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4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5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6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7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drawings/drawing8.xml" ContentType="application/vnd.openxmlformats-officedocument.drawing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drawings/drawing9.xml" ContentType="application/vnd.openxmlformats-officedocument.drawing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drawings/drawing10.xml" ContentType="application/vnd.openxmlformats-officedocument.drawing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drawings/drawing11.xml" ContentType="application/vnd.openxmlformats-officedocument.drawing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12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drawings/drawing13.xml" ContentType="application/vnd.openxmlformats-officedocument.drawing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drawings/drawing14.xml" ContentType="application/vnd.openxmlformats-officedocument.drawing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drawings/drawing15.xml" ContentType="application/vnd.openxmlformats-officedocument.drawing+xml"/>
  <Override PartName="/xl/ctrlProps/ctrlProp121.xml" ContentType="application/vnd.ms-excel.controlproperties+xml"/>
  <Override PartName="/xl/ctrlProps/ctrlProp122.xml" ContentType="application/vnd.ms-excel.controlproperties+xml"/>
  <Override PartName="/xl/drawings/drawing16.xml" ContentType="application/vnd.openxmlformats-officedocument.drawing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drawings/drawing17.xml" ContentType="application/vnd.openxmlformats-officedocument.drawing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drawings/drawing18.xml" ContentType="application/vnd.openxmlformats-officedocument.drawing+xml"/>
  <Override PartName="/xl/ctrlProps/ctrlProp129.xml" ContentType="application/vnd.ms-excel.controlproperties+xml"/>
  <Override PartName="/xl/ctrlProps/ctrlProp130.xml" ContentType="application/vnd.ms-excel.controlproperties+xml"/>
  <Override PartName="/xl/drawings/drawing19.xml" ContentType="application/vnd.openxmlformats-officedocument.drawing+xml"/>
  <Override PartName="/xl/ctrlProps/ctrlProp131.xml" ContentType="application/vnd.ms-excel.controlproperties+xml"/>
  <Override PartName="/xl/ctrlProps/ctrlProp132.xml" ContentType="application/vnd.ms-excel.controlproperties+xml"/>
  <Override PartName="/xl/drawings/drawing20.xml" ContentType="application/vnd.openxmlformats-officedocument.drawing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51196F13-6AD0-C1B8-E2B4-A1F9AE17003E}"/>
  <workbookPr showInkAnnotation="0" codeName="EstaPasta_de_trabalho"/>
  <mc:AlternateContent xmlns:mc="http://schemas.openxmlformats.org/markup-compatibility/2006">
    <mc:Choice Requires="x15">
      <x15ac:absPath xmlns:x15ac="http://schemas.microsoft.com/office/spreadsheetml/2010/11/ac" url="C:\Users\Lucas Matheus\Desktop\"/>
    </mc:Choice>
  </mc:AlternateContent>
  <xr:revisionPtr revIDLastSave="0" documentId="8_{5C59F49E-D11B-4083-B54C-EE1DD1594353}" xr6:coauthVersionLast="47" xr6:coauthVersionMax="47" xr10:uidLastSave="{00000000-0000-0000-0000-000000000000}"/>
  <bookViews>
    <workbookView showSheetTabs="0" xWindow="-120" yWindow="-120" windowWidth="20730" windowHeight="11040" tabRatio="664" firstSheet="8" activeTab="20" xr2:uid="{84EDE4B5-BA0C-4894-B265-2A355A1D5770}"/>
  </bookViews>
  <sheets>
    <sheet name="Mono 13,8kv" sheetId="1" r:id="rId1"/>
    <sheet name="Mono 34,5kv" sheetId="5" r:id="rId2"/>
    <sheet name="Trifásico 13,8kv " sheetId="9" r:id="rId3"/>
    <sheet name="Trifásico 34,5kv" sheetId="6" r:id="rId4"/>
    <sheet name="Estruturas 34,5kv" sheetId="15" r:id="rId5"/>
    <sheet name="Materiais de Medições" sheetId="10" r:id="rId6"/>
    <sheet name="Materiais e Valores" sheetId="3" r:id="rId7"/>
    <sheet name="Materiais de Medições compacta" sheetId="24" r:id="rId8"/>
    <sheet name="Transformadores" sheetId="21" r:id="rId9"/>
    <sheet name="Compcta" sheetId="16" r:id="rId10"/>
    <sheet name="BT-SI" sheetId="17" r:id="rId11"/>
    <sheet name="EXTRAS (2)" sheetId="26" r:id="rId12"/>
    <sheet name="ILUMINAÇÃO PUBLICA" sheetId="29" r:id="rId13"/>
    <sheet name="EXTRAS" sheetId="8" r:id="rId14"/>
    <sheet name="Estruturas 13,8kv" sheetId="14" r:id="rId15"/>
    <sheet name="MEDIDÇÕES TRIFÁSICAS" sheetId="11" state="hidden" r:id="rId16"/>
    <sheet name="Menu" sheetId="12" r:id="rId17"/>
    <sheet name="MEDIÇÃO AT 34.5KV" sheetId="18" r:id="rId18"/>
    <sheet name="RELIGADOR NOVA C.P.S" sheetId="23" r:id="rId19"/>
    <sheet name="RELIGADOR 13.8 e 34.5KV" sheetId="19" r:id="rId20"/>
    <sheet name="Plan1" sheetId="22" r:id="rId21"/>
    <sheet name="Subestação 34,5kv" sheetId="27" r:id="rId22"/>
    <sheet name="REGULADORES" sheetId="28" r:id="rId23"/>
    <sheet name="Plan2" sheetId="30" r:id="rId24"/>
  </sheets>
  <externalReferences>
    <externalReference r:id="rId25"/>
    <externalReference r:id="rId26"/>
  </externalReferences>
  <definedNames>
    <definedName name="_xlnm._FilterDatabase" localSheetId="10" hidden="1">'BT-SI'!$AZ$1:$BC$26</definedName>
    <definedName name="_xlnm._FilterDatabase" localSheetId="14" hidden="1">'Estruturas 13,8kv'!$F$2:$F$2262</definedName>
    <definedName name="_xlnm._FilterDatabase" localSheetId="4" hidden="1">'Estruturas 34,5kv'!$F$2:$F$1593</definedName>
    <definedName name="_xlnm._FilterDatabase" localSheetId="13" hidden="1">EXTRAS!$A$1:$D$310</definedName>
    <definedName name="_xlnm._FilterDatabase" localSheetId="11" hidden="1">'EXTRAS (2)'!$A$1:$D$331</definedName>
    <definedName name="_xlnm._FilterDatabase" localSheetId="5" hidden="1">'Materiais de Medições'!$A$1:$P$86</definedName>
    <definedName name="_xlnm._FilterDatabase" localSheetId="7" hidden="1">'Materiais de Medições compacta'!$A$1:$P$86</definedName>
    <definedName name="_xlnm._FilterDatabase" localSheetId="6" hidden="1">'Materiais e Valores'!$E$1:$E$1290</definedName>
    <definedName name="_xlnm._FilterDatabase" localSheetId="17" hidden="1">'MEDIÇÃO AT 34.5KV'!$D$1</definedName>
    <definedName name="_xlnm._FilterDatabase" localSheetId="0" hidden="1">'Mono 13,8kv'!$DS$5:$DS$396</definedName>
    <definedName name="_xlnm._FilterDatabase" localSheetId="1" hidden="1">'Mono 34,5kv'!$DS$5:$DS$396</definedName>
    <definedName name="_xlnm._FilterDatabase" localSheetId="8" hidden="1">Transformadores!#REF!</definedName>
    <definedName name="_xlnm._FilterDatabase" localSheetId="2" hidden="1">'Trifásico 13,8kv '!#REF!</definedName>
    <definedName name="_xlnm._FilterDatabase" localSheetId="3" hidden="1">'Trifásico 34,5kv'!#REF!</definedName>
    <definedName name="_xlnm.Print_Area" localSheetId="14">'Estruturas 13,8kv'!$A$1:$K$1420</definedName>
    <definedName name="_xlnm.Print_Area" localSheetId="13">EXTRAS!$A$1:$E$392</definedName>
    <definedName name="_xlnm.Print_Area" localSheetId="11">'EXTRAS (2)'!$A$1:$E$499</definedName>
    <definedName name="_xlnm.Print_Area" localSheetId="6">'Materiais e Valores'!$A$1:$E$1290</definedName>
    <definedName name="_xlnm.Print_Area" localSheetId="17">'MEDIÇÃO AT 34.5KV'!$A$1:$O$23</definedName>
    <definedName name="_xlnm.Print_Area" localSheetId="20">Plan1!$D$5:$K$18</definedName>
    <definedName name="_xlnm.Print_Area" localSheetId="19">'RELIGADOR 13.8 e 34.5KV'!$B$1:$S$105</definedName>
    <definedName name="_xlnm.Print_Area" localSheetId="18">'RELIGADOR NOVA C.P.S'!$B$1:$S$105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72" i="6" l="1"/>
  <c r="K274" i="6"/>
  <c r="K272" i="9"/>
  <c r="K274" i="9"/>
  <c r="M274" i="5"/>
  <c r="M272" i="5"/>
  <c r="M274" i="1"/>
  <c r="M272" i="1"/>
  <c r="I274" i="5"/>
  <c r="K265" i="1"/>
  <c r="D274" i="6"/>
  <c r="EN244" i="6"/>
  <c r="EI293" i="6"/>
  <c r="DY293" i="6"/>
  <c r="DT293" i="6"/>
  <c r="DO293" i="6"/>
  <c r="DE293" i="6"/>
  <c r="CZ293" i="6"/>
  <c r="CU293" i="6"/>
  <c r="CP293" i="6"/>
  <c r="CK293" i="6"/>
  <c r="CF293" i="6"/>
  <c r="CA293" i="6"/>
  <c r="BV293" i="6"/>
  <c r="BQ293" i="6"/>
  <c r="BL293" i="6"/>
  <c r="BG293" i="6"/>
  <c r="BB293" i="6"/>
  <c r="AW293" i="6"/>
  <c r="L51" i="27"/>
  <c r="E1176" i="3"/>
  <c r="L52" i="27"/>
  <c r="E1177" i="3"/>
  <c r="L53" i="27"/>
  <c r="E1178" i="3"/>
  <c r="L119" i="27"/>
  <c r="E1244" i="3"/>
  <c r="L94" i="27"/>
  <c r="E1219" i="3"/>
  <c r="L93" i="27"/>
  <c r="E1218" i="3"/>
  <c r="L92" i="27"/>
  <c r="E1217" i="3"/>
  <c r="L91" i="27"/>
  <c r="E1216" i="3"/>
  <c r="L90" i="27"/>
  <c r="E1215" i="3"/>
  <c r="L74" i="27"/>
  <c r="E1199" i="3"/>
  <c r="L81" i="27"/>
  <c r="E1206" i="3"/>
  <c r="L127" i="27"/>
  <c r="E1252" i="3"/>
  <c r="L83" i="27"/>
  <c r="E1208" i="3"/>
  <c r="L63" i="27"/>
  <c r="E1188" i="3"/>
  <c r="L80" i="27"/>
  <c r="E1205" i="3"/>
  <c r="L60" i="27"/>
  <c r="E1185" i="3"/>
  <c r="L59" i="27"/>
  <c r="E1184" i="3"/>
  <c r="L58" i="27"/>
  <c r="E1183" i="3"/>
  <c r="L57" i="27"/>
  <c r="E1182" i="3"/>
  <c r="L56" i="27"/>
  <c r="E1181" i="3"/>
  <c r="L55" i="27"/>
  <c r="E1180" i="3"/>
  <c r="L122" i="27"/>
  <c r="E1247" i="3"/>
  <c r="L1" i="24"/>
  <c r="E1" i="24"/>
  <c r="E28" i="10"/>
  <c r="E29" i="10"/>
  <c r="E312" i="3"/>
  <c r="E313" i="3"/>
  <c r="E314" i="3"/>
  <c r="E315" i="3"/>
  <c r="E316" i="3"/>
  <c r="E311" i="3"/>
  <c r="E318" i="3"/>
  <c r="E319" i="3"/>
  <c r="E320" i="3"/>
  <c r="E321" i="3"/>
  <c r="E322" i="3"/>
  <c r="E317" i="3"/>
  <c r="EN227" i="9"/>
  <c r="EN220" i="6"/>
  <c r="EN220" i="9"/>
  <c r="EN147" i="9"/>
  <c r="EN146" i="9"/>
  <c r="EN146" i="6"/>
  <c r="EX146" i="6"/>
  <c r="EN159" i="9"/>
  <c r="EX159" i="9"/>
  <c r="EN158" i="9"/>
  <c r="F1" i="10"/>
  <c r="F81" i="10" s="1"/>
  <c r="H1" i="10"/>
  <c r="L1" i="10"/>
  <c r="L85" i="10"/>
  <c r="N1" i="10"/>
  <c r="N19" i="10" s="1"/>
  <c r="O1" i="10"/>
  <c r="P1" i="10"/>
  <c r="P48" i="10" s="1"/>
  <c r="M1" i="10"/>
  <c r="M87" i="10" s="1"/>
  <c r="K1" i="10"/>
  <c r="J1" i="10"/>
  <c r="J84" i="10"/>
  <c r="I1" i="10"/>
  <c r="I26" i="10" s="1"/>
  <c r="G1" i="10"/>
  <c r="G80" i="10"/>
  <c r="E1" i="10"/>
  <c r="E86" i="10"/>
  <c r="EN300" i="6"/>
  <c r="EN299" i="6"/>
  <c r="EX299" i="6" s="1"/>
  <c r="EN227" i="6"/>
  <c r="EN159" i="6"/>
  <c r="EX159" i="6"/>
  <c r="EN158" i="6"/>
  <c r="EX158" i="6" s="1"/>
  <c r="EN147" i="6"/>
  <c r="L78" i="10"/>
  <c r="I75" i="10"/>
  <c r="M68" i="10"/>
  <c r="M67" i="10"/>
  <c r="L40" i="10"/>
  <c r="E40" i="10"/>
  <c r="M21" i="10"/>
  <c r="F13" i="10"/>
  <c r="F9" i="10"/>
  <c r="L6" i="10"/>
  <c r="F5" i="10"/>
  <c r="G2" i="10"/>
  <c r="E1079" i="3"/>
  <c r="E1077" i="3"/>
  <c r="E1075" i="3"/>
  <c r="E1073" i="3"/>
  <c r="E1071" i="3"/>
  <c r="E1069" i="3"/>
  <c r="E1067" i="3"/>
  <c r="E1065" i="3"/>
  <c r="E1078" i="3"/>
  <c r="E1076" i="3"/>
  <c r="E1074" i="3"/>
  <c r="E1072" i="3"/>
  <c r="E1070" i="3"/>
  <c r="E1068" i="3"/>
  <c r="E1066" i="3"/>
  <c r="E1064" i="3"/>
  <c r="N85" i="10"/>
  <c r="H19" i="10"/>
  <c r="N72" i="10"/>
  <c r="L2" i="10"/>
  <c r="F17" i="10"/>
  <c r="M25" i="10"/>
  <c r="F26" i="10"/>
  <c r="L75" i="10"/>
  <c r="P2" i="10"/>
  <c r="E10" i="10"/>
  <c r="E14" i="10"/>
  <c r="P25" i="10"/>
  <c r="P27" i="10"/>
  <c r="I63" i="10"/>
  <c r="N63" i="10"/>
  <c r="N73" i="10"/>
  <c r="G19" i="10"/>
  <c r="G21" i="10"/>
  <c r="L21" i="10"/>
  <c r="O27" i="10"/>
  <c r="M32" i="10"/>
  <c r="J40" i="10"/>
  <c r="M58" i="10"/>
  <c r="G62" i="10"/>
  <c r="L63" i="10"/>
  <c r="O64" i="10"/>
  <c r="L70" i="10"/>
  <c r="F30" i="10"/>
  <c r="F49" i="10"/>
  <c r="E63" i="10"/>
  <c r="L73" i="10"/>
  <c r="F66" i="10"/>
  <c r="F74" i="10"/>
  <c r="F75" i="10"/>
  <c r="F77" i="10"/>
  <c r="F78" i="10"/>
  <c r="F83" i="10"/>
  <c r="F2" i="10"/>
  <c r="F19" i="10"/>
  <c r="F25" i="10"/>
  <c r="F27" i="10"/>
  <c r="F37" i="10"/>
  <c r="F43" i="10"/>
  <c r="F61" i="10"/>
  <c r="F68" i="10"/>
  <c r="F69" i="10"/>
  <c r="F71" i="10"/>
  <c r="F72" i="10"/>
  <c r="F73" i="10"/>
  <c r="F76" i="10"/>
  <c r="F80" i="10"/>
  <c r="L10" i="10"/>
  <c r="L14" i="10"/>
  <c r="L24" i="10"/>
  <c r="L25" i="10"/>
  <c r="L26" i="10"/>
  <c r="L27" i="10"/>
  <c r="L32" i="10"/>
  <c r="L44" i="10"/>
  <c r="L53" i="10"/>
  <c r="L62" i="10"/>
  <c r="L67" i="10"/>
  <c r="L68" i="10"/>
  <c r="L71" i="10"/>
  <c r="L72" i="10"/>
  <c r="L74" i="10"/>
  <c r="L76" i="10"/>
  <c r="L77" i="10"/>
  <c r="L80" i="10"/>
  <c r="L87" i="10"/>
  <c r="N80" i="10"/>
  <c r="O2" i="10"/>
  <c r="O45" i="10"/>
  <c r="P74" i="10"/>
  <c r="P80" i="10"/>
  <c r="P82" i="10"/>
  <c r="P18" i="10"/>
  <c r="P30" i="10"/>
  <c r="P68" i="10"/>
  <c r="P69" i="10"/>
  <c r="P75" i="10"/>
  <c r="M85" i="10"/>
  <c r="M2" i="10"/>
  <c r="M14" i="10"/>
  <c r="M24" i="10"/>
  <c r="M62" i="10"/>
  <c r="M71" i="10"/>
  <c r="M72" i="10"/>
  <c r="M74" i="10"/>
  <c r="M75" i="10"/>
  <c r="M77" i="10"/>
  <c r="J26" i="10"/>
  <c r="J66" i="10"/>
  <c r="J73" i="10"/>
  <c r="G75" i="10"/>
  <c r="G6" i="10"/>
  <c r="G25" i="10"/>
  <c r="G44" i="10"/>
  <c r="G72" i="10"/>
  <c r="G74" i="10"/>
  <c r="E23" i="10"/>
  <c r="E25" i="10"/>
  <c r="E70" i="10"/>
  <c r="E80" i="10"/>
  <c r="E62" i="10"/>
  <c r="E68" i="10"/>
  <c r="E73" i="10"/>
  <c r="E74" i="10"/>
  <c r="E77" i="10"/>
  <c r="E78" i="10"/>
  <c r="E28" i="24"/>
  <c r="E29" i="24"/>
  <c r="P1" i="24"/>
  <c r="P69" i="24" s="1"/>
  <c r="O1" i="24"/>
  <c r="O74" i="24" s="1"/>
  <c r="O72" i="24"/>
  <c r="N1" i="24"/>
  <c r="N56" i="24" s="1"/>
  <c r="E1135" i="3" s="1"/>
  <c r="M1" i="24"/>
  <c r="K1" i="24"/>
  <c r="J1" i="24"/>
  <c r="J75" i="24" s="1"/>
  <c r="I1" i="24"/>
  <c r="H1" i="24"/>
  <c r="G1" i="24"/>
  <c r="F1" i="24"/>
  <c r="F77" i="24" s="1"/>
  <c r="J76" i="24"/>
  <c r="J69" i="24"/>
  <c r="J71" i="24"/>
  <c r="O69" i="24"/>
  <c r="O71" i="24"/>
  <c r="P75" i="24"/>
  <c r="P72" i="24"/>
  <c r="O76" i="24"/>
  <c r="O75" i="24"/>
  <c r="O73" i="24"/>
  <c r="FQ73" i="16"/>
  <c r="FR73" i="16"/>
  <c r="FQ74" i="16"/>
  <c r="FR74" i="16"/>
  <c r="FQ75" i="16"/>
  <c r="FR75" i="16"/>
  <c r="FQ76" i="16"/>
  <c r="FR76" i="16"/>
  <c r="FQ77" i="16"/>
  <c r="FR77" i="16"/>
  <c r="FQ78" i="16"/>
  <c r="FR78" i="16"/>
  <c r="FQ79" i="16"/>
  <c r="FR79" i="16"/>
  <c r="FQ80" i="16"/>
  <c r="FR80" i="16"/>
  <c r="FQ81" i="16"/>
  <c r="FR81" i="16"/>
  <c r="FQ82" i="16"/>
  <c r="FR82" i="16"/>
  <c r="FQ83" i="16"/>
  <c r="FR83" i="16"/>
  <c r="FQ84" i="16"/>
  <c r="FR84" i="16"/>
  <c r="FQ85" i="16"/>
  <c r="FR85" i="16"/>
  <c r="FQ86" i="16"/>
  <c r="FR86" i="16"/>
  <c r="FQ87" i="16"/>
  <c r="FR87" i="16"/>
  <c r="FQ88" i="16"/>
  <c r="FR88" i="16"/>
  <c r="FQ89" i="16"/>
  <c r="FR89" i="16"/>
  <c r="FQ90" i="16"/>
  <c r="FR90" i="16"/>
  <c r="FQ91" i="16"/>
  <c r="FR91" i="16"/>
  <c r="FQ92" i="16"/>
  <c r="FR92" i="16"/>
  <c r="FQ93" i="16"/>
  <c r="FR93" i="16"/>
  <c r="FQ94" i="16"/>
  <c r="FR94" i="16"/>
  <c r="FQ95" i="16"/>
  <c r="FR95" i="16"/>
  <c r="FQ96" i="16"/>
  <c r="FR96" i="16"/>
  <c r="FQ97" i="16"/>
  <c r="FR97" i="16"/>
  <c r="FQ98" i="16"/>
  <c r="FR98" i="16"/>
  <c r="FQ99" i="16"/>
  <c r="FR99" i="16"/>
  <c r="FQ100" i="16"/>
  <c r="FR100" i="16"/>
  <c r="FQ101" i="16"/>
  <c r="FR101" i="16"/>
  <c r="FQ102" i="16"/>
  <c r="FR102" i="16"/>
  <c r="FQ103" i="16"/>
  <c r="FR103" i="16"/>
  <c r="FQ104" i="16"/>
  <c r="FR104" i="16"/>
  <c r="FQ105" i="16"/>
  <c r="FR105" i="16"/>
  <c r="FQ106" i="16"/>
  <c r="FR106" i="16"/>
  <c r="FQ107" i="16"/>
  <c r="FR107" i="16"/>
  <c r="FQ108" i="16"/>
  <c r="FR108" i="16"/>
  <c r="FQ109" i="16"/>
  <c r="FR109" i="16"/>
  <c r="FQ110" i="16"/>
  <c r="FR110" i="16"/>
  <c r="FQ111" i="16"/>
  <c r="FR111" i="16"/>
  <c r="FQ112" i="16"/>
  <c r="FR112" i="16"/>
  <c r="FQ113" i="16"/>
  <c r="FR113" i="16"/>
  <c r="FQ114" i="16"/>
  <c r="FR114" i="16"/>
  <c r="FQ115" i="16"/>
  <c r="FR115" i="16"/>
  <c r="FQ116" i="16"/>
  <c r="FR116" i="16"/>
  <c r="FQ117" i="16"/>
  <c r="FR117" i="16"/>
  <c r="FQ118" i="16"/>
  <c r="FR118" i="16"/>
  <c r="FQ119" i="16"/>
  <c r="FR119" i="16"/>
  <c r="FQ120" i="16"/>
  <c r="FR120" i="16"/>
  <c r="FQ121" i="16"/>
  <c r="FR121" i="16"/>
  <c r="FQ122" i="16"/>
  <c r="FR122" i="16"/>
  <c r="FQ123" i="16"/>
  <c r="FR123" i="16"/>
  <c r="FQ124" i="16"/>
  <c r="FR124" i="16"/>
  <c r="FQ125" i="16"/>
  <c r="FR125" i="16"/>
  <c r="FQ126" i="16"/>
  <c r="FR126" i="16"/>
  <c r="FQ127" i="16"/>
  <c r="FR127" i="16"/>
  <c r="FQ128" i="16"/>
  <c r="FR128" i="16"/>
  <c r="FQ129" i="16"/>
  <c r="FR129" i="16"/>
  <c r="FQ130" i="16"/>
  <c r="FR130" i="16"/>
  <c r="FQ131" i="16"/>
  <c r="FR131" i="16"/>
  <c r="FQ132" i="16"/>
  <c r="FR132" i="16"/>
  <c r="FQ133" i="16"/>
  <c r="FR133" i="16"/>
  <c r="FQ134" i="16"/>
  <c r="FR134" i="16"/>
  <c r="FQ135" i="16"/>
  <c r="FR135" i="16"/>
  <c r="FQ136" i="16"/>
  <c r="FR136" i="16"/>
  <c r="FQ137" i="16"/>
  <c r="FR137" i="16"/>
  <c r="FQ138" i="16"/>
  <c r="FR138" i="16"/>
  <c r="FQ139" i="16"/>
  <c r="FR139" i="16"/>
  <c r="FQ140" i="16"/>
  <c r="FR140" i="16"/>
  <c r="FQ141" i="16"/>
  <c r="FR141" i="16"/>
  <c r="FQ142" i="16"/>
  <c r="FR142" i="16"/>
  <c r="FQ143" i="16"/>
  <c r="FR143" i="16"/>
  <c r="FQ144" i="16"/>
  <c r="FR144" i="16"/>
  <c r="FQ145" i="16"/>
  <c r="FR145" i="16"/>
  <c r="FQ146" i="16"/>
  <c r="FR146" i="16"/>
  <c r="FQ147" i="16"/>
  <c r="FR147" i="16"/>
  <c r="FQ148" i="16"/>
  <c r="FR148" i="16"/>
  <c r="FQ149" i="16"/>
  <c r="FR149" i="16"/>
  <c r="FQ150" i="16"/>
  <c r="FR150" i="16"/>
  <c r="FQ151" i="16"/>
  <c r="FR151" i="16"/>
  <c r="FQ152" i="16"/>
  <c r="FR152" i="16"/>
  <c r="FQ153" i="16"/>
  <c r="FR153" i="16"/>
  <c r="FQ154" i="16"/>
  <c r="FR154" i="16"/>
  <c r="FQ155" i="16"/>
  <c r="FR155" i="16"/>
  <c r="FQ156" i="16"/>
  <c r="FR156" i="16"/>
  <c r="FQ157" i="16"/>
  <c r="FR157" i="16"/>
  <c r="FQ158" i="16"/>
  <c r="FR158" i="16"/>
  <c r="FQ159" i="16"/>
  <c r="FR159" i="16"/>
  <c r="FQ160" i="16"/>
  <c r="FR160" i="16"/>
  <c r="FQ161" i="16"/>
  <c r="FR161" i="16"/>
  <c r="FQ162" i="16"/>
  <c r="FR162" i="16"/>
  <c r="FQ163" i="16"/>
  <c r="FR163" i="16"/>
  <c r="FQ164" i="16"/>
  <c r="FR164" i="16"/>
  <c r="FQ165" i="16"/>
  <c r="FR165" i="16"/>
  <c r="FQ166" i="16"/>
  <c r="FR166" i="16"/>
  <c r="FQ167" i="16"/>
  <c r="FR167" i="16"/>
  <c r="FQ168" i="16"/>
  <c r="FR168" i="16"/>
  <c r="FQ169" i="16"/>
  <c r="FR169" i="16"/>
  <c r="FQ170" i="16"/>
  <c r="FR170" i="16"/>
  <c r="FQ171" i="16"/>
  <c r="FR171" i="16"/>
  <c r="FQ172" i="16"/>
  <c r="FR172" i="16"/>
  <c r="FQ173" i="16"/>
  <c r="FR173" i="16"/>
  <c r="FQ174" i="16"/>
  <c r="FR174" i="16"/>
  <c r="FQ175" i="16"/>
  <c r="FR175" i="16"/>
  <c r="FQ176" i="16"/>
  <c r="FR176" i="16"/>
  <c r="FQ177" i="16"/>
  <c r="FR177" i="16"/>
  <c r="FQ178" i="16"/>
  <c r="FR178" i="16"/>
  <c r="FU178" i="16" s="1"/>
  <c r="FQ179" i="16"/>
  <c r="FR179" i="16"/>
  <c r="FQ180" i="16"/>
  <c r="FR180" i="16"/>
  <c r="FQ181" i="16"/>
  <c r="FR181" i="16"/>
  <c r="FQ182" i="16"/>
  <c r="FR182" i="16"/>
  <c r="FQ183" i="16"/>
  <c r="FR183" i="16"/>
  <c r="FQ184" i="16"/>
  <c r="FR184" i="16"/>
  <c r="FQ185" i="16"/>
  <c r="FR185" i="16"/>
  <c r="FQ186" i="16"/>
  <c r="FR186" i="16"/>
  <c r="FQ187" i="16"/>
  <c r="FR187" i="16"/>
  <c r="FQ188" i="16"/>
  <c r="FR188" i="16"/>
  <c r="FQ189" i="16"/>
  <c r="FR189" i="16"/>
  <c r="FQ190" i="16"/>
  <c r="FR190" i="16"/>
  <c r="FQ191" i="16"/>
  <c r="FR191" i="16"/>
  <c r="FQ192" i="16"/>
  <c r="FR192" i="16"/>
  <c r="FQ193" i="16"/>
  <c r="FR193" i="16"/>
  <c r="FQ194" i="16"/>
  <c r="FR194" i="16"/>
  <c r="FQ195" i="16"/>
  <c r="FR195" i="16"/>
  <c r="FQ196" i="16"/>
  <c r="FR196" i="16"/>
  <c r="FQ197" i="16"/>
  <c r="FR197" i="16"/>
  <c r="FQ198" i="16"/>
  <c r="FR198" i="16"/>
  <c r="FQ199" i="16"/>
  <c r="FR199" i="16"/>
  <c r="FQ200" i="16"/>
  <c r="FR200" i="16"/>
  <c r="FQ201" i="16"/>
  <c r="FR201" i="16"/>
  <c r="FQ202" i="16"/>
  <c r="FR202" i="16"/>
  <c r="FQ203" i="16"/>
  <c r="FR203" i="16"/>
  <c r="FQ204" i="16"/>
  <c r="FR204" i="16"/>
  <c r="FQ205" i="16"/>
  <c r="FR205" i="16"/>
  <c r="FQ206" i="16"/>
  <c r="FR206" i="16"/>
  <c r="FQ207" i="16"/>
  <c r="FR207" i="16"/>
  <c r="FQ208" i="16"/>
  <c r="FR208" i="16"/>
  <c r="FQ209" i="16"/>
  <c r="FR209" i="16"/>
  <c r="FQ210" i="16"/>
  <c r="FR210" i="16"/>
  <c r="FQ211" i="16"/>
  <c r="FR211" i="16"/>
  <c r="FQ212" i="16"/>
  <c r="FR212" i="16"/>
  <c r="FU212" i="16" s="1"/>
  <c r="FQ213" i="16"/>
  <c r="FR213" i="16"/>
  <c r="FQ214" i="16"/>
  <c r="FR214" i="16"/>
  <c r="FU214" i="16"/>
  <c r="FQ215" i="16"/>
  <c r="FR215" i="16"/>
  <c r="FQ216" i="16"/>
  <c r="FR216" i="16"/>
  <c r="FQ217" i="16"/>
  <c r="FR217" i="16"/>
  <c r="FQ218" i="16"/>
  <c r="FR218" i="16"/>
  <c r="FU218" i="16" s="1"/>
  <c r="FQ219" i="16"/>
  <c r="FR219" i="16"/>
  <c r="FQ220" i="16"/>
  <c r="FR220" i="16"/>
  <c r="FU220" i="16" s="1"/>
  <c r="FQ221" i="16"/>
  <c r="FR221" i="16"/>
  <c r="FQ222" i="16"/>
  <c r="FR222" i="16"/>
  <c r="FU222" i="16" s="1"/>
  <c r="FQ223" i="16"/>
  <c r="FR223" i="16"/>
  <c r="FQ224" i="16"/>
  <c r="FR224" i="16"/>
  <c r="FQ225" i="16"/>
  <c r="FR225" i="16"/>
  <c r="FQ226" i="16"/>
  <c r="FU226" i="16" s="1"/>
  <c r="FR226" i="16"/>
  <c r="FQ227" i="16"/>
  <c r="FR227" i="16"/>
  <c r="FQ228" i="16"/>
  <c r="FR228" i="16"/>
  <c r="FU228" i="16" s="1"/>
  <c r="FQ229" i="16"/>
  <c r="FR229" i="16"/>
  <c r="FQ230" i="16"/>
  <c r="FR230" i="16"/>
  <c r="FU230" i="16" s="1"/>
  <c r="FQ231" i="16"/>
  <c r="FR231" i="16"/>
  <c r="FQ232" i="16"/>
  <c r="FR232" i="16"/>
  <c r="FU232" i="16" s="1"/>
  <c r="FQ233" i="16"/>
  <c r="FR233" i="16"/>
  <c r="FQ234" i="16"/>
  <c r="FR234" i="16"/>
  <c r="FQ235" i="16"/>
  <c r="FR235" i="16"/>
  <c r="FQ236" i="16"/>
  <c r="FU236" i="16" s="1"/>
  <c r="FR236" i="16"/>
  <c r="FQ237" i="16"/>
  <c r="FR237" i="16"/>
  <c r="FQ238" i="16"/>
  <c r="FR238" i="16"/>
  <c r="FU238" i="16" s="1"/>
  <c r="FQ239" i="16"/>
  <c r="FU239" i="16" s="1"/>
  <c r="FR239" i="16"/>
  <c r="FQ240" i="16"/>
  <c r="FR240" i="16"/>
  <c r="FU240" i="16" s="1"/>
  <c r="FQ241" i="16"/>
  <c r="FR241" i="16"/>
  <c r="FQ242" i="16"/>
  <c r="FR242" i="16"/>
  <c r="FU242" i="16" s="1"/>
  <c r="FQ243" i="16"/>
  <c r="FR243" i="16"/>
  <c r="FQ244" i="16"/>
  <c r="FR244" i="16"/>
  <c r="FU244" i="16"/>
  <c r="FQ245" i="16"/>
  <c r="FR245" i="16"/>
  <c r="FQ246" i="16"/>
  <c r="FR246" i="16"/>
  <c r="FQ247" i="16"/>
  <c r="FR247" i="16"/>
  <c r="FQ248" i="16"/>
  <c r="FR248" i="16"/>
  <c r="FU248" i="16"/>
  <c r="FQ249" i="16"/>
  <c r="FR249" i="16"/>
  <c r="FQ250" i="16"/>
  <c r="FU250" i="16" s="1"/>
  <c r="FR250" i="16"/>
  <c r="FQ251" i="16"/>
  <c r="FR251" i="16"/>
  <c r="FQ252" i="16"/>
  <c r="FU252" i="16" s="1"/>
  <c r="FR252" i="16"/>
  <c r="FQ253" i="16"/>
  <c r="FR253" i="16"/>
  <c r="FQ254" i="16"/>
  <c r="FR254" i="16"/>
  <c r="FQ255" i="16"/>
  <c r="FR255" i="16"/>
  <c r="FQ256" i="16"/>
  <c r="FR256" i="16"/>
  <c r="FQ257" i="16"/>
  <c r="FR257" i="16"/>
  <c r="FQ258" i="16"/>
  <c r="FR258" i="16"/>
  <c r="FQ259" i="16"/>
  <c r="FR259" i="16"/>
  <c r="FQ260" i="16"/>
  <c r="FR260" i="16"/>
  <c r="FQ261" i="16"/>
  <c r="FR261" i="16"/>
  <c r="FQ262" i="16"/>
  <c r="FR262" i="16"/>
  <c r="FQ263" i="16"/>
  <c r="FR263" i="16"/>
  <c r="FQ264" i="16"/>
  <c r="FR264" i="16"/>
  <c r="FQ265" i="16"/>
  <c r="FR265" i="16"/>
  <c r="FQ266" i="16"/>
  <c r="FR266" i="16"/>
  <c r="FQ267" i="16"/>
  <c r="FR267" i="16"/>
  <c r="FQ268" i="16"/>
  <c r="FR268" i="16"/>
  <c r="FQ269" i="16"/>
  <c r="FR269" i="16"/>
  <c r="FQ270" i="16"/>
  <c r="FR270" i="16"/>
  <c r="FQ271" i="16"/>
  <c r="FR271" i="16"/>
  <c r="FQ272" i="16"/>
  <c r="FR272" i="16"/>
  <c r="FQ273" i="16"/>
  <c r="FR273" i="16"/>
  <c r="FQ274" i="16"/>
  <c r="FR274" i="16"/>
  <c r="FQ275" i="16"/>
  <c r="FR275" i="16"/>
  <c r="FQ276" i="16"/>
  <c r="FR276" i="16"/>
  <c r="FQ277" i="16"/>
  <c r="FR277" i="16"/>
  <c r="FQ278" i="16"/>
  <c r="FR278" i="16"/>
  <c r="FQ279" i="16"/>
  <c r="FR279" i="16"/>
  <c r="FQ280" i="16"/>
  <c r="FR280" i="16"/>
  <c r="FQ281" i="16"/>
  <c r="FR281" i="16"/>
  <c r="FQ282" i="16"/>
  <c r="FR282" i="16"/>
  <c r="FQ283" i="16"/>
  <c r="FR283" i="16"/>
  <c r="FQ284" i="16"/>
  <c r="FR284" i="16"/>
  <c r="FQ285" i="16"/>
  <c r="FR285" i="16"/>
  <c r="FQ286" i="16"/>
  <c r="FR286" i="16"/>
  <c r="FQ287" i="16"/>
  <c r="FR287" i="16"/>
  <c r="FQ288" i="16"/>
  <c r="FR288" i="16"/>
  <c r="FQ289" i="16"/>
  <c r="FR289" i="16"/>
  <c r="FQ290" i="16"/>
  <c r="FR290" i="16"/>
  <c r="FQ291" i="16"/>
  <c r="FR291" i="16"/>
  <c r="FQ292" i="16"/>
  <c r="FR292" i="16"/>
  <c r="FQ293" i="16"/>
  <c r="FR293" i="16"/>
  <c r="FQ294" i="16"/>
  <c r="FR294" i="16"/>
  <c r="FQ295" i="16"/>
  <c r="FR295" i="16"/>
  <c r="FQ296" i="16"/>
  <c r="FR296" i="16"/>
  <c r="FQ297" i="16"/>
  <c r="FR297" i="16"/>
  <c r="FQ298" i="16"/>
  <c r="FR298" i="16"/>
  <c r="FQ299" i="16"/>
  <c r="FR299" i="16"/>
  <c r="FQ300" i="16"/>
  <c r="FR300" i="16"/>
  <c r="FQ301" i="16"/>
  <c r="FR301" i="16"/>
  <c r="FQ302" i="16"/>
  <c r="FR302" i="16"/>
  <c r="FQ303" i="16"/>
  <c r="FR303" i="16"/>
  <c r="FQ304" i="16"/>
  <c r="FR304" i="16"/>
  <c r="FQ305" i="16"/>
  <c r="FR305" i="16"/>
  <c r="FQ306" i="16"/>
  <c r="FR306" i="16"/>
  <c r="FQ307" i="16"/>
  <c r="FR307" i="16"/>
  <c r="FQ308" i="16"/>
  <c r="FR308" i="16"/>
  <c r="FQ309" i="16"/>
  <c r="FR309" i="16"/>
  <c r="FQ310" i="16"/>
  <c r="FR310" i="16"/>
  <c r="FQ311" i="16"/>
  <c r="FR311" i="16"/>
  <c r="FQ312" i="16"/>
  <c r="FR312" i="16"/>
  <c r="FQ313" i="16"/>
  <c r="FR313" i="16"/>
  <c r="FQ314" i="16"/>
  <c r="FR314" i="16"/>
  <c r="FQ315" i="16"/>
  <c r="FR315" i="16"/>
  <c r="FQ316" i="16"/>
  <c r="FR316" i="16"/>
  <c r="FQ317" i="16"/>
  <c r="FR317" i="16"/>
  <c r="FQ318" i="16"/>
  <c r="FR318" i="16"/>
  <c r="FQ319" i="16"/>
  <c r="FR319" i="16"/>
  <c r="FQ320" i="16"/>
  <c r="FR320" i="16"/>
  <c r="FQ321" i="16"/>
  <c r="FR321" i="16"/>
  <c r="FQ322" i="16"/>
  <c r="FR322" i="16"/>
  <c r="FQ323" i="16"/>
  <c r="FR323" i="16"/>
  <c r="FQ324" i="16"/>
  <c r="FR324" i="16"/>
  <c r="FQ325" i="16"/>
  <c r="FR325" i="16"/>
  <c r="FQ326" i="16"/>
  <c r="FR326" i="16"/>
  <c r="FQ327" i="16"/>
  <c r="FR327" i="16"/>
  <c r="FQ328" i="16"/>
  <c r="FR328" i="16"/>
  <c r="FQ329" i="16"/>
  <c r="FR329" i="16"/>
  <c r="FQ330" i="16"/>
  <c r="FR330" i="16"/>
  <c r="FQ331" i="16"/>
  <c r="FR331" i="16"/>
  <c r="FQ332" i="16"/>
  <c r="FR332" i="16"/>
  <c r="FQ333" i="16"/>
  <c r="FR333" i="16"/>
  <c r="FQ334" i="16"/>
  <c r="FR334" i="16"/>
  <c r="FQ335" i="16"/>
  <c r="FR335" i="16"/>
  <c r="FQ336" i="16"/>
  <c r="FR336" i="16"/>
  <c r="FQ337" i="16"/>
  <c r="FR337" i="16"/>
  <c r="FQ338" i="16"/>
  <c r="FR338" i="16"/>
  <c r="FQ339" i="16"/>
  <c r="FR339" i="16"/>
  <c r="FQ340" i="16"/>
  <c r="FR340" i="16"/>
  <c r="FQ341" i="16"/>
  <c r="FR341" i="16"/>
  <c r="FQ342" i="16"/>
  <c r="FR342" i="16"/>
  <c r="FQ343" i="16"/>
  <c r="FR343" i="16"/>
  <c r="FQ344" i="16"/>
  <c r="FR344" i="16"/>
  <c r="FQ345" i="16"/>
  <c r="FR345" i="16"/>
  <c r="FQ346" i="16"/>
  <c r="FR346" i="16"/>
  <c r="FQ347" i="16"/>
  <c r="FR347" i="16"/>
  <c r="FQ348" i="16"/>
  <c r="FR348" i="16"/>
  <c r="FQ349" i="16"/>
  <c r="FR349" i="16"/>
  <c r="FQ350" i="16"/>
  <c r="FR350" i="16"/>
  <c r="FQ351" i="16"/>
  <c r="FR351" i="16"/>
  <c r="FQ352" i="16"/>
  <c r="FR352" i="16"/>
  <c r="FQ353" i="16"/>
  <c r="FR353" i="16"/>
  <c r="FQ354" i="16"/>
  <c r="FR354" i="16"/>
  <c r="FQ355" i="16"/>
  <c r="FR355" i="16"/>
  <c r="FQ356" i="16"/>
  <c r="FR356" i="16"/>
  <c r="FQ357" i="16"/>
  <c r="FR357" i="16"/>
  <c r="FQ358" i="16"/>
  <c r="FR358" i="16"/>
  <c r="FQ359" i="16"/>
  <c r="FR359" i="16"/>
  <c r="FQ360" i="16"/>
  <c r="FR360" i="16"/>
  <c r="FQ361" i="16"/>
  <c r="FR361" i="16"/>
  <c r="FQ362" i="16"/>
  <c r="FR362" i="16"/>
  <c r="FQ363" i="16"/>
  <c r="FR363" i="16"/>
  <c r="FQ364" i="16"/>
  <c r="FR364" i="16"/>
  <c r="FQ365" i="16"/>
  <c r="FR365" i="16"/>
  <c r="FQ366" i="16"/>
  <c r="FR366" i="16"/>
  <c r="FQ367" i="16"/>
  <c r="FR367" i="16"/>
  <c r="FQ368" i="16"/>
  <c r="FR368" i="16"/>
  <c r="FQ369" i="16"/>
  <c r="FR369" i="16"/>
  <c r="FQ370" i="16"/>
  <c r="FR370" i="16"/>
  <c r="FQ371" i="16"/>
  <c r="FR371" i="16"/>
  <c r="FQ372" i="16"/>
  <c r="FR372" i="16"/>
  <c r="FQ373" i="16"/>
  <c r="FR373" i="16"/>
  <c r="FQ374" i="16"/>
  <c r="FR374" i="16"/>
  <c r="FQ375" i="16"/>
  <c r="FR375" i="16"/>
  <c r="FQ376" i="16"/>
  <c r="FR376" i="16"/>
  <c r="FQ377" i="16"/>
  <c r="FR377" i="16"/>
  <c r="FQ378" i="16"/>
  <c r="FR378" i="16"/>
  <c r="FQ379" i="16"/>
  <c r="FR379" i="16"/>
  <c r="FQ380" i="16"/>
  <c r="FR380" i="16"/>
  <c r="FQ381" i="16"/>
  <c r="FR381" i="16"/>
  <c r="FQ382" i="16"/>
  <c r="FR382" i="16"/>
  <c r="FQ383" i="16"/>
  <c r="FR383" i="16"/>
  <c r="FQ384" i="16"/>
  <c r="FR384" i="16"/>
  <c r="FQ385" i="16"/>
  <c r="FR385" i="16"/>
  <c r="FQ386" i="16"/>
  <c r="FR386" i="16"/>
  <c r="FQ387" i="16"/>
  <c r="FR387" i="16"/>
  <c r="FQ388" i="16"/>
  <c r="FR388" i="16"/>
  <c r="FQ389" i="16"/>
  <c r="FR389" i="16"/>
  <c r="FQ390" i="16"/>
  <c r="FR390" i="16"/>
  <c r="FQ391" i="16"/>
  <c r="FR391" i="16"/>
  <c r="FQ392" i="16"/>
  <c r="FR392" i="16"/>
  <c r="FQ393" i="16"/>
  <c r="FR393" i="16"/>
  <c r="FQ394" i="16"/>
  <c r="FR394" i="16"/>
  <c r="FQ395" i="16"/>
  <c r="FR395" i="16"/>
  <c r="FQ396" i="16"/>
  <c r="FR396" i="16"/>
  <c r="FQ397" i="16"/>
  <c r="FR397" i="16"/>
  <c r="FQ398" i="16"/>
  <c r="FR398" i="16"/>
  <c r="FQ399" i="16"/>
  <c r="FR399" i="16"/>
  <c r="FQ400" i="16"/>
  <c r="FR400" i="16"/>
  <c r="FQ401" i="16"/>
  <c r="FR401" i="16"/>
  <c r="FQ402" i="16"/>
  <c r="FR402" i="16"/>
  <c r="FQ403" i="16"/>
  <c r="FR403" i="16"/>
  <c r="FQ404" i="16"/>
  <c r="FR404" i="16"/>
  <c r="FQ405" i="16"/>
  <c r="FR405" i="16"/>
  <c r="FQ406" i="16"/>
  <c r="FR406" i="16"/>
  <c r="FQ407" i="16"/>
  <c r="FR407" i="16"/>
  <c r="FQ408" i="16"/>
  <c r="FR408" i="16"/>
  <c r="FQ409" i="16"/>
  <c r="FR409" i="16"/>
  <c r="FQ410" i="16"/>
  <c r="FR410" i="16"/>
  <c r="FQ411" i="16"/>
  <c r="FR411" i="16"/>
  <c r="FQ412" i="16"/>
  <c r="FR412" i="16"/>
  <c r="FQ413" i="16"/>
  <c r="FR413" i="16"/>
  <c r="FQ414" i="16"/>
  <c r="FR414" i="16"/>
  <c r="FQ415" i="16"/>
  <c r="FR415" i="16"/>
  <c r="FQ416" i="16"/>
  <c r="FR416" i="16"/>
  <c r="FQ417" i="16"/>
  <c r="FR417" i="16"/>
  <c r="FQ418" i="16"/>
  <c r="FR418" i="16"/>
  <c r="FQ419" i="16"/>
  <c r="FR419" i="16"/>
  <c r="FQ420" i="16"/>
  <c r="FR420" i="16"/>
  <c r="FQ421" i="16"/>
  <c r="FR421" i="16"/>
  <c r="FQ422" i="16"/>
  <c r="FR422" i="16"/>
  <c r="FQ423" i="16"/>
  <c r="FR423" i="16"/>
  <c r="FQ424" i="16"/>
  <c r="FR424" i="16"/>
  <c r="FQ425" i="16"/>
  <c r="FR425" i="16"/>
  <c r="FQ426" i="16"/>
  <c r="FR426" i="16"/>
  <c r="FQ427" i="16"/>
  <c r="FR427" i="16"/>
  <c r="FQ428" i="16"/>
  <c r="FR428" i="16"/>
  <c r="FQ429" i="16"/>
  <c r="FR429" i="16"/>
  <c r="FQ430" i="16"/>
  <c r="FR430" i="16"/>
  <c r="FQ431" i="16"/>
  <c r="FR431" i="16"/>
  <c r="FQ432" i="16"/>
  <c r="FR432" i="16"/>
  <c r="FQ433" i="16"/>
  <c r="FR433" i="16"/>
  <c r="FQ434" i="16"/>
  <c r="FR434" i="16"/>
  <c r="FQ435" i="16"/>
  <c r="FR435" i="16"/>
  <c r="FQ436" i="16"/>
  <c r="FR436" i="16"/>
  <c r="FQ437" i="16"/>
  <c r="FR437" i="16"/>
  <c r="FQ438" i="16"/>
  <c r="FR438" i="16"/>
  <c r="FQ439" i="16"/>
  <c r="FR439" i="16"/>
  <c r="FQ440" i="16"/>
  <c r="FR440" i="16"/>
  <c r="FQ441" i="16"/>
  <c r="FR441" i="16"/>
  <c r="FQ442" i="16"/>
  <c r="FR442" i="16"/>
  <c r="FQ443" i="16"/>
  <c r="FR443" i="16"/>
  <c r="FQ444" i="16"/>
  <c r="FR444" i="16"/>
  <c r="FQ445" i="16"/>
  <c r="FR445" i="16"/>
  <c r="FQ446" i="16"/>
  <c r="FR446" i="16"/>
  <c r="FQ447" i="16"/>
  <c r="FR447" i="16"/>
  <c r="FQ448" i="16"/>
  <c r="FR448" i="16"/>
  <c r="FQ449" i="16"/>
  <c r="FR449" i="16"/>
  <c r="FQ450" i="16"/>
  <c r="FR450" i="16"/>
  <c r="FQ451" i="16"/>
  <c r="FR451" i="16"/>
  <c r="FQ452" i="16"/>
  <c r="FR452" i="16"/>
  <c r="FQ453" i="16"/>
  <c r="FR453" i="16"/>
  <c r="FQ454" i="16"/>
  <c r="FR454" i="16"/>
  <c r="FQ455" i="16"/>
  <c r="FR455" i="16"/>
  <c r="FQ456" i="16"/>
  <c r="FR456" i="16"/>
  <c r="FQ457" i="16"/>
  <c r="FR457" i="16"/>
  <c r="FQ458" i="16"/>
  <c r="FR458" i="16"/>
  <c r="FQ459" i="16"/>
  <c r="FR459" i="16"/>
  <c r="FQ460" i="16"/>
  <c r="FR460" i="16"/>
  <c r="FQ461" i="16"/>
  <c r="FR461" i="16"/>
  <c r="FQ462" i="16"/>
  <c r="FR462" i="16"/>
  <c r="FQ463" i="16"/>
  <c r="FR463" i="16"/>
  <c r="FQ464" i="16"/>
  <c r="FR464" i="16"/>
  <c r="FQ465" i="16"/>
  <c r="FR465" i="16"/>
  <c r="FQ466" i="16"/>
  <c r="FR466" i="16"/>
  <c r="FQ467" i="16"/>
  <c r="FR467" i="16"/>
  <c r="FQ468" i="16"/>
  <c r="FR468" i="16"/>
  <c r="FQ469" i="16"/>
  <c r="FR469" i="16"/>
  <c r="FQ470" i="16"/>
  <c r="FR470" i="16"/>
  <c r="FQ471" i="16"/>
  <c r="FR471" i="16"/>
  <c r="FQ472" i="16"/>
  <c r="FR472" i="16"/>
  <c r="FQ473" i="16"/>
  <c r="FR473" i="16"/>
  <c r="FQ474" i="16"/>
  <c r="FR474" i="16"/>
  <c r="FQ475" i="16"/>
  <c r="FR475" i="16"/>
  <c r="FQ476" i="16"/>
  <c r="FR476" i="16"/>
  <c r="FQ477" i="16"/>
  <c r="FR477" i="16"/>
  <c r="FQ478" i="16"/>
  <c r="FR478" i="16"/>
  <c r="FQ479" i="16"/>
  <c r="FR479" i="16"/>
  <c r="FQ480" i="16"/>
  <c r="FR480" i="16"/>
  <c r="FQ481" i="16"/>
  <c r="FR481" i="16"/>
  <c r="FQ482" i="16"/>
  <c r="FR482" i="16"/>
  <c r="FQ483" i="16"/>
  <c r="FR483" i="16"/>
  <c r="FQ484" i="16"/>
  <c r="FR484" i="16"/>
  <c r="FQ485" i="16"/>
  <c r="FR485" i="16"/>
  <c r="FQ486" i="16"/>
  <c r="FR486" i="16"/>
  <c r="FQ487" i="16"/>
  <c r="FR487" i="16"/>
  <c r="FQ488" i="16"/>
  <c r="FR488" i="16"/>
  <c r="FQ489" i="16"/>
  <c r="FR489" i="16"/>
  <c r="FQ490" i="16"/>
  <c r="FR490" i="16"/>
  <c r="FQ491" i="16"/>
  <c r="FR491" i="16"/>
  <c r="FQ492" i="16"/>
  <c r="FR492" i="16"/>
  <c r="FQ493" i="16"/>
  <c r="FR493" i="16"/>
  <c r="FQ494" i="16"/>
  <c r="FR494" i="16"/>
  <c r="FQ495" i="16"/>
  <c r="FR495" i="16"/>
  <c r="FQ496" i="16"/>
  <c r="FR496" i="16"/>
  <c r="FQ497" i="16"/>
  <c r="FR497" i="16"/>
  <c r="FQ498" i="16"/>
  <c r="FR498" i="16"/>
  <c r="FQ499" i="16"/>
  <c r="FR499" i="16"/>
  <c r="FQ500" i="16"/>
  <c r="FR500" i="16"/>
  <c r="FQ501" i="16"/>
  <c r="FR501" i="16"/>
  <c r="FQ502" i="16"/>
  <c r="FR502" i="16"/>
  <c r="FQ503" i="16"/>
  <c r="FR503" i="16"/>
  <c r="FQ504" i="16"/>
  <c r="FR504" i="16"/>
  <c r="FQ505" i="16"/>
  <c r="FR505" i="16"/>
  <c r="FQ506" i="16"/>
  <c r="FR506" i="16"/>
  <c r="FQ507" i="16"/>
  <c r="FR507" i="16"/>
  <c r="FQ508" i="16"/>
  <c r="FR508" i="16"/>
  <c r="FQ509" i="16"/>
  <c r="FR509" i="16"/>
  <c r="FQ510" i="16"/>
  <c r="FR510" i="16"/>
  <c r="FQ511" i="16"/>
  <c r="FR511" i="16"/>
  <c r="FQ512" i="16"/>
  <c r="FR512" i="16"/>
  <c r="FQ513" i="16"/>
  <c r="FR513" i="16"/>
  <c r="FQ514" i="16"/>
  <c r="FR514" i="16"/>
  <c r="FQ515" i="16"/>
  <c r="FR515" i="16"/>
  <c r="FQ516" i="16"/>
  <c r="FR516" i="16"/>
  <c r="FQ517" i="16"/>
  <c r="FR517" i="16"/>
  <c r="FQ518" i="16"/>
  <c r="FR518" i="16"/>
  <c r="FQ519" i="16"/>
  <c r="FR519" i="16"/>
  <c r="FQ520" i="16"/>
  <c r="FR520" i="16"/>
  <c r="FQ521" i="16"/>
  <c r="FR521" i="16"/>
  <c r="FQ522" i="16"/>
  <c r="FR522" i="16"/>
  <c r="FQ523" i="16"/>
  <c r="FR523" i="16"/>
  <c r="FQ524" i="16"/>
  <c r="FR524" i="16"/>
  <c r="FQ525" i="16"/>
  <c r="FR525" i="16"/>
  <c r="FQ526" i="16"/>
  <c r="FR526" i="16"/>
  <c r="FQ527" i="16"/>
  <c r="FR527" i="16"/>
  <c r="FQ528" i="16"/>
  <c r="FR528" i="16"/>
  <c r="FQ529" i="16"/>
  <c r="FR529" i="16"/>
  <c r="FQ530" i="16"/>
  <c r="FR530" i="16"/>
  <c r="FQ531" i="16"/>
  <c r="FR531" i="16"/>
  <c r="FQ532" i="16"/>
  <c r="FR532" i="16"/>
  <c r="FQ533" i="16"/>
  <c r="FR533" i="16"/>
  <c r="FQ534" i="16"/>
  <c r="FR534" i="16"/>
  <c r="FQ535" i="16"/>
  <c r="FR535" i="16"/>
  <c r="FQ536" i="16"/>
  <c r="FR536" i="16"/>
  <c r="FQ537" i="16"/>
  <c r="FR537" i="16"/>
  <c r="FQ538" i="16"/>
  <c r="FR538" i="16"/>
  <c r="FQ539" i="16"/>
  <c r="FR539" i="16"/>
  <c r="FQ540" i="16"/>
  <c r="FR540" i="16"/>
  <c r="FQ541" i="16"/>
  <c r="FR541" i="16"/>
  <c r="FQ542" i="16"/>
  <c r="FR542" i="16"/>
  <c r="FQ543" i="16"/>
  <c r="FR543" i="16"/>
  <c r="FQ544" i="16"/>
  <c r="FR544" i="16"/>
  <c r="FQ545" i="16"/>
  <c r="FR545" i="16"/>
  <c r="FQ546" i="16"/>
  <c r="FR546" i="16"/>
  <c r="FQ547" i="16"/>
  <c r="FR547" i="16"/>
  <c r="FQ548" i="16"/>
  <c r="FR548" i="16"/>
  <c r="FQ549" i="16"/>
  <c r="FR549" i="16"/>
  <c r="FQ550" i="16"/>
  <c r="FR550" i="16"/>
  <c r="FQ551" i="16"/>
  <c r="FR551" i="16"/>
  <c r="FQ552" i="16"/>
  <c r="FR552" i="16"/>
  <c r="FQ553" i="16"/>
  <c r="FR553" i="16"/>
  <c r="FQ554" i="16"/>
  <c r="FR554" i="16"/>
  <c r="FQ555" i="16"/>
  <c r="FR555" i="16"/>
  <c r="FQ556" i="16"/>
  <c r="FR556" i="16"/>
  <c r="FQ557" i="16"/>
  <c r="FR557" i="16"/>
  <c r="FQ558" i="16"/>
  <c r="FU558" i="16" s="1"/>
  <c r="FR558" i="16"/>
  <c r="FQ559" i="16"/>
  <c r="FR559" i="16"/>
  <c r="FQ560" i="16"/>
  <c r="FR560" i="16"/>
  <c r="FQ561" i="16"/>
  <c r="FR561" i="16"/>
  <c r="FQ562" i="16"/>
  <c r="FR562" i="16"/>
  <c r="FU562" i="16"/>
  <c r="FQ563" i="16"/>
  <c r="FR563" i="16"/>
  <c r="FQ564" i="16"/>
  <c r="FR564" i="16"/>
  <c r="FU564" i="16"/>
  <c r="FQ565" i="16"/>
  <c r="FR565" i="16"/>
  <c r="FQ566" i="16"/>
  <c r="FU566" i="16" s="1"/>
  <c r="FR566" i="16"/>
  <c r="AB366" i="16"/>
  <c r="AB365" i="16"/>
  <c r="AB364" i="16"/>
  <c r="AM366" i="16"/>
  <c r="AM365" i="16"/>
  <c r="AM364" i="16"/>
  <c r="AX366" i="16"/>
  <c r="AX365" i="16"/>
  <c r="AX364" i="16"/>
  <c r="BI366" i="16"/>
  <c r="BI365" i="16"/>
  <c r="BI364" i="16"/>
  <c r="BT366" i="16"/>
  <c r="BT365" i="16"/>
  <c r="BT364" i="16"/>
  <c r="F81" i="16"/>
  <c r="F80" i="16"/>
  <c r="Q81" i="16"/>
  <c r="Q80" i="16"/>
  <c r="AB81" i="16"/>
  <c r="AB80" i="16"/>
  <c r="AM81" i="16"/>
  <c r="AM80" i="16"/>
  <c r="AX81" i="16"/>
  <c r="AX80" i="16"/>
  <c r="BI81" i="16"/>
  <c r="BI80" i="16"/>
  <c r="BT81" i="16"/>
  <c r="BT80" i="16"/>
  <c r="EN251" i="6"/>
  <c r="EN249" i="6"/>
  <c r="EX249" i="6" s="1"/>
  <c r="EN247" i="6"/>
  <c r="EN253" i="9"/>
  <c r="EN252" i="9"/>
  <c r="EN251" i="9"/>
  <c r="EN249" i="9"/>
  <c r="EN247" i="9"/>
  <c r="EN244" i="9"/>
  <c r="EN242" i="9"/>
  <c r="EX242" i="9"/>
  <c r="DP249" i="5"/>
  <c r="DL247" i="5"/>
  <c r="DH244" i="5"/>
  <c r="DT177" i="5"/>
  <c r="DU177" i="5"/>
  <c r="DP177" i="5"/>
  <c r="DL177" i="5"/>
  <c r="DH177" i="5"/>
  <c r="DD177" i="5"/>
  <c r="CZ177" i="5"/>
  <c r="CV177" i="5"/>
  <c r="CR177" i="5"/>
  <c r="CN177" i="5"/>
  <c r="CJ177" i="5"/>
  <c r="CF176" i="5"/>
  <c r="CF177" i="5"/>
  <c r="CZ177" i="1"/>
  <c r="CV177" i="1"/>
  <c r="CR177" i="1"/>
  <c r="CN177" i="1"/>
  <c r="CJ177" i="1"/>
  <c r="CF177" i="1"/>
  <c r="DP177" i="1"/>
  <c r="DL177" i="1"/>
  <c r="DH177" i="1"/>
  <c r="DD177" i="1"/>
  <c r="Q139" i="29"/>
  <c r="Q140" i="29"/>
  <c r="CT139" i="16"/>
  <c r="Q139" i="16"/>
  <c r="BF178" i="17"/>
  <c r="BA178" i="17"/>
  <c r="EN157" i="9"/>
  <c r="EN156" i="9"/>
  <c r="EX156" i="9" s="1"/>
  <c r="EN153" i="9"/>
  <c r="EX153" i="9" s="1"/>
  <c r="EN145" i="9"/>
  <c r="EN144" i="9"/>
  <c r="EN157" i="6"/>
  <c r="EN156" i="6"/>
  <c r="EN153" i="6"/>
  <c r="EX153" i="6"/>
  <c r="EN280" i="6"/>
  <c r="EN279" i="6"/>
  <c r="EN280" i="9"/>
  <c r="EN279" i="9"/>
  <c r="EX279" i="9" s="1"/>
  <c r="DX232" i="5"/>
  <c r="EN145" i="6"/>
  <c r="EN144" i="6"/>
  <c r="K373" i="6"/>
  <c r="K373" i="9"/>
  <c r="X339" i="6"/>
  <c r="S339" i="6"/>
  <c r="X338" i="6"/>
  <c r="S338" i="6"/>
  <c r="AC336" i="6"/>
  <c r="X336" i="6"/>
  <c r="S336" i="6"/>
  <c r="F337" i="9"/>
  <c r="AC336" i="9"/>
  <c r="S339" i="9"/>
  <c r="X336" i="9"/>
  <c r="X339" i="9"/>
  <c r="X338" i="9"/>
  <c r="S338" i="9"/>
  <c r="S336" i="9"/>
  <c r="DE226" i="9"/>
  <c r="AR226" i="9"/>
  <c r="AM226" i="9"/>
  <c r="DE226" i="6"/>
  <c r="EX233" i="6"/>
  <c r="DE223" i="9"/>
  <c r="DE232" i="9"/>
  <c r="DE232" i="6"/>
  <c r="DE183" i="6"/>
  <c r="DT233" i="5"/>
  <c r="DU233" i="5"/>
  <c r="EN254" i="9"/>
  <c r="EI337" i="6"/>
  <c r="ED337" i="6"/>
  <c r="DY337" i="6"/>
  <c r="DT337" i="6"/>
  <c r="DO337" i="6"/>
  <c r="DJ337" i="6"/>
  <c r="CZ337" i="6"/>
  <c r="CU337" i="6"/>
  <c r="CP337" i="6"/>
  <c r="CK337" i="6"/>
  <c r="CF337" i="6"/>
  <c r="CA337" i="6"/>
  <c r="BQ337" i="6"/>
  <c r="BL337" i="6"/>
  <c r="BB337" i="6"/>
  <c r="AW337" i="6"/>
  <c r="AC322" i="6"/>
  <c r="AC321" i="6"/>
  <c r="AC320" i="6"/>
  <c r="AC319" i="6"/>
  <c r="AC322" i="9"/>
  <c r="AC320" i="9"/>
  <c r="AC321" i="9"/>
  <c r="AC319" i="9"/>
  <c r="X319" i="9"/>
  <c r="X320" i="9"/>
  <c r="EI337" i="9"/>
  <c r="DY337" i="9"/>
  <c r="DT337" i="9"/>
  <c r="DO337" i="9"/>
  <c r="CZ337" i="9"/>
  <c r="CU337" i="9"/>
  <c r="CP337" i="9"/>
  <c r="CK337" i="9"/>
  <c r="Q351" i="29"/>
  <c r="E847" i="3" s="1"/>
  <c r="Q352" i="29"/>
  <c r="BN351" i="17"/>
  <c r="BN352" i="17"/>
  <c r="FM351" i="16"/>
  <c r="FM350" i="16"/>
  <c r="FG351" i="16"/>
  <c r="FG350" i="16"/>
  <c r="FB351" i="16"/>
  <c r="FB350" i="16"/>
  <c r="EW351" i="16"/>
  <c r="CP294" i="6"/>
  <c r="CP294" i="9"/>
  <c r="DE301" i="9"/>
  <c r="CP293" i="9"/>
  <c r="CB247" i="5"/>
  <c r="CB244" i="5"/>
  <c r="CB242" i="5"/>
  <c r="BR247" i="5"/>
  <c r="BR244" i="5"/>
  <c r="BR242" i="5"/>
  <c r="BN247" i="5"/>
  <c r="BN244" i="5"/>
  <c r="BN242" i="5"/>
  <c r="BD247" i="5"/>
  <c r="BD244" i="5"/>
  <c r="BD242" i="5"/>
  <c r="AZ247" i="5"/>
  <c r="AZ244" i="5"/>
  <c r="AZ242" i="5"/>
  <c r="AP247" i="5"/>
  <c r="AP244" i="5"/>
  <c r="AP242" i="5"/>
  <c r="AL247" i="5"/>
  <c r="AL244" i="5"/>
  <c r="AL242" i="5"/>
  <c r="DP148" i="5"/>
  <c r="CV148" i="5"/>
  <c r="DL146" i="5"/>
  <c r="CR146" i="5"/>
  <c r="DS146" i="5" s="1"/>
  <c r="DH145" i="5"/>
  <c r="DS145" i="5"/>
  <c r="CN145" i="5"/>
  <c r="DD144" i="5"/>
  <c r="CZ144" i="5"/>
  <c r="CJ144" i="5"/>
  <c r="CF144" i="5"/>
  <c r="CV148" i="1"/>
  <c r="CR146" i="1"/>
  <c r="CN145" i="1"/>
  <c r="CJ144" i="1"/>
  <c r="CF144" i="1"/>
  <c r="DL146" i="1"/>
  <c r="DH145" i="1"/>
  <c r="DD144" i="1"/>
  <c r="DP154" i="1"/>
  <c r="DP153" i="1"/>
  <c r="DP152" i="1"/>
  <c r="DL154" i="1"/>
  <c r="DL153" i="1"/>
  <c r="DL152" i="1"/>
  <c r="DH154" i="1"/>
  <c r="DH153" i="1"/>
  <c r="DH152" i="1"/>
  <c r="DD154" i="1"/>
  <c r="DD153" i="1"/>
  <c r="DD152" i="1"/>
  <c r="CV154" i="1"/>
  <c r="CV153" i="1"/>
  <c r="CV152" i="1"/>
  <c r="CR154" i="1"/>
  <c r="CR153" i="1"/>
  <c r="CR152" i="1"/>
  <c r="CN154" i="1"/>
  <c r="CN153" i="1"/>
  <c r="CN152" i="1"/>
  <c r="CJ154" i="1"/>
  <c r="CJ153" i="1"/>
  <c r="CJ152" i="1"/>
  <c r="CF154" i="1"/>
  <c r="CF153" i="1"/>
  <c r="CF152" i="1"/>
  <c r="DP167" i="1"/>
  <c r="DL165" i="1"/>
  <c r="DH164" i="1"/>
  <c r="DD163" i="1"/>
  <c r="CZ163" i="1"/>
  <c r="CR165" i="1"/>
  <c r="CN164" i="1"/>
  <c r="CJ163" i="1"/>
  <c r="CF163" i="1"/>
  <c r="AL174" i="1"/>
  <c r="AP174" i="1"/>
  <c r="AZ174" i="1"/>
  <c r="BD174" i="1"/>
  <c r="BN174" i="1"/>
  <c r="BR174" i="1"/>
  <c r="CB174" i="1"/>
  <c r="CV174" i="1"/>
  <c r="CR174" i="1"/>
  <c r="CN174" i="1"/>
  <c r="CJ174" i="1"/>
  <c r="CF174" i="1"/>
  <c r="DP174" i="1"/>
  <c r="DL174" i="1"/>
  <c r="DH174" i="1"/>
  <c r="DD174" i="1"/>
  <c r="DP176" i="1"/>
  <c r="DL176" i="1"/>
  <c r="DH176" i="1"/>
  <c r="DD176" i="1"/>
  <c r="CF176" i="1"/>
  <c r="CJ176" i="1"/>
  <c r="CN176" i="1"/>
  <c r="CR176" i="1"/>
  <c r="CV176" i="1"/>
  <c r="X180" i="1"/>
  <c r="AB180" i="1"/>
  <c r="AE180" i="1"/>
  <c r="AI180" i="1"/>
  <c r="AL180" i="1"/>
  <c r="AP180" i="1"/>
  <c r="AS180" i="1"/>
  <c r="AW180" i="1"/>
  <c r="AZ180" i="1"/>
  <c r="BD180" i="1"/>
  <c r="BN180" i="1"/>
  <c r="BR180" i="1"/>
  <c r="CB180" i="1"/>
  <c r="CF180" i="1"/>
  <c r="CJ180" i="1"/>
  <c r="CN180" i="1"/>
  <c r="CR180" i="1"/>
  <c r="CV180" i="1"/>
  <c r="DD180" i="1"/>
  <c r="DH180" i="1"/>
  <c r="DL180" i="1"/>
  <c r="DP180" i="1"/>
  <c r="CB213" i="1"/>
  <c r="BR213" i="1"/>
  <c r="BN213" i="1"/>
  <c r="BD213" i="1"/>
  <c r="AZ213" i="1"/>
  <c r="AW213" i="1"/>
  <c r="AS213" i="1"/>
  <c r="T213" i="1"/>
  <c r="P213" i="1"/>
  <c r="L213" i="1"/>
  <c r="AE214" i="1"/>
  <c r="AL214" i="1"/>
  <c r="AZ214" i="1"/>
  <c r="BN214" i="1"/>
  <c r="CB214" i="1"/>
  <c r="CF214" i="1"/>
  <c r="CJ214" i="1"/>
  <c r="CN214" i="1"/>
  <c r="CR214" i="1"/>
  <c r="CV214" i="1"/>
  <c r="DP218" i="1"/>
  <c r="DL218" i="1"/>
  <c r="DH218" i="1"/>
  <c r="DD218" i="1"/>
  <c r="CB218" i="1"/>
  <c r="CF218" i="1"/>
  <c r="CJ218" i="1"/>
  <c r="CR218" i="1"/>
  <c r="CV218" i="1"/>
  <c r="CR220" i="1"/>
  <c r="DL220" i="1"/>
  <c r="CN221" i="1"/>
  <c r="DW221" i="1" s="1"/>
  <c r="CN220" i="1"/>
  <c r="DH220" i="1"/>
  <c r="DH221" i="1"/>
  <c r="DD222" i="1"/>
  <c r="CJ222" i="1"/>
  <c r="CF222" i="1"/>
  <c r="DP235" i="1"/>
  <c r="DL235" i="1"/>
  <c r="DH235" i="1"/>
  <c r="DD235" i="1"/>
  <c r="CV235" i="1"/>
  <c r="CR235" i="1"/>
  <c r="CN235" i="1"/>
  <c r="CJ235" i="1"/>
  <c r="CF235" i="1"/>
  <c r="DP239" i="1"/>
  <c r="DL239" i="1"/>
  <c r="DH239" i="1"/>
  <c r="DD239" i="1"/>
  <c r="CV239" i="1"/>
  <c r="CR239" i="1"/>
  <c r="CN239" i="1"/>
  <c r="CJ239" i="1"/>
  <c r="CF239" i="1"/>
  <c r="CB266" i="1"/>
  <c r="CF266" i="1"/>
  <c r="CJ266" i="1"/>
  <c r="CN266" i="1"/>
  <c r="CR266" i="1"/>
  <c r="CV266" i="1"/>
  <c r="CF269" i="1"/>
  <c r="CJ269" i="1"/>
  <c r="CN269" i="1"/>
  <c r="CR269" i="1"/>
  <c r="CV269" i="1"/>
  <c r="CZ269" i="1"/>
  <c r="DD269" i="1"/>
  <c r="DH269" i="1"/>
  <c r="DL269" i="1"/>
  <c r="DP269" i="1"/>
  <c r="DP273" i="1"/>
  <c r="DL273" i="1"/>
  <c r="DH273" i="1"/>
  <c r="DD273" i="1"/>
  <c r="CF273" i="1"/>
  <c r="CJ273" i="1"/>
  <c r="CN273" i="1"/>
  <c r="CR273" i="1"/>
  <c r="CV273" i="1"/>
  <c r="L277" i="1"/>
  <c r="P277" i="1"/>
  <c r="X277" i="1"/>
  <c r="AB277" i="1"/>
  <c r="CB277" i="1"/>
  <c r="CF277" i="1"/>
  <c r="CJ277" i="1"/>
  <c r="CN277" i="1"/>
  <c r="CR277" i="1"/>
  <c r="CV277" i="1"/>
  <c r="CR280" i="1"/>
  <c r="CR279" i="1"/>
  <c r="CN280" i="1"/>
  <c r="CN279" i="1"/>
  <c r="CJ280" i="1"/>
  <c r="CJ279" i="1"/>
  <c r="CF280" i="1"/>
  <c r="CF279" i="1"/>
  <c r="DP280" i="1"/>
  <c r="DP279" i="1"/>
  <c r="DL280" i="1"/>
  <c r="DL279" i="1"/>
  <c r="DH280" i="1"/>
  <c r="DH279" i="1"/>
  <c r="DD280" i="1"/>
  <c r="DD279" i="1"/>
  <c r="DP291" i="1"/>
  <c r="DL291" i="1"/>
  <c r="DH291" i="1"/>
  <c r="DD291" i="1"/>
  <c r="CF291" i="1"/>
  <c r="CJ291" i="1"/>
  <c r="CN291" i="1"/>
  <c r="CR291" i="1"/>
  <c r="CV291" i="1"/>
  <c r="CV335" i="1"/>
  <c r="CV334" i="1"/>
  <c r="CR335" i="1"/>
  <c r="CR334" i="1"/>
  <c r="CN335" i="1"/>
  <c r="CN334" i="1"/>
  <c r="CJ335" i="1"/>
  <c r="CJ334" i="1"/>
  <c r="CF335" i="1"/>
  <c r="CF334" i="1"/>
  <c r="DP335" i="1"/>
  <c r="DP334" i="1"/>
  <c r="DL335" i="1"/>
  <c r="DL334" i="1"/>
  <c r="DH335" i="1"/>
  <c r="DH334" i="1"/>
  <c r="DD335" i="1"/>
  <c r="DD334" i="1"/>
  <c r="DP369" i="1"/>
  <c r="DL369" i="1"/>
  <c r="DH369" i="1"/>
  <c r="DD369" i="1"/>
  <c r="CV369" i="1"/>
  <c r="CR369" i="1"/>
  <c r="CN369" i="1"/>
  <c r="CJ369" i="1"/>
  <c r="CF369" i="1"/>
  <c r="DP385" i="1"/>
  <c r="DP384" i="1"/>
  <c r="DL385" i="1"/>
  <c r="DL384" i="1"/>
  <c r="DH385" i="1"/>
  <c r="DH384" i="1"/>
  <c r="DD385" i="1"/>
  <c r="DD384" i="1"/>
  <c r="DP397" i="1"/>
  <c r="DL396" i="1"/>
  <c r="DL395" i="1"/>
  <c r="DH393" i="1"/>
  <c r="DH394" i="1"/>
  <c r="DD391" i="1"/>
  <c r="DD392" i="1"/>
  <c r="CZ390" i="1"/>
  <c r="CZ389" i="1"/>
  <c r="CZ385" i="1"/>
  <c r="CZ384" i="1"/>
  <c r="CZ369" i="1"/>
  <c r="CZ335" i="1"/>
  <c r="CZ334" i="1"/>
  <c r="CZ319" i="1"/>
  <c r="CZ291" i="1"/>
  <c r="CZ280" i="1"/>
  <c r="CZ279" i="1"/>
  <c r="CZ273" i="1"/>
  <c r="CZ239" i="1"/>
  <c r="CZ235" i="1"/>
  <c r="CZ144" i="1"/>
  <c r="CZ180" i="1"/>
  <c r="CZ187" i="1"/>
  <c r="CZ176" i="1"/>
  <c r="CZ174" i="1"/>
  <c r="CZ154" i="1"/>
  <c r="CZ153" i="1"/>
  <c r="CZ152" i="1"/>
  <c r="CZ218" i="1"/>
  <c r="CZ220" i="1"/>
  <c r="CZ222" i="1"/>
  <c r="CZ242" i="1"/>
  <c r="CB251" i="1"/>
  <c r="CB249" i="1"/>
  <c r="CB247" i="1"/>
  <c r="CB244" i="1"/>
  <c r="CB242" i="1"/>
  <c r="BR251" i="1"/>
  <c r="BR249" i="1"/>
  <c r="BR247" i="1"/>
  <c r="BR244" i="1"/>
  <c r="BR242" i="1"/>
  <c r="BN251" i="1"/>
  <c r="BN249" i="1"/>
  <c r="BN247" i="1"/>
  <c r="BN244" i="1"/>
  <c r="BN242" i="1"/>
  <c r="BD251" i="1"/>
  <c r="BD249" i="1"/>
  <c r="BD247" i="1"/>
  <c r="BD244" i="1"/>
  <c r="BD242" i="1"/>
  <c r="AZ251" i="1"/>
  <c r="AZ249" i="1"/>
  <c r="AZ247" i="1"/>
  <c r="AZ244" i="1"/>
  <c r="AZ242" i="1"/>
  <c r="AP251" i="1"/>
  <c r="AP249" i="1"/>
  <c r="AP247" i="1"/>
  <c r="AP244" i="1"/>
  <c r="AP242" i="1"/>
  <c r="AL251" i="1"/>
  <c r="AL249" i="1"/>
  <c r="AL247" i="1"/>
  <c r="AL244" i="1"/>
  <c r="AL242" i="1"/>
  <c r="EM441" i="16"/>
  <c r="EM442" i="16"/>
  <c r="EM443" i="16"/>
  <c r="EM444" i="16"/>
  <c r="AE251" i="1"/>
  <c r="AE249" i="1"/>
  <c r="AE247" i="1"/>
  <c r="AE244" i="1"/>
  <c r="AE242" i="1"/>
  <c r="G124" i="17"/>
  <c r="G123" i="17"/>
  <c r="F264" i="17"/>
  <c r="F265" i="17"/>
  <c r="F267" i="17"/>
  <c r="F266" i="17"/>
  <c r="G266" i="17"/>
  <c r="G267" i="17"/>
  <c r="L267" i="17"/>
  <c r="L266" i="17"/>
  <c r="U267" i="17"/>
  <c r="U266" i="17"/>
  <c r="Z267" i="17"/>
  <c r="Z266" i="17"/>
  <c r="AE266" i="17"/>
  <c r="AE267" i="17"/>
  <c r="AO267" i="17"/>
  <c r="AO266" i="17"/>
  <c r="AJ266" i="17"/>
  <c r="AJ267" i="17"/>
  <c r="AU267" i="17"/>
  <c r="AU266" i="17"/>
  <c r="BA268" i="17"/>
  <c r="BF268" i="17"/>
  <c r="BF267" i="17"/>
  <c r="BF266" i="17"/>
  <c r="CE136" i="16"/>
  <c r="CE135" i="16"/>
  <c r="CE134" i="16"/>
  <c r="CF140" i="16"/>
  <c r="CF138" i="16"/>
  <c r="AW321" i="9"/>
  <c r="AW320" i="9"/>
  <c r="AW319" i="9"/>
  <c r="AW317" i="9"/>
  <c r="AW316" i="9"/>
  <c r="AW317" i="6"/>
  <c r="AW319" i="6"/>
  <c r="AH149" i="9"/>
  <c r="AH148" i="9"/>
  <c r="AH147" i="9"/>
  <c r="AR149" i="9"/>
  <c r="AR148" i="9"/>
  <c r="AR147" i="9"/>
  <c r="AM149" i="9"/>
  <c r="AM148" i="9"/>
  <c r="AM147" i="9"/>
  <c r="EI283" i="9"/>
  <c r="EI282" i="9"/>
  <c r="EI281" i="9"/>
  <c r="DO283" i="9"/>
  <c r="DO282" i="9"/>
  <c r="DO281" i="9"/>
  <c r="CZ283" i="9"/>
  <c r="CZ282" i="9"/>
  <c r="CZ281" i="9"/>
  <c r="CU283" i="9"/>
  <c r="CU282" i="9"/>
  <c r="CU281" i="9"/>
  <c r="CP283" i="9"/>
  <c r="CP282" i="9"/>
  <c r="CP281" i="9"/>
  <c r="CK283" i="9"/>
  <c r="CK282" i="9"/>
  <c r="CK281" i="9"/>
  <c r="CF283" i="9"/>
  <c r="CF282" i="9"/>
  <c r="CF281" i="9"/>
  <c r="CA283" i="9"/>
  <c r="CA282" i="9"/>
  <c r="CA281" i="9"/>
  <c r="BV283" i="9"/>
  <c r="BV282" i="9"/>
  <c r="BV281" i="9"/>
  <c r="BQ283" i="9"/>
  <c r="BQ282" i="9"/>
  <c r="BQ281" i="9"/>
  <c r="BL283" i="9"/>
  <c r="BL282" i="9"/>
  <c r="BL281" i="9"/>
  <c r="BB283" i="9"/>
  <c r="BB282" i="9"/>
  <c r="BB281" i="9"/>
  <c r="X283" i="9"/>
  <c r="X282" i="9"/>
  <c r="X281" i="9"/>
  <c r="AC283" i="9"/>
  <c r="AC282" i="9"/>
  <c r="AC281" i="9"/>
  <c r="AR283" i="9"/>
  <c r="AR282" i="9"/>
  <c r="AR281" i="9"/>
  <c r="AW283" i="9"/>
  <c r="AW282" i="9"/>
  <c r="AW281" i="9"/>
  <c r="S68" i="21"/>
  <c r="X12" i="21"/>
  <c r="F415" i="16" s="1"/>
  <c r="Y12" i="21"/>
  <c r="F417" i="16"/>
  <c r="Y9" i="21"/>
  <c r="F275" i="16" s="1"/>
  <c r="X9" i="21"/>
  <c r="U74" i="21"/>
  <c r="F419" i="16"/>
  <c r="F418" i="16"/>
  <c r="E644" i="3"/>
  <c r="AB149" i="16"/>
  <c r="AM149" i="16"/>
  <c r="BT149" i="16"/>
  <c r="DS149" i="16"/>
  <c r="DX149" i="16"/>
  <c r="EM149" i="16"/>
  <c r="EW149" i="16"/>
  <c r="FB149" i="16"/>
  <c r="FG149" i="16"/>
  <c r="FM149" i="16"/>
  <c r="DE223" i="6"/>
  <c r="E621" i="3"/>
  <c r="E622" i="3"/>
  <c r="E623" i="3"/>
  <c r="E624" i="3"/>
  <c r="E642" i="3"/>
  <c r="E643" i="3"/>
  <c r="F82" i="16"/>
  <c r="DY288" i="9"/>
  <c r="DY287" i="9"/>
  <c r="DY286" i="9"/>
  <c r="DT288" i="9"/>
  <c r="DT287" i="9"/>
  <c r="DT286" i="9"/>
  <c r="DO288" i="9"/>
  <c r="DO287" i="9"/>
  <c r="DO286" i="9"/>
  <c r="CP288" i="9"/>
  <c r="CP287" i="9"/>
  <c r="CP286" i="9"/>
  <c r="CK288" i="9"/>
  <c r="CK287" i="9"/>
  <c r="CK286" i="9"/>
  <c r="AC288" i="9"/>
  <c r="AC287" i="9"/>
  <c r="AC286" i="9"/>
  <c r="X288" i="9"/>
  <c r="X287" i="9"/>
  <c r="X286" i="9"/>
  <c r="S288" i="9"/>
  <c r="S287" i="9"/>
  <c r="S286" i="9"/>
  <c r="AR278" i="9"/>
  <c r="AR277" i="9"/>
  <c r="AR276" i="9"/>
  <c r="AR275" i="9"/>
  <c r="AM283" i="9"/>
  <c r="AM282" i="9"/>
  <c r="AM281" i="9"/>
  <c r="AM278" i="9"/>
  <c r="AM277" i="9"/>
  <c r="AM276" i="9"/>
  <c r="AM275" i="9"/>
  <c r="AH283" i="9"/>
  <c r="AH282" i="9"/>
  <c r="AH281" i="9"/>
  <c r="AH278" i="9"/>
  <c r="AH277" i="9"/>
  <c r="AH276" i="9"/>
  <c r="AH275" i="9"/>
  <c r="AC278" i="9"/>
  <c r="AC277" i="9"/>
  <c r="AC276" i="9"/>
  <c r="AC275" i="9"/>
  <c r="X278" i="9"/>
  <c r="X277" i="9"/>
  <c r="X276" i="9"/>
  <c r="X275" i="9"/>
  <c r="S283" i="9"/>
  <c r="S282" i="9"/>
  <c r="S281" i="9"/>
  <c r="S278" i="9"/>
  <c r="S277" i="9"/>
  <c r="S276" i="9"/>
  <c r="S275" i="9"/>
  <c r="EI278" i="9"/>
  <c r="EI277" i="9"/>
  <c r="EI276" i="9"/>
  <c r="EI275" i="9"/>
  <c r="DY283" i="9"/>
  <c r="DY282" i="9"/>
  <c r="DY281" i="9"/>
  <c r="DY278" i="9"/>
  <c r="DY277" i="9"/>
  <c r="DY276" i="9"/>
  <c r="DY275" i="9"/>
  <c r="DT283" i="9"/>
  <c r="DT282" i="9"/>
  <c r="DT281" i="9"/>
  <c r="DT278" i="9"/>
  <c r="DT277" i="9"/>
  <c r="DT276" i="9"/>
  <c r="DT275" i="9"/>
  <c r="DO278" i="9"/>
  <c r="DO277" i="9"/>
  <c r="DO276" i="9"/>
  <c r="DO275" i="9"/>
  <c r="DE283" i="9"/>
  <c r="DE282" i="9"/>
  <c r="DE281" i="9"/>
  <c r="DE278" i="9"/>
  <c r="DE277" i="9"/>
  <c r="DE276" i="9"/>
  <c r="DE275" i="9"/>
  <c r="CZ278" i="9"/>
  <c r="CZ277" i="9"/>
  <c r="CZ276" i="9"/>
  <c r="CZ275" i="9"/>
  <c r="CU278" i="9"/>
  <c r="CU277" i="9"/>
  <c r="CU276" i="9"/>
  <c r="CU275" i="9"/>
  <c r="CP278" i="9"/>
  <c r="CP277" i="9"/>
  <c r="CP276" i="9"/>
  <c r="CP275" i="9"/>
  <c r="CK278" i="9"/>
  <c r="CK277" i="9"/>
  <c r="CK276" i="9"/>
  <c r="CK275" i="9"/>
  <c r="CF278" i="9"/>
  <c r="CF277" i="9"/>
  <c r="CF276" i="9"/>
  <c r="CF275" i="9"/>
  <c r="CA278" i="9"/>
  <c r="CA277" i="9"/>
  <c r="CA276" i="9"/>
  <c r="CA275" i="9"/>
  <c r="BV278" i="9"/>
  <c r="BV277" i="9"/>
  <c r="BV276" i="9"/>
  <c r="BV275" i="9"/>
  <c r="BQ278" i="9"/>
  <c r="BQ277" i="9"/>
  <c r="BQ276" i="9"/>
  <c r="BQ275" i="9"/>
  <c r="BL278" i="9"/>
  <c r="BL277" i="9"/>
  <c r="BL276" i="9"/>
  <c r="BL275" i="9"/>
  <c r="BG283" i="9"/>
  <c r="BG282" i="9"/>
  <c r="BG281" i="9"/>
  <c r="BG278" i="9"/>
  <c r="BG277" i="9"/>
  <c r="BG276" i="9"/>
  <c r="BG275" i="9"/>
  <c r="BB278" i="9"/>
  <c r="BB277" i="9"/>
  <c r="BB276" i="9"/>
  <c r="BB275" i="9"/>
  <c r="AW278" i="9"/>
  <c r="AW277" i="9"/>
  <c r="AW276" i="9"/>
  <c r="AW275" i="9"/>
  <c r="AR319" i="9"/>
  <c r="AR301" i="9"/>
  <c r="AR294" i="9"/>
  <c r="AR270" i="9"/>
  <c r="DN441" i="16"/>
  <c r="DN442" i="16"/>
  <c r="DN443" i="16"/>
  <c r="DN444" i="16"/>
  <c r="FM422" i="16"/>
  <c r="FM421" i="16"/>
  <c r="FM420" i="16"/>
  <c r="FG422" i="16"/>
  <c r="FG421" i="16"/>
  <c r="FG420" i="16"/>
  <c r="FB422" i="16"/>
  <c r="FB421" i="16"/>
  <c r="FB420" i="16"/>
  <c r="EW422" i="16"/>
  <c r="EW421" i="16"/>
  <c r="EW420" i="16"/>
  <c r="ER422" i="16"/>
  <c r="ER421" i="16"/>
  <c r="ER420" i="16"/>
  <c r="EM422" i="16"/>
  <c r="EM421" i="16"/>
  <c r="EM420" i="16"/>
  <c r="DX422" i="16"/>
  <c r="DX421" i="16"/>
  <c r="DX420" i="16"/>
  <c r="DS422" i="16"/>
  <c r="DS421" i="16"/>
  <c r="DS420" i="16"/>
  <c r="DN422" i="16"/>
  <c r="DN421" i="16"/>
  <c r="DN420" i="16"/>
  <c r="DI422" i="16"/>
  <c r="DI421" i="16"/>
  <c r="DI420" i="16"/>
  <c r="CT422" i="16"/>
  <c r="CT421" i="16"/>
  <c r="CT420" i="16"/>
  <c r="CY422" i="16"/>
  <c r="CY421" i="16"/>
  <c r="CY420" i="16"/>
  <c r="DD422" i="16"/>
  <c r="F422" i="16"/>
  <c r="F421" i="16"/>
  <c r="F420" i="16"/>
  <c r="Q422" i="16"/>
  <c r="Q421" i="16"/>
  <c r="Q420" i="16"/>
  <c r="AB422" i="16"/>
  <c r="AB421" i="16"/>
  <c r="AB420" i="16"/>
  <c r="AM422" i="16"/>
  <c r="AM421" i="16"/>
  <c r="AM420" i="16"/>
  <c r="AX422" i="16"/>
  <c r="AX421" i="16"/>
  <c r="AX420" i="16"/>
  <c r="BI422" i="16"/>
  <c r="BI421" i="16"/>
  <c r="BI420" i="16"/>
  <c r="BT421" i="16"/>
  <c r="BT422" i="16"/>
  <c r="BT420" i="16"/>
  <c r="CE421" i="16"/>
  <c r="CE420" i="16"/>
  <c r="CJ421" i="16"/>
  <c r="CJ420" i="16"/>
  <c r="CO421" i="16"/>
  <c r="CO420" i="16"/>
  <c r="DD421" i="16"/>
  <c r="DD420" i="16"/>
  <c r="AR336" i="9"/>
  <c r="BF429" i="17"/>
  <c r="BF428" i="17"/>
  <c r="BF427" i="17"/>
  <c r="BA429" i="17"/>
  <c r="BA428" i="17"/>
  <c r="BA427" i="17"/>
  <c r="AE420" i="17"/>
  <c r="BF420" i="17"/>
  <c r="BA420" i="17"/>
  <c r="AU420" i="17"/>
  <c r="AO420" i="17"/>
  <c r="AJ420" i="17"/>
  <c r="Z420" i="17"/>
  <c r="U420" i="17"/>
  <c r="P420" i="17"/>
  <c r="DN345" i="16"/>
  <c r="AX440" i="16"/>
  <c r="F443" i="16"/>
  <c r="DS142" i="5"/>
  <c r="DS149" i="5"/>
  <c r="DS150" i="5"/>
  <c r="DS155" i="5"/>
  <c r="DS156" i="5"/>
  <c r="DS157" i="5"/>
  <c r="DS158" i="5"/>
  <c r="DS159" i="5"/>
  <c r="DS160" i="5"/>
  <c r="DS161" i="5"/>
  <c r="DS162" i="5"/>
  <c r="DS166" i="5"/>
  <c r="DS175" i="5"/>
  <c r="DS179" i="5"/>
  <c r="DS182" i="5"/>
  <c r="DS184" i="5"/>
  <c r="DS190" i="5"/>
  <c r="DS204" i="5"/>
  <c r="DS205" i="5"/>
  <c r="DS209" i="5"/>
  <c r="DS210" i="5"/>
  <c r="DS211" i="5"/>
  <c r="DS212" i="5"/>
  <c r="DS215" i="5"/>
  <c r="DS216" i="5"/>
  <c r="DS217" i="5"/>
  <c r="DS223" i="5"/>
  <c r="DS226" i="5"/>
  <c r="DS227" i="5"/>
  <c r="DS228" i="5"/>
  <c r="DS230" i="5"/>
  <c r="DS231" i="5"/>
  <c r="DS238" i="5"/>
  <c r="DS240" i="5"/>
  <c r="DS246" i="5"/>
  <c r="DS248" i="5"/>
  <c r="DS250" i="5"/>
  <c r="DS251" i="5"/>
  <c r="DS252" i="5"/>
  <c r="DS253" i="5"/>
  <c r="DS259" i="5"/>
  <c r="DS260" i="5"/>
  <c r="DS261" i="5"/>
  <c r="DS263" i="5"/>
  <c r="DS264" i="5"/>
  <c r="DS267" i="5"/>
  <c r="DS268" i="5"/>
  <c r="DS277" i="5"/>
  <c r="DS282" i="5"/>
  <c r="DS283" i="5"/>
  <c r="DS284" i="5"/>
  <c r="DS287" i="5"/>
  <c r="DS288" i="5"/>
  <c r="DS289" i="5"/>
  <c r="DS292" i="5"/>
  <c r="DS295" i="5"/>
  <c r="DS296" i="5"/>
  <c r="DS297" i="5"/>
  <c r="DS298" i="5"/>
  <c r="DS311" i="5"/>
  <c r="DS312" i="5"/>
  <c r="DS313" i="5"/>
  <c r="DS314" i="5"/>
  <c r="DS315" i="5"/>
  <c r="DS317" i="5"/>
  <c r="DS323" i="5"/>
  <c r="DS326" i="5"/>
  <c r="DS327" i="5"/>
  <c r="DS328" i="5"/>
  <c r="DS329" i="5"/>
  <c r="DS330" i="5"/>
  <c r="DS331" i="5"/>
  <c r="DS332" i="5"/>
  <c r="DS333" i="5"/>
  <c r="DS334" i="5"/>
  <c r="DS352" i="5"/>
  <c r="DS353" i="5"/>
  <c r="DS354" i="5"/>
  <c r="DS366" i="5"/>
  <c r="DS367" i="5"/>
  <c r="DS368" i="5"/>
  <c r="DS370" i="5"/>
  <c r="DS371" i="5"/>
  <c r="DS372" i="5"/>
  <c r="DS373" i="5"/>
  <c r="DS376" i="5"/>
  <c r="DS377" i="5"/>
  <c r="DS378" i="5"/>
  <c r="DS379" i="5"/>
  <c r="DS380" i="5"/>
  <c r="DS381" i="5"/>
  <c r="DS382" i="5"/>
  <c r="DS383" i="5"/>
  <c r="DS389" i="5"/>
  <c r="DS391" i="5"/>
  <c r="DS393" i="5"/>
  <c r="DS395" i="5"/>
  <c r="DS397" i="5"/>
  <c r="DS399" i="5"/>
  <c r="DS400" i="5"/>
  <c r="DS401" i="5"/>
  <c r="DS402" i="5"/>
  <c r="DS403" i="5"/>
  <c r="DS404" i="5"/>
  <c r="DS405" i="5"/>
  <c r="DS406" i="5"/>
  <c r="DS407" i="5"/>
  <c r="DS408" i="5"/>
  <c r="DS409" i="5"/>
  <c r="DS410" i="5"/>
  <c r="DS411" i="5"/>
  <c r="DS412" i="5"/>
  <c r="DS413" i="5"/>
  <c r="DS414" i="5"/>
  <c r="DS415" i="5"/>
  <c r="DS416" i="5"/>
  <c r="DS417" i="5"/>
  <c r="DS418" i="5"/>
  <c r="DS419" i="5"/>
  <c r="DS420" i="5"/>
  <c r="DS421" i="5"/>
  <c r="DS422" i="5"/>
  <c r="DS423" i="5"/>
  <c r="DS424" i="5"/>
  <c r="DS425" i="5"/>
  <c r="DS426" i="5"/>
  <c r="DS427" i="5"/>
  <c r="DS428" i="5"/>
  <c r="DS429" i="5"/>
  <c r="DS430" i="5"/>
  <c r="DS431" i="5"/>
  <c r="DS432" i="5"/>
  <c r="DS433" i="5"/>
  <c r="DS434" i="5"/>
  <c r="DS435" i="5"/>
  <c r="DS436" i="5"/>
  <c r="DS437" i="5"/>
  <c r="DS438" i="5"/>
  <c r="DS439" i="5"/>
  <c r="DS440" i="5"/>
  <c r="DS441" i="5"/>
  <c r="DS442" i="5"/>
  <c r="DS443" i="5"/>
  <c r="DS444" i="5"/>
  <c r="DS445" i="5"/>
  <c r="DS446" i="5"/>
  <c r="DS447" i="5"/>
  <c r="DS448" i="5"/>
  <c r="DS449" i="5"/>
  <c r="DS450" i="5"/>
  <c r="DS451" i="5"/>
  <c r="DS452" i="5"/>
  <c r="DS453" i="5"/>
  <c r="DS454" i="5"/>
  <c r="DS455" i="5"/>
  <c r="DS456" i="5"/>
  <c r="DS457" i="5"/>
  <c r="DS458" i="5"/>
  <c r="DS459" i="5"/>
  <c r="DS460" i="5"/>
  <c r="DS461" i="5"/>
  <c r="DS462" i="5"/>
  <c r="DS463" i="5"/>
  <c r="DS464" i="5"/>
  <c r="DS465" i="5"/>
  <c r="DS466" i="5"/>
  <c r="DS467" i="5"/>
  <c r="DS468" i="5"/>
  <c r="DS469" i="5"/>
  <c r="DS470" i="5"/>
  <c r="DS471" i="5"/>
  <c r="DS472" i="5"/>
  <c r="DS473" i="5"/>
  <c r="DS474" i="5"/>
  <c r="DS475" i="5"/>
  <c r="DS476" i="5"/>
  <c r="DS477" i="5"/>
  <c r="DS478" i="5"/>
  <c r="DS479" i="5"/>
  <c r="DS480" i="5"/>
  <c r="DS481" i="5"/>
  <c r="DS482" i="5"/>
  <c r="DS483" i="5"/>
  <c r="DS484" i="5"/>
  <c r="DS485" i="5"/>
  <c r="DS486" i="5"/>
  <c r="DS487" i="5"/>
  <c r="DS488" i="5"/>
  <c r="DS489" i="5"/>
  <c r="DS490" i="5"/>
  <c r="DS491" i="5"/>
  <c r="DS492" i="5"/>
  <c r="DS493" i="5"/>
  <c r="DS494" i="5"/>
  <c r="DS495" i="5"/>
  <c r="DS496" i="5"/>
  <c r="DS497" i="5"/>
  <c r="DS498" i="5"/>
  <c r="DS499" i="5"/>
  <c r="DS500" i="5"/>
  <c r="DS501" i="5"/>
  <c r="DS502" i="5"/>
  <c r="DS503" i="5"/>
  <c r="DS504" i="5"/>
  <c r="DS505" i="5"/>
  <c r="DS506" i="5"/>
  <c r="DS507" i="5"/>
  <c r="DS508" i="5"/>
  <c r="DS509" i="5"/>
  <c r="DS510" i="5"/>
  <c r="DS511" i="5"/>
  <c r="DS512" i="5"/>
  <c r="DS513" i="5"/>
  <c r="DS514" i="5"/>
  <c r="DS515" i="5"/>
  <c r="DS516" i="5"/>
  <c r="DS517" i="5"/>
  <c r="DS518" i="5"/>
  <c r="DS519" i="5"/>
  <c r="DS520" i="5"/>
  <c r="DS521" i="5"/>
  <c r="DS522" i="5"/>
  <c r="DS523" i="5"/>
  <c r="DS524" i="5"/>
  <c r="DS525" i="5"/>
  <c r="DS526" i="5"/>
  <c r="DS527" i="5"/>
  <c r="DS528" i="5"/>
  <c r="DS141" i="5"/>
  <c r="DT369" i="5"/>
  <c r="DU369" i="5"/>
  <c r="DR6" i="1"/>
  <c r="DR5" i="1"/>
  <c r="DR5" i="5"/>
  <c r="DR6" i="5"/>
  <c r="BN254" i="5" s="1"/>
  <c r="N386" i="6"/>
  <c r="N373" i="6"/>
  <c r="N365" i="6"/>
  <c r="N364" i="6"/>
  <c r="N363" i="6"/>
  <c r="N362" i="6"/>
  <c r="N361" i="6"/>
  <c r="N360" i="6"/>
  <c r="N359" i="6"/>
  <c r="N358" i="6"/>
  <c r="N357" i="6"/>
  <c r="N356" i="6"/>
  <c r="N355" i="6"/>
  <c r="N351" i="6"/>
  <c r="N350" i="6"/>
  <c r="N349" i="6"/>
  <c r="N348" i="6"/>
  <c r="N347" i="6"/>
  <c r="N346" i="6"/>
  <c r="N345" i="6"/>
  <c r="N344" i="6"/>
  <c r="N343" i="6"/>
  <c r="N342" i="6"/>
  <c r="N341" i="6"/>
  <c r="N340" i="6"/>
  <c r="N336" i="6"/>
  <c r="N325" i="6"/>
  <c r="N324" i="6"/>
  <c r="N321" i="6"/>
  <c r="N320" i="6"/>
  <c r="N319" i="6"/>
  <c r="N301" i="6"/>
  <c r="N294" i="6"/>
  <c r="N283" i="6"/>
  <c r="N282" i="6"/>
  <c r="N281" i="6"/>
  <c r="N278" i="6"/>
  <c r="N277" i="6"/>
  <c r="N276" i="6"/>
  <c r="N275" i="6"/>
  <c r="N271" i="6"/>
  <c r="N270" i="6"/>
  <c r="N231" i="6"/>
  <c r="N229" i="6"/>
  <c r="N227" i="6"/>
  <c r="N199" i="6"/>
  <c r="N195" i="6"/>
  <c r="N193" i="6"/>
  <c r="N191" i="6"/>
  <c r="N181" i="6"/>
  <c r="N180" i="6"/>
  <c r="N179" i="6"/>
  <c r="N169" i="6"/>
  <c r="N154" i="6"/>
  <c r="N149" i="6"/>
  <c r="N148" i="6"/>
  <c r="N147" i="6"/>
  <c r="N143" i="6"/>
  <c r="EI324" i="9"/>
  <c r="DY324" i="9"/>
  <c r="DT324" i="9"/>
  <c r="DO324" i="9"/>
  <c r="DE324" i="9"/>
  <c r="CZ324" i="9"/>
  <c r="CU324" i="9"/>
  <c r="CP324" i="9"/>
  <c r="CK324" i="9"/>
  <c r="CF324" i="9"/>
  <c r="CA324" i="9"/>
  <c r="BV324" i="9"/>
  <c r="BQ324" i="9"/>
  <c r="BL324" i="9"/>
  <c r="BG324" i="9"/>
  <c r="BB324" i="9"/>
  <c r="AW324" i="9"/>
  <c r="AR324" i="9"/>
  <c r="AM324" i="9"/>
  <c r="AH324" i="9"/>
  <c r="AC324" i="9"/>
  <c r="X324" i="9"/>
  <c r="S324" i="9"/>
  <c r="N325" i="9"/>
  <c r="N324" i="9"/>
  <c r="DD329" i="16"/>
  <c r="DD330" i="16"/>
  <c r="DD331" i="16"/>
  <c r="DD332" i="16"/>
  <c r="DD333" i="16"/>
  <c r="DD334" i="16"/>
  <c r="DD335" i="16"/>
  <c r="DD336" i="16"/>
  <c r="DD337" i="16"/>
  <c r="ER329" i="16"/>
  <c r="ER330" i="16"/>
  <c r="ER331" i="16"/>
  <c r="ER332" i="16"/>
  <c r="ER333" i="16"/>
  <c r="ER334" i="16"/>
  <c r="ER335" i="16"/>
  <c r="ER336" i="16"/>
  <c r="ER337" i="16"/>
  <c r="CE329" i="16"/>
  <c r="CE330" i="16"/>
  <c r="CE331" i="16"/>
  <c r="CE332" i="16"/>
  <c r="CE333" i="16"/>
  <c r="CE334" i="16"/>
  <c r="CE335" i="16"/>
  <c r="CE336" i="16"/>
  <c r="CE337" i="16"/>
  <c r="DS324" i="16"/>
  <c r="DS325" i="16"/>
  <c r="DS326" i="16"/>
  <c r="DS327" i="16"/>
  <c r="DS328" i="16"/>
  <c r="DS338" i="16"/>
  <c r="DS339" i="16"/>
  <c r="DS340" i="16"/>
  <c r="CE254" i="16"/>
  <c r="CJ254" i="16"/>
  <c r="CO254" i="16"/>
  <c r="CT254" i="16"/>
  <c r="CY254" i="16"/>
  <c r="DD254" i="16"/>
  <c r="DI254" i="16"/>
  <c r="DS254" i="16"/>
  <c r="DX254" i="16"/>
  <c r="EM254" i="16"/>
  <c r="ER254" i="16"/>
  <c r="EW254" i="16"/>
  <c r="FB254" i="16"/>
  <c r="FG254" i="16"/>
  <c r="FM254" i="16"/>
  <c r="DN254" i="16"/>
  <c r="EN300" i="9"/>
  <c r="EX300" i="9" s="1"/>
  <c r="EX280" i="9"/>
  <c r="DS300" i="5"/>
  <c r="DS299" i="5"/>
  <c r="L122" i="21"/>
  <c r="W122" i="21"/>
  <c r="F550" i="16" s="1"/>
  <c r="F121" i="21"/>
  <c r="W121" i="21" s="1"/>
  <c r="F549" i="16" s="1"/>
  <c r="L120" i="21"/>
  <c r="W120" i="21"/>
  <c r="F548" i="16" s="1"/>
  <c r="F119" i="21"/>
  <c r="L118" i="21"/>
  <c r="W118" i="21"/>
  <c r="F546" i="16" s="1"/>
  <c r="F117" i="21"/>
  <c r="W117" i="21"/>
  <c r="F545" i="16"/>
  <c r="FU545" i="16" s="1"/>
  <c r="E1041" i="3" s="1"/>
  <c r="L116" i="21"/>
  <c r="W116" i="21"/>
  <c r="F544" i="16" s="1"/>
  <c r="F115" i="21"/>
  <c r="W115" i="21"/>
  <c r="F543" i="16"/>
  <c r="L114" i="21"/>
  <c r="W114" i="21"/>
  <c r="F542" i="16" s="1"/>
  <c r="F113" i="21"/>
  <c r="W113" i="21" s="1"/>
  <c r="F541" i="16" s="1"/>
  <c r="L112" i="21"/>
  <c r="W112" i="21"/>
  <c r="F540" i="16" s="1"/>
  <c r="F111" i="21"/>
  <c r="W111" i="21" s="1"/>
  <c r="F539" i="16" s="1"/>
  <c r="L110" i="21"/>
  <c r="W110" i="21"/>
  <c r="F538" i="16" s="1"/>
  <c r="F109" i="21"/>
  <c r="W109" i="21"/>
  <c r="F537" i="16"/>
  <c r="L108" i="21"/>
  <c r="W108" i="21"/>
  <c r="F536" i="16" s="1"/>
  <c r="F107" i="21"/>
  <c r="W107" i="21" s="1"/>
  <c r="F535" i="16" s="1"/>
  <c r="L106" i="21"/>
  <c r="W106" i="21"/>
  <c r="F534" i="16" s="1"/>
  <c r="F105" i="21"/>
  <c r="W105" i="21" s="1"/>
  <c r="F533" i="16" s="1"/>
  <c r="FU533" i="16" s="1"/>
  <c r="E1029" i="3" s="1"/>
  <c r="L104" i="21"/>
  <c r="W104" i="21"/>
  <c r="F532" i="16" s="1"/>
  <c r="F103" i="21"/>
  <c r="W103" i="21" s="1"/>
  <c r="F531" i="16" s="1"/>
  <c r="L102" i="21"/>
  <c r="W102" i="21"/>
  <c r="F530" i="16" s="1"/>
  <c r="F101" i="21"/>
  <c r="L100" i="21"/>
  <c r="W100" i="21"/>
  <c r="F528" i="16" s="1"/>
  <c r="F99" i="21"/>
  <c r="W99" i="21" s="1"/>
  <c r="F527" i="16" s="1"/>
  <c r="L98" i="21"/>
  <c r="W98" i="21"/>
  <c r="F526" i="16" s="1"/>
  <c r="F97" i="21"/>
  <c r="W97" i="21"/>
  <c r="F525" i="16"/>
  <c r="L96" i="21"/>
  <c r="W96" i="21"/>
  <c r="F524" i="16" s="1"/>
  <c r="F95" i="21"/>
  <c r="W95" i="21" s="1"/>
  <c r="F523" i="16" s="1"/>
  <c r="L94" i="21"/>
  <c r="W94" i="21" s="1"/>
  <c r="F522" i="16" s="1"/>
  <c r="F93" i="21"/>
  <c r="W93" i="21" s="1"/>
  <c r="F521" i="16" s="1"/>
  <c r="L92" i="21"/>
  <c r="W92" i="21"/>
  <c r="F91" i="21"/>
  <c r="F83" i="21"/>
  <c r="F82" i="21"/>
  <c r="F81" i="21"/>
  <c r="W81" i="21"/>
  <c r="F332" i="16"/>
  <c r="L80" i="21"/>
  <c r="F80" i="21"/>
  <c r="W80" i="21" s="1"/>
  <c r="F328" i="16" s="1"/>
  <c r="L79" i="21"/>
  <c r="F79" i="21"/>
  <c r="L78" i="21"/>
  <c r="F78" i="21"/>
  <c r="W78" i="21" s="1"/>
  <c r="F326" i="16" s="1"/>
  <c r="L77" i="21"/>
  <c r="F77" i="21"/>
  <c r="L76" i="21"/>
  <c r="W76" i="21" s="1"/>
  <c r="F324" i="16" s="1"/>
  <c r="F76" i="21"/>
  <c r="L71" i="21"/>
  <c r="L60" i="21"/>
  <c r="W60" i="21" s="1"/>
  <c r="F76" i="16"/>
  <c r="L69" i="21"/>
  <c r="L68" i="21"/>
  <c r="L67" i="21"/>
  <c r="L56" i="21"/>
  <c r="W56" i="21" s="1"/>
  <c r="F73" i="16" s="1"/>
  <c r="L66" i="21"/>
  <c r="L55" i="21"/>
  <c r="W55" i="21" s="1"/>
  <c r="F72" i="16" s="1"/>
  <c r="W119" i="21"/>
  <c r="F547" i="16"/>
  <c r="W101" i="21"/>
  <c r="F529" i="16" s="1"/>
  <c r="F520" i="16"/>
  <c r="W91" i="21"/>
  <c r="F519" i="16"/>
  <c r="W70" i="21"/>
  <c r="F128" i="16" s="1"/>
  <c r="W67" i="21"/>
  <c r="F126" i="16" s="1"/>
  <c r="W66" i="21"/>
  <c r="F125" i="16" s="1"/>
  <c r="W58" i="21"/>
  <c r="W71" i="21"/>
  <c r="F130" i="16"/>
  <c r="W85" i="21"/>
  <c r="F337" i="16"/>
  <c r="DS474" i="16"/>
  <c r="DX474" i="16"/>
  <c r="EM474" i="16"/>
  <c r="ER474" i="16"/>
  <c r="EW474" i="16"/>
  <c r="FB474" i="16"/>
  <c r="FM474" i="16"/>
  <c r="FG474" i="16"/>
  <c r="BT474" i="16"/>
  <c r="BI474" i="16"/>
  <c r="EX300" i="6"/>
  <c r="EX280" i="6"/>
  <c r="EX161" i="6"/>
  <c r="EN299" i="9"/>
  <c r="EX161" i="9"/>
  <c r="DW173" i="5"/>
  <c r="DU173" i="5" s="1"/>
  <c r="DU178" i="5"/>
  <c r="DU179" i="5"/>
  <c r="DT178" i="5"/>
  <c r="DP178" i="5"/>
  <c r="DL178" i="5"/>
  <c r="DH178" i="5"/>
  <c r="DD178" i="5"/>
  <c r="CZ178" i="5"/>
  <c r="CV178" i="5"/>
  <c r="CR178" i="5"/>
  <c r="CN178" i="5"/>
  <c r="CJ178" i="5"/>
  <c r="CF178" i="5"/>
  <c r="DP178" i="1"/>
  <c r="DL178" i="1"/>
  <c r="DH178" i="1"/>
  <c r="DD178" i="1"/>
  <c r="CZ178" i="1"/>
  <c r="CV178" i="1"/>
  <c r="CR178" i="1"/>
  <c r="CN178" i="1"/>
  <c r="CJ178" i="1"/>
  <c r="CF178" i="1"/>
  <c r="E13" i="3"/>
  <c r="E12" i="3"/>
  <c r="E11" i="3"/>
  <c r="E10" i="3"/>
  <c r="DP189" i="5"/>
  <c r="F2262" i="14"/>
  <c r="F2252" i="14"/>
  <c r="F2253" i="14"/>
  <c r="F2254" i="14"/>
  <c r="F2255" i="14"/>
  <c r="F2256" i="14"/>
  <c r="F2257" i="14"/>
  <c r="F2258" i="14"/>
  <c r="F2259" i="14"/>
  <c r="F2260" i="14"/>
  <c r="F2261" i="14"/>
  <c r="F2251" i="14"/>
  <c r="F2238" i="14"/>
  <c r="F2239" i="14"/>
  <c r="F2240" i="14"/>
  <c r="F2241" i="14"/>
  <c r="F2242" i="14"/>
  <c r="F2243" i="14"/>
  <c r="F2244" i="14"/>
  <c r="F2245" i="14"/>
  <c r="F2246" i="14"/>
  <c r="F2247" i="14"/>
  <c r="F2248" i="14"/>
  <c r="F2237" i="14"/>
  <c r="FU231" i="16"/>
  <c r="FU233" i="16"/>
  <c r="FU234" i="16"/>
  <c r="FU235" i="16"/>
  <c r="FU237" i="16"/>
  <c r="FU241" i="16"/>
  <c r="FU243" i="16"/>
  <c r="FU245" i="16"/>
  <c r="FU246" i="16"/>
  <c r="FU247" i="16"/>
  <c r="FU249" i="16"/>
  <c r="FU251" i="16"/>
  <c r="FU253" i="16"/>
  <c r="E1107" i="3"/>
  <c r="E1110" i="3"/>
  <c r="E1114" i="3"/>
  <c r="E1115" i="3"/>
  <c r="E1117" i="3"/>
  <c r="E1118" i="3"/>
  <c r="E1125" i="3"/>
  <c r="BF359" i="17"/>
  <c r="BA359" i="17"/>
  <c r="AU359" i="17"/>
  <c r="BN129" i="17"/>
  <c r="BN130" i="17"/>
  <c r="BN131" i="17"/>
  <c r="BN132" i="17"/>
  <c r="BN133" i="17"/>
  <c r="BN134" i="17"/>
  <c r="BN135" i="17"/>
  <c r="BN136" i="17"/>
  <c r="BN137" i="17"/>
  <c r="BN141" i="17"/>
  <c r="BN142" i="17"/>
  <c r="BN143" i="17"/>
  <c r="BN144" i="17"/>
  <c r="BN145" i="17"/>
  <c r="BN149" i="17"/>
  <c r="BN150" i="17"/>
  <c r="BN151" i="17"/>
  <c r="BN152" i="17"/>
  <c r="BN153" i="17"/>
  <c r="BN154" i="17"/>
  <c r="BN155" i="17"/>
  <c r="BN156" i="17"/>
  <c r="BN157" i="17"/>
  <c r="BN158" i="17"/>
  <c r="BN159" i="17"/>
  <c r="BN160" i="17"/>
  <c r="BN161" i="17"/>
  <c r="BN162" i="17"/>
  <c r="BN163" i="17"/>
  <c r="BN164" i="17"/>
  <c r="BN165" i="17"/>
  <c r="BN166" i="17"/>
  <c r="BN167" i="17"/>
  <c r="BN168" i="17"/>
  <c r="BN169" i="17"/>
  <c r="BN170" i="17"/>
  <c r="BN171" i="17"/>
  <c r="BN172" i="17"/>
  <c r="BN173" i="17"/>
  <c r="BN174" i="17"/>
  <c r="BN175" i="17"/>
  <c r="BN176" i="17"/>
  <c r="BN177" i="17"/>
  <c r="BN179" i="17"/>
  <c r="BN180" i="17"/>
  <c r="BN181" i="17"/>
  <c r="BN182" i="17"/>
  <c r="BN183" i="17"/>
  <c r="BN184" i="17"/>
  <c r="BN185" i="17"/>
  <c r="BN186" i="17"/>
  <c r="BN187" i="17"/>
  <c r="BN188" i="17"/>
  <c r="BN189" i="17"/>
  <c r="BN190" i="17"/>
  <c r="BN191" i="17"/>
  <c r="BN192" i="17"/>
  <c r="BN193" i="17"/>
  <c r="BN194" i="17"/>
  <c r="BN195" i="17"/>
  <c r="BN197" i="17"/>
  <c r="BN199" i="17"/>
  <c r="BN201" i="17"/>
  <c r="BN202" i="17"/>
  <c r="BN205" i="17"/>
  <c r="BN206" i="17"/>
  <c r="BN208" i="17"/>
  <c r="BN209" i="17"/>
  <c r="BN210" i="17"/>
  <c r="BN211" i="17"/>
  <c r="BN212" i="17"/>
  <c r="BN213" i="17"/>
  <c r="BN214" i="17"/>
  <c r="BN215" i="17"/>
  <c r="BN216" i="17"/>
  <c r="BN217" i="17"/>
  <c r="BN218" i="17"/>
  <c r="BN219" i="17"/>
  <c r="BN220" i="17"/>
  <c r="BN221" i="17"/>
  <c r="BN222" i="17"/>
  <c r="BN223" i="17"/>
  <c r="BN224" i="17"/>
  <c r="BN225" i="17"/>
  <c r="BN226" i="17"/>
  <c r="BN227" i="17"/>
  <c r="BN228" i="17"/>
  <c r="BN229" i="17"/>
  <c r="BN230" i="17"/>
  <c r="BN231" i="17"/>
  <c r="BN232" i="17"/>
  <c r="BN233" i="17"/>
  <c r="BN234" i="17"/>
  <c r="BN235" i="17"/>
  <c r="BN236" i="17"/>
  <c r="BN237" i="17"/>
  <c r="BN238" i="17"/>
  <c r="BN239" i="17"/>
  <c r="BN240" i="17"/>
  <c r="BN241" i="17"/>
  <c r="BN242" i="17"/>
  <c r="BN243" i="17"/>
  <c r="BN246" i="17"/>
  <c r="BN247" i="17"/>
  <c r="BN248" i="17"/>
  <c r="BN249" i="17"/>
  <c r="BN250" i="17"/>
  <c r="BN251" i="17"/>
  <c r="BN252" i="17"/>
  <c r="BN253" i="17"/>
  <c r="BN254" i="17"/>
  <c r="BN255" i="17"/>
  <c r="BN256" i="17"/>
  <c r="BN257" i="17"/>
  <c r="BN258" i="17"/>
  <c r="BN259" i="17"/>
  <c r="BN260" i="17"/>
  <c r="BN261" i="17"/>
  <c r="BN262" i="17"/>
  <c r="BN263" i="17"/>
  <c r="BN269" i="17"/>
  <c r="BN270" i="17"/>
  <c r="BN271" i="17"/>
  <c r="BN272" i="17"/>
  <c r="BN273" i="17"/>
  <c r="BN274" i="17"/>
  <c r="BN275" i="17"/>
  <c r="BN276" i="17"/>
  <c r="BN277" i="17"/>
  <c r="BN278" i="17"/>
  <c r="BN279" i="17"/>
  <c r="BN280" i="17"/>
  <c r="BN283" i="17"/>
  <c r="BN284" i="17"/>
  <c r="BN285" i="17"/>
  <c r="BN286" i="17"/>
  <c r="BN288" i="17"/>
  <c r="BN289" i="17"/>
  <c r="BN290" i="17"/>
  <c r="BN291" i="17"/>
  <c r="BN292" i="17"/>
  <c r="BN293" i="17"/>
  <c r="BN294" i="17"/>
  <c r="BN295" i="17"/>
  <c r="BN296" i="17"/>
  <c r="BN297" i="17"/>
  <c r="BN298" i="17"/>
  <c r="BN299" i="17"/>
  <c r="BN300" i="17"/>
  <c r="BN301" i="17"/>
  <c r="BN302" i="17"/>
  <c r="BN303" i="17"/>
  <c r="BN304" i="17"/>
  <c r="BN305" i="17"/>
  <c r="BN306" i="17"/>
  <c r="BN307" i="17"/>
  <c r="BN308" i="17"/>
  <c r="BN309" i="17"/>
  <c r="BN310" i="17"/>
  <c r="BN311" i="17"/>
  <c r="BN312" i="17"/>
  <c r="BN313" i="17"/>
  <c r="BN314" i="17"/>
  <c r="BN315" i="17"/>
  <c r="BN317" i="17"/>
  <c r="BN318" i="17"/>
  <c r="BN319" i="17"/>
  <c r="BN320" i="17"/>
  <c r="BN321" i="17"/>
  <c r="BN322" i="17"/>
  <c r="BN323" i="17"/>
  <c r="BN324" i="17"/>
  <c r="BN325" i="17"/>
  <c r="BN326" i="17"/>
  <c r="BN327" i="17"/>
  <c r="BN328" i="17"/>
  <c r="BN329" i="17"/>
  <c r="BN330" i="17"/>
  <c r="BN331" i="17"/>
  <c r="BN332" i="17"/>
  <c r="BN333" i="17"/>
  <c r="BN334" i="17"/>
  <c r="BN335" i="17"/>
  <c r="BN336" i="17"/>
  <c r="BN337" i="17"/>
  <c r="BN338" i="17"/>
  <c r="BN339" i="17"/>
  <c r="BN340" i="17"/>
  <c r="BN341" i="17"/>
  <c r="BN342" i="17"/>
  <c r="BN343" i="17"/>
  <c r="BN344" i="17"/>
  <c r="BN345" i="17"/>
  <c r="BN347" i="17"/>
  <c r="BN348" i="17"/>
  <c r="BN349" i="17"/>
  <c r="BN353" i="17"/>
  <c r="BN354" i="17"/>
  <c r="BN355" i="17"/>
  <c r="BN356" i="17"/>
  <c r="BN357" i="17"/>
  <c r="BN361" i="17"/>
  <c r="BN362" i="17"/>
  <c r="BN363" i="17"/>
  <c r="BN364" i="17"/>
  <c r="BN365" i="17"/>
  <c r="BN366" i="17"/>
  <c r="BN367" i="17"/>
  <c r="BN368" i="17"/>
  <c r="BN369" i="17"/>
  <c r="BN370" i="17"/>
  <c r="BN371" i="17"/>
  <c r="BN372" i="17"/>
  <c r="BN373" i="17"/>
  <c r="BN374" i="17"/>
  <c r="BN375" i="17"/>
  <c r="BN378" i="17"/>
  <c r="BN379" i="17"/>
  <c r="BN380" i="17"/>
  <c r="BN381" i="17"/>
  <c r="BN382" i="17"/>
  <c r="BN383" i="17"/>
  <c r="BN384" i="17"/>
  <c r="BN386" i="17"/>
  <c r="BN387" i="17"/>
  <c r="BN388" i="17"/>
  <c r="BN389" i="17"/>
  <c r="BN390" i="17"/>
  <c r="BN391" i="17"/>
  <c r="BN392" i="17"/>
  <c r="BN393" i="17"/>
  <c r="BN394" i="17"/>
  <c r="BN395" i="17"/>
  <c r="BN397" i="17"/>
  <c r="BN398" i="17"/>
  <c r="BN399" i="17"/>
  <c r="BN400" i="17"/>
  <c r="BN401" i="17"/>
  <c r="BN402" i="17"/>
  <c r="BN403" i="17"/>
  <c r="BN404" i="17"/>
  <c r="BN405" i="17"/>
  <c r="BN406" i="17"/>
  <c r="BN407" i="17"/>
  <c r="BN408" i="17"/>
  <c r="BN409" i="17"/>
  <c r="BN410" i="17"/>
  <c r="BN411" i="17"/>
  <c r="BN412" i="17"/>
  <c r="BN413" i="17"/>
  <c r="BN414" i="17"/>
  <c r="BN415" i="17"/>
  <c r="BN416" i="17"/>
  <c r="BN417" i="17"/>
  <c r="BN418" i="17"/>
  <c r="BN419" i="17"/>
  <c r="BN421" i="17"/>
  <c r="BN422" i="17"/>
  <c r="BN423" i="17"/>
  <c r="BN424" i="17"/>
  <c r="BN425" i="17"/>
  <c r="BN431" i="17"/>
  <c r="BN432" i="17"/>
  <c r="BN433" i="17"/>
  <c r="BN434" i="17"/>
  <c r="BN435" i="17"/>
  <c r="BN436" i="17"/>
  <c r="BN437" i="17"/>
  <c r="BN438" i="17"/>
  <c r="BN439" i="17"/>
  <c r="BN440" i="17"/>
  <c r="BN441" i="17"/>
  <c r="BN442" i="17"/>
  <c r="BN443" i="17"/>
  <c r="BN444" i="17"/>
  <c r="BN468" i="17"/>
  <c r="BN469" i="17"/>
  <c r="BN470" i="17"/>
  <c r="BN471" i="17"/>
  <c r="BN472" i="17"/>
  <c r="BN473" i="17"/>
  <c r="BN474" i="17"/>
  <c r="BN475" i="17"/>
  <c r="BN476" i="17"/>
  <c r="BN477" i="17"/>
  <c r="BN478" i="17"/>
  <c r="BN479" i="17"/>
  <c r="BN480" i="17"/>
  <c r="BN482" i="17"/>
  <c r="BN483" i="17"/>
  <c r="BN484" i="17"/>
  <c r="BN485" i="17"/>
  <c r="BN487" i="17"/>
  <c r="BN488" i="17"/>
  <c r="BN490" i="17"/>
  <c r="BN491" i="17"/>
  <c r="BN492" i="17"/>
  <c r="BN493" i="17"/>
  <c r="BN494" i="17"/>
  <c r="BN495" i="17"/>
  <c r="BN496" i="17"/>
  <c r="BN497" i="17"/>
  <c r="BN498" i="17"/>
  <c r="BN499" i="17"/>
  <c r="BN500" i="17"/>
  <c r="BN501" i="17"/>
  <c r="BN502" i="17"/>
  <c r="BN503" i="17"/>
  <c r="BN504" i="17"/>
  <c r="BN505" i="17"/>
  <c r="BN506" i="17"/>
  <c r="BN507" i="17"/>
  <c r="BN508" i="17"/>
  <c r="BN509" i="17"/>
  <c r="BN510" i="17"/>
  <c r="BN511" i="17"/>
  <c r="BN512" i="17"/>
  <c r="BN513" i="17"/>
  <c r="BN514" i="17"/>
  <c r="BN515" i="17"/>
  <c r="BN516" i="17"/>
  <c r="BN517" i="17"/>
  <c r="BN518" i="17"/>
  <c r="BN551" i="17"/>
  <c r="BN552" i="17"/>
  <c r="BN553" i="17"/>
  <c r="BN554" i="17"/>
  <c r="BN555" i="17"/>
  <c r="BN556" i="17"/>
  <c r="BN557" i="17"/>
  <c r="BN558" i="17"/>
  <c r="BN559" i="17"/>
  <c r="BN560" i="17"/>
  <c r="BN561" i="17"/>
  <c r="BN562" i="17"/>
  <c r="BN563" i="17"/>
  <c r="BN564" i="17"/>
  <c r="BN565" i="17"/>
  <c r="BN566" i="17"/>
  <c r="P359" i="17"/>
  <c r="BF430" i="17"/>
  <c r="BA430" i="17"/>
  <c r="Q73" i="29"/>
  <c r="Q74" i="29"/>
  <c r="Q76" i="29"/>
  <c r="Q77" i="29"/>
  <c r="Q78" i="29"/>
  <c r="Q79" i="29"/>
  <c r="Q80" i="29"/>
  <c r="Q81" i="29"/>
  <c r="Q82" i="29"/>
  <c r="Q83" i="29"/>
  <c r="Q84" i="29"/>
  <c r="Q85" i="29"/>
  <c r="Q86" i="29"/>
  <c r="Q87" i="29"/>
  <c r="Q88" i="29"/>
  <c r="Q89" i="29"/>
  <c r="Q90" i="29"/>
  <c r="Q91" i="29"/>
  <c r="Q92" i="29"/>
  <c r="Q93" i="29"/>
  <c r="Q94" i="29"/>
  <c r="Q95" i="29"/>
  <c r="Q96" i="29"/>
  <c r="Q97" i="29"/>
  <c r="Q98" i="29"/>
  <c r="Q99" i="29"/>
  <c r="Q100" i="29"/>
  <c r="Q101" i="29"/>
  <c r="Q102" i="29"/>
  <c r="Q103" i="29"/>
  <c r="Q104" i="29"/>
  <c r="Q105" i="29"/>
  <c r="Q106" i="29"/>
  <c r="Q107" i="29"/>
  <c r="Q108" i="29"/>
  <c r="Q109" i="29"/>
  <c r="Q110" i="29"/>
  <c r="Q111" i="29"/>
  <c r="Q112" i="29"/>
  <c r="Q113" i="29"/>
  <c r="Q114" i="29"/>
  <c r="Q115" i="29"/>
  <c r="Q116" i="29"/>
  <c r="Q117" i="29"/>
  <c r="Q118" i="29"/>
  <c r="Q119" i="29"/>
  <c r="Q120" i="29"/>
  <c r="Q121" i="29"/>
  <c r="Q122" i="29"/>
  <c r="Q123" i="29"/>
  <c r="Q124" i="29"/>
  <c r="Q129" i="29"/>
  <c r="Q130" i="29"/>
  <c r="Q131" i="29"/>
  <c r="Q132" i="29"/>
  <c r="Q133" i="29"/>
  <c r="Q134" i="29"/>
  <c r="Q135" i="29"/>
  <c r="Q136" i="29"/>
  <c r="Q137" i="29"/>
  <c r="Q138" i="29"/>
  <c r="Q141" i="29"/>
  <c r="Q142" i="29"/>
  <c r="Q143" i="29"/>
  <c r="Q144" i="29"/>
  <c r="Q145" i="29"/>
  <c r="Q149" i="29"/>
  <c r="Q150" i="29"/>
  <c r="Q151" i="29"/>
  <c r="Q152" i="29"/>
  <c r="Q153" i="29"/>
  <c r="Q154" i="29"/>
  <c r="Q155" i="29"/>
  <c r="Q156" i="29"/>
  <c r="Q157" i="29"/>
  <c r="Q158" i="29"/>
  <c r="Q159" i="29"/>
  <c r="Q160" i="29"/>
  <c r="Q161" i="29"/>
  <c r="Q162" i="29"/>
  <c r="Q163" i="29"/>
  <c r="Q164" i="29"/>
  <c r="Q165" i="29"/>
  <c r="Q166" i="29"/>
  <c r="Q167" i="29"/>
  <c r="Q168" i="29"/>
  <c r="Q169" i="29"/>
  <c r="Q170" i="29"/>
  <c r="Q171" i="29"/>
  <c r="Q172" i="29"/>
  <c r="Q173" i="29"/>
  <c r="Q174" i="29"/>
  <c r="Q175" i="29"/>
  <c r="Q176" i="29"/>
  <c r="Q177" i="29"/>
  <c r="Q178" i="29"/>
  <c r="Q179" i="29"/>
  <c r="Q180" i="29"/>
  <c r="Q181" i="29"/>
  <c r="Q182" i="29"/>
  <c r="Q183" i="29"/>
  <c r="Q184" i="29"/>
  <c r="Q185" i="29"/>
  <c r="Q186" i="29"/>
  <c r="Q187" i="29"/>
  <c r="Q188" i="29"/>
  <c r="Q189" i="29"/>
  <c r="Q190" i="29"/>
  <c r="Q191" i="29"/>
  <c r="Q192" i="29"/>
  <c r="Q193" i="29"/>
  <c r="Q194" i="29"/>
  <c r="Q195" i="29"/>
  <c r="Q196" i="29"/>
  <c r="Q197" i="29"/>
  <c r="Q198" i="29"/>
  <c r="Q199" i="29"/>
  <c r="Q219" i="29"/>
  <c r="Q220" i="29"/>
  <c r="Q221" i="29"/>
  <c r="Q222" i="29"/>
  <c r="Q223" i="29"/>
  <c r="Q224" i="29"/>
  <c r="Q225" i="29"/>
  <c r="Q226" i="29"/>
  <c r="Q227" i="29"/>
  <c r="Q228" i="29"/>
  <c r="Q229" i="29"/>
  <c r="Q239" i="29"/>
  <c r="Q242" i="29"/>
  <c r="Q244" i="29"/>
  <c r="Q245" i="29"/>
  <c r="Q246" i="29"/>
  <c r="Q249" i="29"/>
  <c r="Q250" i="29"/>
  <c r="Q251" i="29"/>
  <c r="Q252" i="29"/>
  <c r="Q253" i="29"/>
  <c r="Q254" i="29"/>
  <c r="Q255" i="29"/>
  <c r="Q256" i="29"/>
  <c r="Q257" i="29"/>
  <c r="Q258" i="29"/>
  <c r="Q259" i="29"/>
  <c r="Q260" i="29"/>
  <c r="Q261" i="29"/>
  <c r="Q262" i="29"/>
  <c r="Q263" i="29"/>
  <c r="Q264" i="29"/>
  <c r="Q265" i="29"/>
  <c r="Q266" i="29"/>
  <c r="Q267" i="29"/>
  <c r="Q268" i="29"/>
  <c r="Q269" i="29"/>
  <c r="Q270" i="29"/>
  <c r="Q271" i="29"/>
  <c r="Q272" i="29"/>
  <c r="Q273" i="29"/>
  <c r="Q274" i="29"/>
  <c r="Q275" i="29"/>
  <c r="Q276" i="29"/>
  <c r="Q277" i="29"/>
  <c r="Q278" i="29"/>
  <c r="Q279" i="29"/>
  <c r="Q280" i="29"/>
  <c r="Q281" i="29"/>
  <c r="Q282" i="29"/>
  <c r="Q283" i="29"/>
  <c r="Q284" i="29"/>
  <c r="Q285" i="29"/>
  <c r="Q286" i="29"/>
  <c r="Q287" i="29"/>
  <c r="Q288" i="29"/>
  <c r="Q289" i="29"/>
  <c r="Q290" i="29"/>
  <c r="Q291" i="29"/>
  <c r="Q292" i="29"/>
  <c r="Q293" i="29"/>
  <c r="Q294" i="29"/>
  <c r="Q295" i="29"/>
  <c r="Q296" i="29"/>
  <c r="Q297" i="29"/>
  <c r="Q298" i="29"/>
  <c r="Q299" i="29"/>
  <c r="Q300" i="29"/>
  <c r="Q301" i="29"/>
  <c r="Q302" i="29"/>
  <c r="Q303" i="29"/>
  <c r="Q304" i="29"/>
  <c r="Q305" i="29"/>
  <c r="Q306" i="29"/>
  <c r="Q307" i="29"/>
  <c r="Q308" i="29"/>
  <c r="Q309" i="29"/>
  <c r="Q310" i="29"/>
  <c r="Q311" i="29"/>
  <c r="Q312" i="29"/>
  <c r="Q313" i="29"/>
  <c r="Q314" i="29"/>
  <c r="Q315" i="29"/>
  <c r="Q316" i="29"/>
  <c r="Q317" i="29"/>
  <c r="Q318" i="29"/>
  <c r="Q319" i="29"/>
  <c r="Q320" i="29"/>
  <c r="Q321" i="29"/>
  <c r="Q322" i="29"/>
  <c r="Q323" i="29"/>
  <c r="Q324" i="29"/>
  <c r="Q325" i="29"/>
  <c r="Q326" i="29"/>
  <c r="Q327" i="29"/>
  <c r="Q328" i="29"/>
  <c r="Q329" i="29"/>
  <c r="Q330" i="29"/>
  <c r="Q331" i="29"/>
  <c r="Q332" i="29"/>
  <c r="Q333" i="29"/>
  <c r="Q334" i="29"/>
  <c r="Q335" i="29"/>
  <c r="Q336" i="29"/>
  <c r="Q337" i="29"/>
  <c r="Q338" i="29"/>
  <c r="Q339" i="29"/>
  <c r="Q340" i="29"/>
  <c r="Q341" i="29"/>
  <c r="Q342" i="29"/>
  <c r="Q343" i="29"/>
  <c r="Q344" i="29"/>
  <c r="Q345" i="29"/>
  <c r="Q346" i="29"/>
  <c r="Q347" i="29"/>
  <c r="Q348" i="29"/>
  <c r="Q349" i="29"/>
  <c r="Q350" i="29"/>
  <c r="Q353" i="29"/>
  <c r="Q354" i="29"/>
  <c r="Q355" i="29"/>
  <c r="Q356" i="29"/>
  <c r="Q357" i="29"/>
  <c r="Q358" i="29"/>
  <c r="Q359" i="29"/>
  <c r="Q360" i="29"/>
  <c r="Q361" i="29"/>
  <c r="Q362" i="29"/>
  <c r="Q363" i="29"/>
  <c r="Q364" i="29"/>
  <c r="Q365" i="29"/>
  <c r="Q366" i="29"/>
  <c r="Q367" i="29"/>
  <c r="Q368" i="29"/>
  <c r="Q369" i="29"/>
  <c r="Q370" i="29"/>
  <c r="Q371" i="29"/>
  <c r="Q372" i="29"/>
  <c r="Q373" i="29"/>
  <c r="Q374" i="29"/>
  <c r="Q375" i="29"/>
  <c r="Q376" i="29"/>
  <c r="Q377" i="29"/>
  <c r="Q378" i="29"/>
  <c r="Q379" i="29"/>
  <c r="Q380" i="29"/>
  <c r="Q381" i="29"/>
  <c r="Q382" i="29"/>
  <c r="Q383" i="29"/>
  <c r="Q384" i="29"/>
  <c r="Q385" i="29"/>
  <c r="Q386" i="29"/>
  <c r="Q387" i="29"/>
  <c r="Q388" i="29"/>
  <c r="Q389" i="29"/>
  <c r="Q390" i="29"/>
  <c r="Q391" i="29"/>
  <c r="Q392" i="29"/>
  <c r="Q393" i="29"/>
  <c r="Q394" i="29"/>
  <c r="Q395" i="29"/>
  <c r="Q396" i="29"/>
  <c r="Q397" i="29"/>
  <c r="Q398" i="29"/>
  <c r="Q399" i="29"/>
  <c r="Q400" i="29"/>
  <c r="Q401" i="29"/>
  <c r="Q402" i="29"/>
  <c r="Q403" i="29"/>
  <c r="Q404" i="29"/>
  <c r="Q405" i="29"/>
  <c r="Q406" i="29"/>
  <c r="Q407" i="29"/>
  <c r="Q408" i="29"/>
  <c r="Q409" i="29"/>
  <c r="Q410" i="29"/>
  <c r="Q411" i="29"/>
  <c r="Q412" i="29"/>
  <c r="Q413" i="29"/>
  <c r="Q414" i="29"/>
  <c r="Q415" i="29"/>
  <c r="Q416" i="29"/>
  <c r="Q417" i="29"/>
  <c r="Q418" i="29"/>
  <c r="Q419" i="29"/>
  <c r="Q422" i="29"/>
  <c r="Q423" i="29"/>
  <c r="Q424" i="29"/>
  <c r="Q425" i="29"/>
  <c r="Q426" i="29"/>
  <c r="Q431" i="29"/>
  <c r="Q432" i="29"/>
  <c r="Q433" i="29"/>
  <c r="Q434" i="29"/>
  <c r="Q435" i="29"/>
  <c r="Q436" i="29"/>
  <c r="Q437" i="29"/>
  <c r="Q438" i="29"/>
  <c r="Q439" i="29"/>
  <c r="Q440" i="29"/>
  <c r="Q441" i="29"/>
  <c r="Q442" i="29"/>
  <c r="Q443" i="29"/>
  <c r="Q444" i="29"/>
  <c r="Q445" i="29"/>
  <c r="Q446" i="29"/>
  <c r="Q447" i="29"/>
  <c r="Q448" i="29"/>
  <c r="Q449" i="29"/>
  <c r="Q450" i="29"/>
  <c r="Q451" i="29"/>
  <c r="Q452" i="29"/>
  <c r="Q453" i="29"/>
  <c r="Q454" i="29"/>
  <c r="Q455" i="29"/>
  <c r="Q456" i="29"/>
  <c r="Q457" i="29"/>
  <c r="Q458" i="29"/>
  <c r="Q459" i="29"/>
  <c r="Q460" i="29"/>
  <c r="Q461" i="29"/>
  <c r="Q462" i="29"/>
  <c r="Q463" i="29"/>
  <c r="Q464" i="29"/>
  <c r="Q465" i="29"/>
  <c r="Q466" i="29"/>
  <c r="Q467" i="29"/>
  <c r="Q468" i="29"/>
  <c r="Q469" i="29"/>
  <c r="Q470" i="29"/>
  <c r="Q471" i="29"/>
  <c r="Q472" i="29"/>
  <c r="Q473" i="29"/>
  <c r="Q474" i="29"/>
  <c r="Q475" i="29"/>
  <c r="Q476" i="29"/>
  <c r="Q477" i="29"/>
  <c r="Q478" i="29"/>
  <c r="Q479" i="29"/>
  <c r="Q480" i="29"/>
  <c r="Q481" i="29"/>
  <c r="Q482" i="29"/>
  <c r="Q483" i="29"/>
  <c r="Q484" i="29"/>
  <c r="Q485" i="29"/>
  <c r="Q486" i="29"/>
  <c r="Q487" i="29"/>
  <c r="Q488" i="29"/>
  <c r="Q489" i="29"/>
  <c r="Q490" i="29"/>
  <c r="Q491" i="29"/>
  <c r="Q492" i="29"/>
  <c r="Q493" i="29"/>
  <c r="Q494" i="29"/>
  <c r="Q495" i="29"/>
  <c r="Q496" i="29"/>
  <c r="Q497" i="29"/>
  <c r="Q498" i="29"/>
  <c r="Q499" i="29"/>
  <c r="Q500" i="29"/>
  <c r="Q501" i="29"/>
  <c r="Q502" i="29"/>
  <c r="Q503" i="29"/>
  <c r="Q504" i="29"/>
  <c r="Q505" i="29"/>
  <c r="Q506" i="29"/>
  <c r="Q507" i="29"/>
  <c r="Q508" i="29"/>
  <c r="Q509" i="29"/>
  <c r="Q510" i="29"/>
  <c r="Q511" i="29"/>
  <c r="Q512" i="29"/>
  <c r="Q513" i="29"/>
  <c r="Q514" i="29"/>
  <c r="Q515" i="29"/>
  <c r="Q516" i="29"/>
  <c r="Q517" i="29"/>
  <c r="Q518" i="29"/>
  <c r="Q551" i="29"/>
  <c r="Q552" i="29"/>
  <c r="Q553" i="29"/>
  <c r="Q554" i="29"/>
  <c r="Q555" i="29"/>
  <c r="Q556" i="29"/>
  <c r="Q557" i="29"/>
  <c r="Q72" i="29"/>
  <c r="M238" i="29"/>
  <c r="Q238" i="29"/>
  <c r="M233" i="29"/>
  <c r="Q233" i="29"/>
  <c r="M234" i="29"/>
  <c r="Q234" i="29"/>
  <c r="M241" i="29"/>
  <c r="Q241" i="29" s="1"/>
  <c r="M243" i="29"/>
  <c r="Q243" i="29"/>
  <c r="M248" i="29"/>
  <c r="Q248" i="29"/>
  <c r="M247" i="29"/>
  <c r="Q247" i="29"/>
  <c r="M232" i="29"/>
  <c r="Q232" i="29" s="1"/>
  <c r="M237" i="29"/>
  <c r="Q237" i="29"/>
  <c r="M236" i="29"/>
  <c r="Q236" i="29"/>
  <c r="M231" i="29"/>
  <c r="Q231" i="29"/>
  <c r="M235" i="29"/>
  <c r="Q235" i="29" s="1"/>
  <c r="M230" i="29"/>
  <c r="Q230" i="29"/>
  <c r="M421" i="29"/>
  <c r="Q421" i="29"/>
  <c r="M218" i="29"/>
  <c r="Q218" i="29"/>
  <c r="M211" i="29"/>
  <c r="Q211" i="29" s="1"/>
  <c r="M209" i="29"/>
  <c r="Q209" i="29"/>
  <c r="M206" i="29"/>
  <c r="Q206" i="29"/>
  <c r="M430" i="29"/>
  <c r="Q430" i="29"/>
  <c r="M429" i="29"/>
  <c r="Q429" i="29" s="1"/>
  <c r="M428" i="29"/>
  <c r="Q428" i="29"/>
  <c r="M240" i="29"/>
  <c r="Q240" i="29"/>
  <c r="M427" i="29"/>
  <c r="Q427" i="29"/>
  <c r="M566" i="29"/>
  <c r="Q566" i="29" s="1"/>
  <c r="M565" i="29"/>
  <c r="Q565" i="29"/>
  <c r="M564" i="29"/>
  <c r="Q564" i="29"/>
  <c r="M563" i="29"/>
  <c r="Q563" i="29"/>
  <c r="M562" i="29"/>
  <c r="Q562" i="29" s="1"/>
  <c r="M561" i="29"/>
  <c r="Q561" i="29"/>
  <c r="M560" i="29"/>
  <c r="Q560" i="29" s="1"/>
  <c r="M559" i="29"/>
  <c r="Q559" i="29"/>
  <c r="M558" i="29"/>
  <c r="Q558" i="29" s="1"/>
  <c r="M217" i="29"/>
  <c r="Q217" i="29"/>
  <c r="M207" i="29"/>
  <c r="Q207" i="29" s="1"/>
  <c r="M204" i="29"/>
  <c r="Q204" i="29"/>
  <c r="M212" i="29"/>
  <c r="Q212" i="29" s="1"/>
  <c r="M216" i="29"/>
  <c r="Q216" i="29"/>
  <c r="M210" i="29"/>
  <c r="Q210" i="29" s="1"/>
  <c r="M208" i="29"/>
  <c r="Q208" i="29"/>
  <c r="M205" i="29"/>
  <c r="Q205" i="29" s="1"/>
  <c r="M203" i="29"/>
  <c r="Q203" i="29"/>
  <c r="M215" i="29"/>
  <c r="Q215" i="29" s="1"/>
  <c r="M202" i="29"/>
  <c r="Q202" i="29"/>
  <c r="M201" i="29"/>
  <c r="Q201" i="29" s="1"/>
  <c r="M214" i="29"/>
  <c r="Q214" i="29"/>
  <c r="M213" i="29"/>
  <c r="Q213" i="29" s="1"/>
  <c r="M200" i="29"/>
  <c r="Q200" i="29"/>
  <c r="FU209" i="16"/>
  <c r="FU211" i="16"/>
  <c r="FU217" i="16"/>
  <c r="FU223" i="16"/>
  <c r="FU225" i="16"/>
  <c r="BN73" i="17"/>
  <c r="BN74" i="17"/>
  <c r="BN78" i="17"/>
  <c r="BN79" i="17"/>
  <c r="BN80" i="17"/>
  <c r="BN81" i="17"/>
  <c r="BN82" i="17"/>
  <c r="BN83" i="17"/>
  <c r="BN86" i="17"/>
  <c r="BN87" i="17"/>
  <c r="BN88" i="17"/>
  <c r="BN89" i="17"/>
  <c r="BN90" i="17"/>
  <c r="BN91" i="17"/>
  <c r="BN92" i="17"/>
  <c r="BN93" i="17"/>
  <c r="BN94" i="17"/>
  <c r="BN95" i="17"/>
  <c r="BN96" i="17"/>
  <c r="BN97" i="17"/>
  <c r="BN98" i="17"/>
  <c r="BN99" i="17"/>
  <c r="BN101" i="17"/>
  <c r="BN102" i="17"/>
  <c r="BN103" i="17"/>
  <c r="BN104" i="17"/>
  <c r="BN105" i="17"/>
  <c r="BN106" i="17"/>
  <c r="BN107" i="17"/>
  <c r="BN108" i="17"/>
  <c r="BN109" i="17"/>
  <c r="BN110" i="17"/>
  <c r="BN111" i="17"/>
  <c r="BN112" i="17"/>
  <c r="BN113" i="17"/>
  <c r="BN114" i="17"/>
  <c r="BN115" i="17"/>
  <c r="BN116" i="17"/>
  <c r="BN117" i="17"/>
  <c r="BN118" i="17"/>
  <c r="BN119" i="17"/>
  <c r="BN120" i="17"/>
  <c r="BN121" i="17"/>
  <c r="BN72" i="17"/>
  <c r="L376" i="17"/>
  <c r="L316" i="17"/>
  <c r="L287" i="17"/>
  <c r="BN287" i="17" s="1"/>
  <c r="L138" i="17"/>
  <c r="DE234" i="6"/>
  <c r="DE182" i="9"/>
  <c r="DT237" i="9"/>
  <c r="DO237" i="9"/>
  <c r="DJ237" i="9"/>
  <c r="DE237" i="9"/>
  <c r="DE234" i="9"/>
  <c r="FF72" i="16"/>
  <c r="DS242" i="9"/>
  <c r="DS242" i="6"/>
  <c r="EN242" i="6" s="1"/>
  <c r="EX242" i="6" s="1"/>
  <c r="EA242" i="6"/>
  <c r="DZ241" i="6"/>
  <c r="EX244" i="6"/>
  <c r="F2007" i="14"/>
  <c r="F2008" i="14"/>
  <c r="F2009" i="14"/>
  <c r="F2006" i="14"/>
  <c r="DO273" i="6"/>
  <c r="EX273" i="6"/>
  <c r="DO272" i="6"/>
  <c r="EX272" i="6" s="1"/>
  <c r="DO272" i="9"/>
  <c r="EX272" i="9"/>
  <c r="DO273" i="9"/>
  <c r="EX273" i="9" s="1"/>
  <c r="BF281" i="17"/>
  <c r="BF282" i="17"/>
  <c r="BN282" i="17"/>
  <c r="BA282" i="17"/>
  <c r="BA281" i="17"/>
  <c r="P281" i="17"/>
  <c r="U281" i="17"/>
  <c r="Z359" i="17"/>
  <c r="U359" i="17"/>
  <c r="EN298" i="9"/>
  <c r="EX298" i="9"/>
  <c r="EN297" i="9"/>
  <c r="EX297" i="9" s="1"/>
  <c r="EN296" i="9"/>
  <c r="EN295" i="9"/>
  <c r="EN298" i="6"/>
  <c r="EX298" i="6" s="1"/>
  <c r="EN297" i="6"/>
  <c r="EN296" i="6"/>
  <c r="EX296" i="6" s="1"/>
  <c r="EN295" i="6"/>
  <c r="EX295" i="6" s="1"/>
  <c r="BF346" i="17"/>
  <c r="BN346" i="17" s="1"/>
  <c r="BA346" i="17"/>
  <c r="AU346" i="17"/>
  <c r="Z346" i="17"/>
  <c r="U346" i="17"/>
  <c r="P346" i="17"/>
  <c r="F346" i="17"/>
  <c r="DX433" i="5"/>
  <c r="DX434" i="5"/>
  <c r="DX435" i="5"/>
  <c r="DX436" i="5"/>
  <c r="DX437" i="5"/>
  <c r="DX438" i="5"/>
  <c r="DW142" i="1"/>
  <c r="DW149" i="1"/>
  <c r="DW150" i="1"/>
  <c r="DW155" i="1"/>
  <c r="DW156" i="1"/>
  <c r="DW157" i="1"/>
  <c r="DW158" i="1"/>
  <c r="DW159" i="1"/>
  <c r="DW160" i="1"/>
  <c r="DW161" i="1"/>
  <c r="DW162" i="1"/>
  <c r="DW166" i="1"/>
  <c r="DW175" i="1"/>
  <c r="DW179" i="1"/>
  <c r="DW183" i="1"/>
  <c r="DW185" i="1"/>
  <c r="DW188" i="1"/>
  <c r="DW189" i="1"/>
  <c r="DW190" i="1"/>
  <c r="DW204" i="1"/>
  <c r="DW205" i="1"/>
  <c r="DW209" i="1"/>
  <c r="DW210" i="1"/>
  <c r="DW211" i="1"/>
  <c r="DW212" i="1"/>
  <c r="DW215" i="1"/>
  <c r="DW216" i="1"/>
  <c r="DW217" i="1"/>
  <c r="DW223" i="1"/>
  <c r="DW226" i="1"/>
  <c r="DW227" i="1"/>
  <c r="DW228" i="1"/>
  <c r="DW230" i="1"/>
  <c r="DW231" i="1"/>
  <c r="DW238" i="1"/>
  <c r="DW240" i="1"/>
  <c r="DW241" i="1"/>
  <c r="DW243" i="1"/>
  <c r="DW245" i="1"/>
  <c r="DW246" i="1"/>
  <c r="DW248" i="1"/>
  <c r="DW250" i="1"/>
  <c r="DW252" i="1"/>
  <c r="DW253" i="1"/>
  <c r="DW259" i="1"/>
  <c r="DW260" i="1"/>
  <c r="DW261" i="1"/>
  <c r="DW263" i="1"/>
  <c r="DW264" i="1"/>
  <c r="DW267" i="1"/>
  <c r="DW268" i="1"/>
  <c r="DW276" i="1"/>
  <c r="DW278" i="1"/>
  <c r="DW282" i="1"/>
  <c r="DW283" i="1"/>
  <c r="DW284" i="1"/>
  <c r="DW287" i="1"/>
  <c r="DW288" i="1"/>
  <c r="DW289" i="1"/>
  <c r="DW292" i="1"/>
  <c r="DW295" i="1"/>
  <c r="DW296" i="1"/>
  <c r="DW297" i="1"/>
  <c r="DW298" i="1"/>
  <c r="DW299" i="1"/>
  <c r="DW300" i="1"/>
  <c r="DW311" i="1"/>
  <c r="DW312" i="1"/>
  <c r="DW313" i="1"/>
  <c r="DW314" i="1"/>
  <c r="DW315" i="1"/>
  <c r="DW317" i="1"/>
  <c r="DW323" i="1"/>
  <c r="DW326" i="1"/>
  <c r="DW327" i="1"/>
  <c r="DW328" i="1"/>
  <c r="DW329" i="1"/>
  <c r="DW330" i="1"/>
  <c r="DW331" i="1"/>
  <c r="DW332" i="1"/>
  <c r="DW333" i="1"/>
  <c r="DW335" i="1"/>
  <c r="DW366" i="1"/>
  <c r="DW367" i="1"/>
  <c r="DW368" i="1"/>
  <c r="DW370" i="1"/>
  <c r="DW371" i="1"/>
  <c r="DW372" i="1"/>
  <c r="DW373" i="1"/>
  <c r="DW376" i="1"/>
  <c r="DW377" i="1"/>
  <c r="DW378" i="1"/>
  <c r="DW379" i="1"/>
  <c r="DW380" i="1"/>
  <c r="DW381" i="1"/>
  <c r="DW382" i="1"/>
  <c r="DW383" i="1"/>
  <c r="DW385" i="1"/>
  <c r="DW390" i="1"/>
  <c r="DW392" i="1"/>
  <c r="DW394" i="1"/>
  <c r="DW396" i="1"/>
  <c r="DW398" i="1"/>
  <c r="DW399" i="1"/>
  <c r="DW400" i="1"/>
  <c r="DW401" i="1"/>
  <c r="DW402" i="1"/>
  <c r="DW403" i="1"/>
  <c r="DW404" i="1"/>
  <c r="DW405" i="1"/>
  <c r="DW406" i="1"/>
  <c r="DW407" i="1"/>
  <c r="DW408" i="1"/>
  <c r="DW409" i="1"/>
  <c r="DW410" i="1"/>
  <c r="DW411" i="1"/>
  <c r="DW412" i="1"/>
  <c r="DW413" i="1"/>
  <c r="DW414" i="1"/>
  <c r="DW415" i="1"/>
  <c r="DW416" i="1"/>
  <c r="DW417" i="1"/>
  <c r="DW418" i="1"/>
  <c r="DW419" i="1"/>
  <c r="DW420" i="1"/>
  <c r="DW421" i="1"/>
  <c r="DW422" i="1"/>
  <c r="DW423" i="1"/>
  <c r="DW424" i="1"/>
  <c r="DW425" i="1"/>
  <c r="DW426" i="1"/>
  <c r="DW427" i="1"/>
  <c r="DW428" i="1"/>
  <c r="DW429" i="1"/>
  <c r="DW430" i="1"/>
  <c r="DW431" i="1"/>
  <c r="DW432" i="1"/>
  <c r="DW433" i="1"/>
  <c r="DW434" i="1"/>
  <c r="DW435" i="1"/>
  <c r="DW436" i="1"/>
  <c r="DW437" i="1"/>
  <c r="DW438" i="1"/>
  <c r="DW439" i="1"/>
  <c r="DW440" i="1"/>
  <c r="DW441" i="1"/>
  <c r="DW442" i="1"/>
  <c r="DW443" i="1"/>
  <c r="DW444" i="1"/>
  <c r="DW445" i="1"/>
  <c r="DW446" i="1"/>
  <c r="DW447" i="1"/>
  <c r="DW448" i="1"/>
  <c r="DW141" i="1"/>
  <c r="CV398" i="5"/>
  <c r="CV310" i="5"/>
  <c r="CV233" i="5"/>
  <c r="CV167" i="5"/>
  <c r="DS148" i="5"/>
  <c r="CR396" i="5"/>
  <c r="CR369" i="5"/>
  <c r="CR339" i="5"/>
  <c r="CR338" i="5"/>
  <c r="CR336" i="5"/>
  <c r="CR335" i="5"/>
  <c r="CR324" i="5"/>
  <c r="CR321" i="5"/>
  <c r="CR320" i="5"/>
  <c r="CR309" i="5"/>
  <c r="CR305" i="5"/>
  <c r="CR291" i="5"/>
  <c r="CR280" i="5"/>
  <c r="CR279" i="5"/>
  <c r="CR278" i="5"/>
  <c r="CR273" i="5"/>
  <c r="CR272" i="5"/>
  <c r="CR269" i="5"/>
  <c r="CR266" i="5"/>
  <c r="CR239" i="5"/>
  <c r="CR236" i="5"/>
  <c r="CR235" i="5"/>
  <c r="CR229" i="5"/>
  <c r="CR220" i="5"/>
  <c r="CR218" i="5"/>
  <c r="CR214" i="5"/>
  <c r="CR213" i="5"/>
  <c r="CR208" i="5"/>
  <c r="CR207" i="5"/>
  <c r="CR206" i="5"/>
  <c r="CR203" i="5"/>
  <c r="CR202" i="5"/>
  <c r="CR201" i="5"/>
  <c r="CR200" i="5"/>
  <c r="CR199" i="5"/>
  <c r="CR198" i="5"/>
  <c r="CR197" i="5"/>
  <c r="CR196" i="5"/>
  <c r="CR193" i="5"/>
  <c r="CR180" i="5"/>
  <c r="CR176" i="5"/>
  <c r="CR174" i="5"/>
  <c r="CR165" i="5"/>
  <c r="CR154" i="5"/>
  <c r="CR153" i="5"/>
  <c r="CR152" i="5"/>
  <c r="CV310" i="1"/>
  <c r="CV397" i="1"/>
  <c r="DW397" i="1" s="1"/>
  <c r="CV233" i="1"/>
  <c r="CV220" i="1"/>
  <c r="CV167" i="1"/>
  <c r="CR396" i="1"/>
  <c r="CR395" i="1"/>
  <c r="CR339" i="1"/>
  <c r="CR338" i="1"/>
  <c r="CR336" i="1"/>
  <c r="CR324" i="1"/>
  <c r="CR321" i="1"/>
  <c r="CR320" i="1"/>
  <c r="CR309" i="1"/>
  <c r="CR305" i="1"/>
  <c r="CR278" i="1"/>
  <c r="CR272" i="1"/>
  <c r="CR236" i="1"/>
  <c r="CR229" i="1"/>
  <c r="CR208" i="1"/>
  <c r="CR207" i="1"/>
  <c r="CR206" i="1"/>
  <c r="CR203" i="1"/>
  <c r="CR202" i="1"/>
  <c r="CR201" i="1"/>
  <c r="CR200" i="1"/>
  <c r="CR199" i="1"/>
  <c r="CR198" i="1"/>
  <c r="CR197" i="1"/>
  <c r="CR196" i="1"/>
  <c r="CR193" i="1"/>
  <c r="CR187" i="1"/>
  <c r="DP251" i="1"/>
  <c r="I261" i="6"/>
  <c r="I260" i="6"/>
  <c r="I259" i="6"/>
  <c r="I258" i="6"/>
  <c r="K258" i="6" s="1"/>
  <c r="G258" i="5"/>
  <c r="I258" i="5" s="1"/>
  <c r="G258" i="1"/>
  <c r="I261" i="9"/>
  <c r="I260" i="9"/>
  <c r="I259" i="9"/>
  <c r="I258" i="9"/>
  <c r="K258" i="9"/>
  <c r="EX166" i="6"/>
  <c r="EX167" i="6"/>
  <c r="EX310" i="6"/>
  <c r="EX397" i="6"/>
  <c r="EX398" i="6"/>
  <c r="EX142" i="9"/>
  <c r="EX150" i="9"/>
  <c r="EX151" i="9"/>
  <c r="EX155" i="9"/>
  <c r="EX160" i="9"/>
  <c r="EX162" i="9"/>
  <c r="EX165" i="9"/>
  <c r="EX166" i="9"/>
  <c r="EX167" i="9"/>
  <c r="EX175" i="9"/>
  <c r="EX183" i="9"/>
  <c r="EX185" i="9"/>
  <c r="EX187" i="9"/>
  <c r="EX188" i="9"/>
  <c r="EX189" i="9"/>
  <c r="EX204" i="9"/>
  <c r="EX205" i="9"/>
  <c r="EX206" i="9"/>
  <c r="EX207" i="9"/>
  <c r="EX208" i="9"/>
  <c r="EX209" i="9"/>
  <c r="EX210" i="9"/>
  <c r="EX211" i="9"/>
  <c r="EX212" i="9"/>
  <c r="EX217" i="9"/>
  <c r="EX221" i="9"/>
  <c r="EX222" i="9"/>
  <c r="EX228" i="9"/>
  <c r="EX230" i="9"/>
  <c r="EX233" i="9"/>
  <c r="EX238" i="9"/>
  <c r="EX240" i="9"/>
  <c r="EX241" i="9"/>
  <c r="EX243" i="9"/>
  <c r="EX245" i="9"/>
  <c r="EX246" i="9"/>
  <c r="EX248" i="9"/>
  <c r="EX250" i="9"/>
  <c r="EX263" i="9"/>
  <c r="EX265" i="9"/>
  <c r="EX267" i="9"/>
  <c r="EX268" i="9"/>
  <c r="EX269" i="9"/>
  <c r="EX276" i="9"/>
  <c r="EX278" i="9"/>
  <c r="EX284" i="9"/>
  <c r="EX285" i="9"/>
  <c r="EX289" i="9"/>
  <c r="EX290" i="9"/>
  <c r="EX292" i="9"/>
  <c r="EX302" i="9"/>
  <c r="EX303" i="9"/>
  <c r="EX304" i="9"/>
  <c r="EX305" i="9"/>
  <c r="EX306" i="9"/>
  <c r="EX307" i="9"/>
  <c r="EX308" i="9"/>
  <c r="EX309" i="9"/>
  <c r="EX310" i="9"/>
  <c r="EX314" i="9"/>
  <c r="EX315" i="9"/>
  <c r="EX318" i="9"/>
  <c r="EX335" i="9"/>
  <c r="EX352" i="9"/>
  <c r="EX353" i="9"/>
  <c r="EX354" i="9"/>
  <c r="EX366" i="9"/>
  <c r="EX367" i="9"/>
  <c r="EX368" i="9"/>
  <c r="EX370" i="9"/>
  <c r="EX371" i="9"/>
  <c r="EX372" i="9"/>
  <c r="EX379" i="9"/>
  <c r="EX382" i="9"/>
  <c r="EX383" i="9"/>
  <c r="EX384" i="9"/>
  <c r="EX385" i="9"/>
  <c r="EX388" i="9"/>
  <c r="EX389" i="9"/>
  <c r="EX390" i="9"/>
  <c r="EX391" i="9"/>
  <c r="EX392" i="9"/>
  <c r="EX393" i="9"/>
  <c r="EX394" i="9"/>
  <c r="EX395" i="9"/>
  <c r="EX396" i="9"/>
  <c r="EX397" i="9"/>
  <c r="EX398" i="9"/>
  <c r="EX400" i="9"/>
  <c r="EX402" i="9"/>
  <c r="EX404" i="9"/>
  <c r="EX406" i="9"/>
  <c r="EX408" i="9"/>
  <c r="EX410" i="9"/>
  <c r="EX412" i="9"/>
  <c r="EX414" i="9"/>
  <c r="EX416" i="9"/>
  <c r="EX418" i="9"/>
  <c r="EX420" i="9"/>
  <c r="EX422" i="9"/>
  <c r="EX424" i="9"/>
  <c r="EX426" i="9"/>
  <c r="EX428" i="9"/>
  <c r="EX430" i="9"/>
  <c r="EX431" i="9"/>
  <c r="EX432" i="9"/>
  <c r="DT397" i="5"/>
  <c r="DU397" i="5"/>
  <c r="DT398" i="5"/>
  <c r="DU398" i="5"/>
  <c r="DT399" i="5"/>
  <c r="DU399" i="5"/>
  <c r="DP398" i="5"/>
  <c r="DX398" i="5" s="1"/>
  <c r="E276" i="3" s="1"/>
  <c r="DP335" i="5"/>
  <c r="DP385" i="5"/>
  <c r="DP369" i="5"/>
  <c r="DP324" i="5"/>
  <c r="DP321" i="5"/>
  <c r="DP320" i="5"/>
  <c r="DP319" i="5"/>
  <c r="DP310" i="5"/>
  <c r="DP291" i="5"/>
  <c r="DP280" i="5"/>
  <c r="DP279" i="5"/>
  <c r="DP273" i="5"/>
  <c r="DP269" i="5"/>
  <c r="DP239" i="5"/>
  <c r="DP236" i="5"/>
  <c r="DP235" i="5"/>
  <c r="DP233" i="5"/>
  <c r="DP229" i="5"/>
  <c r="DP220" i="5"/>
  <c r="DP218" i="5"/>
  <c r="DP214" i="5"/>
  <c r="DP213" i="5"/>
  <c r="DP208" i="5"/>
  <c r="DP207" i="5"/>
  <c r="DP206" i="5"/>
  <c r="DP203" i="5"/>
  <c r="DP202" i="5"/>
  <c r="DP201" i="5"/>
  <c r="DP200" i="5"/>
  <c r="DP199" i="5"/>
  <c r="DP198" i="5"/>
  <c r="DP197" i="5"/>
  <c r="DP196" i="5"/>
  <c r="DP193" i="5"/>
  <c r="DP180" i="5"/>
  <c r="DP176" i="5"/>
  <c r="DP174" i="5"/>
  <c r="DP167" i="5"/>
  <c r="DP154" i="5"/>
  <c r="DP153" i="5"/>
  <c r="DP152" i="5"/>
  <c r="DX13" i="5"/>
  <c r="DX14" i="5"/>
  <c r="DW14" i="5"/>
  <c r="DW13" i="5"/>
  <c r="DX12" i="5"/>
  <c r="DW12" i="5"/>
  <c r="DX11" i="5"/>
  <c r="DW11" i="5"/>
  <c r="DV167" i="5" s="1"/>
  <c r="DT142" i="5"/>
  <c r="DU142" i="5"/>
  <c r="DT143" i="5"/>
  <c r="DU143" i="5"/>
  <c r="DT144" i="5"/>
  <c r="DU144" i="5"/>
  <c r="DT145" i="5"/>
  <c r="DU145" i="5"/>
  <c r="DT146" i="5"/>
  <c r="DU146" i="5"/>
  <c r="DT147" i="5"/>
  <c r="DU147" i="5"/>
  <c r="DT148" i="5"/>
  <c r="DU148" i="5"/>
  <c r="DT149" i="5"/>
  <c r="DU149" i="5"/>
  <c r="DT150" i="5"/>
  <c r="DU150" i="5"/>
  <c r="DT151" i="5"/>
  <c r="DU151" i="5"/>
  <c r="DT152" i="5"/>
  <c r="DU152" i="5"/>
  <c r="DT153" i="5"/>
  <c r="DU153" i="5"/>
  <c r="DT154" i="5"/>
  <c r="DU154" i="5"/>
  <c r="DT155" i="5"/>
  <c r="DU155" i="5"/>
  <c r="DT156" i="5"/>
  <c r="DU156" i="5"/>
  <c r="DT157" i="5"/>
  <c r="DU157" i="5"/>
  <c r="DT158" i="5"/>
  <c r="DU158" i="5"/>
  <c r="DT159" i="5"/>
  <c r="DU159" i="5"/>
  <c r="DT160" i="5"/>
  <c r="DU160" i="5"/>
  <c r="DT161" i="5"/>
  <c r="DU161" i="5"/>
  <c r="DT162" i="5"/>
  <c r="DU162" i="5"/>
  <c r="DT163" i="5"/>
  <c r="DU163" i="5"/>
  <c r="DT164" i="5"/>
  <c r="DU164" i="5"/>
  <c r="DT165" i="5"/>
  <c r="DU165" i="5"/>
  <c r="DT166" i="5"/>
  <c r="DU166" i="5"/>
  <c r="DT167" i="5"/>
  <c r="DU167" i="5"/>
  <c r="DT168" i="5"/>
  <c r="DU168" i="5"/>
  <c r="DT169" i="5"/>
  <c r="DU169" i="5"/>
  <c r="I166" i="28"/>
  <c r="I167" i="28"/>
  <c r="I168" i="28"/>
  <c r="DP148" i="1"/>
  <c r="DW148" i="1"/>
  <c r="I397" i="28"/>
  <c r="I398" i="28"/>
  <c r="I399" i="28"/>
  <c r="N399" i="28" s="1"/>
  <c r="DT310" i="5"/>
  <c r="DU310" i="5"/>
  <c r="DT311" i="5"/>
  <c r="DU311" i="5"/>
  <c r="DP310" i="1"/>
  <c r="DP233" i="1"/>
  <c r="DL396" i="5"/>
  <c r="DL385" i="5"/>
  <c r="DL369" i="5"/>
  <c r="DL335" i="5"/>
  <c r="DL324" i="5"/>
  <c r="DL321" i="5"/>
  <c r="DL320" i="5"/>
  <c r="DL319" i="5"/>
  <c r="DL309" i="5"/>
  <c r="DL305" i="5"/>
  <c r="DL291" i="5"/>
  <c r="DL280" i="5"/>
  <c r="DL279" i="5"/>
  <c r="DL276" i="5"/>
  <c r="DL273" i="5"/>
  <c r="DL272" i="5"/>
  <c r="DL269" i="5"/>
  <c r="DL245" i="5"/>
  <c r="DX245" i="5" s="1"/>
  <c r="DL239" i="5"/>
  <c r="DL236" i="5"/>
  <c r="DL235" i="5"/>
  <c r="DL229" i="5"/>
  <c r="DL220" i="5"/>
  <c r="DL218" i="5"/>
  <c r="DL214" i="5"/>
  <c r="DL213" i="5"/>
  <c r="DL208" i="5"/>
  <c r="DL207" i="5"/>
  <c r="DL206" i="5"/>
  <c r="DL203" i="5"/>
  <c r="DL202" i="5"/>
  <c r="DL201" i="5"/>
  <c r="DL200" i="5"/>
  <c r="DL199" i="5"/>
  <c r="DL198" i="5"/>
  <c r="DL197" i="5"/>
  <c r="DL196" i="5"/>
  <c r="DL193" i="5"/>
  <c r="DL189" i="5"/>
  <c r="DL188" i="5"/>
  <c r="DL180" i="5"/>
  <c r="DL176" i="5"/>
  <c r="DL174" i="5"/>
  <c r="DL165" i="5"/>
  <c r="DL154" i="5"/>
  <c r="DL153" i="5"/>
  <c r="DL152" i="5"/>
  <c r="DW395" i="1"/>
  <c r="DL324" i="1"/>
  <c r="DL321" i="1"/>
  <c r="DL320" i="1"/>
  <c r="DL319" i="1"/>
  <c r="DL309" i="1"/>
  <c r="DL305" i="1"/>
  <c r="DL272" i="1"/>
  <c r="DL249" i="1"/>
  <c r="DL236" i="1"/>
  <c r="DL229" i="1"/>
  <c r="DL214" i="1"/>
  <c r="DL208" i="1"/>
  <c r="DL207" i="1"/>
  <c r="DL206" i="1"/>
  <c r="DL203" i="1"/>
  <c r="DL202" i="1"/>
  <c r="DL201" i="1"/>
  <c r="DL200" i="1"/>
  <c r="DL199" i="1"/>
  <c r="DL198" i="1"/>
  <c r="DL197" i="1"/>
  <c r="DL196" i="1"/>
  <c r="DL193" i="1"/>
  <c r="DL187" i="1"/>
  <c r="DL186" i="1"/>
  <c r="DX8" i="5"/>
  <c r="DX9" i="5"/>
  <c r="DX10" i="5"/>
  <c r="DX7" i="5"/>
  <c r="DW8" i="5"/>
  <c r="DW9" i="5"/>
  <c r="DW10" i="5"/>
  <c r="DW7" i="5"/>
  <c r="DV279" i="5" s="1"/>
  <c r="E14" i="3"/>
  <c r="EX379" i="6"/>
  <c r="EX382" i="6"/>
  <c r="EX383" i="6"/>
  <c r="EX384" i="6"/>
  <c r="EX370" i="6"/>
  <c r="EX371" i="6"/>
  <c r="EX372" i="6"/>
  <c r="EX314" i="6"/>
  <c r="EX315" i="6"/>
  <c r="EX306" i="6"/>
  <c r="EX307" i="6"/>
  <c r="EX308" i="6"/>
  <c r="EX309" i="6"/>
  <c r="EX267" i="6"/>
  <c r="EX238" i="6"/>
  <c r="EX175" i="6"/>
  <c r="DT382" i="5"/>
  <c r="DU382" i="5"/>
  <c r="DT383" i="5"/>
  <c r="DU383" i="5"/>
  <c r="DX383" i="5" s="1"/>
  <c r="DT379" i="5"/>
  <c r="DU379" i="5"/>
  <c r="DT370" i="5"/>
  <c r="DU370" i="5"/>
  <c r="DT371" i="5"/>
  <c r="DU371" i="5"/>
  <c r="DT372" i="5"/>
  <c r="DX372" i="5"/>
  <c r="DU372" i="5"/>
  <c r="DT314" i="5"/>
  <c r="DU314" i="5"/>
  <c r="DT315" i="5"/>
  <c r="DX315" i="5"/>
  <c r="DU315" i="5"/>
  <c r="DT267" i="5"/>
  <c r="DU267" i="5"/>
  <c r="DT238" i="5"/>
  <c r="DX238" i="5" s="1"/>
  <c r="DU238" i="5"/>
  <c r="DT175" i="5"/>
  <c r="DU175" i="5"/>
  <c r="M432" i="28"/>
  <c r="K432" i="28"/>
  <c r="I432" i="28"/>
  <c r="M431" i="28"/>
  <c r="K431" i="28"/>
  <c r="I431" i="28"/>
  <c r="M430" i="28"/>
  <c r="K430" i="28"/>
  <c r="I430" i="28"/>
  <c r="M429" i="28"/>
  <c r="K429" i="28"/>
  <c r="I429" i="28"/>
  <c r="M428" i="28"/>
  <c r="K428" i="28"/>
  <c r="I428" i="28"/>
  <c r="N428" i="28" s="1"/>
  <c r="M427" i="28"/>
  <c r="K427" i="28"/>
  <c r="N427" i="28" s="1"/>
  <c r="I427" i="28"/>
  <c r="M426" i="28"/>
  <c r="K426" i="28"/>
  <c r="I426" i="28"/>
  <c r="M425" i="28"/>
  <c r="K425" i="28"/>
  <c r="I425" i="28"/>
  <c r="M424" i="28"/>
  <c r="K424" i="28"/>
  <c r="I424" i="28"/>
  <c r="M423" i="28"/>
  <c r="K423" i="28"/>
  <c r="I423" i="28"/>
  <c r="N423" i="28" s="1"/>
  <c r="M422" i="28"/>
  <c r="N422" i="28" s="1"/>
  <c r="K422" i="28"/>
  <c r="I422" i="28"/>
  <c r="M421" i="28"/>
  <c r="K421" i="28"/>
  <c r="I421" i="28"/>
  <c r="M420" i="28"/>
  <c r="K420" i="28"/>
  <c r="I420" i="28"/>
  <c r="M419" i="28"/>
  <c r="K419" i="28"/>
  <c r="I419" i="28"/>
  <c r="M418" i="28"/>
  <c r="K418" i="28"/>
  <c r="I418" i="28"/>
  <c r="N418" i="28" s="1"/>
  <c r="M417" i="28"/>
  <c r="K417" i="28"/>
  <c r="I417" i="28"/>
  <c r="M416" i="28"/>
  <c r="K416" i="28"/>
  <c r="I416" i="28"/>
  <c r="N416" i="28" s="1"/>
  <c r="M415" i="28"/>
  <c r="K415" i="28"/>
  <c r="I415" i="28"/>
  <c r="M414" i="28"/>
  <c r="K414" i="28"/>
  <c r="I414" i="28"/>
  <c r="N414" i="28" s="1"/>
  <c r="M413" i="28"/>
  <c r="K413" i="28"/>
  <c r="I413" i="28"/>
  <c r="M412" i="28"/>
  <c r="K412" i="28"/>
  <c r="I412" i="28"/>
  <c r="N412" i="28" s="1"/>
  <c r="M411" i="28"/>
  <c r="K411" i="28"/>
  <c r="I411" i="28"/>
  <c r="M410" i="28"/>
  <c r="K410" i="28"/>
  <c r="I410" i="28"/>
  <c r="N410" i="28"/>
  <c r="M409" i="28"/>
  <c r="K409" i="28"/>
  <c r="I409" i="28"/>
  <c r="M408" i="28"/>
  <c r="K408" i="28"/>
  <c r="I408" i="28"/>
  <c r="N408" i="28" s="1"/>
  <c r="M407" i="28"/>
  <c r="K407" i="28"/>
  <c r="I407" i="28"/>
  <c r="N407" i="28" s="1"/>
  <c r="M406" i="28"/>
  <c r="K406" i="28"/>
  <c r="I406" i="28"/>
  <c r="M405" i="28"/>
  <c r="K405" i="28"/>
  <c r="I405" i="28"/>
  <c r="M404" i="28"/>
  <c r="N404" i="28"/>
  <c r="K404" i="28"/>
  <c r="I404" i="28"/>
  <c r="M403" i="28"/>
  <c r="K403" i="28"/>
  <c r="N403" i="28"/>
  <c r="I403" i="28"/>
  <c r="M402" i="28"/>
  <c r="K402" i="28"/>
  <c r="N402" i="28" s="1"/>
  <c r="I402" i="28"/>
  <c r="M401" i="28"/>
  <c r="K401" i="28"/>
  <c r="I401" i="28"/>
  <c r="M400" i="28"/>
  <c r="K400" i="28"/>
  <c r="I400" i="28"/>
  <c r="M399" i="28"/>
  <c r="K399" i="28"/>
  <c r="M396" i="28"/>
  <c r="K396" i="28"/>
  <c r="I396" i="28"/>
  <c r="N396" i="28" s="1"/>
  <c r="M395" i="28"/>
  <c r="K395" i="28"/>
  <c r="I395" i="28"/>
  <c r="M394" i="28"/>
  <c r="K394" i="28"/>
  <c r="N394" i="28"/>
  <c r="I394" i="28"/>
  <c r="M393" i="28"/>
  <c r="K393" i="28"/>
  <c r="N393" i="28" s="1"/>
  <c r="I393" i="28"/>
  <c r="M392" i="28"/>
  <c r="K392" i="28"/>
  <c r="I392" i="28"/>
  <c r="M391" i="28"/>
  <c r="N391" i="28"/>
  <c r="K391" i="28"/>
  <c r="I391" i="28"/>
  <c r="M390" i="28"/>
  <c r="K390" i="28"/>
  <c r="I390" i="28"/>
  <c r="M389" i="28"/>
  <c r="K389" i="28"/>
  <c r="I389" i="28"/>
  <c r="N389" i="28" s="1"/>
  <c r="M388" i="28"/>
  <c r="K388" i="28"/>
  <c r="I388" i="28"/>
  <c r="M387" i="28"/>
  <c r="K387" i="28"/>
  <c r="I387" i="28"/>
  <c r="N387" i="28" s="1"/>
  <c r="M386" i="28"/>
  <c r="K386" i="28"/>
  <c r="I386" i="28"/>
  <c r="M385" i="28"/>
  <c r="K385" i="28"/>
  <c r="I385" i="28"/>
  <c r="M384" i="28"/>
  <c r="K384" i="28"/>
  <c r="I384" i="28"/>
  <c r="M383" i="28"/>
  <c r="K383" i="28"/>
  <c r="I383" i="28"/>
  <c r="N383" i="28" s="1"/>
  <c r="M382" i="28"/>
  <c r="K382" i="28"/>
  <c r="N382" i="28"/>
  <c r="I382" i="28"/>
  <c r="M381" i="28"/>
  <c r="K381" i="28"/>
  <c r="I381" i="28"/>
  <c r="M380" i="28"/>
  <c r="K380" i="28"/>
  <c r="I380" i="28"/>
  <c r="N380" i="28" s="1"/>
  <c r="M379" i="28"/>
  <c r="K379" i="28"/>
  <c r="I379" i="28"/>
  <c r="M378" i="28"/>
  <c r="K378" i="28"/>
  <c r="N378" i="28"/>
  <c r="I378" i="28"/>
  <c r="M377" i="28"/>
  <c r="K377" i="28"/>
  <c r="N377" i="28" s="1"/>
  <c r="I377" i="28"/>
  <c r="M376" i="28"/>
  <c r="K376" i="28"/>
  <c r="I376" i="28"/>
  <c r="M375" i="28"/>
  <c r="K375" i="28"/>
  <c r="I375" i="28"/>
  <c r="M374" i="28"/>
  <c r="K374" i="28"/>
  <c r="I374" i="28"/>
  <c r="N374" i="28" s="1"/>
  <c r="M373" i="28"/>
  <c r="K373" i="28"/>
  <c r="I373" i="28"/>
  <c r="M372" i="28"/>
  <c r="K372" i="28"/>
  <c r="I372" i="28"/>
  <c r="M371" i="28"/>
  <c r="K371" i="28"/>
  <c r="I371" i="28"/>
  <c r="N371" i="28" s="1"/>
  <c r="M370" i="28"/>
  <c r="K370" i="28"/>
  <c r="I370" i="28"/>
  <c r="N370" i="28" s="1"/>
  <c r="M369" i="28"/>
  <c r="K369" i="28"/>
  <c r="I369" i="28"/>
  <c r="M368" i="28"/>
  <c r="K368" i="28"/>
  <c r="I368" i="28"/>
  <c r="M367" i="28"/>
  <c r="K367" i="28"/>
  <c r="I367" i="28"/>
  <c r="N367" i="28" s="1"/>
  <c r="M366" i="28"/>
  <c r="K366" i="28"/>
  <c r="N366" i="28"/>
  <c r="I366" i="28"/>
  <c r="M365" i="28"/>
  <c r="K365" i="28"/>
  <c r="I365" i="28"/>
  <c r="N365" i="28"/>
  <c r="M364" i="28"/>
  <c r="K364" i="28"/>
  <c r="N364" i="28" s="1"/>
  <c r="I364" i="28"/>
  <c r="M363" i="28"/>
  <c r="K363" i="28"/>
  <c r="I363" i="28"/>
  <c r="M362" i="28"/>
  <c r="K362" i="28"/>
  <c r="I362" i="28"/>
  <c r="M361" i="28"/>
  <c r="K361" i="28"/>
  <c r="I361" i="28"/>
  <c r="M360" i="28"/>
  <c r="K360" i="28"/>
  <c r="I360" i="28"/>
  <c r="M359" i="28"/>
  <c r="K359" i="28"/>
  <c r="N359" i="28" s="1"/>
  <c r="I359" i="28"/>
  <c r="M358" i="28"/>
  <c r="K358" i="28"/>
  <c r="I358" i="28"/>
  <c r="M357" i="28"/>
  <c r="K357" i="28"/>
  <c r="I357" i="28"/>
  <c r="M356" i="28"/>
  <c r="K356" i="28"/>
  <c r="I356" i="28"/>
  <c r="M355" i="28"/>
  <c r="K355" i="28"/>
  <c r="I355" i="28"/>
  <c r="M354" i="28"/>
  <c r="K354" i="28"/>
  <c r="N354" i="28"/>
  <c r="I354" i="28"/>
  <c r="M353" i="28"/>
  <c r="K353" i="28"/>
  <c r="I353" i="28"/>
  <c r="N353" i="28"/>
  <c r="M352" i="28"/>
  <c r="K352" i="28"/>
  <c r="I352" i="28"/>
  <c r="M351" i="28"/>
  <c r="K351" i="28"/>
  <c r="I351" i="28"/>
  <c r="M350" i="28"/>
  <c r="K350" i="28"/>
  <c r="N350" i="28"/>
  <c r="I350" i="28"/>
  <c r="M349" i="28"/>
  <c r="K349" i="28"/>
  <c r="I349" i="28"/>
  <c r="M348" i="28"/>
  <c r="K348" i="28"/>
  <c r="I348" i="28"/>
  <c r="M347" i="28"/>
  <c r="K347" i="28"/>
  <c r="N347" i="28" s="1"/>
  <c r="I347" i="28"/>
  <c r="M346" i="28"/>
  <c r="K346" i="28"/>
  <c r="I346" i="28"/>
  <c r="N346" i="28" s="1"/>
  <c r="M345" i="28"/>
  <c r="K345" i="28"/>
  <c r="I345" i="28"/>
  <c r="N345" i="28" s="1"/>
  <c r="M344" i="28"/>
  <c r="K344" i="28"/>
  <c r="I344" i="28"/>
  <c r="M343" i="28"/>
  <c r="K343" i="28"/>
  <c r="I343" i="28"/>
  <c r="M342" i="28"/>
  <c r="K342" i="28"/>
  <c r="I342" i="28"/>
  <c r="M341" i="28"/>
  <c r="K341" i="28"/>
  <c r="I341" i="28"/>
  <c r="N341" i="28" s="1"/>
  <c r="M340" i="28"/>
  <c r="K340" i="28"/>
  <c r="I340" i="28"/>
  <c r="N340" i="28" s="1"/>
  <c r="M339" i="28"/>
  <c r="K339" i="28"/>
  <c r="I339" i="28"/>
  <c r="N339" i="28" s="1"/>
  <c r="M338" i="28"/>
  <c r="K338" i="28"/>
  <c r="I338" i="28"/>
  <c r="M337" i="28"/>
  <c r="K337" i="28"/>
  <c r="I337" i="28"/>
  <c r="N337" i="28" s="1"/>
  <c r="M336" i="28"/>
  <c r="K336" i="28"/>
  <c r="I336" i="28"/>
  <c r="M335" i="28"/>
  <c r="K335" i="28"/>
  <c r="I335" i="28"/>
  <c r="N335" i="28" s="1"/>
  <c r="M334" i="28"/>
  <c r="K334" i="28"/>
  <c r="I334" i="28"/>
  <c r="N334" i="28"/>
  <c r="M333" i="28"/>
  <c r="K333" i="28"/>
  <c r="I333" i="28"/>
  <c r="N333" i="28" s="1"/>
  <c r="M332" i="28"/>
  <c r="K332" i="28"/>
  <c r="I332" i="28"/>
  <c r="N332" i="28"/>
  <c r="M331" i="28"/>
  <c r="K331" i="28"/>
  <c r="I331" i="28"/>
  <c r="N331" i="28" s="1"/>
  <c r="M330" i="28"/>
  <c r="K330" i="28"/>
  <c r="I330" i="28"/>
  <c r="N330" i="28"/>
  <c r="M329" i="28"/>
  <c r="N329" i="28" s="1"/>
  <c r="K329" i="28"/>
  <c r="I329" i="28"/>
  <c r="M328" i="28"/>
  <c r="K328" i="28"/>
  <c r="I328" i="28"/>
  <c r="N328" i="28"/>
  <c r="M327" i="28"/>
  <c r="N327" i="28" s="1"/>
  <c r="K327" i="28"/>
  <c r="I327" i="28"/>
  <c r="M326" i="28"/>
  <c r="K326" i="28"/>
  <c r="I326" i="28"/>
  <c r="N326" i="28" s="1"/>
  <c r="M325" i="28"/>
  <c r="K325" i="28"/>
  <c r="I325" i="28"/>
  <c r="M324" i="28"/>
  <c r="K324" i="28"/>
  <c r="N324" i="28" s="1"/>
  <c r="I324" i="28"/>
  <c r="M323" i="28"/>
  <c r="K323" i="28"/>
  <c r="I323" i="28"/>
  <c r="M322" i="28"/>
  <c r="K322" i="28"/>
  <c r="I322" i="28"/>
  <c r="N322" i="28"/>
  <c r="M321" i="28"/>
  <c r="K321" i="28"/>
  <c r="I321" i="28"/>
  <c r="M320" i="28"/>
  <c r="K320" i="28"/>
  <c r="I320" i="28"/>
  <c r="N320" i="28"/>
  <c r="M319" i="28"/>
  <c r="K319" i="28"/>
  <c r="I319" i="28"/>
  <c r="N319" i="28" s="1"/>
  <c r="M318" i="28"/>
  <c r="K318" i="28"/>
  <c r="I318" i="28"/>
  <c r="N318" i="28"/>
  <c r="M317" i="28"/>
  <c r="K317" i="28"/>
  <c r="I317" i="28"/>
  <c r="M316" i="28"/>
  <c r="K316" i="28"/>
  <c r="I316" i="28"/>
  <c r="N316" i="28" s="1"/>
  <c r="M315" i="28"/>
  <c r="K315" i="28"/>
  <c r="N315" i="28" s="1"/>
  <c r="I315" i="28"/>
  <c r="M314" i="28"/>
  <c r="K314" i="28"/>
  <c r="I314" i="28"/>
  <c r="N314" i="28" s="1"/>
  <c r="M313" i="28"/>
  <c r="K313" i="28"/>
  <c r="I313" i="28"/>
  <c r="N313" i="28" s="1"/>
  <c r="M312" i="28"/>
  <c r="K312" i="28"/>
  <c r="I312" i="28"/>
  <c r="M311" i="28"/>
  <c r="K311" i="28"/>
  <c r="I311" i="28"/>
  <c r="M309" i="28"/>
  <c r="K309" i="28"/>
  <c r="N309" i="28" s="1"/>
  <c r="I309" i="28"/>
  <c r="M308" i="28"/>
  <c r="K308" i="28"/>
  <c r="I308" i="28"/>
  <c r="N308" i="28" s="1"/>
  <c r="M307" i="28"/>
  <c r="K307" i="28"/>
  <c r="I307" i="28"/>
  <c r="M306" i="28"/>
  <c r="K306" i="28"/>
  <c r="I306" i="28"/>
  <c r="M305" i="28"/>
  <c r="K305" i="28"/>
  <c r="N305" i="28"/>
  <c r="I305" i="28"/>
  <c r="M304" i="28"/>
  <c r="K304" i="28"/>
  <c r="I304" i="28"/>
  <c r="N304" i="28"/>
  <c r="M303" i="28"/>
  <c r="K303" i="28"/>
  <c r="I303" i="28"/>
  <c r="M302" i="28"/>
  <c r="K302" i="28"/>
  <c r="I302" i="28"/>
  <c r="N302" i="28" s="1"/>
  <c r="M301" i="28"/>
  <c r="K301" i="28"/>
  <c r="I301" i="28"/>
  <c r="N301" i="28"/>
  <c r="M300" i="28"/>
  <c r="K300" i="28"/>
  <c r="N300" i="28"/>
  <c r="I300" i="28"/>
  <c r="M299" i="28"/>
  <c r="K299" i="28"/>
  <c r="I299" i="28"/>
  <c r="N299" i="28"/>
  <c r="M298" i="28"/>
  <c r="K298" i="28"/>
  <c r="N298" i="28"/>
  <c r="I298" i="28"/>
  <c r="M297" i="28"/>
  <c r="K297" i="28"/>
  <c r="I297" i="28"/>
  <c r="M296" i="28"/>
  <c r="K296" i="28"/>
  <c r="I296" i="28"/>
  <c r="M295" i="28"/>
  <c r="K295" i="28"/>
  <c r="I295" i="28"/>
  <c r="N295" i="28" s="1"/>
  <c r="M294" i="28"/>
  <c r="K294" i="28"/>
  <c r="I294" i="28"/>
  <c r="N294" i="28" s="1"/>
  <c r="M293" i="28"/>
  <c r="K293" i="28"/>
  <c r="I293" i="28"/>
  <c r="N293" i="28" s="1"/>
  <c r="M292" i="28"/>
  <c r="K292" i="28"/>
  <c r="I292" i="28"/>
  <c r="M291" i="28"/>
  <c r="K291" i="28"/>
  <c r="I291" i="28"/>
  <c r="N291" i="28" s="1"/>
  <c r="M290" i="28"/>
  <c r="K290" i="28"/>
  <c r="I290" i="28"/>
  <c r="N290" i="28" s="1"/>
  <c r="M289" i="28"/>
  <c r="K289" i="28"/>
  <c r="I289" i="28"/>
  <c r="N289" i="28" s="1"/>
  <c r="M288" i="28"/>
  <c r="N288" i="28" s="1"/>
  <c r="K288" i="28"/>
  <c r="I288" i="28"/>
  <c r="M287" i="28"/>
  <c r="K287" i="28"/>
  <c r="I287" i="28"/>
  <c r="N287" i="28" s="1"/>
  <c r="M286" i="28"/>
  <c r="N286" i="28" s="1"/>
  <c r="K286" i="28"/>
  <c r="I286" i="28"/>
  <c r="M285" i="28"/>
  <c r="K285" i="28"/>
  <c r="I285" i="28"/>
  <c r="N285" i="28" s="1"/>
  <c r="M284" i="28"/>
  <c r="N284" i="28" s="1"/>
  <c r="K284" i="28"/>
  <c r="I284" i="28"/>
  <c r="M283" i="28"/>
  <c r="K283" i="28"/>
  <c r="I283" i="28"/>
  <c r="M282" i="28"/>
  <c r="K282" i="28"/>
  <c r="N282" i="28" s="1"/>
  <c r="I282" i="28"/>
  <c r="M281" i="28"/>
  <c r="K281" i="28"/>
  <c r="I281" i="28"/>
  <c r="N281" i="28"/>
  <c r="M280" i="28"/>
  <c r="K280" i="28"/>
  <c r="N280" i="28" s="1"/>
  <c r="I280" i="28"/>
  <c r="M279" i="28"/>
  <c r="K279" i="28"/>
  <c r="I279" i="28"/>
  <c r="N279" i="28"/>
  <c r="M278" i="28"/>
  <c r="K278" i="28"/>
  <c r="I278" i="28"/>
  <c r="M277" i="28"/>
  <c r="N277" i="28" s="1"/>
  <c r="K277" i="28"/>
  <c r="I277" i="28"/>
  <c r="M276" i="28"/>
  <c r="K276" i="28"/>
  <c r="I276" i="28"/>
  <c r="M275" i="28"/>
  <c r="K275" i="28"/>
  <c r="I275" i="28"/>
  <c r="N275" i="28" s="1"/>
  <c r="M274" i="28"/>
  <c r="K274" i="28"/>
  <c r="I274" i="28"/>
  <c r="M273" i="28"/>
  <c r="K273" i="28"/>
  <c r="I273" i="28"/>
  <c r="M272" i="28"/>
  <c r="K272" i="28"/>
  <c r="I272" i="28"/>
  <c r="M271" i="28"/>
  <c r="K271" i="28"/>
  <c r="N271" i="28"/>
  <c r="I271" i="28"/>
  <c r="M270" i="28"/>
  <c r="K270" i="28"/>
  <c r="I270" i="28"/>
  <c r="N270" i="28" s="1"/>
  <c r="M269" i="28"/>
  <c r="K269" i="28"/>
  <c r="I269" i="28"/>
  <c r="M268" i="28"/>
  <c r="K268" i="28"/>
  <c r="I268" i="28"/>
  <c r="M267" i="28"/>
  <c r="K267" i="28"/>
  <c r="N267" i="28"/>
  <c r="I267" i="28"/>
  <c r="M266" i="28"/>
  <c r="K266" i="28"/>
  <c r="I266" i="28"/>
  <c r="N266" i="28" s="1"/>
  <c r="M265" i="28"/>
  <c r="K265" i="28"/>
  <c r="I265" i="28"/>
  <c r="M264" i="28"/>
  <c r="K264" i="28"/>
  <c r="I264" i="28"/>
  <c r="M263" i="28"/>
  <c r="K263" i="28"/>
  <c r="I263" i="28"/>
  <c r="N263" i="28" s="1"/>
  <c r="M262" i="28"/>
  <c r="K262" i="28"/>
  <c r="N262" i="28" s="1"/>
  <c r="I262" i="28"/>
  <c r="M261" i="28"/>
  <c r="K261" i="28"/>
  <c r="I261" i="28"/>
  <c r="M260" i="28"/>
  <c r="K260" i="28"/>
  <c r="I260" i="28"/>
  <c r="M259" i="28"/>
  <c r="K259" i="28"/>
  <c r="I259" i="28"/>
  <c r="N259" i="28" s="1"/>
  <c r="M258" i="28"/>
  <c r="K258" i="28"/>
  <c r="I258" i="28"/>
  <c r="N258" i="28" s="1"/>
  <c r="M257" i="28"/>
  <c r="K257" i="28"/>
  <c r="I257" i="28"/>
  <c r="N257" i="28"/>
  <c r="M256" i="28"/>
  <c r="K256" i="28"/>
  <c r="I256" i="28"/>
  <c r="N256" i="28" s="1"/>
  <c r="M255" i="28"/>
  <c r="K255" i="28"/>
  <c r="I255" i="28"/>
  <c r="M254" i="28"/>
  <c r="K254" i="28"/>
  <c r="N254" i="28"/>
  <c r="I254" i="28"/>
  <c r="M253" i="28"/>
  <c r="K253" i="28"/>
  <c r="I253" i="28"/>
  <c r="M252" i="28"/>
  <c r="K252" i="28"/>
  <c r="I252" i="28"/>
  <c r="N252" i="28" s="1"/>
  <c r="M251" i="28"/>
  <c r="K251" i="28"/>
  <c r="N251" i="28" s="1"/>
  <c r="I251" i="28"/>
  <c r="M250" i="28"/>
  <c r="K250" i="28"/>
  <c r="I250" i="28"/>
  <c r="N250" i="28"/>
  <c r="M249" i="28"/>
  <c r="K249" i="28"/>
  <c r="N249" i="28" s="1"/>
  <c r="I249" i="28"/>
  <c r="M248" i="28"/>
  <c r="K248" i="28"/>
  <c r="I248" i="28"/>
  <c r="N248" i="28"/>
  <c r="M247" i="28"/>
  <c r="K247" i="28"/>
  <c r="I247" i="28"/>
  <c r="N247" i="28" s="1"/>
  <c r="M246" i="28"/>
  <c r="K246" i="28"/>
  <c r="I246" i="28"/>
  <c r="N246" i="28" s="1"/>
  <c r="M245" i="28"/>
  <c r="K245" i="28"/>
  <c r="I245" i="28"/>
  <c r="M244" i="28"/>
  <c r="K244" i="28"/>
  <c r="I244" i="28"/>
  <c r="N244" i="28" s="1"/>
  <c r="M243" i="28"/>
  <c r="N243" i="28" s="1"/>
  <c r="K243" i="28"/>
  <c r="I243" i="28"/>
  <c r="M242" i="28"/>
  <c r="K242" i="28"/>
  <c r="I242" i="28"/>
  <c r="N242" i="28" s="1"/>
  <c r="M241" i="28"/>
  <c r="N241" i="28" s="1"/>
  <c r="K241" i="28"/>
  <c r="I241" i="28"/>
  <c r="M240" i="28"/>
  <c r="K240" i="28"/>
  <c r="I240" i="28"/>
  <c r="N240" i="28" s="1"/>
  <c r="M239" i="28"/>
  <c r="K239" i="28"/>
  <c r="I239" i="28"/>
  <c r="N239" i="28"/>
  <c r="M238" i="28"/>
  <c r="K238" i="28"/>
  <c r="I238" i="28"/>
  <c r="N238" i="28"/>
  <c r="M237" i="28"/>
  <c r="K237" i="28"/>
  <c r="I237" i="28"/>
  <c r="M236" i="28"/>
  <c r="K236" i="28"/>
  <c r="I236" i="28"/>
  <c r="M235" i="28"/>
  <c r="K235" i="28"/>
  <c r="N235" i="28" s="1"/>
  <c r="I235" i="28"/>
  <c r="M234" i="28"/>
  <c r="K234" i="28"/>
  <c r="I234" i="28"/>
  <c r="N234" i="28"/>
  <c r="M231" i="28"/>
  <c r="K231" i="28"/>
  <c r="N231" i="28" s="1"/>
  <c r="I231" i="28"/>
  <c r="M230" i="28"/>
  <c r="K230" i="28"/>
  <c r="I230" i="28"/>
  <c r="M229" i="28"/>
  <c r="K229" i="28"/>
  <c r="I229" i="28"/>
  <c r="M228" i="28"/>
  <c r="K228" i="28"/>
  <c r="I228" i="28"/>
  <c r="M227" i="28"/>
  <c r="K227" i="28"/>
  <c r="N227" i="28"/>
  <c r="I227" i="28"/>
  <c r="M226" i="28"/>
  <c r="N226" i="28" s="1"/>
  <c r="K226" i="28"/>
  <c r="I226" i="28"/>
  <c r="M225" i="28"/>
  <c r="K225" i="28"/>
  <c r="I225" i="28"/>
  <c r="M224" i="28"/>
  <c r="K224" i="28"/>
  <c r="I224" i="28"/>
  <c r="M223" i="28"/>
  <c r="K223" i="28"/>
  <c r="N223" i="28" s="1"/>
  <c r="I223" i="28"/>
  <c r="M222" i="28"/>
  <c r="K222" i="28"/>
  <c r="I222" i="28"/>
  <c r="N222" i="28" s="1"/>
  <c r="M221" i="28"/>
  <c r="K221" i="28"/>
  <c r="I221" i="28"/>
  <c r="M220" i="28"/>
  <c r="K220" i="28"/>
  <c r="I220" i="28"/>
  <c r="M219" i="28"/>
  <c r="K219" i="28"/>
  <c r="I219" i="28"/>
  <c r="N219" i="28" s="1"/>
  <c r="M218" i="28"/>
  <c r="K218" i="28"/>
  <c r="I218" i="28"/>
  <c r="N218" i="28" s="1"/>
  <c r="M217" i="28"/>
  <c r="K217" i="28"/>
  <c r="I217" i="28"/>
  <c r="M216" i="28"/>
  <c r="K216" i="28"/>
  <c r="I216" i="28"/>
  <c r="M215" i="28"/>
  <c r="K215" i="28"/>
  <c r="N215" i="28"/>
  <c r="I215" i="28"/>
  <c r="M214" i="28"/>
  <c r="K214" i="28"/>
  <c r="I214" i="28"/>
  <c r="N214" i="28" s="1"/>
  <c r="M213" i="28"/>
  <c r="K213" i="28"/>
  <c r="I213" i="28"/>
  <c r="M212" i="28"/>
  <c r="K212" i="28"/>
  <c r="I212" i="28"/>
  <c r="M211" i="28"/>
  <c r="K211" i="28"/>
  <c r="N211" i="28"/>
  <c r="I211" i="28"/>
  <c r="M210" i="28"/>
  <c r="N210" i="28" s="1"/>
  <c r="K210" i="28"/>
  <c r="I210" i="28"/>
  <c r="M209" i="28"/>
  <c r="K209" i="28"/>
  <c r="I209" i="28"/>
  <c r="M208" i="28"/>
  <c r="K208" i="28"/>
  <c r="I208" i="28"/>
  <c r="M207" i="28"/>
  <c r="K207" i="28"/>
  <c r="N207" i="28"/>
  <c r="I207" i="28"/>
  <c r="M206" i="28"/>
  <c r="K206" i="28"/>
  <c r="I206" i="28"/>
  <c r="N206" i="28" s="1"/>
  <c r="M205" i="28"/>
  <c r="K205" i="28"/>
  <c r="I205" i="28"/>
  <c r="M204" i="28"/>
  <c r="K204" i="28"/>
  <c r="I204" i="28"/>
  <c r="M203" i="28"/>
  <c r="N203" i="28" s="1"/>
  <c r="K203" i="28"/>
  <c r="I203" i="28"/>
  <c r="M202" i="28"/>
  <c r="K202" i="28"/>
  <c r="I202" i="28"/>
  <c r="M201" i="28"/>
  <c r="K201" i="28"/>
  <c r="I201" i="28"/>
  <c r="M200" i="28"/>
  <c r="K200" i="28"/>
  <c r="N200" i="28"/>
  <c r="I200" i="28"/>
  <c r="M199" i="28"/>
  <c r="K199" i="28"/>
  <c r="I199" i="28"/>
  <c r="M198" i="28"/>
  <c r="K198" i="28"/>
  <c r="I198" i="28"/>
  <c r="N198" i="28" s="1"/>
  <c r="M197" i="28"/>
  <c r="K197" i="28"/>
  <c r="I197" i="28"/>
  <c r="N197" i="28"/>
  <c r="M196" i="28"/>
  <c r="K196" i="28"/>
  <c r="I196" i="28"/>
  <c r="N196" i="28" s="1"/>
  <c r="M195" i="28"/>
  <c r="K195" i="28"/>
  <c r="I195" i="28"/>
  <c r="N195" i="28"/>
  <c r="M194" i="28"/>
  <c r="K194" i="28"/>
  <c r="I194" i="28"/>
  <c r="N194" i="28" s="1"/>
  <c r="M193" i="28"/>
  <c r="K193" i="28"/>
  <c r="I193" i="28"/>
  <c r="M192" i="28"/>
  <c r="K192" i="28"/>
  <c r="I192" i="28"/>
  <c r="N192" i="28" s="1"/>
  <c r="M191" i="28"/>
  <c r="K191" i="28"/>
  <c r="I191" i="28"/>
  <c r="M190" i="28"/>
  <c r="K190" i="28"/>
  <c r="I190" i="28"/>
  <c r="N190" i="28" s="1"/>
  <c r="M189" i="28"/>
  <c r="K189" i="28"/>
  <c r="I189" i="28"/>
  <c r="M188" i="28"/>
  <c r="K188" i="28"/>
  <c r="N188" i="28"/>
  <c r="I188" i="28"/>
  <c r="M187" i="28"/>
  <c r="K187" i="28"/>
  <c r="I187" i="28"/>
  <c r="N187" i="28" s="1"/>
  <c r="M186" i="28"/>
  <c r="K186" i="28"/>
  <c r="I186" i="28"/>
  <c r="M185" i="28"/>
  <c r="K185" i="28"/>
  <c r="I185" i="28"/>
  <c r="N185" i="28"/>
  <c r="M184" i="28"/>
  <c r="K184" i="28"/>
  <c r="I184" i="28"/>
  <c r="N184" i="28" s="1"/>
  <c r="M183" i="28"/>
  <c r="K183" i="28"/>
  <c r="I183" i="28"/>
  <c r="M182" i="28"/>
  <c r="K182" i="28"/>
  <c r="I182" i="28"/>
  <c r="N182" i="28"/>
  <c r="M181" i="28"/>
  <c r="N181" i="28" s="1"/>
  <c r="K181" i="28"/>
  <c r="I181" i="28"/>
  <c r="M180" i="28"/>
  <c r="K180" i="28"/>
  <c r="I180" i="28"/>
  <c r="N180" i="28"/>
  <c r="M179" i="28"/>
  <c r="K179" i="28"/>
  <c r="I179" i="28"/>
  <c r="M176" i="28"/>
  <c r="K176" i="28"/>
  <c r="I176" i="28"/>
  <c r="M175" i="28"/>
  <c r="N175" i="28"/>
  <c r="K175" i="28"/>
  <c r="I175" i="28"/>
  <c r="M174" i="28"/>
  <c r="K174" i="28"/>
  <c r="I174" i="28"/>
  <c r="M173" i="28"/>
  <c r="K173" i="28"/>
  <c r="I173" i="28"/>
  <c r="N173" i="28" s="1"/>
  <c r="M172" i="28"/>
  <c r="K172" i="28"/>
  <c r="I172" i="28"/>
  <c r="N172" i="28" s="1"/>
  <c r="M171" i="28"/>
  <c r="K171" i="28"/>
  <c r="I171" i="28"/>
  <c r="N171" i="28" s="1"/>
  <c r="M170" i="28"/>
  <c r="K170" i="28"/>
  <c r="I170" i="28"/>
  <c r="M169" i="28"/>
  <c r="K169" i="28"/>
  <c r="I169" i="28"/>
  <c r="M168" i="28"/>
  <c r="K168" i="28"/>
  <c r="M165" i="28"/>
  <c r="K165" i="28"/>
  <c r="I165" i="28"/>
  <c r="N165" i="28" s="1"/>
  <c r="M164" i="28"/>
  <c r="K164" i="28"/>
  <c r="I164" i="28"/>
  <c r="N164" i="28" s="1"/>
  <c r="M163" i="28"/>
  <c r="K163" i="28"/>
  <c r="I163" i="28"/>
  <c r="M162" i="28"/>
  <c r="K162" i="28"/>
  <c r="I162" i="28"/>
  <c r="M161" i="28"/>
  <c r="K161" i="28"/>
  <c r="I161" i="28"/>
  <c r="M160" i="28"/>
  <c r="K160" i="28"/>
  <c r="I160" i="28"/>
  <c r="N160" i="28"/>
  <c r="M159" i="28"/>
  <c r="K159" i="28"/>
  <c r="I159" i="28"/>
  <c r="M158" i="28"/>
  <c r="N158" i="28"/>
  <c r="K158" i="28"/>
  <c r="I158" i="28"/>
  <c r="M157" i="28"/>
  <c r="K157" i="28"/>
  <c r="I157" i="28"/>
  <c r="M156" i="28"/>
  <c r="K156" i="28"/>
  <c r="I156" i="28"/>
  <c r="M155" i="28"/>
  <c r="K155" i="28"/>
  <c r="N155" i="28"/>
  <c r="I155" i="28"/>
  <c r="M154" i="28"/>
  <c r="K154" i="28"/>
  <c r="I154" i="28"/>
  <c r="M153" i="28"/>
  <c r="K153" i="28"/>
  <c r="I153" i="28"/>
  <c r="M152" i="28"/>
  <c r="K152" i="28"/>
  <c r="I152" i="28"/>
  <c r="M151" i="28"/>
  <c r="K151" i="28"/>
  <c r="I151" i="28"/>
  <c r="M150" i="28"/>
  <c r="K150" i="28"/>
  <c r="I150" i="28"/>
  <c r="M149" i="28"/>
  <c r="K149" i="28"/>
  <c r="I149" i="28"/>
  <c r="M148" i="28"/>
  <c r="K148" i="28"/>
  <c r="I148" i="28"/>
  <c r="M147" i="28"/>
  <c r="K147" i="28"/>
  <c r="I147" i="28"/>
  <c r="M146" i="28"/>
  <c r="N146" i="28" s="1"/>
  <c r="K146" i="28"/>
  <c r="I146" i="28"/>
  <c r="M145" i="28"/>
  <c r="K145" i="28"/>
  <c r="I145" i="28"/>
  <c r="M144" i="28"/>
  <c r="K144" i="28"/>
  <c r="I144" i="28"/>
  <c r="M143" i="28"/>
  <c r="K143" i="28"/>
  <c r="I143" i="28"/>
  <c r="M142" i="28"/>
  <c r="K142" i="28"/>
  <c r="I142" i="28"/>
  <c r="M141" i="28"/>
  <c r="K141" i="28"/>
  <c r="I141" i="28"/>
  <c r="N237" i="28"/>
  <c r="N283" i="28"/>
  <c r="N183" i="28"/>
  <c r="N230" i="28"/>
  <c r="N274" i="28"/>
  <c r="N297" i="28"/>
  <c r="N348" i="28"/>
  <c r="DH214" i="5"/>
  <c r="DD214" i="5"/>
  <c r="CZ214" i="5"/>
  <c r="CV214" i="5"/>
  <c r="CN214" i="5"/>
  <c r="CJ214" i="5"/>
  <c r="CF214" i="5"/>
  <c r="DP214" i="1"/>
  <c r="DH214" i="1"/>
  <c r="DD214" i="1"/>
  <c r="CZ214" i="1"/>
  <c r="DH308" i="5"/>
  <c r="CN308" i="5"/>
  <c r="DS308" i="5"/>
  <c r="DD307" i="5"/>
  <c r="CJ307" i="5"/>
  <c r="CZ306" i="5"/>
  <c r="CF306" i="5"/>
  <c r="DH304" i="5"/>
  <c r="CN304" i="5"/>
  <c r="DD303" i="5"/>
  <c r="CJ303" i="5"/>
  <c r="CZ302" i="5"/>
  <c r="CF302" i="5"/>
  <c r="DH308" i="1"/>
  <c r="DW308" i="1" s="1"/>
  <c r="DD307" i="1"/>
  <c r="CZ306" i="1"/>
  <c r="DH304" i="1"/>
  <c r="DD303" i="1"/>
  <c r="CZ302" i="1"/>
  <c r="CN308" i="1"/>
  <c r="CN304" i="1"/>
  <c r="CJ307" i="1"/>
  <c r="CJ303" i="1"/>
  <c r="CF306" i="1"/>
  <c r="CF302" i="1"/>
  <c r="DT306" i="5"/>
  <c r="DU306" i="5"/>
  <c r="DT307" i="5"/>
  <c r="DU307" i="5"/>
  <c r="DT308" i="5"/>
  <c r="DU308" i="5"/>
  <c r="DT309" i="5"/>
  <c r="DU309" i="5"/>
  <c r="DR8" i="5"/>
  <c r="DR7" i="5"/>
  <c r="P15" i="21"/>
  <c r="P14" i="21"/>
  <c r="P13" i="21"/>
  <c r="P12" i="21"/>
  <c r="P11" i="21"/>
  <c r="P10" i="21"/>
  <c r="P9" i="21"/>
  <c r="P8" i="21"/>
  <c r="F246" i="14"/>
  <c r="F247" i="14"/>
  <c r="F248" i="14"/>
  <c r="F249" i="14"/>
  <c r="F250" i="14"/>
  <c r="F251" i="14"/>
  <c r="F252" i="14"/>
  <c r="F253" i="14"/>
  <c r="F254" i="14"/>
  <c r="F255" i="14"/>
  <c r="F256" i="14"/>
  <c r="F257" i="14"/>
  <c r="F258" i="14"/>
  <c r="F259" i="14"/>
  <c r="F260" i="14"/>
  <c r="F261" i="14"/>
  <c r="F262" i="14"/>
  <c r="F263" i="14"/>
  <c r="F264" i="14"/>
  <c r="F265" i="14"/>
  <c r="F266" i="14"/>
  <c r="F245" i="14"/>
  <c r="F254" i="1"/>
  <c r="F257" i="1"/>
  <c r="FM369" i="16"/>
  <c r="FG369" i="16"/>
  <c r="FM272" i="16"/>
  <c r="FG272" i="16"/>
  <c r="FB272" i="16"/>
  <c r="FM366" i="16"/>
  <c r="FG366" i="16"/>
  <c r="FM365" i="16"/>
  <c r="FG365" i="16"/>
  <c r="FM364" i="16"/>
  <c r="FG364" i="16"/>
  <c r="FM361" i="16"/>
  <c r="FG361" i="16"/>
  <c r="FM360" i="16"/>
  <c r="FG360" i="16"/>
  <c r="FM358" i="16"/>
  <c r="FG358" i="16"/>
  <c r="FM357" i="16"/>
  <c r="F390" i="16"/>
  <c r="F388" i="16"/>
  <c r="F387" i="16"/>
  <c r="Q381" i="16"/>
  <c r="AB390" i="16"/>
  <c r="AB388" i="16"/>
  <c r="AB387" i="16"/>
  <c r="F381" i="16"/>
  <c r="FG416" i="16"/>
  <c r="FG373" i="16"/>
  <c r="FB275" i="16"/>
  <c r="FB276" i="16"/>
  <c r="FB277" i="16"/>
  <c r="FB278" i="16"/>
  <c r="FB279" i="16"/>
  <c r="FB280" i="16"/>
  <c r="FB281" i="16"/>
  <c r="FB283" i="16"/>
  <c r="FB284" i="16"/>
  <c r="FB285" i="16"/>
  <c r="FB286" i="16"/>
  <c r="FB287" i="16"/>
  <c r="FB288" i="16"/>
  <c r="FB289" i="16"/>
  <c r="FB290" i="16"/>
  <c r="FB291" i="16"/>
  <c r="FB292" i="16"/>
  <c r="FB293" i="16"/>
  <c r="FB294" i="16"/>
  <c r="FB295" i="16"/>
  <c r="FB296" i="16"/>
  <c r="FB297" i="16"/>
  <c r="FB298" i="16"/>
  <c r="FB299" i="16"/>
  <c r="FB300" i="16"/>
  <c r="FB301" i="16"/>
  <c r="FB302" i="16"/>
  <c r="FB303" i="16"/>
  <c r="FB304" i="16"/>
  <c r="FB305" i="16"/>
  <c r="FB306" i="16"/>
  <c r="FB307" i="16"/>
  <c r="FB308" i="16"/>
  <c r="FB309" i="16"/>
  <c r="FB310" i="16"/>
  <c r="FB311" i="16"/>
  <c r="FB312" i="16"/>
  <c r="FB313" i="16"/>
  <c r="FB314" i="16"/>
  <c r="FB315" i="16"/>
  <c r="FB316" i="16"/>
  <c r="FB317" i="16"/>
  <c r="FB318" i="16"/>
  <c r="FB319" i="16"/>
  <c r="FB320" i="16"/>
  <c r="FB321" i="16"/>
  <c r="FB322" i="16"/>
  <c r="FB323" i="16"/>
  <c r="FB324" i="16"/>
  <c r="FB325" i="16"/>
  <c r="FB326" i="16"/>
  <c r="FB327" i="16"/>
  <c r="FB328" i="16"/>
  <c r="FB329" i="16"/>
  <c r="FB330" i="16"/>
  <c r="FB331" i="16"/>
  <c r="FB332" i="16"/>
  <c r="FB333" i="16"/>
  <c r="FB334" i="16"/>
  <c r="FB335" i="16"/>
  <c r="FB336" i="16"/>
  <c r="FB337" i="16"/>
  <c r="FB338" i="16"/>
  <c r="FB339" i="16"/>
  <c r="FB340" i="16"/>
  <c r="FB341" i="16"/>
  <c r="FB342" i="16"/>
  <c r="FB343" i="16"/>
  <c r="FB344" i="16"/>
  <c r="FB345" i="16"/>
  <c r="FB346" i="16"/>
  <c r="FB347" i="16"/>
  <c r="FB348" i="16"/>
  <c r="FB349" i="16"/>
  <c r="FB352" i="16"/>
  <c r="FB353" i="16"/>
  <c r="FB354" i="16"/>
  <c r="FB355" i="16"/>
  <c r="FB356" i="16"/>
  <c r="FB357" i="16"/>
  <c r="FB358" i="16"/>
  <c r="FB359" i="16"/>
  <c r="FB360" i="16"/>
  <c r="FB361" i="16"/>
  <c r="FB362" i="16"/>
  <c r="FB363" i="16"/>
  <c r="FB364" i="16"/>
  <c r="FB365" i="16"/>
  <c r="FB366" i="16"/>
  <c r="FB367" i="16"/>
  <c r="FB368" i="16"/>
  <c r="FU368" i="16" s="1"/>
  <c r="E864" i="3" s="1"/>
  <c r="FB369" i="16"/>
  <c r="FB370" i="16"/>
  <c r="FB371" i="16"/>
  <c r="FB372" i="16"/>
  <c r="FB373" i="16"/>
  <c r="FB374" i="16"/>
  <c r="FB375" i="16"/>
  <c r="FB376" i="16"/>
  <c r="FB377" i="16"/>
  <c r="FB378" i="16"/>
  <c r="FB379" i="16"/>
  <c r="FB380" i="16"/>
  <c r="FB381" i="16"/>
  <c r="FB382" i="16"/>
  <c r="FB383" i="16"/>
  <c r="FB384" i="16"/>
  <c r="FB385" i="16"/>
  <c r="FB386" i="16"/>
  <c r="FB387" i="16"/>
  <c r="FB388" i="16"/>
  <c r="FB389" i="16"/>
  <c r="FB390" i="16"/>
  <c r="FB391" i="16"/>
  <c r="FB392" i="16"/>
  <c r="FB393" i="16"/>
  <c r="FB394" i="16"/>
  <c r="FB395" i="16"/>
  <c r="FB396" i="16"/>
  <c r="FB397" i="16"/>
  <c r="FB398" i="16"/>
  <c r="FB399" i="16"/>
  <c r="FB400" i="16"/>
  <c r="FB401" i="16"/>
  <c r="FB402" i="16"/>
  <c r="FB403" i="16"/>
  <c r="FB404" i="16"/>
  <c r="FB405" i="16"/>
  <c r="FB406" i="16"/>
  <c r="FB407" i="16"/>
  <c r="FB408" i="16"/>
  <c r="FB409" i="16"/>
  <c r="FB410" i="16"/>
  <c r="FB411" i="16"/>
  <c r="FB412" i="16"/>
  <c r="FB413" i="16"/>
  <c r="FB414" i="16"/>
  <c r="FB415" i="16"/>
  <c r="FB416" i="16"/>
  <c r="FB417" i="16"/>
  <c r="FB418" i="16"/>
  <c r="FB419" i="16"/>
  <c r="FG275" i="16"/>
  <c r="FG276" i="16"/>
  <c r="FG277" i="16"/>
  <c r="FG278" i="16"/>
  <c r="FG279" i="16"/>
  <c r="FG280" i="16"/>
  <c r="FG281" i="16"/>
  <c r="FG283" i="16"/>
  <c r="FG284" i="16"/>
  <c r="FG285" i="16"/>
  <c r="FG286" i="16"/>
  <c r="FG287" i="16"/>
  <c r="FG288" i="16"/>
  <c r="FG289" i="16"/>
  <c r="FG290" i="16"/>
  <c r="FG291" i="16"/>
  <c r="FG292" i="16"/>
  <c r="FG293" i="16"/>
  <c r="FG294" i="16"/>
  <c r="FG295" i="16"/>
  <c r="FG296" i="16"/>
  <c r="FG297" i="16"/>
  <c r="FG298" i="16"/>
  <c r="FG299" i="16"/>
  <c r="FG300" i="16"/>
  <c r="FG301" i="16"/>
  <c r="FG302" i="16"/>
  <c r="FG303" i="16"/>
  <c r="FG304" i="16"/>
  <c r="FG305" i="16"/>
  <c r="FG306" i="16"/>
  <c r="FG307" i="16"/>
  <c r="FG308" i="16"/>
  <c r="FG309" i="16"/>
  <c r="FG310" i="16"/>
  <c r="FG311" i="16"/>
  <c r="FG312" i="16"/>
  <c r="FG313" i="16"/>
  <c r="FG314" i="16"/>
  <c r="FG315" i="16"/>
  <c r="FG316" i="16"/>
  <c r="FG317" i="16"/>
  <c r="FG318" i="16"/>
  <c r="FG319" i="16"/>
  <c r="FG320" i="16"/>
  <c r="FG321" i="16"/>
  <c r="FG322" i="16"/>
  <c r="FG323" i="16"/>
  <c r="FG324" i="16"/>
  <c r="FG325" i="16"/>
  <c r="FG326" i="16"/>
  <c r="FG327" i="16"/>
  <c r="FG328" i="16"/>
  <c r="FG329" i="16"/>
  <c r="FG330" i="16"/>
  <c r="FG331" i="16"/>
  <c r="FG332" i="16"/>
  <c r="FG333" i="16"/>
  <c r="FG334" i="16"/>
  <c r="FG335" i="16"/>
  <c r="FG336" i="16"/>
  <c r="FG337" i="16"/>
  <c r="FG338" i="16"/>
  <c r="FG339" i="16"/>
  <c r="FG340" i="16"/>
  <c r="FG341" i="16"/>
  <c r="FG342" i="16"/>
  <c r="FG343" i="16"/>
  <c r="FG344" i="16"/>
  <c r="FG345" i="16"/>
  <c r="FG346" i="16"/>
  <c r="FG347" i="16"/>
  <c r="FG348" i="16"/>
  <c r="FG349" i="16"/>
  <c r="FG352" i="16"/>
  <c r="FG353" i="16"/>
  <c r="FG354" i="16"/>
  <c r="FG355" i="16"/>
  <c r="FG356" i="16"/>
  <c r="FM275" i="16"/>
  <c r="FM276" i="16"/>
  <c r="FM277" i="16"/>
  <c r="FM278" i="16"/>
  <c r="FM279" i="16"/>
  <c r="FM280" i="16"/>
  <c r="FM281" i="16"/>
  <c r="FM283" i="16"/>
  <c r="FM284" i="16"/>
  <c r="FM285" i="16"/>
  <c r="FM286" i="16"/>
  <c r="FM287" i="16"/>
  <c r="FM288" i="16"/>
  <c r="FM289" i="16"/>
  <c r="FM290" i="16"/>
  <c r="FM291" i="16"/>
  <c r="FM292" i="16"/>
  <c r="FM293" i="16"/>
  <c r="FM294" i="16"/>
  <c r="FM295" i="16"/>
  <c r="FM296" i="16"/>
  <c r="FM297" i="16"/>
  <c r="FM298" i="16"/>
  <c r="FM299" i="16"/>
  <c r="FM300" i="16"/>
  <c r="FM301" i="16"/>
  <c r="FM302" i="16"/>
  <c r="FM303" i="16"/>
  <c r="FM304" i="16"/>
  <c r="FM305" i="16"/>
  <c r="FM306" i="16"/>
  <c r="FM307" i="16"/>
  <c r="FM308" i="16"/>
  <c r="FM309" i="16"/>
  <c r="FM310" i="16"/>
  <c r="FM311" i="16"/>
  <c r="FM312" i="16"/>
  <c r="FM313" i="16"/>
  <c r="FM314" i="16"/>
  <c r="FM315" i="16"/>
  <c r="FM316" i="16"/>
  <c r="FM317" i="16"/>
  <c r="FM318" i="16"/>
  <c r="FM319" i="16"/>
  <c r="FM320" i="16"/>
  <c r="FM321" i="16"/>
  <c r="FM322" i="16"/>
  <c r="FM323" i="16"/>
  <c r="FM324" i="16"/>
  <c r="FM325" i="16"/>
  <c r="FM326" i="16"/>
  <c r="FM327" i="16"/>
  <c r="FM328" i="16"/>
  <c r="FM329" i="16"/>
  <c r="FM330" i="16"/>
  <c r="FM331" i="16"/>
  <c r="FM332" i="16"/>
  <c r="FM333" i="16"/>
  <c r="FM334" i="16"/>
  <c r="FM335" i="16"/>
  <c r="FM336" i="16"/>
  <c r="FM337" i="16"/>
  <c r="FM338" i="16"/>
  <c r="FM339" i="16"/>
  <c r="FM340" i="16"/>
  <c r="FM341" i="16"/>
  <c r="FM342" i="16"/>
  <c r="FM343" i="16"/>
  <c r="FM344" i="16"/>
  <c r="FM345" i="16"/>
  <c r="FM346" i="16"/>
  <c r="FM347" i="16"/>
  <c r="FM348" i="16"/>
  <c r="FM349" i="16"/>
  <c r="FM352" i="16"/>
  <c r="FM353" i="16"/>
  <c r="FM354" i="16"/>
  <c r="FM355" i="16"/>
  <c r="FM356" i="16"/>
  <c r="FM367" i="16"/>
  <c r="FM274" i="16"/>
  <c r="FG274" i="16"/>
  <c r="FB274" i="16"/>
  <c r="FB266" i="16"/>
  <c r="FG266" i="16"/>
  <c r="FM266" i="16"/>
  <c r="FM257" i="16"/>
  <c r="FM258" i="16"/>
  <c r="FM259" i="16"/>
  <c r="FM260" i="16"/>
  <c r="FM261" i="16"/>
  <c r="FM262" i="16"/>
  <c r="FM263" i="16"/>
  <c r="FM256" i="16"/>
  <c r="FM162" i="16"/>
  <c r="FM163" i="16"/>
  <c r="FM164" i="16"/>
  <c r="FM165" i="16"/>
  <c r="FM166" i="16"/>
  <c r="FM167" i="16"/>
  <c r="FM168" i="16"/>
  <c r="FM169" i="16"/>
  <c r="FM170" i="16"/>
  <c r="FM171" i="16"/>
  <c r="FM172" i="16"/>
  <c r="FM173" i="16"/>
  <c r="FM174" i="16"/>
  <c r="FM175" i="16"/>
  <c r="FM176" i="16"/>
  <c r="FM177" i="16"/>
  <c r="FM179" i="16"/>
  <c r="FM180" i="16"/>
  <c r="FM181" i="16"/>
  <c r="FM182" i="16"/>
  <c r="FM183" i="16"/>
  <c r="FM184" i="16"/>
  <c r="FM185" i="16"/>
  <c r="FM186" i="16"/>
  <c r="FM187" i="16"/>
  <c r="FM188" i="16"/>
  <c r="FM189" i="16"/>
  <c r="FM190" i="16"/>
  <c r="FM191" i="16"/>
  <c r="FM192" i="16"/>
  <c r="FM193" i="16"/>
  <c r="FM194" i="16"/>
  <c r="FM161" i="16"/>
  <c r="FG162" i="16"/>
  <c r="FG163" i="16"/>
  <c r="FG164" i="16"/>
  <c r="FG165" i="16"/>
  <c r="FG166" i="16"/>
  <c r="FG167" i="16"/>
  <c r="FG168" i="16"/>
  <c r="FG169" i="16"/>
  <c r="FG170" i="16"/>
  <c r="FG171" i="16"/>
  <c r="FG172" i="16"/>
  <c r="FG173" i="16"/>
  <c r="FG174" i="16"/>
  <c r="FG175" i="16"/>
  <c r="FG176" i="16"/>
  <c r="FG177" i="16"/>
  <c r="FG179" i="16"/>
  <c r="FG180" i="16"/>
  <c r="FG181" i="16"/>
  <c r="FG182" i="16"/>
  <c r="FG183" i="16"/>
  <c r="FG184" i="16"/>
  <c r="FG185" i="16"/>
  <c r="FG186" i="16"/>
  <c r="FG187" i="16"/>
  <c r="FG188" i="16"/>
  <c r="FG189" i="16"/>
  <c r="FG190" i="16"/>
  <c r="FG191" i="16"/>
  <c r="FG192" i="16"/>
  <c r="FG193" i="16"/>
  <c r="FG194" i="16"/>
  <c r="FG161" i="16"/>
  <c r="FB162" i="16"/>
  <c r="FB163" i="16"/>
  <c r="FB164" i="16"/>
  <c r="FB165" i="16"/>
  <c r="FB166" i="16"/>
  <c r="FB167" i="16"/>
  <c r="FB168" i="16"/>
  <c r="FB169" i="16"/>
  <c r="FB170" i="16"/>
  <c r="FB171" i="16"/>
  <c r="FB172" i="16"/>
  <c r="FB173" i="16"/>
  <c r="FB174" i="16"/>
  <c r="FB175" i="16"/>
  <c r="FB176" i="16"/>
  <c r="FB177" i="16"/>
  <c r="FB179" i="16"/>
  <c r="FB180" i="16"/>
  <c r="FB181" i="16"/>
  <c r="FB182" i="16"/>
  <c r="FB183" i="16"/>
  <c r="FB184" i="16"/>
  <c r="FB185" i="16"/>
  <c r="FB186" i="16"/>
  <c r="FB187" i="16"/>
  <c r="FB188" i="16"/>
  <c r="FB189" i="16"/>
  <c r="FB190" i="16"/>
  <c r="FB191" i="16"/>
  <c r="FB192" i="16"/>
  <c r="FB193" i="16"/>
  <c r="FB194" i="16"/>
  <c r="FB161" i="16"/>
  <c r="FB150" i="16"/>
  <c r="FB122" i="16"/>
  <c r="FB123" i="16"/>
  <c r="FB124" i="16"/>
  <c r="FB129" i="16"/>
  <c r="FB130" i="16"/>
  <c r="FB131" i="16"/>
  <c r="FB132" i="16"/>
  <c r="FB133" i="16"/>
  <c r="FB134" i="16"/>
  <c r="FB135" i="16"/>
  <c r="FB136" i="16"/>
  <c r="FB137" i="16"/>
  <c r="FB138" i="16"/>
  <c r="FB140" i="16"/>
  <c r="FB141" i="16"/>
  <c r="FB142" i="16"/>
  <c r="FB143" i="16"/>
  <c r="FB144" i="16"/>
  <c r="FB145" i="16"/>
  <c r="FG150" i="16"/>
  <c r="FM150" i="16"/>
  <c r="FM132" i="16"/>
  <c r="FM133" i="16"/>
  <c r="FM134" i="16"/>
  <c r="FM135" i="16"/>
  <c r="FM136" i="16"/>
  <c r="FM137" i="16"/>
  <c r="FM140" i="16"/>
  <c r="FM141" i="16"/>
  <c r="FM142" i="16"/>
  <c r="FM143" i="16"/>
  <c r="FM144" i="16"/>
  <c r="FM145" i="16"/>
  <c r="FG145" i="16"/>
  <c r="FG143" i="16"/>
  <c r="FG144" i="16"/>
  <c r="FG133" i="16"/>
  <c r="FG134" i="16"/>
  <c r="FG135" i="16"/>
  <c r="FG136" i="16"/>
  <c r="FG137" i="16"/>
  <c r="FG140" i="16"/>
  <c r="FG141" i="16"/>
  <c r="FG142" i="16"/>
  <c r="FG96" i="16"/>
  <c r="FG97" i="16"/>
  <c r="FG98" i="16"/>
  <c r="FG99" i="16"/>
  <c r="FG100" i="16"/>
  <c r="FG101" i="16"/>
  <c r="FG102" i="16"/>
  <c r="FG103" i="16"/>
  <c r="FG104" i="16"/>
  <c r="FG105" i="16"/>
  <c r="FG106" i="16"/>
  <c r="FG107" i="16"/>
  <c r="FG108" i="16"/>
  <c r="FG109" i="16"/>
  <c r="FG110" i="16"/>
  <c r="FG111" i="16"/>
  <c r="FG112" i="16"/>
  <c r="FG113" i="16"/>
  <c r="FG114" i="16"/>
  <c r="FG115" i="16"/>
  <c r="FG116" i="16"/>
  <c r="FG117" i="16"/>
  <c r="FG118" i="16"/>
  <c r="FG119" i="16"/>
  <c r="FG120" i="16"/>
  <c r="FG121" i="16"/>
  <c r="FG122" i="16"/>
  <c r="FG123" i="16"/>
  <c r="FG124" i="16"/>
  <c r="FM414" i="16"/>
  <c r="FG414" i="16"/>
  <c r="FM413" i="16"/>
  <c r="FG413" i="16"/>
  <c r="FM412" i="16"/>
  <c r="FG412" i="16"/>
  <c r="FM411" i="16"/>
  <c r="FG411" i="16"/>
  <c r="FM410" i="16"/>
  <c r="FG410" i="16"/>
  <c r="FM409" i="16"/>
  <c r="FG409" i="16"/>
  <c r="FM408" i="16"/>
  <c r="FG408" i="16"/>
  <c r="FM407" i="16"/>
  <c r="FG407" i="16"/>
  <c r="FM406" i="16"/>
  <c r="FG406" i="16"/>
  <c r="FM405" i="16"/>
  <c r="FG405" i="16"/>
  <c r="FM404" i="16"/>
  <c r="FG404" i="16"/>
  <c r="FM403" i="16"/>
  <c r="FG403" i="16"/>
  <c r="FM402" i="16"/>
  <c r="FG402" i="16"/>
  <c r="FM401" i="16"/>
  <c r="FG401" i="16"/>
  <c r="FM400" i="16"/>
  <c r="FG400" i="16"/>
  <c r="FM399" i="16"/>
  <c r="FG399" i="16"/>
  <c r="FM398" i="16"/>
  <c r="FG398" i="16"/>
  <c r="FM397" i="16"/>
  <c r="FG397" i="16"/>
  <c r="FM395" i="16"/>
  <c r="FG395" i="16"/>
  <c r="FM394" i="16"/>
  <c r="FG394" i="16"/>
  <c r="FM393" i="16"/>
  <c r="FG393" i="16"/>
  <c r="FM392" i="16"/>
  <c r="FG392" i="16"/>
  <c r="FM391" i="16"/>
  <c r="FG391" i="16"/>
  <c r="FM390" i="16"/>
  <c r="FG390" i="16"/>
  <c r="FM389" i="16"/>
  <c r="FG389" i="16"/>
  <c r="FM388" i="16"/>
  <c r="FG388" i="16"/>
  <c r="FM387" i="16"/>
  <c r="FG387" i="16"/>
  <c r="FM386" i="16"/>
  <c r="FG386" i="16"/>
  <c r="FM385" i="16"/>
  <c r="FG385" i="16"/>
  <c r="FM384" i="16"/>
  <c r="FG384" i="16"/>
  <c r="FM383" i="16"/>
  <c r="FG383" i="16"/>
  <c r="FM382" i="16"/>
  <c r="FG382" i="16"/>
  <c r="FM381" i="16"/>
  <c r="FG381" i="16"/>
  <c r="FM380" i="16"/>
  <c r="FG380" i="16"/>
  <c r="FM379" i="16"/>
  <c r="FG379" i="16"/>
  <c r="FM378" i="16"/>
  <c r="FG378" i="16"/>
  <c r="FM377" i="16"/>
  <c r="FM376" i="16"/>
  <c r="FM375" i="16"/>
  <c r="FG375" i="16"/>
  <c r="FM374" i="16"/>
  <c r="FG374" i="16"/>
  <c r="FM373" i="16"/>
  <c r="FG263" i="16"/>
  <c r="FB263" i="16"/>
  <c r="FG262" i="16"/>
  <c r="FB262" i="16"/>
  <c r="FG261" i="16"/>
  <c r="FB261" i="16"/>
  <c r="FG259" i="16"/>
  <c r="FB259" i="16"/>
  <c r="FG258" i="16"/>
  <c r="FB258" i="16"/>
  <c r="FG256" i="16"/>
  <c r="FB256" i="16"/>
  <c r="FB207" i="16"/>
  <c r="FM206" i="16"/>
  <c r="FG206" i="16"/>
  <c r="FB206" i="16"/>
  <c r="FM205" i="16"/>
  <c r="FG205" i="16"/>
  <c r="FB205" i="16"/>
  <c r="FM204" i="16"/>
  <c r="FG204" i="16"/>
  <c r="FB204" i="16"/>
  <c r="FM203" i="16"/>
  <c r="FG203" i="16"/>
  <c r="FB203" i="16"/>
  <c r="FM202" i="16"/>
  <c r="FG202" i="16"/>
  <c r="FB202" i="16"/>
  <c r="FM201" i="16"/>
  <c r="FG201" i="16"/>
  <c r="FB201" i="16"/>
  <c r="FM200" i="16"/>
  <c r="FG200" i="16"/>
  <c r="FB200" i="16"/>
  <c r="FM199" i="16"/>
  <c r="FG199" i="16"/>
  <c r="FB199" i="16"/>
  <c r="FM198" i="16"/>
  <c r="FG198" i="16"/>
  <c r="FB198" i="16"/>
  <c r="FM197" i="16"/>
  <c r="FG197" i="16"/>
  <c r="FB197" i="16"/>
  <c r="FM196" i="16"/>
  <c r="FG196" i="16"/>
  <c r="FB196" i="16"/>
  <c r="FM195" i="16"/>
  <c r="FG195" i="16"/>
  <c r="FB195" i="16"/>
  <c r="FM153" i="16"/>
  <c r="FG153" i="16"/>
  <c r="FB153" i="16"/>
  <c r="FM152" i="16"/>
  <c r="FG152" i="16"/>
  <c r="FB152" i="16"/>
  <c r="DT445" i="5"/>
  <c r="DU445" i="5"/>
  <c r="DX445" i="5"/>
  <c r="DT446" i="5"/>
  <c r="DX446" i="5"/>
  <c r="DU446" i="5"/>
  <c r="DT323" i="5"/>
  <c r="DU323" i="5"/>
  <c r="DT324" i="5"/>
  <c r="DU324" i="5"/>
  <c r="DT325" i="5"/>
  <c r="DU325" i="5"/>
  <c r="DT326" i="5"/>
  <c r="DU326" i="5"/>
  <c r="DT327" i="5"/>
  <c r="DU327" i="5"/>
  <c r="DT328" i="5"/>
  <c r="DU328" i="5"/>
  <c r="DT329" i="5"/>
  <c r="DX329" i="5"/>
  <c r="DU329" i="5"/>
  <c r="DT330" i="5"/>
  <c r="DU330" i="5"/>
  <c r="DT331" i="5"/>
  <c r="DU331" i="5"/>
  <c r="DX331" i="5"/>
  <c r="DT332" i="5"/>
  <c r="DU332" i="5"/>
  <c r="DT333" i="5"/>
  <c r="DU333" i="5"/>
  <c r="DT334" i="5"/>
  <c r="DU334" i="5"/>
  <c r="DT335" i="5"/>
  <c r="DU335" i="5"/>
  <c r="DT223" i="5"/>
  <c r="DX223" i="5"/>
  <c r="DU223" i="5"/>
  <c r="DT224" i="5"/>
  <c r="DU224" i="5"/>
  <c r="EN430" i="6"/>
  <c r="EN429" i="6"/>
  <c r="EN428" i="6"/>
  <c r="EX428" i="6" s="1"/>
  <c r="EN427" i="6"/>
  <c r="EN426" i="6"/>
  <c r="EX426" i="6"/>
  <c r="EN425" i="6"/>
  <c r="EN424" i="6"/>
  <c r="EX424" i="6"/>
  <c r="EN423" i="6"/>
  <c r="EN422" i="6"/>
  <c r="EX422" i="6"/>
  <c r="EN421" i="6"/>
  <c r="EN420" i="6"/>
  <c r="EN419" i="6"/>
  <c r="EN418" i="6"/>
  <c r="EX418" i="6"/>
  <c r="EN417" i="6"/>
  <c r="EN416" i="6"/>
  <c r="EN414" i="6"/>
  <c r="EX414" i="6" s="1"/>
  <c r="EN413" i="6"/>
  <c r="EN412" i="6"/>
  <c r="EN411" i="6"/>
  <c r="EN410" i="6"/>
  <c r="EX410" i="6"/>
  <c r="EN408" i="6"/>
  <c r="EX408" i="6"/>
  <c r="EN406" i="6"/>
  <c r="EX406" i="6"/>
  <c r="EN404" i="6"/>
  <c r="EX404" i="6"/>
  <c r="EN403" i="6"/>
  <c r="EN402" i="6"/>
  <c r="EX402" i="6" s="1"/>
  <c r="EN401" i="6"/>
  <c r="EN400" i="6"/>
  <c r="BQ266" i="9"/>
  <c r="CF266" i="9"/>
  <c r="ER13" i="6"/>
  <c r="F201" i="6"/>
  <c r="F200" i="6"/>
  <c r="F199" i="6"/>
  <c r="F198" i="6"/>
  <c r="F197" i="6"/>
  <c r="F195" i="6"/>
  <c r="F194" i="6"/>
  <c r="F193" i="6"/>
  <c r="F192" i="6"/>
  <c r="F375" i="6"/>
  <c r="F337" i="6"/>
  <c r="F331" i="6"/>
  <c r="F330" i="6"/>
  <c r="F329" i="6"/>
  <c r="F328" i="6"/>
  <c r="F325" i="6"/>
  <c r="F324" i="6"/>
  <c r="F321" i="6"/>
  <c r="F320" i="6"/>
  <c r="F319" i="6"/>
  <c r="F317" i="6"/>
  <c r="F316" i="6"/>
  <c r="F293" i="6"/>
  <c r="F237" i="6"/>
  <c r="F375" i="9"/>
  <c r="F331" i="9"/>
  <c r="F330" i="9"/>
  <c r="F329" i="9"/>
  <c r="F328" i="9"/>
  <c r="F325" i="9"/>
  <c r="F324" i="9"/>
  <c r="F321" i="9"/>
  <c r="F320" i="9"/>
  <c r="F319" i="9"/>
  <c r="EX319" i="9" s="1"/>
  <c r="F317" i="9"/>
  <c r="F316" i="9"/>
  <c r="F201" i="9"/>
  <c r="F200" i="9"/>
  <c r="EX200" i="9" s="1"/>
  <c r="F199" i="9"/>
  <c r="F198" i="9"/>
  <c r="F197" i="9"/>
  <c r="F195" i="9"/>
  <c r="F194" i="9"/>
  <c r="F193" i="9"/>
  <c r="F192" i="9"/>
  <c r="F293" i="9"/>
  <c r="F237" i="9"/>
  <c r="ER13" i="9"/>
  <c r="DE179" i="9"/>
  <c r="F283" i="9"/>
  <c r="EX283" i="9" s="1"/>
  <c r="F282" i="9"/>
  <c r="F281" i="9"/>
  <c r="F278" i="9"/>
  <c r="F277" i="9"/>
  <c r="F154" i="9"/>
  <c r="F149" i="9"/>
  <c r="F148" i="9"/>
  <c r="F147" i="9"/>
  <c r="F283" i="6"/>
  <c r="F282" i="6"/>
  <c r="F281" i="6"/>
  <c r="F278" i="6"/>
  <c r="F277" i="6"/>
  <c r="F266" i="6"/>
  <c r="F218" i="6"/>
  <c r="F154" i="6"/>
  <c r="F149" i="6"/>
  <c r="F148" i="6"/>
  <c r="BV375" i="6"/>
  <c r="BV365" i="6"/>
  <c r="BV364" i="6"/>
  <c r="BV363" i="6"/>
  <c r="BV362" i="6"/>
  <c r="BV361" i="6"/>
  <c r="BV360" i="6"/>
  <c r="BV359" i="6"/>
  <c r="BV358" i="6"/>
  <c r="BV357" i="6"/>
  <c r="BV356" i="6"/>
  <c r="BV355" i="6"/>
  <c r="BV351" i="6"/>
  <c r="BV350" i="6"/>
  <c r="BV349" i="6"/>
  <c r="BV348" i="6"/>
  <c r="BV347" i="6"/>
  <c r="BV346" i="6"/>
  <c r="BV345" i="6"/>
  <c r="BV344" i="6"/>
  <c r="BV343" i="6"/>
  <c r="BV342" i="6"/>
  <c r="BV341" i="6"/>
  <c r="BV340" i="6"/>
  <c r="BV333" i="6"/>
  <c r="EX333" i="6"/>
  <c r="BV332" i="6"/>
  <c r="EX332" i="6" s="1"/>
  <c r="BV331" i="6"/>
  <c r="BV330" i="6"/>
  <c r="BV326" i="6"/>
  <c r="BV325" i="6"/>
  <c r="BV324" i="6"/>
  <c r="BV323" i="6"/>
  <c r="EX323" i="6"/>
  <c r="BV322" i="6"/>
  <c r="BV316" i="6"/>
  <c r="BV294" i="6"/>
  <c r="BV283" i="6"/>
  <c r="BV282" i="6"/>
  <c r="BV281" i="6"/>
  <c r="BV278" i="6"/>
  <c r="BV277" i="6"/>
  <c r="BV276" i="6"/>
  <c r="BV275" i="6"/>
  <c r="BV270" i="6"/>
  <c r="BV264" i="6"/>
  <c r="EX264" i="6" s="1"/>
  <c r="BV237" i="6"/>
  <c r="BV213" i="6"/>
  <c r="BV203" i="6"/>
  <c r="EX203" i="6"/>
  <c r="BV202" i="6"/>
  <c r="BV201" i="6"/>
  <c r="BV199" i="6"/>
  <c r="BV198" i="6"/>
  <c r="BV197" i="6"/>
  <c r="BV196" i="6"/>
  <c r="BV195" i="6"/>
  <c r="BV194" i="6"/>
  <c r="BV193" i="6"/>
  <c r="BV192" i="6"/>
  <c r="BV154" i="6"/>
  <c r="BV149" i="6"/>
  <c r="BV148" i="6"/>
  <c r="BV147" i="6"/>
  <c r="BV333" i="9"/>
  <c r="EX333" i="9"/>
  <c r="BV332" i="9"/>
  <c r="EX332" i="9" s="1"/>
  <c r="BV331" i="9"/>
  <c r="BV330" i="9"/>
  <c r="BV197" i="9"/>
  <c r="BV192" i="9"/>
  <c r="F727" i="14"/>
  <c r="F728" i="14"/>
  <c r="F729" i="14"/>
  <c r="F730" i="14"/>
  <c r="F731" i="14"/>
  <c r="F732" i="14"/>
  <c r="F733" i="14"/>
  <c r="F734" i="14"/>
  <c r="F735" i="14"/>
  <c r="F736" i="14"/>
  <c r="F737" i="14"/>
  <c r="F738" i="14"/>
  <c r="F739" i="14"/>
  <c r="F740" i="14"/>
  <c r="F741" i="14"/>
  <c r="F742" i="14"/>
  <c r="F743" i="14"/>
  <c r="F744" i="14"/>
  <c r="F745" i="14"/>
  <c r="F746" i="14"/>
  <c r="F747" i="14"/>
  <c r="F726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5" i="14"/>
  <c r="F727" i="15"/>
  <c r="F728" i="15"/>
  <c r="F729" i="15"/>
  <c r="F730" i="15"/>
  <c r="F731" i="15"/>
  <c r="F732" i="15"/>
  <c r="F733" i="15"/>
  <c r="F734" i="15"/>
  <c r="F735" i="15"/>
  <c r="F736" i="15"/>
  <c r="F737" i="15"/>
  <c r="F738" i="15"/>
  <c r="F739" i="15"/>
  <c r="F740" i="15"/>
  <c r="F741" i="15"/>
  <c r="F742" i="15"/>
  <c r="F743" i="15"/>
  <c r="F744" i="15"/>
  <c r="F745" i="15"/>
  <c r="F746" i="15"/>
  <c r="F747" i="15"/>
  <c r="F726" i="15"/>
  <c r="F6" i="15"/>
  <c r="F7" i="15"/>
  <c r="F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24" i="15"/>
  <c r="F25" i="15"/>
  <c r="F26" i="15"/>
  <c r="F5" i="15"/>
  <c r="F702" i="15"/>
  <c r="F703" i="15"/>
  <c r="F704" i="15"/>
  <c r="F705" i="15"/>
  <c r="F706" i="15"/>
  <c r="F701" i="15"/>
  <c r="F696" i="15"/>
  <c r="F697" i="15"/>
  <c r="F698" i="15"/>
  <c r="F699" i="15"/>
  <c r="F700" i="15"/>
  <c r="F695" i="15"/>
  <c r="F686" i="15"/>
  <c r="F687" i="15"/>
  <c r="F688" i="15"/>
  <c r="F689" i="15"/>
  <c r="F690" i="15"/>
  <c r="F691" i="15"/>
  <c r="F692" i="15"/>
  <c r="F685" i="15"/>
  <c r="F678" i="15"/>
  <c r="F679" i="15"/>
  <c r="F680" i="15"/>
  <c r="F681" i="15"/>
  <c r="F682" i="15"/>
  <c r="F683" i="15"/>
  <c r="F684" i="15"/>
  <c r="F677" i="15"/>
  <c r="F486" i="15"/>
  <c r="F487" i="15"/>
  <c r="F488" i="15"/>
  <c r="F489" i="15"/>
  <c r="F490" i="15"/>
  <c r="F491" i="15"/>
  <c r="F492" i="15"/>
  <c r="F493" i="15"/>
  <c r="F494" i="15"/>
  <c r="F495" i="15"/>
  <c r="F496" i="15"/>
  <c r="F497" i="15"/>
  <c r="F498" i="15"/>
  <c r="F499" i="15"/>
  <c r="F500" i="15"/>
  <c r="F501" i="15"/>
  <c r="F502" i="15"/>
  <c r="F503" i="15"/>
  <c r="F504" i="15"/>
  <c r="F505" i="15"/>
  <c r="F506" i="15"/>
  <c r="F485" i="15"/>
  <c r="F486" i="14"/>
  <c r="F487" i="14"/>
  <c r="F488" i="14"/>
  <c r="F489" i="14"/>
  <c r="F490" i="14"/>
  <c r="F491" i="14"/>
  <c r="F492" i="14"/>
  <c r="F493" i="14"/>
  <c r="F494" i="14"/>
  <c r="F495" i="14"/>
  <c r="F496" i="14"/>
  <c r="F497" i="14"/>
  <c r="F498" i="14"/>
  <c r="F499" i="14"/>
  <c r="F500" i="14"/>
  <c r="F501" i="14"/>
  <c r="F502" i="14"/>
  <c r="F503" i="14"/>
  <c r="F504" i="14"/>
  <c r="F505" i="14"/>
  <c r="F506" i="14"/>
  <c r="F485" i="14"/>
  <c r="F30" i="14"/>
  <c r="F31" i="14"/>
  <c r="F32" i="14"/>
  <c r="F33" i="14"/>
  <c r="F28" i="14" s="1"/>
  <c r="F34" i="14"/>
  <c r="F35" i="14"/>
  <c r="F36" i="14"/>
  <c r="F37" i="14"/>
  <c r="F38" i="14"/>
  <c r="F39" i="14"/>
  <c r="F40" i="14"/>
  <c r="F41" i="14"/>
  <c r="F42" i="14"/>
  <c r="F43" i="14"/>
  <c r="F44" i="14"/>
  <c r="F45" i="14"/>
  <c r="F46" i="14"/>
  <c r="F47" i="14"/>
  <c r="F48" i="14"/>
  <c r="F49" i="14"/>
  <c r="F50" i="14"/>
  <c r="F29" i="14"/>
  <c r="DU300" i="5"/>
  <c r="DT264" i="5"/>
  <c r="DU264" i="5"/>
  <c r="DT265" i="5"/>
  <c r="DU265" i="5"/>
  <c r="DT190" i="5"/>
  <c r="DU190" i="5"/>
  <c r="DT191" i="5"/>
  <c r="DU191" i="5"/>
  <c r="DT192" i="5"/>
  <c r="DU192" i="5"/>
  <c r="DT193" i="5"/>
  <c r="DU193" i="5"/>
  <c r="DT194" i="5"/>
  <c r="DU194" i="5"/>
  <c r="DT195" i="5"/>
  <c r="DU195" i="5"/>
  <c r="DT196" i="5"/>
  <c r="DU196" i="5"/>
  <c r="DT197" i="5"/>
  <c r="DU197" i="5"/>
  <c r="DT198" i="5"/>
  <c r="DU198" i="5"/>
  <c r="DT199" i="5"/>
  <c r="DU199" i="5"/>
  <c r="DT200" i="5"/>
  <c r="DU200" i="5"/>
  <c r="DT201" i="5"/>
  <c r="DU201" i="5"/>
  <c r="DT202" i="5"/>
  <c r="DU202" i="5"/>
  <c r="DT203" i="5"/>
  <c r="DU203" i="5"/>
  <c r="DT204" i="5"/>
  <c r="DU204" i="5"/>
  <c r="DT205" i="5"/>
  <c r="DX205" i="5" s="1"/>
  <c r="DU205" i="5"/>
  <c r="DT206" i="5"/>
  <c r="DU206" i="5"/>
  <c r="DT207" i="5"/>
  <c r="DU207" i="5"/>
  <c r="DT208" i="5"/>
  <c r="DU208" i="5"/>
  <c r="DT209" i="5"/>
  <c r="DX209" i="5" s="1"/>
  <c r="DU209" i="5"/>
  <c r="DT210" i="5"/>
  <c r="DU210" i="5"/>
  <c r="DT211" i="5"/>
  <c r="DX211" i="5"/>
  <c r="E89" i="3" s="1"/>
  <c r="DU211" i="5"/>
  <c r="DT212" i="5"/>
  <c r="DU212" i="5"/>
  <c r="DT214" i="5"/>
  <c r="DU214" i="5"/>
  <c r="DT215" i="5"/>
  <c r="DU215" i="5"/>
  <c r="DT216" i="5"/>
  <c r="DX216" i="5"/>
  <c r="DU216" i="5"/>
  <c r="DT217" i="5"/>
  <c r="DU217" i="5"/>
  <c r="DT218" i="5"/>
  <c r="DU218" i="5"/>
  <c r="DT219" i="5"/>
  <c r="DU219" i="5"/>
  <c r="DT220" i="5"/>
  <c r="DU220" i="5"/>
  <c r="DT221" i="5"/>
  <c r="DU221" i="5"/>
  <c r="DT222" i="5"/>
  <c r="DU222" i="5"/>
  <c r="DT225" i="5"/>
  <c r="DU225" i="5"/>
  <c r="DT226" i="5"/>
  <c r="DU226" i="5"/>
  <c r="DX226" i="5" s="1"/>
  <c r="DT227" i="5"/>
  <c r="DU227" i="5"/>
  <c r="DT228" i="5"/>
  <c r="DX228" i="5" s="1"/>
  <c r="DU228" i="5"/>
  <c r="DT229" i="5"/>
  <c r="DU229" i="5"/>
  <c r="DT230" i="5"/>
  <c r="DX230" i="5" s="1"/>
  <c r="DU230" i="5"/>
  <c r="DT231" i="5"/>
  <c r="DU231" i="5"/>
  <c r="DT234" i="5"/>
  <c r="DU234" i="5"/>
  <c r="DT235" i="5"/>
  <c r="DU235" i="5"/>
  <c r="DT236" i="5"/>
  <c r="DU236" i="5"/>
  <c r="DT237" i="5"/>
  <c r="DU237" i="5"/>
  <c r="DT239" i="5"/>
  <c r="DU239" i="5"/>
  <c r="DT240" i="5"/>
  <c r="DU240" i="5"/>
  <c r="DT241" i="5"/>
  <c r="DU241" i="5"/>
  <c r="DT242" i="5"/>
  <c r="DU242" i="5"/>
  <c r="DT243" i="5"/>
  <c r="DU243" i="5"/>
  <c r="DT244" i="5"/>
  <c r="DU244" i="5"/>
  <c r="DT245" i="5"/>
  <c r="DU245" i="5"/>
  <c r="DT246" i="5"/>
  <c r="DU246" i="5"/>
  <c r="DT247" i="5"/>
  <c r="DU247" i="5"/>
  <c r="DT248" i="5"/>
  <c r="DU248" i="5"/>
  <c r="DT249" i="5"/>
  <c r="DU249" i="5"/>
  <c r="DT250" i="5"/>
  <c r="DX250" i="5"/>
  <c r="DU250" i="5"/>
  <c r="DT251" i="5"/>
  <c r="DX251" i="5"/>
  <c r="DU251" i="5"/>
  <c r="DT252" i="5"/>
  <c r="DU252" i="5"/>
  <c r="DT253" i="5"/>
  <c r="DX253" i="5"/>
  <c r="DU253" i="5"/>
  <c r="DT254" i="5"/>
  <c r="DU254" i="5"/>
  <c r="DT255" i="5"/>
  <c r="DU255" i="5"/>
  <c r="DT256" i="5"/>
  <c r="DU256" i="5"/>
  <c r="DT257" i="5"/>
  <c r="DU257" i="5"/>
  <c r="DT258" i="5"/>
  <c r="DU258" i="5"/>
  <c r="DT259" i="5"/>
  <c r="DX259" i="5"/>
  <c r="E137" i="3"/>
  <c r="DU259" i="5"/>
  <c r="DT260" i="5"/>
  <c r="DU260" i="5"/>
  <c r="DT261" i="5"/>
  <c r="DU261" i="5"/>
  <c r="DT262" i="5"/>
  <c r="DU262" i="5"/>
  <c r="DT263" i="5"/>
  <c r="DU263" i="5"/>
  <c r="DT266" i="5"/>
  <c r="DU266" i="5"/>
  <c r="DT268" i="5"/>
  <c r="DX268" i="5"/>
  <c r="DU268" i="5"/>
  <c r="DT269" i="5"/>
  <c r="DU269" i="5"/>
  <c r="DT270" i="5"/>
  <c r="DU270" i="5"/>
  <c r="DT271" i="5"/>
  <c r="DU271" i="5"/>
  <c r="DT272" i="5"/>
  <c r="DU272" i="5"/>
  <c r="DT273" i="5"/>
  <c r="DU273" i="5"/>
  <c r="DT274" i="5"/>
  <c r="DU274" i="5"/>
  <c r="DT275" i="5"/>
  <c r="DU275" i="5"/>
  <c r="DT276" i="5"/>
  <c r="DU276" i="5"/>
  <c r="DT277" i="5"/>
  <c r="DU277" i="5"/>
  <c r="DT278" i="5"/>
  <c r="DU278" i="5"/>
  <c r="DT279" i="5"/>
  <c r="DU279" i="5"/>
  <c r="DT280" i="5"/>
  <c r="DU280" i="5"/>
  <c r="DT281" i="5"/>
  <c r="DU281" i="5"/>
  <c r="DT282" i="5"/>
  <c r="DX282" i="5"/>
  <c r="DU282" i="5"/>
  <c r="DT283" i="5"/>
  <c r="DU283" i="5"/>
  <c r="DT284" i="5"/>
  <c r="DU284" i="5"/>
  <c r="DX284" i="5" s="1"/>
  <c r="DT285" i="5"/>
  <c r="DU285" i="5"/>
  <c r="DT286" i="5"/>
  <c r="DU286" i="5"/>
  <c r="DT287" i="5"/>
  <c r="DU287" i="5"/>
  <c r="DX287" i="5"/>
  <c r="DT288" i="5"/>
  <c r="DU288" i="5"/>
  <c r="DT289" i="5"/>
  <c r="DU289" i="5"/>
  <c r="DX289" i="5" s="1"/>
  <c r="DT290" i="5"/>
  <c r="DU290" i="5"/>
  <c r="DT291" i="5"/>
  <c r="DU291" i="5"/>
  <c r="DT292" i="5"/>
  <c r="DX292" i="5" s="1"/>
  <c r="DU292" i="5"/>
  <c r="DT293" i="5"/>
  <c r="DU293" i="5"/>
  <c r="DT294" i="5"/>
  <c r="DU294" i="5"/>
  <c r="DT295" i="5"/>
  <c r="DX295" i="5"/>
  <c r="DU295" i="5"/>
  <c r="DT296" i="5"/>
  <c r="DU296" i="5"/>
  <c r="DT297" i="5"/>
  <c r="DX297" i="5"/>
  <c r="DU297" i="5"/>
  <c r="DT298" i="5"/>
  <c r="DU298" i="5"/>
  <c r="DT299" i="5"/>
  <c r="DX299" i="5"/>
  <c r="DU299" i="5"/>
  <c r="DT300" i="5"/>
  <c r="DX300" i="5"/>
  <c r="DT301" i="5"/>
  <c r="DU301" i="5"/>
  <c r="DT302" i="5"/>
  <c r="DU302" i="5"/>
  <c r="DT303" i="5"/>
  <c r="DU303" i="5"/>
  <c r="DT304" i="5"/>
  <c r="DU304" i="5"/>
  <c r="DT305" i="5"/>
  <c r="DU305" i="5"/>
  <c r="DT312" i="5"/>
  <c r="DU312" i="5"/>
  <c r="DT313" i="5"/>
  <c r="DU313" i="5"/>
  <c r="DX313" i="5"/>
  <c r="DT316" i="5"/>
  <c r="DU316" i="5"/>
  <c r="DT317" i="5"/>
  <c r="DU317" i="5"/>
  <c r="DT318" i="5"/>
  <c r="DU318" i="5"/>
  <c r="DT319" i="5"/>
  <c r="DU319" i="5"/>
  <c r="DT320" i="5"/>
  <c r="DU320" i="5"/>
  <c r="DT321" i="5"/>
  <c r="DU321" i="5"/>
  <c r="DT322" i="5"/>
  <c r="DU322" i="5"/>
  <c r="DT336" i="5"/>
  <c r="DU336" i="5"/>
  <c r="DT337" i="5"/>
  <c r="DU337" i="5"/>
  <c r="DT338" i="5"/>
  <c r="DU338" i="5"/>
  <c r="DT339" i="5"/>
  <c r="DU339" i="5"/>
  <c r="DT373" i="5"/>
  <c r="DX373" i="5" s="1"/>
  <c r="DU373" i="5"/>
  <c r="DT374" i="5"/>
  <c r="DU374" i="5"/>
  <c r="DT375" i="5"/>
  <c r="DU375" i="5"/>
  <c r="DT376" i="5"/>
  <c r="DU376" i="5"/>
  <c r="DT377" i="5"/>
  <c r="DU377" i="5"/>
  <c r="DT378" i="5"/>
  <c r="DU378" i="5"/>
  <c r="DT380" i="5"/>
  <c r="DU380" i="5"/>
  <c r="DT381" i="5"/>
  <c r="DU381" i="5"/>
  <c r="DX381" i="5"/>
  <c r="DT384" i="5"/>
  <c r="DU384" i="5"/>
  <c r="DT385" i="5"/>
  <c r="DU385" i="5"/>
  <c r="DT386" i="5"/>
  <c r="DU386" i="5"/>
  <c r="DT387" i="5"/>
  <c r="DU387" i="5"/>
  <c r="DT388" i="5"/>
  <c r="DU388" i="5"/>
  <c r="DT389" i="5"/>
  <c r="DX389" i="5" s="1"/>
  <c r="DU389" i="5"/>
  <c r="DT390" i="5"/>
  <c r="DU390" i="5"/>
  <c r="DT391" i="5"/>
  <c r="DX391" i="5" s="1"/>
  <c r="DU391" i="5"/>
  <c r="DT392" i="5"/>
  <c r="DU392" i="5"/>
  <c r="DT393" i="5"/>
  <c r="DU393" i="5"/>
  <c r="DT394" i="5"/>
  <c r="DU394" i="5"/>
  <c r="DT395" i="5"/>
  <c r="DU395" i="5"/>
  <c r="DT396" i="5"/>
  <c r="DX396" i="5" s="1"/>
  <c r="E274" i="3" s="1"/>
  <c r="DU396" i="5"/>
  <c r="DT400" i="5"/>
  <c r="DX400" i="5"/>
  <c r="DU400" i="5"/>
  <c r="DT401" i="5"/>
  <c r="DU401" i="5"/>
  <c r="DT402" i="5"/>
  <c r="DX402" i="5"/>
  <c r="DU402" i="5"/>
  <c r="DT403" i="5"/>
  <c r="DU403" i="5"/>
  <c r="DT404" i="5"/>
  <c r="DU404" i="5"/>
  <c r="DX404" i="5" s="1"/>
  <c r="E282" i="3" s="1"/>
  <c r="DT405" i="5"/>
  <c r="DX405" i="5"/>
  <c r="DU405" i="5"/>
  <c r="DT406" i="5"/>
  <c r="DX406" i="5" s="1"/>
  <c r="DU406" i="5"/>
  <c r="DT407" i="5"/>
  <c r="DU407" i="5"/>
  <c r="DT408" i="5"/>
  <c r="DU408" i="5"/>
  <c r="DT409" i="5"/>
  <c r="DU409" i="5"/>
  <c r="DX409" i="5" s="1"/>
  <c r="DT410" i="5"/>
  <c r="DU410" i="5"/>
  <c r="DX410" i="5" s="1"/>
  <c r="DT411" i="5"/>
  <c r="DX411" i="5"/>
  <c r="DU411" i="5"/>
  <c r="DT412" i="5"/>
  <c r="DX412" i="5"/>
  <c r="E290" i="3" s="1"/>
  <c r="DU412" i="5"/>
  <c r="DT413" i="5"/>
  <c r="DU413" i="5"/>
  <c r="DT414" i="5"/>
  <c r="DX414" i="5" s="1"/>
  <c r="DU414" i="5"/>
  <c r="DT415" i="5"/>
  <c r="DX415" i="5" s="1"/>
  <c r="DU415" i="5"/>
  <c r="DT416" i="5"/>
  <c r="DU416" i="5"/>
  <c r="DT417" i="5"/>
  <c r="DU417" i="5"/>
  <c r="DT418" i="5"/>
  <c r="DX418" i="5"/>
  <c r="DU418" i="5"/>
  <c r="DT419" i="5"/>
  <c r="DU419" i="5"/>
  <c r="DT420" i="5"/>
  <c r="DX420" i="5"/>
  <c r="DU420" i="5"/>
  <c r="DT421" i="5"/>
  <c r="DU421" i="5"/>
  <c r="DT422" i="5"/>
  <c r="DU422" i="5"/>
  <c r="DT423" i="5"/>
  <c r="DX423" i="5" s="1"/>
  <c r="DU423" i="5"/>
  <c r="DT424" i="5"/>
  <c r="DU424" i="5"/>
  <c r="DX424" i="5"/>
  <c r="DT425" i="5"/>
  <c r="DX425" i="5"/>
  <c r="DU425" i="5"/>
  <c r="DT426" i="5"/>
  <c r="DX426" i="5" s="1"/>
  <c r="DU426" i="5"/>
  <c r="DT427" i="5"/>
  <c r="DX427" i="5" s="1"/>
  <c r="DU427" i="5"/>
  <c r="DT428" i="5"/>
  <c r="DX428" i="5" s="1"/>
  <c r="E306" i="3" s="1"/>
  <c r="DU428" i="5"/>
  <c r="DT429" i="5"/>
  <c r="DU429" i="5"/>
  <c r="DT430" i="5"/>
  <c r="DX430" i="5" s="1"/>
  <c r="DU430" i="5"/>
  <c r="DT431" i="5"/>
  <c r="DX431" i="5"/>
  <c r="DU431" i="5"/>
  <c r="DT432" i="5"/>
  <c r="DU432" i="5"/>
  <c r="DT439" i="5"/>
  <c r="DU439" i="5"/>
  <c r="DT440" i="5"/>
  <c r="DU440" i="5"/>
  <c r="DT441" i="5"/>
  <c r="DU441" i="5"/>
  <c r="DX441" i="5" s="1"/>
  <c r="DT442" i="5"/>
  <c r="DU442" i="5"/>
  <c r="DX442" i="5" s="1"/>
  <c r="DT443" i="5"/>
  <c r="DU443" i="5"/>
  <c r="DX443" i="5" s="1"/>
  <c r="DT444" i="5"/>
  <c r="DU444" i="5"/>
  <c r="DT447" i="5"/>
  <c r="DU447" i="5"/>
  <c r="DX447" i="5" s="1"/>
  <c r="DT448" i="5"/>
  <c r="DU448" i="5"/>
  <c r="DT449" i="5"/>
  <c r="DU449" i="5"/>
  <c r="DT450" i="5"/>
  <c r="DX450" i="5" s="1"/>
  <c r="DU450" i="5"/>
  <c r="DT451" i="5"/>
  <c r="DU451" i="5"/>
  <c r="DT452" i="5"/>
  <c r="DU452" i="5"/>
  <c r="DT453" i="5"/>
  <c r="DU453" i="5"/>
  <c r="DT454" i="5"/>
  <c r="DU454" i="5"/>
  <c r="DT455" i="5"/>
  <c r="DU455" i="5"/>
  <c r="DT456" i="5"/>
  <c r="DU456" i="5"/>
  <c r="DT457" i="5"/>
  <c r="DU457" i="5"/>
  <c r="DT458" i="5"/>
  <c r="DU458" i="5"/>
  <c r="DT459" i="5"/>
  <c r="DU459" i="5"/>
  <c r="DT460" i="5"/>
  <c r="DU460" i="5"/>
  <c r="DT461" i="5"/>
  <c r="DU461" i="5"/>
  <c r="DT462" i="5"/>
  <c r="DU462" i="5"/>
  <c r="DT463" i="5"/>
  <c r="DU463" i="5"/>
  <c r="DT464" i="5"/>
  <c r="DX464" i="5" s="1"/>
  <c r="DU464" i="5"/>
  <c r="DT465" i="5"/>
  <c r="DU465" i="5"/>
  <c r="DT466" i="5"/>
  <c r="DU466" i="5"/>
  <c r="DT467" i="5"/>
  <c r="DU467" i="5"/>
  <c r="DT468" i="5"/>
  <c r="DU468" i="5"/>
  <c r="DT469" i="5"/>
  <c r="DU469" i="5"/>
  <c r="DT470" i="5"/>
  <c r="DU470" i="5"/>
  <c r="DT471" i="5"/>
  <c r="DU471" i="5"/>
  <c r="DT472" i="5"/>
  <c r="DU472" i="5"/>
  <c r="DT473" i="5"/>
  <c r="DU473" i="5"/>
  <c r="DT474" i="5"/>
  <c r="DU474" i="5"/>
  <c r="DT475" i="5"/>
  <c r="DU475" i="5"/>
  <c r="DT476" i="5"/>
  <c r="DU476" i="5"/>
  <c r="DT477" i="5"/>
  <c r="DU477" i="5"/>
  <c r="DT478" i="5"/>
  <c r="DU478" i="5"/>
  <c r="DT479" i="5"/>
  <c r="DU479" i="5"/>
  <c r="DT480" i="5"/>
  <c r="DU480" i="5"/>
  <c r="DT481" i="5"/>
  <c r="DU481" i="5"/>
  <c r="DT482" i="5"/>
  <c r="DU482" i="5"/>
  <c r="DT483" i="5"/>
  <c r="DU483" i="5"/>
  <c r="DT484" i="5"/>
  <c r="DU484" i="5"/>
  <c r="DT485" i="5"/>
  <c r="DU485" i="5"/>
  <c r="DT486" i="5"/>
  <c r="DX486" i="5"/>
  <c r="DU486" i="5"/>
  <c r="DT487" i="5"/>
  <c r="DX487" i="5" s="1"/>
  <c r="DU487" i="5"/>
  <c r="DT488" i="5"/>
  <c r="DU488" i="5"/>
  <c r="DT489" i="5"/>
  <c r="DU489" i="5"/>
  <c r="DT490" i="5"/>
  <c r="DU490" i="5"/>
  <c r="DT491" i="5"/>
  <c r="DU491" i="5"/>
  <c r="DT492" i="5"/>
  <c r="DU492" i="5"/>
  <c r="DT493" i="5"/>
  <c r="DX493" i="5"/>
  <c r="DU493" i="5"/>
  <c r="DT494" i="5"/>
  <c r="DU494" i="5"/>
  <c r="DT495" i="5"/>
  <c r="DU495" i="5"/>
  <c r="DT496" i="5"/>
  <c r="DU496" i="5"/>
  <c r="DT497" i="5"/>
  <c r="DU497" i="5"/>
  <c r="DT498" i="5"/>
  <c r="DU498" i="5"/>
  <c r="DT499" i="5"/>
  <c r="DU499" i="5"/>
  <c r="DT500" i="5"/>
  <c r="DU500" i="5"/>
  <c r="DT501" i="5"/>
  <c r="DU501" i="5"/>
  <c r="DT502" i="5"/>
  <c r="DU502" i="5"/>
  <c r="DT503" i="5"/>
  <c r="DU503" i="5"/>
  <c r="DT504" i="5"/>
  <c r="DU504" i="5"/>
  <c r="DT505" i="5"/>
  <c r="DU505" i="5"/>
  <c r="DT506" i="5"/>
  <c r="DU506" i="5"/>
  <c r="DT507" i="5"/>
  <c r="DU507" i="5"/>
  <c r="DT508" i="5"/>
  <c r="DU508" i="5"/>
  <c r="DT509" i="5"/>
  <c r="DU509" i="5"/>
  <c r="DT510" i="5"/>
  <c r="DU510" i="5"/>
  <c r="DT511" i="5"/>
  <c r="DU511" i="5"/>
  <c r="DT512" i="5"/>
  <c r="DU512" i="5"/>
  <c r="DT513" i="5"/>
  <c r="DX513" i="5" s="1"/>
  <c r="DU513" i="5"/>
  <c r="DT514" i="5"/>
  <c r="DU514" i="5"/>
  <c r="DT515" i="5"/>
  <c r="DU515" i="5"/>
  <c r="DT516" i="5"/>
  <c r="DU516" i="5"/>
  <c r="DT517" i="5"/>
  <c r="DU517" i="5"/>
  <c r="DT518" i="5"/>
  <c r="DU518" i="5"/>
  <c r="DT519" i="5"/>
  <c r="DU519" i="5"/>
  <c r="DT520" i="5"/>
  <c r="DU520" i="5"/>
  <c r="DT521" i="5"/>
  <c r="DU521" i="5"/>
  <c r="DT522" i="5"/>
  <c r="DU522" i="5"/>
  <c r="DT523" i="5"/>
  <c r="DX523" i="5" s="1"/>
  <c r="DU523" i="5"/>
  <c r="DT524" i="5"/>
  <c r="DU524" i="5"/>
  <c r="DT525" i="5"/>
  <c r="DU525" i="5"/>
  <c r="DT526" i="5"/>
  <c r="DU526" i="5"/>
  <c r="DT527" i="5"/>
  <c r="DU527" i="5"/>
  <c r="DX527" i="5" s="1"/>
  <c r="DT528" i="5"/>
  <c r="DU528" i="5"/>
  <c r="EX142" i="6"/>
  <c r="EX150" i="6"/>
  <c r="EX151" i="6"/>
  <c r="EX155" i="6"/>
  <c r="EX160" i="6"/>
  <c r="EX162" i="6"/>
  <c r="EX165" i="6"/>
  <c r="EX182" i="6"/>
  <c r="EX184" i="6"/>
  <c r="EX186" i="6"/>
  <c r="EX187" i="6"/>
  <c r="EX189" i="6"/>
  <c r="EX204" i="6"/>
  <c r="EX205" i="6"/>
  <c r="EX206" i="6"/>
  <c r="EX207" i="6"/>
  <c r="EX208" i="6"/>
  <c r="EX209" i="6"/>
  <c r="EX210" i="6"/>
  <c r="EX211" i="6"/>
  <c r="EX212" i="6"/>
  <c r="EX217" i="6"/>
  <c r="EX221" i="6"/>
  <c r="EX222" i="6"/>
  <c r="EX228" i="6"/>
  <c r="EX230" i="6"/>
  <c r="EX240" i="6"/>
  <c r="EX241" i="6"/>
  <c r="EX243" i="6"/>
  <c r="EX245" i="6"/>
  <c r="EX246" i="6"/>
  <c r="EX248" i="6"/>
  <c r="EX250" i="6"/>
  <c r="EX263" i="6"/>
  <c r="EX265" i="6"/>
  <c r="EX268" i="6"/>
  <c r="EX269" i="6"/>
  <c r="EX275" i="6"/>
  <c r="EX277" i="6"/>
  <c r="EX279" i="6"/>
  <c r="EX284" i="6"/>
  <c r="EX285" i="6"/>
  <c r="EX289" i="6"/>
  <c r="EX290" i="6"/>
  <c r="EX292" i="6"/>
  <c r="EX302" i="6"/>
  <c r="EX303" i="6"/>
  <c r="EX304" i="6"/>
  <c r="EX305" i="6"/>
  <c r="EX318" i="6"/>
  <c r="EX334" i="6"/>
  <c r="EX352" i="6"/>
  <c r="EX353" i="6"/>
  <c r="EX354" i="6"/>
  <c r="EX366" i="6"/>
  <c r="EX367" i="6"/>
  <c r="EX368" i="6"/>
  <c r="EX385" i="6"/>
  <c r="EX388" i="6"/>
  <c r="EX389" i="6"/>
  <c r="EX390" i="6"/>
  <c r="EX391" i="6"/>
  <c r="EX392" i="6"/>
  <c r="EX393" i="6"/>
  <c r="EX394" i="6"/>
  <c r="EX395" i="6"/>
  <c r="EX396" i="6"/>
  <c r="EX399" i="6"/>
  <c r="EX400" i="6"/>
  <c r="EX401" i="6"/>
  <c r="EX403" i="6"/>
  <c r="EX405" i="6"/>
  <c r="EX407" i="6"/>
  <c r="EX409" i="6"/>
  <c r="EX411" i="6"/>
  <c r="EX412" i="6"/>
  <c r="EX413" i="6"/>
  <c r="EX415" i="6"/>
  <c r="EX416" i="6"/>
  <c r="EX417" i="6"/>
  <c r="EX419" i="6"/>
  <c r="EX420" i="6"/>
  <c r="EX421" i="6"/>
  <c r="EX423" i="6"/>
  <c r="EX425" i="6"/>
  <c r="EX427" i="6"/>
  <c r="EX429" i="6"/>
  <c r="EX430" i="6"/>
  <c r="EX431" i="6"/>
  <c r="EX432" i="6"/>
  <c r="EX444" i="9"/>
  <c r="EX443" i="9"/>
  <c r="EX442" i="9"/>
  <c r="EX441" i="9"/>
  <c r="EX440" i="9"/>
  <c r="EX439" i="9"/>
  <c r="EX438" i="9"/>
  <c r="EX437" i="9"/>
  <c r="EX436" i="9"/>
  <c r="EX435" i="9"/>
  <c r="EX434" i="9"/>
  <c r="EX433" i="9"/>
  <c r="EN429" i="9"/>
  <c r="EX429" i="9"/>
  <c r="EN427" i="9"/>
  <c r="EX427" i="9"/>
  <c r="EN425" i="9"/>
  <c r="EX425" i="9" s="1"/>
  <c r="EN423" i="9"/>
  <c r="EX423" i="9"/>
  <c r="EN421" i="9"/>
  <c r="EX421" i="9"/>
  <c r="EN419" i="9"/>
  <c r="EX419" i="9"/>
  <c r="EN417" i="9"/>
  <c r="EX417" i="9" s="1"/>
  <c r="EN415" i="9"/>
  <c r="EX415" i="9"/>
  <c r="EN413" i="9"/>
  <c r="EX413" i="9"/>
  <c r="EN411" i="9"/>
  <c r="EX411" i="9"/>
  <c r="EN409" i="9"/>
  <c r="EX409" i="9" s="1"/>
  <c r="EN407" i="9"/>
  <c r="EX407" i="9"/>
  <c r="EN405" i="9"/>
  <c r="EX405" i="9"/>
  <c r="EN403" i="9"/>
  <c r="EX403" i="9"/>
  <c r="EN401" i="9"/>
  <c r="EX401" i="9" s="1"/>
  <c r="EN399" i="9"/>
  <c r="EX399" i="9" s="1"/>
  <c r="AC387" i="9"/>
  <c r="X387" i="9"/>
  <c r="AR386" i="9"/>
  <c r="AM386" i="9"/>
  <c r="AC386" i="9"/>
  <c r="X386" i="9"/>
  <c r="S386" i="9"/>
  <c r="N386" i="9"/>
  <c r="EI381" i="9"/>
  <c r="ED381" i="9"/>
  <c r="DY381" i="9"/>
  <c r="DT381" i="9"/>
  <c r="DO381" i="9"/>
  <c r="DJ381" i="9"/>
  <c r="EI380" i="9"/>
  <c r="ED380" i="9"/>
  <c r="DY380" i="9"/>
  <c r="DT380" i="9"/>
  <c r="DO380" i="9"/>
  <c r="DJ380" i="9"/>
  <c r="EI378" i="9"/>
  <c r="ED378" i="9"/>
  <c r="DY378" i="9"/>
  <c r="DT378" i="9"/>
  <c r="DO378" i="9"/>
  <c r="DJ378" i="9"/>
  <c r="EI377" i="9"/>
  <c r="ED377" i="9"/>
  <c r="DY377" i="9"/>
  <c r="DT377" i="9"/>
  <c r="DO377" i="9"/>
  <c r="DJ377" i="9"/>
  <c r="EI376" i="9"/>
  <c r="ED376" i="9"/>
  <c r="DY376" i="9"/>
  <c r="DT376" i="9"/>
  <c r="DO376" i="9"/>
  <c r="DJ376" i="9"/>
  <c r="EI375" i="9"/>
  <c r="ED375" i="9"/>
  <c r="DY375" i="9"/>
  <c r="DT375" i="9"/>
  <c r="DO375" i="9"/>
  <c r="DJ375" i="9"/>
  <c r="DE375" i="9"/>
  <c r="CZ375" i="9"/>
  <c r="CU375" i="9"/>
  <c r="CP375" i="9"/>
  <c r="CK375" i="9"/>
  <c r="CF375" i="9"/>
  <c r="CA375" i="9"/>
  <c r="BV375" i="9"/>
  <c r="BQ375" i="9"/>
  <c r="BL375" i="9"/>
  <c r="BG375" i="9"/>
  <c r="BB375" i="9"/>
  <c r="AW375" i="9"/>
  <c r="T374" i="9"/>
  <c r="EX374" i="9" s="1"/>
  <c r="N373" i="9"/>
  <c r="EX373" i="9"/>
  <c r="EI369" i="9"/>
  <c r="ED369" i="9"/>
  <c r="DY369" i="9"/>
  <c r="DT369" i="9"/>
  <c r="DO369" i="9"/>
  <c r="DJ369" i="9"/>
  <c r="EI365" i="9"/>
  <c r="ED365" i="9"/>
  <c r="DY365" i="9"/>
  <c r="DT365" i="9"/>
  <c r="DO365" i="9"/>
  <c r="DJ365" i="9"/>
  <c r="DE365" i="9"/>
  <c r="CZ365" i="9"/>
  <c r="CU365" i="9"/>
  <c r="CP365" i="9"/>
  <c r="CF365" i="9"/>
  <c r="CA365" i="9"/>
  <c r="BV365" i="9"/>
  <c r="BG365" i="9"/>
  <c r="BB365" i="9"/>
  <c r="AW365" i="9"/>
  <c r="AR365" i="9"/>
  <c r="AM365" i="9"/>
  <c r="AC365" i="9"/>
  <c r="X365" i="9"/>
  <c r="S365" i="9"/>
  <c r="N365" i="9"/>
  <c r="EI364" i="9"/>
  <c r="ED364" i="9"/>
  <c r="DY364" i="9"/>
  <c r="DT364" i="9"/>
  <c r="DO364" i="9"/>
  <c r="DJ364" i="9"/>
  <c r="DE364" i="9"/>
  <c r="CZ364" i="9"/>
  <c r="CU364" i="9"/>
  <c r="CP364" i="9"/>
  <c r="CF364" i="9"/>
  <c r="CA364" i="9"/>
  <c r="BV364" i="9"/>
  <c r="BG364" i="9"/>
  <c r="BB364" i="9"/>
  <c r="AW364" i="9"/>
  <c r="AR364" i="9"/>
  <c r="AM364" i="9"/>
  <c r="AC364" i="9"/>
  <c r="X364" i="9"/>
  <c r="S364" i="9"/>
  <c r="N364" i="9"/>
  <c r="EI363" i="9"/>
  <c r="ED363" i="9"/>
  <c r="DY363" i="9"/>
  <c r="DT363" i="9"/>
  <c r="DO363" i="9"/>
  <c r="DJ363" i="9"/>
  <c r="DE363" i="9"/>
  <c r="CZ363" i="9"/>
  <c r="CU363" i="9"/>
  <c r="CP363" i="9"/>
  <c r="CF363" i="9"/>
  <c r="CA363" i="9"/>
  <c r="BV363" i="9"/>
  <c r="BG363" i="9"/>
  <c r="BB363" i="9"/>
  <c r="AW363" i="9"/>
  <c r="AR363" i="9"/>
  <c r="AM363" i="9"/>
  <c r="AC363" i="9"/>
  <c r="X363" i="9"/>
  <c r="S363" i="9"/>
  <c r="N363" i="9"/>
  <c r="EX363" i="9" s="1"/>
  <c r="EI362" i="9"/>
  <c r="ED362" i="9"/>
  <c r="DY362" i="9"/>
  <c r="DT362" i="9"/>
  <c r="DO362" i="9"/>
  <c r="DJ362" i="9"/>
  <c r="DE362" i="9"/>
  <c r="CZ362" i="9"/>
  <c r="CU362" i="9"/>
  <c r="CP362" i="9"/>
  <c r="CF362" i="9"/>
  <c r="CA362" i="9"/>
  <c r="BV362" i="9"/>
  <c r="BG362" i="9"/>
  <c r="BB362" i="9"/>
  <c r="AW362" i="9"/>
  <c r="AR362" i="9"/>
  <c r="AM362" i="9"/>
  <c r="AC362" i="9"/>
  <c r="X362" i="9"/>
  <c r="S362" i="9"/>
  <c r="N362" i="9"/>
  <c r="EI361" i="9"/>
  <c r="ED361" i="9"/>
  <c r="DY361" i="9"/>
  <c r="DT361" i="9"/>
  <c r="DO361" i="9"/>
  <c r="DJ361" i="9"/>
  <c r="DE361" i="9"/>
  <c r="CZ361" i="9"/>
  <c r="CU361" i="9"/>
  <c r="CP361" i="9"/>
  <c r="CF361" i="9"/>
  <c r="CA361" i="9"/>
  <c r="BV361" i="9"/>
  <c r="BG361" i="9"/>
  <c r="BB361" i="9"/>
  <c r="AW361" i="9"/>
  <c r="AR361" i="9"/>
  <c r="AM361" i="9"/>
  <c r="AC361" i="9"/>
  <c r="X361" i="9"/>
  <c r="S361" i="9"/>
  <c r="N361" i="9"/>
  <c r="EI360" i="9"/>
  <c r="ED360" i="9"/>
  <c r="DY360" i="9"/>
  <c r="DT360" i="9"/>
  <c r="DO360" i="9"/>
  <c r="DJ360" i="9"/>
  <c r="DE360" i="9"/>
  <c r="CZ360" i="9"/>
  <c r="CU360" i="9"/>
  <c r="CP360" i="9"/>
  <c r="CF360" i="9"/>
  <c r="CA360" i="9"/>
  <c r="BV360" i="9"/>
  <c r="BG360" i="9"/>
  <c r="BB360" i="9"/>
  <c r="AW360" i="9"/>
  <c r="AR360" i="9"/>
  <c r="AM360" i="9"/>
  <c r="AC360" i="9"/>
  <c r="X360" i="9"/>
  <c r="S360" i="9"/>
  <c r="N360" i="9"/>
  <c r="EX360" i="9" s="1"/>
  <c r="EI359" i="9"/>
  <c r="ED359" i="9"/>
  <c r="DY359" i="9"/>
  <c r="DT359" i="9"/>
  <c r="DO359" i="9"/>
  <c r="DJ359" i="9"/>
  <c r="DE359" i="9"/>
  <c r="CZ359" i="9"/>
  <c r="CU359" i="9"/>
  <c r="CP359" i="9"/>
  <c r="CF359" i="9"/>
  <c r="CA359" i="9"/>
  <c r="BV359" i="9"/>
  <c r="BG359" i="9"/>
  <c r="BB359" i="9"/>
  <c r="AW359" i="9"/>
  <c r="AR359" i="9"/>
  <c r="AM359" i="9"/>
  <c r="AC359" i="9"/>
  <c r="X359" i="9"/>
  <c r="S359" i="9"/>
  <c r="N359" i="9"/>
  <c r="EI358" i="9"/>
  <c r="ED358" i="9"/>
  <c r="DY358" i="9"/>
  <c r="DT358" i="9"/>
  <c r="DO358" i="9"/>
  <c r="DJ358" i="9"/>
  <c r="DE358" i="9"/>
  <c r="CZ358" i="9"/>
  <c r="CU358" i="9"/>
  <c r="CP358" i="9"/>
  <c r="CF358" i="9"/>
  <c r="CA358" i="9"/>
  <c r="BV358" i="9"/>
  <c r="BG358" i="9"/>
  <c r="BB358" i="9"/>
  <c r="AW358" i="9"/>
  <c r="AR358" i="9"/>
  <c r="AM358" i="9"/>
  <c r="AC358" i="9"/>
  <c r="X358" i="9"/>
  <c r="S358" i="9"/>
  <c r="N358" i="9"/>
  <c r="EI357" i="9"/>
  <c r="ED357" i="9"/>
  <c r="DY357" i="9"/>
  <c r="DT357" i="9"/>
  <c r="DO357" i="9"/>
  <c r="DJ357" i="9"/>
  <c r="DE357" i="9"/>
  <c r="CZ357" i="9"/>
  <c r="CU357" i="9"/>
  <c r="CP357" i="9"/>
  <c r="CF357" i="9"/>
  <c r="CA357" i="9"/>
  <c r="BV357" i="9"/>
  <c r="BG357" i="9"/>
  <c r="BB357" i="9"/>
  <c r="AW357" i="9"/>
  <c r="AR357" i="9"/>
  <c r="AM357" i="9"/>
  <c r="AC357" i="9"/>
  <c r="X357" i="9"/>
  <c r="S357" i="9"/>
  <c r="N357" i="9"/>
  <c r="EI356" i="9"/>
  <c r="ED356" i="9"/>
  <c r="DY356" i="9"/>
  <c r="DT356" i="9"/>
  <c r="DO356" i="9"/>
  <c r="DJ356" i="9"/>
  <c r="DE356" i="9"/>
  <c r="CZ356" i="9"/>
  <c r="CU356" i="9"/>
  <c r="CP356" i="9"/>
  <c r="CF356" i="9"/>
  <c r="CA356" i="9"/>
  <c r="BV356" i="9"/>
  <c r="BG356" i="9"/>
  <c r="BB356" i="9"/>
  <c r="AW356" i="9"/>
  <c r="AR356" i="9"/>
  <c r="AM356" i="9"/>
  <c r="AC356" i="9"/>
  <c r="X356" i="9"/>
  <c r="S356" i="9"/>
  <c r="N356" i="9"/>
  <c r="EI355" i="9"/>
  <c r="ED355" i="9"/>
  <c r="DY355" i="9"/>
  <c r="DT355" i="9"/>
  <c r="DO355" i="9"/>
  <c r="DJ355" i="9"/>
  <c r="DE355" i="9"/>
  <c r="CZ355" i="9"/>
  <c r="CU355" i="9"/>
  <c r="CP355" i="9"/>
  <c r="CF355" i="9"/>
  <c r="CA355" i="9"/>
  <c r="BV355" i="9"/>
  <c r="BG355" i="9"/>
  <c r="BB355" i="9"/>
  <c r="AW355" i="9"/>
  <c r="AR355" i="9"/>
  <c r="AM355" i="9"/>
  <c r="AC355" i="9"/>
  <c r="X355" i="9"/>
  <c r="S355" i="9"/>
  <c r="N355" i="9"/>
  <c r="EI351" i="9"/>
  <c r="ED351" i="9"/>
  <c r="DY351" i="9"/>
  <c r="DT351" i="9"/>
  <c r="DO351" i="9"/>
  <c r="DJ351" i="9"/>
  <c r="DE351" i="9"/>
  <c r="CZ351" i="9"/>
  <c r="CU351" i="9"/>
  <c r="CP351" i="9"/>
  <c r="CF351" i="9"/>
  <c r="CA351" i="9"/>
  <c r="BV351" i="9"/>
  <c r="BG351" i="9"/>
  <c r="BB351" i="9"/>
  <c r="AW351" i="9"/>
  <c r="AR351" i="9"/>
  <c r="AM351" i="9"/>
  <c r="AC351" i="9"/>
  <c r="X351" i="9"/>
  <c r="S351" i="9"/>
  <c r="N351" i="9"/>
  <c r="EI350" i="9"/>
  <c r="ED350" i="9"/>
  <c r="DY350" i="9"/>
  <c r="DT350" i="9"/>
  <c r="DO350" i="9"/>
  <c r="DJ350" i="9"/>
  <c r="DE350" i="9"/>
  <c r="CZ350" i="9"/>
  <c r="CU350" i="9"/>
  <c r="CP350" i="9"/>
  <c r="CF350" i="9"/>
  <c r="CA350" i="9"/>
  <c r="BV350" i="9"/>
  <c r="BG350" i="9"/>
  <c r="BB350" i="9"/>
  <c r="AW350" i="9"/>
  <c r="AR350" i="9"/>
  <c r="AM350" i="9"/>
  <c r="AC350" i="9"/>
  <c r="X350" i="9"/>
  <c r="S350" i="9"/>
  <c r="N350" i="9"/>
  <c r="EI349" i="9"/>
  <c r="ED349" i="9"/>
  <c r="DY349" i="9"/>
  <c r="DT349" i="9"/>
  <c r="DO349" i="9"/>
  <c r="DJ349" i="9"/>
  <c r="DE349" i="9"/>
  <c r="CZ349" i="9"/>
  <c r="CU349" i="9"/>
  <c r="CP349" i="9"/>
  <c r="CF349" i="9"/>
  <c r="CA349" i="9"/>
  <c r="BV349" i="9"/>
  <c r="BG349" i="9"/>
  <c r="BB349" i="9"/>
  <c r="AW349" i="9"/>
  <c r="AR349" i="9"/>
  <c r="AM349" i="9"/>
  <c r="AC349" i="9"/>
  <c r="X349" i="9"/>
  <c r="S349" i="9"/>
  <c r="N349" i="9"/>
  <c r="EX349" i="9" s="1"/>
  <c r="EI348" i="9"/>
  <c r="ED348" i="9"/>
  <c r="DY348" i="9"/>
  <c r="DT348" i="9"/>
  <c r="DO348" i="9"/>
  <c r="DJ348" i="9"/>
  <c r="DE348" i="9"/>
  <c r="CZ348" i="9"/>
  <c r="CU348" i="9"/>
  <c r="CP348" i="9"/>
  <c r="CF348" i="9"/>
  <c r="CA348" i="9"/>
  <c r="BV348" i="9"/>
  <c r="BG348" i="9"/>
  <c r="BB348" i="9"/>
  <c r="AW348" i="9"/>
  <c r="AR348" i="9"/>
  <c r="AM348" i="9"/>
  <c r="AC348" i="9"/>
  <c r="X348" i="9"/>
  <c r="S348" i="9"/>
  <c r="N348" i="9"/>
  <c r="EI347" i="9"/>
  <c r="ED347" i="9"/>
  <c r="DY347" i="9"/>
  <c r="DT347" i="9"/>
  <c r="DO347" i="9"/>
  <c r="DJ347" i="9"/>
  <c r="DE347" i="9"/>
  <c r="CZ347" i="9"/>
  <c r="CU347" i="9"/>
  <c r="CP347" i="9"/>
  <c r="CF347" i="9"/>
  <c r="CA347" i="9"/>
  <c r="BV347" i="9"/>
  <c r="BG347" i="9"/>
  <c r="BB347" i="9"/>
  <c r="AW347" i="9"/>
  <c r="AR347" i="9"/>
  <c r="AM347" i="9"/>
  <c r="AC347" i="9"/>
  <c r="X347" i="9"/>
  <c r="S347" i="9"/>
  <c r="N347" i="9"/>
  <c r="EI346" i="9"/>
  <c r="ED346" i="9"/>
  <c r="DY346" i="9"/>
  <c r="DT346" i="9"/>
  <c r="DO346" i="9"/>
  <c r="DJ346" i="9"/>
  <c r="DE346" i="9"/>
  <c r="CZ346" i="9"/>
  <c r="CU346" i="9"/>
  <c r="CP346" i="9"/>
  <c r="CF346" i="9"/>
  <c r="CA346" i="9"/>
  <c r="BV346" i="9"/>
  <c r="BG346" i="9"/>
  <c r="BB346" i="9"/>
  <c r="AW346" i="9"/>
  <c r="AR346" i="9"/>
  <c r="AM346" i="9"/>
  <c r="AC346" i="9"/>
  <c r="X346" i="9"/>
  <c r="S346" i="9"/>
  <c r="N346" i="9"/>
  <c r="EX346" i="9" s="1"/>
  <c r="EI345" i="9"/>
  <c r="ED345" i="9"/>
  <c r="DY345" i="9"/>
  <c r="DT345" i="9"/>
  <c r="DO345" i="9"/>
  <c r="DJ345" i="9"/>
  <c r="DE345" i="9"/>
  <c r="CZ345" i="9"/>
  <c r="CU345" i="9"/>
  <c r="CP345" i="9"/>
  <c r="CF345" i="9"/>
  <c r="CA345" i="9"/>
  <c r="BV345" i="9"/>
  <c r="BG345" i="9"/>
  <c r="BB345" i="9"/>
  <c r="AW345" i="9"/>
  <c r="AR345" i="9"/>
  <c r="AM345" i="9"/>
  <c r="AC345" i="9"/>
  <c r="X345" i="9"/>
  <c r="S345" i="9"/>
  <c r="N345" i="9"/>
  <c r="EI344" i="9"/>
  <c r="ED344" i="9"/>
  <c r="DY344" i="9"/>
  <c r="DT344" i="9"/>
  <c r="DO344" i="9"/>
  <c r="DJ344" i="9"/>
  <c r="DE344" i="9"/>
  <c r="CZ344" i="9"/>
  <c r="CU344" i="9"/>
  <c r="CP344" i="9"/>
  <c r="CF344" i="9"/>
  <c r="CA344" i="9"/>
  <c r="BV344" i="9"/>
  <c r="BG344" i="9"/>
  <c r="BB344" i="9"/>
  <c r="AW344" i="9"/>
  <c r="AR344" i="9"/>
  <c r="AM344" i="9"/>
  <c r="AC344" i="9"/>
  <c r="X344" i="9"/>
  <c r="S344" i="9"/>
  <c r="N344" i="9"/>
  <c r="EI343" i="9"/>
  <c r="ED343" i="9"/>
  <c r="DY343" i="9"/>
  <c r="DT343" i="9"/>
  <c r="DO343" i="9"/>
  <c r="DJ343" i="9"/>
  <c r="DE343" i="9"/>
  <c r="CZ343" i="9"/>
  <c r="CU343" i="9"/>
  <c r="CP343" i="9"/>
  <c r="CF343" i="9"/>
  <c r="CA343" i="9"/>
  <c r="BV343" i="9"/>
  <c r="BG343" i="9"/>
  <c r="BB343" i="9"/>
  <c r="AW343" i="9"/>
  <c r="AR343" i="9"/>
  <c r="AM343" i="9"/>
  <c r="AC343" i="9"/>
  <c r="X343" i="9"/>
  <c r="S343" i="9"/>
  <c r="N343" i="9"/>
  <c r="EI342" i="9"/>
  <c r="ED342" i="9"/>
  <c r="DY342" i="9"/>
  <c r="DT342" i="9"/>
  <c r="DO342" i="9"/>
  <c r="DJ342" i="9"/>
  <c r="DE342" i="9"/>
  <c r="CZ342" i="9"/>
  <c r="CU342" i="9"/>
  <c r="CP342" i="9"/>
  <c r="CF342" i="9"/>
  <c r="CA342" i="9"/>
  <c r="BV342" i="9"/>
  <c r="BG342" i="9"/>
  <c r="BB342" i="9"/>
  <c r="AW342" i="9"/>
  <c r="AR342" i="9"/>
  <c r="AM342" i="9"/>
  <c r="AC342" i="9"/>
  <c r="X342" i="9"/>
  <c r="S342" i="9"/>
  <c r="N342" i="9"/>
  <c r="EI341" i="9"/>
  <c r="ED341" i="9"/>
  <c r="DY341" i="9"/>
  <c r="DT341" i="9"/>
  <c r="DO341" i="9"/>
  <c r="DJ341" i="9"/>
  <c r="DE341" i="9"/>
  <c r="CZ341" i="9"/>
  <c r="CU341" i="9"/>
  <c r="CP341" i="9"/>
  <c r="CF341" i="9"/>
  <c r="CA341" i="9"/>
  <c r="BV341" i="9"/>
  <c r="BG341" i="9"/>
  <c r="BB341" i="9"/>
  <c r="AW341" i="9"/>
  <c r="AR341" i="9"/>
  <c r="AM341" i="9"/>
  <c r="AC341" i="9"/>
  <c r="X341" i="9"/>
  <c r="S341" i="9"/>
  <c r="N341" i="9"/>
  <c r="EX341" i="9" s="1"/>
  <c r="EI340" i="9"/>
  <c r="ED340" i="9"/>
  <c r="DY340" i="9"/>
  <c r="DT340" i="9"/>
  <c r="DO340" i="9"/>
  <c r="DJ340" i="9"/>
  <c r="DE340" i="9"/>
  <c r="CZ340" i="9"/>
  <c r="CU340" i="9"/>
  <c r="CP340" i="9"/>
  <c r="CF340" i="9"/>
  <c r="CA340" i="9"/>
  <c r="BV340" i="9"/>
  <c r="BG340" i="9"/>
  <c r="BB340" i="9"/>
  <c r="AW340" i="9"/>
  <c r="AR340" i="9"/>
  <c r="AM340" i="9"/>
  <c r="AC340" i="9"/>
  <c r="X340" i="9"/>
  <c r="S340" i="9"/>
  <c r="N340" i="9"/>
  <c r="K340" i="9"/>
  <c r="AR339" i="9"/>
  <c r="EX339" i="9"/>
  <c r="AR338" i="9"/>
  <c r="ED337" i="9"/>
  <c r="DJ337" i="9"/>
  <c r="CF337" i="9"/>
  <c r="CA337" i="9"/>
  <c r="BQ337" i="9"/>
  <c r="BL337" i="9"/>
  <c r="BB337" i="9"/>
  <c r="AW337" i="9"/>
  <c r="N336" i="9"/>
  <c r="EX336" i="9" s="1"/>
  <c r="EI335" i="9"/>
  <c r="ED335" i="9"/>
  <c r="DY335" i="9"/>
  <c r="DT335" i="9"/>
  <c r="DO335" i="9"/>
  <c r="DJ335" i="9"/>
  <c r="EI334" i="9"/>
  <c r="ED334" i="9"/>
  <c r="DY334" i="9"/>
  <c r="DT334" i="9"/>
  <c r="DO334" i="9"/>
  <c r="DJ334" i="9"/>
  <c r="EI331" i="9"/>
  <c r="ED331" i="9"/>
  <c r="DY331" i="9"/>
  <c r="DT331" i="9"/>
  <c r="DO331" i="9"/>
  <c r="DJ331" i="9"/>
  <c r="DE331" i="9"/>
  <c r="CZ331" i="9"/>
  <c r="EX331" i="9" s="1"/>
  <c r="CU331" i="9"/>
  <c r="CF331" i="9"/>
  <c r="CA331" i="9"/>
  <c r="BQ331" i="9"/>
  <c r="BL331" i="9"/>
  <c r="EI330" i="9"/>
  <c r="ED330" i="9"/>
  <c r="DY330" i="9"/>
  <c r="DT330" i="9"/>
  <c r="DO330" i="9"/>
  <c r="DJ330" i="9"/>
  <c r="DE330" i="9"/>
  <c r="CZ330" i="9"/>
  <c r="CU330" i="9"/>
  <c r="CP330" i="9"/>
  <c r="CK330" i="9"/>
  <c r="CF330" i="9"/>
  <c r="CA330" i="9"/>
  <c r="BQ330" i="9"/>
  <c r="BL330" i="9"/>
  <c r="BG330" i="9"/>
  <c r="EI329" i="9"/>
  <c r="ED329" i="9"/>
  <c r="DY329" i="9"/>
  <c r="DT329" i="9"/>
  <c r="DO329" i="9"/>
  <c r="DJ329" i="9"/>
  <c r="DE329" i="9"/>
  <c r="CZ329" i="9"/>
  <c r="CU329" i="9"/>
  <c r="CP329" i="9"/>
  <c r="CK329" i="9"/>
  <c r="CF329" i="9"/>
  <c r="CA329" i="9"/>
  <c r="BQ329" i="9"/>
  <c r="BL329" i="9"/>
  <c r="BG329" i="9"/>
  <c r="EI328" i="9"/>
  <c r="ED328" i="9"/>
  <c r="DY328" i="9"/>
  <c r="DT328" i="9"/>
  <c r="DO328" i="9"/>
  <c r="DJ328" i="9"/>
  <c r="DE328" i="9"/>
  <c r="CZ328" i="9"/>
  <c r="CU328" i="9"/>
  <c r="CP328" i="9"/>
  <c r="CK328" i="9"/>
  <c r="CF328" i="9"/>
  <c r="CA328" i="9"/>
  <c r="BQ328" i="9"/>
  <c r="BL328" i="9"/>
  <c r="BG328" i="9"/>
  <c r="EI327" i="9"/>
  <c r="ED327" i="9"/>
  <c r="DY327" i="9"/>
  <c r="DT327" i="9"/>
  <c r="DO327" i="9"/>
  <c r="DJ327" i="9"/>
  <c r="CZ326" i="9"/>
  <c r="BV326" i="9"/>
  <c r="EI325" i="9"/>
  <c r="ED325" i="9"/>
  <c r="DY325" i="9"/>
  <c r="DT325" i="9"/>
  <c r="DO325" i="9"/>
  <c r="DJ325" i="9"/>
  <c r="DE325" i="9"/>
  <c r="CZ325" i="9"/>
  <c r="CU325" i="9"/>
  <c r="CP325" i="9"/>
  <c r="CK325" i="9"/>
  <c r="CF325" i="9"/>
  <c r="CA325" i="9"/>
  <c r="BV325" i="9"/>
  <c r="BQ325" i="9"/>
  <c r="BL325" i="9"/>
  <c r="BG325" i="9"/>
  <c r="BB325" i="9"/>
  <c r="AW325" i="9"/>
  <c r="ED324" i="9"/>
  <c r="DJ324" i="9"/>
  <c r="K324" i="9"/>
  <c r="BV323" i="9"/>
  <c r="EX323" i="9" s="1"/>
  <c r="DO322" i="9"/>
  <c r="DJ322" i="9"/>
  <c r="BV322" i="9"/>
  <c r="BB322" i="9"/>
  <c r="EI321" i="9"/>
  <c r="ED321" i="9"/>
  <c r="DY321" i="9"/>
  <c r="DT321" i="9"/>
  <c r="DO321" i="9"/>
  <c r="DJ321" i="9"/>
  <c r="CZ321" i="9"/>
  <c r="CU321" i="9"/>
  <c r="CF321" i="9"/>
  <c r="CA321" i="9"/>
  <c r="BQ321" i="9"/>
  <c r="BL321" i="9"/>
  <c r="BB321" i="9"/>
  <c r="AR321" i="9"/>
  <c r="AM321" i="9"/>
  <c r="AH321" i="9"/>
  <c r="N321" i="9"/>
  <c r="K321" i="9"/>
  <c r="EI320" i="9"/>
  <c r="ED320" i="9"/>
  <c r="DY320" i="9"/>
  <c r="DT320" i="9"/>
  <c r="DO320" i="9"/>
  <c r="DJ320" i="9"/>
  <c r="DE320" i="9"/>
  <c r="CZ320" i="9"/>
  <c r="CU320" i="9"/>
  <c r="CP320" i="9"/>
  <c r="CK320" i="9"/>
  <c r="CF320" i="9"/>
  <c r="CA320" i="9"/>
  <c r="BQ320" i="9"/>
  <c r="BL320" i="9"/>
  <c r="BG320" i="9"/>
  <c r="BB320" i="9"/>
  <c r="AR320" i="9"/>
  <c r="AM320" i="9"/>
  <c r="AH320" i="9"/>
  <c r="N320" i="9"/>
  <c r="K320" i="9"/>
  <c r="EI319" i="9"/>
  <c r="ED319" i="9"/>
  <c r="DY319" i="9"/>
  <c r="DT319" i="9"/>
  <c r="DO319" i="9"/>
  <c r="DJ319" i="9"/>
  <c r="DE319" i="9"/>
  <c r="CU319" i="9"/>
  <c r="CP319" i="9"/>
  <c r="CK319" i="9"/>
  <c r="CF319" i="9"/>
  <c r="CA319" i="9"/>
  <c r="BQ319" i="9"/>
  <c r="BG319" i="9"/>
  <c r="BB319" i="9"/>
  <c r="AM319" i="9"/>
  <c r="AH319" i="9"/>
  <c r="N319" i="9"/>
  <c r="K319" i="9"/>
  <c r="EI317" i="9"/>
  <c r="ED317" i="9"/>
  <c r="DY317" i="9"/>
  <c r="DT317" i="9"/>
  <c r="DO317" i="9"/>
  <c r="DJ317" i="9"/>
  <c r="CU317" i="9"/>
  <c r="BQ317" i="9"/>
  <c r="BL317" i="9"/>
  <c r="EI316" i="9"/>
  <c r="ED316" i="9"/>
  <c r="DY316" i="9"/>
  <c r="DT316" i="9"/>
  <c r="DO316" i="9"/>
  <c r="DJ316" i="9"/>
  <c r="DE316" i="9"/>
  <c r="CZ316" i="9"/>
  <c r="CU316" i="9"/>
  <c r="CP316" i="9"/>
  <c r="CK316" i="9"/>
  <c r="CF316" i="9"/>
  <c r="CA316" i="9"/>
  <c r="BV316" i="9"/>
  <c r="BQ316" i="9"/>
  <c r="BL316" i="9"/>
  <c r="BG316" i="9"/>
  <c r="BB316" i="9"/>
  <c r="EX313" i="9"/>
  <c r="EX312" i="9"/>
  <c r="EX311" i="9"/>
  <c r="EI301" i="9"/>
  <c r="ED301" i="9"/>
  <c r="DY301" i="9"/>
  <c r="DT301" i="9"/>
  <c r="DO301" i="9"/>
  <c r="DJ301" i="9"/>
  <c r="CU301" i="9"/>
  <c r="CP301" i="9"/>
  <c r="CK301" i="9"/>
  <c r="CF301" i="9"/>
  <c r="CA301" i="9"/>
  <c r="BQ301" i="9"/>
  <c r="BL301" i="9"/>
  <c r="BG301" i="9"/>
  <c r="AM301" i="9"/>
  <c r="AH301" i="9"/>
  <c r="N301" i="9"/>
  <c r="EI294" i="9"/>
  <c r="ED294" i="9"/>
  <c r="DY294" i="9"/>
  <c r="DT294" i="9"/>
  <c r="DO294" i="9"/>
  <c r="DJ294" i="9"/>
  <c r="DE294" i="9"/>
  <c r="CZ294" i="9"/>
  <c r="CU294" i="9"/>
  <c r="CK294" i="9"/>
  <c r="CF294" i="9"/>
  <c r="CA294" i="9"/>
  <c r="BV294" i="9"/>
  <c r="BQ294" i="9"/>
  <c r="BL294" i="9"/>
  <c r="BG294" i="9"/>
  <c r="AM294" i="9"/>
  <c r="AH294" i="9"/>
  <c r="N294" i="9"/>
  <c r="EI293" i="9"/>
  <c r="ED293" i="9"/>
  <c r="DY293" i="9"/>
  <c r="DT293" i="9"/>
  <c r="DO293" i="9"/>
  <c r="DJ293" i="9"/>
  <c r="DE293" i="9"/>
  <c r="CK293" i="9"/>
  <c r="CF293" i="9"/>
  <c r="CA293" i="9"/>
  <c r="BQ293" i="9"/>
  <c r="BL293" i="9"/>
  <c r="BG293" i="9"/>
  <c r="BB293" i="9"/>
  <c r="AW293" i="9"/>
  <c r="DJ288" i="9"/>
  <c r="DJ287" i="9"/>
  <c r="DJ286" i="9"/>
  <c r="ED283" i="9"/>
  <c r="DJ283" i="9"/>
  <c r="N283" i="9"/>
  <c r="ED282" i="9"/>
  <c r="DJ282" i="9"/>
  <c r="N282" i="9"/>
  <c r="ED281" i="9"/>
  <c r="DJ281" i="9"/>
  <c r="N281" i="9"/>
  <c r="ED278" i="9"/>
  <c r="DJ278" i="9"/>
  <c r="N278" i="9"/>
  <c r="ED277" i="9"/>
  <c r="DJ277" i="9"/>
  <c r="N277" i="9"/>
  <c r="ED276" i="9"/>
  <c r="DJ276" i="9"/>
  <c r="N276" i="9"/>
  <c r="K276" i="9"/>
  <c r="ED275" i="9"/>
  <c r="DJ275" i="9"/>
  <c r="N275" i="9"/>
  <c r="K275" i="9"/>
  <c r="T274" i="9"/>
  <c r="EX274" i="9" s="1"/>
  <c r="N271" i="9"/>
  <c r="K271" i="9"/>
  <c r="EX271" i="9" s="1"/>
  <c r="EI270" i="9"/>
  <c r="ED270" i="9"/>
  <c r="DY270" i="9"/>
  <c r="DT270" i="9"/>
  <c r="DO270" i="9"/>
  <c r="DJ270" i="9"/>
  <c r="DE270" i="9"/>
  <c r="CZ270" i="9"/>
  <c r="CU270" i="9"/>
  <c r="CP270" i="9"/>
  <c r="CK270" i="9"/>
  <c r="CF270" i="9"/>
  <c r="CA270" i="9"/>
  <c r="BV270" i="9"/>
  <c r="BQ270" i="9"/>
  <c r="BL270" i="9"/>
  <c r="BG270" i="9"/>
  <c r="AM270" i="9"/>
  <c r="AH270" i="9"/>
  <c r="N270" i="9"/>
  <c r="EI266" i="9"/>
  <c r="ED266" i="9"/>
  <c r="DY266" i="9"/>
  <c r="DT266" i="9"/>
  <c r="DO266" i="9"/>
  <c r="DJ266" i="9"/>
  <c r="CZ264" i="9"/>
  <c r="EX264" i="9" s="1"/>
  <c r="BV264" i="9"/>
  <c r="T262" i="9"/>
  <c r="EX262" i="9"/>
  <c r="K261" i="9"/>
  <c r="EX261" i="9"/>
  <c r="K260" i="9"/>
  <c r="EX260" i="9"/>
  <c r="K259" i="9"/>
  <c r="EX259" i="9" s="1"/>
  <c r="T258" i="9"/>
  <c r="J254" i="9"/>
  <c r="I254" i="9"/>
  <c r="CU252" i="9"/>
  <c r="EI239" i="9"/>
  <c r="ED239" i="9"/>
  <c r="DY239" i="9"/>
  <c r="DT239" i="9"/>
  <c r="DO239" i="9"/>
  <c r="DJ239" i="9"/>
  <c r="EI237" i="9"/>
  <c r="ED237" i="9"/>
  <c r="DY237" i="9"/>
  <c r="CZ237" i="9"/>
  <c r="CU237" i="9"/>
  <c r="CP237" i="9"/>
  <c r="CK237" i="9"/>
  <c r="CF237" i="9"/>
  <c r="CA237" i="9"/>
  <c r="BV237" i="9"/>
  <c r="BQ237" i="9"/>
  <c r="BL237" i="9"/>
  <c r="BG237" i="9"/>
  <c r="BB237" i="9"/>
  <c r="AW237" i="9"/>
  <c r="EI236" i="9"/>
  <c r="ED236" i="9"/>
  <c r="DY236" i="9"/>
  <c r="DT236" i="9"/>
  <c r="DO236" i="9"/>
  <c r="DJ236" i="9"/>
  <c r="T235" i="9"/>
  <c r="EI231" i="9"/>
  <c r="ED231" i="9"/>
  <c r="CP231" i="9"/>
  <c r="CK231" i="9"/>
  <c r="CA231" i="9"/>
  <c r="AR231" i="9"/>
  <c r="AM231" i="9"/>
  <c r="N231" i="9"/>
  <c r="EI229" i="9"/>
  <c r="ED229" i="9"/>
  <c r="CP229" i="9"/>
  <c r="CK229" i="9"/>
  <c r="CA229" i="9"/>
  <c r="AR229" i="9"/>
  <c r="AM229" i="9"/>
  <c r="N229" i="9"/>
  <c r="EI227" i="9"/>
  <c r="ED227" i="9"/>
  <c r="CP227" i="9"/>
  <c r="CK227" i="9"/>
  <c r="EX227" i="9" s="1"/>
  <c r="CA227" i="9"/>
  <c r="AR227" i="9"/>
  <c r="AM227" i="9"/>
  <c r="N227" i="9"/>
  <c r="EI226" i="9"/>
  <c r="ED226" i="9"/>
  <c r="CP226" i="9"/>
  <c r="CK226" i="9"/>
  <c r="CA226" i="9"/>
  <c r="EI220" i="9"/>
  <c r="ED220" i="9"/>
  <c r="DY220" i="9"/>
  <c r="DT220" i="9"/>
  <c r="DO220" i="9"/>
  <c r="DJ220" i="9"/>
  <c r="EX220" i="9" s="1"/>
  <c r="EI219" i="9"/>
  <c r="ED219" i="9"/>
  <c r="DY219" i="9"/>
  <c r="DT219" i="9"/>
  <c r="DO219" i="9"/>
  <c r="DJ219" i="9"/>
  <c r="EI218" i="9"/>
  <c r="ED218" i="9"/>
  <c r="DY218" i="9"/>
  <c r="DT218" i="9"/>
  <c r="DO218" i="9"/>
  <c r="DJ218" i="9"/>
  <c r="CX218" i="9"/>
  <c r="CI218" i="9"/>
  <c r="BT218" i="9"/>
  <c r="BL218" i="9"/>
  <c r="AH218" i="9"/>
  <c r="EI216" i="9"/>
  <c r="ED216" i="9"/>
  <c r="DY216" i="9"/>
  <c r="DT216" i="9"/>
  <c r="DO216" i="9"/>
  <c r="DJ216" i="9"/>
  <c r="CX216" i="9"/>
  <c r="CI216" i="9"/>
  <c r="BT216" i="9"/>
  <c r="BL216" i="9"/>
  <c r="AH216" i="9"/>
  <c r="EI215" i="9"/>
  <c r="ED215" i="9"/>
  <c r="DY215" i="9"/>
  <c r="DT215" i="9"/>
  <c r="DO215" i="9"/>
  <c r="DJ215" i="9"/>
  <c r="CX215" i="9"/>
  <c r="CI215" i="9"/>
  <c r="BT215" i="9"/>
  <c r="BL215" i="9"/>
  <c r="AH215" i="9"/>
  <c r="EI214" i="9"/>
  <c r="ED214" i="9"/>
  <c r="DY214" i="9"/>
  <c r="DT214" i="9"/>
  <c r="DO214" i="9"/>
  <c r="DJ214" i="9"/>
  <c r="CX214" i="9"/>
  <c r="CI214" i="9"/>
  <c r="BT214" i="9"/>
  <c r="BQ218" i="9" s="1"/>
  <c r="BL214" i="9"/>
  <c r="AH214" i="9"/>
  <c r="EI213" i="9"/>
  <c r="ED213" i="9"/>
  <c r="DY213" i="9"/>
  <c r="DT213" i="9"/>
  <c r="DO213" i="9"/>
  <c r="DJ213" i="9"/>
  <c r="DE213" i="9"/>
  <c r="CZ213" i="9"/>
  <c r="CU213" i="9"/>
  <c r="CP213" i="9"/>
  <c r="CK213" i="9"/>
  <c r="CF213" i="9"/>
  <c r="CA213" i="9"/>
  <c r="BV213" i="9"/>
  <c r="BG213" i="9"/>
  <c r="BB213" i="9"/>
  <c r="AW213" i="9"/>
  <c r="AR213" i="9"/>
  <c r="AM213" i="9"/>
  <c r="AH213" i="9"/>
  <c r="AC213" i="9"/>
  <c r="X213" i="9"/>
  <c r="S213" i="9"/>
  <c r="BV203" i="9"/>
  <c r="EX203" i="9"/>
  <c r="BV202" i="9"/>
  <c r="AR202" i="9"/>
  <c r="AM202" i="9"/>
  <c r="AH202" i="9"/>
  <c r="EX202" i="9" s="1"/>
  <c r="EI201" i="9"/>
  <c r="ED201" i="9"/>
  <c r="DY201" i="9"/>
  <c r="DT201" i="9"/>
  <c r="DO201" i="9"/>
  <c r="DJ201" i="9"/>
  <c r="CZ201" i="9"/>
  <c r="CU201" i="9"/>
  <c r="CF201" i="9"/>
  <c r="CA201" i="9"/>
  <c r="BV201" i="9"/>
  <c r="BQ201" i="9"/>
  <c r="BL201" i="9"/>
  <c r="X201" i="9"/>
  <c r="S201" i="9"/>
  <c r="EI200" i="9"/>
  <c r="ED200" i="9"/>
  <c r="DY200" i="9"/>
  <c r="DT200" i="9"/>
  <c r="DO200" i="9"/>
  <c r="DJ200" i="9"/>
  <c r="DE200" i="9"/>
  <c r="CZ200" i="9"/>
  <c r="CU200" i="9"/>
  <c r="CP200" i="9"/>
  <c r="CK200" i="9"/>
  <c r="CF200" i="9"/>
  <c r="CA200" i="9"/>
  <c r="BQ200" i="9"/>
  <c r="BL200" i="9"/>
  <c r="BG200" i="9"/>
  <c r="BB200" i="9"/>
  <c r="AW200" i="9"/>
  <c r="AR200" i="9"/>
  <c r="AM200" i="9"/>
  <c r="AH200" i="9"/>
  <c r="AC200" i="9"/>
  <c r="X200" i="9"/>
  <c r="S200" i="9"/>
  <c r="EI199" i="9"/>
  <c r="ED199" i="9"/>
  <c r="DY199" i="9"/>
  <c r="DT199" i="9"/>
  <c r="DO199" i="9"/>
  <c r="DJ199" i="9"/>
  <c r="DE199" i="9"/>
  <c r="CZ199" i="9"/>
  <c r="CU199" i="9"/>
  <c r="CP199" i="9"/>
  <c r="CK199" i="9"/>
  <c r="CF199" i="9"/>
  <c r="CA199" i="9"/>
  <c r="BV199" i="9"/>
  <c r="BQ199" i="9"/>
  <c r="BL199" i="9"/>
  <c r="BG199" i="9"/>
  <c r="BB199" i="9"/>
  <c r="AW199" i="9"/>
  <c r="AR199" i="9"/>
  <c r="AM199" i="9"/>
  <c r="AH199" i="9"/>
  <c r="AC199" i="9"/>
  <c r="X199" i="9"/>
  <c r="S199" i="9"/>
  <c r="N199" i="9"/>
  <c r="K199" i="9"/>
  <c r="EI198" i="9"/>
  <c r="ED198" i="9"/>
  <c r="DY198" i="9"/>
  <c r="DT198" i="9"/>
  <c r="DO198" i="9"/>
  <c r="DJ198" i="9"/>
  <c r="CU198" i="9"/>
  <c r="CF198" i="9"/>
  <c r="CA198" i="9"/>
  <c r="BV198" i="9"/>
  <c r="BQ198" i="9"/>
  <c r="BL198" i="9"/>
  <c r="AR198" i="9"/>
  <c r="AM198" i="9"/>
  <c r="AH198" i="9"/>
  <c r="EI197" i="9"/>
  <c r="ED197" i="9"/>
  <c r="DY197" i="9"/>
  <c r="DT197" i="9"/>
  <c r="DO197" i="9"/>
  <c r="DJ197" i="9"/>
  <c r="DE197" i="9"/>
  <c r="CZ197" i="9"/>
  <c r="CU197" i="9"/>
  <c r="CP197" i="9"/>
  <c r="CK197" i="9"/>
  <c r="CF197" i="9"/>
  <c r="CA197" i="9"/>
  <c r="BQ197" i="9"/>
  <c r="BL197" i="9"/>
  <c r="BG197" i="9"/>
  <c r="BB197" i="9"/>
  <c r="AW197" i="9"/>
  <c r="X197" i="9"/>
  <c r="S197" i="9"/>
  <c r="EI196" i="9"/>
  <c r="ED196" i="9"/>
  <c r="DY196" i="9"/>
  <c r="DT196" i="9"/>
  <c r="DO196" i="9"/>
  <c r="DJ196" i="9"/>
  <c r="DE196" i="9"/>
  <c r="CZ196" i="9"/>
  <c r="CU196" i="9"/>
  <c r="CP196" i="9"/>
  <c r="CK196" i="9"/>
  <c r="CF196" i="9"/>
  <c r="CA196" i="9"/>
  <c r="BV196" i="9"/>
  <c r="BG196" i="9"/>
  <c r="BB196" i="9"/>
  <c r="AW196" i="9"/>
  <c r="AR196" i="9"/>
  <c r="AM196" i="9"/>
  <c r="AH196" i="9"/>
  <c r="AC196" i="9"/>
  <c r="X196" i="9"/>
  <c r="EX196" i="9" s="1"/>
  <c r="S196" i="9"/>
  <c r="EI195" i="9"/>
  <c r="ED195" i="9"/>
  <c r="DY195" i="9"/>
  <c r="DT195" i="9"/>
  <c r="DO195" i="9"/>
  <c r="DJ195" i="9"/>
  <c r="CZ195" i="9"/>
  <c r="CU195" i="9"/>
  <c r="CF195" i="9"/>
  <c r="CA195" i="9"/>
  <c r="BV195" i="9"/>
  <c r="BQ195" i="9"/>
  <c r="BL195" i="9"/>
  <c r="AR195" i="9"/>
  <c r="AM195" i="9"/>
  <c r="AH195" i="9"/>
  <c r="AC195" i="9"/>
  <c r="X195" i="9"/>
  <c r="EX195" i="9" s="1"/>
  <c r="S195" i="9"/>
  <c r="N195" i="9"/>
  <c r="K195" i="9"/>
  <c r="EI194" i="9"/>
  <c r="ED194" i="9"/>
  <c r="DY194" i="9"/>
  <c r="DT194" i="9"/>
  <c r="DO194" i="9"/>
  <c r="DJ194" i="9"/>
  <c r="DE194" i="9"/>
  <c r="CZ194" i="9"/>
  <c r="CU194" i="9"/>
  <c r="CP194" i="9"/>
  <c r="CK194" i="9"/>
  <c r="CF194" i="9"/>
  <c r="CA194" i="9"/>
  <c r="BV194" i="9"/>
  <c r="BQ194" i="9"/>
  <c r="BL194" i="9"/>
  <c r="BG194" i="9"/>
  <c r="BB194" i="9"/>
  <c r="AW194" i="9"/>
  <c r="AC194" i="9"/>
  <c r="X194" i="9"/>
  <c r="S194" i="9"/>
  <c r="EI193" i="9"/>
  <c r="ED193" i="9"/>
  <c r="DY193" i="9"/>
  <c r="DT193" i="9"/>
  <c r="DO193" i="9"/>
  <c r="DJ193" i="9"/>
  <c r="DE193" i="9"/>
  <c r="CZ193" i="9"/>
  <c r="CU193" i="9"/>
  <c r="CP193" i="9"/>
  <c r="CK193" i="9"/>
  <c r="CF193" i="9"/>
  <c r="CA193" i="9"/>
  <c r="BV193" i="9"/>
  <c r="BQ193" i="9"/>
  <c r="BL193" i="9"/>
  <c r="BG193" i="9"/>
  <c r="BB193" i="9"/>
  <c r="AW193" i="9"/>
  <c r="AR193" i="9"/>
  <c r="AM193" i="9"/>
  <c r="AH193" i="9"/>
  <c r="AC193" i="9"/>
  <c r="X193" i="9"/>
  <c r="S193" i="9"/>
  <c r="N193" i="9"/>
  <c r="K193" i="9"/>
  <c r="EI192" i="9"/>
  <c r="ED192" i="9"/>
  <c r="DY192" i="9"/>
  <c r="DT192" i="9"/>
  <c r="DO192" i="9"/>
  <c r="DJ192" i="9"/>
  <c r="DE192" i="9"/>
  <c r="CZ192" i="9"/>
  <c r="CU192" i="9"/>
  <c r="CP192" i="9"/>
  <c r="CK192" i="9"/>
  <c r="CF192" i="9"/>
  <c r="CA192" i="9"/>
  <c r="BQ192" i="9"/>
  <c r="BL192" i="9"/>
  <c r="BG192" i="9"/>
  <c r="BB192" i="9"/>
  <c r="AW192" i="9"/>
  <c r="AR192" i="9"/>
  <c r="AM192" i="9"/>
  <c r="AH192" i="9"/>
  <c r="X192" i="9"/>
  <c r="S192" i="9"/>
  <c r="EI191" i="9"/>
  <c r="ED191" i="9"/>
  <c r="DY191" i="9"/>
  <c r="DT191" i="9"/>
  <c r="DO191" i="9"/>
  <c r="DJ191" i="9"/>
  <c r="DE191" i="9"/>
  <c r="CZ191" i="9"/>
  <c r="CU191" i="9"/>
  <c r="CP191" i="9"/>
  <c r="CK191" i="9"/>
  <c r="CF191" i="9"/>
  <c r="CA191" i="9"/>
  <c r="BG191" i="9"/>
  <c r="BB191" i="9"/>
  <c r="AW191" i="9"/>
  <c r="AR191" i="9"/>
  <c r="AM191" i="9"/>
  <c r="AH191" i="9"/>
  <c r="AC191" i="9"/>
  <c r="X191" i="9"/>
  <c r="S191" i="9"/>
  <c r="N191" i="9"/>
  <c r="K191" i="9"/>
  <c r="CZ190" i="9"/>
  <c r="EX190" i="9" s="1"/>
  <c r="EI188" i="9"/>
  <c r="DY188" i="9"/>
  <c r="DO188" i="9"/>
  <c r="EI186" i="9"/>
  <c r="DY186" i="9"/>
  <c r="DO186" i="9"/>
  <c r="DE183" i="9"/>
  <c r="N181" i="9"/>
  <c r="K181" i="9"/>
  <c r="EI180" i="9"/>
  <c r="ED180" i="9"/>
  <c r="DY180" i="9"/>
  <c r="DT180" i="9"/>
  <c r="DO180" i="9"/>
  <c r="DJ180" i="9"/>
  <c r="CP180" i="9"/>
  <c r="CK180" i="9"/>
  <c r="CI180" i="9"/>
  <c r="CA180" i="9"/>
  <c r="BY180" i="9"/>
  <c r="BT180" i="9"/>
  <c r="BL180" i="9"/>
  <c r="AR180" i="9"/>
  <c r="AM180" i="9"/>
  <c r="AH180" i="9"/>
  <c r="N180" i="9"/>
  <c r="EI179" i="9"/>
  <c r="ED179" i="9"/>
  <c r="DY179" i="9"/>
  <c r="DT179" i="9"/>
  <c r="DO179" i="9"/>
  <c r="DJ179" i="9"/>
  <c r="CP179" i="9"/>
  <c r="CK179" i="9"/>
  <c r="CA179" i="9"/>
  <c r="BL179" i="9"/>
  <c r="AR179" i="9"/>
  <c r="AM179" i="9"/>
  <c r="AH179" i="9"/>
  <c r="N179" i="9"/>
  <c r="EI176" i="9"/>
  <c r="ED176" i="9"/>
  <c r="DY176" i="9"/>
  <c r="DT176" i="9"/>
  <c r="DO176" i="9"/>
  <c r="DJ176" i="9"/>
  <c r="EI174" i="9"/>
  <c r="ED174" i="9"/>
  <c r="DY174" i="9"/>
  <c r="DT174" i="9"/>
  <c r="DO174" i="9"/>
  <c r="DJ174" i="9"/>
  <c r="R173" i="9"/>
  <c r="T173" i="9" s="1"/>
  <c r="EX173" i="9" s="1"/>
  <c r="R172" i="9"/>
  <c r="T172" i="9"/>
  <c r="EX172" i="9" s="1"/>
  <c r="R171" i="9"/>
  <c r="T171" i="9" s="1"/>
  <c r="EX171" i="9" s="1"/>
  <c r="R170" i="9"/>
  <c r="T170" i="9"/>
  <c r="EX170" i="9" s="1"/>
  <c r="N169" i="9"/>
  <c r="K169" i="9"/>
  <c r="T168" i="9"/>
  <c r="EX164" i="9"/>
  <c r="EX163" i="9"/>
  <c r="EX158" i="9"/>
  <c r="EX157" i="9"/>
  <c r="EI154" i="9"/>
  <c r="ED154" i="9"/>
  <c r="DY154" i="9"/>
  <c r="DT154" i="9"/>
  <c r="DO154" i="9"/>
  <c r="DJ154" i="9"/>
  <c r="DE154" i="9"/>
  <c r="CZ154" i="9"/>
  <c r="CU154" i="9"/>
  <c r="CP154" i="9"/>
  <c r="CK154" i="9"/>
  <c r="CF154" i="9"/>
  <c r="CA154" i="9"/>
  <c r="BV154" i="9"/>
  <c r="BQ154" i="9"/>
  <c r="BL154" i="9"/>
  <c r="BG154" i="9"/>
  <c r="BB154" i="9"/>
  <c r="AW154" i="9"/>
  <c r="AM154" i="9"/>
  <c r="AH154" i="9"/>
  <c r="AC154" i="9"/>
  <c r="X154" i="9"/>
  <c r="N154" i="9"/>
  <c r="K154" i="9"/>
  <c r="T152" i="9"/>
  <c r="EX152" i="9"/>
  <c r="EI149" i="9"/>
  <c r="ED149" i="9"/>
  <c r="DY149" i="9"/>
  <c r="DT149" i="9"/>
  <c r="DO149" i="9"/>
  <c r="DJ149" i="9"/>
  <c r="DE149" i="9"/>
  <c r="CZ149" i="9"/>
  <c r="CU149" i="9"/>
  <c r="CP149" i="9"/>
  <c r="CK149" i="9"/>
  <c r="CF149" i="9"/>
  <c r="CA149" i="9"/>
  <c r="BV149" i="9"/>
  <c r="BQ149" i="9"/>
  <c r="BL149" i="9"/>
  <c r="BG149" i="9"/>
  <c r="N149" i="9"/>
  <c r="EI148" i="9"/>
  <c r="ED148" i="9"/>
  <c r="DY148" i="9"/>
  <c r="DT148" i="9"/>
  <c r="DO148" i="9"/>
  <c r="DJ148" i="9"/>
  <c r="DE148" i="9"/>
  <c r="CZ148" i="9"/>
  <c r="CU148" i="9"/>
  <c r="CP148" i="9"/>
  <c r="CK148" i="9"/>
  <c r="CF148" i="9"/>
  <c r="CA148" i="9"/>
  <c r="BV148" i="9"/>
  <c r="BQ148" i="9"/>
  <c r="BL148" i="9"/>
  <c r="BG148" i="9"/>
  <c r="N148" i="9"/>
  <c r="EI147" i="9"/>
  <c r="ED147" i="9"/>
  <c r="DY147" i="9"/>
  <c r="DT147" i="9"/>
  <c r="DO147" i="9"/>
  <c r="DJ147" i="9"/>
  <c r="DE147" i="9"/>
  <c r="CZ147" i="9"/>
  <c r="CU147" i="9"/>
  <c r="CP147" i="9"/>
  <c r="CK147" i="9"/>
  <c r="CF147" i="9"/>
  <c r="CA147" i="9"/>
  <c r="BV147" i="9"/>
  <c r="BQ147" i="9"/>
  <c r="BL147" i="9"/>
  <c r="BG147" i="9"/>
  <c r="N147" i="9"/>
  <c r="EX147" i="9" s="1"/>
  <c r="N143" i="9"/>
  <c r="K143" i="9"/>
  <c r="EX143" i="9" s="1"/>
  <c r="AC141" i="9"/>
  <c r="EX141" i="9" s="1"/>
  <c r="ER12" i="9"/>
  <c r="ER11" i="9"/>
  <c r="ER10" i="9"/>
  <c r="ER9" i="9"/>
  <c r="ER8" i="9"/>
  <c r="ER7" i="9"/>
  <c r="ER6" i="9"/>
  <c r="ER5" i="9"/>
  <c r="K261" i="6"/>
  <c r="EX261" i="6"/>
  <c r="K260" i="6"/>
  <c r="EX260" i="6"/>
  <c r="K259" i="6"/>
  <c r="EX259" i="6"/>
  <c r="F385" i="5"/>
  <c r="F384" i="5"/>
  <c r="DS384" i="5"/>
  <c r="I340" i="5"/>
  <c r="I324" i="5"/>
  <c r="F324" i="5"/>
  <c r="F321" i="5"/>
  <c r="I320" i="5"/>
  <c r="F320" i="5"/>
  <c r="I319" i="5"/>
  <c r="F319" i="5"/>
  <c r="I276" i="5"/>
  <c r="I275" i="5"/>
  <c r="DS275" i="5" s="1"/>
  <c r="I271" i="5"/>
  <c r="DS271" i="5" s="1"/>
  <c r="F218" i="5"/>
  <c r="F214" i="5"/>
  <c r="F201" i="5"/>
  <c r="I199" i="5"/>
  <c r="F197" i="5"/>
  <c r="I195" i="5"/>
  <c r="F195" i="5"/>
  <c r="I193" i="5"/>
  <c r="F192" i="5"/>
  <c r="I191" i="5"/>
  <c r="F187" i="5"/>
  <c r="DS187" i="5" s="1"/>
  <c r="F186" i="5"/>
  <c r="DS186" i="5" s="1"/>
  <c r="I181" i="5"/>
  <c r="F180" i="5"/>
  <c r="F174" i="5"/>
  <c r="I169" i="5"/>
  <c r="DS169" i="5"/>
  <c r="I154" i="5"/>
  <c r="F154" i="5"/>
  <c r="I143" i="5"/>
  <c r="DS143" i="5"/>
  <c r="I258" i="1"/>
  <c r="CZ213" i="6"/>
  <c r="CU213" i="6"/>
  <c r="CF213" i="6"/>
  <c r="EX444" i="6"/>
  <c r="EX443" i="6"/>
  <c r="EX442" i="6"/>
  <c r="EX441" i="6"/>
  <c r="EX440" i="6"/>
  <c r="EX439" i="6"/>
  <c r="EX438" i="6"/>
  <c r="EX437" i="6"/>
  <c r="EX436" i="6"/>
  <c r="EX435" i="6"/>
  <c r="EX434" i="6"/>
  <c r="EX433" i="6"/>
  <c r="EN415" i="6"/>
  <c r="EN409" i="6"/>
  <c r="EN407" i="6"/>
  <c r="EN405" i="6"/>
  <c r="EN399" i="6"/>
  <c r="AC387" i="6"/>
  <c r="X387" i="6"/>
  <c r="AR386" i="6"/>
  <c r="AM386" i="6"/>
  <c r="AC386" i="6"/>
  <c r="X386" i="6"/>
  <c r="S386" i="6"/>
  <c r="EI381" i="6"/>
  <c r="ED381" i="6"/>
  <c r="DY381" i="6"/>
  <c r="DT381" i="6"/>
  <c r="DO381" i="6"/>
  <c r="DJ381" i="6"/>
  <c r="EI380" i="6"/>
  <c r="ED380" i="6"/>
  <c r="DY380" i="6"/>
  <c r="DT380" i="6"/>
  <c r="DO380" i="6"/>
  <c r="DJ380" i="6"/>
  <c r="EI378" i="6"/>
  <c r="ED378" i="6"/>
  <c r="DY378" i="6"/>
  <c r="DT378" i="6"/>
  <c r="DO378" i="6"/>
  <c r="DJ378" i="6"/>
  <c r="EI377" i="6"/>
  <c r="ED377" i="6"/>
  <c r="DY377" i="6"/>
  <c r="DT377" i="6"/>
  <c r="DO377" i="6"/>
  <c r="DJ377" i="6"/>
  <c r="EI376" i="6"/>
  <c r="ED376" i="6"/>
  <c r="DY376" i="6"/>
  <c r="DT376" i="6"/>
  <c r="DO376" i="6"/>
  <c r="DJ376" i="6"/>
  <c r="EI375" i="6"/>
  <c r="ED375" i="6"/>
  <c r="DY375" i="6"/>
  <c r="DT375" i="6"/>
  <c r="DO375" i="6"/>
  <c r="DJ375" i="6"/>
  <c r="DE375" i="6"/>
  <c r="CZ375" i="6"/>
  <c r="CU375" i="6"/>
  <c r="CP375" i="6"/>
  <c r="CK375" i="6"/>
  <c r="CF375" i="6"/>
  <c r="CA375" i="6"/>
  <c r="BQ375" i="6"/>
  <c r="BL375" i="6"/>
  <c r="BG375" i="6"/>
  <c r="BB375" i="6"/>
  <c r="AW375" i="6"/>
  <c r="T374" i="6"/>
  <c r="EX374" i="6"/>
  <c r="EX373" i="6"/>
  <c r="EI369" i="6"/>
  <c r="ED369" i="6"/>
  <c r="DY369" i="6"/>
  <c r="DT369" i="6"/>
  <c r="DO369" i="6"/>
  <c r="DJ369" i="6"/>
  <c r="EX369" i="6" s="1"/>
  <c r="EI365" i="6"/>
  <c r="ED365" i="6"/>
  <c r="DY365" i="6"/>
  <c r="DT365" i="6"/>
  <c r="DO365" i="6"/>
  <c r="DJ365" i="6"/>
  <c r="DE365" i="6"/>
  <c r="CZ365" i="6"/>
  <c r="CU365" i="6"/>
  <c r="CP365" i="6"/>
  <c r="CF365" i="6"/>
  <c r="CA365" i="6"/>
  <c r="BG365" i="6"/>
  <c r="BB365" i="6"/>
  <c r="AW365" i="6"/>
  <c r="AR365" i="6"/>
  <c r="AM365" i="6"/>
  <c r="AC365" i="6"/>
  <c r="X365" i="6"/>
  <c r="S365" i="6"/>
  <c r="EI364" i="6"/>
  <c r="ED364" i="6"/>
  <c r="DY364" i="6"/>
  <c r="DT364" i="6"/>
  <c r="DO364" i="6"/>
  <c r="DJ364" i="6"/>
  <c r="DE364" i="6"/>
  <c r="CZ364" i="6"/>
  <c r="CU364" i="6"/>
  <c r="CP364" i="6"/>
  <c r="CF364" i="6"/>
  <c r="CA364" i="6"/>
  <c r="BG364" i="6"/>
  <c r="BB364" i="6"/>
  <c r="AW364" i="6"/>
  <c r="AR364" i="6"/>
  <c r="AM364" i="6"/>
  <c r="AC364" i="6"/>
  <c r="X364" i="6"/>
  <c r="S364" i="6"/>
  <c r="EX364" i="6" s="1"/>
  <c r="EI363" i="6"/>
  <c r="ED363" i="6"/>
  <c r="DY363" i="6"/>
  <c r="DT363" i="6"/>
  <c r="DO363" i="6"/>
  <c r="DJ363" i="6"/>
  <c r="DE363" i="6"/>
  <c r="CZ363" i="6"/>
  <c r="CU363" i="6"/>
  <c r="CP363" i="6"/>
  <c r="CF363" i="6"/>
  <c r="CA363" i="6"/>
  <c r="BG363" i="6"/>
  <c r="BB363" i="6"/>
  <c r="AW363" i="6"/>
  <c r="AR363" i="6"/>
  <c r="AM363" i="6"/>
  <c r="AC363" i="6"/>
  <c r="X363" i="6"/>
  <c r="S363" i="6"/>
  <c r="EI362" i="6"/>
  <c r="ED362" i="6"/>
  <c r="DY362" i="6"/>
  <c r="DT362" i="6"/>
  <c r="DO362" i="6"/>
  <c r="DJ362" i="6"/>
  <c r="DE362" i="6"/>
  <c r="CZ362" i="6"/>
  <c r="CU362" i="6"/>
  <c r="CP362" i="6"/>
  <c r="CF362" i="6"/>
  <c r="CA362" i="6"/>
  <c r="BG362" i="6"/>
  <c r="BB362" i="6"/>
  <c r="AW362" i="6"/>
  <c r="AR362" i="6"/>
  <c r="AM362" i="6"/>
  <c r="AC362" i="6"/>
  <c r="X362" i="6"/>
  <c r="S362" i="6"/>
  <c r="EX362" i="6" s="1"/>
  <c r="EI361" i="6"/>
  <c r="ED361" i="6"/>
  <c r="DY361" i="6"/>
  <c r="DT361" i="6"/>
  <c r="DO361" i="6"/>
  <c r="DJ361" i="6"/>
  <c r="DE361" i="6"/>
  <c r="CZ361" i="6"/>
  <c r="CU361" i="6"/>
  <c r="CP361" i="6"/>
  <c r="CF361" i="6"/>
  <c r="CA361" i="6"/>
  <c r="BG361" i="6"/>
  <c r="BB361" i="6"/>
  <c r="AW361" i="6"/>
  <c r="AR361" i="6"/>
  <c r="AM361" i="6"/>
  <c r="AC361" i="6"/>
  <c r="X361" i="6"/>
  <c r="S361" i="6"/>
  <c r="EI360" i="6"/>
  <c r="ED360" i="6"/>
  <c r="DY360" i="6"/>
  <c r="DT360" i="6"/>
  <c r="DO360" i="6"/>
  <c r="DJ360" i="6"/>
  <c r="DE360" i="6"/>
  <c r="CZ360" i="6"/>
  <c r="CU360" i="6"/>
  <c r="CP360" i="6"/>
  <c r="CF360" i="6"/>
  <c r="CA360" i="6"/>
  <c r="BG360" i="6"/>
  <c r="BB360" i="6"/>
  <c r="AW360" i="6"/>
  <c r="AR360" i="6"/>
  <c r="AM360" i="6"/>
  <c r="AC360" i="6"/>
  <c r="X360" i="6"/>
  <c r="S360" i="6"/>
  <c r="EX360" i="6" s="1"/>
  <c r="EI359" i="6"/>
  <c r="ED359" i="6"/>
  <c r="DY359" i="6"/>
  <c r="DT359" i="6"/>
  <c r="DO359" i="6"/>
  <c r="DJ359" i="6"/>
  <c r="DE359" i="6"/>
  <c r="CZ359" i="6"/>
  <c r="CU359" i="6"/>
  <c r="CP359" i="6"/>
  <c r="CF359" i="6"/>
  <c r="CA359" i="6"/>
  <c r="BG359" i="6"/>
  <c r="BB359" i="6"/>
  <c r="AW359" i="6"/>
  <c r="AR359" i="6"/>
  <c r="AM359" i="6"/>
  <c r="AC359" i="6"/>
  <c r="X359" i="6"/>
  <c r="S359" i="6"/>
  <c r="EI358" i="6"/>
  <c r="ED358" i="6"/>
  <c r="DY358" i="6"/>
  <c r="DT358" i="6"/>
  <c r="DO358" i="6"/>
  <c r="DJ358" i="6"/>
  <c r="DE358" i="6"/>
  <c r="CZ358" i="6"/>
  <c r="CU358" i="6"/>
  <c r="CP358" i="6"/>
  <c r="CF358" i="6"/>
  <c r="CA358" i="6"/>
  <c r="BG358" i="6"/>
  <c r="BB358" i="6"/>
  <c r="AW358" i="6"/>
  <c r="AR358" i="6"/>
  <c r="AM358" i="6"/>
  <c r="AC358" i="6"/>
  <c r="X358" i="6"/>
  <c r="S358" i="6"/>
  <c r="EI357" i="6"/>
  <c r="ED357" i="6"/>
  <c r="DY357" i="6"/>
  <c r="DT357" i="6"/>
  <c r="DO357" i="6"/>
  <c r="DJ357" i="6"/>
  <c r="DE357" i="6"/>
  <c r="CZ357" i="6"/>
  <c r="CU357" i="6"/>
  <c r="CP357" i="6"/>
  <c r="CF357" i="6"/>
  <c r="CA357" i="6"/>
  <c r="BG357" i="6"/>
  <c r="BB357" i="6"/>
  <c r="AW357" i="6"/>
  <c r="AR357" i="6"/>
  <c r="AM357" i="6"/>
  <c r="AC357" i="6"/>
  <c r="X357" i="6"/>
  <c r="S357" i="6"/>
  <c r="EX357" i="6" s="1"/>
  <c r="EI356" i="6"/>
  <c r="ED356" i="6"/>
  <c r="DY356" i="6"/>
  <c r="DT356" i="6"/>
  <c r="DO356" i="6"/>
  <c r="DJ356" i="6"/>
  <c r="DE356" i="6"/>
  <c r="CZ356" i="6"/>
  <c r="CU356" i="6"/>
  <c r="CP356" i="6"/>
  <c r="CF356" i="6"/>
  <c r="CA356" i="6"/>
  <c r="BG356" i="6"/>
  <c r="BB356" i="6"/>
  <c r="AW356" i="6"/>
  <c r="AR356" i="6"/>
  <c r="AM356" i="6"/>
  <c r="AC356" i="6"/>
  <c r="X356" i="6"/>
  <c r="S356" i="6"/>
  <c r="EI355" i="6"/>
  <c r="ED355" i="6"/>
  <c r="DY355" i="6"/>
  <c r="DT355" i="6"/>
  <c r="DO355" i="6"/>
  <c r="DJ355" i="6"/>
  <c r="DE355" i="6"/>
  <c r="CZ355" i="6"/>
  <c r="CU355" i="6"/>
  <c r="CP355" i="6"/>
  <c r="CF355" i="6"/>
  <c r="CA355" i="6"/>
  <c r="BG355" i="6"/>
  <c r="BB355" i="6"/>
  <c r="AW355" i="6"/>
  <c r="AR355" i="6"/>
  <c r="AM355" i="6"/>
  <c r="AC355" i="6"/>
  <c r="X355" i="6"/>
  <c r="S355" i="6"/>
  <c r="EI351" i="6"/>
  <c r="ED351" i="6"/>
  <c r="DY351" i="6"/>
  <c r="DT351" i="6"/>
  <c r="DO351" i="6"/>
  <c r="DJ351" i="6"/>
  <c r="DE351" i="6"/>
  <c r="CZ351" i="6"/>
  <c r="CU351" i="6"/>
  <c r="CP351" i="6"/>
  <c r="CF351" i="6"/>
  <c r="CA351" i="6"/>
  <c r="BG351" i="6"/>
  <c r="BB351" i="6"/>
  <c r="AW351" i="6"/>
  <c r="AR351" i="6"/>
  <c r="AM351" i="6"/>
  <c r="AC351" i="6"/>
  <c r="X351" i="6"/>
  <c r="S351" i="6"/>
  <c r="EI350" i="6"/>
  <c r="ED350" i="6"/>
  <c r="DY350" i="6"/>
  <c r="DT350" i="6"/>
  <c r="DO350" i="6"/>
  <c r="DJ350" i="6"/>
  <c r="DE350" i="6"/>
  <c r="CZ350" i="6"/>
  <c r="CU350" i="6"/>
  <c r="CP350" i="6"/>
  <c r="CF350" i="6"/>
  <c r="CA350" i="6"/>
  <c r="BG350" i="6"/>
  <c r="BB350" i="6"/>
  <c r="AW350" i="6"/>
  <c r="AR350" i="6"/>
  <c r="AM350" i="6"/>
  <c r="AC350" i="6"/>
  <c r="X350" i="6"/>
  <c r="S350" i="6"/>
  <c r="EI349" i="6"/>
  <c r="ED349" i="6"/>
  <c r="DY349" i="6"/>
  <c r="DT349" i="6"/>
  <c r="DO349" i="6"/>
  <c r="DJ349" i="6"/>
  <c r="DE349" i="6"/>
  <c r="CZ349" i="6"/>
  <c r="CU349" i="6"/>
  <c r="CP349" i="6"/>
  <c r="CF349" i="6"/>
  <c r="CA349" i="6"/>
  <c r="BG349" i="6"/>
  <c r="BB349" i="6"/>
  <c r="AW349" i="6"/>
  <c r="AR349" i="6"/>
  <c r="AM349" i="6"/>
  <c r="AC349" i="6"/>
  <c r="X349" i="6"/>
  <c r="EX349" i="6" s="1"/>
  <c r="S349" i="6"/>
  <c r="EI348" i="6"/>
  <c r="ED348" i="6"/>
  <c r="DY348" i="6"/>
  <c r="DT348" i="6"/>
  <c r="DO348" i="6"/>
  <c r="DJ348" i="6"/>
  <c r="DE348" i="6"/>
  <c r="CZ348" i="6"/>
  <c r="CU348" i="6"/>
  <c r="CP348" i="6"/>
  <c r="CF348" i="6"/>
  <c r="CA348" i="6"/>
  <c r="BG348" i="6"/>
  <c r="BB348" i="6"/>
  <c r="AW348" i="6"/>
  <c r="AR348" i="6"/>
  <c r="AM348" i="6"/>
  <c r="AC348" i="6"/>
  <c r="X348" i="6"/>
  <c r="S348" i="6"/>
  <c r="EI347" i="6"/>
  <c r="ED347" i="6"/>
  <c r="DY347" i="6"/>
  <c r="DT347" i="6"/>
  <c r="DO347" i="6"/>
  <c r="DJ347" i="6"/>
  <c r="DE347" i="6"/>
  <c r="CZ347" i="6"/>
  <c r="CU347" i="6"/>
  <c r="CP347" i="6"/>
  <c r="CF347" i="6"/>
  <c r="CA347" i="6"/>
  <c r="BG347" i="6"/>
  <c r="BB347" i="6"/>
  <c r="AW347" i="6"/>
  <c r="AR347" i="6"/>
  <c r="AM347" i="6"/>
  <c r="AC347" i="6"/>
  <c r="X347" i="6"/>
  <c r="S347" i="6"/>
  <c r="EI346" i="6"/>
  <c r="ED346" i="6"/>
  <c r="DY346" i="6"/>
  <c r="DT346" i="6"/>
  <c r="DO346" i="6"/>
  <c r="DJ346" i="6"/>
  <c r="DE346" i="6"/>
  <c r="CZ346" i="6"/>
  <c r="CU346" i="6"/>
  <c r="CP346" i="6"/>
  <c r="CF346" i="6"/>
  <c r="CA346" i="6"/>
  <c r="BG346" i="6"/>
  <c r="BB346" i="6"/>
  <c r="AW346" i="6"/>
  <c r="AR346" i="6"/>
  <c r="AM346" i="6"/>
  <c r="AC346" i="6"/>
  <c r="X346" i="6"/>
  <c r="S346" i="6"/>
  <c r="EX346" i="6" s="1"/>
  <c r="EI345" i="6"/>
  <c r="ED345" i="6"/>
  <c r="DY345" i="6"/>
  <c r="DT345" i="6"/>
  <c r="DO345" i="6"/>
  <c r="DJ345" i="6"/>
  <c r="DE345" i="6"/>
  <c r="CZ345" i="6"/>
  <c r="CU345" i="6"/>
  <c r="CP345" i="6"/>
  <c r="CF345" i="6"/>
  <c r="CA345" i="6"/>
  <c r="BG345" i="6"/>
  <c r="BB345" i="6"/>
  <c r="AW345" i="6"/>
  <c r="AR345" i="6"/>
  <c r="AM345" i="6"/>
  <c r="AC345" i="6"/>
  <c r="X345" i="6"/>
  <c r="S345" i="6"/>
  <c r="EI344" i="6"/>
  <c r="ED344" i="6"/>
  <c r="DY344" i="6"/>
  <c r="DT344" i="6"/>
  <c r="DO344" i="6"/>
  <c r="DJ344" i="6"/>
  <c r="DE344" i="6"/>
  <c r="CZ344" i="6"/>
  <c r="CU344" i="6"/>
  <c r="CP344" i="6"/>
  <c r="CF344" i="6"/>
  <c r="CA344" i="6"/>
  <c r="BG344" i="6"/>
  <c r="BB344" i="6"/>
  <c r="AW344" i="6"/>
  <c r="AR344" i="6"/>
  <c r="AM344" i="6"/>
  <c r="AC344" i="6"/>
  <c r="X344" i="6"/>
  <c r="S344" i="6"/>
  <c r="EX344" i="6" s="1"/>
  <c r="EI343" i="6"/>
  <c r="ED343" i="6"/>
  <c r="DY343" i="6"/>
  <c r="DT343" i="6"/>
  <c r="DO343" i="6"/>
  <c r="DJ343" i="6"/>
  <c r="DE343" i="6"/>
  <c r="CZ343" i="6"/>
  <c r="CU343" i="6"/>
  <c r="CP343" i="6"/>
  <c r="CF343" i="6"/>
  <c r="CA343" i="6"/>
  <c r="BG343" i="6"/>
  <c r="BB343" i="6"/>
  <c r="AW343" i="6"/>
  <c r="AR343" i="6"/>
  <c r="AM343" i="6"/>
  <c r="AC343" i="6"/>
  <c r="X343" i="6"/>
  <c r="S343" i="6"/>
  <c r="EI342" i="6"/>
  <c r="ED342" i="6"/>
  <c r="DY342" i="6"/>
  <c r="DT342" i="6"/>
  <c r="DO342" i="6"/>
  <c r="DJ342" i="6"/>
  <c r="DE342" i="6"/>
  <c r="CZ342" i="6"/>
  <c r="CU342" i="6"/>
  <c r="CP342" i="6"/>
  <c r="CF342" i="6"/>
  <c r="CA342" i="6"/>
  <c r="BG342" i="6"/>
  <c r="BB342" i="6"/>
  <c r="AW342" i="6"/>
  <c r="AR342" i="6"/>
  <c r="AM342" i="6"/>
  <c r="AC342" i="6"/>
  <c r="X342" i="6"/>
  <c r="S342" i="6"/>
  <c r="EI341" i="6"/>
  <c r="ED341" i="6"/>
  <c r="DY341" i="6"/>
  <c r="DT341" i="6"/>
  <c r="DO341" i="6"/>
  <c r="DJ341" i="6"/>
  <c r="DE341" i="6"/>
  <c r="CZ341" i="6"/>
  <c r="CU341" i="6"/>
  <c r="CP341" i="6"/>
  <c r="CF341" i="6"/>
  <c r="CA341" i="6"/>
  <c r="BG341" i="6"/>
  <c r="BB341" i="6"/>
  <c r="AW341" i="6"/>
  <c r="AR341" i="6"/>
  <c r="AM341" i="6"/>
  <c r="AC341" i="6"/>
  <c r="X341" i="6"/>
  <c r="S341" i="6"/>
  <c r="EI340" i="6"/>
  <c r="ED340" i="6"/>
  <c r="DY340" i="6"/>
  <c r="DT340" i="6"/>
  <c r="DO340" i="6"/>
  <c r="DJ340" i="6"/>
  <c r="DE340" i="6"/>
  <c r="CZ340" i="6"/>
  <c r="CU340" i="6"/>
  <c r="CP340" i="6"/>
  <c r="CF340" i="6"/>
  <c r="CA340" i="6"/>
  <c r="BG340" i="6"/>
  <c r="BB340" i="6"/>
  <c r="AW340" i="6"/>
  <c r="AR340" i="6"/>
  <c r="AM340" i="6"/>
  <c r="AC340" i="6"/>
  <c r="X340" i="6"/>
  <c r="S340" i="6"/>
  <c r="K340" i="6"/>
  <c r="EX340" i="6" s="1"/>
  <c r="AR339" i="6"/>
  <c r="AR338" i="6"/>
  <c r="AR336" i="6"/>
  <c r="EI335" i="6"/>
  <c r="ED335" i="6"/>
  <c r="DY335" i="6"/>
  <c r="DT335" i="6"/>
  <c r="DO335" i="6"/>
  <c r="DJ335" i="6"/>
  <c r="EI334" i="6"/>
  <c r="ED334" i="6"/>
  <c r="DY334" i="6"/>
  <c r="DT334" i="6"/>
  <c r="DO334" i="6"/>
  <c r="DJ334" i="6"/>
  <c r="EI331" i="6"/>
  <c r="ED331" i="6"/>
  <c r="DY331" i="6"/>
  <c r="DT331" i="6"/>
  <c r="DO331" i="6"/>
  <c r="DJ331" i="6"/>
  <c r="DE331" i="6"/>
  <c r="CZ331" i="6"/>
  <c r="CU331" i="6"/>
  <c r="CF331" i="6"/>
  <c r="CA331" i="6"/>
  <c r="BQ331" i="6"/>
  <c r="BL331" i="6"/>
  <c r="EI330" i="6"/>
  <c r="ED330" i="6"/>
  <c r="DY330" i="6"/>
  <c r="DT330" i="6"/>
  <c r="DO330" i="6"/>
  <c r="DJ330" i="6"/>
  <c r="DE330" i="6"/>
  <c r="CZ330" i="6"/>
  <c r="CU330" i="6"/>
  <c r="CP330" i="6"/>
  <c r="CK330" i="6"/>
  <c r="CF330" i="6"/>
  <c r="CA330" i="6"/>
  <c r="BQ330" i="6"/>
  <c r="BL330" i="6"/>
  <c r="BG330" i="6"/>
  <c r="EI329" i="6"/>
  <c r="ED329" i="6"/>
  <c r="DY329" i="6"/>
  <c r="DT329" i="6"/>
  <c r="DO329" i="6"/>
  <c r="DJ329" i="6"/>
  <c r="DE329" i="6"/>
  <c r="CZ329" i="6"/>
  <c r="CU329" i="6"/>
  <c r="CP329" i="6"/>
  <c r="CK329" i="6"/>
  <c r="CF329" i="6"/>
  <c r="CA329" i="6"/>
  <c r="BQ329" i="6"/>
  <c r="BL329" i="6"/>
  <c r="BG329" i="6"/>
  <c r="EI328" i="6"/>
  <c r="ED328" i="6"/>
  <c r="DY328" i="6"/>
  <c r="DT328" i="6"/>
  <c r="DO328" i="6"/>
  <c r="DJ328" i="6"/>
  <c r="DE328" i="6"/>
  <c r="CZ328" i="6"/>
  <c r="CU328" i="6"/>
  <c r="CP328" i="6"/>
  <c r="CK328" i="6"/>
  <c r="CF328" i="6"/>
  <c r="CA328" i="6"/>
  <c r="BQ328" i="6"/>
  <c r="BL328" i="6"/>
  <c r="BG328" i="6"/>
  <c r="EI327" i="6"/>
  <c r="ED327" i="6"/>
  <c r="DY327" i="6"/>
  <c r="DT327" i="6"/>
  <c r="DO327" i="6"/>
  <c r="DJ327" i="6"/>
  <c r="CZ326" i="6"/>
  <c r="EX326" i="6" s="1"/>
  <c r="EI325" i="6"/>
  <c r="ED325" i="6"/>
  <c r="DY325" i="6"/>
  <c r="DT325" i="6"/>
  <c r="DO325" i="6"/>
  <c r="DJ325" i="6"/>
  <c r="DE325" i="6"/>
  <c r="CZ325" i="6"/>
  <c r="CU325" i="6"/>
  <c r="CP325" i="6"/>
  <c r="CK325" i="6"/>
  <c r="CF325" i="6"/>
  <c r="CA325" i="6"/>
  <c r="BQ325" i="6"/>
  <c r="BL325" i="6"/>
  <c r="BG325" i="6"/>
  <c r="BB325" i="6"/>
  <c r="AW325" i="6"/>
  <c r="EX325" i="6" s="1"/>
  <c r="EI324" i="6"/>
  <c r="ED324" i="6"/>
  <c r="DY324" i="6"/>
  <c r="DT324" i="6"/>
  <c r="DO324" i="6"/>
  <c r="DJ324" i="6"/>
  <c r="DE324" i="6"/>
  <c r="CZ324" i="6"/>
  <c r="CU324" i="6"/>
  <c r="CP324" i="6"/>
  <c r="CK324" i="6"/>
  <c r="CF324" i="6"/>
  <c r="CA324" i="6"/>
  <c r="BQ324" i="6"/>
  <c r="BL324" i="6"/>
  <c r="BG324" i="6"/>
  <c r="BB324" i="6"/>
  <c r="AW324" i="6"/>
  <c r="AR324" i="6"/>
  <c r="AM324" i="6"/>
  <c r="AH324" i="6"/>
  <c r="AC324" i="6"/>
  <c r="X324" i="6"/>
  <c r="S324" i="6"/>
  <c r="K324" i="6"/>
  <c r="DO322" i="6"/>
  <c r="DJ322" i="6"/>
  <c r="BB322" i="6"/>
  <c r="EI321" i="6"/>
  <c r="ED321" i="6"/>
  <c r="DY321" i="6"/>
  <c r="DT321" i="6"/>
  <c r="DO321" i="6"/>
  <c r="DJ321" i="6"/>
  <c r="CZ321" i="6"/>
  <c r="CU321" i="6"/>
  <c r="CF321" i="6"/>
  <c r="CA321" i="6"/>
  <c r="BQ321" i="6"/>
  <c r="BL321" i="6"/>
  <c r="BB321" i="6"/>
  <c r="AW321" i="6"/>
  <c r="AR321" i="6"/>
  <c r="AM321" i="6"/>
  <c r="AH321" i="6"/>
  <c r="K321" i="6"/>
  <c r="EI320" i="6"/>
  <c r="ED320" i="6"/>
  <c r="DY320" i="6"/>
  <c r="DT320" i="6"/>
  <c r="DO320" i="6"/>
  <c r="DJ320" i="6"/>
  <c r="DE320" i="6"/>
  <c r="CZ320" i="6"/>
  <c r="CU320" i="6"/>
  <c r="CP320" i="6"/>
  <c r="CK320" i="6"/>
  <c r="CF320" i="6"/>
  <c r="CA320" i="6"/>
  <c r="BQ320" i="6"/>
  <c r="BL320" i="6"/>
  <c r="BG320" i="6"/>
  <c r="BB320" i="6"/>
  <c r="AW320" i="6"/>
  <c r="AR320" i="6"/>
  <c r="AM320" i="6"/>
  <c r="AH320" i="6"/>
  <c r="X320" i="6"/>
  <c r="K320" i="6"/>
  <c r="EI319" i="6"/>
  <c r="ED319" i="6"/>
  <c r="DY319" i="6"/>
  <c r="DT319" i="6"/>
  <c r="DO319" i="6"/>
  <c r="DJ319" i="6"/>
  <c r="DE319" i="6"/>
  <c r="CU319" i="6"/>
  <c r="CP319" i="6"/>
  <c r="CK319" i="6"/>
  <c r="CF319" i="6"/>
  <c r="CA319" i="6"/>
  <c r="BQ319" i="6"/>
  <c r="BG319" i="6"/>
  <c r="BB319" i="6"/>
  <c r="AR319" i="6"/>
  <c r="AM319" i="6"/>
  <c r="AH319" i="6"/>
  <c r="X319" i="6"/>
  <c r="K319" i="6"/>
  <c r="EI317" i="6"/>
  <c r="ED317" i="6"/>
  <c r="DY317" i="6"/>
  <c r="DT317" i="6"/>
  <c r="DO317" i="6"/>
  <c r="DJ317" i="6"/>
  <c r="CU317" i="6"/>
  <c r="BQ317" i="6"/>
  <c r="BL317" i="6"/>
  <c r="EI316" i="6"/>
  <c r="ED316" i="6"/>
  <c r="DY316" i="6"/>
  <c r="DT316" i="6"/>
  <c r="DO316" i="6"/>
  <c r="DJ316" i="6"/>
  <c r="DE316" i="6"/>
  <c r="CZ316" i="6"/>
  <c r="CU316" i="6"/>
  <c r="CP316" i="6"/>
  <c r="CK316" i="6"/>
  <c r="CF316" i="6"/>
  <c r="CA316" i="6"/>
  <c r="BQ316" i="6"/>
  <c r="BL316" i="6"/>
  <c r="BG316" i="6"/>
  <c r="BB316" i="6"/>
  <c r="AW316" i="6"/>
  <c r="EX313" i="6"/>
  <c r="EX312" i="6"/>
  <c r="EX311" i="6"/>
  <c r="EI301" i="6"/>
  <c r="ED301" i="6"/>
  <c r="DY301" i="6"/>
  <c r="DT301" i="6"/>
  <c r="DO301" i="6"/>
  <c r="DJ301" i="6"/>
  <c r="DE301" i="6"/>
  <c r="CU301" i="6"/>
  <c r="CP301" i="6"/>
  <c r="CK301" i="6"/>
  <c r="CF301" i="6"/>
  <c r="CA301" i="6"/>
  <c r="BQ301" i="6"/>
  <c r="BL301" i="6"/>
  <c r="BG301" i="6"/>
  <c r="AR301" i="6"/>
  <c r="AM301" i="6"/>
  <c r="AH301" i="6"/>
  <c r="EX297" i="6"/>
  <c r="EI294" i="6"/>
  <c r="ED294" i="6"/>
  <c r="DY294" i="6"/>
  <c r="DT294" i="6"/>
  <c r="DO294" i="6"/>
  <c r="DJ294" i="6"/>
  <c r="DE294" i="6"/>
  <c r="CZ294" i="6"/>
  <c r="CU294" i="6"/>
  <c r="CK294" i="6"/>
  <c r="CF294" i="6"/>
  <c r="CA294" i="6"/>
  <c r="BQ294" i="6"/>
  <c r="BL294" i="6"/>
  <c r="BG294" i="6"/>
  <c r="AR294" i="6"/>
  <c r="AM294" i="6"/>
  <c r="AH294" i="6"/>
  <c r="ED293" i="6"/>
  <c r="DJ293" i="6"/>
  <c r="DY288" i="6"/>
  <c r="DT288" i="6"/>
  <c r="DO288" i="6"/>
  <c r="DJ288" i="6"/>
  <c r="CP288" i="6"/>
  <c r="CK288" i="6"/>
  <c r="AC288" i="6"/>
  <c r="X288" i="6"/>
  <c r="S288" i="6"/>
  <c r="DY287" i="6"/>
  <c r="DT287" i="6"/>
  <c r="DO287" i="6"/>
  <c r="DJ287" i="6"/>
  <c r="CP287" i="6"/>
  <c r="CK287" i="6"/>
  <c r="AC287" i="6"/>
  <c r="X287" i="6"/>
  <c r="S287" i="6"/>
  <c r="EX287" i="6" s="1"/>
  <c r="DY286" i="6"/>
  <c r="DT286" i="6"/>
  <c r="DO286" i="6"/>
  <c r="DJ286" i="6"/>
  <c r="CP286" i="6"/>
  <c r="CK286" i="6"/>
  <c r="AC286" i="6"/>
  <c r="X286" i="6"/>
  <c r="S286" i="6"/>
  <c r="EI283" i="6"/>
  <c r="ED283" i="6"/>
  <c r="DY283" i="6"/>
  <c r="DT283" i="6"/>
  <c r="DO283" i="6"/>
  <c r="DJ283" i="6"/>
  <c r="DE283" i="6"/>
  <c r="CZ283" i="6"/>
  <c r="CU283" i="6"/>
  <c r="CP283" i="6"/>
  <c r="CK283" i="6"/>
  <c r="CF283" i="6"/>
  <c r="CA283" i="6"/>
  <c r="BQ283" i="6"/>
  <c r="BL283" i="6"/>
  <c r="BB283" i="6"/>
  <c r="AW283" i="6"/>
  <c r="AR283" i="6"/>
  <c r="AH283" i="6"/>
  <c r="AC283" i="6"/>
  <c r="X283" i="6"/>
  <c r="EI282" i="6"/>
  <c r="ED282" i="6"/>
  <c r="DY282" i="6"/>
  <c r="DT282" i="6"/>
  <c r="DO282" i="6"/>
  <c r="DJ282" i="6"/>
  <c r="DE282" i="6"/>
  <c r="CZ282" i="6"/>
  <c r="CU282" i="6"/>
  <c r="CP282" i="6"/>
  <c r="CK282" i="6"/>
  <c r="CF282" i="6"/>
  <c r="CA282" i="6"/>
  <c r="BQ282" i="6"/>
  <c r="BL282" i="6"/>
  <c r="BB282" i="6"/>
  <c r="AW282" i="6"/>
  <c r="AR282" i="6"/>
  <c r="AH282" i="6"/>
  <c r="AC282" i="6"/>
  <c r="X282" i="6"/>
  <c r="EX282" i="6" s="1"/>
  <c r="EI281" i="6"/>
  <c r="ED281" i="6"/>
  <c r="DY281" i="6"/>
  <c r="DT281" i="6"/>
  <c r="DO281" i="6"/>
  <c r="DJ281" i="6"/>
  <c r="DE281" i="6"/>
  <c r="CZ281" i="6"/>
  <c r="CP281" i="6"/>
  <c r="CK281" i="6"/>
  <c r="CF281" i="6"/>
  <c r="CA281" i="6"/>
  <c r="BQ281" i="6"/>
  <c r="BL281" i="6"/>
  <c r="BB281" i="6"/>
  <c r="AW281" i="6"/>
  <c r="AR281" i="6"/>
  <c r="AH281" i="6"/>
  <c r="AC281" i="6"/>
  <c r="X281" i="6"/>
  <c r="EI278" i="6"/>
  <c r="ED278" i="6"/>
  <c r="DY278" i="6"/>
  <c r="DT278" i="6"/>
  <c r="DO278" i="6"/>
  <c r="DJ278" i="6"/>
  <c r="CZ278" i="6"/>
  <c r="CP278" i="6"/>
  <c r="CK278" i="6"/>
  <c r="CF278" i="6"/>
  <c r="CA278" i="6"/>
  <c r="BQ278" i="6"/>
  <c r="BL278" i="6"/>
  <c r="BB278" i="6"/>
  <c r="AW278" i="6"/>
  <c r="AR278" i="6"/>
  <c r="AC278" i="6"/>
  <c r="X278" i="6"/>
  <c r="S278" i="6"/>
  <c r="EI277" i="6"/>
  <c r="ED277" i="6"/>
  <c r="DY277" i="6"/>
  <c r="DT277" i="6"/>
  <c r="DO277" i="6"/>
  <c r="DJ277" i="6"/>
  <c r="CZ277" i="6"/>
  <c r="CP277" i="6"/>
  <c r="CK277" i="6"/>
  <c r="CF277" i="6"/>
  <c r="CA277" i="6"/>
  <c r="BQ277" i="6"/>
  <c r="BL277" i="6"/>
  <c r="BB277" i="6"/>
  <c r="AW277" i="6"/>
  <c r="AR277" i="6"/>
  <c r="AC277" i="6"/>
  <c r="X277" i="6"/>
  <c r="S277" i="6"/>
  <c r="EI276" i="6"/>
  <c r="ED276" i="6"/>
  <c r="DY276" i="6"/>
  <c r="DT276" i="6"/>
  <c r="DO276" i="6"/>
  <c r="DJ276" i="6"/>
  <c r="DE276" i="6"/>
  <c r="CZ276" i="6"/>
  <c r="CU276" i="6"/>
  <c r="CP276" i="6"/>
  <c r="CK276" i="6"/>
  <c r="CF276" i="6"/>
  <c r="CA276" i="6"/>
  <c r="BQ276" i="6"/>
  <c r="BL276" i="6"/>
  <c r="BG276" i="6"/>
  <c r="AR276" i="6"/>
  <c r="AM276" i="6"/>
  <c r="AH276" i="6"/>
  <c r="K276" i="6"/>
  <c r="EI275" i="6"/>
  <c r="ED275" i="6"/>
  <c r="DY275" i="6"/>
  <c r="DT275" i="6"/>
  <c r="DO275" i="6"/>
  <c r="DJ275" i="6"/>
  <c r="DE275" i="6"/>
  <c r="CZ275" i="6"/>
  <c r="CU275" i="6"/>
  <c r="CP275" i="6"/>
  <c r="CK275" i="6"/>
  <c r="CF275" i="6"/>
  <c r="CA275" i="6"/>
  <c r="BQ275" i="6"/>
  <c r="BL275" i="6"/>
  <c r="BG275" i="6"/>
  <c r="AR275" i="6"/>
  <c r="AM275" i="6"/>
  <c r="AH275" i="6"/>
  <c r="K275" i="6"/>
  <c r="T274" i="6"/>
  <c r="EX274" i="6"/>
  <c r="K271" i="6"/>
  <c r="EI270" i="6"/>
  <c r="ED270" i="6"/>
  <c r="DY270" i="6"/>
  <c r="DT270" i="6"/>
  <c r="DO270" i="6"/>
  <c r="DJ270" i="6"/>
  <c r="DE270" i="6"/>
  <c r="CZ270" i="6"/>
  <c r="CU270" i="6"/>
  <c r="CP270" i="6"/>
  <c r="CK270" i="6"/>
  <c r="CF270" i="6"/>
  <c r="CA270" i="6"/>
  <c r="BQ270" i="6"/>
  <c r="BL270" i="6"/>
  <c r="BG270" i="6"/>
  <c r="AR270" i="6"/>
  <c r="AM270" i="6"/>
  <c r="AH270" i="6"/>
  <c r="EI266" i="6"/>
  <c r="ED266" i="6"/>
  <c r="DY266" i="6"/>
  <c r="DT266" i="6"/>
  <c r="DO266" i="6"/>
  <c r="DJ266" i="6"/>
  <c r="CF266" i="6"/>
  <c r="BQ266" i="6"/>
  <c r="CZ264" i="6"/>
  <c r="T262" i="6"/>
  <c r="EX262" i="6" s="1"/>
  <c r="T258" i="6"/>
  <c r="J254" i="6"/>
  <c r="I254" i="6"/>
  <c r="EX253" i="6"/>
  <c r="CU252" i="6"/>
  <c r="EX252" i="6"/>
  <c r="EI239" i="6"/>
  <c r="ED239" i="6"/>
  <c r="DY239" i="6"/>
  <c r="DT239" i="6"/>
  <c r="DO239" i="6"/>
  <c r="EX239" i="6" s="1"/>
  <c r="DJ239" i="6"/>
  <c r="EI237" i="6"/>
  <c r="ED237" i="6"/>
  <c r="DY237" i="6"/>
  <c r="DT237" i="6"/>
  <c r="DO237" i="6"/>
  <c r="DJ237" i="6"/>
  <c r="DE237" i="6"/>
  <c r="CZ237" i="6"/>
  <c r="CU237" i="6"/>
  <c r="CP237" i="6"/>
  <c r="CK237" i="6"/>
  <c r="CF237" i="6"/>
  <c r="CA237" i="6"/>
  <c r="BQ237" i="6"/>
  <c r="BL237" i="6"/>
  <c r="BG237" i="6"/>
  <c r="BB237" i="6"/>
  <c r="AW237" i="6"/>
  <c r="EI236" i="6"/>
  <c r="ED236" i="6"/>
  <c r="DY236" i="6"/>
  <c r="DT236" i="6"/>
  <c r="DO236" i="6"/>
  <c r="DJ236" i="6"/>
  <c r="T235" i="6"/>
  <c r="EI231" i="6"/>
  <c r="ED231" i="6"/>
  <c r="DE231" i="6"/>
  <c r="CP231" i="6"/>
  <c r="CK231" i="6"/>
  <c r="CA231" i="6"/>
  <c r="AR231" i="6"/>
  <c r="AM231" i="6"/>
  <c r="EX231" i="6"/>
  <c r="EI229" i="6"/>
  <c r="ED229" i="6"/>
  <c r="DE229" i="6"/>
  <c r="CP229" i="6"/>
  <c r="CK229" i="6"/>
  <c r="CA229" i="6"/>
  <c r="AR229" i="6"/>
  <c r="AM229" i="6"/>
  <c r="EX229" i="6" s="1"/>
  <c r="EI227" i="6"/>
  <c r="ED227" i="6"/>
  <c r="CP227" i="6"/>
  <c r="CK227" i="6"/>
  <c r="CA227" i="6"/>
  <c r="AR227" i="6"/>
  <c r="AM227" i="6"/>
  <c r="EX227" i="6" s="1"/>
  <c r="EI226" i="6"/>
  <c r="ED226" i="6"/>
  <c r="CP226" i="6"/>
  <c r="CK226" i="6"/>
  <c r="CA226" i="6"/>
  <c r="AR226" i="6"/>
  <c r="AM226" i="6"/>
  <c r="EI220" i="6"/>
  <c r="ED220" i="6"/>
  <c r="DY220" i="6"/>
  <c r="DT220" i="6"/>
  <c r="DO220" i="6"/>
  <c r="DJ220" i="6"/>
  <c r="EI219" i="6"/>
  <c r="ED219" i="6"/>
  <c r="DY219" i="6"/>
  <c r="DT219" i="6"/>
  <c r="DO219" i="6"/>
  <c r="EX219" i="6" s="1"/>
  <c r="DJ219" i="6"/>
  <c r="EI218" i="6"/>
  <c r="ED218" i="6"/>
  <c r="DY218" i="6"/>
  <c r="DT218" i="6"/>
  <c r="DO218" i="6"/>
  <c r="DJ218" i="6"/>
  <c r="CX218" i="6"/>
  <c r="CI218" i="6"/>
  <c r="BT218" i="6"/>
  <c r="BL218" i="6"/>
  <c r="AH218" i="6"/>
  <c r="EI216" i="6"/>
  <c r="ED216" i="6"/>
  <c r="DY216" i="6"/>
  <c r="DT216" i="6"/>
  <c r="DO216" i="6"/>
  <c r="DJ216" i="6"/>
  <c r="CX216" i="6"/>
  <c r="CI216" i="6"/>
  <c r="BT216" i="6"/>
  <c r="BL216" i="6"/>
  <c r="AH216" i="6"/>
  <c r="EI215" i="6"/>
  <c r="ED215" i="6"/>
  <c r="DY215" i="6"/>
  <c r="DT215" i="6"/>
  <c r="DO215" i="6"/>
  <c r="DJ215" i="6"/>
  <c r="CX215" i="6"/>
  <c r="BT215" i="6"/>
  <c r="BL215" i="6"/>
  <c r="AH215" i="6"/>
  <c r="EI214" i="6"/>
  <c r="ED214" i="6"/>
  <c r="DY214" i="6"/>
  <c r="DT214" i="6"/>
  <c r="DO214" i="6"/>
  <c r="DJ214" i="6"/>
  <c r="CX214" i="6"/>
  <c r="BT214" i="6"/>
  <c r="BQ218" i="6"/>
  <c r="BL214" i="6"/>
  <c r="AH214" i="6"/>
  <c r="EI213" i="6"/>
  <c r="ED213" i="6"/>
  <c r="DY213" i="6"/>
  <c r="DT213" i="6"/>
  <c r="DO213" i="6"/>
  <c r="DJ213" i="6"/>
  <c r="DE213" i="6"/>
  <c r="CP213" i="6"/>
  <c r="CK213" i="6"/>
  <c r="CA213" i="6"/>
  <c r="BG213" i="6"/>
  <c r="BB213" i="6"/>
  <c r="AW213" i="6"/>
  <c r="AR213" i="6"/>
  <c r="AM213" i="6"/>
  <c r="AH213" i="6"/>
  <c r="AC213" i="6"/>
  <c r="X213" i="6"/>
  <c r="S213" i="6"/>
  <c r="AR202" i="6"/>
  <c r="AM202" i="6"/>
  <c r="AH202" i="6"/>
  <c r="EX202" i="6" s="1"/>
  <c r="EI201" i="6"/>
  <c r="ED201" i="6"/>
  <c r="DY201" i="6"/>
  <c r="DT201" i="6"/>
  <c r="DO201" i="6"/>
  <c r="DJ201" i="6"/>
  <c r="CZ201" i="6"/>
  <c r="CU201" i="6"/>
  <c r="CF201" i="6"/>
  <c r="EX201" i="6" s="1"/>
  <c r="CA201" i="6"/>
  <c r="BQ201" i="6"/>
  <c r="BL201" i="6"/>
  <c r="X201" i="6"/>
  <c r="S201" i="6"/>
  <c r="EI200" i="6"/>
  <c r="ED200" i="6"/>
  <c r="DY200" i="6"/>
  <c r="DT200" i="6"/>
  <c r="DO200" i="6"/>
  <c r="DJ200" i="6"/>
  <c r="DE200" i="6"/>
  <c r="CZ200" i="6"/>
  <c r="CU200" i="6"/>
  <c r="CP200" i="6"/>
  <c r="CK200" i="6"/>
  <c r="CF200" i="6"/>
  <c r="CA200" i="6"/>
  <c r="BQ200" i="6"/>
  <c r="BL200" i="6"/>
  <c r="BG200" i="6"/>
  <c r="BB200" i="6"/>
  <c r="AW200" i="6"/>
  <c r="AR200" i="6"/>
  <c r="AM200" i="6"/>
  <c r="AH200" i="6"/>
  <c r="AC200" i="6"/>
  <c r="X200" i="6"/>
  <c r="S200" i="6"/>
  <c r="EX200" i="6" s="1"/>
  <c r="EI199" i="6"/>
  <c r="ED199" i="6"/>
  <c r="DY199" i="6"/>
  <c r="DT199" i="6"/>
  <c r="DO199" i="6"/>
  <c r="DJ199" i="6"/>
  <c r="DE199" i="6"/>
  <c r="CZ199" i="6"/>
  <c r="CU199" i="6"/>
  <c r="CP199" i="6"/>
  <c r="CK199" i="6"/>
  <c r="CF199" i="6"/>
  <c r="CA199" i="6"/>
  <c r="BQ199" i="6"/>
  <c r="BL199" i="6"/>
  <c r="BG199" i="6"/>
  <c r="BB199" i="6"/>
  <c r="AW199" i="6"/>
  <c r="AR199" i="6"/>
  <c r="AM199" i="6"/>
  <c r="AH199" i="6"/>
  <c r="AC199" i="6"/>
  <c r="X199" i="6"/>
  <c r="S199" i="6"/>
  <c r="K199" i="6"/>
  <c r="EI198" i="6"/>
  <c r="ED198" i="6"/>
  <c r="DY198" i="6"/>
  <c r="DT198" i="6"/>
  <c r="DO198" i="6"/>
  <c r="DJ198" i="6"/>
  <c r="CU198" i="6"/>
  <c r="CF198" i="6"/>
  <c r="CA198" i="6"/>
  <c r="BQ198" i="6"/>
  <c r="BL198" i="6"/>
  <c r="AR198" i="6"/>
  <c r="AM198" i="6"/>
  <c r="AH198" i="6"/>
  <c r="EI197" i="6"/>
  <c r="ED197" i="6"/>
  <c r="DY197" i="6"/>
  <c r="DT197" i="6"/>
  <c r="DO197" i="6"/>
  <c r="DJ197" i="6"/>
  <c r="DE197" i="6"/>
  <c r="CZ197" i="6"/>
  <c r="CU197" i="6"/>
  <c r="CP197" i="6"/>
  <c r="CK197" i="6"/>
  <c r="CF197" i="6"/>
  <c r="CA197" i="6"/>
  <c r="BQ197" i="6"/>
  <c r="BL197" i="6"/>
  <c r="BG197" i="6"/>
  <c r="BB197" i="6"/>
  <c r="AW197" i="6"/>
  <c r="X197" i="6"/>
  <c r="S197" i="6"/>
  <c r="EX197" i="6" s="1"/>
  <c r="EI196" i="6"/>
  <c r="ED196" i="6"/>
  <c r="DY196" i="6"/>
  <c r="DT196" i="6"/>
  <c r="DO196" i="6"/>
  <c r="DJ196" i="6"/>
  <c r="DE196" i="6"/>
  <c r="CZ196" i="6"/>
  <c r="CU196" i="6"/>
  <c r="CP196" i="6"/>
  <c r="CK196" i="6"/>
  <c r="CF196" i="6"/>
  <c r="CA196" i="6"/>
  <c r="BG196" i="6"/>
  <c r="BB196" i="6"/>
  <c r="AW196" i="6"/>
  <c r="AR196" i="6"/>
  <c r="AM196" i="6"/>
  <c r="AH196" i="6"/>
  <c r="AC196" i="6"/>
  <c r="X196" i="6"/>
  <c r="S196" i="6"/>
  <c r="EI195" i="6"/>
  <c r="ED195" i="6"/>
  <c r="DY195" i="6"/>
  <c r="DT195" i="6"/>
  <c r="DO195" i="6"/>
  <c r="DJ195" i="6"/>
  <c r="CZ195" i="6"/>
  <c r="CU195" i="6"/>
  <c r="CF195" i="6"/>
  <c r="CA195" i="6"/>
  <c r="BQ195" i="6"/>
  <c r="BL195" i="6"/>
  <c r="AR195" i="6"/>
  <c r="AM195" i="6"/>
  <c r="AH195" i="6"/>
  <c r="AC195" i="6"/>
  <c r="X195" i="6"/>
  <c r="S195" i="6"/>
  <c r="K195" i="6"/>
  <c r="EI194" i="6"/>
  <c r="ED194" i="6"/>
  <c r="DY194" i="6"/>
  <c r="DT194" i="6"/>
  <c r="DO194" i="6"/>
  <c r="DJ194" i="6"/>
  <c r="DE194" i="6"/>
  <c r="CZ194" i="6"/>
  <c r="CU194" i="6"/>
  <c r="CP194" i="6"/>
  <c r="CK194" i="6"/>
  <c r="CF194" i="6"/>
  <c r="CA194" i="6"/>
  <c r="BQ194" i="6"/>
  <c r="BL194" i="6"/>
  <c r="BG194" i="6"/>
  <c r="BB194" i="6"/>
  <c r="AW194" i="6"/>
  <c r="AC194" i="6"/>
  <c r="X194" i="6"/>
  <c r="S194" i="6"/>
  <c r="EI193" i="6"/>
  <c r="ED193" i="6"/>
  <c r="DY193" i="6"/>
  <c r="DT193" i="6"/>
  <c r="DO193" i="6"/>
  <c r="DJ193" i="6"/>
  <c r="DE193" i="6"/>
  <c r="CZ193" i="6"/>
  <c r="CU193" i="6"/>
  <c r="CP193" i="6"/>
  <c r="CK193" i="6"/>
  <c r="CF193" i="6"/>
  <c r="CA193" i="6"/>
  <c r="BQ193" i="6"/>
  <c r="BL193" i="6"/>
  <c r="BG193" i="6"/>
  <c r="BB193" i="6"/>
  <c r="AW193" i="6"/>
  <c r="AR193" i="6"/>
  <c r="AM193" i="6"/>
  <c r="AH193" i="6"/>
  <c r="AC193" i="6"/>
  <c r="EX193" i="6" s="1"/>
  <c r="X193" i="6"/>
  <c r="S193" i="6"/>
  <c r="K193" i="6"/>
  <c r="EI192" i="6"/>
  <c r="ED192" i="6"/>
  <c r="DY192" i="6"/>
  <c r="DT192" i="6"/>
  <c r="DO192" i="6"/>
  <c r="DJ192" i="6"/>
  <c r="DE192" i="6"/>
  <c r="CZ192" i="6"/>
  <c r="CU192" i="6"/>
  <c r="CP192" i="6"/>
  <c r="CK192" i="6"/>
  <c r="CF192" i="6"/>
  <c r="CA192" i="6"/>
  <c r="BQ192" i="6"/>
  <c r="BL192" i="6"/>
  <c r="BG192" i="6"/>
  <c r="BB192" i="6"/>
  <c r="AW192" i="6"/>
  <c r="AR192" i="6"/>
  <c r="AM192" i="6"/>
  <c r="AH192" i="6"/>
  <c r="X192" i="6"/>
  <c r="S192" i="6"/>
  <c r="EI191" i="6"/>
  <c r="ED191" i="6"/>
  <c r="DY191" i="6"/>
  <c r="DT191" i="6"/>
  <c r="DO191" i="6"/>
  <c r="DJ191" i="6"/>
  <c r="DE191" i="6"/>
  <c r="CZ191" i="6"/>
  <c r="CU191" i="6"/>
  <c r="CP191" i="6"/>
  <c r="CK191" i="6"/>
  <c r="CF191" i="6"/>
  <c r="CA191" i="6"/>
  <c r="BG191" i="6"/>
  <c r="BB191" i="6"/>
  <c r="AW191" i="6"/>
  <c r="AR191" i="6"/>
  <c r="AM191" i="6"/>
  <c r="AH191" i="6"/>
  <c r="AC191" i="6"/>
  <c r="X191" i="6"/>
  <c r="S191" i="6"/>
  <c r="K191" i="6"/>
  <c r="EX191" i="6" s="1"/>
  <c r="CZ190" i="6"/>
  <c r="EX190" i="6"/>
  <c r="EI188" i="6"/>
  <c r="DY188" i="6"/>
  <c r="DO188" i="6"/>
  <c r="EI186" i="6"/>
  <c r="DY186" i="6"/>
  <c r="DO186" i="6"/>
  <c r="DE182" i="6"/>
  <c r="K181" i="6"/>
  <c r="EX181" i="6" s="1"/>
  <c r="EI180" i="6"/>
  <c r="ED180" i="6"/>
  <c r="DY180" i="6"/>
  <c r="DT180" i="6"/>
  <c r="DO180" i="6"/>
  <c r="DJ180" i="6"/>
  <c r="CP180" i="6"/>
  <c r="CK180" i="6"/>
  <c r="CA180" i="6"/>
  <c r="BT180" i="6"/>
  <c r="BL180" i="6"/>
  <c r="AR180" i="6"/>
  <c r="AM180" i="6"/>
  <c r="AH180" i="6"/>
  <c r="EI179" i="6"/>
  <c r="ED179" i="6"/>
  <c r="DY179" i="6"/>
  <c r="DT179" i="6"/>
  <c r="DO179" i="6"/>
  <c r="DJ179" i="6"/>
  <c r="DE179" i="6"/>
  <c r="CP179" i="6"/>
  <c r="CK179" i="6"/>
  <c r="CA179" i="6"/>
  <c r="BL179" i="6"/>
  <c r="AR179" i="6"/>
  <c r="AM179" i="6"/>
  <c r="AH179" i="6"/>
  <c r="EI176" i="6"/>
  <c r="ED176" i="6"/>
  <c r="DY176" i="6"/>
  <c r="DT176" i="6"/>
  <c r="DO176" i="6"/>
  <c r="DJ176" i="6"/>
  <c r="EI174" i="6"/>
  <c r="ED174" i="6"/>
  <c r="DY174" i="6"/>
  <c r="DT174" i="6"/>
  <c r="DO174" i="6"/>
  <c r="DJ174" i="6"/>
  <c r="R173" i="6"/>
  <c r="T173" i="6" s="1"/>
  <c r="EX173" i="6" s="1"/>
  <c r="R172" i="6"/>
  <c r="T172" i="6" s="1"/>
  <c r="EX172" i="6" s="1"/>
  <c r="R171" i="6"/>
  <c r="T171" i="6" s="1"/>
  <c r="EX171" i="6"/>
  <c r="R170" i="6"/>
  <c r="T170" i="6"/>
  <c r="EX170" i="6"/>
  <c r="K169" i="6"/>
  <c r="T168" i="6"/>
  <c r="EX164" i="6"/>
  <c r="EX163" i="6"/>
  <c r="EX157" i="6"/>
  <c r="EX156" i="6"/>
  <c r="EI154" i="6"/>
  <c r="ED154" i="6"/>
  <c r="DY154" i="6"/>
  <c r="DT154" i="6"/>
  <c r="DO154" i="6"/>
  <c r="DJ154" i="6"/>
  <c r="DE154" i="6"/>
  <c r="CZ154" i="6"/>
  <c r="CU154" i="6"/>
  <c r="CP154" i="6"/>
  <c r="CK154" i="6"/>
  <c r="CF154" i="6"/>
  <c r="CA154" i="6"/>
  <c r="BQ154" i="6"/>
  <c r="BL154" i="6"/>
  <c r="BG154" i="6"/>
  <c r="BB154" i="6"/>
  <c r="AW154" i="6"/>
  <c r="AM154" i="6"/>
  <c r="AH154" i="6"/>
  <c r="AC154" i="6"/>
  <c r="X154" i="6"/>
  <c r="K154" i="6"/>
  <c r="T152" i="6"/>
  <c r="EX152" i="6"/>
  <c r="EI149" i="6"/>
  <c r="ED149" i="6"/>
  <c r="DY149" i="6"/>
  <c r="DT149" i="6"/>
  <c r="DO149" i="6"/>
  <c r="DJ149" i="6"/>
  <c r="DE149" i="6"/>
  <c r="CZ149" i="6"/>
  <c r="CU149" i="6"/>
  <c r="CP149" i="6"/>
  <c r="CK149" i="6"/>
  <c r="CF149" i="6"/>
  <c r="CA149" i="6"/>
  <c r="BQ149" i="6"/>
  <c r="BL149" i="6"/>
  <c r="BG149" i="6"/>
  <c r="AR149" i="6"/>
  <c r="AM149" i="6"/>
  <c r="AH149" i="6"/>
  <c r="EI148" i="6"/>
  <c r="ED148" i="6"/>
  <c r="DY148" i="6"/>
  <c r="DT148" i="6"/>
  <c r="DO148" i="6"/>
  <c r="DJ148" i="6"/>
  <c r="DE148" i="6"/>
  <c r="CZ148" i="6"/>
  <c r="CU148" i="6"/>
  <c r="CP148" i="6"/>
  <c r="CK148" i="6"/>
  <c r="CF148" i="6"/>
  <c r="CA148" i="6"/>
  <c r="BQ148" i="6"/>
  <c r="BL148" i="6"/>
  <c r="BG148" i="6"/>
  <c r="AR148" i="6"/>
  <c r="AM148" i="6"/>
  <c r="AH148" i="6"/>
  <c r="EI147" i="6"/>
  <c r="ED147" i="6"/>
  <c r="DY147" i="6"/>
  <c r="DT147" i="6"/>
  <c r="DO147" i="6"/>
  <c r="DJ147" i="6"/>
  <c r="DE147" i="6"/>
  <c r="CZ147" i="6"/>
  <c r="CU147" i="6"/>
  <c r="CP147" i="6"/>
  <c r="CK147" i="6"/>
  <c r="CF147" i="6"/>
  <c r="CA147" i="6"/>
  <c r="BQ147" i="6"/>
  <c r="BL147" i="6"/>
  <c r="BG147" i="6"/>
  <c r="AR147" i="6"/>
  <c r="AM147" i="6"/>
  <c r="AH147" i="6"/>
  <c r="F147" i="6"/>
  <c r="K143" i="6"/>
  <c r="EX143" i="6" s="1"/>
  <c r="AC141" i="6"/>
  <c r="EX141" i="6"/>
  <c r="ER12" i="6"/>
  <c r="ER11" i="6"/>
  <c r="ER10" i="6"/>
  <c r="ER9" i="6"/>
  <c r="ER8" i="6"/>
  <c r="ER7" i="6"/>
  <c r="ER6" i="6"/>
  <c r="ER5" i="6"/>
  <c r="BV232" i="6" s="1"/>
  <c r="CI215" i="6"/>
  <c r="CI214" i="6"/>
  <c r="F385" i="1"/>
  <c r="F384" i="1"/>
  <c r="F324" i="1"/>
  <c r="F320" i="1"/>
  <c r="F218" i="1"/>
  <c r="F214" i="1"/>
  <c r="DW214" i="1" s="1"/>
  <c r="F187" i="1"/>
  <c r="F180" i="1"/>
  <c r="F174" i="1"/>
  <c r="F154" i="1"/>
  <c r="F321" i="1"/>
  <c r="F319" i="1"/>
  <c r="F201" i="1"/>
  <c r="F197" i="1"/>
  <c r="DW197" i="1" s="1"/>
  <c r="F195" i="1"/>
  <c r="F192" i="1"/>
  <c r="F186" i="1"/>
  <c r="BF396" i="17"/>
  <c r="BA396" i="17"/>
  <c r="BF377" i="17"/>
  <c r="BA377" i="17"/>
  <c r="BN377" i="17" s="1"/>
  <c r="EW396" i="16"/>
  <c r="CF134" i="16"/>
  <c r="CV196" i="5"/>
  <c r="CN196" i="5"/>
  <c r="CJ196" i="5"/>
  <c r="CF196" i="5"/>
  <c r="CV196" i="1"/>
  <c r="CN196" i="1"/>
  <c r="CJ196" i="1"/>
  <c r="CF197" i="1"/>
  <c r="CF196" i="1"/>
  <c r="CV336" i="5"/>
  <c r="CN336" i="5"/>
  <c r="CJ336" i="5"/>
  <c r="CF336" i="5"/>
  <c r="CV336" i="1"/>
  <c r="CN336" i="1"/>
  <c r="CJ336" i="1"/>
  <c r="CF336" i="1"/>
  <c r="DH208" i="5"/>
  <c r="DD208" i="5"/>
  <c r="CZ208" i="5"/>
  <c r="CV208" i="5"/>
  <c r="CN208" i="5"/>
  <c r="CJ208" i="5"/>
  <c r="CF208" i="5"/>
  <c r="DH207" i="5"/>
  <c r="DD207" i="5"/>
  <c r="CZ207" i="5"/>
  <c r="CV207" i="5"/>
  <c r="CN207" i="5"/>
  <c r="CJ207" i="5"/>
  <c r="CF207" i="5"/>
  <c r="DH206" i="5"/>
  <c r="DD206" i="5"/>
  <c r="CZ206" i="5"/>
  <c r="CV206" i="5"/>
  <c r="CN206" i="5"/>
  <c r="CJ206" i="5"/>
  <c r="CF206" i="5"/>
  <c r="DH203" i="5"/>
  <c r="DD203" i="5"/>
  <c r="CZ203" i="5"/>
  <c r="CV203" i="5"/>
  <c r="CN203" i="5"/>
  <c r="CJ203" i="5"/>
  <c r="CF203" i="5"/>
  <c r="DX203" i="5" s="1"/>
  <c r="DH202" i="5"/>
  <c r="DD202" i="5"/>
  <c r="CZ202" i="5"/>
  <c r="CV202" i="5"/>
  <c r="CN202" i="5"/>
  <c r="CJ202" i="5"/>
  <c r="CF202" i="5"/>
  <c r="DH201" i="5"/>
  <c r="DD201" i="5"/>
  <c r="CZ201" i="5"/>
  <c r="CV201" i="5"/>
  <c r="CN201" i="5"/>
  <c r="CJ201" i="5"/>
  <c r="CF201" i="5"/>
  <c r="DH200" i="5"/>
  <c r="DD200" i="5"/>
  <c r="CZ200" i="5"/>
  <c r="CV200" i="5"/>
  <c r="CN200" i="5"/>
  <c r="CJ200" i="5"/>
  <c r="CF200" i="5"/>
  <c r="DH199" i="5"/>
  <c r="DD199" i="5"/>
  <c r="CZ199" i="5"/>
  <c r="CV199" i="5"/>
  <c r="CN199" i="5"/>
  <c r="CJ199" i="5"/>
  <c r="CF199" i="5"/>
  <c r="DH198" i="5"/>
  <c r="DD198" i="5"/>
  <c r="CZ198" i="5"/>
  <c r="CV198" i="5"/>
  <c r="CN198" i="5"/>
  <c r="CJ198" i="5"/>
  <c r="CF198" i="5"/>
  <c r="DH197" i="5"/>
  <c r="DD197" i="5"/>
  <c r="CZ197" i="5"/>
  <c r="CV197" i="5"/>
  <c r="CN197" i="5"/>
  <c r="CJ197" i="5"/>
  <c r="CF197" i="5"/>
  <c r="DH196" i="5"/>
  <c r="DD196" i="5"/>
  <c r="CZ196" i="5"/>
  <c r="DH193" i="5"/>
  <c r="DD193" i="5"/>
  <c r="CZ193" i="5"/>
  <c r="CV193" i="5"/>
  <c r="CN193" i="5"/>
  <c r="CJ193" i="5"/>
  <c r="CF193" i="5"/>
  <c r="CV208" i="1"/>
  <c r="CV207" i="1"/>
  <c r="CV206" i="1"/>
  <c r="CV203" i="1"/>
  <c r="CV202" i="1"/>
  <c r="CV201" i="1"/>
  <c r="CV200" i="1"/>
  <c r="CV199" i="1"/>
  <c r="CV198" i="1"/>
  <c r="CV197" i="1"/>
  <c r="CV193" i="1"/>
  <c r="CN208" i="1"/>
  <c r="CN207" i="1"/>
  <c r="CN206" i="1"/>
  <c r="CN203" i="1"/>
  <c r="CN202" i="1"/>
  <c r="CN201" i="1"/>
  <c r="CN200" i="1"/>
  <c r="CN199" i="1"/>
  <c r="CN198" i="1"/>
  <c r="CN197" i="1"/>
  <c r="CN193" i="1"/>
  <c r="CJ208" i="1"/>
  <c r="CJ207" i="1"/>
  <c r="CJ206" i="1"/>
  <c r="CJ203" i="1"/>
  <c r="CJ202" i="1"/>
  <c r="CJ201" i="1"/>
  <c r="CJ200" i="1"/>
  <c r="DW200" i="1" s="1"/>
  <c r="CJ199" i="1"/>
  <c r="CJ198" i="1"/>
  <c r="CJ197" i="1"/>
  <c r="CJ193" i="1"/>
  <c r="CF202" i="1"/>
  <c r="CF198" i="1"/>
  <c r="CF208" i="1"/>
  <c r="CF207" i="1"/>
  <c r="DW207" i="1" s="1"/>
  <c r="CF206" i="1"/>
  <c r="CF203" i="1"/>
  <c r="CF201" i="1"/>
  <c r="CF200" i="1"/>
  <c r="CF199" i="1"/>
  <c r="CF193" i="1"/>
  <c r="DP208" i="1"/>
  <c r="DP207" i="1"/>
  <c r="DP206" i="1"/>
  <c r="DP203" i="1"/>
  <c r="DP202" i="1"/>
  <c r="DP201" i="1"/>
  <c r="DP200" i="1"/>
  <c r="DP199" i="1"/>
  <c r="DP198" i="1"/>
  <c r="DP197" i="1"/>
  <c r="DP196" i="1"/>
  <c r="DH208" i="1"/>
  <c r="DH207" i="1"/>
  <c r="DH206" i="1"/>
  <c r="DH203" i="1"/>
  <c r="DH202" i="1"/>
  <c r="DH201" i="1"/>
  <c r="DH200" i="1"/>
  <c r="DH199" i="1"/>
  <c r="DH198" i="1"/>
  <c r="DH197" i="1"/>
  <c r="DH196" i="1"/>
  <c r="DD208" i="1"/>
  <c r="DD207" i="1"/>
  <c r="DD206" i="1"/>
  <c r="DD203" i="1"/>
  <c r="DD202" i="1"/>
  <c r="DD201" i="1"/>
  <c r="DD200" i="1"/>
  <c r="DD199" i="1"/>
  <c r="DD198" i="1"/>
  <c r="DD197" i="1"/>
  <c r="DD196" i="1"/>
  <c r="CZ202" i="1"/>
  <c r="CZ198" i="1"/>
  <c r="CZ196" i="1"/>
  <c r="CB340" i="5"/>
  <c r="BY340" i="5"/>
  <c r="BU340" i="5"/>
  <c r="BR340" i="5"/>
  <c r="BN340" i="5"/>
  <c r="BK340" i="5"/>
  <c r="BG340" i="5"/>
  <c r="BD340" i="5"/>
  <c r="AZ340" i="5"/>
  <c r="AW340" i="5"/>
  <c r="AS340" i="5"/>
  <c r="T340" i="5"/>
  <c r="P340" i="5"/>
  <c r="L340" i="5"/>
  <c r="DS340" i="5" s="1"/>
  <c r="CB340" i="1"/>
  <c r="BY340" i="1"/>
  <c r="BU340" i="1"/>
  <c r="BR340" i="1"/>
  <c r="BN340" i="1"/>
  <c r="BK340" i="1"/>
  <c r="BG340" i="1"/>
  <c r="BD340" i="1"/>
  <c r="DW340" i="1" s="1"/>
  <c r="AZ340" i="1"/>
  <c r="AW340" i="1"/>
  <c r="AS340" i="1"/>
  <c r="T340" i="1"/>
  <c r="P340" i="1"/>
  <c r="L340" i="1"/>
  <c r="Q58" i="18"/>
  <c r="E517" i="3"/>
  <c r="L115" i="27"/>
  <c r="E1240" i="3" s="1"/>
  <c r="L116" i="27"/>
  <c r="E1241" i="3"/>
  <c r="L117" i="27"/>
  <c r="E1242" i="3" s="1"/>
  <c r="L118" i="27"/>
  <c r="E1243" i="3"/>
  <c r="L120" i="27"/>
  <c r="E1245" i="3" s="1"/>
  <c r="L121" i="27"/>
  <c r="E1246" i="3"/>
  <c r="L123" i="27"/>
  <c r="E1248" i="3" s="1"/>
  <c r="L124" i="27"/>
  <c r="E1249" i="3"/>
  <c r="L125" i="27"/>
  <c r="E1250" i="3" s="1"/>
  <c r="L126" i="27"/>
  <c r="E1251" i="3"/>
  <c r="L128" i="27"/>
  <c r="E1253" i="3" s="1"/>
  <c r="L129" i="27"/>
  <c r="E1254" i="3"/>
  <c r="L130" i="27"/>
  <c r="E1255" i="3" s="1"/>
  <c r="L114" i="27"/>
  <c r="E1239" i="3"/>
  <c r="L110" i="27"/>
  <c r="E1235" i="3" s="1"/>
  <c r="L109" i="27"/>
  <c r="E1234" i="3"/>
  <c r="L76" i="27"/>
  <c r="E1201" i="3" s="1"/>
  <c r="L77" i="27"/>
  <c r="E1202" i="3"/>
  <c r="L78" i="27"/>
  <c r="E1203" i="3" s="1"/>
  <c r="L79" i="27"/>
  <c r="E1204" i="3"/>
  <c r="L82" i="27"/>
  <c r="E1207" i="3" s="1"/>
  <c r="L84" i="27"/>
  <c r="E1209" i="3"/>
  <c r="L85" i="27"/>
  <c r="E1210" i="3" s="1"/>
  <c r="L86" i="27"/>
  <c r="E1211" i="3"/>
  <c r="L87" i="27"/>
  <c r="E1212" i="3" s="1"/>
  <c r="L88" i="27"/>
  <c r="E1213" i="3"/>
  <c r="L89" i="27"/>
  <c r="E1214" i="3" s="1"/>
  <c r="L95" i="27"/>
  <c r="E1220" i="3"/>
  <c r="L96" i="27"/>
  <c r="E1221" i="3" s="1"/>
  <c r="L97" i="27"/>
  <c r="E1222" i="3"/>
  <c r="L98" i="27"/>
  <c r="E1223" i="3" s="1"/>
  <c r="L99" i="27"/>
  <c r="E1224" i="3"/>
  <c r="L100" i="27"/>
  <c r="E1225" i="3" s="1"/>
  <c r="L101" i="27"/>
  <c r="E1226" i="3"/>
  <c r="L102" i="27"/>
  <c r="E1227" i="3" s="1"/>
  <c r="L103" i="27"/>
  <c r="E1228" i="3"/>
  <c r="L104" i="27"/>
  <c r="E1229" i="3" s="1"/>
  <c r="L105" i="27"/>
  <c r="E1230" i="3"/>
  <c r="L106" i="27"/>
  <c r="E1231" i="3" s="1"/>
  <c r="L107" i="27"/>
  <c r="E1232" i="3"/>
  <c r="L108" i="27"/>
  <c r="E1233" i="3" s="1"/>
  <c r="L75" i="27"/>
  <c r="E1200" i="3"/>
  <c r="L50" i="27"/>
  <c r="E1175" i="3" s="1"/>
  <c r="L54" i="27"/>
  <c r="E1179" i="3"/>
  <c r="L61" i="27"/>
  <c r="E1186" i="3" s="1"/>
  <c r="L62" i="27"/>
  <c r="E1187" i="3"/>
  <c r="L64" i="27"/>
  <c r="E1189" i="3" s="1"/>
  <c r="L65" i="27"/>
  <c r="E1190" i="3"/>
  <c r="L66" i="27"/>
  <c r="E1191" i="3" s="1"/>
  <c r="E1169" i="3" s="1"/>
  <c r="E1168" i="3" s="1"/>
  <c r="L67" i="27"/>
  <c r="E1192" i="3"/>
  <c r="L68" i="27"/>
  <c r="E1193" i="3" s="1"/>
  <c r="L69" i="27"/>
  <c r="E1194" i="3"/>
  <c r="L70" i="27"/>
  <c r="E1195" i="3" s="1"/>
  <c r="L71" i="27"/>
  <c r="E1196" i="3"/>
  <c r="L49" i="27"/>
  <c r="E1174" i="3" s="1"/>
  <c r="L113" i="27"/>
  <c r="E1238" i="3"/>
  <c r="L112" i="27"/>
  <c r="E1237" i="3" s="1"/>
  <c r="L111" i="27"/>
  <c r="E1236" i="3"/>
  <c r="L48" i="27"/>
  <c r="E1173" i="3" s="1"/>
  <c r="L47" i="27"/>
  <c r="E1172" i="3"/>
  <c r="L46" i="27"/>
  <c r="E1171" i="3" s="1"/>
  <c r="L45" i="27"/>
  <c r="E1170" i="3"/>
  <c r="L72" i="27"/>
  <c r="E1197" i="3" s="1"/>
  <c r="L73" i="27"/>
  <c r="E1198" i="3"/>
  <c r="FU563" i="16"/>
  <c r="E1059" i="3" s="1"/>
  <c r="FU559" i="16"/>
  <c r="E1055" i="3"/>
  <c r="FU560" i="16"/>
  <c r="E1056" i="3" s="1"/>
  <c r="FR72" i="16"/>
  <c r="FQ72" i="16"/>
  <c r="F1951" i="14"/>
  <c r="F1952" i="14"/>
  <c r="F1953" i="14"/>
  <c r="F1954" i="14"/>
  <c r="F1955" i="14"/>
  <c r="F1956" i="14"/>
  <c r="F1957" i="14"/>
  <c r="F1958" i="14"/>
  <c r="F1959" i="14"/>
  <c r="F1960" i="14"/>
  <c r="F1961" i="14"/>
  <c r="F1962" i="14"/>
  <c r="F1963" i="14"/>
  <c r="F1964" i="14"/>
  <c r="F1965" i="14"/>
  <c r="F1966" i="14"/>
  <c r="F1967" i="14"/>
  <c r="F1968" i="14"/>
  <c r="F1969" i="14"/>
  <c r="F1970" i="14"/>
  <c r="F1971" i="14"/>
  <c r="F1950" i="14"/>
  <c r="F1927" i="14"/>
  <c r="F1928" i="14"/>
  <c r="F1929" i="14"/>
  <c r="F1930" i="14"/>
  <c r="F1931" i="14"/>
  <c r="F1932" i="14"/>
  <c r="F1933" i="14"/>
  <c r="F1934" i="14"/>
  <c r="F1935" i="14"/>
  <c r="F1936" i="14"/>
  <c r="F1937" i="14"/>
  <c r="F1938" i="14"/>
  <c r="F1939" i="14"/>
  <c r="F1940" i="14"/>
  <c r="F1941" i="14"/>
  <c r="F1942" i="14"/>
  <c r="F1943" i="14"/>
  <c r="F1944" i="14"/>
  <c r="F1945" i="14"/>
  <c r="F1946" i="14"/>
  <c r="F1947" i="14"/>
  <c r="F1926" i="14"/>
  <c r="F1903" i="14"/>
  <c r="F1904" i="14"/>
  <c r="F1905" i="14"/>
  <c r="F1906" i="14"/>
  <c r="F1907" i="14"/>
  <c r="F1908" i="14"/>
  <c r="F1909" i="14"/>
  <c r="F1910" i="14"/>
  <c r="F1911" i="14"/>
  <c r="F1912" i="14"/>
  <c r="F1913" i="14"/>
  <c r="F1914" i="14"/>
  <c r="F1915" i="14"/>
  <c r="F1916" i="14"/>
  <c r="F1917" i="14"/>
  <c r="F1918" i="14"/>
  <c r="F1919" i="14"/>
  <c r="F1920" i="14"/>
  <c r="F1921" i="14"/>
  <c r="F1922" i="14"/>
  <c r="F1923" i="14"/>
  <c r="F1902" i="14"/>
  <c r="F1879" i="14"/>
  <c r="F1880" i="14"/>
  <c r="F1881" i="14"/>
  <c r="F1882" i="14"/>
  <c r="F1883" i="14"/>
  <c r="F1884" i="14"/>
  <c r="F1885" i="14"/>
  <c r="F1886" i="14"/>
  <c r="F1887" i="14"/>
  <c r="F1888" i="14"/>
  <c r="F1889" i="14"/>
  <c r="F1890" i="14"/>
  <c r="F1891" i="14"/>
  <c r="F1892" i="14"/>
  <c r="F1893" i="14"/>
  <c r="F1894" i="14"/>
  <c r="F1895" i="14"/>
  <c r="F1896" i="14"/>
  <c r="F1897" i="14"/>
  <c r="F1898" i="14"/>
  <c r="F1899" i="14"/>
  <c r="F1878" i="14"/>
  <c r="F1855" i="14"/>
  <c r="F1856" i="14"/>
  <c r="F1857" i="14"/>
  <c r="F1858" i="14"/>
  <c r="F1859" i="14"/>
  <c r="F1860" i="14"/>
  <c r="F1861" i="14"/>
  <c r="F1862" i="14"/>
  <c r="F1863" i="14"/>
  <c r="F1864" i="14"/>
  <c r="F1865" i="14"/>
  <c r="F1866" i="14"/>
  <c r="F1867" i="14"/>
  <c r="F1868" i="14"/>
  <c r="F1869" i="14"/>
  <c r="F1870" i="14"/>
  <c r="F1871" i="14"/>
  <c r="F1872" i="14"/>
  <c r="F1873" i="14"/>
  <c r="F1874" i="14"/>
  <c r="F1875" i="14"/>
  <c r="F1854" i="14"/>
  <c r="F1831" i="14"/>
  <c r="F1832" i="14"/>
  <c r="F1833" i="14"/>
  <c r="F1834" i="14"/>
  <c r="F1835" i="14"/>
  <c r="F1836" i="14"/>
  <c r="F1837" i="14"/>
  <c r="F1838" i="14"/>
  <c r="F1839" i="14"/>
  <c r="F1840" i="14"/>
  <c r="F1841" i="14"/>
  <c r="F1842" i="14"/>
  <c r="F1843" i="14"/>
  <c r="F1844" i="14"/>
  <c r="F1845" i="14"/>
  <c r="F1846" i="14"/>
  <c r="F1847" i="14"/>
  <c r="F1848" i="14"/>
  <c r="F1849" i="14"/>
  <c r="F1850" i="14"/>
  <c r="F1851" i="14"/>
  <c r="F1830" i="14"/>
  <c r="F1807" i="14"/>
  <c r="F1808" i="14"/>
  <c r="F1809" i="14"/>
  <c r="F1810" i="14"/>
  <c r="F1811" i="14"/>
  <c r="F1812" i="14"/>
  <c r="F1813" i="14"/>
  <c r="F1814" i="14"/>
  <c r="F1815" i="14"/>
  <c r="F1816" i="14"/>
  <c r="F1817" i="14"/>
  <c r="F1818" i="14"/>
  <c r="F1819" i="14"/>
  <c r="F1820" i="14"/>
  <c r="F1821" i="14"/>
  <c r="F1822" i="14"/>
  <c r="F1823" i="14"/>
  <c r="F1824" i="14"/>
  <c r="F1825" i="14"/>
  <c r="F1826" i="14"/>
  <c r="F1827" i="14"/>
  <c r="F1806" i="14"/>
  <c r="F1783" i="14"/>
  <c r="F1784" i="14"/>
  <c r="F1785" i="14"/>
  <c r="F1786" i="14"/>
  <c r="F1787" i="14"/>
  <c r="F1788" i="14"/>
  <c r="F1789" i="14"/>
  <c r="F1790" i="14"/>
  <c r="F1791" i="14"/>
  <c r="F1792" i="14"/>
  <c r="F1793" i="14"/>
  <c r="F1794" i="14"/>
  <c r="F1795" i="14"/>
  <c r="F1796" i="14"/>
  <c r="F1797" i="14"/>
  <c r="F1798" i="14"/>
  <c r="F1799" i="14"/>
  <c r="F1800" i="14"/>
  <c r="F1801" i="14"/>
  <c r="F1802" i="14"/>
  <c r="F1803" i="14"/>
  <c r="F1782" i="14"/>
  <c r="F1591" i="14"/>
  <c r="F1592" i="14"/>
  <c r="F1593" i="14"/>
  <c r="F1594" i="14"/>
  <c r="F1595" i="14"/>
  <c r="F1596" i="14"/>
  <c r="F1597" i="14"/>
  <c r="F1598" i="14"/>
  <c r="F1599" i="14"/>
  <c r="F1600" i="14"/>
  <c r="F1601" i="14"/>
  <c r="F1602" i="14"/>
  <c r="F1603" i="14"/>
  <c r="F1604" i="14"/>
  <c r="F1605" i="14"/>
  <c r="F1606" i="14"/>
  <c r="F1607" i="14"/>
  <c r="F1608" i="14"/>
  <c r="F1609" i="14"/>
  <c r="F1610" i="14"/>
  <c r="F1611" i="14"/>
  <c r="F1590" i="14"/>
  <c r="F1567" i="14"/>
  <c r="F1568" i="14"/>
  <c r="F1569" i="14"/>
  <c r="F1570" i="14"/>
  <c r="F1571" i="14"/>
  <c r="F1572" i="14"/>
  <c r="F1573" i="14"/>
  <c r="F1574" i="14"/>
  <c r="F1575" i="14"/>
  <c r="F1576" i="14"/>
  <c r="F1577" i="14"/>
  <c r="F1578" i="14"/>
  <c r="F1579" i="14"/>
  <c r="F1580" i="14"/>
  <c r="F1581" i="14"/>
  <c r="F1582" i="14"/>
  <c r="F1583" i="14"/>
  <c r="F1584" i="14"/>
  <c r="F1585" i="14"/>
  <c r="F1586" i="14"/>
  <c r="F1587" i="14"/>
  <c r="F1566" i="14"/>
  <c r="F1543" i="14"/>
  <c r="F1544" i="14"/>
  <c r="F1545" i="14"/>
  <c r="F1546" i="14"/>
  <c r="F1547" i="14"/>
  <c r="F1548" i="14"/>
  <c r="F1549" i="14"/>
  <c r="F1550" i="14"/>
  <c r="F1551" i="14"/>
  <c r="F1552" i="14"/>
  <c r="F1553" i="14"/>
  <c r="F1554" i="14"/>
  <c r="F1555" i="14"/>
  <c r="F1556" i="14"/>
  <c r="F1557" i="14"/>
  <c r="F1558" i="14"/>
  <c r="F1559" i="14"/>
  <c r="F1560" i="14"/>
  <c r="F1561" i="14"/>
  <c r="F1562" i="14"/>
  <c r="F1563" i="14"/>
  <c r="F1542" i="14"/>
  <c r="F1519" i="14"/>
  <c r="F1520" i="14"/>
  <c r="F1521" i="14"/>
  <c r="F1522" i="14"/>
  <c r="F1523" i="14"/>
  <c r="F1524" i="14"/>
  <c r="F1525" i="14"/>
  <c r="F1526" i="14"/>
  <c r="F1527" i="14"/>
  <c r="F1528" i="14"/>
  <c r="F1529" i="14"/>
  <c r="F1530" i="14"/>
  <c r="F1531" i="14"/>
  <c r="F1532" i="14"/>
  <c r="F1533" i="14"/>
  <c r="F1534" i="14"/>
  <c r="F1535" i="14"/>
  <c r="F1536" i="14"/>
  <c r="F1537" i="14"/>
  <c r="F1538" i="14"/>
  <c r="F1539" i="14"/>
  <c r="F1518" i="14"/>
  <c r="F1495" i="14"/>
  <c r="F1496" i="14"/>
  <c r="F1497" i="14"/>
  <c r="F1498" i="14"/>
  <c r="F1499" i="14"/>
  <c r="F1500" i="14"/>
  <c r="F1501" i="14"/>
  <c r="F1502" i="14"/>
  <c r="F1503" i="14"/>
  <c r="F1504" i="14"/>
  <c r="F1505" i="14"/>
  <c r="F1506" i="14"/>
  <c r="F1507" i="14"/>
  <c r="F1508" i="14"/>
  <c r="F1509" i="14"/>
  <c r="F1510" i="14"/>
  <c r="F1511" i="14"/>
  <c r="F1512" i="14"/>
  <c r="F1513" i="14"/>
  <c r="F1514" i="14"/>
  <c r="F1515" i="14"/>
  <c r="F1494" i="14"/>
  <c r="F1491" i="14"/>
  <c r="F1471" i="14"/>
  <c r="F1472" i="14"/>
  <c r="F1473" i="14"/>
  <c r="F1474" i="14"/>
  <c r="F1475" i="14"/>
  <c r="F1476" i="14"/>
  <c r="F1477" i="14"/>
  <c r="F1478" i="14"/>
  <c r="F1479" i="14"/>
  <c r="F1480" i="14"/>
  <c r="F1481" i="14"/>
  <c r="F1482" i="14"/>
  <c r="F1483" i="14"/>
  <c r="F1484" i="14"/>
  <c r="F1485" i="14"/>
  <c r="F1486" i="14"/>
  <c r="F1487" i="14"/>
  <c r="F1488" i="14"/>
  <c r="F1489" i="14"/>
  <c r="F1490" i="14"/>
  <c r="F1470" i="14"/>
  <c r="F1447" i="14"/>
  <c r="F1448" i="14"/>
  <c r="F1449" i="14"/>
  <c r="F1450" i="14"/>
  <c r="F1451" i="14"/>
  <c r="F1452" i="14"/>
  <c r="F1453" i="14"/>
  <c r="F1454" i="14"/>
  <c r="F1455" i="14"/>
  <c r="F1456" i="14"/>
  <c r="F1457" i="14"/>
  <c r="F1458" i="14"/>
  <c r="F1459" i="14"/>
  <c r="F1460" i="14"/>
  <c r="F1461" i="14"/>
  <c r="F1462" i="14"/>
  <c r="F1463" i="14"/>
  <c r="F1464" i="14"/>
  <c r="F1465" i="14"/>
  <c r="F1466" i="14"/>
  <c r="F1467" i="14"/>
  <c r="F1446" i="14"/>
  <c r="F1423" i="14"/>
  <c r="F1424" i="14"/>
  <c r="F1425" i="14"/>
  <c r="F1426" i="14"/>
  <c r="F1427" i="14"/>
  <c r="F1428" i="14"/>
  <c r="F1429" i="14"/>
  <c r="F1430" i="14"/>
  <c r="F1431" i="14"/>
  <c r="F1432" i="14"/>
  <c r="F1433" i="14"/>
  <c r="F1434" i="14"/>
  <c r="F1435" i="14"/>
  <c r="F1436" i="14"/>
  <c r="F1437" i="14"/>
  <c r="F1438" i="14"/>
  <c r="F1439" i="14"/>
  <c r="F1440" i="14"/>
  <c r="F1441" i="14"/>
  <c r="F1442" i="14"/>
  <c r="F1443" i="14"/>
  <c r="F1422" i="14"/>
  <c r="F1421" i="14" s="1"/>
  <c r="Q471" i="16"/>
  <c r="F471" i="16"/>
  <c r="Q439" i="16"/>
  <c r="F439" i="16"/>
  <c r="Q427" i="16"/>
  <c r="F427" i="16"/>
  <c r="Q426" i="16"/>
  <c r="F426" i="16"/>
  <c r="Q425" i="16"/>
  <c r="F425" i="16"/>
  <c r="Q423" i="16"/>
  <c r="F423" i="16"/>
  <c r="Q409" i="16"/>
  <c r="F409" i="16"/>
  <c r="Q384" i="16"/>
  <c r="F384" i="16"/>
  <c r="Q363" i="16"/>
  <c r="F363" i="16"/>
  <c r="Q362" i="16"/>
  <c r="F362" i="16"/>
  <c r="Q267" i="16"/>
  <c r="Q266" i="16"/>
  <c r="Q265" i="16"/>
  <c r="Q264" i="16"/>
  <c r="Q262" i="16"/>
  <c r="F258" i="16"/>
  <c r="F257" i="16"/>
  <c r="F256" i="16"/>
  <c r="Q205" i="16"/>
  <c r="F205" i="16"/>
  <c r="Q204" i="16"/>
  <c r="F204" i="16"/>
  <c r="Q203" i="16"/>
  <c r="F203" i="16"/>
  <c r="Q201" i="16"/>
  <c r="F201" i="16"/>
  <c r="Q200" i="16"/>
  <c r="F200" i="16"/>
  <c r="Q199" i="16"/>
  <c r="F199" i="16"/>
  <c r="Q198" i="16"/>
  <c r="F198" i="16"/>
  <c r="Q197" i="16"/>
  <c r="F197" i="16"/>
  <c r="Q196" i="16"/>
  <c r="F196" i="16"/>
  <c r="Q195" i="16"/>
  <c r="F195" i="16"/>
  <c r="Q194" i="16"/>
  <c r="Q193" i="16"/>
  <c r="Q192" i="16"/>
  <c r="Q191" i="16"/>
  <c r="Q190" i="16"/>
  <c r="Q189" i="16"/>
  <c r="Q188" i="16"/>
  <c r="Q187" i="16"/>
  <c r="Q186" i="16"/>
  <c r="Q185" i="16"/>
  <c r="Q184" i="16"/>
  <c r="F184" i="16"/>
  <c r="Q183" i="16"/>
  <c r="Q182" i="16"/>
  <c r="Q181" i="16"/>
  <c r="Q180" i="16"/>
  <c r="Q179" i="16"/>
  <c r="Q174" i="16"/>
  <c r="F174" i="16"/>
  <c r="Q173" i="16"/>
  <c r="F173" i="16"/>
  <c r="Q172" i="16"/>
  <c r="F172" i="16"/>
  <c r="Q171" i="16"/>
  <c r="F171" i="16"/>
  <c r="Q170" i="16"/>
  <c r="F170" i="16"/>
  <c r="Q169" i="16"/>
  <c r="F169" i="16"/>
  <c r="Q168" i="16"/>
  <c r="F168" i="16"/>
  <c r="Q167" i="16"/>
  <c r="F167" i="16"/>
  <c r="Q166" i="16"/>
  <c r="F166" i="16"/>
  <c r="Q165" i="16"/>
  <c r="F165" i="16"/>
  <c r="Q164" i="16"/>
  <c r="F164" i="16"/>
  <c r="Q163" i="16"/>
  <c r="F163" i="16"/>
  <c r="Q162" i="16"/>
  <c r="F162" i="16"/>
  <c r="Q161" i="16"/>
  <c r="F161" i="16"/>
  <c r="Q150" i="16"/>
  <c r="F150" i="16"/>
  <c r="Q145" i="16"/>
  <c r="Q144" i="16"/>
  <c r="Q143" i="16"/>
  <c r="Q142" i="16"/>
  <c r="Q141" i="16"/>
  <c r="Q140" i="16"/>
  <c r="Q137" i="16"/>
  <c r="Q136" i="16"/>
  <c r="Q135" i="16"/>
  <c r="Q134" i="16"/>
  <c r="Q133" i="16"/>
  <c r="Q132" i="16"/>
  <c r="Q131" i="16"/>
  <c r="Q124" i="16"/>
  <c r="Q123" i="16"/>
  <c r="Q122" i="16"/>
  <c r="Q121" i="16"/>
  <c r="Q120" i="16"/>
  <c r="Q119" i="16"/>
  <c r="Q118" i="16"/>
  <c r="Q117" i="16"/>
  <c r="Q116" i="16"/>
  <c r="Q115" i="16"/>
  <c r="Q114" i="16"/>
  <c r="Q113" i="16"/>
  <c r="Q112" i="16"/>
  <c r="Q111" i="16"/>
  <c r="Q110" i="16"/>
  <c r="Q109" i="16"/>
  <c r="Q108" i="16"/>
  <c r="Q107" i="16"/>
  <c r="Q106" i="16"/>
  <c r="Q105" i="16"/>
  <c r="Q104" i="16"/>
  <c r="Q103" i="16"/>
  <c r="Q102" i="16"/>
  <c r="Q101" i="16"/>
  <c r="Q100" i="16"/>
  <c r="F100" i="16"/>
  <c r="Q99" i="16"/>
  <c r="Q98" i="16"/>
  <c r="Q97" i="16"/>
  <c r="F97" i="16"/>
  <c r="Q96" i="16"/>
  <c r="Q95" i="16"/>
  <c r="Q94" i="16"/>
  <c r="Q93" i="16"/>
  <c r="Q92" i="16"/>
  <c r="Q91" i="16"/>
  <c r="Q90" i="16"/>
  <c r="Q89" i="16"/>
  <c r="Q88" i="16"/>
  <c r="Q87" i="16"/>
  <c r="Q86" i="16"/>
  <c r="Q85" i="16"/>
  <c r="Q84" i="16"/>
  <c r="Q83" i="16"/>
  <c r="Q82" i="16"/>
  <c r="D342" i="16"/>
  <c r="CF342" i="16"/>
  <c r="CF82" i="16"/>
  <c r="BT557" i="16"/>
  <c r="BI557" i="16"/>
  <c r="AM557" i="16"/>
  <c r="AB557" i="16"/>
  <c r="BT556" i="16"/>
  <c r="BI556" i="16"/>
  <c r="AM556" i="16"/>
  <c r="AB556" i="16"/>
  <c r="BT555" i="16"/>
  <c r="BI555" i="16"/>
  <c r="AM555" i="16"/>
  <c r="AB555" i="16"/>
  <c r="BT554" i="16"/>
  <c r="BI554" i="16"/>
  <c r="AM554" i="16"/>
  <c r="AB554" i="16"/>
  <c r="BT553" i="16"/>
  <c r="BI553" i="16"/>
  <c r="AM553" i="16"/>
  <c r="AB553" i="16"/>
  <c r="BT552" i="16"/>
  <c r="BI552" i="16"/>
  <c r="AM552" i="16"/>
  <c r="AB552" i="16"/>
  <c r="BT551" i="16"/>
  <c r="BI551" i="16"/>
  <c r="AM551" i="16"/>
  <c r="AB551" i="16"/>
  <c r="BT518" i="16"/>
  <c r="BI518" i="16"/>
  <c r="AM518" i="16"/>
  <c r="AB518" i="16"/>
  <c r="BT517" i="16"/>
  <c r="BI517" i="16"/>
  <c r="AM517" i="16"/>
  <c r="AB517" i="16"/>
  <c r="BT516" i="16"/>
  <c r="BI516" i="16"/>
  <c r="AM516" i="16"/>
  <c r="AB516" i="16"/>
  <c r="BT515" i="16"/>
  <c r="BI515" i="16"/>
  <c r="AM515" i="16"/>
  <c r="AB515" i="16"/>
  <c r="BT514" i="16"/>
  <c r="BI514" i="16"/>
  <c r="AM514" i="16"/>
  <c r="AB514" i="16"/>
  <c r="BT513" i="16"/>
  <c r="BI513" i="16"/>
  <c r="AM513" i="16"/>
  <c r="AB513" i="16"/>
  <c r="BT512" i="16"/>
  <c r="BI512" i="16"/>
  <c r="AM512" i="16"/>
  <c r="AB512" i="16"/>
  <c r="BT511" i="16"/>
  <c r="BI511" i="16"/>
  <c r="AM511" i="16"/>
  <c r="AB511" i="16"/>
  <c r="BT510" i="16"/>
  <c r="BI510" i="16"/>
  <c r="AM510" i="16"/>
  <c r="AB510" i="16"/>
  <c r="BT509" i="16"/>
  <c r="BI509" i="16"/>
  <c r="AM509" i="16"/>
  <c r="AB509" i="16"/>
  <c r="BT508" i="16"/>
  <c r="BI508" i="16"/>
  <c r="AM508" i="16"/>
  <c r="AB508" i="16"/>
  <c r="BT507" i="16"/>
  <c r="BI507" i="16"/>
  <c r="AM507" i="16"/>
  <c r="AB507" i="16"/>
  <c r="BT506" i="16"/>
  <c r="BI506" i="16"/>
  <c r="AM506" i="16"/>
  <c r="AB506" i="16"/>
  <c r="BT505" i="16"/>
  <c r="BI505" i="16"/>
  <c r="AM505" i="16"/>
  <c r="AB505" i="16"/>
  <c r="BT504" i="16"/>
  <c r="BI504" i="16"/>
  <c r="AM504" i="16"/>
  <c r="AB504" i="16"/>
  <c r="BT503" i="16"/>
  <c r="BI503" i="16"/>
  <c r="AM503" i="16"/>
  <c r="AB503" i="16"/>
  <c r="BT502" i="16"/>
  <c r="BI502" i="16"/>
  <c r="AM502" i="16"/>
  <c r="AB502" i="16"/>
  <c r="BT501" i="16"/>
  <c r="BI501" i="16"/>
  <c r="AM501" i="16"/>
  <c r="AB501" i="16"/>
  <c r="BT500" i="16"/>
  <c r="BI500" i="16"/>
  <c r="AM500" i="16"/>
  <c r="AB500" i="16"/>
  <c r="BT499" i="16"/>
  <c r="BI499" i="16"/>
  <c r="AM499" i="16"/>
  <c r="AB499" i="16"/>
  <c r="BT498" i="16"/>
  <c r="BI498" i="16"/>
  <c r="AM498" i="16"/>
  <c r="AB498" i="16"/>
  <c r="BT497" i="16"/>
  <c r="BI497" i="16"/>
  <c r="AM497" i="16"/>
  <c r="AB497" i="16"/>
  <c r="BT496" i="16"/>
  <c r="BI496" i="16"/>
  <c r="AM496" i="16"/>
  <c r="AB496" i="16"/>
  <c r="BT495" i="16"/>
  <c r="BI495" i="16"/>
  <c r="AM495" i="16"/>
  <c r="AB495" i="16"/>
  <c r="BT494" i="16"/>
  <c r="BI494" i="16"/>
  <c r="AM494" i="16"/>
  <c r="AB494" i="16"/>
  <c r="BT493" i="16"/>
  <c r="BI493" i="16"/>
  <c r="AM493" i="16"/>
  <c r="AB493" i="16"/>
  <c r="BT492" i="16"/>
  <c r="BI492" i="16"/>
  <c r="AM492" i="16"/>
  <c r="AB492" i="16"/>
  <c r="BT491" i="16"/>
  <c r="BI491" i="16"/>
  <c r="AM491" i="16"/>
  <c r="AB491" i="16"/>
  <c r="BT490" i="16"/>
  <c r="BI490" i="16"/>
  <c r="AM490" i="16"/>
  <c r="AB490" i="16"/>
  <c r="BT489" i="16"/>
  <c r="BI489" i="16"/>
  <c r="AM489" i="16"/>
  <c r="AB489" i="16"/>
  <c r="BT488" i="16"/>
  <c r="BI488" i="16"/>
  <c r="AM488" i="16"/>
  <c r="AB488" i="16"/>
  <c r="BT487" i="16"/>
  <c r="BI487" i="16"/>
  <c r="AM487" i="16"/>
  <c r="AB487" i="16"/>
  <c r="BT486" i="16"/>
  <c r="BI486" i="16"/>
  <c r="AM486" i="16"/>
  <c r="AB486" i="16"/>
  <c r="BT485" i="16"/>
  <c r="BI485" i="16"/>
  <c r="AM485" i="16"/>
  <c r="FU485" i="16" s="1"/>
  <c r="AB485" i="16"/>
  <c r="BT484" i="16"/>
  <c r="BI484" i="16"/>
  <c r="AM484" i="16"/>
  <c r="AB484" i="16"/>
  <c r="BT483" i="16"/>
  <c r="BI483" i="16"/>
  <c r="AM483" i="16"/>
  <c r="AB483" i="16"/>
  <c r="BT482" i="16"/>
  <c r="BI482" i="16"/>
  <c r="AM482" i="16"/>
  <c r="AB482" i="16"/>
  <c r="BT481" i="16"/>
  <c r="BI481" i="16"/>
  <c r="AM481" i="16"/>
  <c r="AB481" i="16"/>
  <c r="BT480" i="16"/>
  <c r="BI480" i="16"/>
  <c r="AM480" i="16"/>
  <c r="AB480" i="16"/>
  <c r="BT479" i="16"/>
  <c r="BI479" i="16"/>
  <c r="AM479" i="16"/>
  <c r="AB479" i="16"/>
  <c r="BT478" i="16"/>
  <c r="BI478" i="16"/>
  <c r="AM478" i="16"/>
  <c r="AB478" i="16"/>
  <c r="BT477" i="16"/>
  <c r="BI477" i="16"/>
  <c r="AM477" i="16"/>
  <c r="AB477" i="16"/>
  <c r="BT476" i="16"/>
  <c r="BI476" i="16"/>
  <c r="AM476" i="16"/>
  <c r="AB476" i="16"/>
  <c r="BT475" i="16"/>
  <c r="BI475" i="16"/>
  <c r="AM475" i="16"/>
  <c r="AB475" i="16"/>
  <c r="AM474" i="16"/>
  <c r="AB474" i="16"/>
  <c r="BT473" i="16"/>
  <c r="BI473" i="16"/>
  <c r="AM473" i="16"/>
  <c r="AB473" i="16"/>
  <c r="BT472" i="16"/>
  <c r="BI472" i="16"/>
  <c r="AM472" i="16"/>
  <c r="AB472" i="16"/>
  <c r="BT471" i="16"/>
  <c r="BI471" i="16"/>
  <c r="AX471" i="16"/>
  <c r="AM471" i="16"/>
  <c r="AB471" i="16"/>
  <c r="BT470" i="16"/>
  <c r="BI470" i="16"/>
  <c r="AM470" i="16"/>
  <c r="AB470" i="16"/>
  <c r="BT469" i="16"/>
  <c r="BI469" i="16"/>
  <c r="AM469" i="16"/>
  <c r="AB469" i="16"/>
  <c r="BT468" i="16"/>
  <c r="BI468" i="16"/>
  <c r="AM468" i="16"/>
  <c r="AB468" i="16"/>
  <c r="BT467" i="16"/>
  <c r="BI467" i="16"/>
  <c r="BT466" i="16"/>
  <c r="BI466" i="16"/>
  <c r="BT465" i="16"/>
  <c r="BI465" i="16"/>
  <c r="BT464" i="16"/>
  <c r="BI464" i="16"/>
  <c r="BT463" i="16"/>
  <c r="BI463" i="16"/>
  <c r="BT462" i="16"/>
  <c r="BI462" i="16"/>
  <c r="BT461" i="16"/>
  <c r="BI461" i="16"/>
  <c r="BT460" i="16"/>
  <c r="BI460" i="16"/>
  <c r="BT459" i="16"/>
  <c r="BI459" i="16"/>
  <c r="BT458" i="16"/>
  <c r="BI458" i="16"/>
  <c r="BT457" i="16"/>
  <c r="BI457" i="16"/>
  <c r="BT456" i="16"/>
  <c r="BI456" i="16"/>
  <c r="BT455" i="16"/>
  <c r="BI455" i="16"/>
  <c r="BT454" i="16"/>
  <c r="BI454" i="16"/>
  <c r="BT453" i="16"/>
  <c r="BI453" i="16"/>
  <c r="BT452" i="16"/>
  <c r="BI452" i="16"/>
  <c r="BT451" i="16"/>
  <c r="BI451" i="16"/>
  <c r="BT450" i="16"/>
  <c r="BI450" i="16"/>
  <c r="BT449" i="16"/>
  <c r="BI449" i="16"/>
  <c r="BT448" i="16"/>
  <c r="BI448" i="16"/>
  <c r="BT447" i="16"/>
  <c r="BI447" i="16"/>
  <c r="BT446" i="16"/>
  <c r="BI446" i="16"/>
  <c r="BT445" i="16"/>
  <c r="BI445" i="16"/>
  <c r="BT444" i="16"/>
  <c r="BI444" i="16"/>
  <c r="AM444" i="16"/>
  <c r="AB444" i="16"/>
  <c r="BT443" i="16"/>
  <c r="BI443" i="16"/>
  <c r="AM443" i="16"/>
  <c r="AB443" i="16"/>
  <c r="BT442" i="16"/>
  <c r="BI442" i="16"/>
  <c r="AM442" i="16"/>
  <c r="AB442" i="16"/>
  <c r="BT441" i="16"/>
  <c r="BI441" i="16"/>
  <c r="AM441" i="16"/>
  <c r="AB441" i="16"/>
  <c r="BT440" i="16"/>
  <c r="BI440" i="16"/>
  <c r="AM440" i="16"/>
  <c r="AB440" i="16"/>
  <c r="BT439" i="16"/>
  <c r="BI439" i="16"/>
  <c r="AM439" i="16"/>
  <c r="AB439" i="16"/>
  <c r="BT438" i="16"/>
  <c r="BI438" i="16"/>
  <c r="AM438" i="16"/>
  <c r="AB438" i="16"/>
  <c r="BT437" i="16"/>
  <c r="BI437" i="16"/>
  <c r="AM437" i="16"/>
  <c r="BT436" i="16"/>
  <c r="BI436" i="16"/>
  <c r="AM436" i="16"/>
  <c r="BT435" i="16"/>
  <c r="BI435" i="16"/>
  <c r="AM435" i="16"/>
  <c r="BT434" i="16"/>
  <c r="BI434" i="16"/>
  <c r="AM434" i="16"/>
  <c r="BT433" i="16"/>
  <c r="BI433" i="16"/>
  <c r="AM433" i="16"/>
  <c r="BT432" i="16"/>
  <c r="BI432" i="16"/>
  <c r="AX432" i="16"/>
  <c r="AM432" i="16"/>
  <c r="BT431" i="16"/>
  <c r="BI431" i="16"/>
  <c r="AX431" i="16"/>
  <c r="AM431" i="16"/>
  <c r="BT430" i="16"/>
  <c r="BI430" i="16"/>
  <c r="AM430" i="16"/>
  <c r="BT429" i="16"/>
  <c r="BI429" i="16"/>
  <c r="AM429" i="16"/>
  <c r="BT428" i="16"/>
  <c r="BI428" i="16"/>
  <c r="AM428" i="16"/>
  <c r="AB428" i="16"/>
  <c r="BT427" i="16"/>
  <c r="BI427" i="16"/>
  <c r="AM427" i="16"/>
  <c r="AB427" i="16"/>
  <c r="BT426" i="16"/>
  <c r="BI426" i="16"/>
  <c r="AX426" i="16"/>
  <c r="AM426" i="16"/>
  <c r="AB426" i="16"/>
  <c r="AX425" i="16"/>
  <c r="AM425" i="16"/>
  <c r="AB425" i="16"/>
  <c r="BT424" i="16"/>
  <c r="BI424" i="16"/>
  <c r="AX424" i="16"/>
  <c r="AM424" i="16"/>
  <c r="AB424" i="16"/>
  <c r="BT423" i="16"/>
  <c r="BI423" i="16"/>
  <c r="AM423" i="16"/>
  <c r="AB423" i="16"/>
  <c r="BT419" i="16"/>
  <c r="BI419" i="16"/>
  <c r="AM419" i="16"/>
  <c r="AB419" i="16"/>
  <c r="BT418" i="16"/>
  <c r="BI418" i="16"/>
  <c r="AM418" i="16"/>
  <c r="AB418" i="16"/>
  <c r="BT417" i="16"/>
  <c r="BI417" i="16"/>
  <c r="AM417" i="16"/>
  <c r="AB417" i="16"/>
  <c r="BT416" i="16"/>
  <c r="BI416" i="16"/>
  <c r="AM416" i="16"/>
  <c r="AB416" i="16"/>
  <c r="BT415" i="16"/>
  <c r="BI415" i="16"/>
  <c r="AM415" i="16"/>
  <c r="AB415" i="16"/>
  <c r="BT414" i="16"/>
  <c r="BI414" i="16"/>
  <c r="AM414" i="16"/>
  <c r="AB414" i="16"/>
  <c r="BT413" i="16"/>
  <c r="BI413" i="16"/>
  <c r="AM413" i="16"/>
  <c r="AB413" i="16"/>
  <c r="BT412" i="16"/>
  <c r="BI412" i="16"/>
  <c r="AM412" i="16"/>
  <c r="AB412" i="16"/>
  <c r="BT411" i="16"/>
  <c r="BI411" i="16"/>
  <c r="AM411" i="16"/>
  <c r="AB411" i="16"/>
  <c r="BT410" i="16"/>
  <c r="BI410" i="16"/>
  <c r="AM410" i="16"/>
  <c r="AB410" i="16"/>
  <c r="BT409" i="16"/>
  <c r="BI409" i="16"/>
  <c r="AX409" i="16"/>
  <c r="AM409" i="16"/>
  <c r="AB409" i="16"/>
  <c r="BT408" i="16"/>
  <c r="BI408" i="16"/>
  <c r="AM408" i="16"/>
  <c r="AB408" i="16"/>
  <c r="BT407" i="16"/>
  <c r="BI407" i="16"/>
  <c r="AX407" i="16"/>
  <c r="AM407" i="16"/>
  <c r="AB407" i="16"/>
  <c r="BT406" i="16"/>
  <c r="BI406" i="16"/>
  <c r="AM406" i="16"/>
  <c r="AB406" i="16"/>
  <c r="BT405" i="16"/>
  <c r="BI405" i="16"/>
  <c r="AX405" i="16"/>
  <c r="AM405" i="16"/>
  <c r="AB405" i="16"/>
  <c r="BT404" i="16"/>
  <c r="BI404" i="16"/>
  <c r="AM404" i="16"/>
  <c r="AB404" i="16"/>
  <c r="BT403" i="16"/>
  <c r="BI403" i="16"/>
  <c r="AM403" i="16"/>
  <c r="AB403" i="16"/>
  <c r="BT402" i="16"/>
  <c r="BI402" i="16"/>
  <c r="AM402" i="16"/>
  <c r="AB402" i="16"/>
  <c r="BT401" i="16"/>
  <c r="BI401" i="16"/>
  <c r="AM401" i="16"/>
  <c r="AB401" i="16"/>
  <c r="BT400" i="16"/>
  <c r="BI400" i="16"/>
  <c r="AM400" i="16"/>
  <c r="AB400" i="16"/>
  <c r="BT399" i="16"/>
  <c r="BI399" i="16"/>
  <c r="AM399" i="16"/>
  <c r="AB399" i="16"/>
  <c r="BT398" i="16"/>
  <c r="BI398" i="16"/>
  <c r="AM398" i="16"/>
  <c r="AB398" i="16"/>
  <c r="BT397" i="16"/>
  <c r="BI397" i="16"/>
  <c r="AM397" i="16"/>
  <c r="AB397" i="16"/>
  <c r="BT396" i="16"/>
  <c r="BI396" i="16"/>
  <c r="AM396" i="16"/>
  <c r="AB396" i="16"/>
  <c r="BT395" i="16"/>
  <c r="BI395" i="16"/>
  <c r="AM395" i="16"/>
  <c r="AB395" i="16"/>
  <c r="BT394" i="16"/>
  <c r="BI394" i="16"/>
  <c r="AM394" i="16"/>
  <c r="AB394" i="16"/>
  <c r="BT393" i="16"/>
  <c r="BI393" i="16"/>
  <c r="AM393" i="16"/>
  <c r="AB393" i="16"/>
  <c r="BT392" i="16"/>
  <c r="BI392" i="16"/>
  <c r="AM392" i="16"/>
  <c r="AB392" i="16"/>
  <c r="BT391" i="16"/>
  <c r="BI391" i="16"/>
  <c r="AM391" i="16"/>
  <c r="AB391" i="16"/>
  <c r="BT390" i="16"/>
  <c r="BI390" i="16"/>
  <c r="AM390" i="16"/>
  <c r="BT389" i="16"/>
  <c r="BI389" i="16"/>
  <c r="AM389" i="16"/>
  <c r="BT388" i="16"/>
  <c r="BI388" i="16"/>
  <c r="AM388" i="16"/>
  <c r="BT387" i="16"/>
  <c r="BI387" i="16"/>
  <c r="AM387" i="16"/>
  <c r="BT386" i="16"/>
  <c r="BI386" i="16"/>
  <c r="AM386" i="16"/>
  <c r="AB386" i="16"/>
  <c r="BT385" i="16"/>
  <c r="BI385" i="16"/>
  <c r="AM385" i="16"/>
  <c r="AB385" i="16"/>
  <c r="BT384" i="16"/>
  <c r="BI384" i="16"/>
  <c r="AX384" i="16"/>
  <c r="AM384" i="16"/>
  <c r="AB384" i="16"/>
  <c r="BT383" i="16"/>
  <c r="BI383" i="16"/>
  <c r="AM383" i="16"/>
  <c r="AB383" i="16"/>
  <c r="BT382" i="16"/>
  <c r="BI382" i="16"/>
  <c r="AM382" i="16"/>
  <c r="AB382" i="16"/>
  <c r="BT381" i="16"/>
  <c r="BI381" i="16"/>
  <c r="AM381" i="16"/>
  <c r="AB381" i="16"/>
  <c r="BT380" i="16"/>
  <c r="BI380" i="16"/>
  <c r="AM380" i="16"/>
  <c r="AB380" i="16"/>
  <c r="BT379" i="16"/>
  <c r="BI379" i="16"/>
  <c r="AX379" i="16"/>
  <c r="AM379" i="16"/>
  <c r="AB379" i="16"/>
  <c r="BT378" i="16"/>
  <c r="BI378" i="16"/>
  <c r="AM378" i="16"/>
  <c r="AB378" i="16"/>
  <c r="BT377" i="16"/>
  <c r="BI377" i="16"/>
  <c r="AM377" i="16"/>
  <c r="AB377" i="16"/>
  <c r="BT376" i="16"/>
  <c r="BI376" i="16"/>
  <c r="AM376" i="16"/>
  <c r="AB376" i="16"/>
  <c r="BT375" i="16"/>
  <c r="BI375" i="16"/>
  <c r="AM375" i="16"/>
  <c r="AB375" i="16"/>
  <c r="BT374" i="16"/>
  <c r="BI374" i="16"/>
  <c r="AM374" i="16"/>
  <c r="AB374" i="16"/>
  <c r="BT373" i="16"/>
  <c r="BI373" i="16"/>
  <c r="AM373" i="16"/>
  <c r="AB373" i="16"/>
  <c r="BT372" i="16"/>
  <c r="BI372" i="16"/>
  <c r="AM372" i="16"/>
  <c r="AB372" i="16"/>
  <c r="BT371" i="16"/>
  <c r="BI371" i="16"/>
  <c r="AM371" i="16"/>
  <c r="AB371" i="16"/>
  <c r="BT370" i="16"/>
  <c r="BI370" i="16"/>
  <c r="AM370" i="16"/>
  <c r="AB370" i="16"/>
  <c r="BT369" i="16"/>
  <c r="BI369" i="16"/>
  <c r="AX369" i="16"/>
  <c r="AM369" i="16"/>
  <c r="AB369" i="16"/>
  <c r="AM361" i="16"/>
  <c r="AB361" i="16"/>
  <c r="AM360" i="16"/>
  <c r="AB360" i="16"/>
  <c r="AM358" i="16"/>
  <c r="AB358" i="16"/>
  <c r="AM356" i="16"/>
  <c r="AB356" i="16"/>
  <c r="AM355" i="16"/>
  <c r="AB355" i="16"/>
  <c r="AM354" i="16"/>
  <c r="AB354" i="16"/>
  <c r="AM353" i="16"/>
  <c r="AB353" i="16"/>
  <c r="AM352" i="16"/>
  <c r="AB352" i="16"/>
  <c r="AM350" i="16"/>
  <c r="AB350" i="16"/>
  <c r="AM349" i="16"/>
  <c r="AB349" i="16"/>
  <c r="AM348" i="16"/>
  <c r="AB348" i="16"/>
  <c r="AM347" i="16"/>
  <c r="AB347" i="16"/>
  <c r="AM344" i="16"/>
  <c r="AB344" i="16"/>
  <c r="AM343" i="16"/>
  <c r="AB343" i="16"/>
  <c r="AM342" i="16"/>
  <c r="AB342" i="16"/>
  <c r="AM341" i="16"/>
  <c r="AB341" i="16"/>
  <c r="AM340" i="16"/>
  <c r="AM339" i="16"/>
  <c r="AM338" i="16"/>
  <c r="AM337" i="16"/>
  <c r="AM336" i="16"/>
  <c r="AM335" i="16"/>
  <c r="AM334" i="16"/>
  <c r="AM333" i="16"/>
  <c r="AM332" i="16"/>
  <c r="AM331" i="16"/>
  <c r="AM330" i="16"/>
  <c r="AB330" i="16"/>
  <c r="AM329" i="16"/>
  <c r="AB329" i="16"/>
  <c r="AM328" i="16"/>
  <c r="AB328" i="16"/>
  <c r="AM327" i="16"/>
  <c r="AB327" i="16"/>
  <c r="AM326" i="16"/>
  <c r="AB326" i="16"/>
  <c r="AM325" i="16"/>
  <c r="AB325" i="16"/>
  <c r="AM324" i="16"/>
  <c r="AB324" i="16"/>
  <c r="AM323" i="16"/>
  <c r="AB323" i="16"/>
  <c r="AM322" i="16"/>
  <c r="AB322" i="16"/>
  <c r="AM321" i="16"/>
  <c r="AB321" i="16"/>
  <c r="AM320" i="16"/>
  <c r="AB320" i="16"/>
  <c r="AM319" i="16"/>
  <c r="AB319" i="16"/>
  <c r="AM318" i="16"/>
  <c r="AB318" i="16"/>
  <c r="AM317" i="16"/>
  <c r="AB317" i="16"/>
  <c r="AM316" i="16"/>
  <c r="AB316" i="16"/>
  <c r="AM315" i="16"/>
  <c r="AB315" i="16"/>
  <c r="AM314" i="16"/>
  <c r="AB314" i="16"/>
  <c r="AM313" i="16"/>
  <c r="AB313" i="16"/>
  <c r="AM312" i="16"/>
  <c r="AB312" i="16"/>
  <c r="AM311" i="16"/>
  <c r="AB311" i="16"/>
  <c r="AM310" i="16"/>
  <c r="AB310" i="16"/>
  <c r="AM309" i="16"/>
  <c r="AB309" i="16"/>
  <c r="AM308" i="16"/>
  <c r="AB308" i="16"/>
  <c r="AM307" i="16"/>
  <c r="AB307" i="16"/>
  <c r="AM306" i="16"/>
  <c r="AB306" i="16"/>
  <c r="AM305" i="16"/>
  <c r="AB305" i="16"/>
  <c r="AM304" i="16"/>
  <c r="AB304" i="16"/>
  <c r="AM303" i="16"/>
  <c r="AB303" i="16"/>
  <c r="AM302" i="16"/>
  <c r="AB302" i="16"/>
  <c r="AM301" i="16"/>
  <c r="AB301" i="16"/>
  <c r="AM300" i="16"/>
  <c r="AB300" i="16"/>
  <c r="AM299" i="16"/>
  <c r="AB299" i="16"/>
  <c r="AM298" i="16"/>
  <c r="AB298" i="16"/>
  <c r="AM297" i="16"/>
  <c r="AB297" i="16"/>
  <c r="AM296" i="16"/>
  <c r="AB296" i="16"/>
  <c r="AM295" i="16"/>
  <c r="AB295" i="16"/>
  <c r="AM294" i="16"/>
  <c r="AB294" i="16"/>
  <c r="AM293" i="16"/>
  <c r="AB293" i="16"/>
  <c r="AM292" i="16"/>
  <c r="AB292" i="16"/>
  <c r="AM291" i="16"/>
  <c r="AB291" i="16"/>
  <c r="AM290" i="16"/>
  <c r="AB290" i="16"/>
  <c r="BT289" i="16"/>
  <c r="BI289" i="16"/>
  <c r="AM289" i="16"/>
  <c r="AB289" i="16"/>
  <c r="AM288" i="16"/>
  <c r="AB288" i="16"/>
  <c r="AM287" i="16"/>
  <c r="AM286" i="16"/>
  <c r="AB286" i="16"/>
  <c r="AM285" i="16"/>
  <c r="AB285" i="16"/>
  <c r="AM284" i="16"/>
  <c r="AB284" i="16"/>
  <c r="AM283" i="16"/>
  <c r="AB283" i="16"/>
  <c r="AM280" i="16"/>
  <c r="AB280" i="16"/>
  <c r="AM279" i="16"/>
  <c r="AB279" i="16"/>
  <c r="AM278" i="16"/>
  <c r="AB278" i="16"/>
  <c r="AM277" i="16"/>
  <c r="AB277" i="16"/>
  <c r="AM276" i="16"/>
  <c r="AB276" i="16"/>
  <c r="AM275" i="16"/>
  <c r="AB275" i="16"/>
  <c r="AM274" i="16"/>
  <c r="AB274" i="16"/>
  <c r="AM273" i="16"/>
  <c r="AB273" i="16"/>
  <c r="AM272" i="16"/>
  <c r="AB272" i="16"/>
  <c r="AM271" i="16"/>
  <c r="AB271" i="16"/>
  <c r="AM270" i="16"/>
  <c r="AB270" i="16"/>
  <c r="BT267" i="16"/>
  <c r="AX267" i="16"/>
  <c r="AM267" i="16"/>
  <c r="BT266" i="16"/>
  <c r="AX266" i="16"/>
  <c r="AM266" i="16"/>
  <c r="BT265" i="16"/>
  <c r="AX265" i="16"/>
  <c r="AM265" i="16"/>
  <c r="AX264" i="16"/>
  <c r="AM264" i="16"/>
  <c r="BT262" i="16"/>
  <c r="AM262" i="16"/>
  <c r="AM260" i="16"/>
  <c r="AB260" i="16"/>
  <c r="BI258" i="16"/>
  <c r="AM258" i="16"/>
  <c r="AB258" i="16"/>
  <c r="BI257" i="16"/>
  <c r="AM257" i="16"/>
  <c r="AB257" i="16"/>
  <c r="BI256" i="16"/>
  <c r="AM256" i="16"/>
  <c r="AB256" i="16"/>
  <c r="AM255" i="16"/>
  <c r="AB255" i="16"/>
  <c r="BT206" i="16"/>
  <c r="BI206" i="16"/>
  <c r="AM206" i="16"/>
  <c r="FU206" i="16" s="1"/>
  <c r="AB206" i="16"/>
  <c r="AM205" i="16"/>
  <c r="AB205" i="16"/>
  <c r="AX204" i="16"/>
  <c r="AM203" i="16"/>
  <c r="AB203" i="16"/>
  <c r="BT202" i="16"/>
  <c r="BI202" i="16"/>
  <c r="AM201" i="16"/>
  <c r="AB201" i="16"/>
  <c r="BT200" i="16"/>
  <c r="BI200" i="16"/>
  <c r="AM200" i="16"/>
  <c r="AB200" i="16"/>
  <c r="AM199" i="16"/>
  <c r="AB199" i="16"/>
  <c r="AX198" i="16"/>
  <c r="BT197" i="16"/>
  <c r="BI197" i="16"/>
  <c r="AM197" i="16"/>
  <c r="AB197" i="16"/>
  <c r="AM196" i="16"/>
  <c r="AB196" i="16"/>
  <c r="AX195" i="16"/>
  <c r="AM195" i="16"/>
  <c r="AB195" i="16"/>
  <c r="AM194" i="16"/>
  <c r="AB194" i="16"/>
  <c r="AM193" i="16"/>
  <c r="AB193" i="16"/>
  <c r="AM192" i="16"/>
  <c r="AB192" i="16"/>
  <c r="AM191" i="16"/>
  <c r="AB191" i="16"/>
  <c r="BT190" i="16"/>
  <c r="BI190" i="16"/>
  <c r="AM190" i="16"/>
  <c r="AB190" i="16"/>
  <c r="AM189" i="16"/>
  <c r="AB189" i="16"/>
  <c r="AM188" i="16"/>
  <c r="AB188" i="16"/>
  <c r="AM187" i="16"/>
  <c r="AB187" i="16"/>
  <c r="AM186" i="16"/>
  <c r="AB186" i="16"/>
  <c r="AM185" i="16"/>
  <c r="AB185" i="16"/>
  <c r="BT184" i="16"/>
  <c r="BI184" i="16"/>
  <c r="AX184" i="16"/>
  <c r="AM184" i="16"/>
  <c r="AB184" i="16"/>
  <c r="AM183" i="16"/>
  <c r="AB183" i="16"/>
  <c r="AM182" i="16"/>
  <c r="AB182" i="16"/>
  <c r="AM181" i="16"/>
  <c r="AB181" i="16"/>
  <c r="AM180" i="16"/>
  <c r="AB180" i="16"/>
  <c r="AM179" i="16"/>
  <c r="AB179" i="16"/>
  <c r="AM177" i="16"/>
  <c r="AB177" i="16"/>
  <c r="AM176" i="16"/>
  <c r="AB176" i="16"/>
  <c r="AM175" i="16"/>
  <c r="AB175" i="16"/>
  <c r="AM174" i="16"/>
  <c r="AB174" i="16"/>
  <c r="AM173" i="16"/>
  <c r="AB173" i="16"/>
  <c r="AM172" i="16"/>
  <c r="AB172" i="16"/>
  <c r="AM171" i="16"/>
  <c r="AB171" i="16"/>
  <c r="AM170" i="16"/>
  <c r="AB170" i="16"/>
  <c r="AM169" i="16"/>
  <c r="AB169" i="16"/>
  <c r="AM168" i="16"/>
  <c r="AB168" i="16"/>
  <c r="AM167" i="16"/>
  <c r="AB167" i="16"/>
  <c r="AM166" i="16"/>
  <c r="AB166" i="16"/>
  <c r="AM165" i="16"/>
  <c r="AB165" i="16"/>
  <c r="AM164" i="16"/>
  <c r="AB164" i="16"/>
  <c r="AM163" i="16"/>
  <c r="AB163" i="16"/>
  <c r="AM162" i="16"/>
  <c r="AB162" i="16"/>
  <c r="AM161" i="16"/>
  <c r="AB161" i="16"/>
  <c r="AM160" i="16"/>
  <c r="AB160" i="16"/>
  <c r="AM159" i="16"/>
  <c r="AB159" i="16"/>
  <c r="FU159" i="16" s="1"/>
  <c r="AM158" i="16"/>
  <c r="AB158" i="16"/>
  <c r="AM157" i="16"/>
  <c r="AB157" i="16"/>
  <c r="AM156" i="16"/>
  <c r="AB156" i="16"/>
  <c r="AM155" i="16"/>
  <c r="AB155" i="16"/>
  <c r="AM154" i="16"/>
  <c r="AB154" i="16"/>
  <c r="FU154" i="16" s="1"/>
  <c r="BT153" i="16"/>
  <c r="AM153" i="16"/>
  <c r="AB153" i="16"/>
  <c r="BT152" i="16"/>
  <c r="AM152" i="16"/>
  <c r="AB152" i="16"/>
  <c r="AM151" i="16"/>
  <c r="AB151" i="16"/>
  <c r="FU151" i="16" s="1"/>
  <c r="E647" i="3" s="1"/>
  <c r="BT150" i="16"/>
  <c r="BI150" i="16"/>
  <c r="AM150" i="16"/>
  <c r="AB150" i="16"/>
  <c r="BT145" i="16"/>
  <c r="BI145" i="16"/>
  <c r="AM145" i="16"/>
  <c r="AB145" i="16"/>
  <c r="BT144" i="16"/>
  <c r="BI144" i="16"/>
  <c r="AM144" i="16"/>
  <c r="AB144" i="16"/>
  <c r="BT143" i="16"/>
  <c r="BI143" i="16"/>
  <c r="AM143" i="16"/>
  <c r="AB143" i="16"/>
  <c r="BT142" i="16"/>
  <c r="BI142" i="16"/>
  <c r="AM142" i="16"/>
  <c r="AB142" i="16"/>
  <c r="BT141" i="16"/>
  <c r="BI141" i="16"/>
  <c r="AM141" i="16"/>
  <c r="AB141" i="16"/>
  <c r="BT140" i="16"/>
  <c r="BI140" i="16"/>
  <c r="AM140" i="16"/>
  <c r="AB140" i="16"/>
  <c r="BT138" i="16"/>
  <c r="BI138" i="16"/>
  <c r="AM138" i="16"/>
  <c r="BT137" i="16"/>
  <c r="BI137" i="16"/>
  <c r="AM137" i="16"/>
  <c r="AB137" i="16"/>
  <c r="BT136" i="16"/>
  <c r="BI136" i="16"/>
  <c r="AM136" i="16"/>
  <c r="AB136" i="16"/>
  <c r="BT135" i="16"/>
  <c r="BI135" i="16"/>
  <c r="AM135" i="16"/>
  <c r="AB135" i="16"/>
  <c r="BT134" i="16"/>
  <c r="BI134" i="16"/>
  <c r="AM134" i="16"/>
  <c r="AB134" i="16"/>
  <c r="BT133" i="16"/>
  <c r="BI133" i="16"/>
  <c r="AM133" i="16"/>
  <c r="AB133" i="16"/>
  <c r="BT132" i="16"/>
  <c r="BI132" i="16"/>
  <c r="AM132" i="16"/>
  <c r="AB132" i="16"/>
  <c r="BT131" i="16"/>
  <c r="BI131" i="16"/>
  <c r="AM131" i="16"/>
  <c r="AB131" i="16"/>
  <c r="BT130" i="16"/>
  <c r="BI130" i="16"/>
  <c r="AM130" i="16"/>
  <c r="AB130" i="16"/>
  <c r="BT129" i="16"/>
  <c r="BI129" i="16"/>
  <c r="AM129" i="16"/>
  <c r="AB129" i="16"/>
  <c r="BT124" i="16"/>
  <c r="BI124" i="16"/>
  <c r="AM124" i="16"/>
  <c r="AB124" i="16"/>
  <c r="BT123" i="16"/>
  <c r="BI123" i="16"/>
  <c r="AM123" i="16"/>
  <c r="AB123" i="16"/>
  <c r="BT122" i="16"/>
  <c r="BI122" i="16"/>
  <c r="AM122" i="16"/>
  <c r="AB122" i="16"/>
  <c r="BT121" i="16"/>
  <c r="BI121" i="16"/>
  <c r="AM121" i="16"/>
  <c r="AB121" i="16"/>
  <c r="BT120" i="16"/>
  <c r="BI120" i="16"/>
  <c r="AM120" i="16"/>
  <c r="AB120" i="16"/>
  <c r="BT119" i="16"/>
  <c r="BI119" i="16"/>
  <c r="AM119" i="16"/>
  <c r="AB119" i="16"/>
  <c r="BT118" i="16"/>
  <c r="BI118" i="16"/>
  <c r="AM118" i="16"/>
  <c r="AB118" i="16"/>
  <c r="BT117" i="16"/>
  <c r="BI117" i="16"/>
  <c r="AM117" i="16"/>
  <c r="AB117" i="16"/>
  <c r="BT116" i="16"/>
  <c r="BI116" i="16"/>
  <c r="AM116" i="16"/>
  <c r="AB116" i="16"/>
  <c r="BT115" i="16"/>
  <c r="BI115" i="16"/>
  <c r="AM115" i="16"/>
  <c r="AB115" i="16"/>
  <c r="BT114" i="16"/>
  <c r="BI114" i="16"/>
  <c r="AM114" i="16"/>
  <c r="AB114" i="16"/>
  <c r="BT113" i="16"/>
  <c r="BI113" i="16"/>
  <c r="AM113" i="16"/>
  <c r="AB113" i="16"/>
  <c r="BT112" i="16"/>
  <c r="BI112" i="16"/>
  <c r="AM112" i="16"/>
  <c r="AB112" i="16"/>
  <c r="BT111" i="16"/>
  <c r="BI111" i="16"/>
  <c r="AM111" i="16"/>
  <c r="AB111" i="16"/>
  <c r="BT110" i="16"/>
  <c r="BI110" i="16"/>
  <c r="AM110" i="16"/>
  <c r="AB110" i="16"/>
  <c r="BT109" i="16"/>
  <c r="BI109" i="16"/>
  <c r="AM109" i="16"/>
  <c r="AB109" i="16"/>
  <c r="BT108" i="16"/>
  <c r="BI108" i="16"/>
  <c r="AM108" i="16"/>
  <c r="AB108" i="16"/>
  <c r="BT107" i="16"/>
  <c r="BI107" i="16"/>
  <c r="AM107" i="16"/>
  <c r="AB107" i="16"/>
  <c r="BT106" i="16"/>
  <c r="BI106" i="16"/>
  <c r="AM106" i="16"/>
  <c r="AB106" i="16"/>
  <c r="BT105" i="16"/>
  <c r="BI105" i="16"/>
  <c r="AM105" i="16"/>
  <c r="AB105" i="16"/>
  <c r="BT104" i="16"/>
  <c r="BI104" i="16"/>
  <c r="AM104" i="16"/>
  <c r="AB104" i="16"/>
  <c r="BT103" i="16"/>
  <c r="BI103" i="16"/>
  <c r="AM103" i="16"/>
  <c r="AB103" i="16"/>
  <c r="BT102" i="16"/>
  <c r="BI102" i="16"/>
  <c r="AM102" i="16"/>
  <c r="AB102" i="16"/>
  <c r="BT101" i="16"/>
  <c r="BI101" i="16"/>
  <c r="AM101" i="16"/>
  <c r="AB101" i="16"/>
  <c r="BT100" i="16"/>
  <c r="BI100" i="16"/>
  <c r="AX100" i="16"/>
  <c r="AM100" i="16"/>
  <c r="AB100" i="16"/>
  <c r="BT99" i="16"/>
  <c r="BI99" i="16"/>
  <c r="AM99" i="16"/>
  <c r="AB99" i="16"/>
  <c r="BT98" i="16"/>
  <c r="BI98" i="16"/>
  <c r="AM98" i="16"/>
  <c r="AB98" i="16"/>
  <c r="BT97" i="16"/>
  <c r="BI97" i="16"/>
  <c r="AM97" i="16"/>
  <c r="AB97" i="16"/>
  <c r="BT96" i="16"/>
  <c r="BI96" i="16"/>
  <c r="AM96" i="16"/>
  <c r="AB96" i="16"/>
  <c r="BT95" i="16"/>
  <c r="BI95" i="16"/>
  <c r="AM95" i="16"/>
  <c r="AB95" i="16"/>
  <c r="BT94" i="16"/>
  <c r="BI94" i="16"/>
  <c r="AM94" i="16"/>
  <c r="AB94" i="16"/>
  <c r="BT93" i="16"/>
  <c r="BI93" i="16"/>
  <c r="AM93" i="16"/>
  <c r="AB93" i="16"/>
  <c r="BT92" i="16"/>
  <c r="BI92" i="16"/>
  <c r="AM92" i="16"/>
  <c r="AB92" i="16"/>
  <c r="BT91" i="16"/>
  <c r="BI91" i="16"/>
  <c r="AM91" i="16"/>
  <c r="AB91" i="16"/>
  <c r="BT90" i="16"/>
  <c r="BI90" i="16"/>
  <c r="AM90" i="16"/>
  <c r="AB90" i="16"/>
  <c r="BT89" i="16"/>
  <c r="BI89" i="16"/>
  <c r="AM89" i="16"/>
  <c r="AB89" i="16"/>
  <c r="BT88" i="16"/>
  <c r="BI88" i="16"/>
  <c r="AM88" i="16"/>
  <c r="AB88" i="16"/>
  <c r="BT87" i="16"/>
  <c r="BI87" i="16"/>
  <c r="AM87" i="16"/>
  <c r="AB87" i="16"/>
  <c r="BT86" i="16"/>
  <c r="BI86" i="16"/>
  <c r="AM86" i="16"/>
  <c r="AB86" i="16"/>
  <c r="BT85" i="16"/>
  <c r="BI85" i="16"/>
  <c r="AM85" i="16"/>
  <c r="AB85" i="16"/>
  <c r="BT84" i="16"/>
  <c r="BI84" i="16"/>
  <c r="AM84" i="16"/>
  <c r="AB84" i="16"/>
  <c r="BT83" i="16"/>
  <c r="BI83" i="16"/>
  <c r="AM83" i="16"/>
  <c r="AB83" i="16"/>
  <c r="BT82" i="16"/>
  <c r="BI82" i="16"/>
  <c r="AX82" i="16"/>
  <c r="AM82" i="16"/>
  <c r="AB82" i="16"/>
  <c r="AM79" i="16"/>
  <c r="AB79" i="16"/>
  <c r="AM78" i="16"/>
  <c r="AB78" i="16"/>
  <c r="AM77" i="16"/>
  <c r="AB77" i="16"/>
  <c r="AM76" i="16"/>
  <c r="AB76" i="16"/>
  <c r="AM74" i="16"/>
  <c r="AB74" i="16"/>
  <c r="AM73" i="16"/>
  <c r="AB73" i="16"/>
  <c r="AM72" i="16"/>
  <c r="AB72" i="16"/>
  <c r="FO272" i="16"/>
  <c r="EH72" i="16"/>
  <c r="EH73" i="16"/>
  <c r="EH74" i="16"/>
  <c r="EH76" i="16"/>
  <c r="EH77" i="16"/>
  <c r="EH78" i="16"/>
  <c r="EH79" i="16"/>
  <c r="EH80" i="16"/>
  <c r="EH81" i="16"/>
  <c r="EH82" i="16"/>
  <c r="EH83" i="16"/>
  <c r="EH84" i="16"/>
  <c r="EH85" i="16"/>
  <c r="EH86" i="16"/>
  <c r="EH87" i="16"/>
  <c r="EH88" i="16"/>
  <c r="EH89" i="16"/>
  <c r="EH90" i="16"/>
  <c r="EH91" i="16"/>
  <c r="EH92" i="16"/>
  <c r="EH93" i="16"/>
  <c r="EH94" i="16"/>
  <c r="EH95" i="16"/>
  <c r="EH96" i="16"/>
  <c r="EH97" i="16"/>
  <c r="EH98" i="16"/>
  <c r="EH99" i="16"/>
  <c r="EH100" i="16"/>
  <c r="EH101" i="16"/>
  <c r="EH102" i="16"/>
  <c r="EH103" i="16"/>
  <c r="EH104" i="16"/>
  <c r="EH105" i="16"/>
  <c r="EH106" i="16"/>
  <c r="EH107" i="16"/>
  <c r="EH108" i="16"/>
  <c r="EH109" i="16"/>
  <c r="EH110" i="16"/>
  <c r="EH111" i="16"/>
  <c r="EH112" i="16"/>
  <c r="EH113" i="16"/>
  <c r="EH114" i="16"/>
  <c r="EH115" i="16"/>
  <c r="EH116" i="16"/>
  <c r="EH117" i="16"/>
  <c r="EH118" i="16"/>
  <c r="EH119" i="16"/>
  <c r="EH120" i="16"/>
  <c r="EH121" i="16"/>
  <c r="EH122" i="16"/>
  <c r="EH123" i="16"/>
  <c r="EH124" i="16"/>
  <c r="EH131" i="16"/>
  <c r="EH132" i="16"/>
  <c r="EH133" i="16"/>
  <c r="EH134" i="16"/>
  <c r="EH135" i="16"/>
  <c r="EH136" i="16"/>
  <c r="EH137" i="16"/>
  <c r="EH138" i="16"/>
  <c r="EH140" i="16"/>
  <c r="EH141" i="16"/>
  <c r="EH142" i="16"/>
  <c r="EH143" i="16"/>
  <c r="EH144" i="16"/>
  <c r="EH145" i="16"/>
  <c r="EH150" i="16"/>
  <c r="EH161" i="16"/>
  <c r="EH162" i="16"/>
  <c r="EH163" i="16"/>
  <c r="EH164" i="16"/>
  <c r="EH165" i="16"/>
  <c r="EH166" i="16"/>
  <c r="EH167" i="16"/>
  <c r="EH168" i="16"/>
  <c r="EH169" i="16"/>
  <c r="EH170" i="16"/>
  <c r="EH171" i="16"/>
  <c r="EH172" i="16"/>
  <c r="EH173" i="16"/>
  <c r="EH174" i="16"/>
  <c r="EH179" i="16"/>
  <c r="EH180" i="16"/>
  <c r="EH181" i="16"/>
  <c r="EH182" i="16"/>
  <c r="EH183" i="16"/>
  <c r="EH184" i="16"/>
  <c r="EH185" i="16"/>
  <c r="EH186" i="16"/>
  <c r="EH187" i="16"/>
  <c r="EH188" i="16"/>
  <c r="EH189" i="16"/>
  <c r="EH190" i="16"/>
  <c r="EH191" i="16"/>
  <c r="EH192" i="16"/>
  <c r="EH193" i="16"/>
  <c r="EH194" i="16"/>
  <c r="EH255" i="16"/>
  <c r="EH260" i="16"/>
  <c r="EH270" i="16"/>
  <c r="EH271" i="16"/>
  <c r="EH272" i="16"/>
  <c r="EH273" i="16"/>
  <c r="EH274" i="16"/>
  <c r="EH275" i="16"/>
  <c r="EH276" i="16"/>
  <c r="EH277" i="16"/>
  <c r="EH278" i="16"/>
  <c r="EH279" i="16"/>
  <c r="EH280" i="16"/>
  <c r="EH283" i="16"/>
  <c r="EH284" i="16"/>
  <c r="EH285" i="16"/>
  <c r="EH286" i="16"/>
  <c r="EH287" i="16"/>
  <c r="EH288" i="16"/>
  <c r="EH289" i="16"/>
  <c r="EH290" i="16"/>
  <c r="EH291" i="16"/>
  <c r="EH292" i="16"/>
  <c r="EH293" i="16"/>
  <c r="EH294" i="16"/>
  <c r="EH295" i="16"/>
  <c r="EH296" i="16"/>
  <c r="EH297" i="16"/>
  <c r="EH298" i="16"/>
  <c r="EH299" i="16"/>
  <c r="EH300" i="16"/>
  <c r="EH301" i="16"/>
  <c r="EH302" i="16"/>
  <c r="EH303" i="16"/>
  <c r="EH304" i="16"/>
  <c r="EH305" i="16"/>
  <c r="EH306" i="16"/>
  <c r="EH307" i="16"/>
  <c r="EH308" i="16"/>
  <c r="EH309" i="16"/>
  <c r="EH310" i="16"/>
  <c r="EH311" i="16"/>
  <c r="EH312" i="16"/>
  <c r="EH313" i="16"/>
  <c r="EH314" i="16"/>
  <c r="EH315" i="16"/>
  <c r="EH316" i="16"/>
  <c r="EH317" i="16"/>
  <c r="EH318" i="16"/>
  <c r="EH319" i="16"/>
  <c r="EH320" i="16"/>
  <c r="EH321" i="16"/>
  <c r="EH322" i="16"/>
  <c r="EH323" i="16"/>
  <c r="EH324" i="16"/>
  <c r="EH325" i="16"/>
  <c r="EH326" i="16"/>
  <c r="EH327" i="16"/>
  <c r="EH328" i="16"/>
  <c r="EH329" i="16"/>
  <c r="EH330" i="16"/>
  <c r="EH331" i="16"/>
  <c r="EH332" i="16"/>
  <c r="EH333" i="16"/>
  <c r="EH334" i="16"/>
  <c r="EH335" i="16"/>
  <c r="EH336" i="16"/>
  <c r="EH337" i="16"/>
  <c r="EH338" i="16"/>
  <c r="EH339" i="16"/>
  <c r="EH340" i="16"/>
  <c r="EH341" i="16"/>
  <c r="EH342" i="16"/>
  <c r="EH343" i="16"/>
  <c r="EH344" i="16"/>
  <c r="EH347" i="16"/>
  <c r="EH348" i="16"/>
  <c r="EH349" i="16"/>
  <c r="EH350" i="16"/>
  <c r="EH352" i="16"/>
  <c r="EH353" i="16"/>
  <c r="EH354" i="16"/>
  <c r="EH355" i="16"/>
  <c r="EH356" i="16"/>
  <c r="EH358" i="16"/>
  <c r="EH360" i="16"/>
  <c r="EH361" i="16"/>
  <c r="EH364" i="16"/>
  <c r="EH369" i="16"/>
  <c r="EH370" i="16"/>
  <c r="EH371" i="16"/>
  <c r="EH372" i="16"/>
  <c r="EH373" i="16"/>
  <c r="EH374" i="16"/>
  <c r="EH375" i="16"/>
  <c r="EH377" i="16"/>
  <c r="EH378" i="16"/>
  <c r="EH379" i="16"/>
  <c r="EH380" i="16"/>
  <c r="EH381" i="16"/>
  <c r="EH382" i="16"/>
  <c r="EH383" i="16"/>
  <c r="EH384" i="16"/>
  <c r="EH385" i="16"/>
  <c r="EH386" i="16"/>
  <c r="EH387" i="16"/>
  <c r="EH388" i="16"/>
  <c r="EH389" i="16"/>
  <c r="EH390" i="16"/>
  <c r="EH391" i="16"/>
  <c r="EH392" i="16"/>
  <c r="EH393" i="16"/>
  <c r="EH394" i="16"/>
  <c r="EH395" i="16"/>
  <c r="EH396" i="16"/>
  <c r="EH397" i="16"/>
  <c r="EH398" i="16"/>
  <c r="EH399" i="16"/>
  <c r="EH400" i="16"/>
  <c r="EH401" i="16"/>
  <c r="EH402" i="16"/>
  <c r="EH403" i="16"/>
  <c r="EH404" i="16"/>
  <c r="EH405" i="16"/>
  <c r="EH406" i="16"/>
  <c r="EH407" i="16"/>
  <c r="EH408" i="16"/>
  <c r="EH409" i="16"/>
  <c r="EH410" i="16"/>
  <c r="EH411" i="16"/>
  <c r="EH412" i="16"/>
  <c r="EH413" i="16"/>
  <c r="EH414" i="16"/>
  <c r="EH415" i="16"/>
  <c r="EH416" i="16"/>
  <c r="EH417" i="16"/>
  <c r="EH418" i="16"/>
  <c r="EH419" i="16"/>
  <c r="EH420" i="16"/>
  <c r="EH421" i="16"/>
  <c r="EH422" i="16"/>
  <c r="EH423" i="16"/>
  <c r="EH424" i="16"/>
  <c r="EH431" i="16"/>
  <c r="EH432" i="16"/>
  <c r="EH433" i="16"/>
  <c r="EH434" i="16"/>
  <c r="EH435" i="16"/>
  <c r="EH436" i="16"/>
  <c r="EH437" i="16"/>
  <c r="EH438" i="16"/>
  <c r="EH439" i="16"/>
  <c r="EH440" i="16"/>
  <c r="EH441" i="16"/>
  <c r="EH442" i="16"/>
  <c r="EH443" i="16"/>
  <c r="EH444" i="16"/>
  <c r="EH445" i="16"/>
  <c r="EH446" i="16"/>
  <c r="EH447" i="16"/>
  <c r="EH448" i="16"/>
  <c r="EH449" i="16"/>
  <c r="EH450" i="16"/>
  <c r="EH451" i="16"/>
  <c r="EH452" i="16"/>
  <c r="EH453" i="16"/>
  <c r="EH454" i="16"/>
  <c r="EH455" i="16"/>
  <c r="EH456" i="16"/>
  <c r="EH457" i="16"/>
  <c r="EH458" i="16"/>
  <c r="EH459" i="16"/>
  <c r="EH460" i="16"/>
  <c r="EH461" i="16"/>
  <c r="EH462" i="16"/>
  <c r="EH463" i="16"/>
  <c r="EH464" i="16"/>
  <c r="EH465" i="16"/>
  <c r="EH466" i="16"/>
  <c r="EH467" i="16"/>
  <c r="EH468" i="16"/>
  <c r="EH469" i="16"/>
  <c r="EH470" i="16"/>
  <c r="EH471" i="16"/>
  <c r="EH472" i="16"/>
  <c r="EH473" i="16"/>
  <c r="EH474" i="16"/>
  <c r="EH476" i="16"/>
  <c r="EH477" i="16"/>
  <c r="EH478" i="16"/>
  <c r="EH489" i="16"/>
  <c r="EH490" i="16"/>
  <c r="EH491" i="16"/>
  <c r="EH492" i="16"/>
  <c r="EH493" i="16"/>
  <c r="EH494" i="16"/>
  <c r="EH495" i="16"/>
  <c r="EH496" i="16"/>
  <c r="EH497" i="16"/>
  <c r="EH498" i="16"/>
  <c r="EH499" i="16"/>
  <c r="EH500" i="16"/>
  <c r="EH501" i="16"/>
  <c r="EH502" i="16"/>
  <c r="EH503" i="16"/>
  <c r="EH504" i="16"/>
  <c r="EH505" i="16"/>
  <c r="EH506" i="16"/>
  <c r="EH507" i="16"/>
  <c r="EH508" i="16"/>
  <c r="EH509" i="16"/>
  <c r="EH510" i="16"/>
  <c r="EH511" i="16"/>
  <c r="EH512" i="16"/>
  <c r="EH513" i="16"/>
  <c r="EH514" i="16"/>
  <c r="EH515" i="16"/>
  <c r="EH516" i="16"/>
  <c r="EH517" i="16"/>
  <c r="EH518" i="16"/>
  <c r="EH551" i="16"/>
  <c r="EH552" i="16"/>
  <c r="EH554" i="16"/>
  <c r="EH555" i="16"/>
  <c r="EH556" i="16"/>
  <c r="EH557" i="16"/>
  <c r="FM557" i="16"/>
  <c r="FG557" i="16"/>
  <c r="FB557" i="16"/>
  <c r="EW557" i="16"/>
  <c r="ER557" i="16"/>
  <c r="EM557" i="16"/>
  <c r="EC557" i="16"/>
  <c r="FM556" i="16"/>
  <c r="FG556" i="16"/>
  <c r="FB556" i="16"/>
  <c r="EW556" i="16"/>
  <c r="ER556" i="16"/>
  <c r="EM556" i="16"/>
  <c r="EC556" i="16"/>
  <c r="FM555" i="16"/>
  <c r="FG555" i="16"/>
  <c r="FB555" i="16"/>
  <c r="EW555" i="16"/>
  <c r="ER555" i="16"/>
  <c r="EM555" i="16"/>
  <c r="EC555" i="16"/>
  <c r="FM554" i="16"/>
  <c r="FG554" i="16"/>
  <c r="FB554" i="16"/>
  <c r="EW554" i="16"/>
  <c r="ER554" i="16"/>
  <c r="EM554" i="16"/>
  <c r="EC554" i="16"/>
  <c r="FM552" i="16"/>
  <c r="FG552" i="16"/>
  <c r="FB552" i="16"/>
  <c r="EW552" i="16"/>
  <c r="ER552" i="16"/>
  <c r="EM552" i="16"/>
  <c r="EC552" i="16"/>
  <c r="FM551" i="16"/>
  <c r="FG551" i="16"/>
  <c r="FB551" i="16"/>
  <c r="EW551" i="16"/>
  <c r="ER551" i="16"/>
  <c r="EM551" i="16"/>
  <c r="EC551" i="16"/>
  <c r="FM518" i="16"/>
  <c r="FG518" i="16"/>
  <c r="FB518" i="16"/>
  <c r="EW518" i="16"/>
  <c r="ER518" i="16"/>
  <c r="EM518" i="16"/>
  <c r="EC518" i="16"/>
  <c r="FM517" i="16"/>
  <c r="FG517" i="16"/>
  <c r="FB517" i="16"/>
  <c r="EW517" i="16"/>
  <c r="ER517" i="16"/>
  <c r="EM517" i="16"/>
  <c r="EC517" i="16"/>
  <c r="FM516" i="16"/>
  <c r="FG516" i="16"/>
  <c r="FB516" i="16"/>
  <c r="EW516" i="16"/>
  <c r="ER516" i="16"/>
  <c r="EM516" i="16"/>
  <c r="EC516" i="16"/>
  <c r="FM515" i="16"/>
  <c r="FG515" i="16"/>
  <c r="FB515" i="16"/>
  <c r="EW515" i="16"/>
  <c r="ER515" i="16"/>
  <c r="EM515" i="16"/>
  <c r="EC515" i="16"/>
  <c r="FM514" i="16"/>
  <c r="FG514" i="16"/>
  <c r="FB514" i="16"/>
  <c r="EW514" i="16"/>
  <c r="ER514" i="16"/>
  <c r="EM514" i="16"/>
  <c r="EC514" i="16"/>
  <c r="FM513" i="16"/>
  <c r="FG513" i="16"/>
  <c r="FB513" i="16"/>
  <c r="EW513" i="16"/>
  <c r="ER513" i="16"/>
  <c r="EM513" i="16"/>
  <c r="EC513" i="16"/>
  <c r="FM512" i="16"/>
  <c r="FG512" i="16"/>
  <c r="FB512" i="16"/>
  <c r="EW512" i="16"/>
  <c r="ER512" i="16"/>
  <c r="EM512" i="16"/>
  <c r="EC512" i="16"/>
  <c r="FM511" i="16"/>
  <c r="FG511" i="16"/>
  <c r="FB511" i="16"/>
  <c r="EW511" i="16"/>
  <c r="ER511" i="16"/>
  <c r="EM511" i="16"/>
  <c r="EC511" i="16"/>
  <c r="FM510" i="16"/>
  <c r="FG510" i="16"/>
  <c r="FB510" i="16"/>
  <c r="EW510" i="16"/>
  <c r="ER510" i="16"/>
  <c r="EM510" i="16"/>
  <c r="EC510" i="16"/>
  <c r="FM509" i="16"/>
  <c r="FG509" i="16"/>
  <c r="FB509" i="16"/>
  <c r="EW509" i="16"/>
  <c r="ER509" i="16"/>
  <c r="EM509" i="16"/>
  <c r="EC509" i="16"/>
  <c r="FM508" i="16"/>
  <c r="FG508" i="16"/>
  <c r="FB508" i="16"/>
  <c r="EW508" i="16"/>
  <c r="ER508" i="16"/>
  <c r="EM508" i="16"/>
  <c r="EC508" i="16"/>
  <c r="FM507" i="16"/>
  <c r="FG507" i="16"/>
  <c r="FB507" i="16"/>
  <c r="EW507" i="16"/>
  <c r="ER507" i="16"/>
  <c r="EM507" i="16"/>
  <c r="EC507" i="16"/>
  <c r="FM506" i="16"/>
  <c r="FG506" i="16"/>
  <c r="FB506" i="16"/>
  <c r="EW506" i="16"/>
  <c r="ER506" i="16"/>
  <c r="EM506" i="16"/>
  <c r="EC506" i="16"/>
  <c r="FM505" i="16"/>
  <c r="FG505" i="16"/>
  <c r="FB505" i="16"/>
  <c r="EW505" i="16"/>
  <c r="ER505" i="16"/>
  <c r="EM505" i="16"/>
  <c r="EC505" i="16"/>
  <c r="FM504" i="16"/>
  <c r="FG504" i="16"/>
  <c r="FB504" i="16"/>
  <c r="EW504" i="16"/>
  <c r="ER504" i="16"/>
  <c r="EM504" i="16"/>
  <c r="EC504" i="16"/>
  <c r="FM503" i="16"/>
  <c r="FG503" i="16"/>
  <c r="FB503" i="16"/>
  <c r="EW503" i="16"/>
  <c r="ER503" i="16"/>
  <c r="EM503" i="16"/>
  <c r="EC503" i="16"/>
  <c r="FM502" i="16"/>
  <c r="FG502" i="16"/>
  <c r="FB502" i="16"/>
  <c r="EW502" i="16"/>
  <c r="ER502" i="16"/>
  <c r="EM502" i="16"/>
  <c r="EC502" i="16"/>
  <c r="FM501" i="16"/>
  <c r="FG501" i="16"/>
  <c r="FB501" i="16"/>
  <c r="EW501" i="16"/>
  <c r="ER501" i="16"/>
  <c r="EM501" i="16"/>
  <c r="EC501" i="16"/>
  <c r="FM500" i="16"/>
  <c r="FG500" i="16"/>
  <c r="FB500" i="16"/>
  <c r="EW500" i="16"/>
  <c r="ER500" i="16"/>
  <c r="EM500" i="16"/>
  <c r="EC500" i="16"/>
  <c r="FM499" i="16"/>
  <c r="FG499" i="16"/>
  <c r="FB499" i="16"/>
  <c r="EW499" i="16"/>
  <c r="ER499" i="16"/>
  <c r="EM499" i="16"/>
  <c r="EC499" i="16"/>
  <c r="FM498" i="16"/>
  <c r="FG498" i="16"/>
  <c r="FB498" i="16"/>
  <c r="EW498" i="16"/>
  <c r="ER498" i="16"/>
  <c r="EM498" i="16"/>
  <c r="EC498" i="16"/>
  <c r="FM497" i="16"/>
  <c r="FG497" i="16"/>
  <c r="FB497" i="16"/>
  <c r="EW497" i="16"/>
  <c r="ER497" i="16"/>
  <c r="EM497" i="16"/>
  <c r="EC497" i="16"/>
  <c r="FM496" i="16"/>
  <c r="FG496" i="16"/>
  <c r="FB496" i="16"/>
  <c r="EW496" i="16"/>
  <c r="ER496" i="16"/>
  <c r="EM496" i="16"/>
  <c r="EC496" i="16"/>
  <c r="FM495" i="16"/>
  <c r="FG495" i="16"/>
  <c r="FB495" i="16"/>
  <c r="EW495" i="16"/>
  <c r="ER495" i="16"/>
  <c r="EM495" i="16"/>
  <c r="EC495" i="16"/>
  <c r="FM494" i="16"/>
  <c r="FG494" i="16"/>
  <c r="FB494" i="16"/>
  <c r="EW494" i="16"/>
  <c r="ER494" i="16"/>
  <c r="EM494" i="16"/>
  <c r="EC494" i="16"/>
  <c r="FM493" i="16"/>
  <c r="FG493" i="16"/>
  <c r="FB493" i="16"/>
  <c r="EW493" i="16"/>
  <c r="ER493" i="16"/>
  <c r="EM493" i="16"/>
  <c r="EC493" i="16"/>
  <c r="FM492" i="16"/>
  <c r="FG492" i="16"/>
  <c r="FB492" i="16"/>
  <c r="EW492" i="16"/>
  <c r="ER492" i="16"/>
  <c r="EM492" i="16"/>
  <c r="EC492" i="16"/>
  <c r="FM491" i="16"/>
  <c r="FG491" i="16"/>
  <c r="FB491" i="16"/>
  <c r="EW491" i="16"/>
  <c r="ER491" i="16"/>
  <c r="EM491" i="16"/>
  <c r="EC491" i="16"/>
  <c r="FM490" i="16"/>
  <c r="FG490" i="16"/>
  <c r="FB490" i="16"/>
  <c r="EW490" i="16"/>
  <c r="ER490" i="16"/>
  <c r="EM490" i="16"/>
  <c r="EC490" i="16"/>
  <c r="FM489" i="16"/>
  <c r="FG489" i="16"/>
  <c r="FB489" i="16"/>
  <c r="EW489" i="16"/>
  <c r="ER489" i="16"/>
  <c r="EM489" i="16"/>
  <c r="EC489" i="16"/>
  <c r="FB488" i="16"/>
  <c r="EW488" i="16"/>
  <c r="FM487" i="16"/>
  <c r="FG487" i="16"/>
  <c r="FB487" i="16"/>
  <c r="EW487" i="16"/>
  <c r="FU487" i="16" s="1"/>
  <c r="E983" i="3" s="1"/>
  <c r="FM486" i="16"/>
  <c r="FG486" i="16"/>
  <c r="FB485" i="16"/>
  <c r="EW485" i="16"/>
  <c r="FM484" i="16"/>
  <c r="FG484" i="16"/>
  <c r="FB484" i="16"/>
  <c r="EW484" i="16"/>
  <c r="FU484" i="16"/>
  <c r="FM483" i="16"/>
  <c r="FG483" i="16"/>
  <c r="FB483" i="16"/>
  <c r="EW483" i="16"/>
  <c r="FM482" i="16"/>
  <c r="FG482" i="16"/>
  <c r="FU482" i="16" s="1"/>
  <c r="FB482" i="16"/>
  <c r="EW482" i="16"/>
  <c r="FM481" i="16"/>
  <c r="FG481" i="16"/>
  <c r="FU481" i="16" s="1"/>
  <c r="FB480" i="16"/>
  <c r="EW480" i="16"/>
  <c r="FM479" i="16"/>
  <c r="FG479" i="16"/>
  <c r="FB479" i="16"/>
  <c r="EW479" i="16"/>
  <c r="FM478" i="16"/>
  <c r="FG478" i="16"/>
  <c r="ER478" i="16"/>
  <c r="EM478" i="16"/>
  <c r="EC478" i="16"/>
  <c r="FM477" i="16"/>
  <c r="FG477" i="16"/>
  <c r="FB477" i="16"/>
  <c r="EW477" i="16"/>
  <c r="ER477" i="16"/>
  <c r="EM477" i="16"/>
  <c r="EC477" i="16"/>
  <c r="FM476" i="16"/>
  <c r="FG476" i="16"/>
  <c r="FB476" i="16"/>
  <c r="EW476" i="16"/>
  <c r="ER476" i="16"/>
  <c r="EM476" i="16"/>
  <c r="EC476" i="16"/>
  <c r="EC474" i="16"/>
  <c r="FM473" i="16"/>
  <c r="FG473" i="16"/>
  <c r="FB473" i="16"/>
  <c r="EW473" i="16"/>
  <c r="ER473" i="16"/>
  <c r="EM473" i="16"/>
  <c r="EC473" i="16"/>
  <c r="FM472" i="16"/>
  <c r="FG472" i="16"/>
  <c r="FB472" i="16"/>
  <c r="EW472" i="16"/>
  <c r="ER472" i="16"/>
  <c r="EM472" i="16"/>
  <c r="EC472" i="16"/>
  <c r="FM471" i="16"/>
  <c r="FG471" i="16"/>
  <c r="FB471" i="16"/>
  <c r="EW471" i="16"/>
  <c r="ER471" i="16"/>
  <c r="EM471" i="16"/>
  <c r="EC471" i="16"/>
  <c r="FM470" i="16"/>
  <c r="FG470" i="16"/>
  <c r="FB470" i="16"/>
  <c r="EW470" i="16"/>
  <c r="ER470" i="16"/>
  <c r="EM470" i="16"/>
  <c r="EC470" i="16"/>
  <c r="FM469" i="16"/>
  <c r="FG469" i="16"/>
  <c r="FB469" i="16"/>
  <c r="EW469" i="16"/>
  <c r="ER469" i="16"/>
  <c r="EM469" i="16"/>
  <c r="EC469" i="16"/>
  <c r="FM468" i="16"/>
  <c r="FG468" i="16"/>
  <c r="FB468" i="16"/>
  <c r="EW468" i="16"/>
  <c r="ER468" i="16"/>
  <c r="EM468" i="16"/>
  <c r="EC468" i="16"/>
  <c r="FM467" i="16"/>
  <c r="FG467" i="16"/>
  <c r="FB467" i="16"/>
  <c r="EW467" i="16"/>
  <c r="ER467" i="16"/>
  <c r="EM467" i="16"/>
  <c r="EC467" i="16"/>
  <c r="FM466" i="16"/>
  <c r="FG466" i="16"/>
  <c r="FB466" i="16"/>
  <c r="EW466" i="16"/>
  <c r="ER466" i="16"/>
  <c r="EM466" i="16"/>
  <c r="EC466" i="16"/>
  <c r="FM465" i="16"/>
  <c r="FG465" i="16"/>
  <c r="FB465" i="16"/>
  <c r="EW465" i="16"/>
  <c r="ER465" i="16"/>
  <c r="EM465" i="16"/>
  <c r="EC465" i="16"/>
  <c r="FM464" i="16"/>
  <c r="FG464" i="16"/>
  <c r="FB464" i="16"/>
  <c r="EW464" i="16"/>
  <c r="ER464" i="16"/>
  <c r="EM464" i="16"/>
  <c r="EC464" i="16"/>
  <c r="FM463" i="16"/>
  <c r="FG463" i="16"/>
  <c r="FB463" i="16"/>
  <c r="EW463" i="16"/>
  <c r="ER463" i="16"/>
  <c r="EM463" i="16"/>
  <c r="EC463" i="16"/>
  <c r="FM462" i="16"/>
  <c r="FG462" i="16"/>
  <c r="FB462" i="16"/>
  <c r="EW462" i="16"/>
  <c r="ER462" i="16"/>
  <c r="EM462" i="16"/>
  <c r="EC462" i="16"/>
  <c r="FM461" i="16"/>
  <c r="FG461" i="16"/>
  <c r="FB461" i="16"/>
  <c r="EW461" i="16"/>
  <c r="ER461" i="16"/>
  <c r="EM461" i="16"/>
  <c r="EC461" i="16"/>
  <c r="FM460" i="16"/>
  <c r="FG460" i="16"/>
  <c r="FB460" i="16"/>
  <c r="EW460" i="16"/>
  <c r="ER460" i="16"/>
  <c r="EM460" i="16"/>
  <c r="EC460" i="16"/>
  <c r="FM459" i="16"/>
  <c r="FG459" i="16"/>
  <c r="FB459" i="16"/>
  <c r="EW459" i="16"/>
  <c r="ER459" i="16"/>
  <c r="EM459" i="16"/>
  <c r="EC459" i="16"/>
  <c r="FM458" i="16"/>
  <c r="FG458" i="16"/>
  <c r="FB458" i="16"/>
  <c r="EW458" i="16"/>
  <c r="ER458" i="16"/>
  <c r="EM458" i="16"/>
  <c r="EC458" i="16"/>
  <c r="FM457" i="16"/>
  <c r="FG457" i="16"/>
  <c r="FB457" i="16"/>
  <c r="EW457" i="16"/>
  <c r="ER457" i="16"/>
  <c r="EM457" i="16"/>
  <c r="EC457" i="16"/>
  <c r="FM456" i="16"/>
  <c r="FG456" i="16"/>
  <c r="FB456" i="16"/>
  <c r="EW456" i="16"/>
  <c r="ER456" i="16"/>
  <c r="EM456" i="16"/>
  <c r="EC456" i="16"/>
  <c r="FM455" i="16"/>
  <c r="FG455" i="16"/>
  <c r="FB455" i="16"/>
  <c r="EW455" i="16"/>
  <c r="ER455" i="16"/>
  <c r="EM455" i="16"/>
  <c r="EC455" i="16"/>
  <c r="FM454" i="16"/>
  <c r="FG454" i="16"/>
  <c r="FB454" i="16"/>
  <c r="EW454" i="16"/>
  <c r="ER454" i="16"/>
  <c r="EM454" i="16"/>
  <c r="EC454" i="16"/>
  <c r="FM453" i="16"/>
  <c r="FG453" i="16"/>
  <c r="FB453" i="16"/>
  <c r="EW453" i="16"/>
  <c r="ER453" i="16"/>
  <c r="EM453" i="16"/>
  <c r="EC453" i="16"/>
  <c r="FM452" i="16"/>
  <c r="FG452" i="16"/>
  <c r="FB452" i="16"/>
  <c r="EW452" i="16"/>
  <c r="ER452" i="16"/>
  <c r="EM452" i="16"/>
  <c r="FU452" i="16" s="1"/>
  <c r="E948" i="3" s="1"/>
  <c r="EC452" i="16"/>
  <c r="FM451" i="16"/>
  <c r="FG451" i="16"/>
  <c r="FB451" i="16"/>
  <c r="EW451" i="16"/>
  <c r="ER451" i="16"/>
  <c r="EM451" i="16"/>
  <c r="EC451" i="16"/>
  <c r="FM450" i="16"/>
  <c r="FG450" i="16"/>
  <c r="FB450" i="16"/>
  <c r="EW450" i="16"/>
  <c r="ER450" i="16"/>
  <c r="EM450" i="16"/>
  <c r="EC450" i="16"/>
  <c r="FM449" i="16"/>
  <c r="FG449" i="16"/>
  <c r="FB449" i="16"/>
  <c r="EW449" i="16"/>
  <c r="ER449" i="16"/>
  <c r="EM449" i="16"/>
  <c r="EC449" i="16"/>
  <c r="FM448" i="16"/>
  <c r="FG448" i="16"/>
  <c r="FB448" i="16"/>
  <c r="EW448" i="16"/>
  <c r="ER448" i="16"/>
  <c r="EM448" i="16"/>
  <c r="EC448" i="16"/>
  <c r="FM447" i="16"/>
  <c r="FG447" i="16"/>
  <c r="FB447" i="16"/>
  <c r="EW447" i="16"/>
  <c r="ER447" i="16"/>
  <c r="EM447" i="16"/>
  <c r="EC447" i="16"/>
  <c r="FM446" i="16"/>
  <c r="FG446" i="16"/>
  <c r="FB446" i="16"/>
  <c r="EW446" i="16"/>
  <c r="ER446" i="16"/>
  <c r="EM446" i="16"/>
  <c r="EC446" i="16"/>
  <c r="FM445" i="16"/>
  <c r="FG445" i="16"/>
  <c r="FB445" i="16"/>
  <c r="EW445" i="16"/>
  <c r="ER445" i="16"/>
  <c r="EM445" i="16"/>
  <c r="EC445" i="16"/>
  <c r="FM444" i="16"/>
  <c r="FG444" i="16"/>
  <c r="FB444" i="16"/>
  <c r="EW444" i="16"/>
  <c r="ER444" i="16"/>
  <c r="EC444" i="16"/>
  <c r="FM443" i="16"/>
  <c r="FG443" i="16"/>
  <c r="FB443" i="16"/>
  <c r="EW443" i="16"/>
  <c r="ER443" i="16"/>
  <c r="EC443" i="16"/>
  <c r="FM442" i="16"/>
  <c r="FG442" i="16"/>
  <c r="FB442" i="16"/>
  <c r="EW442" i="16"/>
  <c r="ER442" i="16"/>
  <c r="EC442" i="16"/>
  <c r="FM441" i="16"/>
  <c r="FG441" i="16"/>
  <c r="FB441" i="16"/>
  <c r="EW441" i="16"/>
  <c r="ER441" i="16"/>
  <c r="EC441" i="16"/>
  <c r="FM440" i="16"/>
  <c r="FG440" i="16"/>
  <c r="FB440" i="16"/>
  <c r="EW440" i="16"/>
  <c r="ER440" i="16"/>
  <c r="EC440" i="16"/>
  <c r="FM439" i="16"/>
  <c r="FG439" i="16"/>
  <c r="FB439" i="16"/>
  <c r="EW439" i="16"/>
  <c r="ER439" i="16"/>
  <c r="EM439" i="16"/>
  <c r="EC439" i="16"/>
  <c r="FM438" i="16"/>
  <c r="FG438" i="16"/>
  <c r="FB438" i="16"/>
  <c r="EW438" i="16"/>
  <c r="ER438" i="16"/>
  <c r="EM438" i="16"/>
  <c r="EC438" i="16"/>
  <c r="FM437" i="16"/>
  <c r="FG437" i="16"/>
  <c r="FB437" i="16"/>
  <c r="EW437" i="16"/>
  <c r="ER437" i="16"/>
  <c r="EM437" i="16"/>
  <c r="EC437" i="16"/>
  <c r="FM436" i="16"/>
  <c r="FG436" i="16"/>
  <c r="FB436" i="16"/>
  <c r="EW436" i="16"/>
  <c r="ER436" i="16"/>
  <c r="EM436" i="16"/>
  <c r="EC436" i="16"/>
  <c r="FM435" i="16"/>
  <c r="FG435" i="16"/>
  <c r="FB435" i="16"/>
  <c r="EW435" i="16"/>
  <c r="ER435" i="16"/>
  <c r="EM435" i="16"/>
  <c r="EC435" i="16"/>
  <c r="FM434" i="16"/>
  <c r="FG434" i="16"/>
  <c r="FB434" i="16"/>
  <c r="EW434" i="16"/>
  <c r="ER434" i="16"/>
  <c r="EM434" i="16"/>
  <c r="EC434" i="16"/>
  <c r="FM433" i="16"/>
  <c r="FG433" i="16"/>
  <c r="FB433" i="16"/>
  <c r="EW433" i="16"/>
  <c r="ER433" i="16"/>
  <c r="EM433" i="16"/>
  <c r="EC433" i="16"/>
  <c r="FM432" i="16"/>
  <c r="FG432" i="16"/>
  <c r="FB432" i="16"/>
  <c r="EW432" i="16"/>
  <c r="ER432" i="16"/>
  <c r="EM432" i="16"/>
  <c r="EC432" i="16"/>
  <c r="FM431" i="16"/>
  <c r="FG431" i="16"/>
  <c r="FB431" i="16"/>
  <c r="EW431" i="16"/>
  <c r="ER431" i="16"/>
  <c r="EM431" i="16"/>
  <c r="EC431" i="16"/>
  <c r="ER430" i="16"/>
  <c r="FM429" i="16"/>
  <c r="FG429" i="16"/>
  <c r="FB429" i="16"/>
  <c r="EW429" i="16"/>
  <c r="ER429" i="16"/>
  <c r="FU429" i="16" s="1"/>
  <c r="FM428" i="16"/>
  <c r="FG428" i="16"/>
  <c r="FB428" i="16"/>
  <c r="EW428" i="16"/>
  <c r="ER428" i="16"/>
  <c r="EM428" i="16"/>
  <c r="FM427" i="16"/>
  <c r="FG427" i="16"/>
  <c r="FB427" i="16"/>
  <c r="EW427" i="16"/>
  <c r="ER427" i="16"/>
  <c r="EM427" i="16"/>
  <c r="FU427" i="16" s="1"/>
  <c r="FM426" i="16"/>
  <c r="FG426" i="16"/>
  <c r="FB426" i="16"/>
  <c r="EW426" i="16"/>
  <c r="ER426" i="16"/>
  <c r="EM426" i="16"/>
  <c r="FM425" i="16"/>
  <c r="FG425" i="16"/>
  <c r="FB425" i="16"/>
  <c r="EW425" i="16"/>
  <c r="ER425" i="16"/>
  <c r="EM425" i="16"/>
  <c r="FM424" i="16"/>
  <c r="FG424" i="16"/>
  <c r="FB424" i="16"/>
  <c r="EW424" i="16"/>
  <c r="ER424" i="16"/>
  <c r="EM424" i="16"/>
  <c r="EC424" i="16"/>
  <c r="FM423" i="16"/>
  <c r="FG423" i="16"/>
  <c r="FB423" i="16"/>
  <c r="EW423" i="16"/>
  <c r="ER423" i="16"/>
  <c r="EM423" i="16"/>
  <c r="EC423" i="16"/>
  <c r="EC422" i="16"/>
  <c r="EC421" i="16"/>
  <c r="EC420" i="16"/>
  <c r="FM419" i="16"/>
  <c r="FG419" i="16"/>
  <c r="EW419" i="16"/>
  <c r="ER419" i="16"/>
  <c r="EM419" i="16"/>
  <c r="EC419" i="16"/>
  <c r="FM418" i="16"/>
  <c r="FG418" i="16"/>
  <c r="EW418" i="16"/>
  <c r="ER418" i="16"/>
  <c r="EM418" i="16"/>
  <c r="EC418" i="16"/>
  <c r="FM417" i="16"/>
  <c r="FG417" i="16"/>
  <c r="EW417" i="16"/>
  <c r="ER417" i="16"/>
  <c r="EM417" i="16"/>
  <c r="EC417" i="16"/>
  <c r="FM416" i="16"/>
  <c r="EW416" i="16"/>
  <c r="ER416" i="16"/>
  <c r="EM416" i="16"/>
  <c r="EC416" i="16"/>
  <c r="FM415" i="16"/>
  <c r="FG415" i="16"/>
  <c r="EW415" i="16"/>
  <c r="ER415" i="16"/>
  <c r="EM415" i="16"/>
  <c r="EC415" i="16"/>
  <c r="EW414" i="16"/>
  <c r="ER414" i="16"/>
  <c r="EM414" i="16"/>
  <c r="EC414" i="16"/>
  <c r="EW413" i="16"/>
  <c r="ER413" i="16"/>
  <c r="EM413" i="16"/>
  <c r="EC413" i="16"/>
  <c r="EW412" i="16"/>
  <c r="ER412" i="16"/>
  <c r="EM412" i="16"/>
  <c r="EC412" i="16"/>
  <c r="EW411" i="16"/>
  <c r="ER411" i="16"/>
  <c r="EM411" i="16"/>
  <c r="EC411" i="16"/>
  <c r="EW410" i="16"/>
  <c r="ER410" i="16"/>
  <c r="EM410" i="16"/>
  <c r="EC410" i="16"/>
  <c r="EW409" i="16"/>
  <c r="ER409" i="16"/>
  <c r="EM409" i="16"/>
  <c r="EC409" i="16"/>
  <c r="EW408" i="16"/>
  <c r="ER408" i="16"/>
  <c r="EM408" i="16"/>
  <c r="EC408" i="16"/>
  <c r="EW407" i="16"/>
  <c r="ER407" i="16"/>
  <c r="EM407" i="16"/>
  <c r="EC407" i="16"/>
  <c r="EW406" i="16"/>
  <c r="ER406" i="16"/>
  <c r="EM406" i="16"/>
  <c r="EC406" i="16"/>
  <c r="EW405" i="16"/>
  <c r="ER405" i="16"/>
  <c r="EM405" i="16"/>
  <c r="EC405" i="16"/>
  <c r="EW404" i="16"/>
  <c r="ER404" i="16"/>
  <c r="EM404" i="16"/>
  <c r="EC404" i="16"/>
  <c r="EW403" i="16"/>
  <c r="ER403" i="16"/>
  <c r="EM403" i="16"/>
  <c r="EC403" i="16"/>
  <c r="EW402" i="16"/>
  <c r="ER402" i="16"/>
  <c r="EM402" i="16"/>
  <c r="EC402" i="16"/>
  <c r="EW401" i="16"/>
  <c r="ER401" i="16"/>
  <c r="EM401" i="16"/>
  <c r="EC401" i="16"/>
  <c r="EW400" i="16"/>
  <c r="ER400" i="16"/>
  <c r="EM400" i="16"/>
  <c r="EC400" i="16"/>
  <c r="EW399" i="16"/>
  <c r="ER399" i="16"/>
  <c r="EM399" i="16"/>
  <c r="EC399" i="16"/>
  <c r="EW398" i="16"/>
  <c r="ER398" i="16"/>
  <c r="EM398" i="16"/>
  <c r="EC398" i="16"/>
  <c r="EW397" i="16"/>
  <c r="ER397" i="16"/>
  <c r="EM397" i="16"/>
  <c r="EC397" i="16"/>
  <c r="ER396" i="16"/>
  <c r="EM396" i="16"/>
  <c r="EC396" i="16"/>
  <c r="EW395" i="16"/>
  <c r="ER395" i="16"/>
  <c r="EM395" i="16"/>
  <c r="EC395" i="16"/>
  <c r="EW394" i="16"/>
  <c r="ER394" i="16"/>
  <c r="EM394" i="16"/>
  <c r="EC394" i="16"/>
  <c r="EW393" i="16"/>
  <c r="ER393" i="16"/>
  <c r="EM393" i="16"/>
  <c r="EC393" i="16"/>
  <c r="EW392" i="16"/>
  <c r="ER392" i="16"/>
  <c r="EM392" i="16"/>
  <c r="EC392" i="16"/>
  <c r="EW391" i="16"/>
  <c r="ER391" i="16"/>
  <c r="EM391" i="16"/>
  <c r="EC391" i="16"/>
  <c r="EW390" i="16"/>
  <c r="ER390" i="16"/>
  <c r="EM390" i="16"/>
  <c r="EC390" i="16"/>
  <c r="EW389" i="16"/>
  <c r="ER389" i="16"/>
  <c r="EM389" i="16"/>
  <c r="EC389" i="16"/>
  <c r="EW388" i="16"/>
  <c r="ER388" i="16"/>
  <c r="EM388" i="16"/>
  <c r="EC388" i="16"/>
  <c r="EW387" i="16"/>
  <c r="ER387" i="16"/>
  <c r="EM387" i="16"/>
  <c r="EC387" i="16"/>
  <c r="EW386" i="16"/>
  <c r="ER386" i="16"/>
  <c r="EM386" i="16"/>
  <c r="EC386" i="16"/>
  <c r="EW385" i="16"/>
  <c r="ER385" i="16"/>
  <c r="EM385" i="16"/>
  <c r="EC385" i="16"/>
  <c r="EW384" i="16"/>
  <c r="ER384" i="16"/>
  <c r="EM384" i="16"/>
  <c r="EC384" i="16"/>
  <c r="EW383" i="16"/>
  <c r="ER383" i="16"/>
  <c r="EM383" i="16"/>
  <c r="EC383" i="16"/>
  <c r="EW382" i="16"/>
  <c r="ER382" i="16"/>
  <c r="EM382" i="16"/>
  <c r="EC382" i="16"/>
  <c r="EW381" i="16"/>
  <c r="ER381" i="16"/>
  <c r="EM381" i="16"/>
  <c r="EC381" i="16"/>
  <c r="EW380" i="16"/>
  <c r="ER380" i="16"/>
  <c r="EM380" i="16"/>
  <c r="EC380" i="16"/>
  <c r="EW379" i="16"/>
  <c r="ER379" i="16"/>
  <c r="EM379" i="16"/>
  <c r="EC379" i="16"/>
  <c r="EW378" i="16"/>
  <c r="ER378" i="16"/>
  <c r="EM378" i="16"/>
  <c r="EC378" i="16"/>
  <c r="ER377" i="16"/>
  <c r="EM377" i="16"/>
  <c r="EC377" i="16"/>
  <c r="EW376" i="16"/>
  <c r="EW375" i="16"/>
  <c r="ER375" i="16"/>
  <c r="EM375" i="16"/>
  <c r="EC375" i="16"/>
  <c r="EW374" i="16"/>
  <c r="ER374" i="16"/>
  <c r="EM374" i="16"/>
  <c r="EC374" i="16"/>
  <c r="EW373" i="16"/>
  <c r="ER373" i="16"/>
  <c r="EM373" i="16"/>
  <c r="EC373" i="16"/>
  <c r="EW372" i="16"/>
  <c r="ER372" i="16"/>
  <c r="EM372" i="16"/>
  <c r="EC372" i="16"/>
  <c r="EW371" i="16"/>
  <c r="ER371" i="16"/>
  <c r="EM371" i="16"/>
  <c r="EC371" i="16"/>
  <c r="EW370" i="16"/>
  <c r="ER370" i="16"/>
  <c r="EM370" i="16"/>
  <c r="EC370" i="16"/>
  <c r="EW369" i="16"/>
  <c r="ER369" i="16"/>
  <c r="EM369" i="16"/>
  <c r="EC369" i="16"/>
  <c r="ER366" i="16"/>
  <c r="EM366" i="16"/>
  <c r="ER365" i="16"/>
  <c r="EM365" i="16"/>
  <c r="EW364" i="16"/>
  <c r="ER364" i="16"/>
  <c r="EM364" i="16"/>
  <c r="EC364" i="16"/>
  <c r="EW361" i="16"/>
  <c r="ER361" i="16"/>
  <c r="EM361" i="16"/>
  <c r="EC361" i="16"/>
  <c r="EW360" i="16"/>
  <c r="ER360" i="16"/>
  <c r="EM360" i="16"/>
  <c r="EC360" i="16"/>
  <c r="EW358" i="16"/>
  <c r="ER358" i="16"/>
  <c r="EM358" i="16"/>
  <c r="EC358" i="16"/>
  <c r="EW356" i="16"/>
  <c r="ER356" i="16"/>
  <c r="EM356" i="16"/>
  <c r="EC356" i="16"/>
  <c r="EW355" i="16"/>
  <c r="ER355" i="16"/>
  <c r="EM355" i="16"/>
  <c r="EC355" i="16"/>
  <c r="EW354" i="16"/>
  <c r="ER354" i="16"/>
  <c r="EM354" i="16"/>
  <c r="EC354" i="16"/>
  <c r="EW353" i="16"/>
  <c r="ER353" i="16"/>
  <c r="EM353" i="16"/>
  <c r="EC353" i="16"/>
  <c r="EW352" i="16"/>
  <c r="ER352" i="16"/>
  <c r="EM352" i="16"/>
  <c r="EC352" i="16"/>
  <c r="EW350" i="16"/>
  <c r="ER350" i="16"/>
  <c r="EM350" i="16"/>
  <c r="EC350" i="16"/>
  <c r="EW349" i="16"/>
  <c r="ER349" i="16"/>
  <c r="EM349" i="16"/>
  <c r="EC349" i="16"/>
  <c r="EW348" i="16"/>
  <c r="ER348" i="16"/>
  <c r="EM348" i="16"/>
  <c r="EC348" i="16"/>
  <c r="EW347" i="16"/>
  <c r="ER347" i="16"/>
  <c r="EM347" i="16"/>
  <c r="EC347" i="16"/>
  <c r="EW344" i="16"/>
  <c r="ER344" i="16"/>
  <c r="EM344" i="16"/>
  <c r="EC344" i="16"/>
  <c r="EW343" i="16"/>
  <c r="ER343" i="16"/>
  <c r="EM343" i="16"/>
  <c r="EC343" i="16"/>
  <c r="EW342" i="16"/>
  <c r="ER342" i="16"/>
  <c r="EM342" i="16"/>
  <c r="EC342" i="16"/>
  <c r="EW341" i="16"/>
  <c r="ER341" i="16"/>
  <c r="EM341" i="16"/>
  <c r="EC341" i="16"/>
  <c r="EW340" i="16"/>
  <c r="ER340" i="16"/>
  <c r="EM340" i="16"/>
  <c r="EC340" i="16"/>
  <c r="EW339" i="16"/>
  <c r="ER339" i="16"/>
  <c r="EM339" i="16"/>
  <c r="EC339" i="16"/>
  <c r="EW338" i="16"/>
  <c r="ER338" i="16"/>
  <c r="EM338" i="16"/>
  <c r="EC338" i="16"/>
  <c r="EW337" i="16"/>
  <c r="EC337" i="16"/>
  <c r="EW336" i="16"/>
  <c r="EC336" i="16"/>
  <c r="EW335" i="16"/>
  <c r="EC335" i="16"/>
  <c r="EW334" i="16"/>
  <c r="EC334" i="16"/>
  <c r="EW333" i="16"/>
  <c r="EC333" i="16"/>
  <c r="EW332" i="16"/>
  <c r="EC332" i="16"/>
  <c r="EW331" i="16"/>
  <c r="EC331" i="16"/>
  <c r="EW330" i="16"/>
  <c r="EC330" i="16"/>
  <c r="EW329" i="16"/>
  <c r="EC329" i="16"/>
  <c r="EW328" i="16"/>
  <c r="ER328" i="16"/>
  <c r="EM328" i="16"/>
  <c r="EC328" i="16"/>
  <c r="EW327" i="16"/>
  <c r="ER327" i="16"/>
  <c r="EM327" i="16"/>
  <c r="EC327" i="16"/>
  <c r="EW326" i="16"/>
  <c r="ER326" i="16"/>
  <c r="EM326" i="16"/>
  <c r="EC326" i="16"/>
  <c r="EW325" i="16"/>
  <c r="ER325" i="16"/>
  <c r="EM325" i="16"/>
  <c r="EC325" i="16"/>
  <c r="EW324" i="16"/>
  <c r="ER324" i="16"/>
  <c r="EM324" i="16"/>
  <c r="EC324" i="16"/>
  <c r="EW323" i="16"/>
  <c r="ER323" i="16"/>
  <c r="EM323" i="16"/>
  <c r="EC323" i="16"/>
  <c r="EW322" i="16"/>
  <c r="ER322" i="16"/>
  <c r="EM322" i="16"/>
  <c r="EC322" i="16"/>
  <c r="EW321" i="16"/>
  <c r="ER321" i="16"/>
  <c r="EM321" i="16"/>
  <c r="EC321" i="16"/>
  <c r="EW320" i="16"/>
  <c r="ER320" i="16"/>
  <c r="EM320" i="16"/>
  <c r="EC320" i="16"/>
  <c r="EW319" i="16"/>
  <c r="ER319" i="16"/>
  <c r="EM319" i="16"/>
  <c r="EC319" i="16"/>
  <c r="EW318" i="16"/>
  <c r="ER318" i="16"/>
  <c r="EM318" i="16"/>
  <c r="EC318" i="16"/>
  <c r="EW317" i="16"/>
  <c r="ER317" i="16"/>
  <c r="EM317" i="16"/>
  <c r="EC317" i="16"/>
  <c r="EW316" i="16"/>
  <c r="ER316" i="16"/>
  <c r="EM316" i="16"/>
  <c r="EC316" i="16"/>
  <c r="EW315" i="16"/>
  <c r="ER315" i="16"/>
  <c r="EM315" i="16"/>
  <c r="EC315" i="16"/>
  <c r="EW314" i="16"/>
  <c r="ER314" i="16"/>
  <c r="EM314" i="16"/>
  <c r="EC314" i="16"/>
  <c r="EW313" i="16"/>
  <c r="ER313" i="16"/>
  <c r="EM313" i="16"/>
  <c r="EC313" i="16"/>
  <c r="EW312" i="16"/>
  <c r="ER312" i="16"/>
  <c r="EM312" i="16"/>
  <c r="EC312" i="16"/>
  <c r="EW311" i="16"/>
  <c r="ER311" i="16"/>
  <c r="EM311" i="16"/>
  <c r="EC311" i="16"/>
  <c r="EW310" i="16"/>
  <c r="ER310" i="16"/>
  <c r="EM310" i="16"/>
  <c r="EC310" i="16"/>
  <c r="EW309" i="16"/>
  <c r="ER309" i="16"/>
  <c r="EM309" i="16"/>
  <c r="EC309" i="16"/>
  <c r="EW308" i="16"/>
  <c r="ER308" i="16"/>
  <c r="EM308" i="16"/>
  <c r="EC308" i="16"/>
  <c r="EW307" i="16"/>
  <c r="ER307" i="16"/>
  <c r="EM307" i="16"/>
  <c r="EC307" i="16"/>
  <c r="EW306" i="16"/>
  <c r="ER306" i="16"/>
  <c r="EM306" i="16"/>
  <c r="EC306" i="16"/>
  <c r="EW305" i="16"/>
  <c r="ER305" i="16"/>
  <c r="EM305" i="16"/>
  <c r="EC305" i="16"/>
  <c r="EW304" i="16"/>
  <c r="ER304" i="16"/>
  <c r="EM304" i="16"/>
  <c r="EC304" i="16"/>
  <c r="EW303" i="16"/>
  <c r="ER303" i="16"/>
  <c r="EM303" i="16"/>
  <c r="EC303" i="16"/>
  <c r="EW302" i="16"/>
  <c r="ER302" i="16"/>
  <c r="EM302" i="16"/>
  <c r="EC302" i="16"/>
  <c r="EW301" i="16"/>
  <c r="ER301" i="16"/>
  <c r="EM301" i="16"/>
  <c r="EC301" i="16"/>
  <c r="EW300" i="16"/>
  <c r="ER300" i="16"/>
  <c r="EM300" i="16"/>
  <c r="EC300" i="16"/>
  <c r="EW299" i="16"/>
  <c r="ER299" i="16"/>
  <c r="EM299" i="16"/>
  <c r="EC299" i="16"/>
  <c r="EW298" i="16"/>
  <c r="ER298" i="16"/>
  <c r="EM298" i="16"/>
  <c r="EC298" i="16"/>
  <c r="EW297" i="16"/>
  <c r="ER297" i="16"/>
  <c r="EM297" i="16"/>
  <c r="EC297" i="16"/>
  <c r="EW296" i="16"/>
  <c r="ER296" i="16"/>
  <c r="EM296" i="16"/>
  <c r="EC296" i="16"/>
  <c r="EW295" i="16"/>
  <c r="ER295" i="16"/>
  <c r="EM295" i="16"/>
  <c r="EC295" i="16"/>
  <c r="EW294" i="16"/>
  <c r="ER294" i="16"/>
  <c r="EM294" i="16"/>
  <c r="EC294" i="16"/>
  <c r="EW293" i="16"/>
  <c r="ER293" i="16"/>
  <c r="EM293" i="16"/>
  <c r="EC293" i="16"/>
  <c r="EW292" i="16"/>
  <c r="ER292" i="16"/>
  <c r="EM292" i="16"/>
  <c r="EC292" i="16"/>
  <c r="EW291" i="16"/>
  <c r="ER291" i="16"/>
  <c r="EM291" i="16"/>
  <c r="EC291" i="16"/>
  <c r="EW290" i="16"/>
  <c r="ER290" i="16"/>
  <c r="EM290" i="16"/>
  <c r="EC290" i="16"/>
  <c r="EW289" i="16"/>
  <c r="ER289" i="16"/>
  <c r="EM289" i="16"/>
  <c r="EC289" i="16"/>
  <c r="EW288" i="16"/>
  <c r="ER288" i="16"/>
  <c r="EM288" i="16"/>
  <c r="EC288" i="16"/>
  <c r="EW287" i="16"/>
  <c r="ER287" i="16"/>
  <c r="EM287" i="16"/>
  <c r="EC287" i="16"/>
  <c r="EW286" i="16"/>
  <c r="ER286" i="16"/>
  <c r="EM286" i="16"/>
  <c r="EC286" i="16"/>
  <c r="EW285" i="16"/>
  <c r="ER285" i="16"/>
  <c r="EM285" i="16"/>
  <c r="EC285" i="16"/>
  <c r="EW284" i="16"/>
  <c r="ER284" i="16"/>
  <c r="EM284" i="16"/>
  <c r="EC284" i="16"/>
  <c r="EW283" i="16"/>
  <c r="ER283" i="16"/>
  <c r="EM283" i="16"/>
  <c r="EC283" i="16"/>
  <c r="EW280" i="16"/>
  <c r="ER280" i="16"/>
  <c r="EM280" i="16"/>
  <c r="EC280" i="16"/>
  <c r="EW279" i="16"/>
  <c r="ER279" i="16"/>
  <c r="EM279" i="16"/>
  <c r="EC279" i="16"/>
  <c r="EW278" i="16"/>
  <c r="ER278" i="16"/>
  <c r="EM278" i="16"/>
  <c r="EC278" i="16"/>
  <c r="EW277" i="16"/>
  <c r="ER277" i="16"/>
  <c r="EM277" i="16"/>
  <c r="EC277" i="16"/>
  <c r="EW276" i="16"/>
  <c r="ER276" i="16"/>
  <c r="EM276" i="16"/>
  <c r="EC276" i="16"/>
  <c r="EW275" i="16"/>
  <c r="ER275" i="16"/>
  <c r="EM275" i="16"/>
  <c r="EC275" i="16"/>
  <c r="EW274" i="16"/>
  <c r="ER274" i="16"/>
  <c r="EM274" i="16"/>
  <c r="EC274" i="16"/>
  <c r="EW273" i="16"/>
  <c r="ER273" i="16"/>
  <c r="EM273" i="16"/>
  <c r="EC273" i="16"/>
  <c r="EW272" i="16"/>
  <c r="ER272" i="16"/>
  <c r="EM272" i="16"/>
  <c r="EC272" i="16"/>
  <c r="EW271" i="16"/>
  <c r="ER271" i="16"/>
  <c r="EM271" i="16"/>
  <c r="EC271" i="16"/>
  <c r="EW270" i="16"/>
  <c r="ER270" i="16"/>
  <c r="EM270" i="16"/>
  <c r="EC270" i="16"/>
  <c r="ER262" i="16"/>
  <c r="EM262" i="16"/>
  <c r="EW260" i="16"/>
  <c r="ER260" i="16"/>
  <c r="EM260" i="16"/>
  <c r="EC260" i="16"/>
  <c r="ER255" i="16"/>
  <c r="EM255" i="16"/>
  <c r="EC255" i="16"/>
  <c r="EW207" i="16"/>
  <c r="EW206" i="16"/>
  <c r="ER206" i="16"/>
  <c r="EW205" i="16"/>
  <c r="ER205" i="16"/>
  <c r="EM205" i="16"/>
  <c r="EW204" i="16"/>
  <c r="ER204" i="16"/>
  <c r="EM204" i="16"/>
  <c r="EW203" i="16"/>
  <c r="ER203" i="16"/>
  <c r="EM203" i="16"/>
  <c r="EW202" i="16"/>
  <c r="ER202" i="16"/>
  <c r="EW201" i="16"/>
  <c r="ER201" i="16"/>
  <c r="EM201" i="16"/>
  <c r="EW200" i="16"/>
  <c r="ER200" i="16"/>
  <c r="EM200" i="16"/>
  <c r="EW199" i="16"/>
  <c r="ER199" i="16"/>
  <c r="EM199" i="16"/>
  <c r="EW198" i="16"/>
  <c r="ER198" i="16"/>
  <c r="EM198" i="16"/>
  <c r="EW197" i="16"/>
  <c r="ER197" i="16"/>
  <c r="EM197" i="16"/>
  <c r="EW196" i="16"/>
  <c r="ER196" i="16"/>
  <c r="EM196" i="16"/>
  <c r="EW195" i="16"/>
  <c r="ER195" i="16"/>
  <c r="EM195" i="16"/>
  <c r="EW194" i="16"/>
  <c r="ER194" i="16"/>
  <c r="EM194" i="16"/>
  <c r="EC194" i="16"/>
  <c r="EW193" i="16"/>
  <c r="ER193" i="16"/>
  <c r="EM193" i="16"/>
  <c r="EC193" i="16"/>
  <c r="EW192" i="16"/>
  <c r="ER192" i="16"/>
  <c r="EM192" i="16"/>
  <c r="EC192" i="16"/>
  <c r="EW191" i="16"/>
  <c r="ER191" i="16"/>
  <c r="EM191" i="16"/>
  <c r="EC191" i="16"/>
  <c r="EW190" i="16"/>
  <c r="ER190" i="16"/>
  <c r="EM190" i="16"/>
  <c r="EC190" i="16"/>
  <c r="EW189" i="16"/>
  <c r="ER189" i="16"/>
  <c r="EM189" i="16"/>
  <c r="EC189" i="16"/>
  <c r="EW188" i="16"/>
  <c r="ER188" i="16"/>
  <c r="EM188" i="16"/>
  <c r="EC188" i="16"/>
  <c r="EW187" i="16"/>
  <c r="ER187" i="16"/>
  <c r="EM187" i="16"/>
  <c r="EC187" i="16"/>
  <c r="EW186" i="16"/>
  <c r="ER186" i="16"/>
  <c r="EM186" i="16"/>
  <c r="EC186" i="16"/>
  <c r="EW185" i="16"/>
  <c r="ER185" i="16"/>
  <c r="EM185" i="16"/>
  <c r="EC185" i="16"/>
  <c r="EW184" i="16"/>
  <c r="ER184" i="16"/>
  <c r="EM184" i="16"/>
  <c r="EC184" i="16"/>
  <c r="EW183" i="16"/>
  <c r="ER183" i="16"/>
  <c r="EM183" i="16"/>
  <c r="EC183" i="16"/>
  <c r="EW182" i="16"/>
  <c r="ER182" i="16"/>
  <c r="EM182" i="16"/>
  <c r="EC182" i="16"/>
  <c r="EW181" i="16"/>
  <c r="ER181" i="16"/>
  <c r="EM181" i="16"/>
  <c r="EC181" i="16"/>
  <c r="EW180" i="16"/>
  <c r="ER180" i="16"/>
  <c r="EM180" i="16"/>
  <c r="EC180" i="16"/>
  <c r="EW179" i="16"/>
  <c r="ER179" i="16"/>
  <c r="EM179" i="16"/>
  <c r="EC179" i="16"/>
  <c r="EW174" i="16"/>
  <c r="ER174" i="16"/>
  <c r="EM174" i="16"/>
  <c r="EC174" i="16"/>
  <c r="EW173" i="16"/>
  <c r="ER173" i="16"/>
  <c r="EM173" i="16"/>
  <c r="EC173" i="16"/>
  <c r="EW172" i="16"/>
  <c r="ER172" i="16"/>
  <c r="EM172" i="16"/>
  <c r="EC172" i="16"/>
  <c r="EW171" i="16"/>
  <c r="ER171" i="16"/>
  <c r="EM171" i="16"/>
  <c r="EC171" i="16"/>
  <c r="EW170" i="16"/>
  <c r="ER170" i="16"/>
  <c r="EM170" i="16"/>
  <c r="EC170" i="16"/>
  <c r="EW169" i="16"/>
  <c r="ER169" i="16"/>
  <c r="EM169" i="16"/>
  <c r="EC169" i="16"/>
  <c r="EW168" i="16"/>
  <c r="ER168" i="16"/>
  <c r="EM168" i="16"/>
  <c r="EC168" i="16"/>
  <c r="EW167" i="16"/>
  <c r="ER167" i="16"/>
  <c r="EM167" i="16"/>
  <c r="EC167" i="16"/>
  <c r="EW166" i="16"/>
  <c r="ER166" i="16"/>
  <c r="EM166" i="16"/>
  <c r="EC166" i="16"/>
  <c r="EW165" i="16"/>
  <c r="ER165" i="16"/>
  <c r="EM165" i="16"/>
  <c r="EC165" i="16"/>
  <c r="EW164" i="16"/>
  <c r="ER164" i="16"/>
  <c r="EM164" i="16"/>
  <c r="EC164" i="16"/>
  <c r="EW163" i="16"/>
  <c r="ER163" i="16"/>
  <c r="EM163" i="16"/>
  <c r="EC163" i="16"/>
  <c r="EW162" i="16"/>
  <c r="ER162" i="16"/>
  <c r="EM162" i="16"/>
  <c r="EC162" i="16"/>
  <c r="EW161" i="16"/>
  <c r="ER161" i="16"/>
  <c r="EM161" i="16"/>
  <c r="EC161" i="16"/>
  <c r="ER160" i="16"/>
  <c r="ER157" i="16"/>
  <c r="FU157" i="16" s="1"/>
  <c r="ER156" i="16"/>
  <c r="EW153" i="16"/>
  <c r="EM153" i="16"/>
  <c r="EW152" i="16"/>
  <c r="EM152" i="16"/>
  <c r="ER151" i="16"/>
  <c r="EW150" i="16"/>
  <c r="EM150" i="16"/>
  <c r="EC150" i="16"/>
  <c r="EW145" i="16"/>
  <c r="EM145" i="16"/>
  <c r="EC145" i="16"/>
  <c r="EW144" i="16"/>
  <c r="ER144" i="16"/>
  <c r="EM144" i="16"/>
  <c r="EC144" i="16"/>
  <c r="EW143" i="16"/>
  <c r="ER143" i="16"/>
  <c r="EM143" i="16"/>
  <c r="EC143" i="16"/>
  <c r="EW142" i="16"/>
  <c r="ER142" i="16"/>
  <c r="EM142" i="16"/>
  <c r="EC142" i="16"/>
  <c r="EW141" i="16"/>
  <c r="ER141" i="16"/>
  <c r="EM141" i="16"/>
  <c r="EC141" i="16"/>
  <c r="EW140" i="16"/>
  <c r="ER140" i="16"/>
  <c r="EM140" i="16"/>
  <c r="EC140" i="16"/>
  <c r="ER138" i="16"/>
  <c r="EM138" i="16"/>
  <c r="EC138" i="16"/>
  <c r="EW137" i="16"/>
  <c r="ER137" i="16"/>
  <c r="EM137" i="16"/>
  <c r="EC137" i="16"/>
  <c r="EW136" i="16"/>
  <c r="ER136" i="16"/>
  <c r="EM136" i="16"/>
  <c r="EC136" i="16"/>
  <c r="EW135" i="16"/>
  <c r="ER135" i="16"/>
  <c r="EM135" i="16"/>
  <c r="EC135" i="16"/>
  <c r="EW134" i="16"/>
  <c r="ER134" i="16"/>
  <c r="EM134" i="16"/>
  <c r="EC134" i="16"/>
  <c r="EW133" i="16"/>
  <c r="ER133" i="16"/>
  <c r="EM133" i="16"/>
  <c r="EC133" i="16"/>
  <c r="FG132" i="16"/>
  <c r="EW132" i="16"/>
  <c r="ER132" i="16"/>
  <c r="EM132" i="16"/>
  <c r="EC132" i="16"/>
  <c r="FM131" i="16"/>
  <c r="FG131" i="16"/>
  <c r="EW131" i="16"/>
  <c r="ER131" i="16"/>
  <c r="EM131" i="16"/>
  <c r="EC131" i="16"/>
  <c r="FM124" i="16"/>
  <c r="EW124" i="16"/>
  <c r="ER124" i="16"/>
  <c r="EM124" i="16"/>
  <c r="EC124" i="16"/>
  <c r="FM123" i="16"/>
  <c r="EW123" i="16"/>
  <c r="ER123" i="16"/>
  <c r="EM123" i="16"/>
  <c r="EC123" i="16"/>
  <c r="FM122" i="16"/>
  <c r="EW122" i="16"/>
  <c r="ER122" i="16"/>
  <c r="EM122" i="16"/>
  <c r="EC122" i="16"/>
  <c r="FM121" i="16"/>
  <c r="FB121" i="16"/>
  <c r="EW121" i="16"/>
  <c r="ER121" i="16"/>
  <c r="EM121" i="16"/>
  <c r="EC121" i="16"/>
  <c r="FM120" i="16"/>
  <c r="FB120" i="16"/>
  <c r="EW120" i="16"/>
  <c r="ER120" i="16"/>
  <c r="EM120" i="16"/>
  <c r="EC120" i="16"/>
  <c r="FM119" i="16"/>
  <c r="FB119" i="16"/>
  <c r="EW119" i="16"/>
  <c r="ER119" i="16"/>
  <c r="EM119" i="16"/>
  <c r="EC119" i="16"/>
  <c r="FM118" i="16"/>
  <c r="FB118" i="16"/>
  <c r="EW118" i="16"/>
  <c r="ER118" i="16"/>
  <c r="EM118" i="16"/>
  <c r="EC118" i="16"/>
  <c r="FM117" i="16"/>
  <c r="FB117" i="16"/>
  <c r="EW117" i="16"/>
  <c r="ER117" i="16"/>
  <c r="EM117" i="16"/>
  <c r="EC117" i="16"/>
  <c r="FM116" i="16"/>
  <c r="FB116" i="16"/>
  <c r="EW116" i="16"/>
  <c r="ER116" i="16"/>
  <c r="EM116" i="16"/>
  <c r="EC116" i="16"/>
  <c r="FM115" i="16"/>
  <c r="FB115" i="16"/>
  <c r="EW115" i="16"/>
  <c r="ER115" i="16"/>
  <c r="EM115" i="16"/>
  <c r="EC115" i="16"/>
  <c r="FM114" i="16"/>
  <c r="FB114" i="16"/>
  <c r="EW114" i="16"/>
  <c r="ER114" i="16"/>
  <c r="EM114" i="16"/>
  <c r="EC114" i="16"/>
  <c r="FM113" i="16"/>
  <c r="FB113" i="16"/>
  <c r="EW113" i="16"/>
  <c r="ER113" i="16"/>
  <c r="EM113" i="16"/>
  <c r="EC113" i="16"/>
  <c r="FM112" i="16"/>
  <c r="FB112" i="16"/>
  <c r="EW112" i="16"/>
  <c r="ER112" i="16"/>
  <c r="EM112" i="16"/>
  <c r="EC112" i="16"/>
  <c r="FM111" i="16"/>
  <c r="FB111" i="16"/>
  <c r="EW111" i="16"/>
  <c r="ER111" i="16"/>
  <c r="EM111" i="16"/>
  <c r="EC111" i="16"/>
  <c r="FM110" i="16"/>
  <c r="FB110" i="16"/>
  <c r="EW110" i="16"/>
  <c r="ER110" i="16"/>
  <c r="EM110" i="16"/>
  <c r="EC110" i="16"/>
  <c r="FM109" i="16"/>
  <c r="FB109" i="16"/>
  <c r="EW109" i="16"/>
  <c r="ER109" i="16"/>
  <c r="EM109" i="16"/>
  <c r="EC109" i="16"/>
  <c r="FM108" i="16"/>
  <c r="FB108" i="16"/>
  <c r="EW108" i="16"/>
  <c r="ER108" i="16"/>
  <c r="EM108" i="16"/>
  <c r="EC108" i="16"/>
  <c r="FM107" i="16"/>
  <c r="FB107" i="16"/>
  <c r="EW107" i="16"/>
  <c r="ER107" i="16"/>
  <c r="EM107" i="16"/>
  <c r="EC107" i="16"/>
  <c r="FM106" i="16"/>
  <c r="FB106" i="16"/>
  <c r="EW106" i="16"/>
  <c r="ER106" i="16"/>
  <c r="EM106" i="16"/>
  <c r="EC106" i="16"/>
  <c r="FM105" i="16"/>
  <c r="FB105" i="16"/>
  <c r="EW105" i="16"/>
  <c r="ER105" i="16"/>
  <c r="EM105" i="16"/>
  <c r="EC105" i="16"/>
  <c r="FM104" i="16"/>
  <c r="FB104" i="16"/>
  <c r="EW104" i="16"/>
  <c r="ER104" i="16"/>
  <c r="EM104" i="16"/>
  <c r="EC104" i="16"/>
  <c r="FM103" i="16"/>
  <c r="FB103" i="16"/>
  <c r="EW103" i="16"/>
  <c r="ER103" i="16"/>
  <c r="EM103" i="16"/>
  <c r="EC103" i="16"/>
  <c r="FM102" i="16"/>
  <c r="FB102" i="16"/>
  <c r="EW102" i="16"/>
  <c r="ER102" i="16"/>
  <c r="EM102" i="16"/>
  <c r="EC102" i="16"/>
  <c r="FM101" i="16"/>
  <c r="FB101" i="16"/>
  <c r="EW101" i="16"/>
  <c r="ER101" i="16"/>
  <c r="EM101" i="16"/>
  <c r="EC101" i="16"/>
  <c r="FM100" i="16"/>
  <c r="FB100" i="16"/>
  <c r="EW100" i="16"/>
  <c r="ER100" i="16"/>
  <c r="EM100" i="16"/>
  <c r="EC100" i="16"/>
  <c r="FM99" i="16"/>
  <c r="FB99" i="16"/>
  <c r="EW99" i="16"/>
  <c r="ER99" i="16"/>
  <c r="EM99" i="16"/>
  <c r="EC99" i="16"/>
  <c r="FM98" i="16"/>
  <c r="FB98" i="16"/>
  <c r="EW98" i="16"/>
  <c r="ER98" i="16"/>
  <c r="EM98" i="16"/>
  <c r="EC98" i="16"/>
  <c r="FM97" i="16"/>
  <c r="FB97" i="16"/>
  <c r="EW97" i="16"/>
  <c r="ER97" i="16"/>
  <c r="EM97" i="16"/>
  <c r="EC97" i="16"/>
  <c r="FM96" i="16"/>
  <c r="FB96" i="16"/>
  <c r="EW96" i="16"/>
  <c r="ER96" i="16"/>
  <c r="EM96" i="16"/>
  <c r="EC96" i="16"/>
  <c r="FM95" i="16"/>
  <c r="FG95" i="16"/>
  <c r="FB95" i="16"/>
  <c r="EW95" i="16"/>
  <c r="ER95" i="16"/>
  <c r="EM95" i="16"/>
  <c r="EC95" i="16"/>
  <c r="FM94" i="16"/>
  <c r="FG94" i="16"/>
  <c r="FB94" i="16"/>
  <c r="EW94" i="16"/>
  <c r="ER94" i="16"/>
  <c r="EM94" i="16"/>
  <c r="EC94" i="16"/>
  <c r="FM93" i="16"/>
  <c r="FG93" i="16"/>
  <c r="FB93" i="16"/>
  <c r="EW93" i="16"/>
  <c r="ER93" i="16"/>
  <c r="EM93" i="16"/>
  <c r="EC93" i="16"/>
  <c r="FM92" i="16"/>
  <c r="FG92" i="16"/>
  <c r="FB92" i="16"/>
  <c r="EW92" i="16"/>
  <c r="ER92" i="16"/>
  <c r="EM92" i="16"/>
  <c r="EC92" i="16"/>
  <c r="FM91" i="16"/>
  <c r="FG91" i="16"/>
  <c r="FB91" i="16"/>
  <c r="EW91" i="16"/>
  <c r="ER91" i="16"/>
  <c r="EM91" i="16"/>
  <c r="EC91" i="16"/>
  <c r="FM90" i="16"/>
  <c r="FG90" i="16"/>
  <c r="FB90" i="16"/>
  <c r="EW90" i="16"/>
  <c r="ER90" i="16"/>
  <c r="EM90" i="16"/>
  <c r="EC90" i="16"/>
  <c r="FM89" i="16"/>
  <c r="FG89" i="16"/>
  <c r="FB89" i="16"/>
  <c r="EW89" i="16"/>
  <c r="ER89" i="16"/>
  <c r="EM89" i="16"/>
  <c r="EC89" i="16"/>
  <c r="FM88" i="16"/>
  <c r="FG88" i="16"/>
  <c r="FB88" i="16"/>
  <c r="EW88" i="16"/>
  <c r="ER88" i="16"/>
  <c r="EM88" i="16"/>
  <c r="EC88" i="16"/>
  <c r="FM87" i="16"/>
  <c r="FG87" i="16"/>
  <c r="FB87" i="16"/>
  <c r="EW87" i="16"/>
  <c r="ER87" i="16"/>
  <c r="EM87" i="16"/>
  <c r="EC87" i="16"/>
  <c r="FM86" i="16"/>
  <c r="FG86" i="16"/>
  <c r="FB86" i="16"/>
  <c r="EW86" i="16"/>
  <c r="ER86" i="16"/>
  <c r="EM86" i="16"/>
  <c r="EC86" i="16"/>
  <c r="FM85" i="16"/>
  <c r="FG85" i="16"/>
  <c r="FB85" i="16"/>
  <c r="EW85" i="16"/>
  <c r="ER85" i="16"/>
  <c r="EM85" i="16"/>
  <c r="EC85" i="16"/>
  <c r="FM84" i="16"/>
  <c r="FG84" i="16"/>
  <c r="FB84" i="16"/>
  <c r="EW84" i="16"/>
  <c r="ER84" i="16"/>
  <c r="EM84" i="16"/>
  <c r="EC84" i="16"/>
  <c r="FM83" i="16"/>
  <c r="FG83" i="16"/>
  <c r="FB83" i="16"/>
  <c r="EW83" i="16"/>
  <c r="ER83" i="16"/>
  <c r="EM83" i="16"/>
  <c r="EC83" i="16"/>
  <c r="FM82" i="16"/>
  <c r="FG82" i="16"/>
  <c r="FB82" i="16"/>
  <c r="EW82" i="16"/>
  <c r="ER82" i="16"/>
  <c r="EM82" i="16"/>
  <c r="EC82" i="16"/>
  <c r="FM81" i="16"/>
  <c r="FG81" i="16"/>
  <c r="FB81" i="16"/>
  <c r="EW81" i="16"/>
  <c r="ER81" i="16"/>
  <c r="EM81" i="16"/>
  <c r="EC81" i="16"/>
  <c r="FM80" i="16"/>
  <c r="FG80" i="16"/>
  <c r="FB80" i="16"/>
  <c r="EW80" i="16"/>
  <c r="ER80" i="16"/>
  <c r="EM80" i="16"/>
  <c r="EC80" i="16"/>
  <c r="FM79" i="16"/>
  <c r="FG79" i="16"/>
  <c r="FB79" i="16"/>
  <c r="EW79" i="16"/>
  <c r="ER79" i="16"/>
  <c r="EM79" i="16"/>
  <c r="EC79" i="16"/>
  <c r="FM78" i="16"/>
  <c r="FG78" i="16"/>
  <c r="FB78" i="16"/>
  <c r="EW78" i="16"/>
  <c r="ER78" i="16"/>
  <c r="EM78" i="16"/>
  <c r="EC78" i="16"/>
  <c r="FM77" i="16"/>
  <c r="FG77" i="16"/>
  <c r="FB77" i="16"/>
  <c r="EW77" i="16"/>
  <c r="ER77" i="16"/>
  <c r="EM77" i="16"/>
  <c r="EC77" i="16"/>
  <c r="FM76" i="16"/>
  <c r="FG76" i="16"/>
  <c r="FB76" i="16"/>
  <c r="EW76" i="16"/>
  <c r="ER76" i="16"/>
  <c r="EM76" i="16"/>
  <c r="EC76" i="16"/>
  <c r="FM74" i="16"/>
  <c r="FG74" i="16"/>
  <c r="FB74" i="16"/>
  <c r="EW74" i="16"/>
  <c r="ER74" i="16"/>
  <c r="EM74" i="16"/>
  <c r="EC74" i="16"/>
  <c r="FM73" i="16"/>
  <c r="FG73" i="16"/>
  <c r="FB73" i="16"/>
  <c r="EW73" i="16"/>
  <c r="ER73" i="16"/>
  <c r="EM73" i="16"/>
  <c r="EC73" i="16"/>
  <c r="FM72" i="16"/>
  <c r="FG72" i="16"/>
  <c r="FB72" i="16"/>
  <c r="EW72" i="16"/>
  <c r="ER72" i="16"/>
  <c r="EM72" i="16"/>
  <c r="EC72" i="16"/>
  <c r="DX557" i="16"/>
  <c r="DS557" i="16"/>
  <c r="DX556" i="16"/>
  <c r="DS556" i="16"/>
  <c r="DX555" i="16"/>
  <c r="DS555" i="16"/>
  <c r="DX554" i="16"/>
  <c r="DS554" i="16"/>
  <c r="DX552" i="16"/>
  <c r="DS552" i="16"/>
  <c r="DX551" i="16"/>
  <c r="DS551" i="16"/>
  <c r="DX518" i="16"/>
  <c r="DS518" i="16"/>
  <c r="DX517" i="16"/>
  <c r="DS517" i="16"/>
  <c r="DX516" i="16"/>
  <c r="DS516" i="16"/>
  <c r="DX515" i="16"/>
  <c r="DS515" i="16"/>
  <c r="DX514" i="16"/>
  <c r="DS514" i="16"/>
  <c r="DX513" i="16"/>
  <c r="DS513" i="16"/>
  <c r="DX512" i="16"/>
  <c r="DS512" i="16"/>
  <c r="DX511" i="16"/>
  <c r="DS511" i="16"/>
  <c r="DX510" i="16"/>
  <c r="DS510" i="16"/>
  <c r="DX509" i="16"/>
  <c r="DS509" i="16"/>
  <c r="DX508" i="16"/>
  <c r="DS508" i="16"/>
  <c r="DX507" i="16"/>
  <c r="DS507" i="16"/>
  <c r="DX506" i="16"/>
  <c r="DS506" i="16"/>
  <c r="DX505" i="16"/>
  <c r="DS505" i="16"/>
  <c r="DX504" i="16"/>
  <c r="DS504" i="16"/>
  <c r="DX503" i="16"/>
  <c r="DS503" i="16"/>
  <c r="DX502" i="16"/>
  <c r="DS502" i="16"/>
  <c r="DX501" i="16"/>
  <c r="DS501" i="16"/>
  <c r="DX500" i="16"/>
  <c r="DS500" i="16"/>
  <c r="DX499" i="16"/>
  <c r="DS499" i="16"/>
  <c r="DX498" i="16"/>
  <c r="DS498" i="16"/>
  <c r="DX497" i="16"/>
  <c r="DS497" i="16"/>
  <c r="DX496" i="16"/>
  <c r="DS496" i="16"/>
  <c r="DX495" i="16"/>
  <c r="DS495" i="16"/>
  <c r="DX494" i="16"/>
  <c r="DS494" i="16"/>
  <c r="DX493" i="16"/>
  <c r="DS493" i="16"/>
  <c r="DX492" i="16"/>
  <c r="DS492" i="16"/>
  <c r="DX491" i="16"/>
  <c r="DS491" i="16"/>
  <c r="DX490" i="16"/>
  <c r="DS490" i="16"/>
  <c r="DX489" i="16"/>
  <c r="DS489" i="16"/>
  <c r="DX478" i="16"/>
  <c r="DS478" i="16"/>
  <c r="DX477" i="16"/>
  <c r="DS477" i="16"/>
  <c r="DX476" i="16"/>
  <c r="DS476" i="16"/>
  <c r="DX473" i="16"/>
  <c r="DS473" i="16"/>
  <c r="DX472" i="16"/>
  <c r="DS472" i="16"/>
  <c r="DX471" i="16"/>
  <c r="DS471" i="16"/>
  <c r="DX470" i="16"/>
  <c r="DS470" i="16"/>
  <c r="DX469" i="16"/>
  <c r="DS469" i="16"/>
  <c r="DX468" i="16"/>
  <c r="DS468" i="16"/>
  <c r="DX467" i="16"/>
  <c r="DS467" i="16"/>
  <c r="DX466" i="16"/>
  <c r="DS466" i="16"/>
  <c r="DX465" i="16"/>
  <c r="DS465" i="16"/>
  <c r="DX464" i="16"/>
  <c r="DS464" i="16"/>
  <c r="DX463" i="16"/>
  <c r="DS463" i="16"/>
  <c r="DX462" i="16"/>
  <c r="DS462" i="16"/>
  <c r="DX461" i="16"/>
  <c r="DS461" i="16"/>
  <c r="DX460" i="16"/>
  <c r="DS460" i="16"/>
  <c r="DX459" i="16"/>
  <c r="DS459" i="16"/>
  <c r="DX458" i="16"/>
  <c r="DS458" i="16"/>
  <c r="DX457" i="16"/>
  <c r="DS457" i="16"/>
  <c r="DX456" i="16"/>
  <c r="DS456" i="16"/>
  <c r="DX455" i="16"/>
  <c r="DS455" i="16"/>
  <c r="DX454" i="16"/>
  <c r="DS454" i="16"/>
  <c r="DX453" i="16"/>
  <c r="DS453" i="16"/>
  <c r="DX452" i="16"/>
  <c r="DS452" i="16"/>
  <c r="DX451" i="16"/>
  <c r="DS451" i="16"/>
  <c r="DX450" i="16"/>
  <c r="DS450" i="16"/>
  <c r="DX449" i="16"/>
  <c r="DS449" i="16"/>
  <c r="DX448" i="16"/>
  <c r="DS448" i="16"/>
  <c r="DX447" i="16"/>
  <c r="DS447" i="16"/>
  <c r="DX446" i="16"/>
  <c r="DS446" i="16"/>
  <c r="DX445" i="16"/>
  <c r="DS445" i="16"/>
  <c r="DX444" i="16"/>
  <c r="DS444" i="16"/>
  <c r="DX443" i="16"/>
  <c r="DS443" i="16"/>
  <c r="DX442" i="16"/>
  <c r="DS442" i="16"/>
  <c r="DX441" i="16"/>
  <c r="DS441" i="16"/>
  <c r="DX440" i="16"/>
  <c r="DS440" i="16"/>
  <c r="DX439" i="16"/>
  <c r="DS439" i="16"/>
  <c r="DX438" i="16"/>
  <c r="DS438" i="16"/>
  <c r="DX437" i="16"/>
  <c r="DS437" i="16"/>
  <c r="DX436" i="16"/>
  <c r="DS436" i="16"/>
  <c r="DX435" i="16"/>
  <c r="DS435" i="16"/>
  <c r="DX434" i="16"/>
  <c r="DS434" i="16"/>
  <c r="DX433" i="16"/>
  <c r="DS433" i="16"/>
  <c r="DX432" i="16"/>
  <c r="DX431" i="16"/>
  <c r="DX428" i="16"/>
  <c r="DS428" i="16"/>
  <c r="DX427" i="16"/>
  <c r="DS427" i="16"/>
  <c r="DX426" i="16"/>
  <c r="DS426" i="16"/>
  <c r="DX425" i="16"/>
  <c r="DS425" i="16"/>
  <c r="DX424" i="16"/>
  <c r="DS424" i="16"/>
  <c r="DX423" i="16"/>
  <c r="DS423" i="16"/>
  <c r="DX419" i="16"/>
  <c r="DS419" i="16"/>
  <c r="DX418" i="16"/>
  <c r="DS418" i="16"/>
  <c r="DX417" i="16"/>
  <c r="DS417" i="16"/>
  <c r="DX416" i="16"/>
  <c r="DS416" i="16"/>
  <c r="DX415" i="16"/>
  <c r="DS415" i="16"/>
  <c r="DX414" i="16"/>
  <c r="DS414" i="16"/>
  <c r="DX413" i="16"/>
  <c r="DS413" i="16"/>
  <c r="DX412" i="16"/>
  <c r="DS412" i="16"/>
  <c r="DX411" i="16"/>
  <c r="DS411" i="16"/>
  <c r="DX410" i="16"/>
  <c r="DS410" i="16"/>
  <c r="DX409" i="16"/>
  <c r="DS409" i="16"/>
  <c r="DX408" i="16"/>
  <c r="DS408" i="16"/>
  <c r="DX407" i="16"/>
  <c r="DS407" i="16"/>
  <c r="DX406" i="16"/>
  <c r="DS406" i="16"/>
  <c r="DX405" i="16"/>
  <c r="DS405" i="16"/>
  <c r="DX404" i="16"/>
  <c r="DS404" i="16"/>
  <c r="DX403" i="16"/>
  <c r="DS403" i="16"/>
  <c r="DX402" i="16"/>
  <c r="DS402" i="16"/>
  <c r="DX401" i="16"/>
  <c r="DS401" i="16"/>
  <c r="DX400" i="16"/>
  <c r="DS400" i="16"/>
  <c r="DX399" i="16"/>
  <c r="DS399" i="16"/>
  <c r="DX398" i="16"/>
  <c r="DS398" i="16"/>
  <c r="DX397" i="16"/>
  <c r="DS397" i="16"/>
  <c r="DX396" i="16"/>
  <c r="DS396" i="16"/>
  <c r="DX395" i="16"/>
  <c r="DS395" i="16"/>
  <c r="DX394" i="16"/>
  <c r="DS394" i="16"/>
  <c r="DX393" i="16"/>
  <c r="DS393" i="16"/>
  <c r="DX392" i="16"/>
  <c r="DS392" i="16"/>
  <c r="DX391" i="16"/>
  <c r="DS391" i="16"/>
  <c r="DX390" i="16"/>
  <c r="DS390" i="16"/>
  <c r="DX389" i="16"/>
  <c r="DS389" i="16"/>
  <c r="DX388" i="16"/>
  <c r="DS388" i="16"/>
  <c r="DX387" i="16"/>
  <c r="DS387" i="16"/>
  <c r="DX386" i="16"/>
  <c r="DS386" i="16"/>
  <c r="DX385" i="16"/>
  <c r="DS385" i="16"/>
  <c r="DX384" i="16"/>
  <c r="DS384" i="16"/>
  <c r="DX383" i="16"/>
  <c r="DS383" i="16"/>
  <c r="DX382" i="16"/>
  <c r="DS382" i="16"/>
  <c r="DX381" i="16"/>
  <c r="DS381" i="16"/>
  <c r="DX380" i="16"/>
  <c r="DS380" i="16"/>
  <c r="DX379" i="16"/>
  <c r="DS379" i="16"/>
  <c r="DX378" i="16"/>
  <c r="DS378" i="16"/>
  <c r="DX377" i="16"/>
  <c r="DS377" i="16"/>
  <c r="DX375" i="16"/>
  <c r="DS375" i="16"/>
  <c r="DX374" i="16"/>
  <c r="DS374" i="16"/>
  <c r="DX373" i="16"/>
  <c r="DS373" i="16"/>
  <c r="DX372" i="16"/>
  <c r="DS372" i="16"/>
  <c r="DX371" i="16"/>
  <c r="DS371" i="16"/>
  <c r="DX370" i="16"/>
  <c r="DS370" i="16"/>
  <c r="DX369" i="16"/>
  <c r="DS369" i="16"/>
  <c r="DX366" i="16"/>
  <c r="DS366" i="16"/>
  <c r="DX365" i="16"/>
  <c r="DS365" i="16"/>
  <c r="DX364" i="16"/>
  <c r="DS364" i="16"/>
  <c r="DS361" i="16"/>
  <c r="DS360" i="16"/>
  <c r="DS358" i="16"/>
  <c r="DS356" i="16"/>
  <c r="DS355" i="16"/>
  <c r="DS354" i="16"/>
  <c r="DS353" i="16"/>
  <c r="DS352" i="16"/>
  <c r="DS350" i="16"/>
  <c r="DS349" i="16"/>
  <c r="DS348" i="16"/>
  <c r="DS347" i="16"/>
  <c r="DS344" i="16"/>
  <c r="DS343" i="16"/>
  <c r="DS342" i="16"/>
  <c r="DS341" i="16"/>
  <c r="DS323" i="16"/>
  <c r="DS322" i="16"/>
  <c r="DS321" i="16"/>
  <c r="DS320" i="16"/>
  <c r="DS319" i="16"/>
  <c r="DS318" i="16"/>
  <c r="DS317" i="16"/>
  <c r="DS316" i="16"/>
  <c r="DS315" i="16"/>
  <c r="DS314" i="16"/>
  <c r="DS313" i="16"/>
  <c r="DS312" i="16"/>
  <c r="DS311" i="16"/>
  <c r="DS310" i="16"/>
  <c r="DS309" i="16"/>
  <c r="DS308" i="16"/>
  <c r="DS307" i="16"/>
  <c r="DS306" i="16"/>
  <c r="DS305" i="16"/>
  <c r="DS304" i="16"/>
  <c r="DS303" i="16"/>
  <c r="DS302" i="16"/>
  <c r="DS301" i="16"/>
  <c r="DS300" i="16"/>
  <c r="DS299" i="16"/>
  <c r="DS298" i="16"/>
  <c r="DS297" i="16"/>
  <c r="DS296" i="16"/>
  <c r="DS295" i="16"/>
  <c r="DS294" i="16"/>
  <c r="DS293" i="16"/>
  <c r="DS292" i="16"/>
  <c r="DS291" i="16"/>
  <c r="DS290" i="16"/>
  <c r="DX289" i="16"/>
  <c r="DS289" i="16"/>
  <c r="DS288" i="16"/>
  <c r="DS287" i="16"/>
  <c r="DS286" i="16"/>
  <c r="DS285" i="16"/>
  <c r="DS284" i="16"/>
  <c r="DS283" i="16"/>
  <c r="DS280" i="16"/>
  <c r="DS279" i="16"/>
  <c r="DS278" i="16"/>
  <c r="DS277" i="16"/>
  <c r="DS276" i="16"/>
  <c r="DS275" i="16"/>
  <c r="DS274" i="16"/>
  <c r="DS273" i="16"/>
  <c r="DS272" i="16"/>
  <c r="DS271" i="16"/>
  <c r="DS270" i="16"/>
  <c r="DX269" i="16"/>
  <c r="DS269" i="16"/>
  <c r="DX268" i="16"/>
  <c r="DS268" i="16"/>
  <c r="DX267" i="16"/>
  <c r="DS267" i="16"/>
  <c r="DX262" i="16"/>
  <c r="DS262" i="16"/>
  <c r="DS260" i="16"/>
  <c r="DS255" i="16"/>
  <c r="DX207" i="16"/>
  <c r="DS207" i="16"/>
  <c r="DX206" i="16"/>
  <c r="DS206" i="16"/>
  <c r="DX205" i="16"/>
  <c r="DS205" i="16"/>
  <c r="DX204" i="16"/>
  <c r="DS204" i="16"/>
  <c r="DX203" i="16"/>
  <c r="DS203" i="16"/>
  <c r="DX202" i="16"/>
  <c r="DS202" i="16"/>
  <c r="DX201" i="16"/>
  <c r="DS201" i="16"/>
  <c r="DX200" i="16"/>
  <c r="DS200" i="16"/>
  <c r="DX199" i="16"/>
  <c r="DS199" i="16"/>
  <c r="DX198" i="16"/>
  <c r="DS198" i="16"/>
  <c r="DX197" i="16"/>
  <c r="DS197" i="16"/>
  <c r="DX196" i="16"/>
  <c r="DS196" i="16"/>
  <c r="DX195" i="16"/>
  <c r="DS195" i="16"/>
  <c r="DS194" i="16"/>
  <c r="DS193" i="16"/>
  <c r="DS192" i="16"/>
  <c r="DS191" i="16"/>
  <c r="DX190" i="16"/>
  <c r="DS190" i="16"/>
  <c r="DS189" i="16"/>
  <c r="DS188" i="16"/>
  <c r="DS187" i="16"/>
  <c r="DS186" i="16"/>
  <c r="DS185" i="16"/>
  <c r="DX184" i="16"/>
  <c r="DS184" i="16"/>
  <c r="DS183" i="16"/>
  <c r="DS182" i="16"/>
  <c r="DS181" i="16"/>
  <c r="DS180" i="16"/>
  <c r="DS179" i="16"/>
  <c r="DS174" i="16"/>
  <c r="DS173" i="16"/>
  <c r="DS172" i="16"/>
  <c r="DS171" i="16"/>
  <c r="DS170" i="16"/>
  <c r="DS169" i="16"/>
  <c r="DS168" i="16"/>
  <c r="DS167" i="16"/>
  <c r="DS166" i="16"/>
  <c r="DS165" i="16"/>
  <c r="DS164" i="16"/>
  <c r="DS163" i="16"/>
  <c r="DS162" i="16"/>
  <c r="DS161" i="16"/>
  <c r="DX153" i="16"/>
  <c r="DS153" i="16"/>
  <c r="DX152" i="16"/>
  <c r="DS152" i="16"/>
  <c r="FU152" i="16" s="1"/>
  <c r="DS150" i="16"/>
  <c r="DX145" i="16"/>
  <c r="DS145" i="16"/>
  <c r="DX144" i="16"/>
  <c r="DS144" i="16"/>
  <c r="DX143" i="16"/>
  <c r="DS143" i="16"/>
  <c r="DX142" i="16"/>
  <c r="DS142" i="16"/>
  <c r="DX141" i="16"/>
  <c r="DS141" i="16"/>
  <c r="DX140" i="16"/>
  <c r="DS140" i="16"/>
  <c r="DX138" i="16"/>
  <c r="DS138" i="16"/>
  <c r="DX137" i="16"/>
  <c r="DS137" i="16"/>
  <c r="DX136" i="16"/>
  <c r="DS136" i="16"/>
  <c r="DX135" i="16"/>
  <c r="DS135" i="16"/>
  <c r="DX134" i="16"/>
  <c r="DS134" i="16"/>
  <c r="DX133" i="16"/>
  <c r="DS133" i="16"/>
  <c r="DX132" i="16"/>
  <c r="DS132" i="16"/>
  <c r="DX131" i="16"/>
  <c r="DS131" i="16"/>
  <c r="DX124" i="16"/>
  <c r="DS124" i="16"/>
  <c r="DX123" i="16"/>
  <c r="DS123" i="16"/>
  <c r="DX122" i="16"/>
  <c r="DS122" i="16"/>
  <c r="DX121" i="16"/>
  <c r="DS121" i="16"/>
  <c r="DX120" i="16"/>
  <c r="DS120" i="16"/>
  <c r="DX119" i="16"/>
  <c r="DS119" i="16"/>
  <c r="DX118" i="16"/>
  <c r="DS118" i="16"/>
  <c r="DX117" i="16"/>
  <c r="DS117" i="16"/>
  <c r="DX116" i="16"/>
  <c r="DS116" i="16"/>
  <c r="DX115" i="16"/>
  <c r="DS115" i="16"/>
  <c r="DX114" i="16"/>
  <c r="DS114" i="16"/>
  <c r="DX113" i="16"/>
  <c r="DS113" i="16"/>
  <c r="DX112" i="16"/>
  <c r="DS112" i="16"/>
  <c r="DX111" i="16"/>
  <c r="DS111" i="16"/>
  <c r="DX110" i="16"/>
  <c r="DS110" i="16"/>
  <c r="DX109" i="16"/>
  <c r="DS109" i="16"/>
  <c r="DX108" i="16"/>
  <c r="DS108" i="16"/>
  <c r="DX107" i="16"/>
  <c r="DS107" i="16"/>
  <c r="DX106" i="16"/>
  <c r="DS106" i="16"/>
  <c r="DX105" i="16"/>
  <c r="DS105" i="16"/>
  <c r="DX104" i="16"/>
  <c r="DS104" i="16"/>
  <c r="DX103" i="16"/>
  <c r="DS103" i="16"/>
  <c r="DX102" i="16"/>
  <c r="DS102" i="16"/>
  <c r="DX101" i="16"/>
  <c r="DS101" i="16"/>
  <c r="DX100" i="16"/>
  <c r="DS100" i="16"/>
  <c r="DX99" i="16"/>
  <c r="DS99" i="16"/>
  <c r="DX98" i="16"/>
  <c r="DS98" i="16"/>
  <c r="DX97" i="16"/>
  <c r="DS97" i="16"/>
  <c r="DX96" i="16"/>
  <c r="DS96" i="16"/>
  <c r="DX95" i="16"/>
  <c r="DS95" i="16"/>
  <c r="DX94" i="16"/>
  <c r="DS94" i="16"/>
  <c r="DX93" i="16"/>
  <c r="DS93" i="16"/>
  <c r="DX92" i="16"/>
  <c r="DS92" i="16"/>
  <c r="DX91" i="16"/>
  <c r="DS91" i="16"/>
  <c r="DX90" i="16"/>
  <c r="DS90" i="16"/>
  <c r="DX89" i="16"/>
  <c r="DS89" i="16"/>
  <c r="DX88" i="16"/>
  <c r="DS88" i="16"/>
  <c r="DX87" i="16"/>
  <c r="DS87" i="16"/>
  <c r="DX86" i="16"/>
  <c r="DS86" i="16"/>
  <c r="DX85" i="16"/>
  <c r="DS85" i="16"/>
  <c r="DX84" i="16"/>
  <c r="DS84" i="16"/>
  <c r="DX83" i="16"/>
  <c r="DS83" i="16"/>
  <c r="DX82" i="16"/>
  <c r="DS82" i="16"/>
  <c r="DX81" i="16"/>
  <c r="DX80" i="16"/>
  <c r="DX79" i="16"/>
  <c r="DS79" i="16"/>
  <c r="DX78" i="16"/>
  <c r="DS78" i="16"/>
  <c r="DX77" i="16"/>
  <c r="DS77" i="16"/>
  <c r="DX76" i="16"/>
  <c r="DS76" i="16"/>
  <c r="DX74" i="16"/>
  <c r="DS74" i="16"/>
  <c r="DX73" i="16"/>
  <c r="DS73" i="16"/>
  <c r="DX72" i="16"/>
  <c r="DS72" i="16"/>
  <c r="BN264" i="17"/>
  <c r="CG261" i="16"/>
  <c r="BN265" i="17"/>
  <c r="BN266" i="17"/>
  <c r="CG263" i="16"/>
  <c r="CG255" i="16"/>
  <c r="CG262" i="16"/>
  <c r="CG267" i="16"/>
  <c r="CF184" i="16"/>
  <c r="CF266" i="16"/>
  <c r="CF267" i="16"/>
  <c r="DN267" i="16"/>
  <c r="DI267" i="16"/>
  <c r="CY267" i="16"/>
  <c r="CT267" i="16"/>
  <c r="DN266" i="16"/>
  <c r="DN264" i="16"/>
  <c r="DI266" i="16"/>
  <c r="DI264" i="16"/>
  <c r="F1409" i="15"/>
  <c r="F1410" i="15"/>
  <c r="F1411" i="15"/>
  <c r="F1412" i="15"/>
  <c r="F1413" i="15"/>
  <c r="F1414" i="15"/>
  <c r="F1415" i="15"/>
  <c r="F1416" i="15"/>
  <c r="F1417" i="15"/>
  <c r="F1418" i="15"/>
  <c r="F1419" i="15"/>
  <c r="F1385" i="15"/>
  <c r="F1386" i="15"/>
  <c r="F1387" i="15"/>
  <c r="F1388" i="15"/>
  <c r="F1389" i="15"/>
  <c r="F1390" i="15"/>
  <c r="F1391" i="15"/>
  <c r="F1392" i="15"/>
  <c r="F1393" i="15"/>
  <c r="F1394" i="15"/>
  <c r="F1395" i="15"/>
  <c r="F1361" i="15"/>
  <c r="F1362" i="15"/>
  <c r="F1363" i="15"/>
  <c r="F1364" i="15"/>
  <c r="F1365" i="15"/>
  <c r="F1366" i="15"/>
  <c r="F1367" i="15"/>
  <c r="F1368" i="15"/>
  <c r="F1369" i="15"/>
  <c r="F1370" i="15"/>
  <c r="F1371" i="15"/>
  <c r="F1337" i="15"/>
  <c r="F1338" i="15"/>
  <c r="F1339" i="15"/>
  <c r="F1340" i="15"/>
  <c r="F1341" i="15"/>
  <c r="F1342" i="15"/>
  <c r="F1343" i="15"/>
  <c r="F1344" i="15"/>
  <c r="F1345" i="15"/>
  <c r="F1346" i="15"/>
  <c r="F1347" i="15"/>
  <c r="F1313" i="15"/>
  <c r="F1314" i="15"/>
  <c r="F1315" i="15"/>
  <c r="F1316" i="15"/>
  <c r="F1317" i="15"/>
  <c r="F1318" i="15"/>
  <c r="F1319" i="15"/>
  <c r="F1320" i="15"/>
  <c r="F1321" i="15"/>
  <c r="F1322" i="15"/>
  <c r="F1323" i="15"/>
  <c r="F1289" i="15"/>
  <c r="F1290" i="15"/>
  <c r="F1291" i="15"/>
  <c r="F1292" i="15"/>
  <c r="F1293" i="15"/>
  <c r="F1294" i="15"/>
  <c r="F1295" i="15"/>
  <c r="F1296" i="15"/>
  <c r="F1297" i="15"/>
  <c r="F1298" i="15"/>
  <c r="F1299" i="15"/>
  <c r="F1265" i="15"/>
  <c r="F1266" i="15"/>
  <c r="F1267" i="15"/>
  <c r="F1268" i="15"/>
  <c r="F1269" i="15"/>
  <c r="F1270" i="15"/>
  <c r="F1271" i="15"/>
  <c r="F1272" i="15"/>
  <c r="F1273" i="15"/>
  <c r="F1274" i="15"/>
  <c r="F1275" i="15"/>
  <c r="F1251" i="15"/>
  <c r="F1241" i="15"/>
  <c r="F1242" i="15"/>
  <c r="F1243" i="15"/>
  <c r="F1244" i="15"/>
  <c r="F1245" i="15"/>
  <c r="F1246" i="15"/>
  <c r="F1247" i="15"/>
  <c r="F1248" i="15"/>
  <c r="F1249" i="15"/>
  <c r="F1250" i="15"/>
  <c r="F246" i="15"/>
  <c r="F247" i="15"/>
  <c r="F248" i="15"/>
  <c r="F249" i="15"/>
  <c r="F250" i="15"/>
  <c r="F251" i="15"/>
  <c r="F252" i="15"/>
  <c r="F253" i="15"/>
  <c r="F254" i="15"/>
  <c r="F255" i="15"/>
  <c r="F256" i="15"/>
  <c r="F257" i="15"/>
  <c r="F258" i="15"/>
  <c r="F259" i="15"/>
  <c r="F260" i="15"/>
  <c r="F261" i="15"/>
  <c r="F262" i="15"/>
  <c r="F263" i="15"/>
  <c r="F264" i="15"/>
  <c r="F265" i="15"/>
  <c r="F266" i="15"/>
  <c r="F245" i="15"/>
  <c r="F222" i="15"/>
  <c r="F223" i="15"/>
  <c r="F224" i="15"/>
  <c r="F225" i="15"/>
  <c r="F226" i="15"/>
  <c r="F227" i="15"/>
  <c r="F228" i="15"/>
  <c r="F229" i="15"/>
  <c r="F230" i="15"/>
  <c r="F231" i="15"/>
  <c r="F232" i="15"/>
  <c r="F233" i="15"/>
  <c r="F234" i="15"/>
  <c r="F235" i="15"/>
  <c r="F236" i="15"/>
  <c r="F237" i="15"/>
  <c r="F238" i="15"/>
  <c r="F239" i="15"/>
  <c r="F240" i="15"/>
  <c r="F241" i="15"/>
  <c r="F242" i="15"/>
  <c r="F221" i="15"/>
  <c r="F54" i="15"/>
  <c r="F55" i="15"/>
  <c r="F56" i="15"/>
  <c r="F57" i="15"/>
  <c r="F58" i="15"/>
  <c r="F59" i="15"/>
  <c r="F60" i="15"/>
  <c r="F61" i="15"/>
  <c r="F62" i="15"/>
  <c r="F63" i="15"/>
  <c r="F64" i="15"/>
  <c r="F65" i="15"/>
  <c r="F66" i="15"/>
  <c r="F67" i="15"/>
  <c r="F68" i="15"/>
  <c r="F69" i="15"/>
  <c r="F70" i="15"/>
  <c r="F71" i="15"/>
  <c r="F72" i="15"/>
  <c r="F73" i="15"/>
  <c r="F74" i="15"/>
  <c r="F53" i="15"/>
  <c r="F30" i="15"/>
  <c r="F31" i="15"/>
  <c r="F32" i="15"/>
  <c r="F33" i="15"/>
  <c r="F34" i="15"/>
  <c r="F35" i="15"/>
  <c r="F36" i="15"/>
  <c r="F37" i="15"/>
  <c r="F38" i="15"/>
  <c r="F39" i="15"/>
  <c r="F40" i="15"/>
  <c r="F41" i="15"/>
  <c r="F42" i="15"/>
  <c r="F43" i="15"/>
  <c r="F44" i="15"/>
  <c r="F45" i="15"/>
  <c r="F46" i="15"/>
  <c r="F47" i="15"/>
  <c r="F48" i="15"/>
  <c r="F49" i="15"/>
  <c r="F50" i="15"/>
  <c r="F29" i="15"/>
  <c r="F2205" i="14"/>
  <c r="F2206" i="14"/>
  <c r="F2207" i="14"/>
  <c r="F2208" i="14"/>
  <c r="F2209" i="14"/>
  <c r="F2210" i="14"/>
  <c r="F2211" i="14"/>
  <c r="F2212" i="14"/>
  <c r="F2213" i="14"/>
  <c r="F2214" i="14"/>
  <c r="F2215" i="14"/>
  <c r="F2216" i="14"/>
  <c r="F2217" i="14"/>
  <c r="F2218" i="14"/>
  <c r="F2219" i="14"/>
  <c r="F2220" i="14"/>
  <c r="F2221" i="14"/>
  <c r="F2222" i="14"/>
  <c r="F2223" i="14"/>
  <c r="F2224" i="14"/>
  <c r="F2225" i="14"/>
  <c r="F2204" i="14"/>
  <c r="F2181" i="14"/>
  <c r="F2182" i="14"/>
  <c r="F2183" i="14"/>
  <c r="F2184" i="14"/>
  <c r="F2185" i="14"/>
  <c r="F2186" i="14"/>
  <c r="F2187" i="14"/>
  <c r="F2188" i="14"/>
  <c r="F2189" i="14"/>
  <c r="F2190" i="14"/>
  <c r="F2191" i="14"/>
  <c r="F2192" i="14"/>
  <c r="F2193" i="14"/>
  <c r="F2194" i="14"/>
  <c r="F2195" i="14"/>
  <c r="F2196" i="14"/>
  <c r="F2197" i="14"/>
  <c r="F2198" i="14"/>
  <c r="F2199" i="14"/>
  <c r="F2200" i="14"/>
  <c r="F2201" i="14"/>
  <c r="F2180" i="14"/>
  <c r="F2157" i="14"/>
  <c r="F2158" i="14"/>
  <c r="F2159" i="14"/>
  <c r="F2160" i="14"/>
  <c r="F2161" i="14"/>
  <c r="F2162" i="14"/>
  <c r="F2163" i="14"/>
  <c r="F2164" i="14"/>
  <c r="F2165" i="14"/>
  <c r="F2166" i="14"/>
  <c r="F2167" i="14"/>
  <c r="F2168" i="14"/>
  <c r="F2169" i="14"/>
  <c r="F2170" i="14"/>
  <c r="F2171" i="14"/>
  <c r="F2172" i="14"/>
  <c r="F2173" i="14"/>
  <c r="F2174" i="14"/>
  <c r="F2175" i="14"/>
  <c r="F2176" i="14"/>
  <c r="F2177" i="14"/>
  <c r="F2156" i="14"/>
  <c r="BF385" i="17"/>
  <c r="BH360" i="17"/>
  <c r="BF360" i="17"/>
  <c r="BN360" i="17" s="1"/>
  <c r="BH358" i="17"/>
  <c r="BF358" i="17"/>
  <c r="BN358" i="17" s="1"/>
  <c r="BF350" i="17"/>
  <c r="BF122" i="17"/>
  <c r="BF100" i="17"/>
  <c r="BF85" i="17"/>
  <c r="BF84" i="17"/>
  <c r="BF76" i="17"/>
  <c r="BF77" i="17"/>
  <c r="AU385" i="17"/>
  <c r="AU350" i="17"/>
  <c r="AU316" i="17"/>
  <c r="AU281" i="17"/>
  <c r="AU122" i="17"/>
  <c r="AU100" i="17"/>
  <c r="AU85" i="17"/>
  <c r="AU84" i="17"/>
  <c r="AU77" i="17"/>
  <c r="AU76" i="17"/>
  <c r="AO385" i="17"/>
  <c r="AO376" i="17"/>
  <c r="AO350" i="17"/>
  <c r="AO316" i="17"/>
  <c r="AO281" i="17"/>
  <c r="AO122" i="17"/>
  <c r="AO100" i="17"/>
  <c r="AO85" i="17"/>
  <c r="AO84" i="17"/>
  <c r="AO77" i="17"/>
  <c r="AO76" i="17"/>
  <c r="F2133" i="14"/>
  <c r="F2134" i="14"/>
  <c r="F2135" i="14"/>
  <c r="F2136" i="14"/>
  <c r="F2137" i="14"/>
  <c r="F2138" i="14"/>
  <c r="F2139" i="14"/>
  <c r="F2140" i="14"/>
  <c r="F2141" i="14"/>
  <c r="F2142" i="14"/>
  <c r="F2143" i="14"/>
  <c r="F2144" i="14"/>
  <c r="F2145" i="14"/>
  <c r="F2146" i="14"/>
  <c r="F2147" i="14"/>
  <c r="F2148" i="14"/>
  <c r="F2149" i="14"/>
  <c r="F2150" i="14"/>
  <c r="F2151" i="14"/>
  <c r="F2152" i="14"/>
  <c r="F2153" i="14"/>
  <c r="F2132" i="14"/>
  <c r="F2109" i="14"/>
  <c r="F2110" i="14"/>
  <c r="F2111" i="14"/>
  <c r="F2112" i="14"/>
  <c r="F2113" i="14"/>
  <c r="F2114" i="14"/>
  <c r="F2115" i="14"/>
  <c r="F2116" i="14"/>
  <c r="F2117" i="14"/>
  <c r="F2118" i="14"/>
  <c r="F2119" i="14"/>
  <c r="F2120" i="14"/>
  <c r="F2121" i="14"/>
  <c r="F2122" i="14"/>
  <c r="F2123" i="14"/>
  <c r="F2124" i="14"/>
  <c r="F2125" i="14"/>
  <c r="F2126" i="14"/>
  <c r="F2127" i="14"/>
  <c r="F2128" i="14"/>
  <c r="F2129" i="14"/>
  <c r="F2108" i="14"/>
  <c r="F2085" i="14"/>
  <c r="F2086" i="14"/>
  <c r="F2087" i="14"/>
  <c r="F2088" i="14"/>
  <c r="F2089" i="14"/>
  <c r="F2090" i="14"/>
  <c r="F2091" i="14"/>
  <c r="F2092" i="14"/>
  <c r="F2093" i="14"/>
  <c r="F2094" i="14"/>
  <c r="F2095" i="14"/>
  <c r="F2096" i="14"/>
  <c r="F2097" i="14"/>
  <c r="F2098" i="14"/>
  <c r="F2099" i="14"/>
  <c r="F2100" i="14"/>
  <c r="F2101" i="14"/>
  <c r="F2102" i="14"/>
  <c r="F2103" i="14"/>
  <c r="F2104" i="14"/>
  <c r="F2105" i="14"/>
  <c r="F2084" i="14"/>
  <c r="F2061" i="14"/>
  <c r="F2062" i="14"/>
  <c r="F2063" i="14"/>
  <c r="F2064" i="14"/>
  <c r="F2065" i="14"/>
  <c r="F2066" i="14"/>
  <c r="F2067" i="14"/>
  <c r="F2068" i="14"/>
  <c r="F2069" i="14"/>
  <c r="F2070" i="14"/>
  <c r="F2071" i="14"/>
  <c r="F2072" i="14"/>
  <c r="F2073" i="14"/>
  <c r="F2074" i="14"/>
  <c r="F2075" i="14"/>
  <c r="F2076" i="14"/>
  <c r="F2077" i="14"/>
  <c r="F2078" i="14"/>
  <c r="F2079" i="14"/>
  <c r="F2080" i="14"/>
  <c r="F2081" i="14"/>
  <c r="F2060" i="14"/>
  <c r="F2037" i="14"/>
  <c r="F2038" i="14"/>
  <c r="F2039" i="14"/>
  <c r="F2040" i="14"/>
  <c r="F2041" i="14"/>
  <c r="F2042" i="14"/>
  <c r="F2043" i="14"/>
  <c r="F2044" i="14"/>
  <c r="F2045" i="14"/>
  <c r="F2046" i="14"/>
  <c r="F2047" i="14"/>
  <c r="F2048" i="14"/>
  <c r="F2049" i="14"/>
  <c r="F2050" i="14"/>
  <c r="F2051" i="14"/>
  <c r="F2052" i="14"/>
  <c r="F2053" i="14"/>
  <c r="F2054" i="14"/>
  <c r="F2055" i="14"/>
  <c r="F2056" i="14"/>
  <c r="F2057" i="14"/>
  <c r="F2036" i="14"/>
  <c r="F1409" i="14"/>
  <c r="F1410" i="14"/>
  <c r="F1411" i="14"/>
  <c r="F1412" i="14"/>
  <c r="F1413" i="14"/>
  <c r="F1414" i="14"/>
  <c r="F1415" i="14"/>
  <c r="F1416" i="14"/>
  <c r="F1417" i="14"/>
  <c r="F1418" i="14"/>
  <c r="F1419" i="14"/>
  <c r="F1385" i="14"/>
  <c r="F1386" i="14"/>
  <c r="F1387" i="14"/>
  <c r="F1388" i="14"/>
  <c r="F1389" i="14"/>
  <c r="F1390" i="14"/>
  <c r="F1391" i="14"/>
  <c r="F1392" i="14"/>
  <c r="F1393" i="14"/>
  <c r="F1394" i="14"/>
  <c r="F1395" i="14"/>
  <c r="F1361" i="14"/>
  <c r="F1362" i="14"/>
  <c r="F1363" i="14"/>
  <c r="F1364" i="14"/>
  <c r="F1365" i="14"/>
  <c r="F1366" i="14"/>
  <c r="F1367" i="14"/>
  <c r="F1368" i="14"/>
  <c r="F1369" i="14"/>
  <c r="F1370" i="14"/>
  <c r="F1371" i="14"/>
  <c r="F1337" i="14"/>
  <c r="F1338" i="14"/>
  <c r="F1339" i="14"/>
  <c r="F1340" i="14"/>
  <c r="F1341" i="14"/>
  <c r="F1342" i="14"/>
  <c r="F1343" i="14"/>
  <c r="F1344" i="14"/>
  <c r="F1345" i="14"/>
  <c r="F1346" i="14"/>
  <c r="F1347" i="14"/>
  <c r="F1323" i="14"/>
  <c r="F1313" i="14"/>
  <c r="F1314" i="14"/>
  <c r="F1315" i="14"/>
  <c r="F1316" i="14"/>
  <c r="F1317" i="14"/>
  <c r="F1318" i="14"/>
  <c r="F1319" i="14"/>
  <c r="F1320" i="14"/>
  <c r="F1321" i="14"/>
  <c r="F1322" i="14"/>
  <c r="F1289" i="14"/>
  <c r="F1290" i="14"/>
  <c r="F1291" i="14"/>
  <c r="F1292" i="14"/>
  <c r="F1293" i="14"/>
  <c r="F1294" i="14"/>
  <c r="F1295" i="14"/>
  <c r="F1296" i="14"/>
  <c r="F1297" i="14"/>
  <c r="F1298" i="14"/>
  <c r="F1299" i="14"/>
  <c r="F1265" i="14"/>
  <c r="F1266" i="14"/>
  <c r="F1267" i="14"/>
  <c r="F1268" i="14"/>
  <c r="F1269" i="14"/>
  <c r="F1270" i="14"/>
  <c r="F1271" i="14"/>
  <c r="F1272" i="14"/>
  <c r="F1273" i="14"/>
  <c r="F1274" i="14"/>
  <c r="F1275" i="14"/>
  <c r="F1241" i="14"/>
  <c r="F1242" i="14"/>
  <c r="F1243" i="14"/>
  <c r="F1244" i="14"/>
  <c r="F1245" i="14"/>
  <c r="F1246" i="14"/>
  <c r="F1247" i="14"/>
  <c r="F1248" i="14"/>
  <c r="F1249" i="14"/>
  <c r="F1250" i="14"/>
  <c r="F1251" i="14"/>
  <c r="F702" i="14"/>
  <c r="F703" i="14"/>
  <c r="F704" i="14"/>
  <c r="F705" i="14"/>
  <c r="F706" i="14"/>
  <c r="F701" i="14"/>
  <c r="F696" i="14"/>
  <c r="F697" i="14"/>
  <c r="F698" i="14"/>
  <c r="F699" i="14"/>
  <c r="F700" i="14"/>
  <c r="F695" i="14"/>
  <c r="F686" i="14"/>
  <c r="F687" i="14"/>
  <c r="F688" i="14"/>
  <c r="F689" i="14"/>
  <c r="F690" i="14"/>
  <c r="F691" i="14"/>
  <c r="F692" i="14"/>
  <c r="F685" i="14"/>
  <c r="F678" i="14"/>
  <c r="F679" i="14"/>
  <c r="F680" i="14"/>
  <c r="F681" i="14"/>
  <c r="F693" i="14" s="1"/>
  <c r="F682" i="14"/>
  <c r="F683" i="14"/>
  <c r="F684" i="14"/>
  <c r="F677" i="14"/>
  <c r="F54" i="14"/>
  <c r="F55" i="14"/>
  <c r="F56" i="14"/>
  <c r="F57" i="14"/>
  <c r="F58" i="14"/>
  <c r="F59" i="14"/>
  <c r="F60" i="14"/>
  <c r="F61" i="14"/>
  <c r="F62" i="14"/>
  <c r="F63" i="14"/>
  <c r="F64" i="14"/>
  <c r="F65" i="14"/>
  <c r="F66" i="14"/>
  <c r="F67" i="14"/>
  <c r="F68" i="14"/>
  <c r="F69" i="14"/>
  <c r="F70" i="14"/>
  <c r="F71" i="14"/>
  <c r="F72" i="14"/>
  <c r="F73" i="14"/>
  <c r="F74" i="14"/>
  <c r="F53" i="14"/>
  <c r="CB319" i="5"/>
  <c r="CB320" i="5"/>
  <c r="CB321" i="5"/>
  <c r="CB316" i="5"/>
  <c r="DS316" i="5"/>
  <c r="CB301" i="5"/>
  <c r="CB294" i="5"/>
  <c r="CB293" i="5"/>
  <c r="DX293" i="5" s="1"/>
  <c r="DS293" i="5"/>
  <c r="CB278" i="5"/>
  <c r="CB276" i="5"/>
  <c r="CB336" i="5"/>
  <c r="CB337" i="5"/>
  <c r="DS337" i="5"/>
  <c r="CB285" i="5"/>
  <c r="CB281" i="5"/>
  <c r="CB174" i="5"/>
  <c r="CB154" i="5"/>
  <c r="CB151" i="5"/>
  <c r="CB147" i="5"/>
  <c r="CB285" i="1"/>
  <c r="CB281" i="1"/>
  <c r="BA122" i="17"/>
  <c r="AJ122" i="17"/>
  <c r="AE122" i="17"/>
  <c r="Z122" i="17"/>
  <c r="U122" i="17"/>
  <c r="P122" i="17"/>
  <c r="BF489" i="17"/>
  <c r="BF486" i="17"/>
  <c r="BF481" i="17"/>
  <c r="BF207" i="17"/>
  <c r="BF204" i="17"/>
  <c r="BF203" i="17"/>
  <c r="BF200" i="17"/>
  <c r="BF198" i="17"/>
  <c r="BF196" i="17"/>
  <c r="BA489" i="17"/>
  <c r="BA486" i="17"/>
  <c r="BA481" i="17"/>
  <c r="BA385" i="17"/>
  <c r="BA350" i="17"/>
  <c r="BA207" i="17"/>
  <c r="BA204" i="17"/>
  <c r="BA203" i="17"/>
  <c r="BA200" i="17"/>
  <c r="BA198" i="17"/>
  <c r="BA196" i="17"/>
  <c r="BA100" i="17"/>
  <c r="BA85" i="17"/>
  <c r="AO429" i="17"/>
  <c r="AO428" i="17"/>
  <c r="AO427" i="17"/>
  <c r="AO426" i="17"/>
  <c r="AO207" i="17"/>
  <c r="AO204" i="17"/>
  <c r="AO203" i="17"/>
  <c r="AO200" i="17"/>
  <c r="AO198" i="17"/>
  <c r="AO196" i="17"/>
  <c r="AJ429" i="17"/>
  <c r="AJ428" i="17"/>
  <c r="AJ427" i="17"/>
  <c r="AJ426" i="17"/>
  <c r="AJ385" i="17"/>
  <c r="AJ350" i="17"/>
  <c r="AJ281" i="17"/>
  <c r="AJ207" i="17"/>
  <c r="AJ204" i="17"/>
  <c r="AJ203" i="17"/>
  <c r="AJ200" i="17"/>
  <c r="AJ198" i="17"/>
  <c r="AJ196" i="17"/>
  <c r="AJ100" i="17"/>
  <c r="AJ84" i="17"/>
  <c r="AJ77" i="17"/>
  <c r="AJ76" i="17"/>
  <c r="BL467" i="17"/>
  <c r="BN467" i="17"/>
  <c r="BL466" i="17"/>
  <c r="BN466" i="17"/>
  <c r="BL465" i="17"/>
  <c r="BN465" i="17" s="1"/>
  <c r="BL464" i="17"/>
  <c r="BN464" i="17"/>
  <c r="BL463" i="17"/>
  <c r="BN463" i="17"/>
  <c r="BL462" i="17"/>
  <c r="BN462" i="17"/>
  <c r="BL461" i="17"/>
  <c r="BN461" i="17" s="1"/>
  <c r="BL460" i="17"/>
  <c r="BN460" i="17"/>
  <c r="BL459" i="17"/>
  <c r="BN459" i="17"/>
  <c r="BL458" i="17"/>
  <c r="BN458" i="17"/>
  <c r="BL457" i="17"/>
  <c r="BN457" i="17" s="1"/>
  <c r="BL456" i="17"/>
  <c r="BN456" i="17"/>
  <c r="BL455" i="17"/>
  <c r="BN455" i="17" s="1"/>
  <c r="BL454" i="17"/>
  <c r="BN454" i="17" s="1"/>
  <c r="BL453" i="17"/>
  <c r="BN453" i="17"/>
  <c r="BL452" i="17"/>
  <c r="BN452" i="17"/>
  <c r="BL451" i="17"/>
  <c r="BN451" i="17"/>
  <c r="BL450" i="17"/>
  <c r="BN450" i="17" s="1"/>
  <c r="BL449" i="17"/>
  <c r="BN449" i="17"/>
  <c r="BL448" i="17"/>
  <c r="BN448" i="17"/>
  <c r="BL447" i="17"/>
  <c r="BN447" i="17" s="1"/>
  <c r="BL446" i="17"/>
  <c r="BN446" i="17"/>
  <c r="BL445" i="17"/>
  <c r="BN445" i="17"/>
  <c r="AU429" i="17"/>
  <c r="AE429" i="17"/>
  <c r="Z429" i="17"/>
  <c r="U429" i="17"/>
  <c r="P429" i="17"/>
  <c r="AU428" i="17"/>
  <c r="AE428" i="17"/>
  <c r="Z428" i="17"/>
  <c r="BN428" i="17" s="1"/>
  <c r="U428" i="17"/>
  <c r="P428" i="17"/>
  <c r="AU427" i="17"/>
  <c r="AE427" i="17"/>
  <c r="Z427" i="17"/>
  <c r="U427" i="17"/>
  <c r="P427" i="17"/>
  <c r="AU426" i="17"/>
  <c r="AE426" i="17"/>
  <c r="Z426" i="17"/>
  <c r="U426" i="17"/>
  <c r="P426" i="17"/>
  <c r="AE385" i="17"/>
  <c r="Z385" i="17"/>
  <c r="U385" i="17"/>
  <c r="P385" i="17"/>
  <c r="F385" i="17"/>
  <c r="AE376" i="17"/>
  <c r="Z376" i="17"/>
  <c r="BN376" i="17" s="1"/>
  <c r="AE350" i="17"/>
  <c r="Z350" i="17"/>
  <c r="U350" i="17"/>
  <c r="F350" i="17"/>
  <c r="D342" i="17"/>
  <c r="AE316" i="17"/>
  <c r="Z316" i="17"/>
  <c r="BN316" i="17"/>
  <c r="AE281" i="17"/>
  <c r="BN281" i="17" s="1"/>
  <c r="Z281" i="17"/>
  <c r="F281" i="17"/>
  <c r="BN245" i="17"/>
  <c r="BL244" i="17"/>
  <c r="BN244" i="17" s="1"/>
  <c r="AU207" i="17"/>
  <c r="AE207" i="17"/>
  <c r="Z207" i="17"/>
  <c r="BN207" i="17" s="1"/>
  <c r="U207" i="17"/>
  <c r="P207" i="17"/>
  <c r="AU204" i="17"/>
  <c r="AE204" i="17"/>
  <c r="Z204" i="17"/>
  <c r="U204" i="17"/>
  <c r="P204" i="17"/>
  <c r="AU203" i="17"/>
  <c r="AE203" i="17"/>
  <c r="Z203" i="17"/>
  <c r="U203" i="17"/>
  <c r="P203" i="17"/>
  <c r="BN203" i="17" s="1"/>
  <c r="AU200" i="17"/>
  <c r="AE200" i="17"/>
  <c r="Z200" i="17"/>
  <c r="U200" i="17"/>
  <c r="P200" i="17"/>
  <c r="AU198" i="17"/>
  <c r="AE198" i="17"/>
  <c r="Z198" i="17"/>
  <c r="U198" i="17"/>
  <c r="BN198" i="17" s="1"/>
  <c r="P198" i="17"/>
  <c r="AU196" i="17"/>
  <c r="AE196" i="17"/>
  <c r="Z196" i="17"/>
  <c r="U196" i="17"/>
  <c r="P196" i="17"/>
  <c r="F140" i="17"/>
  <c r="BN140" i="17" s="1"/>
  <c r="AE138" i="17"/>
  <c r="Z138" i="17"/>
  <c r="F138" i="17"/>
  <c r="F124" i="17"/>
  <c r="F123" i="17"/>
  <c r="G122" i="17"/>
  <c r="F122" i="17"/>
  <c r="AE100" i="17"/>
  <c r="Z100" i="17"/>
  <c r="U100" i="17"/>
  <c r="P100" i="17"/>
  <c r="AE85" i="17"/>
  <c r="Z85" i="17"/>
  <c r="U85" i="17"/>
  <c r="P85" i="17"/>
  <c r="AE84" i="17"/>
  <c r="U84" i="17"/>
  <c r="F84" i="17"/>
  <c r="AE77" i="17"/>
  <c r="U77" i="17"/>
  <c r="F77" i="17"/>
  <c r="AE76" i="17"/>
  <c r="U76" i="17"/>
  <c r="F76" i="17"/>
  <c r="F2228" i="14"/>
  <c r="F2229" i="14"/>
  <c r="F2235" i="14" s="1"/>
  <c r="F2230" i="14"/>
  <c r="F2231" i="14"/>
  <c r="F2232" i="14"/>
  <c r="F2233" i="14"/>
  <c r="F2234" i="14"/>
  <c r="F2227" i="14"/>
  <c r="F2013" i="14"/>
  <c r="F2014" i="14"/>
  <c r="F2015" i="14"/>
  <c r="F2016" i="14"/>
  <c r="F2017" i="14"/>
  <c r="F2018" i="14"/>
  <c r="F2019" i="14"/>
  <c r="F2020" i="14"/>
  <c r="F2021" i="14"/>
  <c r="F2022" i="14"/>
  <c r="F2023" i="14"/>
  <c r="F2024" i="14"/>
  <c r="F2025" i="14"/>
  <c r="F2026" i="14"/>
  <c r="F2027" i="14"/>
  <c r="F2028" i="14"/>
  <c r="F2029" i="14"/>
  <c r="F2030" i="14"/>
  <c r="F2031" i="14"/>
  <c r="F2032" i="14"/>
  <c r="F2033" i="14"/>
  <c r="F2012" i="14"/>
  <c r="F2003" i="14"/>
  <c r="F2002" i="14"/>
  <c r="F2001" i="14"/>
  <c r="F2000" i="14"/>
  <c r="F1999" i="14"/>
  <c r="F1998" i="14"/>
  <c r="F1997" i="14"/>
  <c r="F1996" i="14"/>
  <c r="F1995" i="14"/>
  <c r="F1994" i="14"/>
  <c r="F1993" i="14"/>
  <c r="F1992" i="14"/>
  <c r="F1991" i="14"/>
  <c r="F1990" i="14"/>
  <c r="F1989" i="14"/>
  <c r="F1988" i="14"/>
  <c r="F1987" i="14"/>
  <c r="F1986" i="14"/>
  <c r="F1985" i="14"/>
  <c r="DH247" i="1"/>
  <c r="DW247" i="1" s="1"/>
  <c r="DH324" i="5"/>
  <c r="DD324" i="5"/>
  <c r="CZ324" i="5"/>
  <c r="CV324" i="5"/>
  <c r="CN324" i="5"/>
  <c r="CJ324" i="5"/>
  <c r="CF324" i="5"/>
  <c r="DP324" i="1"/>
  <c r="DH324" i="1"/>
  <c r="DD324" i="1"/>
  <c r="CZ324" i="1"/>
  <c r="CV324" i="1"/>
  <c r="CN324" i="1"/>
  <c r="CJ324" i="1"/>
  <c r="CF324" i="1"/>
  <c r="CZ208" i="1"/>
  <c r="CZ207" i="1"/>
  <c r="CZ206" i="1"/>
  <c r="CZ203" i="1"/>
  <c r="CZ201" i="1"/>
  <c r="CZ200" i="1"/>
  <c r="CZ199" i="1"/>
  <c r="CZ197" i="1"/>
  <c r="DP193" i="1"/>
  <c r="DH193" i="1"/>
  <c r="DD193" i="1"/>
  <c r="CZ193" i="1"/>
  <c r="CF152" i="5"/>
  <c r="CJ152" i="5"/>
  <c r="CN152" i="5"/>
  <c r="CV152" i="5"/>
  <c r="CZ152" i="5"/>
  <c r="DD152" i="5"/>
  <c r="DH152" i="5"/>
  <c r="CF153" i="5"/>
  <c r="DX153" i="5" s="1"/>
  <c r="CJ153" i="5"/>
  <c r="CN153" i="5"/>
  <c r="CV153" i="5"/>
  <c r="CZ153" i="5"/>
  <c r="DD153" i="5"/>
  <c r="DH153" i="5"/>
  <c r="CF154" i="5"/>
  <c r="CJ154" i="5"/>
  <c r="CN154" i="5"/>
  <c r="CV154" i="5"/>
  <c r="CZ154" i="5"/>
  <c r="DD154" i="5"/>
  <c r="DH154" i="5"/>
  <c r="CF163" i="5"/>
  <c r="CJ163" i="5"/>
  <c r="CZ163" i="5"/>
  <c r="DD163" i="5"/>
  <c r="CN164" i="5"/>
  <c r="DH164" i="5"/>
  <c r="CF174" i="5"/>
  <c r="CJ174" i="5"/>
  <c r="CN174" i="5"/>
  <c r="CV174" i="5"/>
  <c r="CZ174" i="5"/>
  <c r="DD174" i="5"/>
  <c r="DH174" i="5"/>
  <c r="CJ176" i="5"/>
  <c r="CN176" i="5"/>
  <c r="CV176" i="5"/>
  <c r="CZ176" i="5"/>
  <c r="DD176" i="5"/>
  <c r="DH176" i="5"/>
  <c r="CF180" i="5"/>
  <c r="CJ180" i="5"/>
  <c r="CN180" i="5"/>
  <c r="CV180" i="5"/>
  <c r="CZ180" i="5"/>
  <c r="DD180" i="5"/>
  <c r="DH180" i="5"/>
  <c r="CZ188" i="5"/>
  <c r="DD188" i="5"/>
  <c r="DH188" i="5"/>
  <c r="CZ189" i="5"/>
  <c r="DD189" i="5"/>
  <c r="DH189" i="5"/>
  <c r="CF213" i="5"/>
  <c r="CJ213" i="5"/>
  <c r="CN213" i="5"/>
  <c r="CV213" i="5"/>
  <c r="CZ213" i="5"/>
  <c r="DD213" i="5"/>
  <c r="DH213" i="5"/>
  <c r="CF218" i="5"/>
  <c r="CJ218" i="5"/>
  <c r="CN218" i="5"/>
  <c r="CV218" i="5"/>
  <c r="CZ218" i="5"/>
  <c r="DD218" i="5"/>
  <c r="DH218" i="5"/>
  <c r="CF220" i="5"/>
  <c r="CJ220" i="5"/>
  <c r="CN220" i="5"/>
  <c r="CV220" i="5"/>
  <c r="CZ220" i="5"/>
  <c r="DD220" i="5"/>
  <c r="DH220" i="5"/>
  <c r="CN221" i="5"/>
  <c r="DH221" i="5"/>
  <c r="CF222" i="5"/>
  <c r="CJ222" i="5"/>
  <c r="CZ222" i="5"/>
  <c r="DD222" i="5"/>
  <c r="CV229" i="5"/>
  <c r="CF235" i="5"/>
  <c r="CJ235" i="5"/>
  <c r="CN235" i="5"/>
  <c r="CV235" i="5"/>
  <c r="CZ235" i="5"/>
  <c r="DD235" i="5"/>
  <c r="DH235" i="5"/>
  <c r="CF236" i="5"/>
  <c r="CJ236" i="5"/>
  <c r="CN236" i="5"/>
  <c r="CV236" i="5"/>
  <c r="CZ236" i="5"/>
  <c r="DD236" i="5"/>
  <c r="DH236" i="5"/>
  <c r="CF239" i="5"/>
  <c r="CJ239" i="5"/>
  <c r="CN239" i="5"/>
  <c r="CV239" i="5"/>
  <c r="CZ239" i="5"/>
  <c r="DD239" i="5"/>
  <c r="DH239" i="5"/>
  <c r="CZ241" i="5"/>
  <c r="CZ242" i="5"/>
  <c r="DD242" i="5"/>
  <c r="DH243" i="5"/>
  <c r="DD244" i="5"/>
  <c r="DS244" i="5"/>
  <c r="DS247" i="5"/>
  <c r="CF266" i="5"/>
  <c r="CJ266" i="5"/>
  <c r="CN266" i="5"/>
  <c r="CV266" i="5"/>
  <c r="CF269" i="5"/>
  <c r="CJ269" i="5"/>
  <c r="CN269" i="5"/>
  <c r="CV269" i="5"/>
  <c r="CZ269" i="5"/>
  <c r="DD269" i="5"/>
  <c r="DH269" i="5"/>
  <c r="CF272" i="5"/>
  <c r="CJ272" i="5"/>
  <c r="CN272" i="5"/>
  <c r="CV272" i="5"/>
  <c r="CZ272" i="5"/>
  <c r="DD272" i="5"/>
  <c r="DH272" i="5"/>
  <c r="CF273" i="5"/>
  <c r="CJ273" i="5"/>
  <c r="CN273" i="5"/>
  <c r="CV273" i="5"/>
  <c r="CZ273" i="5"/>
  <c r="DD273" i="5"/>
  <c r="DH273" i="5"/>
  <c r="CZ276" i="5"/>
  <c r="DD276" i="5"/>
  <c r="DH276" i="5"/>
  <c r="CF278" i="5"/>
  <c r="CJ278" i="5"/>
  <c r="CN278" i="5"/>
  <c r="CV278" i="5"/>
  <c r="CF279" i="5"/>
  <c r="CJ279" i="5"/>
  <c r="DX279" i="5" s="1"/>
  <c r="CN279" i="5"/>
  <c r="CV279" i="5"/>
  <c r="CZ279" i="5"/>
  <c r="DD279" i="5"/>
  <c r="DH279" i="5"/>
  <c r="CF280" i="5"/>
  <c r="CJ280" i="5"/>
  <c r="CN280" i="5"/>
  <c r="CV280" i="5"/>
  <c r="CZ280" i="5"/>
  <c r="DD280" i="5"/>
  <c r="DH280" i="5"/>
  <c r="CF291" i="5"/>
  <c r="CJ291" i="5"/>
  <c r="CN291" i="5"/>
  <c r="CV291" i="5"/>
  <c r="CZ291" i="5"/>
  <c r="DD291" i="5"/>
  <c r="DH291" i="5"/>
  <c r="CZ319" i="5"/>
  <c r="DD319" i="5"/>
  <c r="DH319" i="5"/>
  <c r="CF320" i="5"/>
  <c r="CJ320" i="5"/>
  <c r="CN320" i="5"/>
  <c r="CV320" i="5"/>
  <c r="CZ320" i="5"/>
  <c r="DD320" i="5"/>
  <c r="DH320" i="5"/>
  <c r="CF321" i="5"/>
  <c r="CJ321" i="5"/>
  <c r="CN321" i="5"/>
  <c r="CV321" i="5"/>
  <c r="CZ321" i="5"/>
  <c r="DD321" i="5"/>
  <c r="DH321" i="5"/>
  <c r="CF335" i="5"/>
  <c r="CJ335" i="5"/>
  <c r="CN335" i="5"/>
  <c r="CV335" i="5"/>
  <c r="CZ335" i="5"/>
  <c r="DD335" i="5"/>
  <c r="DH335" i="5"/>
  <c r="CF338" i="5"/>
  <c r="CJ338" i="5"/>
  <c r="CN338" i="5"/>
  <c r="CV338" i="5"/>
  <c r="CF339" i="5"/>
  <c r="CJ339" i="5"/>
  <c r="CN339" i="5"/>
  <c r="CV339" i="5"/>
  <c r="CF369" i="5"/>
  <c r="CJ369" i="5"/>
  <c r="CN369" i="5"/>
  <c r="CV369" i="5"/>
  <c r="CZ369" i="5"/>
  <c r="DD369" i="5"/>
  <c r="DH369" i="5"/>
  <c r="CZ385" i="5"/>
  <c r="DD385" i="5"/>
  <c r="DH385" i="5"/>
  <c r="CF390" i="5"/>
  <c r="CZ390" i="5"/>
  <c r="CJ392" i="5"/>
  <c r="DD392" i="5"/>
  <c r="CN394" i="5"/>
  <c r="DH394" i="5"/>
  <c r="DT181" i="5"/>
  <c r="DU181" i="5"/>
  <c r="DT174" i="5"/>
  <c r="DU174" i="5"/>
  <c r="DT176" i="5"/>
  <c r="DU176" i="5"/>
  <c r="DT179" i="5"/>
  <c r="DX179" i="5"/>
  <c r="DT180" i="5"/>
  <c r="DU180" i="5"/>
  <c r="DT182" i="5"/>
  <c r="DU182" i="5"/>
  <c r="DX182" i="5"/>
  <c r="DT183" i="5"/>
  <c r="DU183" i="5"/>
  <c r="DT184" i="5"/>
  <c r="DU184" i="5"/>
  <c r="DT185" i="5"/>
  <c r="DU185" i="5"/>
  <c r="DT186" i="5"/>
  <c r="DU186" i="5"/>
  <c r="DX186" i="5"/>
  <c r="DT187" i="5"/>
  <c r="DU187" i="5"/>
  <c r="DT188" i="5"/>
  <c r="DU188" i="5"/>
  <c r="DT189" i="5"/>
  <c r="DU189" i="5"/>
  <c r="I340" i="1"/>
  <c r="I324" i="1"/>
  <c r="I320" i="1"/>
  <c r="I319" i="1"/>
  <c r="I276" i="1"/>
  <c r="I275" i="1"/>
  <c r="I271" i="1"/>
  <c r="DW271" i="1"/>
  <c r="I199" i="1"/>
  <c r="I195" i="1"/>
  <c r="I193" i="1"/>
  <c r="I191" i="1"/>
  <c r="I181" i="1"/>
  <c r="DW181" i="1"/>
  <c r="I169" i="1"/>
  <c r="DW169" i="1"/>
  <c r="I154" i="1"/>
  <c r="I143" i="1"/>
  <c r="DW143" i="1"/>
  <c r="BD324" i="1"/>
  <c r="AZ324" i="1"/>
  <c r="BD324" i="5"/>
  <c r="AZ324" i="5"/>
  <c r="O79" i="24"/>
  <c r="E1158" i="3"/>
  <c r="N19" i="24"/>
  <c r="M40" i="24"/>
  <c r="K25" i="24"/>
  <c r="J43" i="24"/>
  <c r="H78" i="24"/>
  <c r="F61" i="24"/>
  <c r="I20" i="19"/>
  <c r="J20" i="19"/>
  <c r="K20" i="19"/>
  <c r="L20" i="19"/>
  <c r="O20" i="19"/>
  <c r="P20" i="19"/>
  <c r="Q20" i="19"/>
  <c r="R20" i="19"/>
  <c r="I21" i="19"/>
  <c r="J21" i="19"/>
  <c r="K21" i="19"/>
  <c r="L21" i="19"/>
  <c r="O21" i="19"/>
  <c r="P21" i="19"/>
  <c r="Q21" i="19"/>
  <c r="R21" i="19"/>
  <c r="I22" i="19"/>
  <c r="J22" i="19"/>
  <c r="K22" i="19"/>
  <c r="L22" i="19"/>
  <c r="O22" i="19"/>
  <c r="P22" i="19"/>
  <c r="Q22" i="19"/>
  <c r="R22" i="19"/>
  <c r="I23" i="19"/>
  <c r="J23" i="19"/>
  <c r="K23" i="19"/>
  <c r="L23" i="19"/>
  <c r="O23" i="19"/>
  <c r="P23" i="19"/>
  <c r="Q23" i="19"/>
  <c r="R23" i="19"/>
  <c r="I24" i="19"/>
  <c r="T24" i="19" s="1"/>
  <c r="J24" i="19"/>
  <c r="K24" i="19"/>
  <c r="L24" i="19"/>
  <c r="O25" i="19"/>
  <c r="P25" i="19"/>
  <c r="Q25" i="19"/>
  <c r="R25" i="19"/>
  <c r="I26" i="19"/>
  <c r="J26" i="19"/>
  <c r="K26" i="19"/>
  <c r="L26" i="19"/>
  <c r="O26" i="19"/>
  <c r="P26" i="19"/>
  <c r="Q26" i="19"/>
  <c r="R26" i="19"/>
  <c r="I27" i="19"/>
  <c r="J27" i="19"/>
  <c r="K27" i="19"/>
  <c r="L27" i="19"/>
  <c r="O27" i="19"/>
  <c r="P27" i="19"/>
  <c r="Q27" i="19"/>
  <c r="R27" i="19"/>
  <c r="I28" i="19"/>
  <c r="J28" i="19"/>
  <c r="K28" i="19"/>
  <c r="L28" i="19"/>
  <c r="O28" i="19"/>
  <c r="P28" i="19"/>
  <c r="Q28" i="19"/>
  <c r="R28" i="19"/>
  <c r="I29" i="19"/>
  <c r="J29" i="19"/>
  <c r="K29" i="19"/>
  <c r="L29" i="19"/>
  <c r="O29" i="19"/>
  <c r="P29" i="19"/>
  <c r="Q29" i="19"/>
  <c r="R29" i="19"/>
  <c r="I30" i="19"/>
  <c r="J30" i="19"/>
  <c r="K30" i="19"/>
  <c r="L30" i="19"/>
  <c r="O30" i="19"/>
  <c r="P30" i="19"/>
  <c r="Q30" i="19"/>
  <c r="R30" i="19"/>
  <c r="I31" i="19"/>
  <c r="T31" i="19" s="1"/>
  <c r="O31" i="19"/>
  <c r="J32" i="19"/>
  <c r="P32" i="19"/>
  <c r="T32" i="19" s="1"/>
  <c r="K33" i="19"/>
  <c r="Q33" i="19"/>
  <c r="L34" i="19"/>
  <c r="T34" i="19" s="1"/>
  <c r="R34" i="19"/>
  <c r="I35" i="19"/>
  <c r="O35" i="19"/>
  <c r="J36" i="19"/>
  <c r="P36" i="19"/>
  <c r="K37" i="19"/>
  <c r="Q37" i="19"/>
  <c r="L38" i="19"/>
  <c r="R38" i="19"/>
  <c r="I39" i="19"/>
  <c r="J39" i="19"/>
  <c r="K39" i="19"/>
  <c r="L39" i="19"/>
  <c r="O39" i="19"/>
  <c r="P39" i="19"/>
  <c r="Q39" i="19"/>
  <c r="R39" i="19"/>
  <c r="I40" i="19"/>
  <c r="J40" i="19"/>
  <c r="K40" i="19"/>
  <c r="L40" i="19"/>
  <c r="O40" i="19"/>
  <c r="P40" i="19"/>
  <c r="Q40" i="19"/>
  <c r="R40" i="19"/>
  <c r="I41" i="19"/>
  <c r="J41" i="19"/>
  <c r="T41" i="19" s="1"/>
  <c r="E433" i="3" s="1"/>
  <c r="K41" i="19"/>
  <c r="L41" i="19"/>
  <c r="O42" i="19"/>
  <c r="P42" i="19"/>
  <c r="Q42" i="19"/>
  <c r="R42" i="19"/>
  <c r="I43" i="19"/>
  <c r="J43" i="19"/>
  <c r="K43" i="19"/>
  <c r="L43" i="19"/>
  <c r="O43" i="19"/>
  <c r="P43" i="19"/>
  <c r="Q43" i="19"/>
  <c r="R43" i="19"/>
  <c r="I44" i="19"/>
  <c r="J44" i="19"/>
  <c r="K44" i="19"/>
  <c r="L44" i="19"/>
  <c r="O44" i="19"/>
  <c r="P44" i="19"/>
  <c r="Q44" i="19"/>
  <c r="R44" i="19"/>
  <c r="I45" i="19"/>
  <c r="J45" i="19"/>
  <c r="K45" i="19"/>
  <c r="L45" i="19"/>
  <c r="O45" i="19"/>
  <c r="P45" i="19"/>
  <c r="Q45" i="19"/>
  <c r="R45" i="19"/>
  <c r="I46" i="19"/>
  <c r="J46" i="19"/>
  <c r="K46" i="19"/>
  <c r="L46" i="19"/>
  <c r="O46" i="19"/>
  <c r="P46" i="19"/>
  <c r="Q46" i="19"/>
  <c r="R46" i="19"/>
  <c r="I47" i="19"/>
  <c r="T47" i="19" s="1"/>
  <c r="J47" i="19"/>
  <c r="K47" i="19"/>
  <c r="L47" i="19"/>
  <c r="O47" i="19"/>
  <c r="P47" i="19"/>
  <c r="Q47" i="19"/>
  <c r="R47" i="19"/>
  <c r="I48" i="19"/>
  <c r="T48" i="19" s="1"/>
  <c r="O48" i="19"/>
  <c r="I49" i="19"/>
  <c r="O49" i="19"/>
  <c r="J50" i="19"/>
  <c r="T50" i="19" s="1"/>
  <c r="E442" i="3" s="1"/>
  <c r="P50" i="19"/>
  <c r="K51" i="19"/>
  <c r="Q51" i="19"/>
  <c r="L52" i="19"/>
  <c r="T52" i="19"/>
  <c r="R52" i="19"/>
  <c r="I53" i="19"/>
  <c r="O53" i="19"/>
  <c r="J54" i="19"/>
  <c r="T54" i="19"/>
  <c r="P54" i="19"/>
  <c r="K55" i="19"/>
  <c r="Q55" i="19"/>
  <c r="L56" i="19"/>
  <c r="R56" i="19"/>
  <c r="T57" i="19"/>
  <c r="T58" i="19"/>
  <c r="I59" i="19"/>
  <c r="J59" i="19"/>
  <c r="K59" i="19"/>
  <c r="L59" i="19"/>
  <c r="O59" i="19"/>
  <c r="P59" i="19"/>
  <c r="Q59" i="19"/>
  <c r="R59" i="19"/>
  <c r="I60" i="19"/>
  <c r="J60" i="19"/>
  <c r="K60" i="19"/>
  <c r="L60" i="19"/>
  <c r="O60" i="19"/>
  <c r="P60" i="19"/>
  <c r="Q60" i="19"/>
  <c r="R60" i="19"/>
  <c r="I61" i="19"/>
  <c r="J61" i="19"/>
  <c r="K61" i="19"/>
  <c r="L61" i="19"/>
  <c r="O61" i="19"/>
  <c r="P61" i="19"/>
  <c r="Q61" i="19"/>
  <c r="R61" i="19"/>
  <c r="T62" i="19"/>
  <c r="E454" i="3" s="1"/>
  <c r="I63" i="19"/>
  <c r="J63" i="19"/>
  <c r="K63" i="19"/>
  <c r="L63" i="19"/>
  <c r="O64" i="19"/>
  <c r="P64" i="19"/>
  <c r="Q64" i="19"/>
  <c r="R64" i="19"/>
  <c r="I67" i="19"/>
  <c r="J67" i="19"/>
  <c r="T67" i="19" s="1"/>
  <c r="K67" i="19"/>
  <c r="L67" i="19"/>
  <c r="O68" i="19"/>
  <c r="P68" i="19"/>
  <c r="T68" i="19" s="1"/>
  <c r="Q68" i="19"/>
  <c r="R68" i="19"/>
  <c r="I69" i="19"/>
  <c r="J69" i="19"/>
  <c r="K69" i="19"/>
  <c r="L69" i="19"/>
  <c r="O69" i="19"/>
  <c r="P69" i="19"/>
  <c r="Q69" i="19"/>
  <c r="R69" i="19"/>
  <c r="T70" i="19"/>
  <c r="T71" i="19"/>
  <c r="I72" i="19"/>
  <c r="O72" i="19"/>
  <c r="I73" i="19"/>
  <c r="J73" i="19"/>
  <c r="K73" i="19"/>
  <c r="L73" i="19"/>
  <c r="O73" i="19"/>
  <c r="P73" i="19"/>
  <c r="Q73" i="19"/>
  <c r="R73" i="19"/>
  <c r="I74" i="19"/>
  <c r="J74" i="19"/>
  <c r="K74" i="19"/>
  <c r="L74" i="19"/>
  <c r="O74" i="19"/>
  <c r="P74" i="19"/>
  <c r="Q74" i="19"/>
  <c r="R74" i="19"/>
  <c r="I75" i="19"/>
  <c r="J75" i="19"/>
  <c r="K75" i="19"/>
  <c r="L75" i="19"/>
  <c r="O75" i="19"/>
  <c r="P75" i="19"/>
  <c r="Q75" i="19"/>
  <c r="R75" i="19"/>
  <c r="I76" i="19"/>
  <c r="J76" i="19"/>
  <c r="K76" i="19"/>
  <c r="L76" i="19"/>
  <c r="O76" i="19"/>
  <c r="P76" i="19"/>
  <c r="Q76" i="19"/>
  <c r="R76" i="19"/>
  <c r="I77" i="19"/>
  <c r="J77" i="19"/>
  <c r="K77" i="19"/>
  <c r="L77" i="19"/>
  <c r="O77" i="19"/>
  <c r="P77" i="19"/>
  <c r="Q77" i="19"/>
  <c r="R77" i="19"/>
  <c r="I78" i="19"/>
  <c r="J78" i="19"/>
  <c r="K78" i="19"/>
  <c r="L78" i="19"/>
  <c r="O78" i="19"/>
  <c r="P78" i="19"/>
  <c r="Q78" i="19"/>
  <c r="R78" i="19"/>
  <c r="I79" i="19"/>
  <c r="J79" i="19"/>
  <c r="K79" i="19"/>
  <c r="L79" i="19"/>
  <c r="O79" i="19"/>
  <c r="P79" i="19"/>
  <c r="Q79" i="19"/>
  <c r="R79" i="19"/>
  <c r="I80" i="19"/>
  <c r="J80" i="19"/>
  <c r="K80" i="19"/>
  <c r="L80" i="19"/>
  <c r="O80" i="19"/>
  <c r="P80" i="19"/>
  <c r="Q80" i="19"/>
  <c r="R80" i="19"/>
  <c r="I81" i="19"/>
  <c r="J81" i="19"/>
  <c r="K81" i="19"/>
  <c r="L81" i="19"/>
  <c r="O81" i="19"/>
  <c r="P81" i="19"/>
  <c r="Q81" i="19"/>
  <c r="R81" i="19"/>
  <c r="I82" i="19"/>
  <c r="J82" i="19"/>
  <c r="K82" i="19"/>
  <c r="L82" i="19"/>
  <c r="O82" i="19"/>
  <c r="P82" i="19"/>
  <c r="Q82" i="19"/>
  <c r="R82" i="19"/>
  <c r="I83" i="19"/>
  <c r="J83" i="19"/>
  <c r="K83" i="19"/>
  <c r="L83" i="19"/>
  <c r="O83" i="19"/>
  <c r="P83" i="19"/>
  <c r="Q83" i="19"/>
  <c r="R83" i="19"/>
  <c r="I84" i="19"/>
  <c r="J84" i="19"/>
  <c r="K84" i="19"/>
  <c r="L84" i="19"/>
  <c r="O84" i="19"/>
  <c r="P84" i="19"/>
  <c r="Q84" i="19"/>
  <c r="R84" i="19"/>
  <c r="I85" i="19"/>
  <c r="J85" i="19"/>
  <c r="K85" i="19"/>
  <c r="L85" i="19"/>
  <c r="O85" i="19"/>
  <c r="P85" i="19"/>
  <c r="Q85" i="19"/>
  <c r="R85" i="19"/>
  <c r="I86" i="19"/>
  <c r="J86" i="19"/>
  <c r="K86" i="19"/>
  <c r="L86" i="19"/>
  <c r="O86" i="19"/>
  <c r="P86" i="19"/>
  <c r="Q86" i="19"/>
  <c r="R86" i="19"/>
  <c r="I87" i="19"/>
  <c r="J87" i="19"/>
  <c r="K87" i="19"/>
  <c r="L87" i="19"/>
  <c r="O87" i="19"/>
  <c r="P87" i="19"/>
  <c r="Q87" i="19"/>
  <c r="R87" i="19"/>
  <c r="I88" i="19"/>
  <c r="J88" i="19"/>
  <c r="K88" i="19"/>
  <c r="L88" i="19"/>
  <c r="O88" i="19"/>
  <c r="P88" i="19"/>
  <c r="Q88" i="19"/>
  <c r="R88" i="19"/>
  <c r="I89" i="19"/>
  <c r="J89" i="19"/>
  <c r="K89" i="19"/>
  <c r="L89" i="19"/>
  <c r="O89" i="19"/>
  <c r="T89" i="19"/>
  <c r="P89" i="19"/>
  <c r="Q89" i="19"/>
  <c r="R89" i="19"/>
  <c r="I90" i="19"/>
  <c r="J90" i="19"/>
  <c r="K90" i="19"/>
  <c r="L90" i="19"/>
  <c r="O90" i="19"/>
  <c r="P90" i="19"/>
  <c r="Q90" i="19"/>
  <c r="R90" i="19"/>
  <c r="I91" i="19"/>
  <c r="J91" i="19"/>
  <c r="K91" i="19"/>
  <c r="L91" i="19"/>
  <c r="O91" i="19"/>
  <c r="P91" i="19"/>
  <c r="Q91" i="19"/>
  <c r="R91" i="19"/>
  <c r="I92" i="19"/>
  <c r="J92" i="19"/>
  <c r="K92" i="19"/>
  <c r="L92" i="19"/>
  <c r="O92" i="19"/>
  <c r="P92" i="19"/>
  <c r="Q92" i="19"/>
  <c r="R92" i="19"/>
  <c r="I93" i="19"/>
  <c r="O93" i="19"/>
  <c r="T93" i="19" s="1"/>
  <c r="E485" i="3" s="1"/>
  <c r="J94" i="19"/>
  <c r="P94" i="19"/>
  <c r="K95" i="19"/>
  <c r="T95" i="19"/>
  <c r="E487" i="3" s="1"/>
  <c r="Q95" i="19"/>
  <c r="L96" i="19"/>
  <c r="R96" i="19"/>
  <c r="T96" i="19"/>
  <c r="E488" i="3" s="1"/>
  <c r="I97" i="19"/>
  <c r="J97" i="19"/>
  <c r="K97" i="19"/>
  <c r="L97" i="19"/>
  <c r="O97" i="19"/>
  <c r="P97" i="19"/>
  <c r="Q97" i="19"/>
  <c r="R97" i="19"/>
  <c r="I98" i="19"/>
  <c r="J98" i="19"/>
  <c r="K98" i="19"/>
  <c r="L98" i="19"/>
  <c r="O98" i="19"/>
  <c r="P98" i="19"/>
  <c r="Q98" i="19"/>
  <c r="R98" i="19"/>
  <c r="I99" i="19"/>
  <c r="J99" i="19"/>
  <c r="K99" i="19"/>
  <c r="L99" i="19"/>
  <c r="O99" i="19"/>
  <c r="P99" i="19"/>
  <c r="Q99" i="19"/>
  <c r="R99" i="19"/>
  <c r="I100" i="19"/>
  <c r="J100" i="19"/>
  <c r="K100" i="19"/>
  <c r="L100" i="19"/>
  <c r="O100" i="19"/>
  <c r="P100" i="19"/>
  <c r="Q100" i="19"/>
  <c r="R100" i="19"/>
  <c r="I101" i="19"/>
  <c r="J101" i="19"/>
  <c r="K101" i="19"/>
  <c r="L101" i="19"/>
  <c r="O101" i="19"/>
  <c r="P101" i="19"/>
  <c r="Q101" i="19"/>
  <c r="R101" i="19"/>
  <c r="I102" i="19"/>
  <c r="J102" i="19"/>
  <c r="K102" i="19"/>
  <c r="L102" i="19"/>
  <c r="O102" i="19"/>
  <c r="P102" i="19"/>
  <c r="Q102" i="19"/>
  <c r="R102" i="19"/>
  <c r="I103" i="19"/>
  <c r="J103" i="19"/>
  <c r="K103" i="19"/>
  <c r="L103" i="19"/>
  <c r="O103" i="19"/>
  <c r="P103" i="19"/>
  <c r="Q103" i="19"/>
  <c r="R103" i="19"/>
  <c r="I20" i="23"/>
  <c r="J20" i="23"/>
  <c r="K20" i="23"/>
  <c r="L20" i="23"/>
  <c r="O20" i="23"/>
  <c r="P20" i="23"/>
  <c r="Q20" i="23"/>
  <c r="R20" i="23"/>
  <c r="I21" i="23"/>
  <c r="J21" i="23"/>
  <c r="K21" i="23"/>
  <c r="L21" i="23"/>
  <c r="O21" i="23"/>
  <c r="P21" i="23"/>
  <c r="Q21" i="23"/>
  <c r="R21" i="23"/>
  <c r="I22" i="23"/>
  <c r="J22" i="23"/>
  <c r="K22" i="23"/>
  <c r="L22" i="23"/>
  <c r="O22" i="23"/>
  <c r="P22" i="23"/>
  <c r="Q22" i="23"/>
  <c r="R22" i="23"/>
  <c r="I23" i="23"/>
  <c r="J23" i="23"/>
  <c r="K23" i="23"/>
  <c r="L23" i="23"/>
  <c r="O23" i="23"/>
  <c r="P23" i="23"/>
  <c r="Q23" i="23"/>
  <c r="R23" i="23"/>
  <c r="I24" i="23"/>
  <c r="J24" i="23"/>
  <c r="K24" i="23"/>
  <c r="L24" i="23"/>
  <c r="O25" i="23"/>
  <c r="P25" i="23"/>
  <c r="Q25" i="23"/>
  <c r="R25" i="23"/>
  <c r="I26" i="23"/>
  <c r="J26" i="23"/>
  <c r="K26" i="23"/>
  <c r="L26" i="23"/>
  <c r="O26" i="23"/>
  <c r="P26" i="23"/>
  <c r="Q26" i="23"/>
  <c r="R26" i="23"/>
  <c r="I27" i="23"/>
  <c r="J27" i="23"/>
  <c r="K27" i="23"/>
  <c r="L27" i="23"/>
  <c r="O27" i="23"/>
  <c r="P27" i="23"/>
  <c r="Q27" i="23"/>
  <c r="R27" i="23"/>
  <c r="I28" i="23"/>
  <c r="J28" i="23"/>
  <c r="K28" i="23"/>
  <c r="L28" i="23"/>
  <c r="O28" i="23"/>
  <c r="P28" i="23"/>
  <c r="Q28" i="23"/>
  <c r="R28" i="23"/>
  <c r="I29" i="23"/>
  <c r="J29" i="23"/>
  <c r="K29" i="23"/>
  <c r="L29" i="23"/>
  <c r="O29" i="23"/>
  <c r="P29" i="23"/>
  <c r="Q29" i="23"/>
  <c r="R29" i="23"/>
  <c r="I30" i="23"/>
  <c r="J30" i="23"/>
  <c r="K30" i="23"/>
  <c r="L30" i="23"/>
  <c r="O30" i="23"/>
  <c r="P30" i="23"/>
  <c r="Q30" i="23"/>
  <c r="T30" i="23" s="1"/>
  <c r="R30" i="23"/>
  <c r="I31" i="23"/>
  <c r="O31" i="23"/>
  <c r="J32" i="23"/>
  <c r="P32" i="23"/>
  <c r="T32" i="23" s="1"/>
  <c r="K33" i="23"/>
  <c r="Q33" i="23"/>
  <c r="L34" i="23"/>
  <c r="R34" i="23"/>
  <c r="T34" i="23"/>
  <c r="I35" i="23"/>
  <c r="O35" i="23"/>
  <c r="J36" i="23"/>
  <c r="T36" i="23"/>
  <c r="P36" i="23"/>
  <c r="K37" i="23"/>
  <c r="T37" i="23"/>
  <c r="Q37" i="23"/>
  <c r="L38" i="23"/>
  <c r="R38" i="23"/>
  <c r="I39" i="23"/>
  <c r="J39" i="23"/>
  <c r="K39" i="23"/>
  <c r="L39" i="23"/>
  <c r="O39" i="23"/>
  <c r="P39" i="23"/>
  <c r="T39" i="23" s="1"/>
  <c r="Q39" i="23"/>
  <c r="R39" i="23"/>
  <c r="I40" i="23"/>
  <c r="J40" i="23"/>
  <c r="K40" i="23"/>
  <c r="L40" i="23"/>
  <c r="O40" i="23"/>
  <c r="P40" i="23"/>
  <c r="Q40" i="23"/>
  <c r="R40" i="23"/>
  <c r="I41" i="23"/>
  <c r="T41" i="23" s="1"/>
  <c r="J41" i="23"/>
  <c r="K41" i="23"/>
  <c r="L41" i="23"/>
  <c r="O42" i="23"/>
  <c r="P42" i="23"/>
  <c r="T42" i="23" s="1"/>
  <c r="Q42" i="23"/>
  <c r="R42" i="23"/>
  <c r="I43" i="23"/>
  <c r="J43" i="23"/>
  <c r="K43" i="23"/>
  <c r="L43" i="23"/>
  <c r="O43" i="23"/>
  <c r="P43" i="23"/>
  <c r="Q43" i="23"/>
  <c r="R43" i="23"/>
  <c r="I44" i="23"/>
  <c r="J44" i="23"/>
  <c r="K44" i="23"/>
  <c r="L44" i="23"/>
  <c r="O44" i="23"/>
  <c r="P44" i="23"/>
  <c r="Q44" i="23"/>
  <c r="R44" i="23"/>
  <c r="I45" i="23"/>
  <c r="J45" i="23"/>
  <c r="K45" i="23"/>
  <c r="L45" i="23"/>
  <c r="O45" i="23"/>
  <c r="P45" i="23"/>
  <c r="Q45" i="23"/>
  <c r="R45" i="23"/>
  <c r="I46" i="23"/>
  <c r="J46" i="23"/>
  <c r="K46" i="23"/>
  <c r="L46" i="23"/>
  <c r="O46" i="23"/>
  <c r="P46" i="23"/>
  <c r="Q46" i="23"/>
  <c r="R46" i="23"/>
  <c r="I47" i="23"/>
  <c r="J47" i="23"/>
  <c r="K47" i="23"/>
  <c r="L47" i="23"/>
  <c r="O47" i="23"/>
  <c r="P47" i="23"/>
  <c r="Q47" i="23"/>
  <c r="R47" i="23"/>
  <c r="I48" i="23"/>
  <c r="T48" i="23"/>
  <c r="O48" i="23"/>
  <c r="I49" i="23"/>
  <c r="O49" i="23"/>
  <c r="J50" i="23"/>
  <c r="T50" i="23"/>
  <c r="P50" i="23"/>
  <c r="K51" i="23"/>
  <c r="T51" i="23" s="1"/>
  <c r="Q51" i="23"/>
  <c r="L52" i="23"/>
  <c r="T52" i="23" s="1"/>
  <c r="E444" i="3" s="1"/>
  <c r="R52" i="23"/>
  <c r="I53" i="23"/>
  <c r="O53" i="23"/>
  <c r="T53" i="23" s="1"/>
  <c r="J54" i="23"/>
  <c r="P54" i="23"/>
  <c r="K55" i="23"/>
  <c r="Q55" i="23"/>
  <c r="L56" i="23"/>
  <c r="R56" i="23"/>
  <c r="I57" i="23"/>
  <c r="T57" i="23"/>
  <c r="E449" i="3"/>
  <c r="O58" i="23"/>
  <c r="T58" i="23"/>
  <c r="I59" i="23"/>
  <c r="J59" i="23"/>
  <c r="K59" i="23"/>
  <c r="L59" i="23"/>
  <c r="O59" i="23"/>
  <c r="P59" i="23"/>
  <c r="Q59" i="23"/>
  <c r="R59" i="23"/>
  <c r="I60" i="23"/>
  <c r="T60" i="23" s="1"/>
  <c r="J60" i="23"/>
  <c r="K60" i="23"/>
  <c r="L60" i="23"/>
  <c r="O60" i="23"/>
  <c r="P60" i="23"/>
  <c r="Q60" i="23"/>
  <c r="R60" i="23"/>
  <c r="I61" i="23"/>
  <c r="J61" i="23"/>
  <c r="K61" i="23"/>
  <c r="L61" i="23"/>
  <c r="O61" i="23"/>
  <c r="P61" i="23"/>
  <c r="Q61" i="23"/>
  <c r="R61" i="23"/>
  <c r="T62" i="23"/>
  <c r="I63" i="23"/>
  <c r="J63" i="23"/>
  <c r="T63" i="23" s="1"/>
  <c r="K63" i="23"/>
  <c r="L63" i="23"/>
  <c r="O64" i="23"/>
  <c r="T64" i="23" s="1"/>
  <c r="P64" i="23"/>
  <c r="Q64" i="23"/>
  <c r="R64" i="23"/>
  <c r="I65" i="23"/>
  <c r="J65" i="23"/>
  <c r="K65" i="23"/>
  <c r="L65" i="23"/>
  <c r="O66" i="23"/>
  <c r="T66" i="23"/>
  <c r="E458" i="3"/>
  <c r="P66" i="23"/>
  <c r="Q66" i="23"/>
  <c r="R66" i="23"/>
  <c r="I67" i="23"/>
  <c r="T67" i="23"/>
  <c r="J67" i="23"/>
  <c r="K67" i="23"/>
  <c r="L67" i="23"/>
  <c r="O68" i="23"/>
  <c r="P68" i="23"/>
  <c r="Q68" i="23"/>
  <c r="T68" i="23" s="1"/>
  <c r="R68" i="23"/>
  <c r="I69" i="23"/>
  <c r="J69" i="23"/>
  <c r="K69" i="23"/>
  <c r="L69" i="23"/>
  <c r="O69" i="23"/>
  <c r="P69" i="23"/>
  <c r="Q69" i="23"/>
  <c r="R69" i="23"/>
  <c r="O70" i="23"/>
  <c r="T70" i="23"/>
  <c r="I71" i="23"/>
  <c r="T71" i="23"/>
  <c r="E463" i="3" s="1"/>
  <c r="I72" i="23"/>
  <c r="O72" i="23"/>
  <c r="I73" i="23"/>
  <c r="J73" i="23"/>
  <c r="K73" i="23"/>
  <c r="L73" i="23"/>
  <c r="O73" i="23"/>
  <c r="P73" i="23"/>
  <c r="Q73" i="23"/>
  <c r="R73" i="23"/>
  <c r="I74" i="23"/>
  <c r="J74" i="23"/>
  <c r="K74" i="23"/>
  <c r="L74" i="23"/>
  <c r="O74" i="23"/>
  <c r="P74" i="23"/>
  <c r="Q74" i="23"/>
  <c r="R74" i="23"/>
  <c r="I75" i="23"/>
  <c r="J75" i="23"/>
  <c r="K75" i="23"/>
  <c r="L75" i="23"/>
  <c r="O75" i="23"/>
  <c r="P75" i="23"/>
  <c r="Q75" i="23"/>
  <c r="R75" i="23"/>
  <c r="I76" i="23"/>
  <c r="J76" i="23"/>
  <c r="K76" i="23"/>
  <c r="L76" i="23"/>
  <c r="O76" i="23"/>
  <c r="P76" i="23"/>
  <c r="Q76" i="23"/>
  <c r="R76" i="23"/>
  <c r="I77" i="23"/>
  <c r="J77" i="23"/>
  <c r="K77" i="23"/>
  <c r="L77" i="23"/>
  <c r="O77" i="23"/>
  <c r="P77" i="23"/>
  <c r="Q77" i="23"/>
  <c r="R77" i="23"/>
  <c r="I78" i="23"/>
  <c r="J78" i="23"/>
  <c r="K78" i="23"/>
  <c r="L78" i="23"/>
  <c r="O78" i="23"/>
  <c r="P78" i="23"/>
  <c r="Q78" i="23"/>
  <c r="R78" i="23"/>
  <c r="I79" i="23"/>
  <c r="J79" i="23"/>
  <c r="K79" i="23"/>
  <c r="L79" i="23"/>
  <c r="O79" i="23"/>
  <c r="P79" i="23"/>
  <c r="Q79" i="23"/>
  <c r="R79" i="23"/>
  <c r="I80" i="23"/>
  <c r="J80" i="23"/>
  <c r="K80" i="23"/>
  <c r="L80" i="23"/>
  <c r="O80" i="23"/>
  <c r="P80" i="23"/>
  <c r="Q80" i="23"/>
  <c r="R80" i="23"/>
  <c r="I81" i="23"/>
  <c r="J81" i="23"/>
  <c r="K81" i="23"/>
  <c r="L81" i="23"/>
  <c r="O81" i="23"/>
  <c r="P81" i="23"/>
  <c r="Q81" i="23"/>
  <c r="R81" i="23"/>
  <c r="I82" i="23"/>
  <c r="J82" i="23"/>
  <c r="K82" i="23"/>
  <c r="L82" i="23"/>
  <c r="O82" i="23"/>
  <c r="P82" i="23"/>
  <c r="Q82" i="23"/>
  <c r="R82" i="23"/>
  <c r="I83" i="23"/>
  <c r="J83" i="23"/>
  <c r="K83" i="23"/>
  <c r="L83" i="23"/>
  <c r="O83" i="23"/>
  <c r="P83" i="23"/>
  <c r="Q83" i="23"/>
  <c r="R83" i="23"/>
  <c r="I84" i="23"/>
  <c r="J84" i="23"/>
  <c r="K84" i="23"/>
  <c r="L84" i="23"/>
  <c r="O84" i="23"/>
  <c r="P84" i="23"/>
  <c r="Q84" i="23"/>
  <c r="R84" i="23"/>
  <c r="I85" i="23"/>
  <c r="J85" i="23"/>
  <c r="K85" i="23"/>
  <c r="L85" i="23"/>
  <c r="O85" i="23"/>
  <c r="P85" i="23"/>
  <c r="Q85" i="23"/>
  <c r="R85" i="23"/>
  <c r="I86" i="23"/>
  <c r="J86" i="23"/>
  <c r="K86" i="23"/>
  <c r="L86" i="23"/>
  <c r="O86" i="23"/>
  <c r="P86" i="23"/>
  <c r="Q86" i="23"/>
  <c r="R86" i="23"/>
  <c r="I87" i="23"/>
  <c r="J87" i="23"/>
  <c r="K87" i="23"/>
  <c r="L87" i="23"/>
  <c r="O87" i="23"/>
  <c r="P87" i="23"/>
  <c r="Q87" i="23"/>
  <c r="R87" i="23"/>
  <c r="I88" i="23"/>
  <c r="J88" i="23"/>
  <c r="K88" i="23"/>
  <c r="L88" i="23"/>
  <c r="O88" i="23"/>
  <c r="P88" i="23"/>
  <c r="Q88" i="23"/>
  <c r="R88" i="23"/>
  <c r="I89" i="23"/>
  <c r="J89" i="23"/>
  <c r="K89" i="23"/>
  <c r="L89" i="23"/>
  <c r="O89" i="23"/>
  <c r="P89" i="23"/>
  <c r="Q89" i="23"/>
  <c r="R89" i="23"/>
  <c r="I90" i="23"/>
  <c r="J90" i="23"/>
  <c r="K90" i="23"/>
  <c r="L90" i="23"/>
  <c r="O90" i="23"/>
  <c r="P90" i="23"/>
  <c r="Q90" i="23"/>
  <c r="R90" i="23"/>
  <c r="I91" i="23"/>
  <c r="J91" i="23"/>
  <c r="K91" i="23"/>
  <c r="L91" i="23"/>
  <c r="O91" i="23"/>
  <c r="P91" i="23"/>
  <c r="Q91" i="23"/>
  <c r="R91" i="23"/>
  <c r="I92" i="23"/>
  <c r="J92" i="23"/>
  <c r="K92" i="23"/>
  <c r="L92" i="23"/>
  <c r="O92" i="23"/>
  <c r="P92" i="23"/>
  <c r="Q92" i="23"/>
  <c r="R92" i="23"/>
  <c r="I93" i="23"/>
  <c r="O93" i="23"/>
  <c r="J94" i="23"/>
  <c r="T94" i="23" s="1"/>
  <c r="P94" i="23"/>
  <c r="K95" i="23"/>
  <c r="T95" i="23"/>
  <c r="Q95" i="23"/>
  <c r="L96" i="23"/>
  <c r="T96" i="23" s="1"/>
  <c r="R96" i="23"/>
  <c r="I97" i="23"/>
  <c r="J97" i="23"/>
  <c r="K97" i="23"/>
  <c r="L97" i="23"/>
  <c r="O97" i="23"/>
  <c r="P97" i="23"/>
  <c r="Q97" i="23"/>
  <c r="R97" i="23"/>
  <c r="I98" i="23"/>
  <c r="J98" i="23"/>
  <c r="K98" i="23"/>
  <c r="L98" i="23"/>
  <c r="O98" i="23"/>
  <c r="P98" i="23"/>
  <c r="Q98" i="23"/>
  <c r="R98" i="23"/>
  <c r="I99" i="23"/>
  <c r="J99" i="23"/>
  <c r="K99" i="23"/>
  <c r="L99" i="23"/>
  <c r="O99" i="23"/>
  <c r="P99" i="23"/>
  <c r="Q99" i="23"/>
  <c r="R99" i="23"/>
  <c r="I100" i="23"/>
  <c r="J100" i="23"/>
  <c r="K100" i="23"/>
  <c r="L100" i="23"/>
  <c r="O100" i="23"/>
  <c r="P100" i="23"/>
  <c r="Q100" i="23"/>
  <c r="R100" i="23"/>
  <c r="I101" i="23"/>
  <c r="J101" i="23"/>
  <c r="K101" i="23"/>
  <c r="L101" i="23"/>
  <c r="O101" i="23"/>
  <c r="P101" i="23"/>
  <c r="T101" i="23" s="1"/>
  <c r="Q101" i="23"/>
  <c r="R101" i="23"/>
  <c r="I102" i="23"/>
  <c r="J102" i="23"/>
  <c r="K102" i="23"/>
  <c r="L102" i="23"/>
  <c r="O102" i="23"/>
  <c r="P102" i="23"/>
  <c r="Q102" i="23"/>
  <c r="R102" i="23"/>
  <c r="I103" i="23"/>
  <c r="J103" i="23"/>
  <c r="K103" i="23"/>
  <c r="L103" i="23"/>
  <c r="O103" i="23"/>
  <c r="P103" i="23"/>
  <c r="T103" i="23" s="1"/>
  <c r="Q103" i="23"/>
  <c r="R103" i="23"/>
  <c r="E39" i="18"/>
  <c r="F39" i="18"/>
  <c r="G39" i="18"/>
  <c r="H39" i="18"/>
  <c r="K39" i="18"/>
  <c r="L39" i="18"/>
  <c r="M39" i="18"/>
  <c r="N39" i="18"/>
  <c r="N40" i="18"/>
  <c r="Q40" i="18" s="1"/>
  <c r="E499" i="3" s="1"/>
  <c r="N41" i="18"/>
  <c r="Q41" i="18" s="1"/>
  <c r="E500" i="3" s="1"/>
  <c r="N42" i="18"/>
  <c r="Q42" i="18"/>
  <c r="E501" i="3"/>
  <c r="N43" i="18"/>
  <c r="Q43" i="18"/>
  <c r="E502" i="3"/>
  <c r="E44" i="18"/>
  <c r="F44" i="18"/>
  <c r="G44" i="18"/>
  <c r="H44" i="18"/>
  <c r="K44" i="18"/>
  <c r="L44" i="18"/>
  <c r="M44" i="18"/>
  <c r="N44" i="18"/>
  <c r="E45" i="18"/>
  <c r="F45" i="18"/>
  <c r="G45" i="18"/>
  <c r="H45" i="18"/>
  <c r="K45" i="18"/>
  <c r="Q45" i="18" s="1"/>
  <c r="L45" i="18"/>
  <c r="M45" i="18"/>
  <c r="N45" i="18"/>
  <c r="E46" i="18"/>
  <c r="F46" i="18"/>
  <c r="G46" i="18"/>
  <c r="H46" i="18"/>
  <c r="K46" i="18"/>
  <c r="Q46" i="18" s="1"/>
  <c r="E505" i="3" s="1"/>
  <c r="L46" i="18"/>
  <c r="M46" i="18"/>
  <c r="N46" i="18"/>
  <c r="E47" i="18"/>
  <c r="F47" i="18"/>
  <c r="G47" i="18"/>
  <c r="H47" i="18"/>
  <c r="K47" i="18"/>
  <c r="L47" i="18"/>
  <c r="M47" i="18"/>
  <c r="N47" i="18"/>
  <c r="E48" i="18"/>
  <c r="F48" i="18"/>
  <c r="G48" i="18"/>
  <c r="H48" i="18"/>
  <c r="K48" i="18"/>
  <c r="L48" i="18"/>
  <c r="M48" i="18"/>
  <c r="N48" i="18"/>
  <c r="E49" i="18"/>
  <c r="F49" i="18"/>
  <c r="G49" i="18"/>
  <c r="H49" i="18"/>
  <c r="K49" i="18"/>
  <c r="L49" i="18"/>
  <c r="M49" i="18"/>
  <c r="N49" i="18"/>
  <c r="E50" i="18"/>
  <c r="F50" i="18"/>
  <c r="G50" i="18"/>
  <c r="H50" i="18"/>
  <c r="K50" i="18"/>
  <c r="L50" i="18"/>
  <c r="M50" i="18"/>
  <c r="N50" i="18"/>
  <c r="E51" i="18"/>
  <c r="F51" i="18"/>
  <c r="G51" i="18"/>
  <c r="H51" i="18"/>
  <c r="K51" i="18"/>
  <c r="L51" i="18"/>
  <c r="M51" i="18"/>
  <c r="N51" i="18"/>
  <c r="E52" i="18"/>
  <c r="F52" i="18"/>
  <c r="G52" i="18"/>
  <c r="H52" i="18"/>
  <c r="K52" i="18"/>
  <c r="L52" i="18"/>
  <c r="M52" i="18"/>
  <c r="N52" i="18"/>
  <c r="E53" i="18"/>
  <c r="F53" i="18"/>
  <c r="G53" i="18"/>
  <c r="H53" i="18"/>
  <c r="K53" i="18"/>
  <c r="Q53" i="18" s="1"/>
  <c r="L53" i="18"/>
  <c r="M53" i="18"/>
  <c r="N53" i="18"/>
  <c r="E54" i="18"/>
  <c r="F54" i="18"/>
  <c r="G54" i="18"/>
  <c r="H54" i="18"/>
  <c r="K54" i="18"/>
  <c r="L54" i="18"/>
  <c r="M54" i="18"/>
  <c r="N54" i="18"/>
  <c r="E55" i="18"/>
  <c r="F55" i="18"/>
  <c r="G55" i="18"/>
  <c r="H55" i="18"/>
  <c r="K55" i="18"/>
  <c r="L55" i="18"/>
  <c r="M55" i="18"/>
  <c r="N55" i="18"/>
  <c r="E56" i="18"/>
  <c r="F56" i="18"/>
  <c r="G56" i="18"/>
  <c r="H56" i="18"/>
  <c r="K56" i="18"/>
  <c r="L56" i="18"/>
  <c r="M56" i="18"/>
  <c r="N56" i="18"/>
  <c r="E57" i="18"/>
  <c r="F57" i="18"/>
  <c r="G57" i="18"/>
  <c r="H57" i="18"/>
  <c r="K57" i="18"/>
  <c r="L57" i="18"/>
  <c r="M57" i="18"/>
  <c r="N57" i="18"/>
  <c r="E59" i="18"/>
  <c r="F59" i="18"/>
  <c r="G59" i="18"/>
  <c r="H59" i="18"/>
  <c r="K59" i="18"/>
  <c r="Q59" i="18" s="1"/>
  <c r="E518" i="3" s="1"/>
  <c r="L59" i="18"/>
  <c r="M59" i="18"/>
  <c r="N59" i="18"/>
  <c r="E60" i="18"/>
  <c r="F60" i="18"/>
  <c r="G60" i="18"/>
  <c r="H60" i="18"/>
  <c r="K60" i="18"/>
  <c r="L60" i="18"/>
  <c r="M60" i="18"/>
  <c r="N60" i="18"/>
  <c r="E61" i="18"/>
  <c r="F61" i="18"/>
  <c r="G61" i="18"/>
  <c r="H61" i="18"/>
  <c r="K61" i="18"/>
  <c r="L61" i="18"/>
  <c r="M61" i="18"/>
  <c r="N61" i="18"/>
  <c r="E62" i="18"/>
  <c r="F62" i="18"/>
  <c r="G62" i="18"/>
  <c r="H62" i="18"/>
  <c r="K62" i="18"/>
  <c r="Q62" i="18" s="1"/>
  <c r="L62" i="18"/>
  <c r="M62" i="18"/>
  <c r="N62" i="18"/>
  <c r="E63" i="18"/>
  <c r="F63" i="18"/>
  <c r="G63" i="18"/>
  <c r="H63" i="18"/>
  <c r="K63" i="18"/>
  <c r="L63" i="18"/>
  <c r="M63" i="18"/>
  <c r="N63" i="18"/>
  <c r="E64" i="18"/>
  <c r="F64" i="18"/>
  <c r="G64" i="18"/>
  <c r="H64" i="18"/>
  <c r="K64" i="18"/>
  <c r="L64" i="18"/>
  <c r="M64" i="18"/>
  <c r="N64" i="18"/>
  <c r="E65" i="18"/>
  <c r="F65" i="18"/>
  <c r="G65" i="18"/>
  <c r="H65" i="18"/>
  <c r="K65" i="18"/>
  <c r="L65" i="18"/>
  <c r="M65" i="18"/>
  <c r="N65" i="18"/>
  <c r="E66" i="18"/>
  <c r="F66" i="18"/>
  <c r="G66" i="18"/>
  <c r="H66" i="18"/>
  <c r="K66" i="18"/>
  <c r="L66" i="18"/>
  <c r="M66" i="18"/>
  <c r="N66" i="18"/>
  <c r="E67" i="18"/>
  <c r="F67" i="18"/>
  <c r="G67" i="18"/>
  <c r="H67" i="18"/>
  <c r="K67" i="18"/>
  <c r="L67" i="18"/>
  <c r="M67" i="18"/>
  <c r="N67" i="18"/>
  <c r="E68" i="18"/>
  <c r="F68" i="18"/>
  <c r="G68" i="18"/>
  <c r="H68" i="18"/>
  <c r="K68" i="18"/>
  <c r="L68" i="18"/>
  <c r="M68" i="18"/>
  <c r="N68" i="18"/>
  <c r="E69" i="18"/>
  <c r="F69" i="18"/>
  <c r="G69" i="18"/>
  <c r="H69" i="18"/>
  <c r="K69" i="18"/>
  <c r="L69" i="18"/>
  <c r="M69" i="18"/>
  <c r="N69" i="18"/>
  <c r="E70" i="18"/>
  <c r="K70" i="18"/>
  <c r="Q70" i="18" s="1"/>
  <c r="E529" i="3" s="1"/>
  <c r="E71" i="18"/>
  <c r="Q71" i="18" s="1"/>
  <c r="E530" i="3" s="1"/>
  <c r="K71" i="18"/>
  <c r="E72" i="18"/>
  <c r="F72" i="18"/>
  <c r="G72" i="18"/>
  <c r="H72" i="18"/>
  <c r="Q72" i="18" s="1"/>
  <c r="E531" i="3" s="1"/>
  <c r="K72" i="18"/>
  <c r="L72" i="18"/>
  <c r="M72" i="18"/>
  <c r="N72" i="18"/>
  <c r="E73" i="18"/>
  <c r="F73" i="18"/>
  <c r="G73" i="18"/>
  <c r="H73" i="18"/>
  <c r="K73" i="18"/>
  <c r="L73" i="18"/>
  <c r="M73" i="18"/>
  <c r="N73" i="18"/>
  <c r="E74" i="18"/>
  <c r="F74" i="18"/>
  <c r="G74" i="18"/>
  <c r="H74" i="18"/>
  <c r="K74" i="18"/>
  <c r="L74" i="18"/>
  <c r="M74" i="18"/>
  <c r="N74" i="18"/>
  <c r="E75" i="18"/>
  <c r="F75" i="18"/>
  <c r="G75" i="18"/>
  <c r="H75" i="18"/>
  <c r="K75" i="18"/>
  <c r="L75" i="18"/>
  <c r="M75" i="18"/>
  <c r="N75" i="18"/>
  <c r="E76" i="18"/>
  <c r="F76" i="18"/>
  <c r="G76" i="18"/>
  <c r="H76" i="18"/>
  <c r="K76" i="18"/>
  <c r="L76" i="18"/>
  <c r="M76" i="18"/>
  <c r="N76" i="18"/>
  <c r="E77" i="18"/>
  <c r="K77" i="18"/>
  <c r="Q77" i="18" s="1"/>
  <c r="E536" i="3" s="1"/>
  <c r="F78" i="18"/>
  <c r="L78" i="18"/>
  <c r="G79" i="18"/>
  <c r="Q79" i="18" s="1"/>
  <c r="M79" i="18"/>
  <c r="H80" i="18"/>
  <c r="Q80" i="18" s="1"/>
  <c r="E539" i="3"/>
  <c r="N80" i="18"/>
  <c r="E81" i="18"/>
  <c r="Q81" i="18"/>
  <c r="E540" i="3" s="1"/>
  <c r="K81" i="18"/>
  <c r="F82" i="18"/>
  <c r="Q82" i="18" s="1"/>
  <c r="E541" i="3" s="1"/>
  <c r="L82" i="18"/>
  <c r="G83" i="18"/>
  <c r="Q83" i="18"/>
  <c r="E542" i="3" s="1"/>
  <c r="M83" i="18"/>
  <c r="H84" i="18"/>
  <c r="N84" i="18"/>
  <c r="Q84" i="18"/>
  <c r="E543" i="3" s="1"/>
  <c r="G85" i="18"/>
  <c r="M85" i="18"/>
  <c r="H86" i="18"/>
  <c r="Q86" i="18"/>
  <c r="E545" i="3"/>
  <c r="N86" i="18"/>
  <c r="E87" i="18"/>
  <c r="Q87" i="18" s="1"/>
  <c r="E546" i="3" s="1"/>
  <c r="K87" i="18"/>
  <c r="F88" i="18"/>
  <c r="Q88" i="18" s="1"/>
  <c r="E547" i="3" s="1"/>
  <c r="L88" i="18"/>
  <c r="G89" i="18"/>
  <c r="M89" i="18"/>
  <c r="H90" i="18"/>
  <c r="N90" i="18"/>
  <c r="Q90" i="18"/>
  <c r="E549" i="3" s="1"/>
  <c r="E91" i="18"/>
  <c r="F91" i="18"/>
  <c r="G91" i="18"/>
  <c r="H91" i="18"/>
  <c r="K91" i="18"/>
  <c r="L91" i="18"/>
  <c r="M91" i="18"/>
  <c r="N91" i="18"/>
  <c r="E92" i="18"/>
  <c r="F92" i="18"/>
  <c r="G92" i="18"/>
  <c r="H92" i="18"/>
  <c r="Q92" i="18" s="1"/>
  <c r="E551" i="3" s="1"/>
  <c r="K92" i="18"/>
  <c r="L92" i="18"/>
  <c r="M92" i="18"/>
  <c r="N92" i="18"/>
  <c r="E93" i="18"/>
  <c r="K93" i="18"/>
  <c r="F94" i="18"/>
  <c r="Q94" i="18"/>
  <c r="E553" i="3" s="1"/>
  <c r="L94" i="18"/>
  <c r="G95" i="18"/>
  <c r="Q95" i="18" s="1"/>
  <c r="E554" i="3" s="1"/>
  <c r="M95" i="18"/>
  <c r="H96" i="18"/>
  <c r="N96" i="18"/>
  <c r="Q96" i="18" s="1"/>
  <c r="E555" i="3" s="1"/>
  <c r="E97" i="18"/>
  <c r="F97" i="18"/>
  <c r="G97" i="18"/>
  <c r="H97" i="18"/>
  <c r="K97" i="18"/>
  <c r="L97" i="18"/>
  <c r="M97" i="18"/>
  <c r="N97" i="18"/>
  <c r="E98" i="18"/>
  <c r="F98" i="18"/>
  <c r="G98" i="18"/>
  <c r="H98" i="18"/>
  <c r="K98" i="18"/>
  <c r="L98" i="18"/>
  <c r="M98" i="18"/>
  <c r="N98" i="18"/>
  <c r="E99" i="18"/>
  <c r="F99" i="18"/>
  <c r="G99" i="18"/>
  <c r="H99" i="18"/>
  <c r="K99" i="18"/>
  <c r="L99" i="18"/>
  <c r="M99" i="18"/>
  <c r="N99" i="18"/>
  <c r="E100" i="18"/>
  <c r="F100" i="18"/>
  <c r="G100" i="18"/>
  <c r="H100" i="18"/>
  <c r="K100" i="18"/>
  <c r="L100" i="18"/>
  <c r="M100" i="18"/>
  <c r="N100" i="18"/>
  <c r="E101" i="18"/>
  <c r="F101" i="18"/>
  <c r="G101" i="18"/>
  <c r="H101" i="18"/>
  <c r="K101" i="18"/>
  <c r="L101" i="18"/>
  <c r="M101" i="18"/>
  <c r="N101" i="18"/>
  <c r="E102" i="18"/>
  <c r="Q102" i="18" s="1"/>
  <c r="F102" i="18"/>
  <c r="G102" i="18"/>
  <c r="H102" i="18"/>
  <c r="K102" i="18"/>
  <c r="L102" i="18"/>
  <c r="M102" i="18"/>
  <c r="N102" i="18"/>
  <c r="E103" i="18"/>
  <c r="F103" i="18"/>
  <c r="G103" i="18"/>
  <c r="H103" i="18"/>
  <c r="K103" i="18"/>
  <c r="L103" i="18"/>
  <c r="M103" i="18"/>
  <c r="N103" i="18"/>
  <c r="CE72" i="16"/>
  <c r="FU72" i="16" s="1"/>
  <c r="CJ72" i="16"/>
  <c r="CO72" i="16"/>
  <c r="CT72" i="16"/>
  <c r="E568" i="3"/>
  <c r="CY72" i="16"/>
  <c r="DD72" i="16"/>
  <c r="DI72" i="16"/>
  <c r="DN72" i="16"/>
  <c r="CE73" i="16"/>
  <c r="CJ73" i="16"/>
  <c r="CO73" i="16"/>
  <c r="CT73" i="16"/>
  <c r="CY73" i="16"/>
  <c r="DD73" i="16"/>
  <c r="DI73" i="16"/>
  <c r="DN73" i="16"/>
  <c r="CE74" i="16"/>
  <c r="CJ74" i="16"/>
  <c r="CO74" i="16"/>
  <c r="CT74" i="16"/>
  <c r="CY74" i="16"/>
  <c r="DD74" i="16"/>
  <c r="DI74" i="16"/>
  <c r="DN74" i="16"/>
  <c r="CE76" i="16"/>
  <c r="CJ76" i="16"/>
  <c r="CO76" i="16"/>
  <c r="CT76" i="16"/>
  <c r="CY76" i="16"/>
  <c r="DD76" i="16"/>
  <c r="DI76" i="16"/>
  <c r="DN76" i="16"/>
  <c r="CE77" i="16"/>
  <c r="CJ77" i="16"/>
  <c r="CO77" i="16"/>
  <c r="CT77" i="16"/>
  <c r="CY77" i="16"/>
  <c r="DD77" i="16"/>
  <c r="DI77" i="16"/>
  <c r="DN77" i="16"/>
  <c r="CE78" i="16"/>
  <c r="CJ78" i="16"/>
  <c r="CO78" i="16"/>
  <c r="CT78" i="16"/>
  <c r="CY78" i="16"/>
  <c r="DD78" i="16"/>
  <c r="DI78" i="16"/>
  <c r="DN78" i="16"/>
  <c r="CE79" i="16"/>
  <c r="CJ79" i="16"/>
  <c r="CO79" i="16"/>
  <c r="CT79" i="16"/>
  <c r="CY79" i="16"/>
  <c r="DD79" i="16"/>
  <c r="DI79" i="16"/>
  <c r="DN79" i="16"/>
  <c r="CJ80" i="16"/>
  <c r="CO80" i="16"/>
  <c r="CT80" i="16"/>
  <c r="CY80" i="16"/>
  <c r="DD80" i="16"/>
  <c r="DI80" i="16"/>
  <c r="DN80" i="16"/>
  <c r="CJ81" i="16"/>
  <c r="CO81" i="16"/>
  <c r="CT81" i="16"/>
  <c r="CY81" i="16"/>
  <c r="DD81" i="16"/>
  <c r="DI81" i="16"/>
  <c r="DN81" i="16"/>
  <c r="CE82" i="16"/>
  <c r="CJ82" i="16"/>
  <c r="CO82" i="16"/>
  <c r="CT82" i="16"/>
  <c r="CY82" i="16"/>
  <c r="DD82" i="16"/>
  <c r="DI82" i="16"/>
  <c r="DN82" i="16"/>
  <c r="CE83" i="16"/>
  <c r="CG83" i="16"/>
  <c r="CJ83" i="16"/>
  <c r="CO83" i="16"/>
  <c r="CY83" i="16"/>
  <c r="DD83" i="16"/>
  <c r="DI83" i="16"/>
  <c r="DN83" i="16"/>
  <c r="CE84" i="16"/>
  <c r="CJ84" i="16"/>
  <c r="CO84" i="16"/>
  <c r="CY84" i="16"/>
  <c r="DD84" i="16"/>
  <c r="DI84" i="16"/>
  <c r="DN84" i="16"/>
  <c r="CE85" i="16"/>
  <c r="CJ85" i="16"/>
  <c r="CO85" i="16"/>
  <c r="CY85" i="16"/>
  <c r="DD85" i="16"/>
  <c r="DI85" i="16"/>
  <c r="FU85" i="16" s="1"/>
  <c r="E581" i="3" s="1"/>
  <c r="DN85" i="16"/>
  <c r="CE86" i="16"/>
  <c r="CJ86" i="16"/>
  <c r="CO86" i="16"/>
  <c r="CY86" i="16"/>
  <c r="DD86" i="16"/>
  <c r="DI86" i="16"/>
  <c r="DN86" i="16"/>
  <c r="FU86" i="16" s="1"/>
  <c r="E582" i="3" s="1"/>
  <c r="CE87" i="16"/>
  <c r="CJ87" i="16"/>
  <c r="CO87" i="16"/>
  <c r="CY87" i="16"/>
  <c r="DD87" i="16"/>
  <c r="DI87" i="16"/>
  <c r="DN87" i="16"/>
  <c r="CE88" i="16"/>
  <c r="FU88" i="16" s="1"/>
  <c r="E584" i="3" s="1"/>
  <c r="CJ88" i="16"/>
  <c r="CO88" i="16"/>
  <c r="CY88" i="16"/>
  <c r="DD88" i="16"/>
  <c r="DI88" i="16"/>
  <c r="DN88" i="16"/>
  <c r="CE89" i="16"/>
  <c r="CJ89" i="16"/>
  <c r="CO89" i="16"/>
  <c r="CY89" i="16"/>
  <c r="DD89" i="16"/>
  <c r="DI89" i="16"/>
  <c r="DN89" i="16"/>
  <c r="CE90" i="16"/>
  <c r="CJ90" i="16"/>
  <c r="CO90" i="16"/>
  <c r="CY90" i="16"/>
  <c r="DD90" i="16"/>
  <c r="DI90" i="16"/>
  <c r="DN90" i="16"/>
  <c r="CE91" i="16"/>
  <c r="CJ91" i="16"/>
  <c r="CO91" i="16"/>
  <c r="CY91" i="16"/>
  <c r="DD91" i="16"/>
  <c r="FU91" i="16" s="1"/>
  <c r="E587" i="3" s="1"/>
  <c r="DI91" i="16"/>
  <c r="DN91" i="16"/>
  <c r="CE92" i="16"/>
  <c r="CJ92" i="16"/>
  <c r="CO92" i="16"/>
  <c r="CY92" i="16"/>
  <c r="DD92" i="16"/>
  <c r="DI92" i="16"/>
  <c r="DN92" i="16"/>
  <c r="CE93" i="16"/>
  <c r="CJ93" i="16"/>
  <c r="CO93" i="16"/>
  <c r="CY93" i="16"/>
  <c r="DD93" i="16"/>
  <c r="DI93" i="16"/>
  <c r="DN93" i="16"/>
  <c r="CE94" i="16"/>
  <c r="CJ94" i="16"/>
  <c r="CO94" i="16"/>
  <c r="CY94" i="16"/>
  <c r="DD94" i="16"/>
  <c r="DI94" i="16"/>
  <c r="DN94" i="16"/>
  <c r="CE95" i="16"/>
  <c r="CJ95" i="16"/>
  <c r="CO95" i="16"/>
  <c r="CY95" i="16"/>
  <c r="DD95" i="16"/>
  <c r="FU95" i="16" s="1"/>
  <c r="E591" i="3" s="1"/>
  <c r="DI95" i="16"/>
  <c r="DN95" i="16"/>
  <c r="CE96" i="16"/>
  <c r="CJ96" i="16"/>
  <c r="CO96" i="16"/>
  <c r="CY96" i="16"/>
  <c r="DD96" i="16"/>
  <c r="DI96" i="16"/>
  <c r="DN96" i="16"/>
  <c r="CE97" i="16"/>
  <c r="CJ97" i="16"/>
  <c r="CO97" i="16"/>
  <c r="CY97" i="16"/>
  <c r="DD97" i="16"/>
  <c r="DI97" i="16"/>
  <c r="DN97" i="16"/>
  <c r="CE98" i="16"/>
  <c r="FU98" i="16" s="1"/>
  <c r="CJ98" i="16"/>
  <c r="CO98" i="16"/>
  <c r="CY98" i="16"/>
  <c r="DD98" i="16"/>
  <c r="DI98" i="16"/>
  <c r="DN98" i="16"/>
  <c r="CE99" i="16"/>
  <c r="FU99" i="16"/>
  <c r="E595" i="3" s="1"/>
  <c r="CJ99" i="16"/>
  <c r="CO99" i="16"/>
  <c r="CY99" i="16"/>
  <c r="DD99" i="16"/>
  <c r="DI99" i="16"/>
  <c r="DN99" i="16"/>
  <c r="CE100" i="16"/>
  <c r="CJ100" i="16"/>
  <c r="CO100" i="16"/>
  <c r="CT100" i="16"/>
  <c r="CY100" i="16"/>
  <c r="DD100" i="16"/>
  <c r="DI100" i="16"/>
  <c r="DN100" i="16"/>
  <c r="CE101" i="16"/>
  <c r="FU101" i="16" s="1"/>
  <c r="E597" i="3" s="1"/>
  <c r="CJ101" i="16"/>
  <c r="CO101" i="16"/>
  <c r="CY101" i="16"/>
  <c r="DD101" i="16"/>
  <c r="DI101" i="16"/>
  <c r="DN101" i="16"/>
  <c r="CE102" i="16"/>
  <c r="CJ102" i="16"/>
  <c r="CO102" i="16"/>
  <c r="CT102" i="16"/>
  <c r="CY102" i="16"/>
  <c r="DD102" i="16"/>
  <c r="DI102" i="16"/>
  <c r="DN102" i="16"/>
  <c r="CE103" i="16"/>
  <c r="CJ103" i="16"/>
  <c r="CO103" i="16"/>
  <c r="CY103" i="16"/>
  <c r="DD103" i="16"/>
  <c r="DI103" i="16"/>
  <c r="DN103" i="16"/>
  <c r="CE104" i="16"/>
  <c r="CJ104" i="16"/>
  <c r="CO104" i="16"/>
  <c r="CY104" i="16"/>
  <c r="DD104" i="16"/>
  <c r="DI104" i="16"/>
  <c r="DN104" i="16"/>
  <c r="CE105" i="16"/>
  <c r="CJ105" i="16"/>
  <c r="CO105" i="16"/>
  <c r="FU105" i="16" s="1"/>
  <c r="E601" i="3" s="1"/>
  <c r="CY105" i="16"/>
  <c r="DD105" i="16"/>
  <c r="DI105" i="16"/>
  <c r="DN105" i="16"/>
  <c r="CE106" i="16"/>
  <c r="FU106" i="16" s="1"/>
  <c r="E602" i="3" s="1"/>
  <c r="CJ106" i="16"/>
  <c r="CO106" i="16"/>
  <c r="CY106" i="16"/>
  <c r="DD106" i="16"/>
  <c r="DI106" i="16"/>
  <c r="DN106" i="16"/>
  <c r="CE107" i="16"/>
  <c r="CJ107" i="16"/>
  <c r="CO107" i="16"/>
  <c r="CY107" i="16"/>
  <c r="DD107" i="16"/>
  <c r="DI107" i="16"/>
  <c r="DN107" i="16"/>
  <c r="CE108" i="16"/>
  <c r="CJ108" i="16"/>
  <c r="CO108" i="16"/>
  <c r="CY108" i="16"/>
  <c r="DD108" i="16"/>
  <c r="DI108" i="16"/>
  <c r="DN108" i="16"/>
  <c r="CE109" i="16"/>
  <c r="FU109" i="16" s="1"/>
  <c r="E605" i="3"/>
  <c r="CJ109" i="16"/>
  <c r="CO109" i="16"/>
  <c r="CY109" i="16"/>
  <c r="DD109" i="16"/>
  <c r="DI109" i="16"/>
  <c r="DN109" i="16"/>
  <c r="CE110" i="16"/>
  <c r="CJ110" i="16"/>
  <c r="CO110" i="16"/>
  <c r="CY110" i="16"/>
  <c r="DD110" i="16"/>
  <c r="DI110" i="16"/>
  <c r="DN110" i="16"/>
  <c r="CE111" i="16"/>
  <c r="CJ111" i="16"/>
  <c r="CO111" i="16"/>
  <c r="CY111" i="16"/>
  <c r="DD111" i="16"/>
  <c r="DI111" i="16"/>
  <c r="DN111" i="16"/>
  <c r="FU111" i="16" s="1"/>
  <c r="E607" i="3" s="1"/>
  <c r="CE112" i="16"/>
  <c r="CJ112" i="16"/>
  <c r="CO112" i="16"/>
  <c r="CY112" i="16"/>
  <c r="DD112" i="16"/>
  <c r="DI112" i="16"/>
  <c r="DN112" i="16"/>
  <c r="CE113" i="16"/>
  <c r="CJ113" i="16"/>
  <c r="CO113" i="16"/>
  <c r="CY113" i="16"/>
  <c r="DD113" i="16"/>
  <c r="DI113" i="16"/>
  <c r="DN113" i="16"/>
  <c r="CE114" i="16"/>
  <c r="CJ114" i="16"/>
  <c r="FU114" i="16" s="1"/>
  <c r="E610" i="3" s="1"/>
  <c r="CO114" i="16"/>
  <c r="CY114" i="16"/>
  <c r="DD114" i="16"/>
  <c r="DI114" i="16"/>
  <c r="DN114" i="16"/>
  <c r="CE115" i="16"/>
  <c r="CJ115" i="16"/>
  <c r="CO115" i="16"/>
  <c r="CY115" i="16"/>
  <c r="DD115" i="16"/>
  <c r="DI115" i="16"/>
  <c r="DN115" i="16"/>
  <c r="CE116" i="16"/>
  <c r="CJ116" i="16"/>
  <c r="CO116" i="16"/>
  <c r="CY116" i="16"/>
  <c r="DD116" i="16"/>
  <c r="DI116" i="16"/>
  <c r="DN116" i="16"/>
  <c r="CE117" i="16"/>
  <c r="CJ117" i="16"/>
  <c r="CO117" i="16"/>
  <c r="CY117" i="16"/>
  <c r="DD117" i="16"/>
  <c r="DI117" i="16"/>
  <c r="DN117" i="16"/>
  <c r="CE118" i="16"/>
  <c r="CJ118" i="16"/>
  <c r="CO118" i="16"/>
  <c r="CY118" i="16"/>
  <c r="DD118" i="16"/>
  <c r="DI118" i="16"/>
  <c r="DN118" i="16"/>
  <c r="CE119" i="16"/>
  <c r="FU119" i="16" s="1"/>
  <c r="E615" i="3" s="1"/>
  <c r="CJ119" i="16"/>
  <c r="CO119" i="16"/>
  <c r="CY119" i="16"/>
  <c r="DD119" i="16"/>
  <c r="DI119" i="16"/>
  <c r="DN119" i="16"/>
  <c r="CE120" i="16"/>
  <c r="CJ120" i="16"/>
  <c r="CO120" i="16"/>
  <c r="CY120" i="16"/>
  <c r="DD120" i="16"/>
  <c r="DI120" i="16"/>
  <c r="DN120" i="16"/>
  <c r="CE121" i="16"/>
  <c r="CJ121" i="16"/>
  <c r="CO121" i="16"/>
  <c r="CY121" i="16"/>
  <c r="DD121" i="16"/>
  <c r="DI121" i="16"/>
  <c r="DN121" i="16"/>
  <c r="CE122" i="16"/>
  <c r="FU122" i="16" s="1"/>
  <c r="E618" i="3" s="1"/>
  <c r="CJ122" i="16"/>
  <c r="CO122" i="16"/>
  <c r="CY122" i="16"/>
  <c r="DD122" i="16"/>
  <c r="DI122" i="16"/>
  <c r="DN122" i="16"/>
  <c r="CE123" i="16"/>
  <c r="CJ123" i="16"/>
  <c r="CO123" i="16"/>
  <c r="CY123" i="16"/>
  <c r="DD123" i="16"/>
  <c r="DI123" i="16"/>
  <c r="DN123" i="16"/>
  <c r="CE124" i="16"/>
  <c r="CJ124" i="16"/>
  <c r="CO124" i="16"/>
  <c r="CY124" i="16"/>
  <c r="DD124" i="16"/>
  <c r="DI124" i="16"/>
  <c r="DN124" i="16"/>
  <c r="CE131" i="16"/>
  <c r="CJ131" i="16"/>
  <c r="CO131" i="16"/>
  <c r="CY131" i="16"/>
  <c r="DD131" i="16"/>
  <c r="DI131" i="16"/>
  <c r="DN131" i="16"/>
  <c r="CE132" i="16"/>
  <c r="CJ132" i="16"/>
  <c r="CO132" i="16"/>
  <c r="CY132" i="16"/>
  <c r="DD132" i="16"/>
  <c r="DI132" i="16"/>
  <c r="DN132" i="16"/>
  <c r="CE133" i="16"/>
  <c r="CJ133" i="16"/>
  <c r="CO133" i="16"/>
  <c r="CY133" i="16"/>
  <c r="DD133" i="16"/>
  <c r="DI133" i="16"/>
  <c r="DN133" i="16"/>
  <c r="CJ134" i="16"/>
  <c r="CO134" i="16"/>
  <c r="CY134" i="16"/>
  <c r="DD134" i="16"/>
  <c r="DI134" i="16"/>
  <c r="DN134" i="16"/>
  <c r="FU134" i="16" s="1"/>
  <c r="E630" i="3" s="1"/>
  <c r="CF135" i="16"/>
  <c r="CJ135" i="16"/>
  <c r="CO135" i="16"/>
  <c r="CY135" i="16"/>
  <c r="DD135" i="16"/>
  <c r="DI135" i="16"/>
  <c r="DN135" i="16"/>
  <c r="CF136" i="16"/>
  <c r="CJ136" i="16"/>
  <c r="CO136" i="16"/>
  <c r="CY136" i="16"/>
  <c r="DD136" i="16"/>
  <c r="DI136" i="16"/>
  <c r="DN136" i="16"/>
  <c r="CE137" i="16"/>
  <c r="CJ137" i="16"/>
  <c r="CO137" i="16"/>
  <c r="CY137" i="16"/>
  <c r="DD137" i="16"/>
  <c r="DI137" i="16"/>
  <c r="DN137" i="16"/>
  <c r="CE138" i="16"/>
  <c r="CG138" i="16"/>
  <c r="CJ138" i="16"/>
  <c r="CO138" i="16"/>
  <c r="CY138" i="16"/>
  <c r="DD138" i="16"/>
  <c r="DI138" i="16"/>
  <c r="DN138" i="16"/>
  <c r="CE140" i="16"/>
  <c r="FU140" i="16" s="1"/>
  <c r="E636" i="3" s="1"/>
  <c r="CG140" i="16"/>
  <c r="CJ140" i="16"/>
  <c r="CO140" i="16"/>
  <c r="CY140" i="16"/>
  <c r="DD140" i="16"/>
  <c r="DI140" i="16"/>
  <c r="DN140" i="16"/>
  <c r="CE141" i="16"/>
  <c r="CJ141" i="16"/>
  <c r="CO141" i="16"/>
  <c r="CY141" i="16"/>
  <c r="DD141" i="16"/>
  <c r="DI141" i="16"/>
  <c r="DN141" i="16"/>
  <c r="CE142" i="16"/>
  <c r="CJ142" i="16"/>
  <c r="FU142" i="16" s="1"/>
  <c r="E638" i="3" s="1"/>
  <c r="CO142" i="16"/>
  <c r="CY142" i="16"/>
  <c r="DD142" i="16"/>
  <c r="DI142" i="16"/>
  <c r="DN142" i="16"/>
  <c r="CE143" i="16"/>
  <c r="CJ143" i="16"/>
  <c r="CO143" i="16"/>
  <c r="FU143" i="16"/>
  <c r="E639" i="3" s="1"/>
  <c r="CY143" i="16"/>
  <c r="DD143" i="16"/>
  <c r="DI143" i="16"/>
  <c r="DN143" i="16"/>
  <c r="CE144" i="16"/>
  <c r="CJ144" i="16"/>
  <c r="CO144" i="16"/>
  <c r="CY144" i="16"/>
  <c r="DD144" i="16"/>
  <c r="DI144" i="16"/>
  <c r="DN144" i="16"/>
  <c r="CE145" i="16"/>
  <c r="CJ145" i="16"/>
  <c r="CO145" i="16"/>
  <c r="CY145" i="16"/>
  <c r="DD145" i="16"/>
  <c r="DI145" i="16"/>
  <c r="DN145" i="16"/>
  <c r="CE150" i="16"/>
  <c r="CJ150" i="16"/>
  <c r="CO150" i="16"/>
  <c r="CY150" i="16"/>
  <c r="DD150" i="16"/>
  <c r="DI150" i="16"/>
  <c r="DN150" i="16"/>
  <c r="CE161" i="16"/>
  <c r="CJ161" i="16"/>
  <c r="CO161" i="16"/>
  <c r="CY161" i="16"/>
  <c r="DD161" i="16"/>
  <c r="DI161" i="16"/>
  <c r="DN161" i="16"/>
  <c r="CE162" i="16"/>
  <c r="CJ162" i="16"/>
  <c r="CO162" i="16"/>
  <c r="CY162" i="16"/>
  <c r="DD162" i="16"/>
  <c r="DI162" i="16"/>
  <c r="DN162" i="16"/>
  <c r="CE163" i="16"/>
  <c r="FU163" i="16" s="1"/>
  <c r="E659" i="3" s="1"/>
  <c r="CJ163" i="16"/>
  <c r="CO163" i="16"/>
  <c r="CY163" i="16"/>
  <c r="DD163" i="16"/>
  <c r="DI163" i="16"/>
  <c r="DN163" i="16"/>
  <c r="CE164" i="16"/>
  <c r="CJ164" i="16"/>
  <c r="CO164" i="16"/>
  <c r="CY164" i="16"/>
  <c r="DD164" i="16"/>
  <c r="DI164" i="16"/>
  <c r="DN164" i="16"/>
  <c r="CE165" i="16"/>
  <c r="CJ165" i="16"/>
  <c r="CO165" i="16"/>
  <c r="CY165" i="16"/>
  <c r="DD165" i="16"/>
  <c r="DI165" i="16"/>
  <c r="DN165" i="16"/>
  <c r="CE166" i="16"/>
  <c r="CJ166" i="16"/>
  <c r="FU166" i="16" s="1"/>
  <c r="CO166" i="16"/>
  <c r="CY166" i="16"/>
  <c r="DD166" i="16"/>
  <c r="DI166" i="16"/>
  <c r="DN166" i="16"/>
  <c r="CE167" i="16"/>
  <c r="CJ167" i="16"/>
  <c r="FU167" i="16" s="1"/>
  <c r="CO167" i="16"/>
  <c r="CY167" i="16"/>
  <c r="DD167" i="16"/>
  <c r="DI167" i="16"/>
  <c r="DN167" i="16"/>
  <c r="CE168" i="16"/>
  <c r="CJ168" i="16"/>
  <c r="CO168" i="16"/>
  <c r="FU168" i="16" s="1"/>
  <c r="E664" i="3" s="1"/>
  <c r="CY168" i="16"/>
  <c r="DD168" i="16"/>
  <c r="DI168" i="16"/>
  <c r="DN168" i="16"/>
  <c r="CE169" i="16"/>
  <c r="CJ169" i="16"/>
  <c r="CO169" i="16"/>
  <c r="FU169" i="16"/>
  <c r="E665" i="3" s="1"/>
  <c r="CY169" i="16"/>
  <c r="DD169" i="16"/>
  <c r="DI169" i="16"/>
  <c r="DN169" i="16"/>
  <c r="CE170" i="16"/>
  <c r="CJ170" i="16"/>
  <c r="CO170" i="16"/>
  <c r="CY170" i="16"/>
  <c r="DD170" i="16"/>
  <c r="DI170" i="16"/>
  <c r="DN170" i="16"/>
  <c r="CE171" i="16"/>
  <c r="CJ171" i="16"/>
  <c r="CO171" i="16"/>
  <c r="CY171" i="16"/>
  <c r="DD171" i="16"/>
  <c r="DI171" i="16"/>
  <c r="DN171" i="16"/>
  <c r="CE172" i="16"/>
  <c r="CJ172" i="16"/>
  <c r="CO172" i="16"/>
  <c r="CY172" i="16"/>
  <c r="DD172" i="16"/>
  <c r="DI172" i="16"/>
  <c r="DN172" i="16"/>
  <c r="CE173" i="16"/>
  <c r="CJ173" i="16"/>
  <c r="CO173" i="16"/>
  <c r="CY173" i="16"/>
  <c r="DD173" i="16"/>
  <c r="DI173" i="16"/>
  <c r="DN173" i="16"/>
  <c r="CE174" i="16"/>
  <c r="CJ174" i="16"/>
  <c r="CO174" i="16"/>
  <c r="CY174" i="16"/>
  <c r="DD174" i="16"/>
  <c r="DI174" i="16"/>
  <c r="DN174" i="16"/>
  <c r="CE179" i="16"/>
  <c r="CJ179" i="16"/>
  <c r="CO179" i="16"/>
  <c r="CY179" i="16"/>
  <c r="DD179" i="16"/>
  <c r="DI179" i="16"/>
  <c r="DN179" i="16"/>
  <c r="CE180" i="16"/>
  <c r="FU180" i="16" s="1"/>
  <c r="E676" i="3" s="1"/>
  <c r="CJ180" i="16"/>
  <c r="CO180" i="16"/>
  <c r="CY180" i="16"/>
  <c r="DD180" i="16"/>
  <c r="DI180" i="16"/>
  <c r="DN180" i="16"/>
  <c r="CE181" i="16"/>
  <c r="CJ181" i="16"/>
  <c r="CO181" i="16"/>
  <c r="CY181" i="16"/>
  <c r="DD181" i="16"/>
  <c r="DI181" i="16"/>
  <c r="DN181" i="16"/>
  <c r="CE182" i="16"/>
  <c r="CJ182" i="16"/>
  <c r="CO182" i="16"/>
  <c r="CY182" i="16"/>
  <c r="DD182" i="16"/>
  <c r="DI182" i="16"/>
  <c r="DN182" i="16"/>
  <c r="CE183" i="16"/>
  <c r="CJ183" i="16"/>
  <c r="CO183" i="16"/>
  <c r="CY183" i="16"/>
  <c r="DD183" i="16"/>
  <c r="DI183" i="16"/>
  <c r="DN183" i="16"/>
  <c r="CE184" i="16"/>
  <c r="FU184" i="16" s="1"/>
  <c r="E680" i="3" s="1"/>
  <c r="CJ184" i="16"/>
  <c r="CO184" i="16"/>
  <c r="CY184" i="16"/>
  <c r="DD184" i="16"/>
  <c r="DI184" i="16"/>
  <c r="DN184" i="16"/>
  <c r="CE185" i="16"/>
  <c r="CJ185" i="16"/>
  <c r="CO185" i="16"/>
  <c r="CY185" i="16"/>
  <c r="DD185" i="16"/>
  <c r="DI185" i="16"/>
  <c r="DN185" i="16"/>
  <c r="CE186" i="16"/>
  <c r="CJ186" i="16"/>
  <c r="CO186" i="16"/>
  <c r="CY186" i="16"/>
  <c r="DD186" i="16"/>
  <c r="DI186" i="16"/>
  <c r="DN186" i="16"/>
  <c r="CE187" i="16"/>
  <c r="CJ187" i="16"/>
  <c r="CO187" i="16"/>
  <c r="CY187" i="16"/>
  <c r="DD187" i="16"/>
  <c r="DI187" i="16"/>
  <c r="FU187" i="16" s="1"/>
  <c r="E683" i="3" s="1"/>
  <c r="DN187" i="16"/>
  <c r="CE188" i="16"/>
  <c r="FU188" i="16" s="1"/>
  <c r="CJ188" i="16"/>
  <c r="E684" i="3"/>
  <c r="CO188" i="16"/>
  <c r="CY188" i="16"/>
  <c r="DD188" i="16"/>
  <c r="DI188" i="16"/>
  <c r="DN188" i="16"/>
  <c r="CE189" i="16"/>
  <c r="CJ189" i="16"/>
  <c r="CO189" i="16"/>
  <c r="CY189" i="16"/>
  <c r="DD189" i="16"/>
  <c r="DI189" i="16"/>
  <c r="DN189" i="16"/>
  <c r="CE190" i="16"/>
  <c r="CJ190" i="16"/>
  <c r="CO190" i="16"/>
  <c r="CY190" i="16"/>
  <c r="FU190" i="16"/>
  <c r="E686" i="3" s="1"/>
  <c r="DD190" i="16"/>
  <c r="DI190" i="16"/>
  <c r="DN190" i="16"/>
  <c r="CE191" i="16"/>
  <c r="FU191" i="16" s="1"/>
  <c r="E687" i="3" s="1"/>
  <c r="CJ191" i="16"/>
  <c r="CO191" i="16"/>
  <c r="CY191" i="16"/>
  <c r="DD191" i="16"/>
  <c r="DI191" i="16"/>
  <c r="DN191" i="16"/>
  <c r="CE192" i="16"/>
  <c r="CJ192" i="16"/>
  <c r="CO192" i="16"/>
  <c r="CY192" i="16"/>
  <c r="DD192" i="16"/>
  <c r="DI192" i="16"/>
  <c r="DN192" i="16"/>
  <c r="CE193" i="16"/>
  <c r="CJ193" i="16"/>
  <c r="CO193" i="16"/>
  <c r="CY193" i="16"/>
  <c r="DD193" i="16"/>
  <c r="DI193" i="16"/>
  <c r="DN193" i="16"/>
  <c r="CE194" i="16"/>
  <c r="CJ194" i="16"/>
  <c r="CO194" i="16"/>
  <c r="CY194" i="16"/>
  <c r="FU194" i="16"/>
  <c r="E690" i="3" s="1"/>
  <c r="DD194" i="16"/>
  <c r="DI194" i="16"/>
  <c r="DN194" i="16"/>
  <c r="CE195" i="16"/>
  <c r="CJ195" i="16"/>
  <c r="CO195" i="16"/>
  <c r="CT195" i="16"/>
  <c r="CY195" i="16"/>
  <c r="DD195" i="16"/>
  <c r="DI195" i="16"/>
  <c r="DN195" i="16"/>
  <c r="CT196" i="16"/>
  <c r="CY196" i="16"/>
  <c r="DI196" i="16"/>
  <c r="CE197" i="16"/>
  <c r="CJ197" i="16"/>
  <c r="CO197" i="16"/>
  <c r="CT197" i="16"/>
  <c r="CY197" i="16"/>
  <c r="DD197" i="16"/>
  <c r="DI197" i="16"/>
  <c r="DN197" i="16"/>
  <c r="CE198" i="16"/>
  <c r="CJ198" i="16"/>
  <c r="CO198" i="16"/>
  <c r="CT198" i="16"/>
  <c r="DD198" i="16"/>
  <c r="DI198" i="16"/>
  <c r="DN198" i="16"/>
  <c r="CE199" i="16"/>
  <c r="CJ199" i="16"/>
  <c r="CO199" i="16"/>
  <c r="CT199" i="16"/>
  <c r="CY199" i="16"/>
  <c r="DD199" i="16"/>
  <c r="DI199" i="16"/>
  <c r="DN199" i="16"/>
  <c r="CE200" i="16"/>
  <c r="CJ200" i="16"/>
  <c r="CO200" i="16"/>
  <c r="CT200" i="16"/>
  <c r="CY200" i="16"/>
  <c r="FU200" i="16" s="1"/>
  <c r="DD200" i="16"/>
  <c r="DI200" i="16"/>
  <c r="DN200" i="16"/>
  <c r="CY201" i="16"/>
  <c r="DI201" i="16"/>
  <c r="CE203" i="16"/>
  <c r="CJ203" i="16"/>
  <c r="CO203" i="16"/>
  <c r="CT203" i="16"/>
  <c r="CY203" i="16"/>
  <c r="DD203" i="16"/>
  <c r="DI203" i="16"/>
  <c r="DN203" i="16"/>
  <c r="CE204" i="16"/>
  <c r="CJ204" i="16"/>
  <c r="CO204" i="16"/>
  <c r="CT204" i="16"/>
  <c r="CY204" i="16"/>
  <c r="DD204" i="16"/>
  <c r="DI204" i="16"/>
  <c r="DN204" i="16"/>
  <c r="CY205" i="16"/>
  <c r="FU205" i="16"/>
  <c r="E701" i="3" s="1"/>
  <c r="DI205" i="16"/>
  <c r="DI206" i="16"/>
  <c r="CE255" i="16"/>
  <c r="CJ255" i="16"/>
  <c r="CO255" i="16"/>
  <c r="CY255" i="16"/>
  <c r="DD255" i="16"/>
  <c r="DI255" i="16"/>
  <c r="DN255" i="16"/>
  <c r="CE260" i="16"/>
  <c r="CJ260" i="16"/>
  <c r="CO260" i="16"/>
  <c r="CY260" i="16"/>
  <c r="DD260" i="16"/>
  <c r="DI260" i="16"/>
  <c r="DN260" i="16"/>
  <c r="CT262" i="16"/>
  <c r="CY262" i="16"/>
  <c r="DI262" i="16"/>
  <c r="DN262" i="16"/>
  <c r="CF268" i="16"/>
  <c r="FU268" i="16" s="1"/>
  <c r="CF269" i="16"/>
  <c r="FU269" i="16" s="1"/>
  <c r="CE270" i="16"/>
  <c r="CJ270" i="16"/>
  <c r="CO270" i="16"/>
  <c r="CY270" i="16"/>
  <c r="DD270" i="16"/>
  <c r="DI270" i="16"/>
  <c r="DN270" i="16"/>
  <c r="CE271" i="16"/>
  <c r="CJ271" i="16"/>
  <c r="CO271" i="16"/>
  <c r="CY271" i="16"/>
  <c r="DD271" i="16"/>
  <c r="DI271" i="16"/>
  <c r="DN271" i="16"/>
  <c r="FU271" i="16" s="1"/>
  <c r="CE272" i="16"/>
  <c r="CJ272" i="16"/>
  <c r="CO272" i="16"/>
  <c r="CY272" i="16"/>
  <c r="DD272" i="16"/>
  <c r="DI272" i="16"/>
  <c r="DN272" i="16"/>
  <c r="CE273" i="16"/>
  <c r="CJ273" i="16"/>
  <c r="CO273" i="16"/>
  <c r="CY273" i="16"/>
  <c r="DD273" i="16"/>
  <c r="DI273" i="16"/>
  <c r="DN273" i="16"/>
  <c r="CE274" i="16"/>
  <c r="CJ274" i="16"/>
  <c r="CO274" i="16"/>
  <c r="CY274" i="16"/>
  <c r="DD274" i="16"/>
  <c r="DI274" i="16"/>
  <c r="DN274" i="16"/>
  <c r="CE275" i="16"/>
  <c r="CJ275" i="16"/>
  <c r="CO275" i="16"/>
  <c r="FU275" i="16" s="1"/>
  <c r="CY275" i="16"/>
  <c r="DD275" i="16"/>
  <c r="DI275" i="16"/>
  <c r="DN275" i="16"/>
  <c r="CE276" i="16"/>
  <c r="CJ276" i="16"/>
  <c r="CO276" i="16"/>
  <c r="CY276" i="16"/>
  <c r="DD276" i="16"/>
  <c r="DI276" i="16"/>
  <c r="DN276" i="16"/>
  <c r="CE277" i="16"/>
  <c r="CJ277" i="16"/>
  <c r="CO277" i="16"/>
  <c r="CY277" i="16"/>
  <c r="DD277" i="16"/>
  <c r="FU277" i="16" s="1"/>
  <c r="DI277" i="16"/>
  <c r="DN277" i="16"/>
  <c r="CE278" i="16"/>
  <c r="CJ278" i="16"/>
  <c r="CO278" i="16"/>
  <c r="CY278" i="16"/>
  <c r="DD278" i="16"/>
  <c r="DI278" i="16"/>
  <c r="FU278" i="16" s="1"/>
  <c r="E774" i="3" s="1"/>
  <c r="DN278" i="16"/>
  <c r="CE279" i="16"/>
  <c r="CJ279" i="16"/>
  <c r="CO279" i="16"/>
  <c r="CY279" i="16"/>
  <c r="DD279" i="16"/>
  <c r="DI279" i="16"/>
  <c r="DN279" i="16"/>
  <c r="CE280" i="16"/>
  <c r="CJ280" i="16"/>
  <c r="CO280" i="16"/>
  <c r="CY280" i="16"/>
  <c r="DD280" i="16"/>
  <c r="DI280" i="16"/>
  <c r="DN280" i="16"/>
  <c r="CE283" i="16"/>
  <c r="CJ283" i="16"/>
  <c r="CO283" i="16"/>
  <c r="CY283" i="16"/>
  <c r="DD283" i="16"/>
  <c r="DI283" i="16"/>
  <c r="DN283" i="16"/>
  <c r="CE284" i="16"/>
  <c r="CJ284" i="16"/>
  <c r="FU284" i="16" s="1"/>
  <c r="CO284" i="16"/>
  <c r="CY284" i="16"/>
  <c r="DD284" i="16"/>
  <c r="DI284" i="16"/>
  <c r="DN284" i="16"/>
  <c r="CE285" i="16"/>
  <c r="CJ285" i="16"/>
  <c r="CO285" i="16"/>
  <c r="CY285" i="16"/>
  <c r="DD285" i="16"/>
  <c r="DI285" i="16"/>
  <c r="DN285" i="16"/>
  <c r="CE286" i="16"/>
  <c r="CJ286" i="16"/>
  <c r="CO286" i="16"/>
  <c r="CY286" i="16"/>
  <c r="FU286" i="16" s="1"/>
  <c r="E782" i="3" s="1"/>
  <c r="DD286" i="16"/>
  <c r="DI286" i="16"/>
  <c r="DN286" i="16"/>
  <c r="CE287" i="16"/>
  <c r="CJ287" i="16"/>
  <c r="CO287" i="16"/>
  <c r="CY287" i="16"/>
  <c r="DD287" i="16"/>
  <c r="DI287" i="16"/>
  <c r="DN287" i="16"/>
  <c r="CE288" i="16"/>
  <c r="CJ288" i="16"/>
  <c r="CO288" i="16"/>
  <c r="CY288" i="16"/>
  <c r="DD288" i="16"/>
  <c r="DI288" i="16"/>
  <c r="FU288" i="16" s="1"/>
  <c r="E784" i="3" s="1"/>
  <c r="DN288" i="16"/>
  <c r="CE289" i="16"/>
  <c r="CJ289" i="16"/>
  <c r="CO289" i="16"/>
  <c r="CY289" i="16"/>
  <c r="DD289" i="16"/>
  <c r="DI289" i="16"/>
  <c r="DN289" i="16"/>
  <c r="CE290" i="16"/>
  <c r="CJ290" i="16"/>
  <c r="CO290" i="16"/>
  <c r="CY290" i="16"/>
  <c r="DD290" i="16"/>
  <c r="DI290" i="16"/>
  <c r="DN290" i="16"/>
  <c r="CE291" i="16"/>
  <c r="CJ291" i="16"/>
  <c r="CO291" i="16"/>
  <c r="CY291" i="16"/>
  <c r="DD291" i="16"/>
  <c r="DI291" i="16"/>
  <c r="DN291" i="16"/>
  <c r="CE292" i="16"/>
  <c r="CJ292" i="16"/>
  <c r="FU292" i="16" s="1"/>
  <c r="E788" i="3" s="1"/>
  <c r="CO292" i="16"/>
  <c r="CY292" i="16"/>
  <c r="DD292" i="16"/>
  <c r="DI292" i="16"/>
  <c r="DN292" i="16"/>
  <c r="CE293" i="16"/>
  <c r="CJ293" i="16"/>
  <c r="CO293" i="16"/>
  <c r="CY293" i="16"/>
  <c r="DD293" i="16"/>
  <c r="DI293" i="16"/>
  <c r="DN293" i="16"/>
  <c r="CE294" i="16"/>
  <c r="CJ294" i="16"/>
  <c r="CO294" i="16"/>
  <c r="CY294" i="16"/>
  <c r="FU294" i="16" s="1"/>
  <c r="E790" i="3" s="1"/>
  <c r="DD294" i="16"/>
  <c r="DI294" i="16"/>
  <c r="DN294" i="16"/>
  <c r="CE295" i="16"/>
  <c r="CJ295" i="16"/>
  <c r="CO295" i="16"/>
  <c r="CY295" i="16"/>
  <c r="DD295" i="16"/>
  <c r="DI295" i="16"/>
  <c r="DN295" i="16"/>
  <c r="CE296" i="16"/>
  <c r="CJ296" i="16"/>
  <c r="CO296" i="16"/>
  <c r="CY296" i="16"/>
  <c r="DD296" i="16"/>
  <c r="DI296" i="16"/>
  <c r="FU296" i="16" s="1"/>
  <c r="DN296" i="16"/>
  <c r="CE297" i="16"/>
  <c r="CJ297" i="16"/>
  <c r="CO297" i="16"/>
  <c r="CY297" i="16"/>
  <c r="DD297" i="16"/>
  <c r="DI297" i="16"/>
  <c r="DN297" i="16"/>
  <c r="CE298" i="16"/>
  <c r="CJ298" i="16"/>
  <c r="CO298" i="16"/>
  <c r="CY298" i="16"/>
  <c r="DD298" i="16"/>
  <c r="DI298" i="16"/>
  <c r="DN298" i="16"/>
  <c r="CE299" i="16"/>
  <c r="CJ299" i="16"/>
  <c r="CO299" i="16"/>
  <c r="CY299" i="16"/>
  <c r="DD299" i="16"/>
  <c r="DI299" i="16"/>
  <c r="DN299" i="16"/>
  <c r="CE300" i="16"/>
  <c r="CJ300" i="16"/>
  <c r="CO300" i="16"/>
  <c r="CY300" i="16"/>
  <c r="DD300" i="16"/>
  <c r="DI300" i="16"/>
  <c r="DN300" i="16"/>
  <c r="CE301" i="16"/>
  <c r="CJ301" i="16"/>
  <c r="CO301" i="16"/>
  <c r="CY301" i="16"/>
  <c r="DD301" i="16"/>
  <c r="DI301" i="16"/>
  <c r="DN301" i="16"/>
  <c r="CE302" i="16"/>
  <c r="CJ302" i="16"/>
  <c r="CO302" i="16"/>
  <c r="CY302" i="16"/>
  <c r="FU302" i="16" s="1"/>
  <c r="DD302" i="16"/>
  <c r="DI302" i="16"/>
  <c r="DN302" i="16"/>
  <c r="CE303" i="16"/>
  <c r="CJ303" i="16"/>
  <c r="CO303" i="16"/>
  <c r="CY303" i="16"/>
  <c r="DD303" i="16"/>
  <c r="FU303" i="16" s="1"/>
  <c r="DI303" i="16"/>
  <c r="DN303" i="16"/>
  <c r="CE304" i="16"/>
  <c r="CJ304" i="16"/>
  <c r="CO304" i="16"/>
  <c r="CY304" i="16"/>
  <c r="DD304" i="16"/>
  <c r="DI304" i="16"/>
  <c r="FU304" i="16" s="1"/>
  <c r="E800" i="3" s="1"/>
  <c r="DN304" i="16"/>
  <c r="CE305" i="16"/>
  <c r="CJ305" i="16"/>
  <c r="CO305" i="16"/>
  <c r="CY305" i="16"/>
  <c r="DD305" i="16"/>
  <c r="DI305" i="16"/>
  <c r="DN305" i="16"/>
  <c r="CE306" i="16"/>
  <c r="CJ306" i="16"/>
  <c r="CO306" i="16"/>
  <c r="CY306" i="16"/>
  <c r="DD306" i="16"/>
  <c r="DI306" i="16"/>
  <c r="DN306" i="16"/>
  <c r="CE307" i="16"/>
  <c r="CJ307" i="16"/>
  <c r="CO307" i="16"/>
  <c r="CY307" i="16"/>
  <c r="DD307" i="16"/>
  <c r="DI307" i="16"/>
  <c r="DN307" i="16"/>
  <c r="CE308" i="16"/>
  <c r="CJ308" i="16"/>
  <c r="FU308" i="16" s="1"/>
  <c r="E804" i="3" s="1"/>
  <c r="CO308" i="16"/>
  <c r="CY308" i="16"/>
  <c r="DD308" i="16"/>
  <c r="DI308" i="16"/>
  <c r="DN308" i="16"/>
  <c r="CE309" i="16"/>
  <c r="CJ309" i="16"/>
  <c r="CO309" i="16"/>
  <c r="CY309" i="16"/>
  <c r="DD309" i="16"/>
  <c r="DI309" i="16"/>
  <c r="DN309" i="16"/>
  <c r="CE310" i="16"/>
  <c r="CJ310" i="16"/>
  <c r="CO310" i="16"/>
  <c r="CY310" i="16"/>
  <c r="FU310" i="16" s="1"/>
  <c r="E806" i="3" s="1"/>
  <c r="DD310" i="16"/>
  <c r="DI310" i="16"/>
  <c r="DN310" i="16"/>
  <c r="CE311" i="16"/>
  <c r="CJ311" i="16"/>
  <c r="CO311" i="16"/>
  <c r="CY311" i="16"/>
  <c r="DD311" i="16"/>
  <c r="FU311" i="16" s="1"/>
  <c r="DI311" i="16"/>
  <c r="DN311" i="16"/>
  <c r="CE312" i="16"/>
  <c r="CJ312" i="16"/>
  <c r="CO312" i="16"/>
  <c r="CY312" i="16"/>
  <c r="DD312" i="16"/>
  <c r="DI312" i="16"/>
  <c r="DN312" i="16"/>
  <c r="CE313" i="16"/>
  <c r="CJ313" i="16"/>
  <c r="CO313" i="16"/>
  <c r="CY313" i="16"/>
  <c r="DD313" i="16"/>
  <c r="DI313" i="16"/>
  <c r="DN313" i="16"/>
  <c r="CE314" i="16"/>
  <c r="CJ314" i="16"/>
  <c r="CO314" i="16"/>
  <c r="CY314" i="16"/>
  <c r="DD314" i="16"/>
  <c r="DI314" i="16"/>
  <c r="DN314" i="16"/>
  <c r="CE315" i="16"/>
  <c r="CJ315" i="16"/>
  <c r="CO315" i="16"/>
  <c r="CY315" i="16"/>
  <c r="DD315" i="16"/>
  <c r="DI315" i="16"/>
  <c r="DN315" i="16"/>
  <c r="CE316" i="16"/>
  <c r="CJ316" i="16"/>
  <c r="FU316" i="16" s="1"/>
  <c r="CO316" i="16"/>
  <c r="CY316" i="16"/>
  <c r="DD316" i="16"/>
  <c r="DI316" i="16"/>
  <c r="DN316" i="16"/>
  <c r="CE317" i="16"/>
  <c r="CJ317" i="16"/>
  <c r="CO317" i="16"/>
  <c r="CY317" i="16"/>
  <c r="DD317" i="16"/>
  <c r="DI317" i="16"/>
  <c r="DN317" i="16"/>
  <c r="CE318" i="16"/>
  <c r="CJ318" i="16"/>
  <c r="CO318" i="16"/>
  <c r="CY318" i="16"/>
  <c r="FU318" i="16" s="1"/>
  <c r="DD318" i="16"/>
  <c r="DI318" i="16"/>
  <c r="DN318" i="16"/>
  <c r="CE319" i="16"/>
  <c r="CJ319" i="16"/>
  <c r="CO319" i="16"/>
  <c r="CY319" i="16"/>
  <c r="DD319" i="16"/>
  <c r="DI319" i="16"/>
  <c r="DN319" i="16"/>
  <c r="CE320" i="16"/>
  <c r="CJ320" i="16"/>
  <c r="CO320" i="16"/>
  <c r="CY320" i="16"/>
  <c r="DD320" i="16"/>
  <c r="DI320" i="16"/>
  <c r="DN320" i="16"/>
  <c r="CE321" i="16"/>
  <c r="CJ321" i="16"/>
  <c r="CO321" i="16"/>
  <c r="CY321" i="16"/>
  <c r="DD321" i="16"/>
  <c r="DI321" i="16"/>
  <c r="DN321" i="16"/>
  <c r="CE322" i="16"/>
  <c r="CJ322" i="16"/>
  <c r="CO322" i="16"/>
  <c r="CY322" i="16"/>
  <c r="DD322" i="16"/>
  <c r="DI322" i="16"/>
  <c r="DN322" i="16"/>
  <c r="CE323" i="16"/>
  <c r="CJ323" i="16"/>
  <c r="CO323" i="16"/>
  <c r="CY323" i="16"/>
  <c r="DD323" i="16"/>
  <c r="DI323" i="16"/>
  <c r="DN323" i="16"/>
  <c r="CE324" i="16"/>
  <c r="CJ324" i="16"/>
  <c r="CO324" i="16"/>
  <c r="CY324" i="16"/>
  <c r="DD324" i="16"/>
  <c r="DI324" i="16"/>
  <c r="DN324" i="16"/>
  <c r="CE325" i="16"/>
  <c r="CJ325" i="16"/>
  <c r="CO325" i="16"/>
  <c r="CY325" i="16"/>
  <c r="DD325" i="16"/>
  <c r="DI325" i="16"/>
  <c r="DN325" i="16"/>
  <c r="CE326" i="16"/>
  <c r="CJ326" i="16"/>
  <c r="CO326" i="16"/>
  <c r="CY326" i="16"/>
  <c r="DD326" i="16"/>
  <c r="DI326" i="16"/>
  <c r="DN326" i="16"/>
  <c r="CE327" i="16"/>
  <c r="CJ327" i="16"/>
  <c r="CO327" i="16"/>
  <c r="CY327" i="16"/>
  <c r="DD327" i="16"/>
  <c r="DI327" i="16"/>
  <c r="DN327" i="16"/>
  <c r="CE328" i="16"/>
  <c r="CJ328" i="16"/>
  <c r="CO328" i="16"/>
  <c r="CY328" i="16"/>
  <c r="DD328" i="16"/>
  <c r="DI328" i="16"/>
  <c r="DN328" i="16"/>
  <c r="CJ329" i="16"/>
  <c r="CO329" i="16"/>
  <c r="CY329" i="16"/>
  <c r="DI329" i="16"/>
  <c r="CJ330" i="16"/>
  <c r="CO330" i="16"/>
  <c r="CY330" i="16"/>
  <c r="DI330" i="16"/>
  <c r="CJ331" i="16"/>
  <c r="CO331" i="16"/>
  <c r="CY331" i="16"/>
  <c r="DI331" i="16"/>
  <c r="CJ332" i="16"/>
  <c r="CO332" i="16"/>
  <c r="CY332" i="16"/>
  <c r="DI332" i="16"/>
  <c r="CJ333" i="16"/>
  <c r="CO333" i="16"/>
  <c r="CY333" i="16"/>
  <c r="DI333" i="16"/>
  <c r="CJ334" i="16"/>
  <c r="CO334" i="16"/>
  <c r="CY334" i="16"/>
  <c r="DI334" i="16"/>
  <c r="CJ335" i="16"/>
  <c r="CO335" i="16"/>
  <c r="CY335" i="16"/>
  <c r="DI335" i="16"/>
  <c r="CJ336" i="16"/>
  <c r="CO336" i="16"/>
  <c r="CY336" i="16"/>
  <c r="DI336" i="16"/>
  <c r="CJ337" i="16"/>
  <c r="CO337" i="16"/>
  <c r="CY337" i="16"/>
  <c r="DI337" i="16"/>
  <c r="CE338" i="16"/>
  <c r="CJ338" i="16"/>
  <c r="CO338" i="16"/>
  <c r="CY338" i="16"/>
  <c r="DD338" i="16"/>
  <c r="DI338" i="16"/>
  <c r="DN338" i="16"/>
  <c r="CE339" i="16"/>
  <c r="CJ339" i="16"/>
  <c r="CO339" i="16"/>
  <c r="CY339" i="16"/>
  <c r="DD339" i="16"/>
  <c r="DI339" i="16"/>
  <c r="DN339" i="16"/>
  <c r="CE340" i="16"/>
  <c r="CJ340" i="16"/>
  <c r="CO340" i="16"/>
  <c r="CY340" i="16"/>
  <c r="DD340" i="16"/>
  <c r="FU340" i="16" s="1"/>
  <c r="DI340" i="16"/>
  <c r="DN340" i="16"/>
  <c r="CE341" i="16"/>
  <c r="CJ341" i="16"/>
  <c r="CO341" i="16"/>
  <c r="CY341" i="16"/>
  <c r="DD341" i="16"/>
  <c r="DI341" i="16"/>
  <c r="FU341" i="16" s="1"/>
  <c r="E837" i="3" s="1"/>
  <c r="DN341" i="16"/>
  <c r="CE342" i="16"/>
  <c r="CJ342" i="16"/>
  <c r="CO342" i="16"/>
  <c r="CT342" i="16"/>
  <c r="CY342" i="16"/>
  <c r="DD342" i="16"/>
  <c r="DI342" i="16"/>
  <c r="DN342" i="16"/>
  <c r="CE343" i="16"/>
  <c r="CJ343" i="16"/>
  <c r="CO343" i="16"/>
  <c r="CT343" i="16"/>
  <c r="CY343" i="16"/>
  <c r="DD343" i="16"/>
  <c r="DI343" i="16"/>
  <c r="FU343" i="16" s="1"/>
  <c r="E839" i="3" s="1"/>
  <c r="DN343" i="16"/>
  <c r="CE344" i="16"/>
  <c r="CJ344" i="16"/>
  <c r="CO344" i="16"/>
  <c r="CY344" i="16"/>
  <c r="DD344" i="16"/>
  <c r="DI344" i="16"/>
  <c r="DN344" i="16"/>
  <c r="FU344" i="16" s="1"/>
  <c r="CF345" i="16"/>
  <c r="CE347" i="16"/>
  <c r="CJ347" i="16"/>
  <c r="CO347" i="16"/>
  <c r="CY347" i="16"/>
  <c r="DD347" i="16"/>
  <c r="DI347" i="16"/>
  <c r="DN347" i="16"/>
  <c r="CE348" i="16"/>
  <c r="CJ348" i="16"/>
  <c r="CO348" i="16"/>
  <c r="CY348" i="16"/>
  <c r="DD348" i="16"/>
  <c r="DI348" i="16"/>
  <c r="DN348" i="16"/>
  <c r="CE349" i="16"/>
  <c r="CJ349" i="16"/>
  <c r="CO349" i="16"/>
  <c r="CY349" i="16"/>
  <c r="DD349" i="16"/>
  <c r="DI349" i="16"/>
  <c r="DN349" i="16"/>
  <c r="CE350" i="16"/>
  <c r="CJ350" i="16"/>
  <c r="CO350" i="16"/>
  <c r="CY350" i="16"/>
  <c r="DD350" i="16"/>
  <c r="DI350" i="16"/>
  <c r="DN350" i="16"/>
  <c r="CE352" i="16"/>
  <c r="CJ352" i="16"/>
  <c r="CO352" i="16"/>
  <c r="FU352" i="16" s="1"/>
  <c r="CY352" i="16"/>
  <c r="DD352" i="16"/>
  <c r="DI352" i="16"/>
  <c r="DN352" i="16"/>
  <c r="CE353" i="16"/>
  <c r="CJ353" i="16"/>
  <c r="CO353" i="16"/>
  <c r="CY353" i="16"/>
  <c r="DD353" i="16"/>
  <c r="DI353" i="16"/>
  <c r="DN353" i="16"/>
  <c r="CE354" i="16"/>
  <c r="CJ354" i="16"/>
  <c r="CO354" i="16"/>
  <c r="CY354" i="16"/>
  <c r="DD354" i="16"/>
  <c r="DI354" i="16"/>
  <c r="DN354" i="16"/>
  <c r="CE355" i="16"/>
  <c r="CJ355" i="16"/>
  <c r="CO355" i="16"/>
  <c r="CY355" i="16"/>
  <c r="DD355" i="16"/>
  <c r="DI355" i="16"/>
  <c r="DN355" i="16"/>
  <c r="CE356" i="16"/>
  <c r="CJ356" i="16"/>
  <c r="CO356" i="16"/>
  <c r="CY356" i="16"/>
  <c r="DD356" i="16"/>
  <c r="DI356" i="16"/>
  <c r="DN356" i="16"/>
  <c r="FU356" i="16" s="1"/>
  <c r="CE358" i="16"/>
  <c r="CJ358" i="16"/>
  <c r="CO358" i="16"/>
  <c r="CY358" i="16"/>
  <c r="DD358" i="16"/>
  <c r="DI358" i="16"/>
  <c r="DN358" i="16"/>
  <c r="CE360" i="16"/>
  <c r="FU360" i="16" s="1"/>
  <c r="CJ360" i="16"/>
  <c r="CO360" i="16"/>
  <c r="CY360" i="16"/>
  <c r="DD360" i="16"/>
  <c r="DI360" i="16"/>
  <c r="DN360" i="16"/>
  <c r="CE361" i="16"/>
  <c r="CJ361" i="16"/>
  <c r="CO361" i="16"/>
  <c r="CY361" i="16"/>
  <c r="DD361" i="16"/>
  <c r="DI361" i="16"/>
  <c r="DN361" i="16"/>
  <c r="CF362" i="16"/>
  <c r="CT362" i="16"/>
  <c r="FU362" i="16"/>
  <c r="E858" i="3" s="1"/>
  <c r="CF363" i="16"/>
  <c r="CT363" i="16"/>
  <c r="CE364" i="16"/>
  <c r="CJ364" i="16"/>
  <c r="CO364" i="16"/>
  <c r="CY364" i="16"/>
  <c r="DD364" i="16"/>
  <c r="DI364" i="16"/>
  <c r="DN364" i="16"/>
  <c r="DI365" i="16"/>
  <c r="DN365" i="16"/>
  <c r="FU365" i="16"/>
  <c r="E861" i="3" s="1"/>
  <c r="DI366" i="16"/>
  <c r="DN366" i="16"/>
  <c r="CE369" i="16"/>
  <c r="CJ369" i="16"/>
  <c r="CO369" i="16"/>
  <c r="CT369" i="16"/>
  <c r="CY369" i="16"/>
  <c r="DD369" i="16"/>
  <c r="DI369" i="16"/>
  <c r="DN369" i="16"/>
  <c r="CE370" i="16"/>
  <c r="CJ370" i="16"/>
  <c r="CO370" i="16"/>
  <c r="CT370" i="16"/>
  <c r="CY370" i="16"/>
  <c r="DD370" i="16"/>
  <c r="DI370" i="16"/>
  <c r="DN370" i="16"/>
  <c r="CE371" i="16"/>
  <c r="CJ371" i="16"/>
  <c r="CO371" i="16"/>
  <c r="CT371" i="16"/>
  <c r="CY371" i="16"/>
  <c r="DD371" i="16"/>
  <c r="DI371" i="16"/>
  <c r="DN371" i="16"/>
  <c r="CE372" i="16"/>
  <c r="CJ372" i="16"/>
  <c r="CO372" i="16"/>
  <c r="CT372" i="16"/>
  <c r="CY372" i="16"/>
  <c r="DD372" i="16"/>
  <c r="DI372" i="16"/>
  <c r="DN372" i="16"/>
  <c r="CE373" i="16"/>
  <c r="CJ373" i="16"/>
  <c r="CO373" i="16"/>
  <c r="CT373" i="16"/>
  <c r="CY373" i="16"/>
  <c r="DD373" i="16"/>
  <c r="DI373" i="16"/>
  <c r="DN373" i="16"/>
  <c r="CE374" i="16"/>
  <c r="CJ374" i="16"/>
  <c r="CO374" i="16"/>
  <c r="CT374" i="16"/>
  <c r="CY374" i="16"/>
  <c r="DD374" i="16"/>
  <c r="DI374" i="16"/>
  <c r="DN374" i="16"/>
  <c r="CE375" i="16"/>
  <c r="CJ375" i="16"/>
  <c r="CO375" i="16"/>
  <c r="CT375" i="16"/>
  <c r="CY375" i="16"/>
  <c r="DD375" i="16"/>
  <c r="DI375" i="16"/>
  <c r="DN375" i="16"/>
  <c r="CE377" i="16"/>
  <c r="CF377" i="16"/>
  <c r="CJ377" i="16"/>
  <c r="CO377" i="16"/>
  <c r="CT377" i="16"/>
  <c r="CY377" i="16"/>
  <c r="DD377" i="16"/>
  <c r="DI377" i="16"/>
  <c r="DN377" i="16"/>
  <c r="CE378" i="16"/>
  <c r="CJ378" i="16"/>
  <c r="CO378" i="16"/>
  <c r="CT378" i="16"/>
  <c r="CY378" i="16"/>
  <c r="DD378" i="16"/>
  <c r="DI378" i="16"/>
  <c r="DN378" i="16"/>
  <c r="CE379" i="16"/>
  <c r="CJ379" i="16"/>
  <c r="CO379" i="16"/>
  <c r="CT379" i="16"/>
  <c r="CY379" i="16"/>
  <c r="DD379" i="16"/>
  <c r="DI379" i="16"/>
  <c r="DN379" i="16"/>
  <c r="CE380" i="16"/>
  <c r="CJ380" i="16"/>
  <c r="CO380" i="16"/>
  <c r="CT380" i="16"/>
  <c r="CY380" i="16"/>
  <c r="DD380" i="16"/>
  <c r="DI380" i="16"/>
  <c r="DN380" i="16"/>
  <c r="CE381" i="16"/>
  <c r="CJ381" i="16"/>
  <c r="CO381" i="16"/>
  <c r="CT381" i="16"/>
  <c r="CY381" i="16"/>
  <c r="DD381" i="16"/>
  <c r="DI381" i="16"/>
  <c r="DN381" i="16"/>
  <c r="CE382" i="16"/>
  <c r="CJ382" i="16"/>
  <c r="CO382" i="16"/>
  <c r="CT382" i="16"/>
  <c r="CY382" i="16"/>
  <c r="DD382" i="16"/>
  <c r="DI382" i="16"/>
  <c r="DN382" i="16"/>
  <c r="CE383" i="16"/>
  <c r="CJ383" i="16"/>
  <c r="CO383" i="16"/>
  <c r="CT383" i="16"/>
  <c r="CY383" i="16"/>
  <c r="DD383" i="16"/>
  <c r="DI383" i="16"/>
  <c r="DN383" i="16"/>
  <c r="CE384" i="16"/>
  <c r="CJ384" i="16"/>
  <c r="CO384" i="16"/>
  <c r="CT384" i="16"/>
  <c r="CY384" i="16"/>
  <c r="DD384" i="16"/>
  <c r="DI384" i="16"/>
  <c r="DN384" i="16"/>
  <c r="CE385" i="16"/>
  <c r="CJ385" i="16"/>
  <c r="CO385" i="16"/>
  <c r="CT385" i="16"/>
  <c r="CY385" i="16"/>
  <c r="DD385" i="16"/>
  <c r="DI385" i="16"/>
  <c r="DN385" i="16"/>
  <c r="CE386" i="16"/>
  <c r="FU386" i="16" s="1"/>
  <c r="E882" i="3" s="1"/>
  <c r="CJ386" i="16"/>
  <c r="CO386" i="16"/>
  <c r="CT386" i="16"/>
  <c r="CY386" i="16"/>
  <c r="DD386" i="16"/>
  <c r="DI386" i="16"/>
  <c r="DN386" i="16"/>
  <c r="CE387" i="16"/>
  <c r="CJ387" i="16"/>
  <c r="CO387" i="16"/>
  <c r="CT387" i="16"/>
  <c r="CY387" i="16"/>
  <c r="DD387" i="16"/>
  <c r="DI387" i="16"/>
  <c r="DN387" i="16"/>
  <c r="CE388" i="16"/>
  <c r="CJ388" i="16"/>
  <c r="CO388" i="16"/>
  <c r="CT388" i="16"/>
  <c r="CY388" i="16"/>
  <c r="DD388" i="16"/>
  <c r="DI388" i="16"/>
  <c r="DN388" i="16"/>
  <c r="CE389" i="16"/>
  <c r="CJ389" i="16"/>
  <c r="CO389" i="16"/>
  <c r="CT389" i="16"/>
  <c r="CY389" i="16"/>
  <c r="DD389" i="16"/>
  <c r="DI389" i="16"/>
  <c r="DN389" i="16"/>
  <c r="CE390" i="16"/>
  <c r="CJ390" i="16"/>
  <c r="CO390" i="16"/>
  <c r="CT390" i="16"/>
  <c r="CY390" i="16"/>
  <c r="DD390" i="16"/>
  <c r="DI390" i="16"/>
  <c r="DN390" i="16"/>
  <c r="CE391" i="16"/>
  <c r="CJ391" i="16"/>
  <c r="CO391" i="16"/>
  <c r="CT391" i="16"/>
  <c r="CY391" i="16"/>
  <c r="DD391" i="16"/>
  <c r="DI391" i="16"/>
  <c r="DN391" i="16"/>
  <c r="CE392" i="16"/>
  <c r="CJ392" i="16"/>
  <c r="CO392" i="16"/>
  <c r="CT392" i="16"/>
  <c r="CY392" i="16"/>
  <c r="DD392" i="16"/>
  <c r="DI392" i="16"/>
  <c r="DN392" i="16"/>
  <c r="CE393" i="16"/>
  <c r="CJ393" i="16"/>
  <c r="CO393" i="16"/>
  <c r="CT393" i="16"/>
  <c r="CY393" i="16"/>
  <c r="DD393" i="16"/>
  <c r="DI393" i="16"/>
  <c r="DN393" i="16"/>
  <c r="CE394" i="16"/>
  <c r="CJ394" i="16"/>
  <c r="CO394" i="16"/>
  <c r="CT394" i="16"/>
  <c r="CY394" i="16"/>
  <c r="DD394" i="16"/>
  <c r="DI394" i="16"/>
  <c r="DN394" i="16"/>
  <c r="CE395" i="16"/>
  <c r="CJ395" i="16"/>
  <c r="CO395" i="16"/>
  <c r="CT395" i="16"/>
  <c r="CY395" i="16"/>
  <c r="DD395" i="16"/>
  <c r="DI395" i="16"/>
  <c r="DN395" i="16"/>
  <c r="CE396" i="16"/>
  <c r="CJ396" i="16"/>
  <c r="CO396" i="16"/>
  <c r="CT396" i="16"/>
  <c r="CY396" i="16"/>
  <c r="DD396" i="16"/>
  <c r="DI396" i="16"/>
  <c r="DN396" i="16"/>
  <c r="CE397" i="16"/>
  <c r="CJ397" i="16"/>
  <c r="CO397" i="16"/>
  <c r="CT397" i="16"/>
  <c r="CY397" i="16"/>
  <c r="DD397" i="16"/>
  <c r="DI397" i="16"/>
  <c r="DN397" i="16"/>
  <c r="CE398" i="16"/>
  <c r="CJ398" i="16"/>
  <c r="CO398" i="16"/>
  <c r="CT398" i="16"/>
  <c r="CY398" i="16"/>
  <c r="DD398" i="16"/>
  <c r="DI398" i="16"/>
  <c r="DN398" i="16"/>
  <c r="CE399" i="16"/>
  <c r="CJ399" i="16"/>
  <c r="CO399" i="16"/>
  <c r="CT399" i="16"/>
  <c r="CY399" i="16"/>
  <c r="DD399" i="16"/>
  <c r="DI399" i="16"/>
  <c r="DN399" i="16"/>
  <c r="CE400" i="16"/>
  <c r="CJ400" i="16"/>
  <c r="CO400" i="16"/>
  <c r="CT400" i="16"/>
  <c r="CY400" i="16"/>
  <c r="DD400" i="16"/>
  <c r="DI400" i="16"/>
  <c r="DN400" i="16"/>
  <c r="CE401" i="16"/>
  <c r="CJ401" i="16"/>
  <c r="CO401" i="16"/>
  <c r="CT401" i="16"/>
  <c r="CY401" i="16"/>
  <c r="DD401" i="16"/>
  <c r="DI401" i="16"/>
  <c r="DN401" i="16"/>
  <c r="CE402" i="16"/>
  <c r="CJ402" i="16"/>
  <c r="CO402" i="16"/>
  <c r="CT402" i="16"/>
  <c r="CY402" i="16"/>
  <c r="DD402" i="16"/>
  <c r="DI402" i="16"/>
  <c r="DN402" i="16"/>
  <c r="CE403" i="16"/>
  <c r="CJ403" i="16"/>
  <c r="CO403" i="16"/>
  <c r="CT403" i="16"/>
  <c r="CY403" i="16"/>
  <c r="DD403" i="16"/>
  <c r="DI403" i="16"/>
  <c r="DN403" i="16"/>
  <c r="CE404" i="16"/>
  <c r="CJ404" i="16"/>
  <c r="CO404" i="16"/>
  <c r="CT404" i="16"/>
  <c r="CY404" i="16"/>
  <c r="DD404" i="16"/>
  <c r="DI404" i="16"/>
  <c r="DN404" i="16"/>
  <c r="CE405" i="16"/>
  <c r="CJ405" i="16"/>
  <c r="CO405" i="16"/>
  <c r="CT405" i="16"/>
  <c r="CY405" i="16"/>
  <c r="DD405" i="16"/>
  <c r="DI405" i="16"/>
  <c r="DN405" i="16"/>
  <c r="CE406" i="16"/>
  <c r="CJ406" i="16"/>
  <c r="CO406" i="16"/>
  <c r="CT406" i="16"/>
  <c r="CY406" i="16"/>
  <c r="DD406" i="16"/>
  <c r="DI406" i="16"/>
  <c r="DN406" i="16"/>
  <c r="CE407" i="16"/>
  <c r="CJ407" i="16"/>
  <c r="CO407" i="16"/>
  <c r="CT407" i="16"/>
  <c r="CY407" i="16"/>
  <c r="DD407" i="16"/>
  <c r="DI407" i="16"/>
  <c r="DN407" i="16"/>
  <c r="CE408" i="16"/>
  <c r="CJ408" i="16"/>
  <c r="CO408" i="16"/>
  <c r="CT408" i="16"/>
  <c r="CY408" i="16"/>
  <c r="DD408" i="16"/>
  <c r="DI408" i="16"/>
  <c r="DN408" i="16"/>
  <c r="CE409" i="16"/>
  <c r="CJ409" i="16"/>
  <c r="CO409" i="16"/>
  <c r="CT409" i="16"/>
  <c r="CY409" i="16"/>
  <c r="DD409" i="16"/>
  <c r="DI409" i="16"/>
  <c r="DN409" i="16"/>
  <c r="CE410" i="16"/>
  <c r="CJ410" i="16"/>
  <c r="CO410" i="16"/>
  <c r="CT410" i="16"/>
  <c r="CY410" i="16"/>
  <c r="DD410" i="16"/>
  <c r="DI410" i="16"/>
  <c r="DN410" i="16"/>
  <c r="CE411" i="16"/>
  <c r="CJ411" i="16"/>
  <c r="CO411" i="16"/>
  <c r="CT411" i="16"/>
  <c r="CY411" i="16"/>
  <c r="DD411" i="16"/>
  <c r="DI411" i="16"/>
  <c r="DN411" i="16"/>
  <c r="CE412" i="16"/>
  <c r="CJ412" i="16"/>
  <c r="CO412" i="16"/>
  <c r="CT412" i="16"/>
  <c r="CY412" i="16"/>
  <c r="DD412" i="16"/>
  <c r="DI412" i="16"/>
  <c r="DN412" i="16"/>
  <c r="CE413" i="16"/>
  <c r="CJ413" i="16"/>
  <c r="CO413" i="16"/>
  <c r="CT413" i="16"/>
  <c r="CY413" i="16"/>
  <c r="DD413" i="16"/>
  <c r="DI413" i="16"/>
  <c r="DN413" i="16"/>
  <c r="CE414" i="16"/>
  <c r="CJ414" i="16"/>
  <c r="CO414" i="16"/>
  <c r="CT414" i="16"/>
  <c r="CY414" i="16"/>
  <c r="DD414" i="16"/>
  <c r="DI414" i="16"/>
  <c r="DN414" i="16"/>
  <c r="CE415" i="16"/>
  <c r="FU415" i="16" s="1"/>
  <c r="CJ415" i="16"/>
  <c r="CO415" i="16"/>
  <c r="CT415" i="16"/>
  <c r="CY415" i="16"/>
  <c r="DD415" i="16"/>
  <c r="DI415" i="16"/>
  <c r="DN415" i="16"/>
  <c r="CE416" i="16"/>
  <c r="CJ416" i="16"/>
  <c r="CO416" i="16"/>
  <c r="CT416" i="16"/>
  <c r="CY416" i="16"/>
  <c r="DD416" i="16"/>
  <c r="DI416" i="16"/>
  <c r="DN416" i="16"/>
  <c r="CE417" i="16"/>
  <c r="CJ417" i="16"/>
  <c r="CO417" i="16"/>
  <c r="CT417" i="16"/>
  <c r="CY417" i="16"/>
  <c r="DD417" i="16"/>
  <c r="DI417" i="16"/>
  <c r="DN417" i="16"/>
  <c r="CE418" i="16"/>
  <c r="CJ418" i="16"/>
  <c r="CO418" i="16"/>
  <c r="CT418" i="16"/>
  <c r="CY418" i="16"/>
  <c r="DD418" i="16"/>
  <c r="DI418" i="16"/>
  <c r="DN418" i="16"/>
  <c r="CE419" i="16"/>
  <c r="CJ419" i="16"/>
  <c r="CO419" i="16"/>
  <c r="CT419" i="16"/>
  <c r="CY419" i="16"/>
  <c r="DD419" i="16"/>
  <c r="DI419" i="16"/>
  <c r="DN419" i="16"/>
  <c r="FU421" i="16"/>
  <c r="CE422" i="16"/>
  <c r="CJ422" i="16"/>
  <c r="CO422" i="16"/>
  <c r="CE423" i="16"/>
  <c r="CJ423" i="16"/>
  <c r="CO423" i="16"/>
  <c r="CT423" i="16"/>
  <c r="CY423" i="16"/>
  <c r="DD423" i="16"/>
  <c r="DI423" i="16"/>
  <c r="DN423" i="16"/>
  <c r="CE424" i="16"/>
  <c r="CJ424" i="16"/>
  <c r="CO424" i="16"/>
  <c r="CT424" i="16"/>
  <c r="CY424" i="16"/>
  <c r="DD424" i="16"/>
  <c r="DI424" i="16"/>
  <c r="DN424" i="16"/>
  <c r="DI425" i="16"/>
  <c r="CJ426" i="16"/>
  <c r="CO426" i="16"/>
  <c r="CT426" i="16"/>
  <c r="CY426" i="16"/>
  <c r="DD426" i="16"/>
  <c r="DI426" i="16"/>
  <c r="DN426" i="16"/>
  <c r="CE427" i="16"/>
  <c r="CJ427" i="16"/>
  <c r="CO427" i="16"/>
  <c r="CT427" i="16"/>
  <c r="CY427" i="16"/>
  <c r="DD427" i="16"/>
  <c r="DI427" i="16"/>
  <c r="DN427" i="16"/>
  <c r="CE428" i="16"/>
  <c r="FU428" i="16" s="1"/>
  <c r="CY428" i="16"/>
  <c r="DD428" i="16"/>
  <c r="DI428" i="16"/>
  <c r="DN428" i="16"/>
  <c r="CE431" i="16"/>
  <c r="CJ431" i="16"/>
  <c r="CO431" i="16"/>
  <c r="CT431" i="16"/>
  <c r="CY431" i="16"/>
  <c r="DD431" i="16"/>
  <c r="DI431" i="16"/>
  <c r="DN431" i="16"/>
  <c r="CE432" i="16"/>
  <c r="CJ432" i="16"/>
  <c r="CO432" i="16"/>
  <c r="CT432" i="16"/>
  <c r="CY432" i="16"/>
  <c r="DD432" i="16"/>
  <c r="DI432" i="16"/>
  <c r="DN432" i="16"/>
  <c r="CE433" i="16"/>
  <c r="CJ433" i="16"/>
  <c r="CO433" i="16"/>
  <c r="CT433" i="16"/>
  <c r="CY433" i="16"/>
  <c r="DD433" i="16"/>
  <c r="DI433" i="16"/>
  <c r="DN433" i="16"/>
  <c r="CE434" i="16"/>
  <c r="CJ434" i="16"/>
  <c r="CO434" i="16"/>
  <c r="CT434" i="16"/>
  <c r="CY434" i="16"/>
  <c r="DD434" i="16"/>
  <c r="DI434" i="16"/>
  <c r="DN434" i="16"/>
  <c r="CE435" i="16"/>
  <c r="FU435" i="16" s="1"/>
  <c r="CJ435" i="16"/>
  <c r="CO435" i="16"/>
  <c r="CT435" i="16"/>
  <c r="CY435" i="16"/>
  <c r="DD435" i="16"/>
  <c r="DI435" i="16"/>
  <c r="DN435" i="16"/>
  <c r="CE436" i="16"/>
  <c r="CJ436" i="16"/>
  <c r="CO436" i="16"/>
  <c r="CT436" i="16"/>
  <c r="CY436" i="16"/>
  <c r="DD436" i="16"/>
  <c r="DI436" i="16"/>
  <c r="DN436" i="16"/>
  <c r="CE437" i="16"/>
  <c r="FU437" i="16" s="1"/>
  <c r="CJ437" i="16"/>
  <c r="CO437" i="16"/>
  <c r="CT437" i="16"/>
  <c r="CY437" i="16"/>
  <c r="DD437" i="16"/>
  <c r="DI437" i="16"/>
  <c r="DN437" i="16"/>
  <c r="CE438" i="16"/>
  <c r="CJ438" i="16"/>
  <c r="CO438" i="16"/>
  <c r="CT438" i="16"/>
  <c r="CY438" i="16"/>
  <c r="DD438" i="16"/>
  <c r="DI438" i="16"/>
  <c r="DN438" i="16"/>
  <c r="CE439" i="16"/>
  <c r="CJ439" i="16"/>
  <c r="CO439" i="16"/>
  <c r="CT439" i="16"/>
  <c r="CY439" i="16"/>
  <c r="DD439" i="16"/>
  <c r="DI439" i="16"/>
  <c r="DN439" i="16"/>
  <c r="CE440" i="16"/>
  <c r="FU440" i="16" s="1"/>
  <c r="CJ440" i="16"/>
  <c r="CO440" i="16"/>
  <c r="CT440" i="16"/>
  <c r="CY440" i="16"/>
  <c r="DD440" i="16"/>
  <c r="DI440" i="16"/>
  <c r="DN440" i="16"/>
  <c r="CE441" i="16"/>
  <c r="CJ441" i="16"/>
  <c r="CO441" i="16"/>
  <c r="CT441" i="16"/>
  <c r="CY441" i="16"/>
  <c r="DD441" i="16"/>
  <c r="DI441" i="16"/>
  <c r="CE442" i="16"/>
  <c r="CJ442" i="16"/>
  <c r="CO442" i="16"/>
  <c r="CT442" i="16"/>
  <c r="CY442" i="16"/>
  <c r="DD442" i="16"/>
  <c r="DI442" i="16"/>
  <c r="CE443" i="16"/>
  <c r="CJ443" i="16"/>
  <c r="CO443" i="16"/>
  <c r="CT443" i="16"/>
  <c r="CY443" i="16"/>
  <c r="DD443" i="16"/>
  <c r="DI443" i="16"/>
  <c r="CE444" i="16"/>
  <c r="CJ444" i="16"/>
  <c r="CO444" i="16"/>
  <c r="CT444" i="16"/>
  <c r="CY444" i="16"/>
  <c r="DD444" i="16"/>
  <c r="DI444" i="16"/>
  <c r="CE445" i="16"/>
  <c r="CJ445" i="16"/>
  <c r="CO445" i="16"/>
  <c r="CT445" i="16"/>
  <c r="CY445" i="16"/>
  <c r="DD445" i="16"/>
  <c r="DI445" i="16"/>
  <c r="DN445" i="16"/>
  <c r="CE446" i="16"/>
  <c r="CJ446" i="16"/>
  <c r="CO446" i="16"/>
  <c r="CT446" i="16"/>
  <c r="CY446" i="16"/>
  <c r="DD446" i="16"/>
  <c r="DI446" i="16"/>
  <c r="DN446" i="16"/>
  <c r="CE447" i="16"/>
  <c r="CJ447" i="16"/>
  <c r="CO447" i="16"/>
  <c r="CT447" i="16"/>
  <c r="CY447" i="16"/>
  <c r="DD447" i="16"/>
  <c r="DI447" i="16"/>
  <c r="DN447" i="16"/>
  <c r="CE448" i="16"/>
  <c r="CJ448" i="16"/>
  <c r="CO448" i="16"/>
  <c r="CT448" i="16"/>
  <c r="CY448" i="16"/>
  <c r="DD448" i="16"/>
  <c r="DI448" i="16"/>
  <c r="DN448" i="16"/>
  <c r="CE449" i="16"/>
  <c r="CJ449" i="16"/>
  <c r="CO449" i="16"/>
  <c r="CT449" i="16"/>
  <c r="CY449" i="16"/>
  <c r="DD449" i="16"/>
  <c r="DI449" i="16"/>
  <c r="DN449" i="16"/>
  <c r="CE450" i="16"/>
  <c r="FU450" i="16" s="1"/>
  <c r="CJ450" i="16"/>
  <c r="CO450" i="16"/>
  <c r="CT450" i="16"/>
  <c r="CY450" i="16"/>
  <c r="DD450" i="16"/>
  <c r="DI450" i="16"/>
  <c r="DN450" i="16"/>
  <c r="CE451" i="16"/>
  <c r="CJ451" i="16"/>
  <c r="CO451" i="16"/>
  <c r="CT451" i="16"/>
  <c r="CY451" i="16"/>
  <c r="DD451" i="16"/>
  <c r="DI451" i="16"/>
  <c r="DN451" i="16"/>
  <c r="CE452" i="16"/>
  <c r="CJ452" i="16"/>
  <c r="CO452" i="16"/>
  <c r="CT452" i="16"/>
  <c r="CY452" i="16"/>
  <c r="DD452" i="16"/>
  <c r="DI452" i="16"/>
  <c r="DN452" i="16"/>
  <c r="CE453" i="16"/>
  <c r="CJ453" i="16"/>
  <c r="CO453" i="16"/>
  <c r="CT453" i="16"/>
  <c r="CY453" i="16"/>
  <c r="DD453" i="16"/>
  <c r="DI453" i="16"/>
  <c r="DN453" i="16"/>
  <c r="CE454" i="16"/>
  <c r="CJ454" i="16"/>
  <c r="CO454" i="16"/>
  <c r="CT454" i="16"/>
  <c r="CY454" i="16"/>
  <c r="DD454" i="16"/>
  <c r="DI454" i="16"/>
  <c r="DN454" i="16"/>
  <c r="CE455" i="16"/>
  <c r="CJ455" i="16"/>
  <c r="CO455" i="16"/>
  <c r="CT455" i="16"/>
  <c r="CY455" i="16"/>
  <c r="DD455" i="16"/>
  <c r="DI455" i="16"/>
  <c r="DN455" i="16"/>
  <c r="CE456" i="16"/>
  <c r="FU456" i="16" s="1"/>
  <c r="CJ456" i="16"/>
  <c r="CO456" i="16"/>
  <c r="CT456" i="16"/>
  <c r="CY456" i="16"/>
  <c r="DD456" i="16"/>
  <c r="DI456" i="16"/>
  <c r="DN456" i="16"/>
  <c r="CE457" i="16"/>
  <c r="FU457" i="16" s="1"/>
  <c r="E953" i="3" s="1"/>
  <c r="CJ457" i="16"/>
  <c r="CO457" i="16"/>
  <c r="CT457" i="16"/>
  <c r="CY457" i="16"/>
  <c r="DD457" i="16"/>
  <c r="DI457" i="16"/>
  <c r="DN457" i="16"/>
  <c r="CE458" i="16"/>
  <c r="CJ458" i="16"/>
  <c r="FU458" i="16" s="1"/>
  <c r="E954" i="3" s="1"/>
  <c r="CO458" i="16"/>
  <c r="CT458" i="16"/>
  <c r="CY458" i="16"/>
  <c r="DD458" i="16"/>
  <c r="DI458" i="16"/>
  <c r="DN458" i="16"/>
  <c r="CE459" i="16"/>
  <c r="CJ459" i="16"/>
  <c r="CO459" i="16"/>
  <c r="CT459" i="16"/>
  <c r="CY459" i="16"/>
  <c r="DD459" i="16"/>
  <c r="DI459" i="16"/>
  <c r="DN459" i="16"/>
  <c r="CE460" i="16"/>
  <c r="CJ460" i="16"/>
  <c r="CO460" i="16"/>
  <c r="CT460" i="16"/>
  <c r="CY460" i="16"/>
  <c r="DD460" i="16"/>
  <c r="DI460" i="16"/>
  <c r="DN460" i="16"/>
  <c r="CE461" i="16"/>
  <c r="CJ461" i="16"/>
  <c r="CO461" i="16"/>
  <c r="CT461" i="16"/>
  <c r="CY461" i="16"/>
  <c r="DD461" i="16"/>
  <c r="DI461" i="16"/>
  <c r="DN461" i="16"/>
  <c r="CE462" i="16"/>
  <c r="FU462" i="16" s="1"/>
  <c r="CJ462" i="16"/>
  <c r="CO462" i="16"/>
  <c r="CT462" i="16"/>
  <c r="CY462" i="16"/>
  <c r="DD462" i="16"/>
  <c r="DI462" i="16"/>
  <c r="DN462" i="16"/>
  <c r="CE463" i="16"/>
  <c r="CJ463" i="16"/>
  <c r="CO463" i="16"/>
  <c r="CT463" i="16"/>
  <c r="CY463" i="16"/>
  <c r="DD463" i="16"/>
  <c r="DI463" i="16"/>
  <c r="DN463" i="16"/>
  <c r="CE464" i="16"/>
  <c r="CJ464" i="16"/>
  <c r="CO464" i="16"/>
  <c r="CT464" i="16"/>
  <c r="CY464" i="16"/>
  <c r="DD464" i="16"/>
  <c r="DI464" i="16"/>
  <c r="DN464" i="16"/>
  <c r="CE465" i="16"/>
  <c r="FU465" i="16" s="1"/>
  <c r="CJ465" i="16"/>
  <c r="CO465" i="16"/>
  <c r="CT465" i="16"/>
  <c r="CY465" i="16"/>
  <c r="DD465" i="16"/>
  <c r="DI465" i="16"/>
  <c r="DN465" i="16"/>
  <c r="CE466" i="16"/>
  <c r="CJ466" i="16"/>
  <c r="CO466" i="16"/>
  <c r="CT466" i="16"/>
  <c r="CY466" i="16"/>
  <c r="DD466" i="16"/>
  <c r="DI466" i="16"/>
  <c r="DN466" i="16"/>
  <c r="CE467" i="16"/>
  <c r="CJ467" i="16"/>
  <c r="CO467" i="16"/>
  <c r="CT467" i="16"/>
  <c r="CY467" i="16"/>
  <c r="DD467" i="16"/>
  <c r="DI467" i="16"/>
  <c r="DN467" i="16"/>
  <c r="CE468" i="16"/>
  <c r="CJ468" i="16"/>
  <c r="CO468" i="16"/>
  <c r="CT468" i="16"/>
  <c r="CY468" i="16"/>
  <c r="DD468" i="16"/>
  <c r="DI468" i="16"/>
  <c r="DN468" i="16"/>
  <c r="CE469" i="16"/>
  <c r="CJ469" i="16"/>
  <c r="CO469" i="16"/>
  <c r="CT469" i="16"/>
  <c r="CY469" i="16"/>
  <c r="DD469" i="16"/>
  <c r="DI469" i="16"/>
  <c r="DN469" i="16"/>
  <c r="CE470" i="16"/>
  <c r="CJ470" i="16"/>
  <c r="CO470" i="16"/>
  <c r="CT470" i="16"/>
  <c r="CY470" i="16"/>
  <c r="DD470" i="16"/>
  <c r="DI470" i="16"/>
  <c r="DN470" i="16"/>
  <c r="CE471" i="16"/>
  <c r="CJ471" i="16"/>
  <c r="CO471" i="16"/>
  <c r="CT471" i="16"/>
  <c r="CY471" i="16"/>
  <c r="DD471" i="16"/>
  <c r="DI471" i="16"/>
  <c r="DN471" i="16"/>
  <c r="CE472" i="16"/>
  <c r="CJ472" i="16"/>
  <c r="CO472" i="16"/>
  <c r="CT472" i="16"/>
  <c r="CY472" i="16"/>
  <c r="DD472" i="16"/>
  <c r="DI472" i="16"/>
  <c r="DN472" i="16"/>
  <c r="CE473" i="16"/>
  <c r="CJ473" i="16"/>
  <c r="CO473" i="16"/>
  <c r="CT473" i="16"/>
  <c r="CY473" i="16"/>
  <c r="DD473" i="16"/>
  <c r="DI473" i="16"/>
  <c r="DN473" i="16"/>
  <c r="CE474" i="16"/>
  <c r="CJ474" i="16"/>
  <c r="CO474" i="16"/>
  <c r="CT474" i="16"/>
  <c r="CY474" i="16"/>
  <c r="DD474" i="16"/>
  <c r="DI474" i="16"/>
  <c r="DN474" i="16"/>
  <c r="CG475" i="16"/>
  <c r="CE476" i="16"/>
  <c r="FU476" i="16" s="1"/>
  <c r="CJ476" i="16"/>
  <c r="CO476" i="16"/>
  <c r="CT476" i="16"/>
  <c r="CY476" i="16"/>
  <c r="DD476" i="16"/>
  <c r="DI476" i="16"/>
  <c r="DN476" i="16"/>
  <c r="CE477" i="16"/>
  <c r="CJ477" i="16"/>
  <c r="CO477" i="16"/>
  <c r="CT477" i="16"/>
  <c r="CY477" i="16"/>
  <c r="DD477" i="16"/>
  <c r="DI477" i="16"/>
  <c r="DN477" i="16"/>
  <c r="CE478" i="16"/>
  <c r="CJ478" i="16"/>
  <c r="CO478" i="16"/>
  <c r="CT478" i="16"/>
  <c r="CY478" i="16"/>
  <c r="DD478" i="16"/>
  <c r="DI478" i="16"/>
  <c r="DN478" i="16"/>
  <c r="CE489" i="16"/>
  <c r="CJ489" i="16"/>
  <c r="CO489" i="16"/>
  <c r="CT489" i="16"/>
  <c r="CY489" i="16"/>
  <c r="DD489" i="16"/>
  <c r="DI489" i="16"/>
  <c r="DN489" i="16"/>
  <c r="CE490" i="16"/>
  <c r="CJ490" i="16"/>
  <c r="CO490" i="16"/>
  <c r="CT490" i="16"/>
  <c r="CY490" i="16"/>
  <c r="DD490" i="16"/>
  <c r="DI490" i="16"/>
  <c r="DN490" i="16"/>
  <c r="CE491" i="16"/>
  <c r="CJ491" i="16"/>
  <c r="CO491" i="16"/>
  <c r="CT491" i="16"/>
  <c r="CY491" i="16"/>
  <c r="DD491" i="16"/>
  <c r="DI491" i="16"/>
  <c r="DN491" i="16"/>
  <c r="CE492" i="16"/>
  <c r="CJ492" i="16"/>
  <c r="CO492" i="16"/>
  <c r="CT492" i="16"/>
  <c r="CY492" i="16"/>
  <c r="DD492" i="16"/>
  <c r="DI492" i="16"/>
  <c r="DN492" i="16"/>
  <c r="CE493" i="16"/>
  <c r="CJ493" i="16"/>
  <c r="CO493" i="16"/>
  <c r="CT493" i="16"/>
  <c r="CY493" i="16"/>
  <c r="DD493" i="16"/>
  <c r="DI493" i="16"/>
  <c r="DN493" i="16"/>
  <c r="CE494" i="16"/>
  <c r="CJ494" i="16"/>
  <c r="CO494" i="16"/>
  <c r="CT494" i="16"/>
  <c r="CY494" i="16"/>
  <c r="DD494" i="16"/>
  <c r="DI494" i="16"/>
  <c r="DN494" i="16"/>
  <c r="CE495" i="16"/>
  <c r="CJ495" i="16"/>
  <c r="CO495" i="16"/>
  <c r="CT495" i="16"/>
  <c r="CY495" i="16"/>
  <c r="DD495" i="16"/>
  <c r="DI495" i="16"/>
  <c r="DN495" i="16"/>
  <c r="CE496" i="16"/>
  <c r="CJ496" i="16"/>
  <c r="CO496" i="16"/>
  <c r="CT496" i="16"/>
  <c r="CY496" i="16"/>
  <c r="DD496" i="16"/>
  <c r="DI496" i="16"/>
  <c r="DN496" i="16"/>
  <c r="CE497" i="16"/>
  <c r="CJ497" i="16"/>
  <c r="CO497" i="16"/>
  <c r="CT497" i="16"/>
  <c r="CY497" i="16"/>
  <c r="DD497" i="16"/>
  <c r="DI497" i="16"/>
  <c r="DN497" i="16"/>
  <c r="CE498" i="16"/>
  <c r="CJ498" i="16"/>
  <c r="CO498" i="16"/>
  <c r="CT498" i="16"/>
  <c r="CY498" i="16"/>
  <c r="DD498" i="16"/>
  <c r="DI498" i="16"/>
  <c r="DN498" i="16"/>
  <c r="CE499" i="16"/>
  <c r="CJ499" i="16"/>
  <c r="CO499" i="16"/>
  <c r="CT499" i="16"/>
  <c r="CY499" i="16"/>
  <c r="DD499" i="16"/>
  <c r="DI499" i="16"/>
  <c r="DN499" i="16"/>
  <c r="CE500" i="16"/>
  <c r="CJ500" i="16"/>
  <c r="CO500" i="16"/>
  <c r="CT500" i="16"/>
  <c r="CY500" i="16"/>
  <c r="DD500" i="16"/>
  <c r="DI500" i="16"/>
  <c r="DN500" i="16"/>
  <c r="CE501" i="16"/>
  <c r="CJ501" i="16"/>
  <c r="CO501" i="16"/>
  <c r="CT501" i="16"/>
  <c r="CY501" i="16"/>
  <c r="DD501" i="16"/>
  <c r="DI501" i="16"/>
  <c r="DN501" i="16"/>
  <c r="CE502" i="16"/>
  <c r="CJ502" i="16"/>
  <c r="CO502" i="16"/>
  <c r="CT502" i="16"/>
  <c r="CY502" i="16"/>
  <c r="DD502" i="16"/>
  <c r="DI502" i="16"/>
  <c r="DN502" i="16"/>
  <c r="CE503" i="16"/>
  <c r="CJ503" i="16"/>
  <c r="CO503" i="16"/>
  <c r="CT503" i="16"/>
  <c r="CY503" i="16"/>
  <c r="DD503" i="16"/>
  <c r="DI503" i="16"/>
  <c r="DN503" i="16"/>
  <c r="CE504" i="16"/>
  <c r="CJ504" i="16"/>
  <c r="CO504" i="16"/>
  <c r="CT504" i="16"/>
  <c r="CY504" i="16"/>
  <c r="DD504" i="16"/>
  <c r="DI504" i="16"/>
  <c r="DN504" i="16"/>
  <c r="CE505" i="16"/>
  <c r="CJ505" i="16"/>
  <c r="CO505" i="16"/>
  <c r="CT505" i="16"/>
  <c r="CY505" i="16"/>
  <c r="DD505" i="16"/>
  <c r="DI505" i="16"/>
  <c r="DN505" i="16"/>
  <c r="CE506" i="16"/>
  <c r="CJ506" i="16"/>
  <c r="CO506" i="16"/>
  <c r="CT506" i="16"/>
  <c r="CY506" i="16"/>
  <c r="DD506" i="16"/>
  <c r="DI506" i="16"/>
  <c r="DN506" i="16"/>
  <c r="CE507" i="16"/>
  <c r="CJ507" i="16"/>
  <c r="CO507" i="16"/>
  <c r="CT507" i="16"/>
  <c r="CY507" i="16"/>
  <c r="DD507" i="16"/>
  <c r="DI507" i="16"/>
  <c r="DN507" i="16"/>
  <c r="CE508" i="16"/>
  <c r="CJ508" i="16"/>
  <c r="CO508" i="16"/>
  <c r="CT508" i="16"/>
  <c r="CY508" i="16"/>
  <c r="DD508" i="16"/>
  <c r="DI508" i="16"/>
  <c r="DN508" i="16"/>
  <c r="CE509" i="16"/>
  <c r="CJ509" i="16"/>
  <c r="CO509" i="16"/>
  <c r="CT509" i="16"/>
  <c r="CY509" i="16"/>
  <c r="DD509" i="16"/>
  <c r="DI509" i="16"/>
  <c r="DN509" i="16"/>
  <c r="CE510" i="16"/>
  <c r="CJ510" i="16"/>
  <c r="CO510" i="16"/>
  <c r="CT510" i="16"/>
  <c r="CY510" i="16"/>
  <c r="DD510" i="16"/>
  <c r="DI510" i="16"/>
  <c r="DN510" i="16"/>
  <c r="CE511" i="16"/>
  <c r="CJ511" i="16"/>
  <c r="CO511" i="16"/>
  <c r="CT511" i="16"/>
  <c r="CY511" i="16"/>
  <c r="DD511" i="16"/>
  <c r="DI511" i="16"/>
  <c r="DN511" i="16"/>
  <c r="CE512" i="16"/>
  <c r="CJ512" i="16"/>
  <c r="CO512" i="16"/>
  <c r="CT512" i="16"/>
  <c r="CY512" i="16"/>
  <c r="DD512" i="16"/>
  <c r="DI512" i="16"/>
  <c r="DN512" i="16"/>
  <c r="CE513" i="16"/>
  <c r="CJ513" i="16"/>
  <c r="CO513" i="16"/>
  <c r="CT513" i="16"/>
  <c r="CY513" i="16"/>
  <c r="DD513" i="16"/>
  <c r="DI513" i="16"/>
  <c r="DN513" i="16"/>
  <c r="CE514" i="16"/>
  <c r="CJ514" i="16"/>
  <c r="CO514" i="16"/>
  <c r="CT514" i="16"/>
  <c r="CY514" i="16"/>
  <c r="DD514" i="16"/>
  <c r="DI514" i="16"/>
  <c r="DN514" i="16"/>
  <c r="CE515" i="16"/>
  <c r="CJ515" i="16"/>
  <c r="CO515" i="16"/>
  <c r="CT515" i="16"/>
  <c r="CY515" i="16"/>
  <c r="DD515" i="16"/>
  <c r="DI515" i="16"/>
  <c r="DN515" i="16"/>
  <c r="CE516" i="16"/>
  <c r="CJ516" i="16"/>
  <c r="CO516" i="16"/>
  <c r="CT516" i="16"/>
  <c r="CY516" i="16"/>
  <c r="DD516" i="16"/>
  <c r="DI516" i="16"/>
  <c r="DN516" i="16"/>
  <c r="CE517" i="16"/>
  <c r="CJ517" i="16"/>
  <c r="CO517" i="16"/>
  <c r="CT517" i="16"/>
  <c r="CY517" i="16"/>
  <c r="DD517" i="16"/>
  <c r="DI517" i="16"/>
  <c r="DN517" i="16"/>
  <c r="CE518" i="16"/>
  <c r="CJ518" i="16"/>
  <c r="CO518" i="16"/>
  <c r="CT518" i="16"/>
  <c r="CY518" i="16"/>
  <c r="DD518" i="16"/>
  <c r="DI518" i="16"/>
  <c r="DN518" i="16"/>
  <c r="CE551" i="16"/>
  <c r="CJ551" i="16"/>
  <c r="CO551" i="16"/>
  <c r="CT551" i="16"/>
  <c r="CY551" i="16"/>
  <c r="DD551" i="16"/>
  <c r="DI551" i="16"/>
  <c r="DN551" i="16"/>
  <c r="CE552" i="16"/>
  <c r="CJ552" i="16"/>
  <c r="CO552" i="16"/>
  <c r="CT552" i="16"/>
  <c r="CY552" i="16"/>
  <c r="DD552" i="16"/>
  <c r="DI552" i="16"/>
  <c r="DN552" i="16"/>
  <c r="CE554" i="16"/>
  <c r="CJ554" i="16"/>
  <c r="CO554" i="16"/>
  <c r="CT554" i="16"/>
  <c r="CY554" i="16"/>
  <c r="DD554" i="16"/>
  <c r="DI554" i="16"/>
  <c r="DN554" i="16"/>
  <c r="CE555" i="16"/>
  <c r="CJ555" i="16"/>
  <c r="CO555" i="16"/>
  <c r="CT555" i="16"/>
  <c r="CY555" i="16"/>
  <c r="DD555" i="16"/>
  <c r="DI555" i="16"/>
  <c r="DN555" i="16"/>
  <c r="CE556" i="16"/>
  <c r="CJ556" i="16"/>
  <c r="CO556" i="16"/>
  <c r="CT556" i="16"/>
  <c r="CY556" i="16"/>
  <c r="DD556" i="16"/>
  <c r="DI556" i="16"/>
  <c r="DN556" i="16"/>
  <c r="CE557" i="16"/>
  <c r="CJ557" i="16"/>
  <c r="CO557" i="16"/>
  <c r="CT557" i="16"/>
  <c r="CY557" i="16"/>
  <c r="DD557" i="16"/>
  <c r="DI557" i="16"/>
  <c r="DN557" i="16"/>
  <c r="F77" i="14"/>
  <c r="F78" i="14"/>
  <c r="F79" i="14"/>
  <c r="F80" i="14"/>
  <c r="F81" i="14"/>
  <c r="F82" i="14"/>
  <c r="F83" i="14"/>
  <c r="F84" i="14"/>
  <c r="F85" i="14"/>
  <c r="F86" i="14"/>
  <c r="F87" i="14"/>
  <c r="F88" i="14"/>
  <c r="F89" i="14"/>
  <c r="F90" i="14"/>
  <c r="F91" i="14"/>
  <c r="F92" i="14"/>
  <c r="F93" i="14"/>
  <c r="F94" i="14"/>
  <c r="F95" i="14"/>
  <c r="F96" i="14"/>
  <c r="F97" i="14"/>
  <c r="F98" i="14"/>
  <c r="F101" i="14"/>
  <c r="F102" i="14"/>
  <c r="F103" i="14"/>
  <c r="F104" i="14"/>
  <c r="F105" i="14"/>
  <c r="F106" i="14"/>
  <c r="F107" i="14"/>
  <c r="F108" i="14"/>
  <c r="F109" i="14"/>
  <c r="F110" i="14"/>
  <c r="F111" i="14"/>
  <c r="F112" i="14"/>
  <c r="F113" i="14"/>
  <c r="F114" i="14"/>
  <c r="F115" i="14"/>
  <c r="F116" i="14"/>
  <c r="F117" i="14"/>
  <c r="F118" i="14"/>
  <c r="F119" i="14"/>
  <c r="F120" i="14"/>
  <c r="F121" i="14"/>
  <c r="F122" i="14"/>
  <c r="F125" i="14"/>
  <c r="F126" i="14"/>
  <c r="F127" i="14"/>
  <c r="F128" i="14"/>
  <c r="F129" i="14"/>
  <c r="F130" i="14"/>
  <c r="F131" i="14"/>
  <c r="F132" i="14"/>
  <c r="F133" i="14"/>
  <c r="F134" i="14"/>
  <c r="F135" i="14"/>
  <c r="F136" i="14"/>
  <c r="F137" i="14"/>
  <c r="F138" i="14"/>
  <c r="F139" i="14"/>
  <c r="F140" i="14"/>
  <c r="F141" i="14"/>
  <c r="F142" i="14"/>
  <c r="F143" i="14"/>
  <c r="F144" i="14"/>
  <c r="F145" i="14"/>
  <c r="F146" i="14"/>
  <c r="F149" i="14"/>
  <c r="F150" i="14"/>
  <c r="F151" i="14"/>
  <c r="F152" i="14"/>
  <c r="F153" i="14"/>
  <c r="F154" i="14"/>
  <c r="F155" i="14"/>
  <c r="F156" i="14"/>
  <c r="F157" i="14"/>
  <c r="F158" i="14"/>
  <c r="F159" i="14"/>
  <c r="F160" i="14"/>
  <c r="F161" i="14"/>
  <c r="F162" i="14"/>
  <c r="F163" i="14"/>
  <c r="F164" i="14"/>
  <c r="F165" i="14"/>
  <c r="F166" i="14"/>
  <c r="F167" i="14"/>
  <c r="F168" i="14"/>
  <c r="F169" i="14"/>
  <c r="F170" i="14"/>
  <c r="F173" i="14"/>
  <c r="F174" i="14"/>
  <c r="F175" i="14"/>
  <c r="F176" i="14"/>
  <c r="F177" i="14"/>
  <c r="F178" i="14"/>
  <c r="F179" i="14"/>
  <c r="F180" i="14"/>
  <c r="F181" i="14"/>
  <c r="F182" i="14"/>
  <c r="F183" i="14"/>
  <c r="F184" i="14"/>
  <c r="F185" i="14"/>
  <c r="F186" i="14"/>
  <c r="F187" i="14"/>
  <c r="F188" i="14"/>
  <c r="F189" i="14"/>
  <c r="F190" i="14"/>
  <c r="F191" i="14"/>
  <c r="F192" i="14"/>
  <c r="F193" i="14"/>
  <c r="F194" i="14"/>
  <c r="F197" i="14"/>
  <c r="F198" i="14"/>
  <c r="F199" i="14"/>
  <c r="F200" i="14"/>
  <c r="F201" i="14"/>
  <c r="F202" i="14"/>
  <c r="F203" i="14"/>
  <c r="F204" i="14"/>
  <c r="F205" i="14"/>
  <c r="F206" i="14"/>
  <c r="F207" i="14"/>
  <c r="F208" i="14"/>
  <c r="F209" i="14"/>
  <c r="F210" i="14"/>
  <c r="F211" i="14"/>
  <c r="F212" i="14"/>
  <c r="F213" i="14"/>
  <c r="F214" i="14"/>
  <c r="F215" i="14"/>
  <c r="F216" i="14"/>
  <c r="F217" i="14"/>
  <c r="F218" i="14"/>
  <c r="F221" i="14"/>
  <c r="F222" i="14"/>
  <c r="F223" i="14"/>
  <c r="F224" i="14"/>
  <c r="F225" i="14"/>
  <c r="F226" i="14"/>
  <c r="F227" i="14"/>
  <c r="F228" i="14"/>
  <c r="F229" i="14"/>
  <c r="F230" i="14"/>
  <c r="F231" i="14"/>
  <c r="F232" i="14"/>
  <c r="F233" i="14"/>
  <c r="F234" i="14"/>
  <c r="F235" i="14"/>
  <c r="F236" i="14"/>
  <c r="F237" i="14"/>
  <c r="F238" i="14"/>
  <c r="F239" i="14"/>
  <c r="F240" i="14"/>
  <c r="F241" i="14"/>
  <c r="F242" i="14"/>
  <c r="F269" i="14"/>
  <c r="F270" i="14"/>
  <c r="F271" i="14"/>
  <c r="F272" i="14"/>
  <c r="F273" i="14"/>
  <c r="F274" i="14"/>
  <c r="F275" i="14"/>
  <c r="F276" i="14"/>
  <c r="F277" i="14"/>
  <c r="F278" i="14"/>
  <c r="F279" i="14"/>
  <c r="F280" i="14"/>
  <c r="F281" i="14"/>
  <c r="F282" i="14"/>
  <c r="F283" i="14"/>
  <c r="F284" i="14"/>
  <c r="F285" i="14"/>
  <c r="F286" i="14"/>
  <c r="F287" i="14"/>
  <c r="F288" i="14"/>
  <c r="F289" i="14"/>
  <c r="F290" i="14"/>
  <c r="F293" i="14"/>
  <c r="F294" i="14"/>
  <c r="F295" i="14"/>
  <c r="F296" i="14"/>
  <c r="F297" i="14"/>
  <c r="F298" i="14"/>
  <c r="F299" i="14"/>
  <c r="F300" i="14"/>
  <c r="F301" i="14"/>
  <c r="F302" i="14"/>
  <c r="F303" i="14"/>
  <c r="F304" i="14"/>
  <c r="F305" i="14"/>
  <c r="F306" i="14"/>
  <c r="F307" i="14"/>
  <c r="F308" i="14"/>
  <c r="F309" i="14"/>
  <c r="F310" i="14"/>
  <c r="F311" i="14"/>
  <c r="F312" i="14"/>
  <c r="F313" i="14"/>
  <c r="F314" i="14"/>
  <c r="F317" i="14"/>
  <c r="F318" i="14"/>
  <c r="F319" i="14"/>
  <c r="F320" i="14"/>
  <c r="F321" i="14"/>
  <c r="F322" i="14"/>
  <c r="F323" i="14"/>
  <c r="F324" i="14"/>
  <c r="F325" i="14"/>
  <c r="F326" i="14"/>
  <c r="F327" i="14"/>
  <c r="F328" i="14"/>
  <c r="F329" i="14"/>
  <c r="F330" i="14"/>
  <c r="F331" i="14"/>
  <c r="F332" i="14"/>
  <c r="F333" i="14"/>
  <c r="F334" i="14"/>
  <c r="F335" i="14"/>
  <c r="F336" i="14"/>
  <c r="F337" i="14"/>
  <c r="F338" i="14"/>
  <c r="F341" i="14"/>
  <c r="F342" i="14"/>
  <c r="F343" i="14"/>
  <c r="F344" i="14"/>
  <c r="F345" i="14"/>
  <c r="F346" i="14"/>
  <c r="F347" i="14"/>
  <c r="F348" i="14"/>
  <c r="F349" i="14"/>
  <c r="F350" i="14"/>
  <c r="F351" i="14"/>
  <c r="F352" i="14"/>
  <c r="F353" i="14"/>
  <c r="F354" i="14"/>
  <c r="F355" i="14"/>
  <c r="F356" i="14"/>
  <c r="F357" i="14"/>
  <c r="F358" i="14"/>
  <c r="F359" i="14"/>
  <c r="F360" i="14"/>
  <c r="F361" i="14"/>
  <c r="F362" i="14"/>
  <c r="F365" i="14"/>
  <c r="F366" i="14"/>
  <c r="F367" i="14"/>
  <c r="F368" i="14"/>
  <c r="F369" i="14"/>
  <c r="F370" i="14"/>
  <c r="F371" i="14"/>
  <c r="F372" i="14"/>
  <c r="F373" i="14"/>
  <c r="F374" i="14"/>
  <c r="F375" i="14"/>
  <c r="F376" i="14"/>
  <c r="F377" i="14"/>
  <c r="F378" i="14"/>
  <c r="F379" i="14"/>
  <c r="F380" i="14"/>
  <c r="F381" i="14"/>
  <c r="F382" i="14"/>
  <c r="F383" i="14"/>
  <c r="F384" i="14"/>
  <c r="F385" i="14"/>
  <c r="F386" i="14"/>
  <c r="F389" i="14"/>
  <c r="F390" i="14"/>
  <c r="F391" i="14"/>
  <c r="F392" i="14"/>
  <c r="F393" i="14"/>
  <c r="F394" i="14"/>
  <c r="F395" i="14"/>
  <c r="F396" i="14"/>
  <c r="F397" i="14"/>
  <c r="F398" i="14"/>
  <c r="F399" i="14"/>
  <c r="F400" i="14"/>
  <c r="F401" i="14"/>
  <c r="F402" i="14"/>
  <c r="F403" i="14"/>
  <c r="F404" i="14"/>
  <c r="F405" i="14"/>
  <c r="F406" i="14"/>
  <c r="F407" i="14"/>
  <c r="F408" i="14"/>
  <c r="F409" i="14"/>
  <c r="F410" i="14"/>
  <c r="F413" i="14"/>
  <c r="F414" i="14"/>
  <c r="F415" i="14"/>
  <c r="F416" i="14"/>
  <c r="F417" i="14"/>
  <c r="F418" i="14"/>
  <c r="F419" i="14"/>
  <c r="F420" i="14"/>
  <c r="F421" i="14"/>
  <c r="F422" i="14"/>
  <c r="F423" i="14"/>
  <c r="F424" i="14"/>
  <c r="F425" i="14"/>
  <c r="F426" i="14"/>
  <c r="F427" i="14"/>
  <c r="F428" i="14"/>
  <c r="F429" i="14"/>
  <c r="F430" i="14"/>
  <c r="F431" i="14"/>
  <c r="F432" i="14"/>
  <c r="F433" i="14"/>
  <c r="F434" i="14"/>
  <c r="F437" i="14"/>
  <c r="F438" i="14"/>
  <c r="F439" i="14"/>
  <c r="F440" i="14"/>
  <c r="F441" i="14"/>
  <c r="F442" i="14"/>
  <c r="F443" i="14"/>
  <c r="F444" i="14"/>
  <c r="F445" i="14"/>
  <c r="F446" i="14"/>
  <c r="F447" i="14"/>
  <c r="F448" i="14"/>
  <c r="F449" i="14"/>
  <c r="F450" i="14"/>
  <c r="F451" i="14"/>
  <c r="F452" i="14"/>
  <c r="F453" i="14"/>
  <c r="F454" i="14"/>
  <c r="F455" i="14"/>
  <c r="F456" i="14"/>
  <c r="F457" i="14"/>
  <c r="F458" i="14"/>
  <c r="F461" i="14"/>
  <c r="F462" i="14"/>
  <c r="F463" i="14"/>
  <c r="F464" i="14"/>
  <c r="F465" i="14"/>
  <c r="F466" i="14"/>
  <c r="F467" i="14"/>
  <c r="F468" i="14"/>
  <c r="F469" i="14"/>
  <c r="F470" i="14"/>
  <c r="F471" i="14"/>
  <c r="F472" i="14"/>
  <c r="F473" i="14"/>
  <c r="F474" i="14"/>
  <c r="F475" i="14"/>
  <c r="F476" i="14"/>
  <c r="F477" i="14"/>
  <c r="F478" i="14"/>
  <c r="F479" i="14"/>
  <c r="F480" i="14"/>
  <c r="F481" i="14"/>
  <c r="F482" i="14"/>
  <c r="F509" i="14"/>
  <c r="F510" i="14"/>
  <c r="F511" i="14"/>
  <c r="F512" i="14"/>
  <c r="F513" i="14"/>
  <c r="F514" i="14"/>
  <c r="F515" i="14"/>
  <c r="F516" i="14"/>
  <c r="F517" i="14"/>
  <c r="F518" i="14"/>
  <c r="F519" i="14"/>
  <c r="F520" i="14"/>
  <c r="F521" i="14"/>
  <c r="F522" i="14"/>
  <c r="F523" i="14"/>
  <c r="F524" i="14"/>
  <c r="F525" i="14"/>
  <c r="F526" i="14"/>
  <c r="F527" i="14"/>
  <c r="F528" i="14"/>
  <c r="F529" i="14"/>
  <c r="F530" i="14"/>
  <c r="F533" i="14"/>
  <c r="F534" i="14"/>
  <c r="F535" i="14"/>
  <c r="F536" i="14"/>
  <c r="F537" i="14"/>
  <c r="F538" i="14"/>
  <c r="F539" i="14"/>
  <c r="F540" i="14"/>
  <c r="F541" i="14"/>
  <c r="F542" i="14"/>
  <c r="F543" i="14"/>
  <c r="F544" i="14"/>
  <c r="F545" i="14"/>
  <c r="F546" i="14"/>
  <c r="F547" i="14"/>
  <c r="F548" i="14"/>
  <c r="F549" i="14"/>
  <c r="F550" i="14"/>
  <c r="F551" i="14"/>
  <c r="F552" i="14"/>
  <c r="F553" i="14"/>
  <c r="F554" i="14"/>
  <c r="F557" i="14"/>
  <c r="F558" i="14"/>
  <c r="F559" i="14"/>
  <c r="F560" i="14"/>
  <c r="F561" i="14"/>
  <c r="F562" i="14"/>
  <c r="F563" i="14"/>
  <c r="F564" i="14"/>
  <c r="F565" i="14"/>
  <c r="F566" i="14"/>
  <c r="F567" i="14"/>
  <c r="F568" i="14"/>
  <c r="F569" i="14"/>
  <c r="F570" i="14"/>
  <c r="F571" i="14"/>
  <c r="F572" i="14"/>
  <c r="F573" i="14"/>
  <c r="F574" i="14"/>
  <c r="F575" i="14"/>
  <c r="F576" i="14"/>
  <c r="F577" i="14"/>
  <c r="F578" i="14"/>
  <c r="F581" i="14"/>
  <c r="F582" i="14"/>
  <c r="F583" i="14"/>
  <c r="F584" i="14"/>
  <c r="F585" i="14"/>
  <c r="F586" i="14"/>
  <c r="F587" i="14"/>
  <c r="F588" i="14"/>
  <c r="F589" i="14"/>
  <c r="F590" i="14"/>
  <c r="F591" i="14"/>
  <c r="F592" i="14"/>
  <c r="F593" i="14"/>
  <c r="F594" i="14"/>
  <c r="F595" i="14"/>
  <c r="F596" i="14"/>
  <c r="F597" i="14"/>
  <c r="F598" i="14"/>
  <c r="F599" i="14"/>
  <c r="F600" i="14"/>
  <c r="F601" i="14"/>
  <c r="F602" i="14"/>
  <c r="F605" i="14"/>
  <c r="F606" i="14"/>
  <c r="F607" i="14"/>
  <c r="F608" i="14"/>
  <c r="F609" i="14"/>
  <c r="F610" i="14"/>
  <c r="F611" i="14"/>
  <c r="F612" i="14"/>
  <c r="F613" i="14"/>
  <c r="F614" i="14"/>
  <c r="F615" i="14"/>
  <c r="F616" i="14"/>
  <c r="F617" i="14"/>
  <c r="F618" i="14"/>
  <c r="F619" i="14"/>
  <c r="F620" i="14"/>
  <c r="F621" i="14"/>
  <c r="F622" i="14"/>
  <c r="F623" i="14"/>
  <c r="F624" i="14"/>
  <c r="F625" i="14"/>
  <c r="F626" i="14"/>
  <c r="F629" i="14"/>
  <c r="F630" i="14"/>
  <c r="F631" i="14"/>
  <c r="F632" i="14"/>
  <c r="F633" i="14"/>
  <c r="F634" i="14"/>
  <c r="F635" i="14"/>
  <c r="F636" i="14"/>
  <c r="F637" i="14"/>
  <c r="F638" i="14"/>
  <c r="F639" i="14"/>
  <c r="F640" i="14"/>
  <c r="F641" i="14"/>
  <c r="F642" i="14"/>
  <c r="F643" i="14"/>
  <c r="F644" i="14"/>
  <c r="F645" i="14"/>
  <c r="F646" i="14"/>
  <c r="F647" i="14"/>
  <c r="F648" i="14"/>
  <c r="F649" i="14"/>
  <c r="F650" i="14"/>
  <c r="F653" i="14"/>
  <c r="F654" i="14"/>
  <c r="F655" i="14"/>
  <c r="F656" i="14"/>
  <c r="F657" i="14"/>
  <c r="F658" i="14"/>
  <c r="F659" i="14"/>
  <c r="F660" i="14"/>
  <c r="F661" i="14"/>
  <c r="F662" i="14"/>
  <c r="F663" i="14"/>
  <c r="F664" i="14"/>
  <c r="F665" i="14"/>
  <c r="F666" i="14"/>
  <c r="F667" i="14"/>
  <c r="F668" i="14"/>
  <c r="F669" i="14"/>
  <c r="F670" i="14"/>
  <c r="F671" i="14"/>
  <c r="F672" i="14"/>
  <c r="F673" i="14"/>
  <c r="F674" i="14"/>
  <c r="F708" i="14"/>
  <c r="F709" i="14"/>
  <c r="F710" i="14"/>
  <c r="F711" i="14"/>
  <c r="F712" i="14"/>
  <c r="F713" i="14"/>
  <c r="F724" i="14" s="1"/>
  <c r="F714" i="14"/>
  <c r="F715" i="14"/>
  <c r="F716" i="14"/>
  <c r="F717" i="14"/>
  <c r="F719" i="14"/>
  <c r="F721" i="14"/>
  <c r="F723" i="14"/>
  <c r="F750" i="14"/>
  <c r="F751" i="14"/>
  <c r="F752" i="14"/>
  <c r="F753" i="14"/>
  <c r="F754" i="14"/>
  <c r="F755" i="14"/>
  <c r="F756" i="14"/>
  <c r="F757" i="14"/>
  <c r="F758" i="14"/>
  <c r="F759" i="14"/>
  <c r="F760" i="14"/>
  <c r="F761" i="14"/>
  <c r="F762" i="14"/>
  <c r="F763" i="14"/>
  <c r="F764" i="14"/>
  <c r="F765" i="14"/>
  <c r="F766" i="14"/>
  <c r="F767" i="14"/>
  <c r="F768" i="14"/>
  <c r="F769" i="14"/>
  <c r="F770" i="14"/>
  <c r="F771" i="14"/>
  <c r="F774" i="14"/>
  <c r="F775" i="14"/>
  <c r="F776" i="14"/>
  <c r="F777" i="14"/>
  <c r="F778" i="14"/>
  <c r="F779" i="14"/>
  <c r="F780" i="14"/>
  <c r="F781" i="14"/>
  <c r="F782" i="14"/>
  <c r="F783" i="14"/>
  <c r="F784" i="14"/>
  <c r="F785" i="14"/>
  <c r="F786" i="14"/>
  <c r="F787" i="14"/>
  <c r="F788" i="14"/>
  <c r="F789" i="14"/>
  <c r="F790" i="14"/>
  <c r="F791" i="14"/>
  <c r="F792" i="14"/>
  <c r="F793" i="14"/>
  <c r="F794" i="14"/>
  <c r="F795" i="14"/>
  <c r="F798" i="14"/>
  <c r="F799" i="14"/>
  <c r="F800" i="14"/>
  <c r="F801" i="14"/>
  <c r="F802" i="14"/>
  <c r="F803" i="14"/>
  <c r="F804" i="14"/>
  <c r="F805" i="14"/>
  <c r="F806" i="14"/>
  <c r="F807" i="14"/>
  <c r="F808" i="14"/>
  <c r="F809" i="14"/>
  <c r="F810" i="14"/>
  <c r="F811" i="14"/>
  <c r="F812" i="14"/>
  <c r="F813" i="14"/>
  <c r="F814" i="14"/>
  <c r="F815" i="14"/>
  <c r="F816" i="14"/>
  <c r="F817" i="14"/>
  <c r="F818" i="14"/>
  <c r="F819" i="14"/>
  <c r="F822" i="14"/>
  <c r="F823" i="14"/>
  <c r="F824" i="14"/>
  <c r="F825" i="14"/>
  <c r="F826" i="14"/>
  <c r="F827" i="14"/>
  <c r="F828" i="14"/>
  <c r="F829" i="14"/>
  <c r="F830" i="14"/>
  <c r="F831" i="14"/>
  <c r="F832" i="14"/>
  <c r="F833" i="14"/>
  <c r="F834" i="14"/>
  <c r="F835" i="14"/>
  <c r="F836" i="14"/>
  <c r="F837" i="14"/>
  <c r="F838" i="14"/>
  <c r="F839" i="14"/>
  <c r="F840" i="14"/>
  <c r="F841" i="14"/>
  <c r="F842" i="14"/>
  <c r="F843" i="14"/>
  <c r="F846" i="14"/>
  <c r="F847" i="14"/>
  <c r="F848" i="14"/>
  <c r="F849" i="14"/>
  <c r="F850" i="14"/>
  <c r="F851" i="14"/>
  <c r="F852" i="14"/>
  <c r="F853" i="14"/>
  <c r="F854" i="14"/>
  <c r="F855" i="14"/>
  <c r="F856" i="14"/>
  <c r="F857" i="14"/>
  <c r="F858" i="14"/>
  <c r="F859" i="14"/>
  <c r="F860" i="14"/>
  <c r="F861" i="14"/>
  <c r="F862" i="14"/>
  <c r="F863" i="14"/>
  <c r="F864" i="14"/>
  <c r="F865" i="14"/>
  <c r="F866" i="14"/>
  <c r="F867" i="14"/>
  <c r="F870" i="14"/>
  <c r="F871" i="14"/>
  <c r="F892" i="14" s="1"/>
  <c r="F872" i="14"/>
  <c r="F873" i="14"/>
  <c r="F874" i="14"/>
  <c r="F875" i="14"/>
  <c r="F876" i="14"/>
  <c r="F877" i="14"/>
  <c r="F878" i="14"/>
  <c r="F879" i="14"/>
  <c r="F880" i="14"/>
  <c r="F881" i="14"/>
  <c r="F882" i="14"/>
  <c r="F883" i="14"/>
  <c r="F884" i="14"/>
  <c r="F885" i="14"/>
  <c r="F886" i="14"/>
  <c r="F887" i="14"/>
  <c r="F888" i="14"/>
  <c r="F889" i="14"/>
  <c r="F890" i="14"/>
  <c r="F891" i="14"/>
  <c r="F894" i="14"/>
  <c r="F895" i="14"/>
  <c r="F896" i="14"/>
  <c r="F897" i="14"/>
  <c r="F898" i="14"/>
  <c r="F899" i="14"/>
  <c r="F900" i="14"/>
  <c r="F901" i="14"/>
  <c r="F902" i="14"/>
  <c r="F903" i="14"/>
  <c r="F904" i="14"/>
  <c r="F905" i="14"/>
  <c r="F906" i="14"/>
  <c r="F907" i="14"/>
  <c r="F908" i="14"/>
  <c r="F909" i="14"/>
  <c r="F910" i="14"/>
  <c r="F911" i="14"/>
  <c r="F912" i="14"/>
  <c r="F913" i="14"/>
  <c r="F914" i="14"/>
  <c r="F915" i="14"/>
  <c r="F918" i="14"/>
  <c r="F919" i="14"/>
  <c r="F920" i="14"/>
  <c r="F921" i="14"/>
  <c r="F922" i="14"/>
  <c r="F923" i="14"/>
  <c r="F924" i="14"/>
  <c r="F925" i="14"/>
  <c r="F926" i="14"/>
  <c r="F927" i="14"/>
  <c r="F928" i="14"/>
  <c r="F929" i="14"/>
  <c r="F930" i="14"/>
  <c r="F931" i="14"/>
  <c r="F932" i="14"/>
  <c r="F933" i="14"/>
  <c r="F934" i="14"/>
  <c r="F935" i="14"/>
  <c r="F936" i="14"/>
  <c r="F937" i="14"/>
  <c r="F938" i="14"/>
  <c r="F939" i="14"/>
  <c r="F942" i="14"/>
  <c r="F943" i="14"/>
  <c r="F944" i="14"/>
  <c r="F945" i="14"/>
  <c r="F946" i="14"/>
  <c r="F947" i="14"/>
  <c r="F948" i="14"/>
  <c r="F949" i="14"/>
  <c r="F950" i="14"/>
  <c r="F951" i="14"/>
  <c r="F952" i="14"/>
  <c r="F953" i="14"/>
  <c r="F954" i="14"/>
  <c r="F955" i="14"/>
  <c r="F956" i="14"/>
  <c r="F957" i="14"/>
  <c r="F958" i="14"/>
  <c r="F959" i="14"/>
  <c r="F960" i="14"/>
  <c r="F961" i="14"/>
  <c r="F962" i="14"/>
  <c r="F963" i="14"/>
  <c r="F966" i="14"/>
  <c r="F967" i="14"/>
  <c r="F968" i="14"/>
  <c r="F969" i="14"/>
  <c r="F970" i="14"/>
  <c r="F971" i="14"/>
  <c r="F972" i="14"/>
  <c r="F973" i="14"/>
  <c r="F974" i="14"/>
  <c r="F975" i="14"/>
  <c r="F976" i="14"/>
  <c r="F977" i="14"/>
  <c r="F978" i="14"/>
  <c r="F979" i="14"/>
  <c r="F980" i="14"/>
  <c r="F981" i="14"/>
  <c r="F982" i="14"/>
  <c r="F983" i="14"/>
  <c r="F984" i="14"/>
  <c r="F985" i="14"/>
  <c r="F986" i="14"/>
  <c r="F987" i="14"/>
  <c r="F990" i="14"/>
  <c r="F991" i="14"/>
  <c r="F992" i="14"/>
  <c r="F993" i="14"/>
  <c r="F994" i="14"/>
  <c r="F995" i="14"/>
  <c r="F996" i="14"/>
  <c r="F997" i="14"/>
  <c r="F998" i="14"/>
  <c r="F999" i="14"/>
  <c r="F1000" i="14"/>
  <c r="F1001" i="14"/>
  <c r="F1002" i="14"/>
  <c r="F1003" i="14"/>
  <c r="F1004" i="14"/>
  <c r="F1005" i="14"/>
  <c r="F1006" i="14"/>
  <c r="F1007" i="14"/>
  <c r="F1008" i="14"/>
  <c r="F1009" i="14"/>
  <c r="F1010" i="14"/>
  <c r="F1011" i="14"/>
  <c r="F1014" i="14"/>
  <c r="F1015" i="14"/>
  <c r="F1016" i="14"/>
  <c r="F1017" i="14"/>
  <c r="F1018" i="14"/>
  <c r="F1019" i="14"/>
  <c r="F1013" i="14" s="1"/>
  <c r="F1020" i="14"/>
  <c r="F1021" i="14"/>
  <c r="F1022" i="14"/>
  <c r="F1023" i="14"/>
  <c r="F1024" i="14"/>
  <c r="F1025" i="14"/>
  <c r="F1026" i="14"/>
  <c r="F1027" i="14"/>
  <c r="F1028" i="14"/>
  <c r="F1029" i="14"/>
  <c r="F1030" i="14"/>
  <c r="F1031" i="14"/>
  <c r="F1032" i="14"/>
  <c r="F1033" i="14"/>
  <c r="F1034" i="14"/>
  <c r="F1035" i="14"/>
  <c r="F1038" i="14"/>
  <c r="F1039" i="14"/>
  <c r="F1040" i="14"/>
  <c r="F1041" i="14"/>
  <c r="F1042" i="14"/>
  <c r="F1043" i="14"/>
  <c r="F1044" i="14"/>
  <c r="F1045" i="14"/>
  <c r="F1046" i="14"/>
  <c r="F1047" i="14"/>
  <c r="F1048" i="14"/>
  <c r="F1049" i="14"/>
  <c r="F1050" i="14"/>
  <c r="F1051" i="14"/>
  <c r="F1052" i="14"/>
  <c r="F1053" i="14"/>
  <c r="F1054" i="14"/>
  <c r="F1055" i="14"/>
  <c r="F1056" i="14"/>
  <c r="F1057" i="14"/>
  <c r="F1058" i="14"/>
  <c r="F1059" i="14"/>
  <c r="F1062" i="14"/>
  <c r="F1063" i="14"/>
  <c r="F1084" i="14" s="1"/>
  <c r="F1064" i="14"/>
  <c r="F1065" i="14"/>
  <c r="F1066" i="14"/>
  <c r="F1067" i="14"/>
  <c r="F1068" i="14"/>
  <c r="F1069" i="14"/>
  <c r="F1070" i="14"/>
  <c r="F1071" i="14"/>
  <c r="F1072" i="14"/>
  <c r="F1073" i="14"/>
  <c r="F1074" i="14"/>
  <c r="F1075" i="14"/>
  <c r="F1076" i="14"/>
  <c r="F1077" i="14"/>
  <c r="F1078" i="14"/>
  <c r="F1079" i="14"/>
  <c r="F1080" i="14"/>
  <c r="F1081" i="14"/>
  <c r="F1082" i="14"/>
  <c r="F1083" i="14"/>
  <c r="F1086" i="14"/>
  <c r="F1087" i="14"/>
  <c r="F1088" i="14"/>
  <c r="F1089" i="14"/>
  <c r="F1090" i="14"/>
  <c r="F1091" i="14"/>
  <c r="F1092" i="14"/>
  <c r="F1093" i="14"/>
  <c r="F1094" i="14"/>
  <c r="F1095" i="14"/>
  <c r="F1096" i="14"/>
  <c r="F1097" i="14"/>
  <c r="F1098" i="14"/>
  <c r="F1099" i="14"/>
  <c r="F1100" i="14"/>
  <c r="F1101" i="14"/>
  <c r="F1102" i="14"/>
  <c r="F1103" i="14"/>
  <c r="F1104" i="14"/>
  <c r="F1105" i="14"/>
  <c r="F1106" i="14"/>
  <c r="F1107" i="14"/>
  <c r="F1110" i="14"/>
  <c r="F1111" i="14"/>
  <c r="F1112" i="14"/>
  <c r="F1113" i="14"/>
  <c r="F1114" i="14"/>
  <c r="F1115" i="14"/>
  <c r="F1116" i="14"/>
  <c r="F1117" i="14"/>
  <c r="F1118" i="14"/>
  <c r="F1119" i="14"/>
  <c r="F1120" i="14"/>
  <c r="F1121" i="14"/>
  <c r="F1122" i="14"/>
  <c r="F1123" i="14"/>
  <c r="F1124" i="14"/>
  <c r="F1125" i="14"/>
  <c r="F1126" i="14"/>
  <c r="F1127" i="14"/>
  <c r="F1128" i="14"/>
  <c r="F1129" i="14"/>
  <c r="F1130" i="14"/>
  <c r="F1131" i="14"/>
  <c r="F1134" i="14"/>
  <c r="F1135" i="14"/>
  <c r="F1136" i="14"/>
  <c r="F1137" i="14"/>
  <c r="F1138" i="14"/>
  <c r="F1139" i="14"/>
  <c r="F1140" i="14"/>
  <c r="F1141" i="14"/>
  <c r="F1142" i="14"/>
  <c r="F1143" i="14"/>
  <c r="F1144" i="14"/>
  <c r="F1145" i="14"/>
  <c r="F1146" i="14"/>
  <c r="F1147" i="14"/>
  <c r="F1148" i="14"/>
  <c r="F1149" i="14"/>
  <c r="F1150" i="14"/>
  <c r="F1151" i="14"/>
  <c r="F1152" i="14"/>
  <c r="F1153" i="14"/>
  <c r="F1154" i="14"/>
  <c r="F1155" i="14"/>
  <c r="F1158" i="14"/>
  <c r="F1159" i="14"/>
  <c r="F1160" i="14"/>
  <c r="F1161" i="14"/>
  <c r="F1162" i="14"/>
  <c r="F1163" i="14"/>
  <c r="F1164" i="14"/>
  <c r="F1165" i="14"/>
  <c r="F1166" i="14"/>
  <c r="F1167" i="14"/>
  <c r="F1168" i="14"/>
  <c r="F1169" i="14"/>
  <c r="F1170" i="14"/>
  <c r="F1171" i="14"/>
  <c r="F1172" i="14"/>
  <c r="F1173" i="14"/>
  <c r="F1174" i="14"/>
  <c r="F1175" i="14"/>
  <c r="F1176" i="14"/>
  <c r="F1177" i="14"/>
  <c r="F1178" i="14"/>
  <c r="F1179" i="14"/>
  <c r="F1182" i="14"/>
  <c r="F1183" i="14"/>
  <c r="F1184" i="14"/>
  <c r="F1185" i="14"/>
  <c r="F1186" i="14"/>
  <c r="F1187" i="14"/>
  <c r="F1188" i="14"/>
  <c r="F1189" i="14"/>
  <c r="F1190" i="14"/>
  <c r="F1191" i="14"/>
  <c r="F1192" i="14"/>
  <c r="F1193" i="14"/>
  <c r="F1194" i="14"/>
  <c r="F1195" i="14"/>
  <c r="F1196" i="14"/>
  <c r="F1197" i="14"/>
  <c r="F1198" i="14"/>
  <c r="F1199" i="14"/>
  <c r="F1200" i="14"/>
  <c r="F1201" i="14"/>
  <c r="F1202" i="14"/>
  <c r="F1203" i="14"/>
  <c r="F1206" i="14"/>
  <c r="F1207" i="14"/>
  <c r="F1208" i="14"/>
  <c r="F1209" i="14"/>
  <c r="F1210" i="14"/>
  <c r="F1211" i="14"/>
  <c r="F1212" i="14"/>
  <c r="F1213" i="14"/>
  <c r="F1214" i="14"/>
  <c r="F1215" i="14"/>
  <c r="F1216" i="14"/>
  <c r="F1217" i="14"/>
  <c r="F1218" i="14"/>
  <c r="F1219" i="14"/>
  <c r="F1220" i="14"/>
  <c r="F1221" i="14"/>
  <c r="F1222" i="14"/>
  <c r="F1223" i="14"/>
  <c r="F1224" i="14"/>
  <c r="F1225" i="14"/>
  <c r="F1226" i="14"/>
  <c r="F1227" i="14"/>
  <c r="F1230" i="14"/>
  <c r="F1231" i="14"/>
  <c r="F1232" i="14"/>
  <c r="F1233" i="14"/>
  <c r="F1234" i="14"/>
  <c r="F1235" i="14"/>
  <c r="F1236" i="14"/>
  <c r="F1237" i="14"/>
  <c r="F1238" i="14"/>
  <c r="F1239" i="14"/>
  <c r="F1240" i="14"/>
  <c r="F1254" i="14"/>
  <c r="F1255" i="14"/>
  <c r="F1256" i="14"/>
  <c r="F1257" i="14"/>
  <c r="F1258" i="14"/>
  <c r="F1259" i="14"/>
  <c r="F1260" i="14"/>
  <c r="F1261" i="14"/>
  <c r="F1262" i="14"/>
  <c r="F1263" i="14"/>
  <c r="F1264" i="14"/>
  <c r="F1278" i="14"/>
  <c r="F1279" i="14"/>
  <c r="F1280" i="14"/>
  <c r="F1281" i="14"/>
  <c r="F1282" i="14"/>
  <c r="F1283" i="14"/>
  <c r="F1284" i="14"/>
  <c r="F1285" i="14"/>
  <c r="F1286" i="14"/>
  <c r="F1287" i="14"/>
  <c r="F1288" i="14"/>
  <c r="F1302" i="14"/>
  <c r="F1303" i="14"/>
  <c r="F1304" i="14"/>
  <c r="F1305" i="14"/>
  <c r="F1306" i="14"/>
  <c r="F1307" i="14"/>
  <c r="F1308" i="14"/>
  <c r="F1309" i="14"/>
  <c r="F1310" i="14"/>
  <c r="F1311" i="14"/>
  <c r="F1312" i="14"/>
  <c r="F1326" i="14"/>
  <c r="F1327" i="14"/>
  <c r="F1328" i="14"/>
  <c r="F1329" i="14"/>
  <c r="F1330" i="14"/>
  <c r="F1331" i="14"/>
  <c r="F1332" i="14"/>
  <c r="F1333" i="14"/>
  <c r="F1334" i="14"/>
  <c r="F1335" i="14"/>
  <c r="F1336" i="14"/>
  <c r="F1350" i="14"/>
  <c r="F1372" i="14" s="1"/>
  <c r="F1351" i="14"/>
  <c r="F1352" i="14"/>
  <c r="F1353" i="14"/>
  <c r="F1354" i="14"/>
  <c r="F1355" i="14"/>
  <c r="F1356" i="14"/>
  <c r="F1357" i="14"/>
  <c r="F1358" i="14"/>
  <c r="F1359" i="14"/>
  <c r="F1360" i="14"/>
  <c r="F1374" i="14"/>
  <c r="F1375" i="14"/>
  <c r="F1376" i="14"/>
  <c r="F1377" i="14"/>
  <c r="F1378" i="14"/>
  <c r="F1379" i="14"/>
  <c r="F1380" i="14"/>
  <c r="F1381" i="14"/>
  <c r="F1382" i="14"/>
  <c r="F1383" i="14"/>
  <c r="F1384" i="14"/>
  <c r="F1398" i="14"/>
  <c r="F1399" i="14"/>
  <c r="F1400" i="14"/>
  <c r="F1401" i="14"/>
  <c r="F1402" i="14"/>
  <c r="F1403" i="14"/>
  <c r="F1404" i="14"/>
  <c r="F1405" i="14"/>
  <c r="F1406" i="14"/>
  <c r="F1407" i="14"/>
  <c r="F1408" i="14"/>
  <c r="F1614" i="14"/>
  <c r="F1615" i="14"/>
  <c r="F1616" i="14"/>
  <c r="F1617" i="14"/>
  <c r="F1618" i="14"/>
  <c r="F1619" i="14"/>
  <c r="F1620" i="14"/>
  <c r="F1613" i="14" s="1"/>
  <c r="F1621" i="14"/>
  <c r="F1622" i="14"/>
  <c r="F1623" i="14"/>
  <c r="F1624" i="14"/>
  <c r="F1625" i="14"/>
  <c r="F1626" i="14"/>
  <c r="F1627" i="14"/>
  <c r="F1628" i="14"/>
  <c r="F1629" i="14"/>
  <c r="F1630" i="14"/>
  <c r="F1631" i="14"/>
  <c r="F1632" i="14"/>
  <c r="F1633" i="14"/>
  <c r="F1634" i="14"/>
  <c r="F1635" i="14"/>
  <c r="F1638" i="14"/>
  <c r="F1639" i="14"/>
  <c r="F1640" i="14"/>
  <c r="F1641" i="14"/>
  <c r="F1642" i="14"/>
  <c r="F1643" i="14"/>
  <c r="F1644" i="14"/>
  <c r="F1645" i="14"/>
  <c r="F1646" i="14"/>
  <c r="F1647" i="14"/>
  <c r="F1648" i="14"/>
  <c r="F1649" i="14"/>
  <c r="F1650" i="14"/>
  <c r="F1651" i="14"/>
  <c r="F1652" i="14"/>
  <c r="F1653" i="14"/>
  <c r="F1654" i="14"/>
  <c r="F1655" i="14"/>
  <c r="F1656" i="14"/>
  <c r="F1657" i="14"/>
  <c r="F1658" i="14"/>
  <c r="F1659" i="14"/>
  <c r="F1662" i="14"/>
  <c r="F1663" i="14"/>
  <c r="F1664" i="14"/>
  <c r="F1665" i="14"/>
  <c r="F1666" i="14"/>
  <c r="F1667" i="14"/>
  <c r="F1668" i="14"/>
  <c r="F1669" i="14"/>
  <c r="F1670" i="14"/>
  <c r="F1671" i="14"/>
  <c r="F1672" i="14"/>
  <c r="F1673" i="14"/>
  <c r="F1674" i="14"/>
  <c r="F1675" i="14"/>
  <c r="F1676" i="14"/>
  <c r="F1677" i="14"/>
  <c r="F1678" i="14"/>
  <c r="F1679" i="14"/>
  <c r="F1680" i="14"/>
  <c r="F1681" i="14"/>
  <c r="F1682" i="14"/>
  <c r="F1683" i="14"/>
  <c r="F1686" i="14"/>
  <c r="F1687" i="14"/>
  <c r="F1688" i="14"/>
  <c r="F1689" i="14"/>
  <c r="F1690" i="14"/>
  <c r="F1691" i="14"/>
  <c r="F1692" i="14"/>
  <c r="F1693" i="14"/>
  <c r="F1694" i="14"/>
  <c r="F1695" i="14"/>
  <c r="F1696" i="14"/>
  <c r="F1697" i="14"/>
  <c r="F1698" i="14"/>
  <c r="F1699" i="14"/>
  <c r="F1700" i="14"/>
  <c r="F1701" i="14"/>
  <c r="F1702" i="14"/>
  <c r="F1703" i="14"/>
  <c r="F1704" i="14"/>
  <c r="F1705" i="14"/>
  <c r="F1706" i="14"/>
  <c r="F1707" i="14"/>
  <c r="F1710" i="14"/>
  <c r="F1711" i="14"/>
  <c r="F1712" i="14"/>
  <c r="F1713" i="14"/>
  <c r="F1714" i="14"/>
  <c r="F1715" i="14"/>
  <c r="F1716" i="14"/>
  <c r="F1732" i="14" s="1"/>
  <c r="F1717" i="14"/>
  <c r="F1718" i="14"/>
  <c r="F1719" i="14"/>
  <c r="F1720" i="14"/>
  <c r="F1721" i="14"/>
  <c r="F1722" i="14"/>
  <c r="F1723" i="14"/>
  <c r="F1724" i="14"/>
  <c r="F1725" i="14"/>
  <c r="F1726" i="14"/>
  <c r="F1727" i="14"/>
  <c r="F1728" i="14"/>
  <c r="F1729" i="14"/>
  <c r="F1730" i="14"/>
  <c r="F1731" i="14"/>
  <c r="F1734" i="14"/>
  <c r="F1735" i="14"/>
  <c r="F1736" i="14"/>
  <c r="F1737" i="14"/>
  <c r="F1738" i="14"/>
  <c r="F1739" i="14"/>
  <c r="F1740" i="14"/>
  <c r="F1741" i="14"/>
  <c r="F1742" i="14"/>
  <c r="F1743" i="14"/>
  <c r="F1744" i="14"/>
  <c r="F1745" i="14"/>
  <c r="F1746" i="14"/>
  <c r="F1747" i="14"/>
  <c r="F1748" i="14"/>
  <c r="F1749" i="14"/>
  <c r="F1750" i="14"/>
  <c r="F1751" i="14"/>
  <c r="F1752" i="14"/>
  <c r="F1753" i="14"/>
  <c r="F1754" i="14"/>
  <c r="F1755" i="14"/>
  <c r="F1758" i="14"/>
  <c r="F1759" i="14"/>
  <c r="F1760" i="14"/>
  <c r="F1761" i="14"/>
  <c r="F1762" i="14"/>
  <c r="F1763" i="14"/>
  <c r="F1764" i="14"/>
  <c r="F1765" i="14"/>
  <c r="F1766" i="14"/>
  <c r="F1767" i="14"/>
  <c r="F1768" i="14"/>
  <c r="F1769" i="14"/>
  <c r="F1770" i="14"/>
  <c r="F1771" i="14"/>
  <c r="F1772" i="14"/>
  <c r="F1773" i="14"/>
  <c r="F1774" i="14"/>
  <c r="F1775" i="14"/>
  <c r="F1776" i="14"/>
  <c r="F1777" i="14"/>
  <c r="F1778" i="14"/>
  <c r="F1779" i="14"/>
  <c r="F1973" i="14"/>
  <c r="F1974" i="14"/>
  <c r="F1975" i="14"/>
  <c r="F1976" i="14"/>
  <c r="F1977" i="14"/>
  <c r="F1978" i="14"/>
  <c r="F1979" i="14"/>
  <c r="F1980" i="14"/>
  <c r="F1981" i="14"/>
  <c r="F1982" i="14"/>
  <c r="F1983" i="14"/>
  <c r="F77" i="15"/>
  <c r="F78" i="15"/>
  <c r="F79" i="15"/>
  <c r="F80" i="15"/>
  <c r="F81" i="15"/>
  <c r="F82" i="15"/>
  <c r="F83" i="15"/>
  <c r="F84" i="15"/>
  <c r="F85" i="15"/>
  <c r="F86" i="15"/>
  <c r="F87" i="15"/>
  <c r="F88" i="15"/>
  <c r="F89" i="15"/>
  <c r="F90" i="15"/>
  <c r="F91" i="15"/>
  <c r="F92" i="15"/>
  <c r="F93" i="15"/>
  <c r="F94" i="15"/>
  <c r="F95" i="15"/>
  <c r="F96" i="15"/>
  <c r="F97" i="15"/>
  <c r="F98" i="15"/>
  <c r="F101" i="15"/>
  <c r="F102" i="15"/>
  <c r="F103" i="15"/>
  <c r="F104" i="15"/>
  <c r="F105" i="15"/>
  <c r="F106" i="15"/>
  <c r="F107" i="15"/>
  <c r="F108" i="15"/>
  <c r="F109" i="15"/>
  <c r="F110" i="15"/>
  <c r="F111" i="15"/>
  <c r="F112" i="15"/>
  <c r="F113" i="15"/>
  <c r="F114" i="15"/>
  <c r="F115" i="15"/>
  <c r="F116" i="15"/>
  <c r="F117" i="15"/>
  <c r="F118" i="15"/>
  <c r="F119" i="15"/>
  <c r="F120" i="15"/>
  <c r="F121" i="15"/>
  <c r="F122" i="15"/>
  <c r="F125" i="15"/>
  <c r="F126" i="15"/>
  <c r="F127" i="15"/>
  <c r="F128" i="15"/>
  <c r="F129" i="15"/>
  <c r="F130" i="15"/>
  <c r="F131" i="15"/>
  <c r="F132" i="15"/>
  <c r="F133" i="15"/>
  <c r="F134" i="15"/>
  <c r="F135" i="15"/>
  <c r="F136" i="15"/>
  <c r="F137" i="15"/>
  <c r="F138" i="15"/>
  <c r="F139" i="15"/>
  <c r="F140" i="15"/>
  <c r="F141" i="15"/>
  <c r="F142" i="15"/>
  <c r="F143" i="15"/>
  <c r="F144" i="15"/>
  <c r="F145" i="15"/>
  <c r="F146" i="15"/>
  <c r="F149" i="15"/>
  <c r="F150" i="15"/>
  <c r="F151" i="15"/>
  <c r="F152" i="15"/>
  <c r="F153" i="15"/>
  <c r="F154" i="15"/>
  <c r="F155" i="15"/>
  <c r="F156" i="15"/>
  <c r="F157" i="15"/>
  <c r="F158" i="15"/>
  <c r="F159" i="15"/>
  <c r="F160" i="15"/>
  <c r="F161" i="15"/>
  <c r="F162" i="15"/>
  <c r="F163" i="15"/>
  <c r="F164" i="15"/>
  <c r="F165" i="15"/>
  <c r="F166" i="15"/>
  <c r="F167" i="15"/>
  <c r="F168" i="15"/>
  <c r="F169" i="15"/>
  <c r="F170" i="15"/>
  <c r="F173" i="15"/>
  <c r="F174" i="15"/>
  <c r="F175" i="15"/>
  <c r="F176" i="15"/>
  <c r="F177" i="15"/>
  <c r="F178" i="15"/>
  <c r="F179" i="15"/>
  <c r="F180" i="15"/>
  <c r="F181" i="15"/>
  <c r="F182" i="15"/>
  <c r="F183" i="15"/>
  <c r="F184" i="15"/>
  <c r="F185" i="15"/>
  <c r="F186" i="15"/>
  <c r="F187" i="15"/>
  <c r="F188" i="15"/>
  <c r="F189" i="15"/>
  <c r="F190" i="15"/>
  <c r="F191" i="15"/>
  <c r="F192" i="15"/>
  <c r="F193" i="15"/>
  <c r="F194" i="15"/>
  <c r="F197" i="15"/>
  <c r="F198" i="15"/>
  <c r="F199" i="15"/>
  <c r="F200" i="15"/>
  <c r="F201" i="15"/>
  <c r="F202" i="15"/>
  <c r="F203" i="15"/>
  <c r="F204" i="15"/>
  <c r="F205" i="15"/>
  <c r="F206" i="15"/>
  <c r="F207" i="15"/>
  <c r="F208" i="15"/>
  <c r="F209" i="15"/>
  <c r="F210" i="15"/>
  <c r="F211" i="15"/>
  <c r="F212" i="15"/>
  <c r="F213" i="15"/>
  <c r="F214" i="15"/>
  <c r="F215" i="15"/>
  <c r="F216" i="15"/>
  <c r="F217" i="15"/>
  <c r="F218" i="15"/>
  <c r="F269" i="15"/>
  <c r="F270" i="15"/>
  <c r="F271" i="15"/>
  <c r="F272" i="15"/>
  <c r="F273" i="15"/>
  <c r="F274" i="15"/>
  <c r="F275" i="15"/>
  <c r="F276" i="15"/>
  <c r="F277" i="15"/>
  <c r="F278" i="15"/>
  <c r="F279" i="15"/>
  <c r="F280" i="15"/>
  <c r="F281" i="15"/>
  <c r="F282" i="15"/>
  <c r="F283" i="15"/>
  <c r="F284" i="15"/>
  <c r="F285" i="15"/>
  <c r="F286" i="15"/>
  <c r="F287" i="15"/>
  <c r="F288" i="15"/>
  <c r="F289" i="15"/>
  <c r="F290" i="15"/>
  <c r="F293" i="15"/>
  <c r="F294" i="15"/>
  <c r="F295" i="15"/>
  <c r="F296" i="15"/>
  <c r="F297" i="15"/>
  <c r="F298" i="15"/>
  <c r="F299" i="15"/>
  <c r="F300" i="15"/>
  <c r="F301" i="15"/>
  <c r="F302" i="15"/>
  <c r="F303" i="15"/>
  <c r="F304" i="15"/>
  <c r="F305" i="15"/>
  <c r="F306" i="15"/>
  <c r="F307" i="15"/>
  <c r="F308" i="15"/>
  <c r="F309" i="15"/>
  <c r="F310" i="15"/>
  <c r="F311" i="15"/>
  <c r="F312" i="15"/>
  <c r="F313" i="15"/>
  <c r="F314" i="15"/>
  <c r="F317" i="15"/>
  <c r="F318" i="15"/>
  <c r="F319" i="15"/>
  <c r="F320" i="15"/>
  <c r="F321" i="15"/>
  <c r="F322" i="15"/>
  <c r="F323" i="15"/>
  <c r="F324" i="15"/>
  <c r="F325" i="15"/>
  <c r="F326" i="15"/>
  <c r="F327" i="15"/>
  <c r="F328" i="15"/>
  <c r="F329" i="15"/>
  <c r="F330" i="15"/>
  <c r="F331" i="15"/>
  <c r="F332" i="15"/>
  <c r="F333" i="15"/>
  <c r="F334" i="15"/>
  <c r="F335" i="15"/>
  <c r="F336" i="15"/>
  <c r="F337" i="15"/>
  <c r="F338" i="15"/>
  <c r="F341" i="15"/>
  <c r="F342" i="15"/>
  <c r="F343" i="15"/>
  <c r="F344" i="15"/>
  <c r="F345" i="15"/>
  <c r="F346" i="15"/>
  <c r="F347" i="15"/>
  <c r="F348" i="15"/>
  <c r="F349" i="15"/>
  <c r="F350" i="15"/>
  <c r="F351" i="15"/>
  <c r="F352" i="15"/>
  <c r="F353" i="15"/>
  <c r="F354" i="15"/>
  <c r="F355" i="15"/>
  <c r="F356" i="15"/>
  <c r="F357" i="15"/>
  <c r="F358" i="15"/>
  <c r="F359" i="15"/>
  <c r="F360" i="15"/>
  <c r="F361" i="15"/>
  <c r="F362" i="15"/>
  <c r="F365" i="15"/>
  <c r="F366" i="15"/>
  <c r="F367" i="15"/>
  <c r="F368" i="15"/>
  <c r="F369" i="15"/>
  <c r="F370" i="15"/>
  <c r="F371" i="15"/>
  <c r="F372" i="15"/>
  <c r="F373" i="15"/>
  <c r="F374" i="15"/>
  <c r="F375" i="15"/>
  <c r="F376" i="15"/>
  <c r="F377" i="15"/>
  <c r="F378" i="15"/>
  <c r="F379" i="15"/>
  <c r="F380" i="15"/>
  <c r="F381" i="15"/>
  <c r="F382" i="15"/>
  <c r="F383" i="15"/>
  <c r="F384" i="15"/>
  <c r="F385" i="15"/>
  <c r="F386" i="15"/>
  <c r="F389" i="15"/>
  <c r="F390" i="15"/>
  <c r="F391" i="15"/>
  <c r="F392" i="15"/>
  <c r="F393" i="15"/>
  <c r="F394" i="15"/>
  <c r="F395" i="15"/>
  <c r="F396" i="15"/>
  <c r="F397" i="15"/>
  <c r="F398" i="15"/>
  <c r="F399" i="15"/>
  <c r="F400" i="15"/>
  <c r="F401" i="15"/>
  <c r="F402" i="15"/>
  <c r="F403" i="15"/>
  <c r="F404" i="15"/>
  <c r="F405" i="15"/>
  <c r="F406" i="15"/>
  <c r="F407" i="15"/>
  <c r="F408" i="15"/>
  <c r="F409" i="15"/>
  <c r="F410" i="15"/>
  <c r="F413" i="15"/>
  <c r="F414" i="15"/>
  <c r="F415" i="15"/>
  <c r="F416" i="15"/>
  <c r="F417" i="15"/>
  <c r="F418" i="15"/>
  <c r="F419" i="15"/>
  <c r="F420" i="15"/>
  <c r="F421" i="15"/>
  <c r="F422" i="15"/>
  <c r="F423" i="15"/>
  <c r="F424" i="15"/>
  <c r="F425" i="15"/>
  <c r="F426" i="15"/>
  <c r="F427" i="15"/>
  <c r="F428" i="15"/>
  <c r="F429" i="15"/>
  <c r="F430" i="15"/>
  <c r="F431" i="15"/>
  <c r="F432" i="15"/>
  <c r="F433" i="15"/>
  <c r="F434" i="15"/>
  <c r="F437" i="15"/>
  <c r="F438" i="15"/>
  <c r="F439" i="15"/>
  <c r="F440" i="15"/>
  <c r="F441" i="15"/>
  <c r="F442" i="15"/>
  <c r="F443" i="15"/>
  <c r="F444" i="15"/>
  <c r="F445" i="15"/>
  <c r="F446" i="15"/>
  <c r="F447" i="15"/>
  <c r="F448" i="15"/>
  <c r="F449" i="15"/>
  <c r="F450" i="15"/>
  <c r="F451" i="15"/>
  <c r="F452" i="15"/>
  <c r="F453" i="15"/>
  <c r="F454" i="15"/>
  <c r="F455" i="15"/>
  <c r="F456" i="15"/>
  <c r="F457" i="15"/>
  <c r="F458" i="15"/>
  <c r="F461" i="15"/>
  <c r="F462" i="15"/>
  <c r="F463" i="15"/>
  <c r="F464" i="15"/>
  <c r="F465" i="15"/>
  <c r="F466" i="15"/>
  <c r="F467" i="15"/>
  <c r="F468" i="15"/>
  <c r="F469" i="15"/>
  <c r="F470" i="15"/>
  <c r="F471" i="15"/>
  <c r="F472" i="15"/>
  <c r="F473" i="15"/>
  <c r="F474" i="15"/>
  <c r="F475" i="15"/>
  <c r="F476" i="15"/>
  <c r="F477" i="15"/>
  <c r="F478" i="15"/>
  <c r="F479" i="15"/>
  <c r="F480" i="15"/>
  <c r="F481" i="15"/>
  <c r="F482" i="15"/>
  <c r="F509" i="15"/>
  <c r="F510" i="15"/>
  <c r="F511" i="15"/>
  <c r="F512" i="15"/>
  <c r="F513" i="15"/>
  <c r="F514" i="15"/>
  <c r="F515" i="15"/>
  <c r="F516" i="15"/>
  <c r="F517" i="15"/>
  <c r="F518" i="15"/>
  <c r="F519" i="15"/>
  <c r="F520" i="15"/>
  <c r="F521" i="15"/>
  <c r="F522" i="15"/>
  <c r="F523" i="15"/>
  <c r="F524" i="15"/>
  <c r="F525" i="15"/>
  <c r="F526" i="15"/>
  <c r="F527" i="15"/>
  <c r="F528" i="15"/>
  <c r="F529" i="15"/>
  <c r="F530" i="15"/>
  <c r="F533" i="15"/>
  <c r="F534" i="15"/>
  <c r="F535" i="15"/>
  <c r="F536" i="15"/>
  <c r="F537" i="15"/>
  <c r="F538" i="15"/>
  <c r="F539" i="15"/>
  <c r="F540" i="15"/>
  <c r="F541" i="15"/>
  <c r="F542" i="15"/>
  <c r="F543" i="15"/>
  <c r="F544" i="15"/>
  <c r="F545" i="15"/>
  <c r="F546" i="15"/>
  <c r="F547" i="15"/>
  <c r="F548" i="15"/>
  <c r="F549" i="15"/>
  <c r="F550" i="15"/>
  <c r="F551" i="15"/>
  <c r="F552" i="15"/>
  <c r="F553" i="15"/>
  <c r="F554" i="15"/>
  <c r="F557" i="15"/>
  <c r="F558" i="15"/>
  <c r="F559" i="15"/>
  <c r="F560" i="15"/>
  <c r="F561" i="15"/>
  <c r="F562" i="15"/>
  <c r="F563" i="15"/>
  <c r="F564" i="15"/>
  <c r="F565" i="15"/>
  <c r="F566" i="15"/>
  <c r="F567" i="15"/>
  <c r="F568" i="15"/>
  <c r="F569" i="15"/>
  <c r="F570" i="15"/>
  <c r="F571" i="15"/>
  <c r="F572" i="15"/>
  <c r="F573" i="15"/>
  <c r="F574" i="15"/>
  <c r="F575" i="15"/>
  <c r="F576" i="15"/>
  <c r="F577" i="15"/>
  <c r="F578" i="15"/>
  <c r="F581" i="15"/>
  <c r="F582" i="15"/>
  <c r="F583" i="15"/>
  <c r="F584" i="15"/>
  <c r="F585" i="15"/>
  <c r="F586" i="15"/>
  <c r="F587" i="15"/>
  <c r="F588" i="15"/>
  <c r="F589" i="15"/>
  <c r="F590" i="15"/>
  <c r="F591" i="15"/>
  <c r="F592" i="15"/>
  <c r="F593" i="15"/>
  <c r="F594" i="15"/>
  <c r="F595" i="15"/>
  <c r="F596" i="15"/>
  <c r="F597" i="15"/>
  <c r="F598" i="15"/>
  <c r="F599" i="15"/>
  <c r="F600" i="15"/>
  <c r="F601" i="15"/>
  <c r="F602" i="15"/>
  <c r="F605" i="15"/>
  <c r="F606" i="15"/>
  <c r="F607" i="15"/>
  <c r="F608" i="15"/>
  <c r="F609" i="15"/>
  <c r="F610" i="15"/>
  <c r="F611" i="15"/>
  <c r="F612" i="15"/>
  <c r="F613" i="15"/>
  <c r="F614" i="15"/>
  <c r="F615" i="15"/>
  <c r="F616" i="15"/>
  <c r="F617" i="15"/>
  <c r="F618" i="15"/>
  <c r="F619" i="15"/>
  <c r="F620" i="15"/>
  <c r="F621" i="15"/>
  <c r="F622" i="15"/>
  <c r="F623" i="15"/>
  <c r="F624" i="15"/>
  <c r="F625" i="15"/>
  <c r="F626" i="15"/>
  <c r="F629" i="15"/>
  <c r="F630" i="15"/>
  <c r="F631" i="15"/>
  <c r="F632" i="15"/>
  <c r="F633" i="15"/>
  <c r="F634" i="15"/>
  <c r="F635" i="15"/>
  <c r="F636" i="15"/>
  <c r="F637" i="15"/>
  <c r="F638" i="15"/>
  <c r="F639" i="15"/>
  <c r="F640" i="15"/>
  <c r="F641" i="15"/>
  <c r="F642" i="15"/>
  <c r="F643" i="15"/>
  <c r="F644" i="15"/>
  <c r="F645" i="15"/>
  <c r="F646" i="15"/>
  <c r="F647" i="15"/>
  <c r="F648" i="15"/>
  <c r="F649" i="15"/>
  <c r="F650" i="15"/>
  <c r="F653" i="15"/>
  <c r="F654" i="15"/>
  <c r="F655" i="15"/>
  <c r="F656" i="15"/>
  <c r="F657" i="15"/>
  <c r="F658" i="15"/>
  <c r="F659" i="15"/>
  <c r="F660" i="15"/>
  <c r="F661" i="15"/>
  <c r="F662" i="15"/>
  <c r="F663" i="15"/>
  <c r="F664" i="15"/>
  <c r="F665" i="15"/>
  <c r="F666" i="15"/>
  <c r="F667" i="15"/>
  <c r="F668" i="15"/>
  <c r="F669" i="15"/>
  <c r="F670" i="15"/>
  <c r="F671" i="15"/>
  <c r="F672" i="15"/>
  <c r="F673" i="15"/>
  <c r="F674" i="15"/>
  <c r="F708" i="15"/>
  <c r="F709" i="15"/>
  <c r="F710" i="15"/>
  <c r="F711" i="15"/>
  <c r="F712" i="15"/>
  <c r="F713" i="15"/>
  <c r="F714" i="15"/>
  <c r="F715" i="15"/>
  <c r="F716" i="15"/>
  <c r="F717" i="15"/>
  <c r="F719" i="15"/>
  <c r="F721" i="15"/>
  <c r="F723" i="15"/>
  <c r="F750" i="15"/>
  <c r="F751" i="15"/>
  <c r="F752" i="15"/>
  <c r="F753" i="15"/>
  <c r="F754" i="15"/>
  <c r="F755" i="15"/>
  <c r="F756" i="15"/>
  <c r="F757" i="15"/>
  <c r="F758" i="15"/>
  <c r="F759" i="15"/>
  <c r="F760" i="15"/>
  <c r="F761" i="15"/>
  <c r="F762" i="15"/>
  <c r="F763" i="15"/>
  <c r="F764" i="15"/>
  <c r="F765" i="15"/>
  <c r="F766" i="15"/>
  <c r="F767" i="15"/>
  <c r="F768" i="15"/>
  <c r="F769" i="15"/>
  <c r="F770" i="15"/>
  <c r="F771" i="15"/>
  <c r="F774" i="15"/>
  <c r="F775" i="15"/>
  <c r="F776" i="15"/>
  <c r="F777" i="15"/>
  <c r="F778" i="15"/>
  <c r="F779" i="15"/>
  <c r="F780" i="15"/>
  <c r="F781" i="15"/>
  <c r="F782" i="15"/>
  <c r="F783" i="15"/>
  <c r="F784" i="15"/>
  <c r="F785" i="15"/>
  <c r="F786" i="15"/>
  <c r="F787" i="15"/>
  <c r="F788" i="15"/>
  <c r="F789" i="15"/>
  <c r="F790" i="15"/>
  <c r="F791" i="15"/>
  <c r="F792" i="15"/>
  <c r="F793" i="15"/>
  <c r="F794" i="15"/>
  <c r="F795" i="15"/>
  <c r="F798" i="15"/>
  <c r="F799" i="15"/>
  <c r="F800" i="15"/>
  <c r="F801" i="15"/>
  <c r="F802" i="15"/>
  <c r="F803" i="15"/>
  <c r="F804" i="15"/>
  <c r="F805" i="15"/>
  <c r="F806" i="15"/>
  <c r="F807" i="15"/>
  <c r="F808" i="15"/>
  <c r="F809" i="15"/>
  <c r="F810" i="15"/>
  <c r="F811" i="15"/>
  <c r="F812" i="15"/>
  <c r="F813" i="15"/>
  <c r="F814" i="15"/>
  <c r="F815" i="15"/>
  <c r="F816" i="15"/>
  <c r="F817" i="15"/>
  <c r="F818" i="15"/>
  <c r="F819" i="15"/>
  <c r="F822" i="15"/>
  <c r="F823" i="15"/>
  <c r="F824" i="15"/>
  <c r="F825" i="15"/>
  <c r="F826" i="15"/>
  <c r="F827" i="15"/>
  <c r="F828" i="15"/>
  <c r="F829" i="15"/>
  <c r="F830" i="15"/>
  <c r="F831" i="15"/>
  <c r="F832" i="15"/>
  <c r="F833" i="15"/>
  <c r="F834" i="15"/>
  <c r="F835" i="15"/>
  <c r="F836" i="15"/>
  <c r="F837" i="15"/>
  <c r="F838" i="15"/>
  <c r="F839" i="15"/>
  <c r="F840" i="15"/>
  <c r="F841" i="15"/>
  <c r="F842" i="15"/>
  <c r="F843" i="15"/>
  <c r="F846" i="15"/>
  <c r="F847" i="15"/>
  <c r="F848" i="15"/>
  <c r="F849" i="15"/>
  <c r="F850" i="15"/>
  <c r="F851" i="15"/>
  <c r="F852" i="15"/>
  <c r="F853" i="15"/>
  <c r="F854" i="15"/>
  <c r="F855" i="15"/>
  <c r="F856" i="15"/>
  <c r="F857" i="15"/>
  <c r="F858" i="15"/>
  <c r="F859" i="15"/>
  <c r="F860" i="15"/>
  <c r="F861" i="15"/>
  <c r="F862" i="15"/>
  <c r="F863" i="15"/>
  <c r="F864" i="15"/>
  <c r="F865" i="15"/>
  <c r="F866" i="15"/>
  <c r="F867" i="15"/>
  <c r="F870" i="15"/>
  <c r="F871" i="15"/>
  <c r="F872" i="15"/>
  <c r="F873" i="15"/>
  <c r="F874" i="15"/>
  <c r="F875" i="15"/>
  <c r="F876" i="15"/>
  <c r="F877" i="15"/>
  <c r="F878" i="15"/>
  <c r="F879" i="15"/>
  <c r="F880" i="15"/>
  <c r="F881" i="15"/>
  <c r="F882" i="15"/>
  <c r="F883" i="15"/>
  <c r="F884" i="15"/>
  <c r="F885" i="15"/>
  <c r="F886" i="15"/>
  <c r="F887" i="15"/>
  <c r="F888" i="15"/>
  <c r="F889" i="15"/>
  <c r="F890" i="15"/>
  <c r="F891" i="15"/>
  <c r="F894" i="15"/>
  <c r="F895" i="15"/>
  <c r="F896" i="15"/>
  <c r="F897" i="15"/>
  <c r="F898" i="15"/>
  <c r="F899" i="15"/>
  <c r="F900" i="15"/>
  <c r="F901" i="15"/>
  <c r="F902" i="15"/>
  <c r="F903" i="15"/>
  <c r="F904" i="15"/>
  <c r="F905" i="15"/>
  <c r="F906" i="15"/>
  <c r="F907" i="15"/>
  <c r="F908" i="15"/>
  <c r="F909" i="15"/>
  <c r="F910" i="15"/>
  <c r="F911" i="15"/>
  <c r="F912" i="15"/>
  <c r="F913" i="15"/>
  <c r="F914" i="15"/>
  <c r="F915" i="15"/>
  <c r="F918" i="15"/>
  <c r="F919" i="15"/>
  <c r="F920" i="15"/>
  <c r="F921" i="15"/>
  <c r="F922" i="15"/>
  <c r="F923" i="15"/>
  <c r="F924" i="15"/>
  <c r="F925" i="15"/>
  <c r="F926" i="15"/>
  <c r="F927" i="15"/>
  <c r="F928" i="15"/>
  <c r="F929" i="15"/>
  <c r="F930" i="15"/>
  <c r="F931" i="15"/>
  <c r="F932" i="15"/>
  <c r="F933" i="15"/>
  <c r="F934" i="15"/>
  <c r="F935" i="15"/>
  <c r="F936" i="15"/>
  <c r="F937" i="15"/>
  <c r="F938" i="15"/>
  <c r="F939" i="15"/>
  <c r="F942" i="15"/>
  <c r="F943" i="15"/>
  <c r="F944" i="15"/>
  <c r="F945" i="15"/>
  <c r="F946" i="15"/>
  <c r="F947" i="15"/>
  <c r="F948" i="15"/>
  <c r="F949" i="15"/>
  <c r="F950" i="15"/>
  <c r="F951" i="15"/>
  <c r="F952" i="15"/>
  <c r="F953" i="15"/>
  <c r="F954" i="15"/>
  <c r="F955" i="15"/>
  <c r="F956" i="15"/>
  <c r="F957" i="15"/>
  <c r="F958" i="15"/>
  <c r="F959" i="15"/>
  <c r="F960" i="15"/>
  <c r="F961" i="15"/>
  <c r="F962" i="15"/>
  <c r="F963" i="15"/>
  <c r="F966" i="15"/>
  <c r="F967" i="15"/>
  <c r="F968" i="15"/>
  <c r="F969" i="15"/>
  <c r="F970" i="15"/>
  <c r="F971" i="15"/>
  <c r="F972" i="15"/>
  <c r="F973" i="15"/>
  <c r="F974" i="15"/>
  <c r="F975" i="15"/>
  <c r="F976" i="15"/>
  <c r="F977" i="15"/>
  <c r="F978" i="15"/>
  <c r="F979" i="15"/>
  <c r="F980" i="15"/>
  <c r="F981" i="15"/>
  <c r="F982" i="15"/>
  <c r="F983" i="15"/>
  <c r="F984" i="15"/>
  <c r="F985" i="15"/>
  <c r="F986" i="15"/>
  <c r="F987" i="15"/>
  <c r="F990" i="15"/>
  <c r="F991" i="15"/>
  <c r="F992" i="15"/>
  <c r="F993" i="15"/>
  <c r="F994" i="15"/>
  <c r="F995" i="15"/>
  <c r="F996" i="15"/>
  <c r="F997" i="15"/>
  <c r="F998" i="15"/>
  <c r="F999" i="15"/>
  <c r="F1000" i="15"/>
  <c r="F1001" i="15"/>
  <c r="F1002" i="15"/>
  <c r="F1003" i="15"/>
  <c r="F1004" i="15"/>
  <c r="F1005" i="15"/>
  <c r="F1006" i="15"/>
  <c r="F1007" i="15"/>
  <c r="F1008" i="15"/>
  <c r="F1009" i="15"/>
  <c r="F1010" i="15"/>
  <c r="F1011" i="15"/>
  <c r="F1014" i="15"/>
  <c r="F1013" i="15" s="1"/>
  <c r="F1015" i="15"/>
  <c r="F1016" i="15"/>
  <c r="F1017" i="15"/>
  <c r="F1018" i="15"/>
  <c r="F1019" i="15"/>
  <c r="F1020" i="15"/>
  <c r="F1021" i="15"/>
  <c r="F1022" i="15"/>
  <c r="F1023" i="15"/>
  <c r="F1024" i="15"/>
  <c r="F1025" i="15"/>
  <c r="F1026" i="15"/>
  <c r="F1027" i="15"/>
  <c r="F1028" i="15"/>
  <c r="F1029" i="15"/>
  <c r="F1030" i="15"/>
  <c r="F1031" i="15"/>
  <c r="F1032" i="15"/>
  <c r="F1033" i="15"/>
  <c r="F1034" i="15"/>
  <c r="F1035" i="15"/>
  <c r="F1038" i="15"/>
  <c r="F1039" i="15"/>
  <c r="F1040" i="15"/>
  <c r="F1041" i="15"/>
  <c r="F1042" i="15"/>
  <c r="F1043" i="15"/>
  <c r="F1044" i="15"/>
  <c r="F1045" i="15"/>
  <c r="F1046" i="15"/>
  <c r="F1047" i="15"/>
  <c r="F1048" i="15"/>
  <c r="F1049" i="15"/>
  <c r="F1050" i="15"/>
  <c r="F1051" i="15"/>
  <c r="F1052" i="15"/>
  <c r="F1053" i="15"/>
  <c r="F1054" i="15"/>
  <c r="F1055" i="15"/>
  <c r="F1056" i="15"/>
  <c r="F1057" i="15"/>
  <c r="F1058" i="15"/>
  <c r="F1059" i="15"/>
  <c r="F1062" i="15"/>
  <c r="F1063" i="15"/>
  <c r="F1064" i="15"/>
  <c r="F1065" i="15"/>
  <c r="F1066" i="15"/>
  <c r="F1067" i="15"/>
  <c r="F1068" i="15"/>
  <c r="F1069" i="15"/>
  <c r="F1070" i="15"/>
  <c r="F1071" i="15"/>
  <c r="F1072" i="15"/>
  <c r="F1073" i="15"/>
  <c r="F1074" i="15"/>
  <c r="F1075" i="15"/>
  <c r="F1076" i="15"/>
  <c r="F1077" i="15"/>
  <c r="F1078" i="15"/>
  <c r="F1079" i="15"/>
  <c r="F1080" i="15"/>
  <c r="F1081" i="15"/>
  <c r="F1082" i="15"/>
  <c r="F1083" i="15"/>
  <c r="F1086" i="15"/>
  <c r="F1087" i="15"/>
  <c r="F1088" i="15"/>
  <c r="F1089" i="15"/>
  <c r="F1090" i="15"/>
  <c r="F1091" i="15"/>
  <c r="F1092" i="15"/>
  <c r="F1093" i="15"/>
  <c r="F1094" i="15"/>
  <c r="F1095" i="15"/>
  <c r="F1096" i="15"/>
  <c r="F1097" i="15"/>
  <c r="F1098" i="15"/>
  <c r="F1099" i="15"/>
  <c r="F1100" i="15"/>
  <c r="F1101" i="15"/>
  <c r="F1102" i="15"/>
  <c r="F1103" i="15"/>
  <c r="F1104" i="15"/>
  <c r="F1105" i="15"/>
  <c r="F1106" i="15"/>
  <c r="F1107" i="15"/>
  <c r="F1110" i="15"/>
  <c r="F1111" i="15"/>
  <c r="F1112" i="15"/>
  <c r="F1113" i="15"/>
  <c r="F1114" i="15"/>
  <c r="F1115" i="15"/>
  <c r="F1116" i="15"/>
  <c r="F1117" i="15"/>
  <c r="F1118" i="15"/>
  <c r="F1119" i="15"/>
  <c r="F1120" i="15"/>
  <c r="F1121" i="15"/>
  <c r="F1122" i="15"/>
  <c r="F1123" i="15"/>
  <c r="F1124" i="15"/>
  <c r="F1125" i="15"/>
  <c r="F1126" i="15"/>
  <c r="F1127" i="15"/>
  <c r="F1128" i="15"/>
  <c r="F1129" i="15"/>
  <c r="F1130" i="15"/>
  <c r="F1131" i="15"/>
  <c r="F1134" i="15"/>
  <c r="F1135" i="15"/>
  <c r="F1136" i="15"/>
  <c r="F1137" i="15"/>
  <c r="F1138" i="15"/>
  <c r="F1139" i="15"/>
  <c r="F1140" i="15"/>
  <c r="F1141" i="15"/>
  <c r="F1142" i="15"/>
  <c r="F1143" i="15"/>
  <c r="F1144" i="15"/>
  <c r="F1145" i="15"/>
  <c r="F1146" i="15"/>
  <c r="F1147" i="15"/>
  <c r="F1148" i="15"/>
  <c r="F1149" i="15"/>
  <c r="F1150" i="15"/>
  <c r="F1151" i="15"/>
  <c r="F1152" i="15"/>
  <c r="F1153" i="15"/>
  <c r="F1154" i="15"/>
  <c r="F1155" i="15"/>
  <c r="F1158" i="15"/>
  <c r="F1159" i="15"/>
  <c r="F1160" i="15"/>
  <c r="F1161" i="15"/>
  <c r="F1162" i="15"/>
  <c r="F1163" i="15"/>
  <c r="F1164" i="15"/>
  <c r="F1165" i="15"/>
  <c r="F1166" i="15"/>
  <c r="F1167" i="15"/>
  <c r="F1168" i="15"/>
  <c r="F1169" i="15"/>
  <c r="F1170" i="15"/>
  <c r="F1171" i="15"/>
  <c r="F1172" i="15"/>
  <c r="F1173" i="15"/>
  <c r="F1174" i="15"/>
  <c r="F1175" i="15"/>
  <c r="F1176" i="15"/>
  <c r="F1177" i="15"/>
  <c r="F1178" i="15"/>
  <c r="F1179" i="15"/>
  <c r="F1182" i="15"/>
  <c r="F1183" i="15"/>
  <c r="F1184" i="15"/>
  <c r="F1185" i="15"/>
  <c r="F1186" i="15"/>
  <c r="F1187" i="15"/>
  <c r="F1188" i="15"/>
  <c r="F1189" i="15"/>
  <c r="F1190" i="15"/>
  <c r="F1191" i="15"/>
  <c r="F1192" i="15"/>
  <c r="F1193" i="15"/>
  <c r="F1194" i="15"/>
  <c r="F1195" i="15"/>
  <c r="F1196" i="15"/>
  <c r="F1197" i="15"/>
  <c r="F1198" i="15"/>
  <c r="F1199" i="15"/>
  <c r="F1200" i="15"/>
  <c r="F1201" i="15"/>
  <c r="F1202" i="15"/>
  <c r="F1203" i="15"/>
  <c r="F1206" i="15"/>
  <c r="F1207" i="15"/>
  <c r="F1208" i="15"/>
  <c r="F1209" i="15"/>
  <c r="F1210" i="15"/>
  <c r="F1211" i="15"/>
  <c r="F1212" i="15"/>
  <c r="F1213" i="15"/>
  <c r="F1214" i="15"/>
  <c r="F1215" i="15"/>
  <c r="F1216" i="15"/>
  <c r="F1217" i="15"/>
  <c r="F1218" i="15"/>
  <c r="F1219" i="15"/>
  <c r="F1220" i="15"/>
  <c r="F1221" i="15"/>
  <c r="F1222" i="15"/>
  <c r="F1223" i="15"/>
  <c r="F1224" i="15"/>
  <c r="F1225" i="15"/>
  <c r="F1226" i="15"/>
  <c r="F1227" i="15"/>
  <c r="F1230" i="15"/>
  <c r="F1231" i="15"/>
  <c r="F1232" i="15"/>
  <c r="F1233" i="15"/>
  <c r="F1234" i="15"/>
  <c r="F1235" i="15"/>
  <c r="F1236" i="15"/>
  <c r="F1237" i="15"/>
  <c r="F1238" i="15"/>
  <c r="F1239" i="15"/>
  <c r="F1240" i="15"/>
  <c r="F1254" i="15"/>
  <c r="F1255" i="15"/>
  <c r="F1256" i="15"/>
  <c r="F1257" i="15"/>
  <c r="F1258" i="15"/>
  <c r="F1259" i="15"/>
  <c r="F1260" i="15"/>
  <c r="F1261" i="15"/>
  <c r="F1262" i="15"/>
  <c r="F1263" i="15"/>
  <c r="F1264" i="15"/>
  <c r="F1278" i="15"/>
  <c r="F1279" i="15"/>
  <c r="F1280" i="15"/>
  <c r="F1281" i="15"/>
  <c r="F1282" i="15"/>
  <c r="F1283" i="15"/>
  <c r="F1284" i="15"/>
  <c r="F1285" i="15"/>
  <c r="F1286" i="15"/>
  <c r="F1287" i="15"/>
  <c r="F1288" i="15"/>
  <c r="F1302" i="15"/>
  <c r="F1303" i="15"/>
  <c r="F1304" i="15"/>
  <c r="F1305" i="15"/>
  <c r="F1306" i="15"/>
  <c r="F1307" i="15"/>
  <c r="F1308" i="15"/>
  <c r="F1309" i="15"/>
  <c r="F1310" i="15"/>
  <c r="F1311" i="15"/>
  <c r="F1312" i="15"/>
  <c r="F1326" i="15"/>
  <c r="F1327" i="15"/>
  <c r="F1328" i="15"/>
  <c r="F1329" i="15"/>
  <c r="F1330" i="15"/>
  <c r="F1331" i="15"/>
  <c r="F1332" i="15"/>
  <c r="F1333" i="15"/>
  <c r="F1334" i="15"/>
  <c r="F1335" i="15"/>
  <c r="F1336" i="15"/>
  <c r="F1350" i="15"/>
  <c r="F1351" i="15"/>
  <c r="F1352" i="15"/>
  <c r="F1353" i="15"/>
  <c r="F1354" i="15"/>
  <c r="F1355" i="15"/>
  <c r="F1356" i="15"/>
  <c r="F1357" i="15"/>
  <c r="F1358" i="15"/>
  <c r="F1359" i="15"/>
  <c r="F1360" i="15"/>
  <c r="F1374" i="15"/>
  <c r="F1375" i="15"/>
  <c r="F1376" i="15"/>
  <c r="F1377" i="15"/>
  <c r="F1378" i="15"/>
  <c r="F1379" i="15"/>
  <c r="F1380" i="15"/>
  <c r="F1381" i="15"/>
  <c r="F1382" i="15"/>
  <c r="F1383" i="15"/>
  <c r="F1384" i="15"/>
  <c r="F1398" i="15"/>
  <c r="F1399" i="15"/>
  <c r="F1400" i="15"/>
  <c r="F1401" i="15"/>
  <c r="F1402" i="15"/>
  <c r="F1403" i="15"/>
  <c r="F1404" i="15"/>
  <c r="F1420" i="15" s="1"/>
  <c r="F1405" i="15"/>
  <c r="F1406" i="15"/>
  <c r="F1407" i="15"/>
  <c r="F1408" i="15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09" i="3"/>
  <c r="E447" i="3"/>
  <c r="E464" i="3"/>
  <c r="E496" i="3"/>
  <c r="DT5" i="5"/>
  <c r="DT341" i="5"/>
  <c r="DU5" i="5"/>
  <c r="DU341" i="5" s="1"/>
  <c r="DT6" i="5"/>
  <c r="DT342" i="5"/>
  <c r="DU6" i="5"/>
  <c r="DT7" i="5"/>
  <c r="DU7" i="5"/>
  <c r="DT8" i="5"/>
  <c r="DT344" i="5"/>
  <c r="DU8" i="5"/>
  <c r="DU344" i="5"/>
  <c r="DT9" i="5"/>
  <c r="DT345" i="5" s="1"/>
  <c r="DU9" i="5"/>
  <c r="DU345" i="5"/>
  <c r="DT10" i="5"/>
  <c r="DT346" i="5"/>
  <c r="DU10" i="5"/>
  <c r="DU346" i="5"/>
  <c r="DT11" i="5"/>
  <c r="DT347" i="5" s="1"/>
  <c r="DU11" i="5"/>
  <c r="DU347" i="5"/>
  <c r="DT12" i="5"/>
  <c r="DT348" i="5"/>
  <c r="DU12" i="5"/>
  <c r="DU348" i="5"/>
  <c r="DT13" i="5"/>
  <c r="DT349" i="5"/>
  <c r="DU13" i="5"/>
  <c r="DU349" i="5"/>
  <c r="DT14" i="5"/>
  <c r="DT350" i="5" s="1"/>
  <c r="DU14" i="5"/>
  <c r="DU350" i="5"/>
  <c r="DT15" i="5"/>
  <c r="DU15" i="5"/>
  <c r="DU351" i="5"/>
  <c r="DT16" i="5"/>
  <c r="DT352" i="5"/>
  <c r="DX352" i="5" s="1"/>
  <c r="DU16" i="5"/>
  <c r="DU352" i="5"/>
  <c r="DT17" i="5"/>
  <c r="DT353" i="5"/>
  <c r="DU17" i="5"/>
  <c r="DT18" i="5"/>
  <c r="DT354" i="5"/>
  <c r="DX354" i="5" s="1"/>
  <c r="DU18" i="5"/>
  <c r="DU354" i="5"/>
  <c r="DT19" i="5"/>
  <c r="DT355" i="5" s="1"/>
  <c r="DU19" i="5"/>
  <c r="DU355" i="5"/>
  <c r="DT20" i="5"/>
  <c r="DT356" i="5"/>
  <c r="DU20" i="5"/>
  <c r="DU356" i="5" s="1"/>
  <c r="DT21" i="5"/>
  <c r="DT357" i="5" s="1"/>
  <c r="DU21" i="5"/>
  <c r="DU357" i="5"/>
  <c r="DT22" i="5"/>
  <c r="DT358" i="5"/>
  <c r="DU22" i="5"/>
  <c r="DU358" i="5" s="1"/>
  <c r="DT23" i="5"/>
  <c r="DT359" i="5"/>
  <c r="DU23" i="5"/>
  <c r="DU359" i="5" s="1"/>
  <c r="DT24" i="5"/>
  <c r="DT360" i="5"/>
  <c r="DU24" i="5"/>
  <c r="DU360" i="5" s="1"/>
  <c r="DT25" i="5"/>
  <c r="DT361" i="5"/>
  <c r="DU25" i="5"/>
  <c r="DU361" i="5" s="1"/>
  <c r="DT26" i="5"/>
  <c r="DT362" i="5"/>
  <c r="DU26" i="5"/>
  <c r="DT27" i="5"/>
  <c r="DT363" i="5" s="1"/>
  <c r="DU27" i="5"/>
  <c r="DU363" i="5"/>
  <c r="DT28" i="5"/>
  <c r="DT364" i="5"/>
  <c r="DU28" i="5"/>
  <c r="DU364" i="5" s="1"/>
  <c r="DT29" i="5"/>
  <c r="DT365" i="5"/>
  <c r="DU29" i="5"/>
  <c r="DU365" i="5"/>
  <c r="DT30" i="5"/>
  <c r="DT366" i="5"/>
  <c r="DU30" i="5"/>
  <c r="DU366" i="5" s="1"/>
  <c r="DT31" i="5"/>
  <c r="DT367" i="5"/>
  <c r="DU31" i="5"/>
  <c r="DU367" i="5"/>
  <c r="DT32" i="5"/>
  <c r="DT368" i="5"/>
  <c r="DU32" i="5"/>
  <c r="DU368" i="5" s="1"/>
  <c r="DT141" i="5"/>
  <c r="DU141" i="5"/>
  <c r="T147" i="5"/>
  <c r="X147" i="5"/>
  <c r="AE147" i="5"/>
  <c r="AL147" i="5"/>
  <c r="AS147" i="5"/>
  <c r="AW147" i="5"/>
  <c r="AZ147" i="5"/>
  <c r="BD147" i="5"/>
  <c r="BG147" i="5"/>
  <c r="BK147" i="5"/>
  <c r="BN147" i="5"/>
  <c r="BR147" i="5"/>
  <c r="BU147" i="5"/>
  <c r="BY147" i="5"/>
  <c r="T151" i="5"/>
  <c r="X151" i="5"/>
  <c r="AB151" i="5"/>
  <c r="AE151" i="5"/>
  <c r="AI151" i="5"/>
  <c r="AL151" i="5"/>
  <c r="AP151" i="5"/>
  <c r="AS151" i="5"/>
  <c r="AW151" i="5"/>
  <c r="AZ151" i="5"/>
  <c r="BD151" i="5"/>
  <c r="BG151" i="5"/>
  <c r="BK151" i="5"/>
  <c r="BN151" i="5"/>
  <c r="BR151" i="5"/>
  <c r="BU151" i="5"/>
  <c r="BY151" i="5"/>
  <c r="M152" i="5"/>
  <c r="P154" i="5"/>
  <c r="T154" i="5"/>
  <c r="X154" i="5"/>
  <c r="AB154" i="5"/>
  <c r="AE154" i="5"/>
  <c r="AI154" i="5"/>
  <c r="AL154" i="5"/>
  <c r="AP154" i="5"/>
  <c r="AS154" i="5"/>
  <c r="AW154" i="5"/>
  <c r="AZ154" i="5"/>
  <c r="BD154" i="5"/>
  <c r="BN154" i="5"/>
  <c r="BR154" i="5"/>
  <c r="BU154" i="5"/>
  <c r="BY154" i="5"/>
  <c r="M168" i="5"/>
  <c r="DS168" i="5" s="1"/>
  <c r="DX168" i="5"/>
  <c r="CC169" i="5"/>
  <c r="K170" i="5"/>
  <c r="M170" i="5" s="1"/>
  <c r="DV170" i="5"/>
  <c r="DT170" i="5" s="1"/>
  <c r="DW170" i="5"/>
  <c r="DU170" i="5"/>
  <c r="K171" i="5"/>
  <c r="M171" i="5"/>
  <c r="DV171" i="5"/>
  <c r="DT171" i="5" s="1"/>
  <c r="DW171" i="5"/>
  <c r="DU171" i="5" s="1"/>
  <c r="K172" i="5"/>
  <c r="M172" i="5"/>
  <c r="DV172" i="5"/>
  <c r="DT172" i="5"/>
  <c r="DW172" i="5"/>
  <c r="DU172" i="5" s="1"/>
  <c r="K173" i="5"/>
  <c r="M173" i="5" s="1"/>
  <c r="DV173" i="5"/>
  <c r="DT173" i="5"/>
  <c r="AL174" i="5"/>
  <c r="AP174" i="5"/>
  <c r="AZ174" i="5"/>
  <c r="BD174" i="5"/>
  <c r="BN174" i="5"/>
  <c r="BR174" i="5"/>
  <c r="BU174" i="5"/>
  <c r="BY174" i="5"/>
  <c r="X180" i="5"/>
  <c r="AB180" i="5"/>
  <c r="AE180" i="5"/>
  <c r="AI180" i="5"/>
  <c r="AL180" i="5"/>
  <c r="AP180" i="5"/>
  <c r="AS180" i="5"/>
  <c r="AW180" i="5"/>
  <c r="AZ180" i="5"/>
  <c r="BD180" i="5"/>
  <c r="BG180" i="5"/>
  <c r="BK180" i="5"/>
  <c r="BN180" i="5"/>
  <c r="BR180" i="5"/>
  <c r="BU180" i="5"/>
  <c r="BY180" i="5"/>
  <c r="CB180" i="5"/>
  <c r="BU183" i="5"/>
  <c r="BY183" i="5"/>
  <c r="CB185" i="5"/>
  <c r="DS185" i="5" s="1"/>
  <c r="AL188" i="5"/>
  <c r="AP188" i="5"/>
  <c r="AZ188" i="5"/>
  <c r="BD188" i="5"/>
  <c r="BN188" i="5"/>
  <c r="BR188" i="5"/>
  <c r="AL189" i="5"/>
  <c r="AP189" i="5"/>
  <c r="AZ189" i="5"/>
  <c r="BD189" i="5"/>
  <c r="BN189" i="5"/>
  <c r="BR189" i="5"/>
  <c r="L191" i="5"/>
  <c r="P191" i="5"/>
  <c r="T191" i="5"/>
  <c r="X191" i="5"/>
  <c r="AB191" i="5"/>
  <c r="AS191" i="5"/>
  <c r="AW191" i="5"/>
  <c r="AZ191" i="5"/>
  <c r="BD191" i="5"/>
  <c r="BG191" i="5"/>
  <c r="BK191" i="5"/>
  <c r="BN191" i="5"/>
  <c r="BR191" i="5"/>
  <c r="BU191" i="5"/>
  <c r="BY191" i="5"/>
  <c r="CB191" i="5"/>
  <c r="AE192" i="5"/>
  <c r="AI192" i="5"/>
  <c r="AL192" i="5"/>
  <c r="AP192" i="5"/>
  <c r="AZ192" i="5"/>
  <c r="BD192" i="5"/>
  <c r="CB192" i="5"/>
  <c r="L193" i="5"/>
  <c r="P193" i="5"/>
  <c r="T193" i="5"/>
  <c r="X193" i="5"/>
  <c r="AB193" i="5"/>
  <c r="AS193" i="5"/>
  <c r="AW193" i="5"/>
  <c r="AZ193" i="5"/>
  <c r="BD193" i="5"/>
  <c r="BG193" i="5"/>
  <c r="BK193" i="5"/>
  <c r="BN193" i="5"/>
  <c r="BR193" i="5"/>
  <c r="BU193" i="5"/>
  <c r="BY193" i="5"/>
  <c r="CB193" i="5"/>
  <c r="CB194" i="5"/>
  <c r="L195" i="5"/>
  <c r="P195" i="5"/>
  <c r="T195" i="5"/>
  <c r="X195" i="5"/>
  <c r="AB195" i="5"/>
  <c r="AE195" i="5"/>
  <c r="AI195" i="5"/>
  <c r="AL195" i="5"/>
  <c r="AP195" i="5"/>
  <c r="AS195" i="5"/>
  <c r="AW195" i="5"/>
  <c r="AZ195" i="5"/>
  <c r="BD195" i="5"/>
  <c r="BG195" i="5"/>
  <c r="BK195" i="5"/>
  <c r="BN195" i="5"/>
  <c r="BR195" i="5"/>
  <c r="BU195" i="5"/>
  <c r="BY195" i="5"/>
  <c r="CB195" i="5"/>
  <c r="CB196" i="5"/>
  <c r="AE197" i="5"/>
  <c r="AI197" i="5"/>
  <c r="AL197" i="5"/>
  <c r="AP197" i="5"/>
  <c r="AZ197" i="5"/>
  <c r="BD197" i="5"/>
  <c r="CB197" i="5"/>
  <c r="L199" i="5"/>
  <c r="P199" i="5"/>
  <c r="T199" i="5"/>
  <c r="X199" i="5"/>
  <c r="AB199" i="5"/>
  <c r="DS199" i="5" s="1"/>
  <c r="AS199" i="5"/>
  <c r="AW199" i="5"/>
  <c r="AZ199" i="5"/>
  <c r="BD199" i="5"/>
  <c r="BG199" i="5"/>
  <c r="BK199" i="5"/>
  <c r="BN199" i="5"/>
  <c r="BR199" i="5"/>
  <c r="BU199" i="5"/>
  <c r="BY199" i="5"/>
  <c r="CB199" i="5"/>
  <c r="AZ200" i="5"/>
  <c r="BD200" i="5"/>
  <c r="CB200" i="5"/>
  <c r="AE201" i="5"/>
  <c r="AI201" i="5"/>
  <c r="DS201" i="5" s="1"/>
  <c r="AL201" i="5"/>
  <c r="AP201" i="5"/>
  <c r="CB201" i="5"/>
  <c r="L213" i="5"/>
  <c r="P213" i="5"/>
  <c r="T213" i="5"/>
  <c r="AS213" i="5"/>
  <c r="AW213" i="5"/>
  <c r="AZ213" i="5"/>
  <c r="BD213" i="5"/>
  <c r="BG213" i="5"/>
  <c r="BK213" i="5"/>
  <c r="BN213" i="5"/>
  <c r="BR213" i="5"/>
  <c r="BU213" i="5"/>
  <c r="BY213" i="5"/>
  <c r="CB213" i="5"/>
  <c r="AE214" i="5"/>
  <c r="AI214" i="5"/>
  <c r="AL214" i="5"/>
  <c r="AP214" i="5"/>
  <c r="AZ214" i="5"/>
  <c r="BD214" i="5"/>
  <c r="BN214" i="5"/>
  <c r="BR214" i="5"/>
  <c r="BU214" i="5"/>
  <c r="BY214" i="5"/>
  <c r="CB214" i="5"/>
  <c r="AE218" i="5"/>
  <c r="AI218" i="5"/>
  <c r="AL218" i="5"/>
  <c r="AP218" i="5"/>
  <c r="AZ218" i="5"/>
  <c r="BD218" i="5"/>
  <c r="BN218" i="5"/>
  <c r="BR218" i="5"/>
  <c r="BU218" i="5"/>
  <c r="BY218" i="5"/>
  <c r="CB218" i="5"/>
  <c r="AB219" i="5"/>
  <c r="DS219" i="5" s="1"/>
  <c r="AW219" i="5"/>
  <c r="BK219" i="5"/>
  <c r="X222" i="5"/>
  <c r="AS222" i="5"/>
  <c r="AW222" i="5"/>
  <c r="BG222" i="5"/>
  <c r="BN222" i="5"/>
  <c r="BR222" i="5"/>
  <c r="BU222" i="5"/>
  <c r="BY222" i="5"/>
  <c r="BU224" i="5"/>
  <c r="BY224" i="5"/>
  <c r="BU225" i="5"/>
  <c r="DS225" i="5" s="1"/>
  <c r="BY225" i="5"/>
  <c r="X229" i="5"/>
  <c r="AS229" i="5"/>
  <c r="AW229" i="5"/>
  <c r="BG229" i="5"/>
  <c r="BN229" i="5"/>
  <c r="BR229" i="5"/>
  <c r="DX229" i="5" s="1"/>
  <c r="BU229" i="5"/>
  <c r="BY229" i="5"/>
  <c r="BU234" i="5"/>
  <c r="DX234" i="5" s="1"/>
  <c r="BY234" i="5"/>
  <c r="M235" i="5"/>
  <c r="CB237" i="5"/>
  <c r="DS237" i="5"/>
  <c r="M258" i="5"/>
  <c r="M262" i="5"/>
  <c r="DS262" i="5"/>
  <c r="K265" i="5"/>
  <c r="M265" i="5" s="1"/>
  <c r="CB266" i="5"/>
  <c r="T270" i="5"/>
  <c r="X270" i="5"/>
  <c r="AB270" i="5"/>
  <c r="AE270" i="5"/>
  <c r="AI270" i="5"/>
  <c r="AL270" i="5"/>
  <c r="AP270" i="5"/>
  <c r="AS270" i="5"/>
  <c r="AW270" i="5"/>
  <c r="AZ270" i="5"/>
  <c r="BD270" i="5"/>
  <c r="BG270" i="5"/>
  <c r="BK270" i="5"/>
  <c r="BN270" i="5"/>
  <c r="BR270" i="5"/>
  <c r="BU270" i="5"/>
  <c r="BY270" i="5"/>
  <c r="CB270" i="5"/>
  <c r="DS274" i="5"/>
  <c r="T276" i="5"/>
  <c r="DX276" i="5" s="1"/>
  <c r="X276" i="5"/>
  <c r="AB276" i="5"/>
  <c r="AE276" i="5"/>
  <c r="AI276" i="5"/>
  <c r="AL276" i="5"/>
  <c r="AP276" i="5"/>
  <c r="AS276" i="5"/>
  <c r="AW276" i="5"/>
  <c r="AZ276" i="5"/>
  <c r="BD276" i="5"/>
  <c r="BG276" i="5"/>
  <c r="BK276" i="5"/>
  <c r="BN276" i="5"/>
  <c r="BR276" i="5"/>
  <c r="BU276" i="5"/>
  <c r="BY276" i="5"/>
  <c r="L278" i="5"/>
  <c r="P278" i="5"/>
  <c r="X278" i="5"/>
  <c r="AB278" i="5"/>
  <c r="BG278" i="5"/>
  <c r="BK278" i="5"/>
  <c r="BN278" i="5"/>
  <c r="BR278" i="5"/>
  <c r="CC278" i="5"/>
  <c r="P281" i="5"/>
  <c r="X281" i="5"/>
  <c r="BG281" i="5"/>
  <c r="BK281" i="5"/>
  <c r="BN281" i="5"/>
  <c r="BR281" i="5"/>
  <c r="BU281" i="5"/>
  <c r="BY281" i="5"/>
  <c r="P285" i="5"/>
  <c r="X285" i="5"/>
  <c r="AB285" i="5"/>
  <c r="BG285" i="5"/>
  <c r="BK285" i="5"/>
  <c r="BN285" i="5"/>
  <c r="BR285" i="5"/>
  <c r="BU285" i="5"/>
  <c r="BY285" i="5"/>
  <c r="L286" i="5"/>
  <c r="DS286" i="5"/>
  <c r="L290" i="5"/>
  <c r="DS290" i="5"/>
  <c r="T294" i="5"/>
  <c r="X294" i="5"/>
  <c r="AB294" i="5"/>
  <c r="AE294" i="5"/>
  <c r="AI294" i="5"/>
  <c r="AL294" i="5"/>
  <c r="AP294" i="5"/>
  <c r="AS294" i="5"/>
  <c r="AW294" i="5"/>
  <c r="AZ294" i="5"/>
  <c r="BD294" i="5"/>
  <c r="BG294" i="5"/>
  <c r="BK294" i="5"/>
  <c r="BN294" i="5"/>
  <c r="BR294" i="5"/>
  <c r="BU294" i="5"/>
  <c r="BY294" i="5"/>
  <c r="T301" i="5"/>
  <c r="X301" i="5"/>
  <c r="AB301" i="5"/>
  <c r="AE301" i="5"/>
  <c r="AI301" i="5"/>
  <c r="AL301" i="5"/>
  <c r="AP301" i="5"/>
  <c r="AS301" i="5"/>
  <c r="AW301" i="5"/>
  <c r="AZ301" i="5"/>
  <c r="BD301" i="5"/>
  <c r="BG301" i="5"/>
  <c r="BK301" i="5"/>
  <c r="BN301" i="5"/>
  <c r="BR301" i="5"/>
  <c r="BU301" i="5"/>
  <c r="BY301" i="5"/>
  <c r="BG318" i="5"/>
  <c r="BK318" i="5"/>
  <c r="BN318" i="5"/>
  <c r="BR318" i="5"/>
  <c r="P319" i="5"/>
  <c r="DX319" i="5" s="1"/>
  <c r="T319" i="5"/>
  <c r="X319" i="5"/>
  <c r="AB319" i="5"/>
  <c r="AE319" i="5"/>
  <c r="AI319" i="5"/>
  <c r="AL319" i="5"/>
  <c r="AP319" i="5"/>
  <c r="AS319" i="5"/>
  <c r="AW319" i="5"/>
  <c r="AZ319" i="5"/>
  <c r="BD319" i="5"/>
  <c r="BG319" i="5"/>
  <c r="BK319" i="5"/>
  <c r="BN319" i="5"/>
  <c r="BR319" i="5"/>
  <c r="BU319" i="5"/>
  <c r="BY319" i="5"/>
  <c r="P320" i="5"/>
  <c r="T320" i="5"/>
  <c r="X320" i="5"/>
  <c r="AB320" i="5"/>
  <c r="AE320" i="5"/>
  <c r="AI320" i="5"/>
  <c r="AL320" i="5"/>
  <c r="AP320" i="5"/>
  <c r="AS320" i="5"/>
  <c r="AW320" i="5"/>
  <c r="AZ320" i="5"/>
  <c r="BD320" i="5"/>
  <c r="BG320" i="5"/>
  <c r="BK320" i="5"/>
  <c r="BN320" i="5"/>
  <c r="BR320" i="5"/>
  <c r="BU320" i="5"/>
  <c r="BY320" i="5"/>
  <c r="CC320" i="5"/>
  <c r="AE321" i="5"/>
  <c r="AI321" i="5"/>
  <c r="AL321" i="5"/>
  <c r="AP321" i="5"/>
  <c r="AS321" i="5"/>
  <c r="AW321" i="5"/>
  <c r="AZ321" i="5"/>
  <c r="BD321" i="5"/>
  <c r="BN321" i="5"/>
  <c r="BR321" i="5"/>
  <c r="BU321" i="5"/>
  <c r="BY321" i="5"/>
  <c r="CB322" i="5"/>
  <c r="DS322" i="5" s="1"/>
  <c r="L324" i="5"/>
  <c r="P324" i="5"/>
  <c r="T324" i="5"/>
  <c r="X324" i="5"/>
  <c r="AB324" i="5"/>
  <c r="AE324" i="5"/>
  <c r="AI324" i="5"/>
  <c r="AL324" i="5"/>
  <c r="AP324" i="5"/>
  <c r="AS324" i="5"/>
  <c r="AW324" i="5"/>
  <c r="BG324" i="5"/>
  <c r="BK324" i="5"/>
  <c r="BN324" i="5"/>
  <c r="BR324" i="5"/>
  <c r="BU324" i="5"/>
  <c r="BY324" i="5"/>
  <c r="CB324" i="5"/>
  <c r="CB325" i="5"/>
  <c r="DX325" i="5" s="1"/>
  <c r="L336" i="5"/>
  <c r="P336" i="5"/>
  <c r="X336" i="5"/>
  <c r="AB336" i="5"/>
  <c r="BG336" i="5"/>
  <c r="BK336" i="5"/>
  <c r="BN336" i="5"/>
  <c r="BR336" i="5"/>
  <c r="L338" i="5"/>
  <c r="X338" i="5"/>
  <c r="AB338" i="5"/>
  <c r="BG338" i="5"/>
  <c r="BK338" i="5"/>
  <c r="L339" i="5"/>
  <c r="X339" i="5"/>
  <c r="AB339" i="5"/>
  <c r="BG339" i="5"/>
  <c r="BK339" i="5"/>
  <c r="L341" i="5"/>
  <c r="DS341" i="5" s="1"/>
  <c r="P341" i="5"/>
  <c r="T341" i="5"/>
  <c r="AS341" i="5"/>
  <c r="AW341" i="5"/>
  <c r="AZ341" i="5"/>
  <c r="BD341" i="5"/>
  <c r="BG341" i="5"/>
  <c r="BK341" i="5"/>
  <c r="BN341" i="5"/>
  <c r="BR341" i="5"/>
  <c r="BU341" i="5"/>
  <c r="BY341" i="5"/>
  <c r="CB341" i="5"/>
  <c r="L342" i="5"/>
  <c r="P342" i="5"/>
  <c r="T342" i="5"/>
  <c r="AS342" i="5"/>
  <c r="AW342" i="5"/>
  <c r="AZ342" i="5"/>
  <c r="BD342" i="5"/>
  <c r="BG342" i="5"/>
  <c r="BK342" i="5"/>
  <c r="BN342" i="5"/>
  <c r="BR342" i="5"/>
  <c r="BU342" i="5"/>
  <c r="BY342" i="5"/>
  <c r="CB342" i="5"/>
  <c r="L343" i="5"/>
  <c r="P343" i="5"/>
  <c r="T343" i="5"/>
  <c r="AS343" i="5"/>
  <c r="AW343" i="5"/>
  <c r="DS343" i="5" s="1"/>
  <c r="AZ343" i="5"/>
  <c r="BD343" i="5"/>
  <c r="BG343" i="5"/>
  <c r="BK343" i="5"/>
  <c r="BN343" i="5"/>
  <c r="BR343" i="5"/>
  <c r="BU343" i="5"/>
  <c r="BY343" i="5"/>
  <c r="CB343" i="5"/>
  <c r="L344" i="5"/>
  <c r="P344" i="5"/>
  <c r="T344" i="5"/>
  <c r="AS344" i="5"/>
  <c r="AW344" i="5"/>
  <c r="AZ344" i="5"/>
  <c r="BD344" i="5"/>
  <c r="BG344" i="5"/>
  <c r="BK344" i="5"/>
  <c r="BN344" i="5"/>
  <c r="BR344" i="5"/>
  <c r="BU344" i="5"/>
  <c r="BY344" i="5"/>
  <c r="CB344" i="5"/>
  <c r="L345" i="5"/>
  <c r="DS345" i="5" s="1"/>
  <c r="P345" i="5"/>
  <c r="T345" i="5"/>
  <c r="AS345" i="5"/>
  <c r="AW345" i="5"/>
  <c r="AZ345" i="5"/>
  <c r="BD345" i="5"/>
  <c r="BG345" i="5"/>
  <c r="BK345" i="5"/>
  <c r="BN345" i="5"/>
  <c r="BR345" i="5"/>
  <c r="BU345" i="5"/>
  <c r="BY345" i="5"/>
  <c r="CB345" i="5"/>
  <c r="L346" i="5"/>
  <c r="P346" i="5"/>
  <c r="T346" i="5"/>
  <c r="AS346" i="5"/>
  <c r="AW346" i="5"/>
  <c r="AZ346" i="5"/>
  <c r="BD346" i="5"/>
  <c r="BG346" i="5"/>
  <c r="BK346" i="5"/>
  <c r="BN346" i="5"/>
  <c r="BR346" i="5"/>
  <c r="BU346" i="5"/>
  <c r="BY346" i="5"/>
  <c r="CB346" i="5"/>
  <c r="L347" i="5"/>
  <c r="P347" i="5"/>
  <c r="T347" i="5"/>
  <c r="AS347" i="5"/>
  <c r="AW347" i="5"/>
  <c r="AZ347" i="5"/>
  <c r="BD347" i="5"/>
  <c r="BG347" i="5"/>
  <c r="BK347" i="5"/>
  <c r="BN347" i="5"/>
  <c r="BR347" i="5"/>
  <c r="BU347" i="5"/>
  <c r="BY347" i="5"/>
  <c r="CB347" i="5"/>
  <c r="L348" i="5"/>
  <c r="P348" i="5"/>
  <c r="T348" i="5"/>
  <c r="AS348" i="5"/>
  <c r="AW348" i="5"/>
  <c r="AZ348" i="5"/>
  <c r="BD348" i="5"/>
  <c r="BG348" i="5"/>
  <c r="BK348" i="5"/>
  <c r="BN348" i="5"/>
  <c r="BR348" i="5"/>
  <c r="BU348" i="5"/>
  <c r="BY348" i="5"/>
  <c r="CB348" i="5"/>
  <c r="L349" i="5"/>
  <c r="P349" i="5"/>
  <c r="T349" i="5"/>
  <c r="AS349" i="5"/>
  <c r="AW349" i="5"/>
  <c r="AZ349" i="5"/>
  <c r="BD349" i="5"/>
  <c r="BG349" i="5"/>
  <c r="BK349" i="5"/>
  <c r="BN349" i="5"/>
  <c r="BR349" i="5"/>
  <c r="BU349" i="5"/>
  <c r="BY349" i="5"/>
  <c r="CB349" i="5"/>
  <c r="L350" i="5"/>
  <c r="P350" i="5"/>
  <c r="T350" i="5"/>
  <c r="AS350" i="5"/>
  <c r="AW350" i="5"/>
  <c r="AZ350" i="5"/>
  <c r="BD350" i="5"/>
  <c r="BG350" i="5"/>
  <c r="BK350" i="5"/>
  <c r="BN350" i="5"/>
  <c r="BR350" i="5"/>
  <c r="BU350" i="5"/>
  <c r="BY350" i="5"/>
  <c r="CB350" i="5"/>
  <c r="L351" i="5"/>
  <c r="P351" i="5"/>
  <c r="T351" i="5"/>
  <c r="AS351" i="5"/>
  <c r="AW351" i="5"/>
  <c r="DS351" i="5" s="1"/>
  <c r="AZ351" i="5"/>
  <c r="BD351" i="5"/>
  <c r="BG351" i="5"/>
  <c r="BK351" i="5"/>
  <c r="BN351" i="5"/>
  <c r="BR351" i="5"/>
  <c r="BU351" i="5"/>
  <c r="BY351" i="5"/>
  <c r="CB351" i="5"/>
  <c r="L355" i="5"/>
  <c r="P355" i="5"/>
  <c r="T355" i="5"/>
  <c r="AS355" i="5"/>
  <c r="AW355" i="5"/>
  <c r="AZ355" i="5"/>
  <c r="BD355" i="5"/>
  <c r="BG355" i="5"/>
  <c r="BK355" i="5"/>
  <c r="BN355" i="5"/>
  <c r="BR355" i="5"/>
  <c r="BU355" i="5"/>
  <c r="BY355" i="5"/>
  <c r="CB355" i="5"/>
  <c r="L356" i="5"/>
  <c r="DS356" i="5" s="1"/>
  <c r="P356" i="5"/>
  <c r="T356" i="5"/>
  <c r="AS356" i="5"/>
  <c r="AW356" i="5"/>
  <c r="AZ356" i="5"/>
  <c r="BD356" i="5"/>
  <c r="BG356" i="5"/>
  <c r="BK356" i="5"/>
  <c r="BN356" i="5"/>
  <c r="BR356" i="5"/>
  <c r="BU356" i="5"/>
  <c r="BY356" i="5"/>
  <c r="CB356" i="5"/>
  <c r="L357" i="5"/>
  <c r="P357" i="5"/>
  <c r="T357" i="5"/>
  <c r="AS357" i="5"/>
  <c r="AW357" i="5"/>
  <c r="AZ357" i="5"/>
  <c r="BD357" i="5"/>
  <c r="BG357" i="5"/>
  <c r="BK357" i="5"/>
  <c r="BN357" i="5"/>
  <c r="BR357" i="5"/>
  <c r="BU357" i="5"/>
  <c r="BY357" i="5"/>
  <c r="CB357" i="5"/>
  <c r="L358" i="5"/>
  <c r="P358" i="5"/>
  <c r="T358" i="5"/>
  <c r="AS358" i="5"/>
  <c r="AW358" i="5"/>
  <c r="DX358" i="5" s="1"/>
  <c r="AZ358" i="5"/>
  <c r="BD358" i="5"/>
  <c r="BG358" i="5"/>
  <c r="BK358" i="5"/>
  <c r="BN358" i="5"/>
  <c r="BR358" i="5"/>
  <c r="BU358" i="5"/>
  <c r="BY358" i="5"/>
  <c r="CB358" i="5"/>
  <c r="L359" i="5"/>
  <c r="P359" i="5"/>
  <c r="T359" i="5"/>
  <c r="AS359" i="5"/>
  <c r="AW359" i="5"/>
  <c r="AZ359" i="5"/>
  <c r="BD359" i="5"/>
  <c r="BG359" i="5"/>
  <c r="BK359" i="5"/>
  <c r="BN359" i="5"/>
  <c r="BR359" i="5"/>
  <c r="BU359" i="5"/>
  <c r="BY359" i="5"/>
  <c r="CB359" i="5"/>
  <c r="L360" i="5"/>
  <c r="DX360" i="5" s="1"/>
  <c r="P360" i="5"/>
  <c r="T360" i="5"/>
  <c r="AS360" i="5"/>
  <c r="AW360" i="5"/>
  <c r="AZ360" i="5"/>
  <c r="BD360" i="5"/>
  <c r="BG360" i="5"/>
  <c r="BK360" i="5"/>
  <c r="BN360" i="5"/>
  <c r="BR360" i="5"/>
  <c r="BU360" i="5"/>
  <c r="BY360" i="5"/>
  <c r="CB360" i="5"/>
  <c r="L361" i="5"/>
  <c r="P361" i="5"/>
  <c r="T361" i="5"/>
  <c r="AS361" i="5"/>
  <c r="AW361" i="5"/>
  <c r="AZ361" i="5"/>
  <c r="BD361" i="5"/>
  <c r="BG361" i="5"/>
  <c r="BK361" i="5"/>
  <c r="BN361" i="5"/>
  <c r="BR361" i="5"/>
  <c r="BU361" i="5"/>
  <c r="BY361" i="5"/>
  <c r="CB361" i="5"/>
  <c r="L362" i="5"/>
  <c r="P362" i="5"/>
  <c r="T362" i="5"/>
  <c r="AS362" i="5"/>
  <c r="AW362" i="5"/>
  <c r="DS362" i="5" s="1"/>
  <c r="AZ362" i="5"/>
  <c r="BD362" i="5"/>
  <c r="BG362" i="5"/>
  <c r="BK362" i="5"/>
  <c r="BN362" i="5"/>
  <c r="BR362" i="5"/>
  <c r="BU362" i="5"/>
  <c r="BY362" i="5"/>
  <c r="CB362" i="5"/>
  <c r="L363" i="5"/>
  <c r="P363" i="5"/>
  <c r="T363" i="5"/>
  <c r="AS363" i="5"/>
  <c r="AW363" i="5"/>
  <c r="AZ363" i="5"/>
  <c r="BD363" i="5"/>
  <c r="BG363" i="5"/>
  <c r="BK363" i="5"/>
  <c r="BN363" i="5"/>
  <c r="BR363" i="5"/>
  <c r="BU363" i="5"/>
  <c r="BY363" i="5"/>
  <c r="CB363" i="5"/>
  <c r="L364" i="5"/>
  <c r="DS364" i="5" s="1"/>
  <c r="P364" i="5"/>
  <c r="T364" i="5"/>
  <c r="AS364" i="5"/>
  <c r="AW364" i="5"/>
  <c r="AZ364" i="5"/>
  <c r="BD364" i="5"/>
  <c r="BG364" i="5"/>
  <c r="BK364" i="5"/>
  <c r="BN364" i="5"/>
  <c r="BR364" i="5"/>
  <c r="BU364" i="5"/>
  <c r="BY364" i="5"/>
  <c r="CB364" i="5"/>
  <c r="L365" i="5"/>
  <c r="P365" i="5"/>
  <c r="T365" i="5"/>
  <c r="AS365" i="5"/>
  <c r="AW365" i="5"/>
  <c r="AZ365" i="5"/>
  <c r="BD365" i="5"/>
  <c r="BG365" i="5"/>
  <c r="BK365" i="5"/>
  <c r="BN365" i="5"/>
  <c r="BR365" i="5"/>
  <c r="BU365" i="5"/>
  <c r="BY365" i="5"/>
  <c r="CB365" i="5"/>
  <c r="CC373" i="5"/>
  <c r="M374" i="5"/>
  <c r="DS374" i="5"/>
  <c r="CB375" i="5"/>
  <c r="DS375" i="5"/>
  <c r="AL385" i="5"/>
  <c r="AP385" i="5"/>
  <c r="AZ385" i="5"/>
  <c r="BD385" i="5"/>
  <c r="BN385" i="5"/>
  <c r="BR385" i="5"/>
  <c r="L386" i="5"/>
  <c r="BG386" i="5"/>
  <c r="BK386" i="5"/>
  <c r="BN386" i="5"/>
  <c r="BR386" i="5"/>
  <c r="BU386" i="5"/>
  <c r="BY386" i="5"/>
  <c r="P387" i="5"/>
  <c r="DS387" i="5"/>
  <c r="BU388" i="5"/>
  <c r="DS388" i="5" s="1"/>
  <c r="BY388" i="5"/>
  <c r="DW144" i="1"/>
  <c r="DW145" i="1"/>
  <c r="T147" i="1"/>
  <c r="X147" i="1"/>
  <c r="AE147" i="1"/>
  <c r="AI147" i="1"/>
  <c r="AL147" i="1"/>
  <c r="AS147" i="1"/>
  <c r="AW147" i="1"/>
  <c r="AZ147" i="1"/>
  <c r="BD147" i="1"/>
  <c r="BG147" i="1"/>
  <c r="BK147" i="1"/>
  <c r="BN147" i="1"/>
  <c r="BR147" i="1"/>
  <c r="BU147" i="1"/>
  <c r="BY147" i="1"/>
  <c r="CB147" i="1"/>
  <c r="T151" i="1"/>
  <c r="X151" i="1"/>
  <c r="AB151" i="1"/>
  <c r="AE151" i="1"/>
  <c r="AI151" i="1"/>
  <c r="AL151" i="1"/>
  <c r="AP151" i="1"/>
  <c r="AS151" i="1"/>
  <c r="AW151" i="1"/>
  <c r="AZ151" i="1"/>
  <c r="BD151" i="1"/>
  <c r="BG151" i="1"/>
  <c r="BK151" i="1"/>
  <c r="BN151" i="1"/>
  <c r="BR151" i="1"/>
  <c r="BU151" i="1"/>
  <c r="BY151" i="1"/>
  <c r="CB151" i="1"/>
  <c r="M152" i="1"/>
  <c r="P154" i="1"/>
  <c r="T154" i="1"/>
  <c r="X154" i="1"/>
  <c r="AB154" i="1"/>
  <c r="AE154" i="1"/>
  <c r="AI154" i="1"/>
  <c r="AL154" i="1"/>
  <c r="AP154" i="1"/>
  <c r="AS154" i="1"/>
  <c r="AW154" i="1"/>
  <c r="AZ154" i="1"/>
  <c r="BD154" i="1"/>
  <c r="BN154" i="1"/>
  <c r="BR154" i="1"/>
  <c r="BU154" i="1"/>
  <c r="BY154" i="1"/>
  <c r="CB154" i="1"/>
  <c r="M168" i="1"/>
  <c r="DW168" i="1" s="1"/>
  <c r="K170" i="1"/>
  <c r="M170" i="1"/>
  <c r="DW170" i="1"/>
  <c r="K171" i="1"/>
  <c r="M171" i="1" s="1"/>
  <c r="DW171" i="1" s="1"/>
  <c r="K172" i="1"/>
  <c r="M172" i="1"/>
  <c r="DW172" i="1" s="1"/>
  <c r="K173" i="1"/>
  <c r="M173" i="1"/>
  <c r="DW173" i="1" s="1"/>
  <c r="BU174" i="1"/>
  <c r="BY174" i="1"/>
  <c r="BG180" i="1"/>
  <c r="BK180" i="1"/>
  <c r="BU180" i="1"/>
  <c r="BY180" i="1"/>
  <c r="BU182" i="1"/>
  <c r="DW182" i="1" s="1"/>
  <c r="BY182" i="1"/>
  <c r="BU183" i="1"/>
  <c r="BY183" i="1"/>
  <c r="CB184" i="1"/>
  <c r="DW184" i="1" s="1"/>
  <c r="CB185" i="1"/>
  <c r="AL186" i="1"/>
  <c r="AP186" i="1"/>
  <c r="AZ186" i="1"/>
  <c r="BD186" i="1"/>
  <c r="BN186" i="1"/>
  <c r="BR186" i="1"/>
  <c r="CF186" i="1"/>
  <c r="CJ186" i="1"/>
  <c r="CN186" i="1"/>
  <c r="DP186" i="1"/>
  <c r="AL187" i="1"/>
  <c r="AP187" i="1"/>
  <c r="AZ187" i="1"/>
  <c r="BD187" i="1"/>
  <c r="BN187" i="1"/>
  <c r="BR187" i="1"/>
  <c r="CF187" i="1"/>
  <c r="CJ187" i="1"/>
  <c r="CN187" i="1"/>
  <c r="CV187" i="1"/>
  <c r="DD187" i="1"/>
  <c r="DH187" i="1"/>
  <c r="DP187" i="1"/>
  <c r="L191" i="1"/>
  <c r="P191" i="1"/>
  <c r="T191" i="1"/>
  <c r="X191" i="1"/>
  <c r="AB191" i="1"/>
  <c r="AS191" i="1"/>
  <c r="AW191" i="1"/>
  <c r="AZ191" i="1"/>
  <c r="BD191" i="1"/>
  <c r="BG191" i="1"/>
  <c r="BK191" i="1"/>
  <c r="BN191" i="1"/>
  <c r="BR191" i="1"/>
  <c r="BU191" i="1"/>
  <c r="BY191" i="1"/>
  <c r="CB191" i="1"/>
  <c r="AE192" i="1"/>
  <c r="AI192" i="1"/>
  <c r="AL192" i="1"/>
  <c r="AP192" i="1"/>
  <c r="AZ192" i="1"/>
  <c r="BD192" i="1"/>
  <c r="CB192" i="1"/>
  <c r="L193" i="1"/>
  <c r="P193" i="1"/>
  <c r="T193" i="1"/>
  <c r="X193" i="1"/>
  <c r="AB193" i="1"/>
  <c r="AS193" i="1"/>
  <c r="AW193" i="1"/>
  <c r="AZ193" i="1"/>
  <c r="BD193" i="1"/>
  <c r="BG193" i="1"/>
  <c r="BK193" i="1"/>
  <c r="BN193" i="1"/>
  <c r="BR193" i="1"/>
  <c r="BU193" i="1"/>
  <c r="BY193" i="1"/>
  <c r="CB193" i="1"/>
  <c r="CB194" i="1"/>
  <c r="DW194" i="1"/>
  <c r="L195" i="1"/>
  <c r="P195" i="1"/>
  <c r="T195" i="1"/>
  <c r="X195" i="1"/>
  <c r="AB195" i="1"/>
  <c r="AE195" i="1"/>
  <c r="AI195" i="1"/>
  <c r="AL195" i="1"/>
  <c r="AP195" i="1"/>
  <c r="AS195" i="1"/>
  <c r="AW195" i="1"/>
  <c r="AZ195" i="1"/>
  <c r="BD195" i="1"/>
  <c r="BG195" i="1"/>
  <c r="BK195" i="1"/>
  <c r="BN195" i="1"/>
  <c r="BR195" i="1"/>
  <c r="BU195" i="1"/>
  <c r="BY195" i="1"/>
  <c r="CB195" i="1"/>
  <c r="CB196" i="1"/>
  <c r="AE197" i="1"/>
  <c r="AI197" i="1"/>
  <c r="AL197" i="1"/>
  <c r="AP197" i="1"/>
  <c r="AZ197" i="1"/>
  <c r="BD197" i="1"/>
  <c r="CB197" i="1"/>
  <c r="L199" i="1"/>
  <c r="P199" i="1"/>
  <c r="T199" i="1"/>
  <c r="X199" i="1"/>
  <c r="AB199" i="1"/>
  <c r="AS199" i="1"/>
  <c r="AW199" i="1"/>
  <c r="AZ199" i="1"/>
  <c r="BD199" i="1"/>
  <c r="BG199" i="1"/>
  <c r="BK199" i="1"/>
  <c r="BN199" i="1"/>
  <c r="BR199" i="1"/>
  <c r="BU199" i="1"/>
  <c r="BY199" i="1"/>
  <c r="CB199" i="1"/>
  <c r="AZ200" i="1"/>
  <c r="BD200" i="1"/>
  <c r="CB200" i="1"/>
  <c r="AE201" i="1"/>
  <c r="DW201" i="1" s="1"/>
  <c r="AI201" i="1"/>
  <c r="AL201" i="1"/>
  <c r="AP201" i="1"/>
  <c r="CB201" i="1"/>
  <c r="BG213" i="1"/>
  <c r="BK213" i="1"/>
  <c r="BU213" i="1"/>
  <c r="BY213" i="1"/>
  <c r="BU214" i="1"/>
  <c r="BY214" i="1"/>
  <c r="AE218" i="1"/>
  <c r="AI218" i="1"/>
  <c r="AL218" i="1"/>
  <c r="AP218" i="1"/>
  <c r="AZ218" i="1"/>
  <c r="BD218" i="1"/>
  <c r="BN218" i="1"/>
  <c r="BR218" i="1"/>
  <c r="BU218" i="1"/>
  <c r="BY218" i="1"/>
  <c r="CN218" i="1"/>
  <c r="AB219" i="1"/>
  <c r="AW219" i="1"/>
  <c r="BK219" i="1"/>
  <c r="CF220" i="1"/>
  <c r="CJ220" i="1"/>
  <c r="DD220" i="1"/>
  <c r="DP220" i="1"/>
  <c r="X222" i="1"/>
  <c r="AS222" i="1"/>
  <c r="AW222" i="1"/>
  <c r="BG222" i="1"/>
  <c r="BN222" i="1"/>
  <c r="BR222" i="1"/>
  <c r="BU222" i="1"/>
  <c r="BY222" i="1"/>
  <c r="BU224" i="1"/>
  <c r="BY224" i="1"/>
  <c r="DW224" i="1" s="1"/>
  <c r="BU225" i="1"/>
  <c r="BY225" i="1"/>
  <c r="X229" i="1"/>
  <c r="AS229" i="1"/>
  <c r="AW229" i="1"/>
  <c r="BG229" i="1"/>
  <c r="BN229" i="1"/>
  <c r="BR229" i="1"/>
  <c r="BU229" i="1"/>
  <c r="BY229" i="1"/>
  <c r="CV229" i="1"/>
  <c r="DP229" i="1"/>
  <c r="BU234" i="1"/>
  <c r="BY234" i="1"/>
  <c r="M235" i="1"/>
  <c r="CF236" i="1"/>
  <c r="CJ236" i="1"/>
  <c r="CN236" i="1"/>
  <c r="CV236" i="1"/>
  <c r="CZ236" i="1"/>
  <c r="DD236" i="1"/>
  <c r="DH236" i="1"/>
  <c r="DP236" i="1"/>
  <c r="CB237" i="1"/>
  <c r="DW237" i="1" s="1"/>
  <c r="DW242" i="1"/>
  <c r="DD244" i="1"/>
  <c r="DW244" i="1"/>
  <c r="M258" i="1"/>
  <c r="M262" i="1"/>
  <c r="DW262" i="1"/>
  <c r="M265" i="1"/>
  <c r="DW265" i="1" s="1"/>
  <c r="T270" i="1"/>
  <c r="X270" i="1"/>
  <c r="AB270" i="1"/>
  <c r="AE270" i="1"/>
  <c r="AI270" i="1"/>
  <c r="AL270" i="1"/>
  <c r="AP270" i="1"/>
  <c r="AS270" i="1"/>
  <c r="AW270" i="1"/>
  <c r="AZ270" i="1"/>
  <c r="BD270" i="1"/>
  <c r="BG270" i="1"/>
  <c r="BK270" i="1"/>
  <c r="BN270" i="1"/>
  <c r="BR270" i="1"/>
  <c r="BU270" i="1"/>
  <c r="BY270" i="1"/>
  <c r="CB270" i="1"/>
  <c r="CF272" i="1"/>
  <c r="CJ272" i="1"/>
  <c r="CN272" i="1"/>
  <c r="CV272" i="1"/>
  <c r="CZ272" i="1"/>
  <c r="DD272" i="1"/>
  <c r="DH272" i="1"/>
  <c r="DP272" i="1"/>
  <c r="DW274" i="1"/>
  <c r="T275" i="1"/>
  <c r="X275" i="1"/>
  <c r="AB275" i="1"/>
  <c r="AE275" i="1"/>
  <c r="DW275" i="1" s="1"/>
  <c r="AI275" i="1"/>
  <c r="AL275" i="1"/>
  <c r="AP275" i="1"/>
  <c r="AS275" i="1"/>
  <c r="AW275" i="1"/>
  <c r="AZ275" i="1"/>
  <c r="BD275" i="1"/>
  <c r="BG275" i="1"/>
  <c r="BK275" i="1"/>
  <c r="BN275" i="1"/>
  <c r="BR275" i="1"/>
  <c r="BU275" i="1"/>
  <c r="BY275" i="1"/>
  <c r="CB275" i="1"/>
  <c r="T276" i="1"/>
  <c r="X276" i="1"/>
  <c r="AB276" i="1"/>
  <c r="AE276" i="1"/>
  <c r="AI276" i="1"/>
  <c r="AL276" i="1"/>
  <c r="AP276" i="1"/>
  <c r="AS276" i="1"/>
  <c r="AW276" i="1"/>
  <c r="AZ276" i="1"/>
  <c r="BD276" i="1"/>
  <c r="BG276" i="1"/>
  <c r="BK276" i="1"/>
  <c r="BN276" i="1"/>
  <c r="BR276" i="1"/>
  <c r="BU276" i="1"/>
  <c r="BY276" i="1"/>
  <c r="CB276" i="1"/>
  <c r="BG277" i="1"/>
  <c r="BK277" i="1"/>
  <c r="BN277" i="1"/>
  <c r="BR277" i="1"/>
  <c r="L278" i="1"/>
  <c r="P278" i="1"/>
  <c r="X278" i="1"/>
  <c r="AB278" i="1"/>
  <c r="BG278" i="1"/>
  <c r="BK278" i="1"/>
  <c r="BN278" i="1"/>
  <c r="BR278" i="1"/>
  <c r="CB278" i="1"/>
  <c r="CF278" i="1"/>
  <c r="CJ278" i="1"/>
  <c r="CN278" i="1"/>
  <c r="CV278" i="1"/>
  <c r="CV279" i="1"/>
  <c r="CV280" i="1"/>
  <c r="DW280" i="1"/>
  <c r="P281" i="1"/>
  <c r="X281" i="1"/>
  <c r="BG281" i="1"/>
  <c r="BK281" i="1"/>
  <c r="BN281" i="1"/>
  <c r="BR281" i="1"/>
  <c r="BU281" i="1"/>
  <c r="BY281" i="1"/>
  <c r="P285" i="1"/>
  <c r="X285" i="1"/>
  <c r="AB285" i="1"/>
  <c r="BG285" i="1"/>
  <c r="BK285" i="1"/>
  <c r="BN285" i="1"/>
  <c r="BR285" i="1"/>
  <c r="BU285" i="1"/>
  <c r="BY285" i="1"/>
  <c r="L286" i="1"/>
  <c r="DW286" i="1"/>
  <c r="L290" i="1"/>
  <c r="DW290" i="1" s="1"/>
  <c r="E168" i="3" s="1"/>
  <c r="CB293" i="1"/>
  <c r="DW293" i="1"/>
  <c r="T294" i="1"/>
  <c r="X294" i="1"/>
  <c r="AB294" i="1"/>
  <c r="AE294" i="1"/>
  <c r="AI294" i="1"/>
  <c r="AL294" i="1"/>
  <c r="AP294" i="1"/>
  <c r="AS294" i="1"/>
  <c r="AW294" i="1"/>
  <c r="AZ294" i="1"/>
  <c r="BD294" i="1"/>
  <c r="BG294" i="1"/>
  <c r="BK294" i="1"/>
  <c r="BN294" i="1"/>
  <c r="BR294" i="1"/>
  <c r="BU294" i="1"/>
  <c r="BY294" i="1"/>
  <c r="CB294" i="1"/>
  <c r="T301" i="1"/>
  <c r="X301" i="1"/>
  <c r="AB301" i="1"/>
  <c r="AE301" i="1"/>
  <c r="AI301" i="1"/>
  <c r="AL301" i="1"/>
  <c r="AP301" i="1"/>
  <c r="AS301" i="1"/>
  <c r="AW301" i="1"/>
  <c r="AZ301" i="1"/>
  <c r="BD301" i="1"/>
  <c r="BG301" i="1"/>
  <c r="BK301" i="1"/>
  <c r="BN301" i="1"/>
  <c r="BR301" i="1"/>
  <c r="BU301" i="1"/>
  <c r="BY301" i="1"/>
  <c r="CB301" i="1"/>
  <c r="CB316" i="1"/>
  <c r="DW316" i="1"/>
  <c r="BG318" i="1"/>
  <c r="BK318" i="1"/>
  <c r="BN318" i="1"/>
  <c r="BR318" i="1"/>
  <c r="P319" i="1"/>
  <c r="DW319" i="1" s="1"/>
  <c r="T319" i="1"/>
  <c r="X319" i="1"/>
  <c r="AB319" i="1"/>
  <c r="AE319" i="1"/>
  <c r="AI319" i="1"/>
  <c r="AL319" i="1"/>
  <c r="AP319" i="1"/>
  <c r="AS319" i="1"/>
  <c r="AW319" i="1"/>
  <c r="AZ319" i="1"/>
  <c r="BD319" i="1"/>
  <c r="BG319" i="1"/>
  <c r="BK319" i="1"/>
  <c r="BN319" i="1"/>
  <c r="BR319" i="1"/>
  <c r="BU319" i="1"/>
  <c r="BY319" i="1"/>
  <c r="CB319" i="1"/>
  <c r="DD319" i="1"/>
  <c r="DH319" i="1"/>
  <c r="DP319" i="1"/>
  <c r="P320" i="1"/>
  <c r="T320" i="1"/>
  <c r="X320" i="1"/>
  <c r="AB320" i="1"/>
  <c r="AE320" i="1"/>
  <c r="AI320" i="1"/>
  <c r="AL320" i="1"/>
  <c r="AP320" i="1"/>
  <c r="AS320" i="1"/>
  <c r="AW320" i="1"/>
  <c r="AZ320" i="1"/>
  <c r="BD320" i="1"/>
  <c r="BG320" i="1"/>
  <c r="BK320" i="1"/>
  <c r="BN320" i="1"/>
  <c r="BR320" i="1"/>
  <c r="BU320" i="1"/>
  <c r="BY320" i="1"/>
  <c r="CB320" i="1"/>
  <c r="CF320" i="1"/>
  <c r="CJ320" i="1"/>
  <c r="CN320" i="1"/>
  <c r="CV320" i="1"/>
  <c r="CZ320" i="1"/>
  <c r="DD320" i="1"/>
  <c r="DH320" i="1"/>
  <c r="DP320" i="1"/>
  <c r="AE321" i="1"/>
  <c r="AI321" i="1"/>
  <c r="AL321" i="1"/>
  <c r="AP321" i="1"/>
  <c r="AS321" i="1"/>
  <c r="AW321" i="1"/>
  <c r="AZ321" i="1"/>
  <c r="BD321" i="1"/>
  <c r="BN321" i="1"/>
  <c r="BR321" i="1"/>
  <c r="BU321" i="1"/>
  <c r="BY321" i="1"/>
  <c r="CB321" i="1"/>
  <c r="CF321" i="1"/>
  <c r="CJ321" i="1"/>
  <c r="CN321" i="1"/>
  <c r="CV321" i="1"/>
  <c r="CZ321" i="1"/>
  <c r="DD321" i="1"/>
  <c r="DH321" i="1"/>
  <c r="DP321" i="1"/>
  <c r="CB322" i="1"/>
  <c r="DW322" i="1" s="1"/>
  <c r="L324" i="1"/>
  <c r="P324" i="1"/>
  <c r="T324" i="1"/>
  <c r="X324" i="1"/>
  <c r="AB324" i="1"/>
  <c r="AE324" i="1"/>
  <c r="AI324" i="1"/>
  <c r="AL324" i="1"/>
  <c r="AP324" i="1"/>
  <c r="AS324" i="1"/>
  <c r="AW324" i="1"/>
  <c r="BG324" i="1"/>
  <c r="BK324" i="1"/>
  <c r="BN324" i="1"/>
  <c r="BR324" i="1"/>
  <c r="BU324" i="1"/>
  <c r="BY324" i="1"/>
  <c r="CB324" i="1"/>
  <c r="CB325" i="1"/>
  <c r="DW325" i="1"/>
  <c r="L336" i="1"/>
  <c r="P336" i="1"/>
  <c r="X336" i="1"/>
  <c r="AB336" i="1"/>
  <c r="BG336" i="1"/>
  <c r="BK336" i="1"/>
  <c r="BN336" i="1"/>
  <c r="BR336" i="1"/>
  <c r="BU336" i="1"/>
  <c r="CB337" i="1"/>
  <c r="L338" i="1"/>
  <c r="X338" i="1"/>
  <c r="AB338" i="1"/>
  <c r="BG338" i="1"/>
  <c r="BK338" i="1"/>
  <c r="CF338" i="1"/>
  <c r="CJ338" i="1"/>
  <c r="CN338" i="1"/>
  <c r="CV338" i="1"/>
  <c r="L339" i="1"/>
  <c r="X339" i="1"/>
  <c r="AB339" i="1"/>
  <c r="BG339" i="1"/>
  <c r="BK339" i="1"/>
  <c r="CF339" i="1"/>
  <c r="CJ339" i="1"/>
  <c r="CN339" i="1"/>
  <c r="CV339" i="1"/>
  <c r="L341" i="1"/>
  <c r="P341" i="1"/>
  <c r="T341" i="1"/>
  <c r="AS341" i="1"/>
  <c r="AW341" i="1"/>
  <c r="AZ341" i="1"/>
  <c r="BD341" i="1"/>
  <c r="BG341" i="1"/>
  <c r="BK341" i="1"/>
  <c r="BN341" i="1"/>
  <c r="BR341" i="1"/>
  <c r="BU341" i="1"/>
  <c r="BY341" i="1"/>
  <c r="CB341" i="1"/>
  <c r="L342" i="1"/>
  <c r="P342" i="1"/>
  <c r="T342" i="1"/>
  <c r="AS342" i="1"/>
  <c r="AW342" i="1"/>
  <c r="AZ342" i="1"/>
  <c r="BD342" i="1"/>
  <c r="BG342" i="1"/>
  <c r="BK342" i="1"/>
  <c r="BN342" i="1"/>
  <c r="BR342" i="1"/>
  <c r="BU342" i="1"/>
  <c r="BY342" i="1"/>
  <c r="CB342" i="1"/>
  <c r="L343" i="1"/>
  <c r="P343" i="1"/>
  <c r="T343" i="1"/>
  <c r="AS343" i="1"/>
  <c r="AW343" i="1"/>
  <c r="AZ343" i="1"/>
  <c r="BD343" i="1"/>
  <c r="BG343" i="1"/>
  <c r="BK343" i="1"/>
  <c r="BN343" i="1"/>
  <c r="BR343" i="1"/>
  <c r="BU343" i="1"/>
  <c r="BY343" i="1"/>
  <c r="CB343" i="1"/>
  <c r="L344" i="1"/>
  <c r="P344" i="1"/>
  <c r="T344" i="1"/>
  <c r="AS344" i="1"/>
  <c r="AW344" i="1"/>
  <c r="AZ344" i="1"/>
  <c r="BD344" i="1"/>
  <c r="BG344" i="1"/>
  <c r="BK344" i="1"/>
  <c r="BN344" i="1"/>
  <c r="BR344" i="1"/>
  <c r="BU344" i="1"/>
  <c r="BY344" i="1"/>
  <c r="CB344" i="1"/>
  <c r="L345" i="1"/>
  <c r="P345" i="1"/>
  <c r="T345" i="1"/>
  <c r="AS345" i="1"/>
  <c r="AW345" i="1"/>
  <c r="AZ345" i="1"/>
  <c r="BD345" i="1"/>
  <c r="BG345" i="1"/>
  <c r="BK345" i="1"/>
  <c r="BN345" i="1"/>
  <c r="BR345" i="1"/>
  <c r="BU345" i="1"/>
  <c r="BY345" i="1"/>
  <c r="CB345" i="1"/>
  <c r="L346" i="1"/>
  <c r="P346" i="1"/>
  <c r="T346" i="1"/>
  <c r="AS346" i="1"/>
  <c r="AW346" i="1"/>
  <c r="AZ346" i="1"/>
  <c r="BD346" i="1"/>
  <c r="BG346" i="1"/>
  <c r="BK346" i="1"/>
  <c r="BN346" i="1"/>
  <c r="BR346" i="1"/>
  <c r="BU346" i="1"/>
  <c r="BY346" i="1"/>
  <c r="CB346" i="1"/>
  <c r="L347" i="1"/>
  <c r="P347" i="1"/>
  <c r="T347" i="1"/>
  <c r="AS347" i="1"/>
  <c r="AW347" i="1"/>
  <c r="AZ347" i="1"/>
  <c r="BD347" i="1"/>
  <c r="BG347" i="1"/>
  <c r="BK347" i="1"/>
  <c r="BN347" i="1"/>
  <c r="BR347" i="1"/>
  <c r="BU347" i="1"/>
  <c r="BY347" i="1"/>
  <c r="CB347" i="1"/>
  <c r="L348" i="1"/>
  <c r="P348" i="1"/>
  <c r="T348" i="1"/>
  <c r="AS348" i="1"/>
  <c r="AW348" i="1"/>
  <c r="AZ348" i="1"/>
  <c r="BD348" i="1"/>
  <c r="BG348" i="1"/>
  <c r="BK348" i="1"/>
  <c r="BN348" i="1"/>
  <c r="BR348" i="1"/>
  <c r="BU348" i="1"/>
  <c r="BY348" i="1"/>
  <c r="CB348" i="1"/>
  <c r="L349" i="1"/>
  <c r="P349" i="1"/>
  <c r="T349" i="1"/>
  <c r="AS349" i="1"/>
  <c r="AW349" i="1"/>
  <c r="AZ349" i="1"/>
  <c r="BD349" i="1"/>
  <c r="BG349" i="1"/>
  <c r="BK349" i="1"/>
  <c r="BN349" i="1"/>
  <c r="BR349" i="1"/>
  <c r="BU349" i="1"/>
  <c r="BY349" i="1"/>
  <c r="CB349" i="1"/>
  <c r="L350" i="1"/>
  <c r="P350" i="1"/>
  <c r="T350" i="1"/>
  <c r="AS350" i="1"/>
  <c r="AW350" i="1"/>
  <c r="AZ350" i="1"/>
  <c r="BD350" i="1"/>
  <c r="BG350" i="1"/>
  <c r="BK350" i="1"/>
  <c r="BN350" i="1"/>
  <c r="BR350" i="1"/>
  <c r="BU350" i="1"/>
  <c r="BY350" i="1"/>
  <c r="CB350" i="1"/>
  <c r="L351" i="1"/>
  <c r="P351" i="1"/>
  <c r="T351" i="1"/>
  <c r="AS351" i="1"/>
  <c r="AW351" i="1"/>
  <c r="AZ351" i="1"/>
  <c r="BD351" i="1"/>
  <c r="BG351" i="1"/>
  <c r="BK351" i="1"/>
  <c r="BN351" i="1"/>
  <c r="BR351" i="1"/>
  <c r="BU351" i="1"/>
  <c r="BY351" i="1"/>
  <c r="CB351" i="1"/>
  <c r="P352" i="1"/>
  <c r="DW352" i="1"/>
  <c r="P353" i="1"/>
  <c r="DW353" i="1" s="1"/>
  <c r="P354" i="1"/>
  <c r="DW354" i="1"/>
  <c r="E232" i="3" s="1"/>
  <c r="L355" i="1"/>
  <c r="P355" i="1"/>
  <c r="T355" i="1"/>
  <c r="AS355" i="1"/>
  <c r="AW355" i="1"/>
  <c r="AZ355" i="1"/>
  <c r="BD355" i="1"/>
  <c r="BG355" i="1"/>
  <c r="BK355" i="1"/>
  <c r="BN355" i="1"/>
  <c r="BR355" i="1"/>
  <c r="BU355" i="1"/>
  <c r="BY355" i="1"/>
  <c r="CB355" i="1"/>
  <c r="L356" i="1"/>
  <c r="P356" i="1"/>
  <c r="T356" i="1"/>
  <c r="AS356" i="1"/>
  <c r="AW356" i="1"/>
  <c r="AZ356" i="1"/>
  <c r="BD356" i="1"/>
  <c r="BG356" i="1"/>
  <c r="BK356" i="1"/>
  <c r="BN356" i="1"/>
  <c r="BR356" i="1"/>
  <c r="BU356" i="1"/>
  <c r="BY356" i="1"/>
  <c r="CB356" i="1"/>
  <c r="L357" i="1"/>
  <c r="P357" i="1"/>
  <c r="T357" i="1"/>
  <c r="AS357" i="1"/>
  <c r="AW357" i="1"/>
  <c r="AZ357" i="1"/>
  <c r="BD357" i="1"/>
  <c r="BG357" i="1"/>
  <c r="BK357" i="1"/>
  <c r="BN357" i="1"/>
  <c r="BR357" i="1"/>
  <c r="BU357" i="1"/>
  <c r="BY357" i="1"/>
  <c r="CB357" i="1"/>
  <c r="L358" i="1"/>
  <c r="P358" i="1"/>
  <c r="T358" i="1"/>
  <c r="AS358" i="1"/>
  <c r="AW358" i="1"/>
  <c r="AZ358" i="1"/>
  <c r="BD358" i="1"/>
  <c r="BG358" i="1"/>
  <c r="BK358" i="1"/>
  <c r="BN358" i="1"/>
  <c r="BR358" i="1"/>
  <c r="BU358" i="1"/>
  <c r="BY358" i="1"/>
  <c r="CB358" i="1"/>
  <c r="L359" i="1"/>
  <c r="P359" i="1"/>
  <c r="T359" i="1"/>
  <c r="AS359" i="1"/>
  <c r="AW359" i="1"/>
  <c r="AZ359" i="1"/>
  <c r="BD359" i="1"/>
  <c r="BG359" i="1"/>
  <c r="BK359" i="1"/>
  <c r="BN359" i="1"/>
  <c r="BR359" i="1"/>
  <c r="BU359" i="1"/>
  <c r="BY359" i="1"/>
  <c r="CB359" i="1"/>
  <c r="L360" i="1"/>
  <c r="P360" i="1"/>
  <c r="T360" i="1"/>
  <c r="AS360" i="1"/>
  <c r="AW360" i="1"/>
  <c r="AZ360" i="1"/>
  <c r="BD360" i="1"/>
  <c r="BG360" i="1"/>
  <c r="BK360" i="1"/>
  <c r="BN360" i="1"/>
  <c r="BR360" i="1"/>
  <c r="BU360" i="1"/>
  <c r="BY360" i="1"/>
  <c r="CB360" i="1"/>
  <c r="L361" i="1"/>
  <c r="P361" i="1"/>
  <c r="T361" i="1"/>
  <c r="AS361" i="1"/>
  <c r="AW361" i="1"/>
  <c r="AZ361" i="1"/>
  <c r="BD361" i="1"/>
  <c r="BG361" i="1"/>
  <c r="BK361" i="1"/>
  <c r="BN361" i="1"/>
  <c r="BR361" i="1"/>
  <c r="BU361" i="1"/>
  <c r="BY361" i="1"/>
  <c r="CB361" i="1"/>
  <c r="L362" i="1"/>
  <c r="P362" i="1"/>
  <c r="T362" i="1"/>
  <c r="AS362" i="1"/>
  <c r="AW362" i="1"/>
  <c r="AZ362" i="1"/>
  <c r="BD362" i="1"/>
  <c r="BG362" i="1"/>
  <c r="BK362" i="1"/>
  <c r="BN362" i="1"/>
  <c r="BR362" i="1"/>
  <c r="BU362" i="1"/>
  <c r="BY362" i="1"/>
  <c r="CB362" i="1"/>
  <c r="L363" i="1"/>
  <c r="P363" i="1"/>
  <c r="T363" i="1"/>
  <c r="AS363" i="1"/>
  <c r="AW363" i="1"/>
  <c r="AZ363" i="1"/>
  <c r="BD363" i="1"/>
  <c r="BG363" i="1"/>
  <c r="BK363" i="1"/>
  <c r="BN363" i="1"/>
  <c r="BR363" i="1"/>
  <c r="BU363" i="1"/>
  <c r="BY363" i="1"/>
  <c r="CB363" i="1"/>
  <c r="L364" i="1"/>
  <c r="P364" i="1"/>
  <c r="T364" i="1"/>
  <c r="AS364" i="1"/>
  <c r="AW364" i="1"/>
  <c r="AZ364" i="1"/>
  <c r="BD364" i="1"/>
  <c r="BG364" i="1"/>
  <c r="BK364" i="1"/>
  <c r="BN364" i="1"/>
  <c r="BR364" i="1"/>
  <c r="BU364" i="1"/>
  <c r="BY364" i="1"/>
  <c r="CB364" i="1"/>
  <c r="L365" i="1"/>
  <c r="P365" i="1"/>
  <c r="T365" i="1"/>
  <c r="AS365" i="1"/>
  <c r="AW365" i="1"/>
  <c r="AZ365" i="1"/>
  <c r="BD365" i="1"/>
  <c r="BG365" i="1"/>
  <c r="BK365" i="1"/>
  <c r="BN365" i="1"/>
  <c r="BR365" i="1"/>
  <c r="BU365" i="1"/>
  <c r="BY365" i="1"/>
  <c r="CB365" i="1"/>
  <c r="M374" i="1"/>
  <c r="DW374" i="1"/>
  <c r="CB375" i="1"/>
  <c r="DW375" i="1"/>
  <c r="AL384" i="1"/>
  <c r="AP384" i="1"/>
  <c r="AZ384" i="1"/>
  <c r="BD384" i="1"/>
  <c r="BG384" i="1"/>
  <c r="BK384" i="1"/>
  <c r="BN384" i="1"/>
  <c r="BR384" i="1"/>
  <c r="AL385" i="1"/>
  <c r="AP385" i="1"/>
  <c r="AZ385" i="1"/>
  <c r="BD385" i="1"/>
  <c r="BG385" i="1"/>
  <c r="BK385" i="1"/>
  <c r="BN385" i="1"/>
  <c r="BR385" i="1"/>
  <c r="L386" i="1"/>
  <c r="BG386" i="1"/>
  <c r="BK386" i="1"/>
  <c r="BN386" i="1"/>
  <c r="BR386" i="1"/>
  <c r="BU386" i="1"/>
  <c r="BY386" i="1"/>
  <c r="P387" i="1"/>
  <c r="DW387" i="1"/>
  <c r="BU388" i="1"/>
  <c r="DW388" i="1" s="1"/>
  <c r="BY388" i="1"/>
  <c r="CF389" i="1"/>
  <c r="DW389" i="1"/>
  <c r="CF390" i="1"/>
  <c r="CJ391" i="1"/>
  <c r="DW391" i="1" s="1"/>
  <c r="CJ392" i="1"/>
  <c r="CN393" i="1"/>
  <c r="CN394" i="1"/>
  <c r="I27" i="24"/>
  <c r="I2" i="24"/>
  <c r="I4" i="24"/>
  <c r="E1083" i="3" s="1"/>
  <c r="G14" i="24"/>
  <c r="J61" i="24"/>
  <c r="E1140" i="3" s="1"/>
  <c r="I80" i="24"/>
  <c r="E62" i="24"/>
  <c r="J26" i="24"/>
  <c r="I40" i="24"/>
  <c r="I19" i="24"/>
  <c r="I30" i="24"/>
  <c r="T99" i="23"/>
  <c r="E52" i="24"/>
  <c r="E1131" i="3" s="1"/>
  <c r="E27" i="24"/>
  <c r="I63" i="24"/>
  <c r="I47" i="24"/>
  <c r="E1126" i="3" s="1"/>
  <c r="I26" i="24"/>
  <c r="I42" i="24"/>
  <c r="I83" i="24"/>
  <c r="I81" i="24"/>
  <c r="E561" i="3"/>
  <c r="Q93" i="18"/>
  <c r="E552" i="3" s="1"/>
  <c r="Q91" i="18"/>
  <c r="E550" i="3" s="1"/>
  <c r="Q85" i="18"/>
  <c r="E544" i="3"/>
  <c r="E538" i="3"/>
  <c r="Q76" i="18"/>
  <c r="E535" i="3" s="1"/>
  <c r="Q63" i="18"/>
  <c r="E522" i="3" s="1"/>
  <c r="Q39" i="18"/>
  <c r="E498" i="3"/>
  <c r="T56" i="23"/>
  <c r="E448" i="3"/>
  <c r="T31" i="23"/>
  <c r="T47" i="23"/>
  <c r="E439" i="3" s="1"/>
  <c r="T73" i="23"/>
  <c r="T94" i="19"/>
  <c r="E486" i="3" s="1"/>
  <c r="T53" i="19"/>
  <c r="E445" i="3"/>
  <c r="T42" i="19"/>
  <c r="T38" i="19"/>
  <c r="T89" i="23"/>
  <c r="E481" i="3" s="1"/>
  <c r="T87" i="23"/>
  <c r="T33" i="23"/>
  <c r="T56" i="19"/>
  <c r="T39" i="19"/>
  <c r="T93" i="23"/>
  <c r="T88" i="23"/>
  <c r="T86" i="23"/>
  <c r="T49" i="19"/>
  <c r="T22" i="19"/>
  <c r="E76" i="24"/>
  <c r="E77" i="24"/>
  <c r="M25" i="24"/>
  <c r="L76" i="24"/>
  <c r="N76" i="24"/>
  <c r="EX271" i="6"/>
  <c r="EX288" i="6"/>
  <c r="EX336" i="6"/>
  <c r="EX339" i="6"/>
  <c r="EX355" i="6"/>
  <c r="P77" i="24"/>
  <c r="P25" i="24"/>
  <c r="N25" i="24"/>
  <c r="L25" i="24"/>
  <c r="P2" i="24"/>
  <c r="P30" i="24"/>
  <c r="J5" i="24"/>
  <c r="P80" i="24"/>
  <c r="L87" i="24"/>
  <c r="P26" i="24"/>
  <c r="N10" i="24"/>
  <c r="N74" i="24"/>
  <c r="N77" i="24"/>
  <c r="L72" i="24"/>
  <c r="N63" i="24"/>
  <c r="J84" i="24"/>
  <c r="F17" i="24"/>
  <c r="E1096" i="3" s="1"/>
  <c r="P40" i="24"/>
  <c r="P16" i="24"/>
  <c r="P65" i="24"/>
  <c r="P78" i="24"/>
  <c r="N27" i="24"/>
  <c r="F37" i="24"/>
  <c r="J13" i="24"/>
  <c r="J20" i="24"/>
  <c r="J78" i="24"/>
  <c r="P48" i="24"/>
  <c r="E1127" i="3"/>
  <c r="N62" i="24"/>
  <c r="L68" i="24"/>
  <c r="L14" i="24"/>
  <c r="G72" i="24"/>
  <c r="G10" i="24"/>
  <c r="G6" i="24"/>
  <c r="G63" i="24"/>
  <c r="BN123" i="17"/>
  <c r="BN124" i="17"/>
  <c r="BN76" i="17"/>
  <c r="EX286" i="9"/>
  <c r="EX369" i="9"/>
  <c r="EX317" i="6"/>
  <c r="F1877" i="14"/>
  <c r="E75" i="24"/>
  <c r="E74" i="24"/>
  <c r="E63" i="24"/>
  <c r="E67" i="24"/>
  <c r="E2" i="24"/>
  <c r="E40" i="24"/>
  <c r="E26" i="24"/>
  <c r="F796" i="14"/>
  <c r="F1516" i="14"/>
  <c r="F1541" i="14"/>
  <c r="F1924" i="14"/>
  <c r="T92" i="23"/>
  <c r="K57" i="24"/>
  <c r="E1136" i="3" s="1"/>
  <c r="H25" i="24"/>
  <c r="L78" i="24"/>
  <c r="L32" i="24"/>
  <c r="L40" i="24"/>
  <c r="P4" i="24"/>
  <c r="P27" i="24"/>
  <c r="P8" i="24"/>
  <c r="FU202" i="16"/>
  <c r="E698" i="3" s="1"/>
  <c r="EX324" i="6"/>
  <c r="K78" i="24"/>
  <c r="E44" i="24"/>
  <c r="E14" i="24"/>
  <c r="E6" i="24"/>
  <c r="F1469" i="14"/>
  <c r="EX322" i="6"/>
  <c r="EX377" i="6"/>
  <c r="EX145" i="6"/>
  <c r="EX169" i="6"/>
  <c r="EX327" i="6"/>
  <c r="E594" i="3"/>
  <c r="FU156" i="16"/>
  <c r="EX338" i="6"/>
  <c r="EX144" i="6"/>
  <c r="F1252" i="14"/>
  <c r="FU153" i="16"/>
  <c r="FU87" i="16"/>
  <c r="E583" i="3"/>
  <c r="F1948" i="14"/>
  <c r="FU553" i="16"/>
  <c r="E1049" i="3" s="1"/>
  <c r="E981" i="3"/>
  <c r="FU488" i="16"/>
  <c r="E984" i="3" s="1"/>
  <c r="FU486" i="16"/>
  <c r="FU480" i="16"/>
  <c r="E976" i="3"/>
  <c r="E78" i="24"/>
  <c r="E68" i="24"/>
  <c r="E80" i="24"/>
  <c r="E84" i="24"/>
  <c r="E86" i="24"/>
  <c r="E72" i="24"/>
  <c r="E71" i="24"/>
  <c r="E73" i="24"/>
  <c r="E25" i="24"/>
  <c r="E10" i="24"/>
  <c r="E34" i="24"/>
  <c r="E23" i="24"/>
  <c r="E70" i="24"/>
  <c r="E20" i="24"/>
  <c r="G70" i="24"/>
  <c r="G74" i="24"/>
  <c r="G71" i="24"/>
  <c r="G19" i="24"/>
  <c r="G21" i="24"/>
  <c r="G44" i="24"/>
  <c r="I78" i="24"/>
  <c r="I8" i="24"/>
  <c r="I65" i="24"/>
  <c r="I25" i="24"/>
  <c r="I60" i="24"/>
  <c r="E1139" i="3"/>
  <c r="I34" i="24"/>
  <c r="I17" i="24"/>
  <c r="I68" i="24"/>
  <c r="I12" i="24"/>
  <c r="K6" i="24"/>
  <c r="M68" i="24"/>
  <c r="M85" i="24"/>
  <c r="O63" i="24"/>
  <c r="FU263" i="16"/>
  <c r="FU359" i="16"/>
  <c r="FU366" i="16"/>
  <c r="E862" i="3" s="1"/>
  <c r="E269" i="3"/>
  <c r="DW146" i="1"/>
  <c r="EX144" i="9"/>
  <c r="EX145" i="9"/>
  <c r="EX247" i="6"/>
  <c r="EX251" i="6"/>
  <c r="DX277" i="5"/>
  <c r="F387" i="14"/>
  <c r="J18" i="24"/>
  <c r="P82" i="24"/>
  <c r="J63" i="24"/>
  <c r="J30" i="24"/>
  <c r="P68" i="24"/>
  <c r="EX331" i="6"/>
  <c r="EX376" i="6"/>
  <c r="EX146" i="9"/>
  <c r="EX181" i="9"/>
  <c r="EX191" i="9"/>
  <c r="EX287" i="9"/>
  <c r="EX338" i="9"/>
  <c r="EX376" i="9"/>
  <c r="EX380" i="9"/>
  <c r="EX386" i="9"/>
  <c r="EX387" i="9"/>
  <c r="EX192" i="9"/>
  <c r="EX194" i="9"/>
  <c r="EX199" i="9"/>
  <c r="EX201" i="9"/>
  <c r="EX324" i="9"/>
  <c r="EX193" i="9"/>
  <c r="EX198" i="9"/>
  <c r="DW324" i="1"/>
  <c r="DW163" i="1"/>
  <c r="DW191" i="1"/>
  <c r="DW165" i="1"/>
  <c r="DW198" i="1"/>
  <c r="DW208" i="1"/>
  <c r="DW266" i="1"/>
  <c r="DW234" i="1"/>
  <c r="DW337" i="1"/>
  <c r="DW258" i="1"/>
  <c r="DW303" i="1"/>
  <c r="DW167" i="1"/>
  <c r="DW203" i="1"/>
  <c r="DW359" i="1"/>
  <c r="DX375" i="5"/>
  <c r="DX337" i="5"/>
  <c r="DX294" i="5"/>
  <c r="DX260" i="5"/>
  <c r="DX333" i="5"/>
  <c r="DX397" i="5"/>
  <c r="E275" i="3" s="1"/>
  <c r="F196" i="14"/>
  <c r="EX317" i="9"/>
  <c r="EX329" i="9"/>
  <c r="EX244" i="9"/>
  <c r="DX210" i="5"/>
  <c r="DX204" i="5"/>
  <c r="EX343" i="9"/>
  <c r="EX345" i="9"/>
  <c r="EX348" i="9"/>
  <c r="DX308" i="5"/>
  <c r="E186" i="3"/>
  <c r="DX157" i="5"/>
  <c r="EX252" i="9"/>
  <c r="EX249" i="9"/>
  <c r="EX247" i="9"/>
  <c r="EX251" i="9"/>
  <c r="EX253" i="9"/>
  <c r="F2010" i="14"/>
  <c r="E1101" i="3"/>
  <c r="FU216" i="16"/>
  <c r="FU509" i="16"/>
  <c r="E1005" i="3"/>
  <c r="FU363" i="16"/>
  <c r="E859" i="3" s="1"/>
  <c r="FU565" i="16"/>
  <c r="FU561" i="16"/>
  <c r="E1057" i="3"/>
  <c r="N21" i="24"/>
  <c r="N67" i="24"/>
  <c r="N44" i="24"/>
  <c r="L24" i="24"/>
  <c r="L2" i="24"/>
  <c r="L21" i="24"/>
  <c r="H62" i="24"/>
  <c r="N40" i="24"/>
  <c r="L70" i="24"/>
  <c r="N33" i="24"/>
  <c r="N85" i="24"/>
  <c r="E1164" i="3" s="1"/>
  <c r="N78" i="24"/>
  <c r="F83" i="24"/>
  <c r="N83" i="24"/>
  <c r="N26" i="24"/>
  <c r="H72" i="24"/>
  <c r="L74" i="24"/>
  <c r="N73" i="24"/>
  <c r="N72" i="24"/>
  <c r="N6" i="24"/>
  <c r="N14" i="24"/>
  <c r="E1134" i="3"/>
  <c r="N80" i="24"/>
  <c r="N70" i="24"/>
  <c r="N71" i="24"/>
  <c r="N75" i="24"/>
  <c r="L75" i="24"/>
  <c r="N2" i="24"/>
  <c r="N68" i="24"/>
  <c r="L67" i="24"/>
  <c r="J68" i="24"/>
  <c r="J40" i="24"/>
  <c r="J82" i="24"/>
  <c r="E1161" i="3" s="1"/>
  <c r="J50" i="24"/>
  <c r="E1129" i="3"/>
  <c r="J25" i="24"/>
  <c r="J66" i="24"/>
  <c r="J77" i="24"/>
  <c r="J2" i="24"/>
  <c r="J33" i="24"/>
  <c r="E1112" i="3" s="1"/>
  <c r="J9" i="24"/>
  <c r="J27" i="24"/>
  <c r="J80" i="24"/>
  <c r="F2011" i="14"/>
  <c r="FU229" i="16"/>
  <c r="FU388" i="16"/>
  <c r="FU361" i="16"/>
  <c r="FU336" i="16"/>
  <c r="E832" i="3" s="1"/>
  <c r="FU464" i="16"/>
  <c r="E960" i="3" s="1"/>
  <c r="E933" i="3"/>
  <c r="F1984" i="14"/>
  <c r="FU195" i="16"/>
  <c r="E691" i="3" s="1"/>
  <c r="FU265" i="16"/>
  <c r="E761" i="3"/>
  <c r="F1708" i="14"/>
  <c r="FU425" i="16"/>
  <c r="E921" i="3" s="1"/>
  <c r="E652" i="3"/>
  <c r="FU176" i="16"/>
  <c r="E672" i="3"/>
  <c r="FU224" i="16"/>
  <c r="E720" i="3" s="1"/>
  <c r="FU221" i="16"/>
  <c r="E717" i="3" s="1"/>
  <c r="FU219" i="16"/>
  <c r="E715" i="3" s="1"/>
  <c r="FU215" i="16"/>
  <c r="E711" i="3"/>
  <c r="FU213" i="16"/>
  <c r="E709" i="3" s="1"/>
  <c r="FU210" i="16"/>
  <c r="E706" i="3" s="1"/>
  <c r="FU208" i="16"/>
  <c r="E704" i="3" s="1"/>
  <c r="F2226" i="14"/>
  <c r="E1061" i="3"/>
  <c r="F1637" i="14"/>
  <c r="FU227" i="16"/>
  <c r="E708" i="3"/>
  <c r="F2249" i="14"/>
  <c r="FU367" i="16"/>
  <c r="DS386" i="5"/>
  <c r="DS294" i="5"/>
  <c r="DS270" i="5"/>
  <c r="DU343" i="5"/>
  <c r="F1373" i="15"/>
  <c r="F1277" i="15"/>
  <c r="F1157" i="15"/>
  <c r="DS221" i="5"/>
  <c r="DS358" i="5"/>
  <c r="DS349" i="5"/>
  <c r="DS347" i="5"/>
  <c r="DS336" i="5"/>
  <c r="DS285" i="5"/>
  <c r="DS197" i="5"/>
  <c r="DS151" i="5"/>
  <c r="DS164" i="5"/>
  <c r="DS163" i="5"/>
  <c r="DS203" i="5"/>
  <c r="DS207" i="5"/>
  <c r="DS305" i="5"/>
  <c r="DS396" i="5"/>
  <c r="DS167" i="5"/>
  <c r="DS310" i="5"/>
  <c r="DS302" i="5"/>
  <c r="DS304" i="5"/>
  <c r="DS306" i="5"/>
  <c r="DS307" i="5"/>
  <c r="DS245" i="5"/>
  <c r="DS249" i="5"/>
  <c r="DS153" i="5"/>
  <c r="DS165" i="5"/>
  <c r="DS196" i="5"/>
  <c r="DS200" i="5"/>
  <c r="DS206" i="5"/>
  <c r="DS220" i="5"/>
  <c r="DS239" i="5"/>
  <c r="DS309" i="5"/>
  <c r="DS233" i="5"/>
  <c r="DS398" i="5"/>
  <c r="F1228" i="15"/>
  <c r="F1156" i="15"/>
  <c r="DW334" i="1"/>
  <c r="DW279" i="1"/>
  <c r="DW176" i="1"/>
  <c r="DW153" i="1"/>
  <c r="FU420" i="16"/>
  <c r="FU503" i="16"/>
  <c r="E999" i="3" s="1"/>
  <c r="FU495" i="16"/>
  <c r="E991" i="3" s="1"/>
  <c r="FU473" i="16"/>
  <c r="CY75" i="16"/>
  <c r="FU75" i="16"/>
  <c r="E571" i="3" s="1"/>
  <c r="EX330" i="6"/>
  <c r="DW174" i="1"/>
  <c r="DW147" i="1"/>
  <c r="DX440" i="5"/>
  <c r="DX401" i="5"/>
  <c r="DX522" i="5"/>
  <c r="DX520" i="5"/>
  <c r="DX519" i="5"/>
  <c r="DX506" i="5"/>
  <c r="DX504" i="5"/>
  <c r="DX503" i="5"/>
  <c r="DX490" i="5"/>
  <c r="E367" i="3"/>
  <c r="DX458" i="5"/>
  <c r="DX455" i="5"/>
  <c r="DX422" i="5"/>
  <c r="E300" i="3" s="1"/>
  <c r="DX408" i="5"/>
  <c r="E286" i="3"/>
  <c r="DX393" i="5"/>
  <c r="DX317" i="5"/>
  <c r="F1253" i="15"/>
  <c r="F1180" i="15"/>
  <c r="F1037" i="15"/>
  <c r="DX524" i="5"/>
  <c r="DX515" i="5"/>
  <c r="DX508" i="5"/>
  <c r="DX507" i="5"/>
  <c r="DX500" i="5"/>
  <c r="DX499" i="5"/>
  <c r="E376" i="3" s="1"/>
  <c r="DX484" i="5"/>
  <c r="DX476" i="5"/>
  <c r="DX475" i="5"/>
  <c r="E352" i="3"/>
  <c r="DX460" i="5"/>
  <c r="DX452" i="5"/>
  <c r="DX451" i="5"/>
  <c r="F964" i="14"/>
  <c r="F869" i="14"/>
  <c r="F579" i="14"/>
  <c r="F460" i="14"/>
  <c r="F339" i="14"/>
  <c r="F124" i="14"/>
  <c r="EX351" i="9"/>
  <c r="EX358" i="9"/>
  <c r="EX362" i="9"/>
  <c r="F123" i="15"/>
  <c r="F267" i="15"/>
  <c r="EX358" i="6"/>
  <c r="EX224" i="9"/>
  <c r="EX225" i="9"/>
  <c r="DU342" i="5"/>
  <c r="DU340" i="5"/>
  <c r="DT340" i="5"/>
  <c r="DX340" i="5"/>
  <c r="F1660" i="14"/>
  <c r="F1636" i="14"/>
  <c r="FU478" i="16"/>
  <c r="E974" i="3"/>
  <c r="FU460" i="16"/>
  <c r="E956" i="3" s="1"/>
  <c r="FU444" i="16"/>
  <c r="FU409" i="16"/>
  <c r="E905" i="3" s="1"/>
  <c r="FU199" i="16"/>
  <c r="E695" i="3" s="1"/>
  <c r="FU426" i="16"/>
  <c r="FU493" i="16"/>
  <c r="E989" i="3" s="1"/>
  <c r="FU501" i="16"/>
  <c r="E997" i="3"/>
  <c r="F1780" i="14"/>
  <c r="F1756" i="14"/>
  <c r="F1685" i="14"/>
  <c r="F1684" i="14"/>
  <c r="FU467" i="16"/>
  <c r="E958" i="3"/>
  <c r="FU454" i="16"/>
  <c r="E950" i="3"/>
  <c r="FU451" i="16"/>
  <c r="E947" i="3"/>
  <c r="E946" i="3"/>
  <c r="FU447" i="16"/>
  <c r="FU371" i="16"/>
  <c r="E867" i="3" s="1"/>
  <c r="FU370" i="16"/>
  <c r="E866" i="3" s="1"/>
  <c r="FU78" i="16"/>
  <c r="E574" i="3" s="1"/>
  <c r="FU131" i="16"/>
  <c r="FU423" i="16"/>
  <c r="E919" i="3"/>
  <c r="FU431" i="16"/>
  <c r="E927" i="3"/>
  <c r="FU448" i="16"/>
  <c r="E944" i="3"/>
  <c r="FU121" i="16"/>
  <c r="E617" i="3" s="1"/>
  <c r="FU113" i="16"/>
  <c r="E609" i="3" s="1"/>
  <c r="FU179" i="16"/>
  <c r="E675" i="3"/>
  <c r="FU162" i="16"/>
  <c r="E658" i="3" s="1"/>
  <c r="FU260" i="16"/>
  <c r="E756" i="3" s="1"/>
  <c r="FU357" i="16"/>
  <c r="E853" i="3"/>
  <c r="FU466" i="16"/>
  <c r="E962" i="3"/>
  <c r="F1661" i="14"/>
  <c r="F1733" i="14"/>
  <c r="F1709" i="14"/>
  <c r="FU256" i="16"/>
  <c r="E752" i="3" s="1"/>
  <c r="FU254" i="16"/>
  <c r="E750" i="3"/>
  <c r="FU342" i="16"/>
  <c r="E838" i="3" s="1"/>
  <c r="FU556" i="16"/>
  <c r="FU554" i="16"/>
  <c r="E1050" i="3" s="1"/>
  <c r="FU513" i="16"/>
  <c r="E1009" i="3"/>
  <c r="FU505" i="16"/>
  <c r="E1001" i="3"/>
  <c r="FU470" i="16"/>
  <c r="E966" i="3"/>
  <c r="FU441" i="16"/>
  <c r="E937" i="3" s="1"/>
  <c r="FU395" i="16"/>
  <c r="E891" i="3" s="1"/>
  <c r="FU262" i="16"/>
  <c r="E758" i="3"/>
  <c r="FU518" i="16"/>
  <c r="E1014" i="3"/>
  <c r="FU498" i="16"/>
  <c r="E994" i="3" s="1"/>
  <c r="FU490" i="16"/>
  <c r="FU424" i="16"/>
  <c r="E920" i="3" s="1"/>
  <c r="E836" i="3"/>
  <c r="FU300" i="16"/>
  <c r="E796" i="3" s="1"/>
  <c r="E780" i="3"/>
  <c r="FU150" i="16"/>
  <c r="E646" i="3" s="1"/>
  <c r="FU145" i="16"/>
  <c r="E641" i="3"/>
  <c r="FU117" i="16"/>
  <c r="E613" i="3"/>
  <c r="FU103" i="16"/>
  <c r="E599" i="3" s="1"/>
  <c r="DX318" i="5"/>
  <c r="F1348" i="15"/>
  <c r="F1133" i="15"/>
  <c r="F436" i="15"/>
  <c r="F219" i="15"/>
  <c r="F100" i="15"/>
  <c r="F1349" i="14"/>
  <c r="F1300" i="14"/>
  <c r="F1277" i="14"/>
  <c r="F1157" i="14"/>
  <c r="F1133" i="14"/>
  <c r="F1109" i="14"/>
  <c r="F1060" i="14"/>
  <c r="F940" i="14"/>
  <c r="F845" i="14"/>
  <c r="F773" i="14"/>
  <c r="F772" i="14"/>
  <c r="F651" i="14"/>
  <c r="F531" i="14"/>
  <c r="F412" i="14"/>
  <c r="F363" i="14"/>
  <c r="F100" i="14"/>
  <c r="FU463" i="16"/>
  <c r="E959" i="3" s="1"/>
  <c r="FU446" i="16"/>
  <c r="E942" i="3" s="1"/>
  <c r="FU358" i="16"/>
  <c r="FU348" i="16"/>
  <c r="E844" i="3" s="1"/>
  <c r="FU320" i="16"/>
  <c r="E792" i="3"/>
  <c r="FU270" i="16"/>
  <c r="E766" i="3"/>
  <c r="DS147" i="5"/>
  <c r="DS229" i="5"/>
  <c r="DS281" i="5"/>
  <c r="F1060" i="15"/>
  <c r="DS318" i="5"/>
  <c r="F1757" i="14"/>
  <c r="F316" i="14"/>
  <c r="F532" i="14"/>
  <c r="DX286" i="5"/>
  <c r="F435" i="14"/>
  <c r="F148" i="14"/>
  <c r="F171" i="15"/>
  <c r="F388" i="15"/>
  <c r="F1156" i="14"/>
  <c r="F1325" i="15"/>
  <c r="F868" i="14"/>
  <c r="DW277" i="1"/>
  <c r="DS183" i="5"/>
  <c r="BN77" i="17"/>
  <c r="BN138" i="17"/>
  <c r="FU442" i="16"/>
  <c r="E938" i="3"/>
  <c r="DX413" i="5"/>
  <c r="E291" i="3" s="1"/>
  <c r="E737" i="3"/>
  <c r="E731" i="3"/>
  <c r="E729" i="3"/>
  <c r="E744" i="3"/>
  <c r="BN429" i="17"/>
  <c r="E925" i="3"/>
  <c r="BN481" i="17"/>
  <c r="BN489" i="17"/>
  <c r="F1444" i="14"/>
  <c r="F1445" i="14"/>
  <c r="F1492" i="14"/>
  <c r="F1493" i="14"/>
  <c r="F1540" i="14"/>
  <c r="F1564" i="14"/>
  <c r="F1588" i="14"/>
  <c r="F1589" i="14"/>
  <c r="F1828" i="14"/>
  <c r="F1852" i="14"/>
  <c r="F1900" i="14"/>
  <c r="F1901" i="14"/>
  <c r="F1925" i="14"/>
  <c r="F1972" i="14"/>
  <c r="DX429" i="5"/>
  <c r="DX421" i="5"/>
  <c r="DX407" i="5"/>
  <c r="E285" i="3" s="1"/>
  <c r="DW302" i="1"/>
  <c r="DV146" i="5"/>
  <c r="DX146" i="5"/>
  <c r="DW305" i="1"/>
  <c r="DW233" i="1"/>
  <c r="DW310" i="1"/>
  <c r="M420" i="29"/>
  <c r="Q420" i="29" s="1"/>
  <c r="E565" i="3" s="1"/>
  <c r="L59" i="21"/>
  <c r="W59" i="21"/>
  <c r="F77" i="16" s="1"/>
  <c r="W69" i="21"/>
  <c r="F129" i="16"/>
  <c r="FU129" i="16"/>
  <c r="E625" i="3" s="1"/>
  <c r="DV144" i="5"/>
  <c r="DX144" i="5" s="1"/>
  <c r="E22" i="3"/>
  <c r="DX169" i="5"/>
  <c r="EX296" i="9"/>
  <c r="E742" i="3"/>
  <c r="E746" i="3"/>
  <c r="E738" i="3"/>
  <c r="E736" i="3"/>
  <c r="E732" i="3"/>
  <c r="CB257" i="5"/>
  <c r="BN257" i="5"/>
  <c r="AZ257" i="5"/>
  <c r="AL257" i="5"/>
  <c r="AP256" i="5"/>
  <c r="CB257" i="1"/>
  <c r="BR257" i="1"/>
  <c r="BN257" i="1"/>
  <c r="BD257" i="1"/>
  <c r="AZ257" i="1"/>
  <c r="AP257" i="1"/>
  <c r="AL257" i="1"/>
  <c r="F893" i="14"/>
  <c r="F844" i="14"/>
  <c r="F797" i="14"/>
  <c r="F749" i="14"/>
  <c r="F1420" i="14"/>
  <c r="F1348" i="14"/>
  <c r="F1301" i="14"/>
  <c r="F1276" i="14"/>
  <c r="F1229" i="14"/>
  <c r="F1228" i="14"/>
  <c r="F1181" i="14"/>
  <c r="F1108" i="14"/>
  <c r="F1061" i="14"/>
  <c r="F1037" i="14"/>
  <c r="F1036" i="14"/>
  <c r="F989" i="14"/>
  <c r="F988" i="14"/>
  <c r="F941" i="14"/>
  <c r="F917" i="14"/>
  <c r="FU273" i="16"/>
  <c r="E769" i="3" s="1"/>
  <c r="E773" i="3"/>
  <c r="FU290" i="16"/>
  <c r="E786" i="3" s="1"/>
  <c r="FU298" i="16"/>
  <c r="E794" i="3" s="1"/>
  <c r="E798" i="3"/>
  <c r="FU306" i="16"/>
  <c r="E802" i="3" s="1"/>
  <c r="FU314" i="16"/>
  <c r="E810" i="3" s="1"/>
  <c r="FU322" i="16"/>
  <c r="E818" i="3" s="1"/>
  <c r="FU364" i="16"/>
  <c r="E860" i="3" s="1"/>
  <c r="FU375" i="16"/>
  <c r="E871" i="3"/>
  <c r="FU381" i="16"/>
  <c r="FU390" i="16"/>
  <c r="E886" i="3" s="1"/>
  <c r="FU394" i="16"/>
  <c r="E890" i="3" s="1"/>
  <c r="FU398" i="16"/>
  <c r="E894" i="3"/>
  <c r="FU399" i="16"/>
  <c r="E895" i="3" s="1"/>
  <c r="FU403" i="16"/>
  <c r="FU404" i="16"/>
  <c r="E900" i="3"/>
  <c r="FU408" i="16"/>
  <c r="E904" i="3" s="1"/>
  <c r="FU411" i="16"/>
  <c r="FU418" i="16"/>
  <c r="E914" i="3" s="1"/>
  <c r="FU433" i="16"/>
  <c r="E929" i="3"/>
  <c r="E931" i="3"/>
  <c r="FU439" i="16"/>
  <c r="E935" i="3" s="1"/>
  <c r="E936" i="3"/>
  <c r="FU449" i="16"/>
  <c r="E945" i="3" s="1"/>
  <c r="FU468" i="16"/>
  <c r="E964" i="3"/>
  <c r="FU469" i="16"/>
  <c r="E965" i="3"/>
  <c r="FU472" i="16"/>
  <c r="E968" i="3" s="1"/>
  <c r="E972" i="3"/>
  <c r="FU477" i="16"/>
  <c r="E973" i="3" s="1"/>
  <c r="FU504" i="16"/>
  <c r="FU507" i="16"/>
  <c r="E1003" i="3"/>
  <c r="FU508" i="16"/>
  <c r="FU511" i="16"/>
  <c r="E1007" i="3"/>
  <c r="FU512" i="16"/>
  <c r="FU515" i="16"/>
  <c r="E1011" i="3"/>
  <c r="FU516" i="16"/>
  <c r="FU551" i="16"/>
  <c r="E1047" i="3" s="1"/>
  <c r="FU552" i="16"/>
  <c r="F1781" i="14"/>
  <c r="FU161" i="16"/>
  <c r="E657" i="3" s="1"/>
  <c r="FU434" i="16"/>
  <c r="FU372" i="16"/>
  <c r="E868" i="3"/>
  <c r="FU137" i="16"/>
  <c r="E633" i="3"/>
  <c r="BN100" i="17"/>
  <c r="F2004" i="14"/>
  <c r="BN84" i="17"/>
  <c r="BN385" i="17"/>
  <c r="BN396" i="17"/>
  <c r="F1876" i="14"/>
  <c r="F1853" i="14"/>
  <c r="F1829" i="14"/>
  <c r="F1565" i="14"/>
  <c r="F1612" i="14"/>
  <c r="F1804" i="14"/>
  <c r="F1517" i="14"/>
  <c r="F1468" i="14"/>
  <c r="F1805" i="14"/>
  <c r="G83" i="24"/>
  <c r="G40" i="24"/>
  <c r="G73" i="24"/>
  <c r="G67" i="24"/>
  <c r="G27" i="24"/>
  <c r="G25" i="24"/>
  <c r="G75" i="24"/>
  <c r="G26" i="24"/>
  <c r="G62" i="24"/>
  <c r="G32" i="24"/>
  <c r="G78" i="24"/>
  <c r="G85" i="24"/>
  <c r="G54" i="24"/>
  <c r="E1133" i="3" s="1"/>
  <c r="G77" i="24"/>
  <c r="G76" i="24"/>
  <c r="G80" i="24"/>
  <c r="G2" i="24"/>
  <c r="G68" i="24"/>
  <c r="L10" i="24"/>
  <c r="L63" i="24"/>
  <c r="L77" i="24"/>
  <c r="L53" i="24"/>
  <c r="E1132" i="3"/>
  <c r="L26" i="24"/>
  <c r="L6" i="24"/>
  <c r="L62" i="24"/>
  <c r="L44" i="24"/>
  <c r="L85" i="24"/>
  <c r="L80" i="24"/>
  <c r="L73" i="24"/>
  <c r="L71" i="24"/>
  <c r="L27" i="24"/>
  <c r="P41" i="24"/>
  <c r="E1120" i="3"/>
  <c r="O15" i="24"/>
  <c r="E1094" i="3" s="1"/>
  <c r="O68" i="24"/>
  <c r="F2035" i="14"/>
  <c r="F2106" i="14"/>
  <c r="K44" i="24"/>
  <c r="P63" i="24"/>
  <c r="P42" i="24"/>
  <c r="E1121" i="3" s="1"/>
  <c r="P12" i="24"/>
  <c r="E1091" i="3" s="1"/>
  <c r="P18" i="24"/>
  <c r="DX525" i="5"/>
  <c r="DX521" i="5"/>
  <c r="DX517" i="5"/>
  <c r="DX509" i="5"/>
  <c r="DX505" i="5"/>
  <c r="DX501" i="5"/>
  <c r="E379" i="3" s="1"/>
  <c r="DX497" i="5"/>
  <c r="DX489" i="5"/>
  <c r="DX481" i="5"/>
  <c r="DX477" i="5"/>
  <c r="DX473" i="5"/>
  <c r="DX469" i="5"/>
  <c r="DX465" i="5"/>
  <c r="DX461" i="5"/>
  <c r="DX457" i="5"/>
  <c r="DX453" i="5"/>
  <c r="DX449" i="5"/>
  <c r="DX417" i="5"/>
  <c r="E295" i="3"/>
  <c r="DX395" i="5"/>
  <c r="E273" i="3" s="1"/>
  <c r="DX376" i="5"/>
  <c r="DX312" i="5"/>
  <c r="DX288" i="5"/>
  <c r="F1397" i="14"/>
  <c r="F1205" i="14"/>
  <c r="F1253" i="14"/>
  <c r="F1324" i="14"/>
  <c r="F820" i="14"/>
  <c r="F1085" i="14"/>
  <c r="F1204" i="14"/>
  <c r="F916" i="14"/>
  <c r="F1325" i="14"/>
  <c r="F821" i="14"/>
  <c r="F965" i="14"/>
  <c r="EX225" i="6"/>
  <c r="EX224" i="6"/>
  <c r="DW225" i="1"/>
  <c r="DS301" i="5"/>
  <c r="DS188" i="5"/>
  <c r="DX281" i="5"/>
  <c r="DS224" i="5"/>
  <c r="T91" i="23"/>
  <c r="T85" i="23"/>
  <c r="T84" i="23"/>
  <c r="T54" i="23"/>
  <c r="E446" i="3"/>
  <c r="T38" i="23"/>
  <c r="E430" i="3" s="1"/>
  <c r="T35" i="23"/>
  <c r="T63" i="19"/>
  <c r="T60" i="19"/>
  <c r="T44" i="19"/>
  <c r="T36" i="19"/>
  <c r="E428" i="3" s="1"/>
  <c r="T33" i="19"/>
  <c r="DX184" i="5"/>
  <c r="BN486" i="17"/>
  <c r="E982" i="3"/>
  <c r="F2058" i="14"/>
  <c r="F2082" i="14"/>
  <c r="FU267" i="16"/>
  <c r="E763" i="3" s="1"/>
  <c r="FU155" i="16"/>
  <c r="E651" i="3"/>
  <c r="FU158" i="16"/>
  <c r="FU175" i="16"/>
  <c r="E671" i="3"/>
  <c r="FU257" i="16"/>
  <c r="DX217" i="5"/>
  <c r="DX215" i="5"/>
  <c r="DX190" i="5"/>
  <c r="DW306" i="1"/>
  <c r="N144" i="28"/>
  <c r="N145" i="28"/>
  <c r="N147" i="28"/>
  <c r="N148" i="28"/>
  <c r="N149" i="28"/>
  <c r="N150" i="28"/>
  <c r="N151" i="28"/>
  <c r="N152" i="28"/>
  <c r="N153" i="28"/>
  <c r="N154" i="28"/>
  <c r="N157" i="28"/>
  <c r="E35" i="3" s="1"/>
  <c r="N162" i="28"/>
  <c r="N163" i="28"/>
  <c r="N424" i="28"/>
  <c r="Q75" i="18"/>
  <c r="E534" i="3"/>
  <c r="Q73" i="18"/>
  <c r="E532" i="3"/>
  <c r="Q68" i="18"/>
  <c r="E527" i="3"/>
  <c r="Q66" i="18"/>
  <c r="E525" i="3" s="1"/>
  <c r="Q64" i="18"/>
  <c r="E523" i="3" s="1"/>
  <c r="E521" i="3"/>
  <c r="Q60" i="18"/>
  <c r="E519" i="3" s="1"/>
  <c r="Q57" i="18"/>
  <c r="E516" i="3" s="1"/>
  <c r="Q55" i="18"/>
  <c r="E514" i="3" s="1"/>
  <c r="E512" i="3"/>
  <c r="Q51" i="18"/>
  <c r="E510" i="3"/>
  <c r="Q49" i="18"/>
  <c r="E508" i="3" s="1"/>
  <c r="Q47" i="18"/>
  <c r="E506" i="3"/>
  <c r="E504" i="3"/>
  <c r="T98" i="23"/>
  <c r="T79" i="23"/>
  <c r="E471" i="3" s="1"/>
  <c r="T76" i="23"/>
  <c r="T79" i="19"/>
  <c r="EX348" i="6"/>
  <c r="EX359" i="6"/>
  <c r="EX169" i="9"/>
  <c r="EX326" i="9"/>
  <c r="EX355" i="9"/>
  <c r="EX356" i="9"/>
  <c r="EX365" i="9"/>
  <c r="DX498" i="5"/>
  <c r="DX495" i="5"/>
  <c r="DX494" i="5"/>
  <c r="DX492" i="5"/>
  <c r="DX491" i="5"/>
  <c r="DX488" i="5"/>
  <c r="DX485" i="5"/>
  <c r="DX483" i="5"/>
  <c r="E360" i="3"/>
  <c r="DX482" i="5"/>
  <c r="E359" i="3" s="1"/>
  <c r="N343" i="28"/>
  <c r="N344" i="28"/>
  <c r="N349" i="28"/>
  <c r="N351" i="28"/>
  <c r="N352" i="28"/>
  <c r="N355" i="28"/>
  <c r="DW309" i="1"/>
  <c r="BN267" i="17"/>
  <c r="N356" i="28"/>
  <c r="N357" i="28"/>
  <c r="N358" i="28"/>
  <c r="N360" i="28"/>
  <c r="N361" i="28"/>
  <c r="N362" i="28"/>
  <c r="N368" i="28"/>
  <c r="N369" i="28"/>
  <c r="N372" i="28"/>
  <c r="N373" i="28"/>
  <c r="E251" i="3" s="1"/>
  <c r="N375" i="28"/>
  <c r="N376" i="28"/>
  <c r="N379" i="28"/>
  <c r="N381" i="28"/>
  <c r="N384" i="28"/>
  <c r="N385" i="28"/>
  <c r="N386" i="28"/>
  <c r="N388" i="28"/>
  <c r="N390" i="28"/>
  <c r="N392" i="28"/>
  <c r="N400" i="28"/>
  <c r="N401" i="28"/>
  <c r="N405" i="28"/>
  <c r="N406" i="28"/>
  <c r="N409" i="28"/>
  <c r="N411" i="28"/>
  <c r="E289" i="3" s="1"/>
  <c r="N413" i="28"/>
  <c r="N415" i="28"/>
  <c r="E293" i="3"/>
  <c r="N417" i="28"/>
  <c r="N419" i="28"/>
  <c r="N420" i="28"/>
  <c r="E298" i="3"/>
  <c r="N421" i="28"/>
  <c r="N425" i="28"/>
  <c r="N426" i="28"/>
  <c r="N429" i="28"/>
  <c r="N430" i="28"/>
  <c r="DX175" i="5"/>
  <c r="DX379" i="5"/>
  <c r="DX382" i="5"/>
  <c r="DV164" i="5"/>
  <c r="F2236" i="14"/>
  <c r="W86" i="21"/>
  <c r="F376" i="16"/>
  <c r="FU376" i="16" s="1"/>
  <c r="E872" i="3" s="1"/>
  <c r="L89" i="21"/>
  <c r="W89" i="21"/>
  <c r="F385" i="16"/>
  <c r="E450" i="3"/>
  <c r="DX365" i="5"/>
  <c r="DX364" i="5"/>
  <c r="DX350" i="5"/>
  <c r="DX345" i="5"/>
  <c r="DX342" i="5"/>
  <c r="F556" i="15"/>
  <c r="F555" i="15"/>
  <c r="F459" i="15"/>
  <c r="F387" i="15"/>
  <c r="F292" i="15"/>
  <c r="F148" i="15"/>
  <c r="F628" i="14"/>
  <c r="F627" i="14"/>
  <c r="F555" i="14"/>
  <c r="F483" i="14"/>
  <c r="F459" i="14"/>
  <c r="F364" i="14"/>
  <c r="F340" i="14"/>
  <c r="F243" i="14"/>
  <c r="F171" i="14"/>
  <c r="F123" i="14"/>
  <c r="E848" i="3"/>
  <c r="FU297" i="16"/>
  <c r="E793" i="3" s="1"/>
  <c r="FU203" i="16"/>
  <c r="E699" i="3"/>
  <c r="FU201" i="16"/>
  <c r="E697" i="3" s="1"/>
  <c r="FU90" i="16"/>
  <c r="E586" i="3"/>
  <c r="FU80" i="16"/>
  <c r="E576" i="3"/>
  <c r="FU517" i="16"/>
  <c r="E1013" i="3" s="1"/>
  <c r="FU499" i="16"/>
  <c r="E995" i="3" s="1"/>
  <c r="FU497" i="16"/>
  <c r="E993" i="3"/>
  <c r="FU491" i="16"/>
  <c r="E987" i="3" s="1"/>
  <c r="FU489" i="16"/>
  <c r="E985" i="3" s="1"/>
  <c r="E961" i="3"/>
  <c r="FU461" i="16"/>
  <c r="FU459" i="16"/>
  <c r="E955" i="3"/>
  <c r="FU453" i="16"/>
  <c r="E949" i="3"/>
  <c r="FU422" i="16"/>
  <c r="E918" i="3" s="1"/>
  <c r="FU123" i="16"/>
  <c r="E619" i="3" s="1"/>
  <c r="FU115" i="16"/>
  <c r="E611" i="3"/>
  <c r="BN85" i="17"/>
  <c r="BN350" i="17"/>
  <c r="BN122" i="17"/>
  <c r="EX286" i="6"/>
  <c r="DX388" i="5"/>
  <c r="DX387" i="5"/>
  <c r="DX384" i="5"/>
  <c r="DX336" i="5"/>
  <c r="DX322" i="5"/>
  <c r="DX316" i="5"/>
  <c r="DX290" i="5"/>
  <c r="DX278" i="5"/>
  <c r="DX271" i="5"/>
  <c r="DX200" i="5"/>
  <c r="DX198" i="5"/>
  <c r="DX196" i="5"/>
  <c r="F2083" i="14"/>
  <c r="F2130" i="14"/>
  <c r="F2179" i="14"/>
  <c r="F2203" i="14"/>
  <c r="FU471" i="16"/>
  <c r="FU492" i="16"/>
  <c r="FU494" i="16"/>
  <c r="FU496" i="16"/>
  <c r="E992" i="3"/>
  <c r="FU500" i="16"/>
  <c r="FU502" i="16"/>
  <c r="FU506" i="16"/>
  <c r="FU510" i="16"/>
  <c r="E1006" i="3" s="1"/>
  <c r="FU514" i="16"/>
  <c r="FU555" i="16"/>
  <c r="E1051" i="3"/>
  <c r="FU557" i="16"/>
  <c r="E1053" i="3" s="1"/>
  <c r="EX301" i="6"/>
  <c r="EX335" i="6"/>
  <c r="EX154" i="9"/>
  <c r="EX219" i="9"/>
  <c r="EX236" i="9"/>
  <c r="EX239" i="9"/>
  <c r="EX321" i="9"/>
  <c r="EX350" i="9"/>
  <c r="EX359" i="9"/>
  <c r="DX512" i="5"/>
  <c r="E713" i="3"/>
  <c r="BN430" i="17"/>
  <c r="EX364" i="9"/>
  <c r="DX518" i="5"/>
  <c r="DX516" i="5"/>
  <c r="DX514" i="5"/>
  <c r="DX470" i="5"/>
  <c r="N141" i="28"/>
  <c r="N142" i="28"/>
  <c r="N156" i="28"/>
  <c r="N159" i="28"/>
  <c r="N161" i="28"/>
  <c r="N170" i="28"/>
  <c r="DX311" i="5"/>
  <c r="DX310" i="5"/>
  <c r="N168" i="28"/>
  <c r="DX166" i="5"/>
  <c r="E44" i="3" s="1"/>
  <c r="DX162" i="5"/>
  <c r="DX161" i="5"/>
  <c r="DX160" i="5"/>
  <c r="E38" i="3"/>
  <c r="DX159" i="5"/>
  <c r="DX158" i="5"/>
  <c r="E36" i="3" s="1"/>
  <c r="DX156" i="5"/>
  <c r="E34" i="3" s="1"/>
  <c r="DX155" i="5"/>
  <c r="E33" i="3" s="1"/>
  <c r="DX154" i="5"/>
  <c r="DX151" i="5"/>
  <c r="DX150" i="5"/>
  <c r="DX149" i="5"/>
  <c r="DX147" i="5"/>
  <c r="EX258" i="9"/>
  <c r="DX143" i="5"/>
  <c r="DX142" i="5"/>
  <c r="E20" i="3" s="1"/>
  <c r="DV233" i="5"/>
  <c r="F2005" i="14"/>
  <c r="E724" i="3"/>
  <c r="E748" i="3"/>
  <c r="E733" i="3"/>
  <c r="E727" i="3"/>
  <c r="W88" i="21"/>
  <c r="F383" i="16" s="1"/>
  <c r="FU383" i="16" s="1"/>
  <c r="W62" i="21"/>
  <c r="F146" i="16"/>
  <c r="W73" i="21"/>
  <c r="F287" i="16"/>
  <c r="W87" i="21"/>
  <c r="F377" i="16" s="1"/>
  <c r="FU377" i="16" s="1"/>
  <c r="E873" i="3" s="1"/>
  <c r="L88" i="21"/>
  <c r="L90" i="21"/>
  <c r="BN268" i="17"/>
  <c r="E749" i="3"/>
  <c r="E747" i="3"/>
  <c r="E745" i="3"/>
  <c r="E743" i="3"/>
  <c r="E739" i="3"/>
  <c r="E734" i="3"/>
  <c r="E730" i="3"/>
  <c r="E728" i="3"/>
  <c r="E726" i="3"/>
  <c r="BN359" i="17"/>
  <c r="E855" i="3"/>
  <c r="DO177" i="9"/>
  <c r="EX177" i="9" s="1"/>
  <c r="FU73" i="16"/>
  <c r="E569" i="3" s="1"/>
  <c r="EX282" i="9"/>
  <c r="EX281" i="9"/>
  <c r="E771" i="3"/>
  <c r="FU417" i="16"/>
  <c r="R74" i="21"/>
  <c r="W74" i="21" s="1"/>
  <c r="F281" i="16" s="1"/>
  <c r="FU281" i="16" s="1"/>
  <c r="E777" i="3" s="1"/>
  <c r="L61" i="21"/>
  <c r="W61" i="21"/>
  <c r="F84" i="16" s="1"/>
  <c r="F274" i="16"/>
  <c r="FU274" i="16" s="1"/>
  <c r="E770" i="3" s="1"/>
  <c r="W75" i="21"/>
  <c r="F282" i="16" s="1"/>
  <c r="FU282" i="16" s="1"/>
  <c r="E778" i="3"/>
  <c r="W65" i="21"/>
  <c r="F139" i="16"/>
  <c r="FU139" i="16" s="1"/>
  <c r="E635" i="3" s="1"/>
  <c r="P16" i="21"/>
  <c r="K71" i="24"/>
  <c r="H10" i="24"/>
  <c r="O2" i="24"/>
  <c r="O3" i="24"/>
  <c r="E1082" i="3"/>
  <c r="O64" i="24"/>
  <c r="E1143" i="3" s="1"/>
  <c r="H74" i="24"/>
  <c r="H71" i="24"/>
  <c r="H83" i="24"/>
  <c r="E1162" i="3"/>
  <c r="F80" i="24"/>
  <c r="H6" i="24"/>
  <c r="H63" i="24"/>
  <c r="H27" i="24"/>
  <c r="H85" i="24"/>
  <c r="H40" i="24"/>
  <c r="E1119" i="3" s="1"/>
  <c r="O16" i="24"/>
  <c r="E1095" i="3"/>
  <c r="M75" i="24"/>
  <c r="M24" i="24"/>
  <c r="K72" i="24"/>
  <c r="K80" i="24"/>
  <c r="K77" i="24"/>
  <c r="K10" i="24"/>
  <c r="H77" i="24"/>
  <c r="H75" i="24"/>
  <c r="F68" i="24"/>
  <c r="M58" i="24"/>
  <c r="E1137" i="3" s="1"/>
  <c r="F27" i="24"/>
  <c r="E1097" i="3"/>
  <c r="E1144" i="3"/>
  <c r="E1054" i="3"/>
  <c r="E53" i="3"/>
  <c r="E257" i="3"/>
  <c r="E260" i="3"/>
  <c r="E305" i="3"/>
  <c r="E304" i="3"/>
  <c r="E287" i="3"/>
  <c r="E191" i="3"/>
  <c r="E162" i="3"/>
  <c r="E149" i="3"/>
  <c r="E128" i="3"/>
  <c r="N143" i="28"/>
  <c r="DV178" i="5"/>
  <c r="DV221" i="5"/>
  <c r="DV145" i="5"/>
  <c r="DV148" i="5"/>
  <c r="DX148" i="5" s="1"/>
  <c r="DX478" i="5"/>
  <c r="DX187" i="5"/>
  <c r="DX185" i="5"/>
  <c r="DX183" i="5"/>
  <c r="DX528" i="5"/>
  <c r="DX502" i="5"/>
  <c r="DX377" i="5"/>
  <c r="DX298" i="5"/>
  <c r="E176" i="3"/>
  <c r="DX296" i="5"/>
  <c r="DX224" i="5"/>
  <c r="DX334" i="5"/>
  <c r="DX332" i="5"/>
  <c r="E210" i="3" s="1"/>
  <c r="DX330" i="5"/>
  <c r="DX328" i="5"/>
  <c r="DX326" i="5"/>
  <c r="E204" i="3" s="1"/>
  <c r="DX323" i="5"/>
  <c r="DX309" i="5"/>
  <c r="DX307" i="5"/>
  <c r="DX306" i="5"/>
  <c r="DX267" i="5"/>
  <c r="E145" i="3"/>
  <c r="DX314" i="5"/>
  <c r="E192" i="3"/>
  <c r="DX371" i="5"/>
  <c r="DX370" i="5"/>
  <c r="E248" i="3" s="1"/>
  <c r="DV220" i="5"/>
  <c r="DX399" i="5"/>
  <c r="F651" i="15"/>
  <c r="F627" i="15"/>
  <c r="F531" i="15"/>
  <c r="F483" i="15"/>
  <c r="F435" i="15"/>
  <c r="F411" i="15"/>
  <c r="F363" i="15"/>
  <c r="F291" i="15"/>
  <c r="F268" i="15"/>
  <c r="F195" i="15"/>
  <c r="F172" i="15"/>
  <c r="F124" i="15"/>
  <c r="F147" i="15"/>
  <c r="F76" i="15"/>
  <c r="F28" i="15"/>
  <c r="F52" i="15"/>
  <c r="F75" i="15"/>
  <c r="F244" i="15"/>
  <c r="EX343" i="6"/>
  <c r="EX345" i="6"/>
  <c r="EX351" i="6"/>
  <c r="EX356" i="6"/>
  <c r="F99" i="15"/>
  <c r="F460" i="15"/>
  <c r="F51" i="15"/>
  <c r="EX347" i="6"/>
  <c r="F652" i="14"/>
  <c r="F556" i="14"/>
  <c r="F411" i="14"/>
  <c r="F291" i="14"/>
  <c r="F268" i="14"/>
  <c r="F195" i="14"/>
  <c r="F172" i="14"/>
  <c r="F76" i="14"/>
  <c r="F75" i="14"/>
  <c r="F436" i="14"/>
  <c r="F220" i="14"/>
  <c r="F388" i="14"/>
  <c r="F604" i="14"/>
  <c r="F675" i="14"/>
  <c r="F52" i="14"/>
  <c r="F99" i="14"/>
  <c r="E370" i="3"/>
  <c r="DU362" i="5"/>
  <c r="DX167" i="5"/>
  <c r="E45" i="3" s="1"/>
  <c r="DX233" i="5"/>
  <c r="E111" i="3" s="1"/>
  <c r="DS365" i="5"/>
  <c r="DS363" i="5"/>
  <c r="DX362" i="5"/>
  <c r="DX361" i="5"/>
  <c r="DS361" i="5"/>
  <c r="DS359" i="5"/>
  <c r="DS357" i="5"/>
  <c r="DX357" i="5"/>
  <c r="DS355" i="5"/>
  <c r="DS350" i="5"/>
  <c r="DS348" i="5"/>
  <c r="DX347" i="5"/>
  <c r="DS346" i="5"/>
  <c r="DS344" i="5"/>
  <c r="DS342" i="5"/>
  <c r="DX341" i="5"/>
  <c r="DX368" i="5"/>
  <c r="E246" i="3"/>
  <c r="DX141" i="5"/>
  <c r="DX510" i="5"/>
  <c r="DX479" i="5"/>
  <c r="E356" i="3"/>
  <c r="DX462" i="5"/>
  <c r="DX378" i="5"/>
  <c r="DX349" i="5"/>
  <c r="DX346" i="5"/>
  <c r="DX344" i="5"/>
  <c r="DX480" i="5"/>
  <c r="E357" i="3" s="1"/>
  <c r="DX474" i="5"/>
  <c r="DX472" i="5"/>
  <c r="E349" i="3" s="1"/>
  <c r="DX471" i="5"/>
  <c r="DX468" i="5"/>
  <c r="E345" i="3"/>
  <c r="DX467" i="5"/>
  <c r="DX463" i="5"/>
  <c r="DX459" i="5"/>
  <c r="DX456" i="5"/>
  <c r="DX448" i="5"/>
  <c r="DX275" i="5"/>
  <c r="DX270" i="5"/>
  <c r="DX263" i="5"/>
  <c r="E141" i="3" s="1"/>
  <c r="DX262" i="5"/>
  <c r="DX261" i="5"/>
  <c r="DX249" i="5"/>
  <c r="DX248" i="5"/>
  <c r="DX246" i="5"/>
  <c r="E124" i="3" s="1"/>
  <c r="DX244" i="5"/>
  <c r="DX240" i="5"/>
  <c r="E118" i="3" s="1"/>
  <c r="DX237" i="5"/>
  <c r="DX231" i="5"/>
  <c r="DX227" i="5"/>
  <c r="DX225" i="5"/>
  <c r="DX219" i="5"/>
  <c r="DX212" i="5"/>
  <c r="DX206" i="5"/>
  <c r="DX195" i="5"/>
  <c r="DX264" i="5"/>
  <c r="E1062" i="3"/>
  <c r="E1060" i="3"/>
  <c r="E1058" i="3"/>
  <c r="E917" i="3"/>
  <c r="E767" i="3"/>
  <c r="E712" i="3"/>
  <c r="E655" i="3"/>
  <c r="E653" i="3"/>
  <c r="E649" i="3"/>
  <c r="FU531" i="16"/>
  <c r="E1027" i="3"/>
  <c r="FU523" i="16"/>
  <c r="E1019" i="3"/>
  <c r="E719" i="3"/>
  <c r="E654" i="3"/>
  <c r="E650" i="3"/>
  <c r="E648" i="3"/>
  <c r="FU534" i="16"/>
  <c r="E1030" i="3"/>
  <c r="E663" i="3"/>
  <c r="E627" i="3"/>
  <c r="E807" i="3"/>
  <c r="E722" i="3"/>
  <c r="E710" i="3"/>
  <c r="E714" i="3"/>
  <c r="E716" i="3"/>
  <c r="E718" i="3"/>
  <c r="E759" i="3"/>
  <c r="E978" i="3"/>
  <c r="F2059" i="14"/>
  <c r="F2131" i="14"/>
  <c r="F2154" i="14"/>
  <c r="F2107" i="14"/>
  <c r="E930" i="3"/>
  <c r="E1048" i="3"/>
  <c r="E1012" i="3"/>
  <c r="E1008" i="3"/>
  <c r="E1004" i="3"/>
  <c r="E1000" i="3"/>
  <c r="E907" i="3"/>
  <c r="E899" i="3"/>
  <c r="E877" i="3"/>
  <c r="E852" i="3"/>
  <c r="E753" i="3"/>
  <c r="E857" i="3"/>
  <c r="E957" i="3"/>
  <c r="F2202" i="14"/>
  <c r="E765" i="3"/>
  <c r="F2034" i="14"/>
  <c r="E816" i="3"/>
  <c r="E911" i="3"/>
  <c r="E662" i="3"/>
  <c r="E840" i="3"/>
  <c r="E986" i="3"/>
  <c r="E913" i="3"/>
  <c r="E1052" i="3"/>
  <c r="E814" i="3"/>
  <c r="E952" i="3"/>
  <c r="E799" i="3"/>
  <c r="E943" i="3"/>
  <c r="E963" i="3"/>
  <c r="E940" i="3"/>
  <c r="E969" i="3"/>
  <c r="E863" i="3"/>
  <c r="E723" i="3"/>
  <c r="E705" i="3"/>
  <c r="E707" i="3"/>
  <c r="E721" i="3"/>
  <c r="E884" i="3"/>
  <c r="E725" i="3"/>
  <c r="E980" i="3"/>
  <c r="E702" i="3"/>
  <c r="E967" i="3"/>
  <c r="E988" i="3"/>
  <c r="E990" i="3"/>
  <c r="E996" i="3"/>
  <c r="E998" i="3"/>
  <c r="E1002" i="3"/>
  <c r="E1010" i="3"/>
  <c r="FU79" i="16"/>
  <c r="E575" i="3"/>
  <c r="FU89" i="16"/>
  <c r="E585" i="3"/>
  <c r="FU93" i="16"/>
  <c r="E589" i="3"/>
  <c r="FU149" i="16"/>
  <c r="E645" i="3"/>
  <c r="FU549" i="16"/>
  <c r="E1045" i="3" s="1"/>
  <c r="FU547" i="16"/>
  <c r="E1043" i="3"/>
  <c r="FU543" i="16"/>
  <c r="E1039" i="3"/>
  <c r="FU541" i="16"/>
  <c r="E1037" i="3"/>
  <c r="FU539" i="16"/>
  <c r="E1035" i="3" s="1"/>
  <c r="FU537" i="16"/>
  <c r="E1033" i="3"/>
  <c r="FU535" i="16"/>
  <c r="E1031" i="3"/>
  <c r="FU532" i="16"/>
  <c r="E1028" i="3"/>
  <c r="FU530" i="16"/>
  <c r="E1026" i="3" s="1"/>
  <c r="FU528" i="16"/>
  <c r="E1024" i="3"/>
  <c r="FU526" i="16"/>
  <c r="E1022" i="3"/>
  <c r="FU524" i="16"/>
  <c r="E1020" i="3"/>
  <c r="FU419" i="16"/>
  <c r="E915" i="3"/>
  <c r="FU432" i="16"/>
  <c r="E928" i="3"/>
  <c r="FU436" i="16"/>
  <c r="E932" i="3"/>
  <c r="FU438" i="16"/>
  <c r="E934" i="3" s="1"/>
  <c r="FU445" i="16"/>
  <c r="E941" i="3"/>
  <c r="FU258" i="16"/>
  <c r="E754" i="3"/>
  <c r="FU259" i="16"/>
  <c r="E755" i="3"/>
  <c r="FU261" i="16"/>
  <c r="E757" i="3" s="1"/>
  <c r="FU374" i="16"/>
  <c r="E870" i="3"/>
  <c r="FU378" i="16"/>
  <c r="E874" i="3"/>
  <c r="FU379" i="16"/>
  <c r="E875" i="3"/>
  <c r="FU380" i="16"/>
  <c r="E876" i="3" s="1"/>
  <c r="FU382" i="16"/>
  <c r="E878" i="3"/>
  <c r="E879" i="3"/>
  <c r="FU385" i="16"/>
  <c r="E881" i="3" s="1"/>
  <c r="FU387" i="16"/>
  <c r="E883" i="3" s="1"/>
  <c r="FU389" i="16"/>
  <c r="E885" i="3"/>
  <c r="FU391" i="16"/>
  <c r="E887" i="3" s="1"/>
  <c r="FU392" i="16"/>
  <c r="E888" i="3" s="1"/>
  <c r="FU393" i="16"/>
  <c r="E889" i="3" s="1"/>
  <c r="FU397" i="16"/>
  <c r="E893" i="3"/>
  <c r="FU400" i="16"/>
  <c r="E896" i="3" s="1"/>
  <c r="FU401" i="16"/>
  <c r="E897" i="3" s="1"/>
  <c r="FU402" i="16"/>
  <c r="E898" i="3" s="1"/>
  <c r="FU406" i="16"/>
  <c r="E902" i="3"/>
  <c r="FU410" i="16"/>
  <c r="E906" i="3" s="1"/>
  <c r="FU412" i="16"/>
  <c r="E908" i="3" s="1"/>
  <c r="FU124" i="16"/>
  <c r="FU120" i="16"/>
  <c r="E616" i="3" s="1"/>
  <c r="FU116" i="16"/>
  <c r="E612" i="3"/>
  <c r="FU112" i="16"/>
  <c r="E608" i="3"/>
  <c r="FU108" i="16"/>
  <c r="E604" i="3"/>
  <c r="FU104" i="16"/>
  <c r="E600" i="3" s="1"/>
  <c r="FU100" i="16"/>
  <c r="E596" i="3"/>
  <c r="FU135" i="16"/>
  <c r="E631" i="3"/>
  <c r="FU192" i="16"/>
  <c r="E688" i="3"/>
  <c r="FU186" i="16"/>
  <c r="E682" i="3" s="1"/>
  <c r="FU182" i="16"/>
  <c r="E678" i="3"/>
  <c r="FU177" i="16"/>
  <c r="E673" i="3"/>
  <c r="FU165" i="16"/>
  <c r="E661" i="3"/>
  <c r="FU266" i="16"/>
  <c r="E762" i="3" s="1"/>
  <c r="FU355" i="16"/>
  <c r="E851" i="3"/>
  <c r="FU353" i="16"/>
  <c r="E849" i="3"/>
  <c r="FU349" i="16"/>
  <c r="E845" i="3"/>
  <c r="FU347" i="16"/>
  <c r="E843" i="3" s="1"/>
  <c r="FU345" i="16"/>
  <c r="E841" i="3"/>
  <c r="FU335" i="16"/>
  <c r="E831" i="3"/>
  <c r="FU331" i="16"/>
  <c r="E827" i="3"/>
  <c r="FU323" i="16"/>
  <c r="E819" i="3" s="1"/>
  <c r="FU321" i="16"/>
  <c r="E817" i="3"/>
  <c r="FU319" i="16"/>
  <c r="E815" i="3"/>
  <c r="FU315" i="16"/>
  <c r="E811" i="3"/>
  <c r="FU313" i="16"/>
  <c r="E809" i="3" s="1"/>
  <c r="FU309" i="16"/>
  <c r="E805" i="3"/>
  <c r="FU307" i="16"/>
  <c r="E803" i="3"/>
  <c r="FU305" i="16"/>
  <c r="E801" i="3"/>
  <c r="FU301" i="16"/>
  <c r="E797" i="3" s="1"/>
  <c r="FU299" i="16"/>
  <c r="E795" i="3"/>
  <c r="FU295" i="16"/>
  <c r="E791" i="3"/>
  <c r="FU293" i="16"/>
  <c r="E789" i="3"/>
  <c r="FU291" i="16"/>
  <c r="E787" i="3" s="1"/>
  <c r="FU285" i="16"/>
  <c r="E781" i="3"/>
  <c r="FU283" i="16"/>
  <c r="E779" i="3"/>
  <c r="FU280" i="16"/>
  <c r="E776" i="3"/>
  <c r="FU276" i="16"/>
  <c r="E772" i="3" s="1"/>
  <c r="FU369" i="16"/>
  <c r="E865" i="3"/>
  <c r="FU76" i="16"/>
  <c r="E572" i="3"/>
  <c r="FU384" i="16"/>
  <c r="E880" i="3" s="1"/>
  <c r="FU548" i="16"/>
  <c r="E1044" i="3"/>
  <c r="FU546" i="16"/>
  <c r="E1042" i="3"/>
  <c r="FU544" i="16"/>
  <c r="E1040" i="3" s="1"/>
  <c r="FU542" i="16"/>
  <c r="E1038" i="3" s="1"/>
  <c r="FU540" i="16"/>
  <c r="E1036" i="3"/>
  <c r="FU538" i="16"/>
  <c r="E1034" i="3"/>
  <c r="FU536" i="16"/>
  <c r="E1032" i="3" s="1"/>
  <c r="FU529" i="16"/>
  <c r="E1025" i="3" s="1"/>
  <c r="FU527" i="16"/>
  <c r="E1023" i="3"/>
  <c r="FU522" i="16"/>
  <c r="E1018" i="3"/>
  <c r="FU521" i="16"/>
  <c r="E1017" i="3" s="1"/>
  <c r="FU520" i="16"/>
  <c r="E1016" i="3" s="1"/>
  <c r="FU519" i="16"/>
  <c r="E1015" i="3"/>
  <c r="K74" i="24"/>
  <c r="K84" i="24"/>
  <c r="E1163" i="3"/>
  <c r="H26" i="24"/>
  <c r="O26" i="24"/>
  <c r="O7" i="24"/>
  <c r="E1086" i="3" s="1"/>
  <c r="O40" i="24"/>
  <c r="O45" i="24"/>
  <c r="E1124" i="3"/>
  <c r="O80" i="24"/>
  <c r="O25" i="24"/>
  <c r="O30" i="24"/>
  <c r="O11" i="24"/>
  <c r="E1090" i="3" s="1"/>
  <c r="O37" i="24"/>
  <c r="E1116" i="3"/>
  <c r="O59" i="24"/>
  <c r="E1138" i="3"/>
  <c r="H21" i="24"/>
  <c r="E1100" i="3" s="1"/>
  <c r="F30" i="24"/>
  <c r="E1109" i="3" s="1"/>
  <c r="F66" i="24"/>
  <c r="E1145" i="3" s="1"/>
  <c r="H32" i="24"/>
  <c r="H73" i="24"/>
  <c r="F19" i="24"/>
  <c r="F13" i="24"/>
  <c r="E1092" i="3"/>
  <c r="H67" i="24"/>
  <c r="E1146" i="3" s="1"/>
  <c r="H14" i="24"/>
  <c r="F78" i="24"/>
  <c r="O77" i="24"/>
  <c r="O27" i="24"/>
  <c r="O78" i="24"/>
  <c r="M72" i="24"/>
  <c r="M63" i="24"/>
  <c r="M21" i="24"/>
  <c r="K86" i="24"/>
  <c r="E1165" i="3"/>
  <c r="K62" i="24"/>
  <c r="K63" i="24"/>
  <c r="E1142" i="3" s="1"/>
  <c r="E1087" i="3"/>
  <c r="K20" i="24"/>
  <c r="K34" i="24"/>
  <c r="F25" i="24"/>
  <c r="H19" i="24"/>
  <c r="F81" i="24"/>
  <c r="E1160" i="3"/>
  <c r="M73" i="24"/>
  <c r="M14" i="24"/>
  <c r="M80" i="24"/>
  <c r="M62" i="24"/>
  <c r="M2" i="24"/>
  <c r="FU525" i="16"/>
  <c r="E1021" i="3"/>
  <c r="DW330" i="16"/>
  <c r="DX330" i="16" s="1"/>
  <c r="BH333" i="16"/>
  <c r="BI333" i="16" s="1"/>
  <c r="BH329" i="16"/>
  <c r="BI329" i="16" s="1"/>
  <c r="BJ337" i="16" s="1"/>
  <c r="BI337" i="16" s="1"/>
  <c r="BS333" i="16"/>
  <c r="BT333" i="16" s="1"/>
  <c r="BS329" i="16"/>
  <c r="BT329" i="16" s="1"/>
  <c r="BU337" i="16" s="1"/>
  <c r="BT337" i="16" s="1"/>
  <c r="EL333" i="16"/>
  <c r="EM333" i="16"/>
  <c r="EL329" i="16"/>
  <c r="EM329" i="16" s="1"/>
  <c r="EN337" i="16"/>
  <c r="EM337" i="16" s="1"/>
  <c r="DW333" i="16"/>
  <c r="DX333" i="16"/>
  <c r="DW329" i="16"/>
  <c r="DX329" i="16" s="1"/>
  <c r="DY337" i="16" s="1"/>
  <c r="DX337" i="16" s="1"/>
  <c r="DR333" i="16"/>
  <c r="DS333" i="16"/>
  <c r="DR329" i="16"/>
  <c r="DS329" i="16"/>
  <c r="DT337" i="16" s="1"/>
  <c r="DS337" i="16" s="1"/>
  <c r="BH330" i="16"/>
  <c r="BI330" i="16"/>
  <c r="BS337" i="16"/>
  <c r="EL337" i="16"/>
  <c r="DR337" i="16"/>
  <c r="BH337" i="16"/>
  <c r="BS330" i="16"/>
  <c r="BT330" i="16"/>
  <c r="EL330" i="16"/>
  <c r="EM330" i="16"/>
  <c r="DW337" i="16"/>
  <c r="DR330" i="16"/>
  <c r="DS330" i="16"/>
  <c r="Q82" i="21"/>
  <c r="R83" i="21"/>
  <c r="S83" i="21"/>
  <c r="R82" i="21"/>
  <c r="S82" i="21"/>
  <c r="Q84" i="21"/>
  <c r="Q83" i="21"/>
  <c r="R84" i="21"/>
  <c r="S84" i="21" s="1"/>
  <c r="W84" i="21"/>
  <c r="F333" i="16" s="1"/>
  <c r="FU333" i="16" s="1"/>
  <c r="E829" i="3" s="1"/>
  <c r="F2155" i="14"/>
  <c r="FU82" i="16"/>
  <c r="E578" i="3"/>
  <c r="E854" i="3"/>
  <c r="E856" i="3"/>
  <c r="DO235" i="9"/>
  <c r="EX235" i="9"/>
  <c r="F2178" i="14"/>
  <c r="EX295" i="9"/>
  <c r="E764" i="3"/>
  <c r="DX367" i="5"/>
  <c r="E245" i="3" s="1"/>
  <c r="DT343" i="5"/>
  <c r="DX343" i="5" s="1"/>
  <c r="E221" i="3" s="1"/>
  <c r="F1396" i="15"/>
  <c r="F1324" i="15"/>
  <c r="F1301" i="15"/>
  <c r="F1300" i="15"/>
  <c r="F1276" i="15"/>
  <c r="F1229" i="15"/>
  <c r="F1205" i="15"/>
  <c r="F1204" i="15"/>
  <c r="F1181" i="15"/>
  <c r="F1109" i="15"/>
  <c r="F1132" i="15"/>
  <c r="F1085" i="15"/>
  <c r="F1108" i="15"/>
  <c r="F1084" i="15"/>
  <c r="F1061" i="15"/>
  <c r="F1036" i="15"/>
  <c r="F1012" i="15"/>
  <c r="F892" i="15"/>
  <c r="F821" i="15"/>
  <c r="F844" i="15"/>
  <c r="F797" i="15"/>
  <c r="F796" i="15"/>
  <c r="F772" i="15"/>
  <c r="F628" i="15"/>
  <c r="F604" i="15"/>
  <c r="F580" i="15"/>
  <c r="F579" i="15"/>
  <c r="F532" i="15"/>
  <c r="F508" i="15"/>
  <c r="F412" i="15"/>
  <c r="F364" i="15"/>
  <c r="F340" i="15"/>
  <c r="F339" i="15"/>
  <c r="F316" i="15"/>
  <c r="F315" i="15"/>
  <c r="DX221" i="5"/>
  <c r="E374" i="3"/>
  <c r="E408" i="3"/>
  <c r="F484" i="14"/>
  <c r="DX366" i="5"/>
  <c r="E244" i="3" s="1"/>
  <c r="DX356" i="5"/>
  <c r="F196" i="15"/>
  <c r="F1180" i="14"/>
  <c r="F1012" i="14"/>
  <c r="F292" i="14"/>
  <c r="F315" i="14"/>
  <c r="F219" i="14"/>
  <c r="F147" i="14"/>
  <c r="F9" i="24"/>
  <c r="E1088" i="3" s="1"/>
  <c r="F2" i="24"/>
  <c r="F49" i="24"/>
  <c r="E1128" i="3" s="1"/>
  <c r="F5" i="24"/>
  <c r="E1084" i="3"/>
  <c r="F43" i="24"/>
  <c r="E1122" i="3"/>
  <c r="F26" i="24"/>
  <c r="H68" i="24"/>
  <c r="E1147" i="3" s="1"/>
  <c r="H76" i="24"/>
  <c r="H44" i="24"/>
  <c r="H2" i="24"/>
  <c r="H80" i="24"/>
  <c r="H51" i="24"/>
  <c r="E1130" i="3" s="1"/>
  <c r="H70" i="24"/>
  <c r="E1149" i="3" s="1"/>
  <c r="K67" i="24"/>
  <c r="K75" i="24"/>
  <c r="K70" i="24"/>
  <c r="K2" i="24"/>
  <c r="K26" i="24"/>
  <c r="E1105" i="3" s="1"/>
  <c r="K23" i="24"/>
  <c r="E1102" i="3"/>
  <c r="K27" i="24"/>
  <c r="K68" i="24"/>
  <c r="K40" i="24"/>
  <c r="K14" i="24"/>
  <c r="K76" i="24"/>
  <c r="K73" i="24"/>
  <c r="M26" i="24"/>
  <c r="M78" i="24"/>
  <c r="M10" i="24"/>
  <c r="M87" i="24"/>
  <c r="E1166" i="3" s="1"/>
  <c r="M74" i="24"/>
  <c r="M77" i="24"/>
  <c r="M70" i="24"/>
  <c r="M32" i="24"/>
  <c r="E1111" i="3" s="1"/>
  <c r="M67" i="24"/>
  <c r="M44" i="24"/>
  <c r="M27" i="24"/>
  <c r="M76" i="24"/>
  <c r="M71" i="24"/>
  <c r="F603" i="15"/>
  <c r="F603" i="14"/>
  <c r="DX526" i="5"/>
  <c r="E405" i="3" s="1"/>
  <c r="DX511" i="5"/>
  <c r="DX496" i="5"/>
  <c r="DX466" i="5"/>
  <c r="E343" i="3" s="1"/>
  <c r="DX454" i="5"/>
  <c r="DX444" i="5"/>
  <c r="DX380" i="5"/>
  <c r="DX283" i="5"/>
  <c r="F244" i="14"/>
  <c r="EX168" i="9"/>
  <c r="E299" i="3"/>
  <c r="E160" i="3"/>
  <c r="DO291" i="9"/>
  <c r="EX291" i="9"/>
  <c r="EX176" i="9"/>
  <c r="EX213" i="9"/>
  <c r="EX334" i="9"/>
  <c r="EX347" i="9"/>
  <c r="EX381" i="9"/>
  <c r="F580" i="14"/>
  <c r="EX294" i="9"/>
  <c r="F694" i="14"/>
  <c r="EX299" i="9"/>
  <c r="EN178" i="9"/>
  <c r="EX178" i="9"/>
  <c r="DO235" i="6"/>
  <c r="EX168" i="6"/>
  <c r="E46" i="3" s="1"/>
  <c r="EN178" i="6"/>
  <c r="EX178" i="6" s="1"/>
  <c r="E178" i="3"/>
  <c r="E37" i="3"/>
  <c r="CY256" i="9"/>
  <c r="CZ256" i="9"/>
  <c r="BV215" i="9"/>
  <c r="BU257" i="9"/>
  <c r="BV257" i="9" s="1"/>
  <c r="BT183" i="9"/>
  <c r="CZ185" i="9"/>
  <c r="F183" i="9"/>
  <c r="F707" i="14"/>
  <c r="E366" i="3"/>
  <c r="E385" i="3"/>
  <c r="E1098" i="3"/>
  <c r="E1108" i="3"/>
  <c r="DW344" i="1"/>
  <c r="DW270" i="1"/>
  <c r="DW219" i="1"/>
  <c r="E97" i="3" s="1"/>
  <c r="E267" i="3"/>
  <c r="DW196" i="1"/>
  <c r="DW206" i="1"/>
  <c r="E84" i="3"/>
  <c r="DW386" i="1"/>
  <c r="DW294" i="1"/>
  <c r="DW364" i="1"/>
  <c r="E242" i="3"/>
  <c r="DW363" i="1"/>
  <c r="DW358" i="1"/>
  <c r="E236" i="3"/>
  <c r="DW356" i="1"/>
  <c r="DW349" i="1"/>
  <c r="E227" i="3" s="1"/>
  <c r="DW347" i="1"/>
  <c r="E225" i="3" s="1"/>
  <c r="E81" i="3"/>
  <c r="E24" i="3"/>
  <c r="E140" i="3"/>
  <c r="DW342" i="1"/>
  <c r="E220" i="3" s="1"/>
  <c r="F1132" i="14"/>
  <c r="DX274" i="5"/>
  <c r="E152" i="3" s="1"/>
  <c r="DX374" i="5"/>
  <c r="E252" i="3"/>
  <c r="E440" i="3"/>
  <c r="E434" i="3"/>
  <c r="E431" i="3"/>
  <c r="E452" i="3"/>
  <c r="T64" i="19"/>
  <c r="E456" i="3" s="1"/>
  <c r="F174" i="9"/>
  <c r="CF215" i="9"/>
  <c r="E255" i="9"/>
  <c r="F676" i="14"/>
  <c r="CZ179" i="9"/>
  <c r="CI182" i="9"/>
  <c r="F234" i="9"/>
  <c r="F652" i="15"/>
  <c r="EX147" i="6"/>
  <c r="EX220" i="6"/>
  <c r="EX270" i="6"/>
  <c r="EX381" i="6"/>
  <c r="E259" i="3"/>
  <c r="EX176" i="6"/>
  <c r="DO291" i="6"/>
  <c r="EX291" i="6" s="1"/>
  <c r="E279" i="3"/>
  <c r="BN178" i="17"/>
  <c r="E674" i="3"/>
  <c r="BP254" i="6"/>
  <c r="BQ254" i="6" s="1"/>
  <c r="BV184" i="6"/>
  <c r="CZ184" i="6"/>
  <c r="EX319" i="6"/>
  <c r="EX321" i="6"/>
  <c r="EX320" i="6"/>
  <c r="EX213" i="6"/>
  <c r="EX276" i="6"/>
  <c r="G63" i="10"/>
  <c r="G77" i="10"/>
  <c r="G32" i="10"/>
  <c r="G78" i="10"/>
  <c r="G70" i="10"/>
  <c r="G40" i="10"/>
  <c r="G85" i="10"/>
  <c r="G73" i="10"/>
  <c r="G26" i="10"/>
  <c r="G71" i="10"/>
  <c r="G54" i="10"/>
  <c r="E375" i="3"/>
  <c r="G14" i="10"/>
  <c r="G76" i="10"/>
  <c r="G67" i="10"/>
  <c r="G27" i="10"/>
  <c r="G83" i="10"/>
  <c r="G10" i="10"/>
  <c r="G68" i="10"/>
  <c r="EX235" i="6"/>
  <c r="J77" i="10"/>
  <c r="J2" i="10"/>
  <c r="J76" i="10"/>
  <c r="J72" i="10"/>
  <c r="J43" i="10"/>
  <c r="E364" i="3"/>
  <c r="J20" i="10"/>
  <c r="J68" i="10"/>
  <c r="J63" i="10"/>
  <c r="J5" i="10"/>
  <c r="E326" i="3" s="1"/>
  <c r="J61" i="10"/>
  <c r="E382" i="3"/>
  <c r="J25" i="10"/>
  <c r="J82" i="10"/>
  <c r="E403" i="3"/>
  <c r="J75" i="10"/>
  <c r="J71" i="10"/>
  <c r="J33" i="10"/>
  <c r="J13" i="10"/>
  <c r="E334" i="3"/>
  <c r="J50" i="10"/>
  <c r="E371" i="3" s="1"/>
  <c r="J18" i="10"/>
  <c r="E339" i="3"/>
  <c r="J80" i="10"/>
  <c r="J74" i="10"/>
  <c r="J69" i="10"/>
  <c r="J27" i="10"/>
  <c r="J9" i="10"/>
  <c r="E330" i="3" s="1"/>
  <c r="J78" i="10"/>
  <c r="J30" i="10"/>
  <c r="EX283" i="6"/>
  <c r="EX316" i="6"/>
  <c r="F220" i="15"/>
  <c r="EX154" i="6"/>
  <c r="EX237" i="6"/>
  <c r="EX293" i="6"/>
  <c r="E1141" i="3"/>
  <c r="E284" i="3"/>
  <c r="F51" i="14"/>
  <c r="F507" i="14"/>
  <c r="F27" i="15"/>
  <c r="F4" i="15"/>
  <c r="F27" i="14"/>
  <c r="F4" i="14"/>
  <c r="F725" i="14"/>
  <c r="E1104" i="3"/>
  <c r="E620" i="3"/>
  <c r="F748" i="14"/>
  <c r="E78" i="3"/>
  <c r="E1113" i="3"/>
  <c r="DT351" i="5"/>
  <c r="DX351" i="5"/>
  <c r="DT213" i="5"/>
  <c r="T69" i="23"/>
  <c r="T59" i="23"/>
  <c r="EX194" i="6"/>
  <c r="EX195" i="6"/>
  <c r="EX198" i="6"/>
  <c r="E76" i="3"/>
  <c r="DS181" i="5"/>
  <c r="DX181" i="5"/>
  <c r="E59" i="3" s="1"/>
  <c r="E280" i="3"/>
  <c r="E167" i="3"/>
  <c r="E105" i="3"/>
  <c r="F231" i="9"/>
  <c r="EX231" i="9"/>
  <c r="E109" i="3" s="1"/>
  <c r="F226" i="9"/>
  <c r="BP257" i="9"/>
  <c r="BQ257" i="9"/>
  <c r="BQ179" i="9"/>
  <c r="BV183" i="9"/>
  <c r="CT256" i="9"/>
  <c r="CU256" i="9"/>
  <c r="ER28" i="9"/>
  <c r="BV179" i="9"/>
  <c r="E455" i="3"/>
  <c r="E1123" i="3"/>
  <c r="DX173" i="5"/>
  <c r="E51" i="3"/>
  <c r="DS173" i="5"/>
  <c r="DU353" i="5"/>
  <c r="DX353" i="5"/>
  <c r="E231" i="3"/>
  <c r="DU213" i="5"/>
  <c r="DX213" i="5"/>
  <c r="FU77" i="16"/>
  <c r="E573" i="3"/>
  <c r="T29" i="23"/>
  <c r="T28" i="23"/>
  <c r="T27" i="23"/>
  <c r="T23" i="23"/>
  <c r="T21" i="23"/>
  <c r="T20" i="23"/>
  <c r="T99" i="19"/>
  <c r="E491" i="3"/>
  <c r="T98" i="19"/>
  <c r="E490" i="3" s="1"/>
  <c r="T92" i="19"/>
  <c r="E484" i="3"/>
  <c r="T91" i="19"/>
  <c r="E483" i="3"/>
  <c r="T90" i="19"/>
  <c r="T88" i="19"/>
  <c r="E480" i="3" s="1"/>
  <c r="T86" i="19"/>
  <c r="E478" i="3"/>
  <c r="T85" i="19"/>
  <c r="E477" i="3"/>
  <c r="T84" i="19"/>
  <c r="E476" i="3" s="1"/>
  <c r="T83" i="19"/>
  <c r="T82" i="19"/>
  <c r="T81" i="19"/>
  <c r="T80" i="19"/>
  <c r="T78" i="19"/>
  <c r="T77" i="19"/>
  <c r="T76" i="19"/>
  <c r="E468" i="3"/>
  <c r="T75" i="19"/>
  <c r="T74" i="19"/>
  <c r="T73" i="19"/>
  <c r="E465" i="3" s="1"/>
  <c r="E462" i="3"/>
  <c r="T69" i="19"/>
  <c r="E461" i="3"/>
  <c r="E460" i="3"/>
  <c r="E426" i="3"/>
  <c r="E424" i="3"/>
  <c r="T30" i="19"/>
  <c r="E422" i="3" s="1"/>
  <c r="T29" i="19"/>
  <c r="E421" i="3"/>
  <c r="T27" i="19"/>
  <c r="T23" i="19"/>
  <c r="E415" i="3" s="1"/>
  <c r="T21" i="19"/>
  <c r="E413" i="3" s="1"/>
  <c r="T20" i="19"/>
  <c r="DX324" i="5"/>
  <c r="E202" i="3"/>
  <c r="DS324" i="5"/>
  <c r="E21" i="3"/>
  <c r="DW195" i="1"/>
  <c r="E73" i="3" s="1"/>
  <c r="DS394" i="5"/>
  <c r="DX394" i="5"/>
  <c r="DS390" i="5"/>
  <c r="DX390" i="5"/>
  <c r="E268" i="3" s="1"/>
  <c r="DX339" i="5"/>
  <c r="DS339" i="5"/>
  <c r="DS266" i="5"/>
  <c r="DX266" i="5"/>
  <c r="E1106" i="3"/>
  <c r="T45" i="23"/>
  <c r="T44" i="23"/>
  <c r="E436" i="3"/>
  <c r="T43" i="23"/>
  <c r="T40" i="23"/>
  <c r="F507" i="15"/>
  <c r="F484" i="15"/>
  <c r="F693" i="15"/>
  <c r="F676" i="15"/>
  <c r="F707" i="15"/>
  <c r="F694" i="15"/>
  <c r="F748" i="15"/>
  <c r="F725" i="15"/>
  <c r="E211" i="3"/>
  <c r="BQ215" i="9"/>
  <c r="BU255" i="9"/>
  <c r="BT182" i="9"/>
  <c r="BP256" i="9"/>
  <c r="BQ256" i="9" s="1"/>
  <c r="BV223" i="9"/>
  <c r="BQ188" i="9"/>
  <c r="BQ186" i="9"/>
  <c r="CF182" i="9"/>
  <c r="CU216" i="9"/>
  <c r="CZ183" i="9"/>
  <c r="BV214" i="9"/>
  <c r="BP254" i="9"/>
  <c r="BQ254" i="9" s="1"/>
  <c r="CY254" i="9"/>
  <c r="CZ254" i="9"/>
  <c r="BQ216" i="9"/>
  <c r="BQ214" i="9"/>
  <c r="F223" i="9"/>
  <c r="E256" i="9"/>
  <c r="F256" i="9" s="1"/>
  <c r="EX256" i="9" s="1"/>
  <c r="BV216" i="9"/>
  <c r="CT255" i="9"/>
  <c r="CF218" i="9"/>
  <c r="CZ223" i="9"/>
  <c r="CF232" i="9"/>
  <c r="CZ232" i="9"/>
  <c r="CZ218" i="9"/>
  <c r="CU234" i="9"/>
  <c r="CZ182" i="9"/>
  <c r="CZ293" i="9"/>
  <c r="E254" i="9"/>
  <c r="F254" i="9" s="1"/>
  <c r="F216" i="9"/>
  <c r="BV180" i="9"/>
  <c r="CZ215" i="9"/>
  <c r="EX215" i="9" s="1"/>
  <c r="CU183" i="9"/>
  <c r="BQ180" i="9"/>
  <c r="BU256" i="9"/>
  <c r="BV256" i="9" s="1"/>
  <c r="BV182" i="9"/>
  <c r="F232" i="9"/>
  <c r="CF214" i="9"/>
  <c r="CE255" i="9"/>
  <c r="CU186" i="9"/>
  <c r="CE256" i="9"/>
  <c r="CF256" i="9"/>
  <c r="BV232" i="9"/>
  <c r="F180" i="9"/>
  <c r="CY257" i="9"/>
  <c r="CZ257" i="9" s="1"/>
  <c r="BU254" i="9"/>
  <c r="BV254" i="9" s="1"/>
  <c r="CF186" i="9"/>
  <c r="CU226" i="9"/>
  <c r="CU218" i="9"/>
  <c r="EX218" i="9" s="1"/>
  <c r="CF179" i="9"/>
  <c r="CF234" i="9"/>
  <c r="CU214" i="9"/>
  <c r="CU180" i="9"/>
  <c r="CF183" i="9"/>
  <c r="BV185" i="9"/>
  <c r="CT257" i="9"/>
  <c r="CU257" i="9"/>
  <c r="CV255" i="9" s="1"/>
  <c r="CU255" i="9" s="1"/>
  <c r="CU182" i="9"/>
  <c r="F179" i="9"/>
  <c r="BQ174" i="9"/>
  <c r="BQ232" i="9"/>
  <c r="CZ174" i="9"/>
  <c r="F186" i="9"/>
  <c r="CZ234" i="9"/>
  <c r="CI183" i="9"/>
  <c r="CZ180" i="9"/>
  <c r="BV226" i="9"/>
  <c r="BP255" i="9"/>
  <c r="CZ214" i="9"/>
  <c r="BQ234" i="9"/>
  <c r="CU215" i="9"/>
  <c r="CF188" i="9"/>
  <c r="BV174" i="9"/>
  <c r="EX174" i="9" s="1"/>
  <c r="CF226" i="9"/>
  <c r="CU188" i="9"/>
  <c r="CZ184" i="9"/>
  <c r="CF174" i="9"/>
  <c r="CU223" i="9"/>
  <c r="CF223" i="9"/>
  <c r="BV184" i="9"/>
  <c r="BQ183" i="9"/>
  <c r="F218" i="9"/>
  <c r="CE254" i="9"/>
  <c r="CF254" i="9" s="1"/>
  <c r="F188" i="9"/>
  <c r="CE257" i="9"/>
  <c r="CF257" i="9"/>
  <c r="CT254" i="9"/>
  <c r="CU254" i="9" s="1"/>
  <c r="F215" i="9"/>
  <c r="BQ226" i="9"/>
  <c r="BQ223" i="9"/>
  <c r="CZ216" i="9"/>
  <c r="CF216" i="9"/>
  <c r="BQ182" i="9"/>
  <c r="BV266" i="9" s="1"/>
  <c r="CU174" i="9"/>
  <c r="F182" i="9"/>
  <c r="E292" i="3"/>
  <c r="E116" i="3"/>
  <c r="CF180" i="9"/>
  <c r="F214" i="9"/>
  <c r="CU179" i="9"/>
  <c r="E257" i="9"/>
  <c r="F257" i="9"/>
  <c r="CU232" i="9"/>
  <c r="CY255" i="9"/>
  <c r="CZ226" i="9"/>
  <c r="EX226" i="9" s="1"/>
  <c r="BV218" i="9"/>
  <c r="E1081" i="3"/>
  <c r="E266" i="3"/>
  <c r="DW362" i="1"/>
  <c r="E240" i="3"/>
  <c r="E230" i="3"/>
  <c r="DW345" i="1"/>
  <c r="E223" i="3" s="1"/>
  <c r="DW343" i="1"/>
  <c r="DW341" i="1"/>
  <c r="DW336" i="1"/>
  <c r="DW321" i="1"/>
  <c r="DW301" i="1"/>
  <c r="DW285" i="1"/>
  <c r="DW281" i="1"/>
  <c r="DW229" i="1"/>
  <c r="DW222" i="1"/>
  <c r="DW193" i="1"/>
  <c r="DW192" i="1"/>
  <c r="DW186" i="1"/>
  <c r="DW154" i="1"/>
  <c r="DX386" i="5"/>
  <c r="DS194" i="5"/>
  <c r="DX194" i="5"/>
  <c r="E72" i="3" s="1"/>
  <c r="DX193" i="5"/>
  <c r="DS193" i="5"/>
  <c r="DS192" i="5"/>
  <c r="DX192" i="5"/>
  <c r="DX191" i="5"/>
  <c r="E69" i="3" s="1"/>
  <c r="DS191" i="5"/>
  <c r="DX174" i="5"/>
  <c r="E212" i="3"/>
  <c r="DW348" i="1"/>
  <c r="DW346" i="1"/>
  <c r="E224" i="3" s="1"/>
  <c r="DW320" i="1"/>
  <c r="E198" i="3" s="1"/>
  <c r="FU141" i="16"/>
  <c r="E637" i="3"/>
  <c r="Q78" i="18"/>
  <c r="E537" i="3"/>
  <c r="DS321" i="5"/>
  <c r="DX321" i="5"/>
  <c r="E296" i="3"/>
  <c r="E249" i="3"/>
  <c r="E209" i="3"/>
  <c r="E193" i="3"/>
  <c r="E68" i="3"/>
  <c r="K62" i="10"/>
  <c r="K25" i="10"/>
  <c r="K26" i="10"/>
  <c r="K67" i="10"/>
  <c r="K75" i="10"/>
  <c r="K20" i="10"/>
  <c r="K44" i="10"/>
  <c r="K76" i="10"/>
  <c r="K2" i="10"/>
  <c r="K63" i="10"/>
  <c r="K34" i="10"/>
  <c r="K70" i="10"/>
  <c r="K77" i="10"/>
  <c r="K23" i="10"/>
  <c r="E344" i="3"/>
  <c r="K68" i="10"/>
  <c r="K78" i="10"/>
  <c r="K84" i="10"/>
  <c r="K57" i="10"/>
  <c r="E378" i="3" s="1"/>
  <c r="K71" i="10"/>
  <c r="K27" i="10"/>
  <c r="K80" i="10"/>
  <c r="K10" i="10"/>
  <c r="K73" i="10"/>
  <c r="K40" i="10"/>
  <c r="K86" i="10"/>
  <c r="E407" i="3" s="1"/>
  <c r="K6" i="10"/>
  <c r="E327" i="3" s="1"/>
  <c r="K14" i="10"/>
  <c r="K72" i="10"/>
  <c r="K74" i="10"/>
  <c r="H83" i="10"/>
  <c r="H78" i="10"/>
  <c r="H32" i="10"/>
  <c r="E353" i="3" s="1"/>
  <c r="H27" i="10"/>
  <c r="H68" i="10"/>
  <c r="H62" i="10"/>
  <c r="H80" i="10"/>
  <c r="H72" i="10"/>
  <c r="H63" i="10"/>
  <c r="H25" i="10"/>
  <c r="H44" i="10"/>
  <c r="H70" i="10"/>
  <c r="H21" i="10"/>
  <c r="H75" i="10"/>
  <c r="H74" i="10"/>
  <c r="H6" i="10"/>
  <c r="H2" i="10"/>
  <c r="H67" i="10"/>
  <c r="H76" i="10"/>
  <c r="H10" i="10"/>
  <c r="H77" i="10"/>
  <c r="H14" i="10"/>
  <c r="H40" i="10"/>
  <c r="H73" i="10"/>
  <c r="H51" i="10"/>
  <c r="E372" i="3"/>
  <c r="H71" i="10"/>
  <c r="H85" i="10"/>
  <c r="E406" i="3" s="1"/>
  <c r="H26" i="10"/>
  <c r="DO177" i="6"/>
  <c r="EX177" i="6"/>
  <c r="E39" i="3"/>
  <c r="E425" i="3"/>
  <c r="E307" i="3"/>
  <c r="DV222" i="5"/>
  <c r="DW355" i="1"/>
  <c r="DW338" i="1"/>
  <c r="FU197" i="16"/>
  <c r="E693" i="3" s="1"/>
  <c r="FU181" i="16"/>
  <c r="E677" i="3"/>
  <c r="FU173" i="16"/>
  <c r="E669" i="3"/>
  <c r="FU172" i="16"/>
  <c r="E668" i="3" s="1"/>
  <c r="FU136" i="16"/>
  <c r="E632" i="3" s="1"/>
  <c r="FU133" i="16"/>
  <c r="E629" i="3" s="1"/>
  <c r="FU97" i="16"/>
  <c r="E593" i="3" s="1"/>
  <c r="FU92" i="16"/>
  <c r="E588" i="3" s="1"/>
  <c r="Q103" i="18"/>
  <c r="E562" i="3" s="1"/>
  <c r="Q101" i="18"/>
  <c r="E560" i="3"/>
  <c r="Q100" i="18"/>
  <c r="E559" i="3"/>
  <c r="Q99" i="18"/>
  <c r="E558" i="3"/>
  <c r="Q98" i="18"/>
  <c r="E557" i="3" s="1"/>
  <c r="Q97" i="18"/>
  <c r="E556" i="3"/>
  <c r="E977" i="3"/>
  <c r="EX375" i="9"/>
  <c r="DW360" i="1"/>
  <c r="E238" i="3" s="1"/>
  <c r="DW350" i="1"/>
  <c r="DW339" i="1"/>
  <c r="DS208" i="5"/>
  <c r="DX208" i="5"/>
  <c r="E308" i="3"/>
  <c r="E288" i="3"/>
  <c r="DW178" i="1"/>
  <c r="E277" i="3"/>
  <c r="DV269" i="5"/>
  <c r="DV163" i="5"/>
  <c r="DX163" i="5"/>
  <c r="E41" i="3"/>
  <c r="E812" i="3"/>
  <c r="DS202" i="5"/>
  <c r="E1085" i="3"/>
  <c r="T25" i="23"/>
  <c r="T24" i="23"/>
  <c r="E416" i="3" s="1"/>
  <c r="T22" i="23"/>
  <c r="E414" i="3" s="1"/>
  <c r="T103" i="19"/>
  <c r="E495" i="3" s="1"/>
  <c r="T102" i="19"/>
  <c r="E494" i="3" s="1"/>
  <c r="T101" i="19"/>
  <c r="E493" i="3"/>
  <c r="T100" i="19"/>
  <c r="T97" i="19"/>
  <c r="T61" i="19"/>
  <c r="E453" i="3"/>
  <c r="T59" i="19"/>
  <c r="EX387" i="6"/>
  <c r="E265" i="3" s="1"/>
  <c r="EX328" i="9"/>
  <c r="E303" i="3"/>
  <c r="E278" i="3"/>
  <c r="EX330" i="9"/>
  <c r="E208" i="3" s="1"/>
  <c r="FU413" i="16"/>
  <c r="E909" i="3" s="1"/>
  <c r="FU405" i="16"/>
  <c r="E901" i="3" s="1"/>
  <c r="DX303" i="5"/>
  <c r="DS303" i="5"/>
  <c r="DW365" i="1"/>
  <c r="E243" i="3"/>
  <c r="DW361" i="1"/>
  <c r="DW357" i="1"/>
  <c r="F1349" i="15"/>
  <c r="FU407" i="16"/>
  <c r="E903" i="3"/>
  <c r="Q69" i="18"/>
  <c r="E528" i="3"/>
  <c r="Q65" i="18"/>
  <c r="E524" i="3"/>
  <c r="Q61" i="18"/>
  <c r="E520" i="3" s="1"/>
  <c r="Q56" i="18"/>
  <c r="E515" i="3"/>
  <c r="Q52" i="18"/>
  <c r="E511" i="3"/>
  <c r="Q48" i="18"/>
  <c r="E507" i="3"/>
  <c r="Q44" i="18"/>
  <c r="E503" i="3" s="1"/>
  <c r="T102" i="23"/>
  <c r="T61" i="23"/>
  <c r="T28" i="19"/>
  <c r="E420" i="3" s="1"/>
  <c r="T26" i="19"/>
  <c r="DW199" i="1"/>
  <c r="FU207" i="16"/>
  <c r="E703" i="3"/>
  <c r="FU264" i="16"/>
  <c r="E760" i="3"/>
  <c r="F1949" i="14"/>
  <c r="DW202" i="1"/>
  <c r="EX199" i="6"/>
  <c r="EX342" i="6"/>
  <c r="E122" i="3"/>
  <c r="E164" i="3"/>
  <c r="DW272" i="1"/>
  <c r="E150" i="3" s="1"/>
  <c r="DW187" i="1"/>
  <c r="E65" i="3"/>
  <c r="DW151" i="1"/>
  <c r="E29" i="3" s="1"/>
  <c r="F1252" i="15"/>
  <c r="Q74" i="18"/>
  <c r="E533" i="3" s="1"/>
  <c r="T81" i="23"/>
  <c r="E473" i="3" s="1"/>
  <c r="T80" i="23"/>
  <c r="T77" i="23"/>
  <c r="T46" i="19"/>
  <c r="T45" i="19"/>
  <c r="E437" i="3"/>
  <c r="T40" i="19"/>
  <c r="T37" i="19"/>
  <c r="E429" i="3" s="1"/>
  <c r="T35" i="19"/>
  <c r="E427" i="3" s="1"/>
  <c r="EX148" i="6"/>
  <c r="EX322" i="9"/>
  <c r="E200" i="3" s="1"/>
  <c r="FU346" i="16"/>
  <c r="E842" i="3" s="1"/>
  <c r="N342" i="28"/>
  <c r="N363" i="28"/>
  <c r="N395" i="28"/>
  <c r="N431" i="28"/>
  <c r="E309" i="3"/>
  <c r="N432" i="28"/>
  <c r="FU130" i="16"/>
  <c r="E626" i="3"/>
  <c r="DW236" i="1"/>
  <c r="DX171" i="5"/>
  <c r="E49" i="3" s="1"/>
  <c r="T51" i="19"/>
  <c r="E443" i="3"/>
  <c r="DS385" i="5"/>
  <c r="DS279" i="5"/>
  <c r="DX239" i="5"/>
  <c r="E117" i="3" s="1"/>
  <c r="DX188" i="5"/>
  <c r="DS174" i="5"/>
  <c r="BN426" i="17"/>
  <c r="E922" i="3" s="1"/>
  <c r="FU160" i="16"/>
  <c r="E656" i="3"/>
  <c r="EX363" i="6"/>
  <c r="EX237" i="9"/>
  <c r="EX316" i="9"/>
  <c r="DX416" i="5"/>
  <c r="E294" i="3" s="1"/>
  <c r="DX403" i="5"/>
  <c r="E281" i="3"/>
  <c r="DX327" i="5"/>
  <c r="DW307" i="1"/>
  <c r="DS234" i="5"/>
  <c r="FU475" i="16"/>
  <c r="E971" i="3" s="1"/>
  <c r="DS335" i="5"/>
  <c r="DS291" i="5"/>
  <c r="DS280" i="5"/>
  <c r="DS273" i="5"/>
  <c r="DS272" i="5"/>
  <c r="DX242" i="5"/>
  <c r="E120" i="3" s="1"/>
  <c r="BN196" i="17"/>
  <c r="BN204" i="17"/>
  <c r="EX365" i="6"/>
  <c r="EX270" i="9"/>
  <c r="EX301" i="9"/>
  <c r="EX357" i="9"/>
  <c r="DX432" i="5"/>
  <c r="E310" i="3" s="1"/>
  <c r="DX419" i="5"/>
  <c r="E297" i="3" s="1"/>
  <c r="DX252" i="5"/>
  <c r="E130" i="3" s="1"/>
  <c r="F267" i="14"/>
  <c r="N189" i="28"/>
  <c r="DS392" i="5"/>
  <c r="DS222" i="5"/>
  <c r="DX189" i="5"/>
  <c r="E67" i="3" s="1"/>
  <c r="DS154" i="5"/>
  <c r="EX229" i="9"/>
  <c r="EX320" i="9"/>
  <c r="EX340" i="9"/>
  <c r="E218" i="3"/>
  <c r="DW304" i="1"/>
  <c r="E182" i="3" s="1"/>
  <c r="N176" i="28"/>
  <c r="N186" i="28"/>
  <c r="N193" i="28"/>
  <c r="N201" i="28"/>
  <c r="N202" i="28"/>
  <c r="N255" i="28"/>
  <c r="N260" i="28"/>
  <c r="E138" i="3"/>
  <c r="N261" i="28"/>
  <c r="E139" i="3"/>
  <c r="N264" i="28"/>
  <c r="E142" i="3" s="1"/>
  <c r="N265" i="28"/>
  <c r="N268" i="28"/>
  <c r="E146" i="3" s="1"/>
  <c r="N269" i="28"/>
  <c r="N272" i="28"/>
  <c r="N273" i="28"/>
  <c r="N278" i="28"/>
  <c r="N317" i="28"/>
  <c r="E195" i="3"/>
  <c r="N325" i="28"/>
  <c r="N338" i="28"/>
  <c r="DW251" i="1"/>
  <c r="E129" i="3" s="1"/>
  <c r="DW249" i="1"/>
  <c r="E127" i="3" s="1"/>
  <c r="DW393" i="1"/>
  <c r="E271" i="3"/>
  <c r="DW273" i="1"/>
  <c r="DW218" i="1"/>
  <c r="DW164" i="1"/>
  <c r="E42" i="3" s="1"/>
  <c r="N70" i="10"/>
  <c r="N56" i="10"/>
  <c r="E377" i="3"/>
  <c r="N40" i="10"/>
  <c r="N83" i="10"/>
  <c r="N6" i="10"/>
  <c r="N10" i="10"/>
  <c r="N33" i="10"/>
  <c r="N77" i="10"/>
  <c r="N76" i="10"/>
  <c r="N27" i="10"/>
  <c r="N14" i="10"/>
  <c r="E335" i="3" s="1"/>
  <c r="N74" i="10"/>
  <c r="N25" i="10"/>
  <c r="N62" i="10"/>
  <c r="E383" i="3" s="1"/>
  <c r="N78" i="10"/>
  <c r="N75" i="10"/>
  <c r="N21" i="10"/>
  <c r="N68" i="10"/>
  <c r="N2" i="10"/>
  <c r="N67" i="10"/>
  <c r="DX243" i="5"/>
  <c r="E121" i="3"/>
  <c r="DS236" i="5"/>
  <c r="DS235" i="5"/>
  <c r="DS218" i="5"/>
  <c r="DS180" i="5"/>
  <c r="DS176" i="5"/>
  <c r="DX164" i="5"/>
  <c r="DS152" i="5"/>
  <c r="EX342" i="9"/>
  <c r="DX304" i="5"/>
  <c r="DS214" i="5"/>
  <c r="N169" i="28"/>
  <c r="E47" i="3"/>
  <c r="N174" i="28"/>
  <c r="N191" i="28"/>
  <c r="N199" i="28"/>
  <c r="N204" i="28"/>
  <c r="E82" i="3" s="1"/>
  <c r="N205" i="28"/>
  <c r="E83" i="3" s="1"/>
  <c r="N208" i="28"/>
  <c r="N209" i="28"/>
  <c r="E87" i="3" s="1"/>
  <c r="N212" i="28"/>
  <c r="E90" i="3"/>
  <c r="N213" i="28"/>
  <c r="N216" i="28"/>
  <c r="N217" i="28"/>
  <c r="E95" i="3"/>
  <c r="N220" i="28"/>
  <c r="N221" i="28"/>
  <c r="E99" i="3" s="1"/>
  <c r="N224" i="28"/>
  <c r="E102" i="3"/>
  <c r="N225" i="28"/>
  <c r="E103" i="3"/>
  <c r="N228" i="28"/>
  <c r="E106" i="3"/>
  <c r="N229" i="28"/>
  <c r="N236" i="28"/>
  <c r="N253" i="28"/>
  <c r="E131" i="3"/>
  <c r="N276" i="28"/>
  <c r="N303" i="28"/>
  <c r="N306" i="28"/>
  <c r="E184" i="3"/>
  <c r="N307" i="28"/>
  <c r="E185" i="3" s="1"/>
  <c r="N311" i="28"/>
  <c r="E189" i="3" s="1"/>
  <c r="N312" i="28"/>
  <c r="E190" i="3" s="1"/>
  <c r="N323" i="28"/>
  <c r="E201" i="3" s="1"/>
  <c r="N336" i="28"/>
  <c r="FU324" i="16"/>
  <c r="E820" i="3" s="1"/>
  <c r="FU326" i="16"/>
  <c r="E822" i="3"/>
  <c r="FU328" i="16"/>
  <c r="E824" i="3"/>
  <c r="FU550" i="16"/>
  <c r="E1046" i="3"/>
  <c r="L72" i="21"/>
  <c r="W72" i="21" s="1"/>
  <c r="F148" i="16" s="1"/>
  <c r="W90" i="21"/>
  <c r="F396" i="16" s="1"/>
  <c r="FU396" i="16" s="1"/>
  <c r="E892" i="3" s="1"/>
  <c r="F76" i="24"/>
  <c r="F69" i="24"/>
  <c r="E1148" i="3" s="1"/>
  <c r="F74" i="24"/>
  <c r="F71" i="24"/>
  <c r="E1150" i="3" s="1"/>
  <c r="F75" i="24"/>
  <c r="F72" i="24"/>
  <c r="I69" i="24"/>
  <c r="I71" i="24"/>
  <c r="I76" i="24"/>
  <c r="I75" i="24"/>
  <c r="I74" i="24"/>
  <c r="I72" i="24"/>
  <c r="P71" i="24"/>
  <c r="P74" i="24"/>
  <c r="P73" i="24"/>
  <c r="P76" i="24"/>
  <c r="N44" i="10"/>
  <c r="I17" i="10"/>
  <c r="E338" i="3" s="1"/>
  <c r="I8" i="10"/>
  <c r="I4" i="10"/>
  <c r="I12" i="10"/>
  <c r="E333" i="3"/>
  <c r="I73" i="10"/>
  <c r="I19" i="10"/>
  <c r="E340" i="3"/>
  <c r="I65" i="10"/>
  <c r="I71" i="10"/>
  <c r="I74" i="10"/>
  <c r="I76" i="10"/>
  <c r="I42" i="10"/>
  <c r="E363" i="3" s="1"/>
  <c r="I30" i="10"/>
  <c r="I2" i="10"/>
  <c r="I47" i="10"/>
  <c r="E368" i="3"/>
  <c r="I68" i="10"/>
  <c r="I72" i="10"/>
  <c r="I83" i="10"/>
  <c r="I34" i="10"/>
  <c r="I27" i="10"/>
  <c r="I78" i="10"/>
  <c r="I80" i="10"/>
  <c r="I40" i="10"/>
  <c r="I77" i="10"/>
  <c r="I25" i="10"/>
  <c r="I60" i="10"/>
  <c r="E381" i="3" s="1"/>
  <c r="I69" i="10"/>
  <c r="DX178" i="5"/>
  <c r="E56" i="3" s="1"/>
  <c r="W68" i="21"/>
  <c r="L57" i="21"/>
  <c r="W57" i="21" s="1"/>
  <c r="F74" i="16" s="1"/>
  <c r="FU74" i="16" s="1"/>
  <c r="EX277" i="9"/>
  <c r="E155" i="3"/>
  <c r="F414" i="16"/>
  <c r="FU414" i="16"/>
  <c r="E910" i="3" s="1"/>
  <c r="L64" i="21"/>
  <c r="L87" i="21"/>
  <c r="W63" i="21"/>
  <c r="F147" i="16" s="1"/>
  <c r="E44" i="10"/>
  <c r="E67" i="10"/>
  <c r="E6" i="10"/>
  <c r="E26" i="10"/>
  <c r="E34" i="10"/>
  <c r="E355" i="3" s="1"/>
  <c r="E71" i="10"/>
  <c r="E75" i="10"/>
  <c r="E84" i="10"/>
  <c r="E2" i="10"/>
  <c r="E20" i="10"/>
  <c r="E27" i="10"/>
  <c r="E52" i="10"/>
  <c r="E373" i="3" s="1"/>
  <c r="E72" i="10"/>
  <c r="E76" i="10"/>
  <c r="BD256" i="1"/>
  <c r="P72" i="10"/>
  <c r="P63" i="10"/>
  <c r="P76" i="10"/>
  <c r="P4" i="10"/>
  <c r="P42" i="10"/>
  <c r="P71" i="10"/>
  <c r="P8" i="10"/>
  <c r="E329" i="3" s="1"/>
  <c r="P12" i="10"/>
  <c r="P26" i="10"/>
  <c r="P78" i="10"/>
  <c r="P16" i="10"/>
  <c r="P65" i="10"/>
  <c r="P73" i="10"/>
  <c r="EX275" i="9"/>
  <c r="E153" i="3" s="1"/>
  <c r="DW291" i="1"/>
  <c r="DW269" i="1"/>
  <c r="DW239" i="1"/>
  <c r="DW220" i="1"/>
  <c r="DW180" i="1"/>
  <c r="DW152" i="1"/>
  <c r="DS144" i="5"/>
  <c r="W77" i="21"/>
  <c r="F325" i="16"/>
  <c r="FU325" i="16"/>
  <c r="E821" i="3" s="1"/>
  <c r="W79" i="21"/>
  <c r="F327" i="16"/>
  <c r="FU327" i="16" s="1"/>
  <c r="E823" i="3" s="1"/>
  <c r="FU332" i="16"/>
  <c r="E828" i="3"/>
  <c r="DW369" i="1"/>
  <c r="DW235" i="1"/>
  <c r="E113" i="3" s="1"/>
  <c r="DW177" i="1"/>
  <c r="E55" i="3" s="1"/>
  <c r="DX177" i="5"/>
  <c r="F1396" i="14"/>
  <c r="F1373" i="14"/>
  <c r="E157" i="3"/>
  <c r="CB254" i="1"/>
  <c r="DX222" i="5"/>
  <c r="E100" i="3" s="1"/>
  <c r="F1372" i="15"/>
  <c r="DS189" i="5"/>
  <c r="AZ254" i="5"/>
  <c r="DS242" i="5"/>
  <c r="DS213" i="5"/>
  <c r="DX385" i="5"/>
  <c r="E263" i="3" s="1"/>
  <c r="DS320" i="5"/>
  <c r="DX269" i="5"/>
  <c r="E147" i="3" s="1"/>
  <c r="BR256" i="1"/>
  <c r="AZ254" i="1"/>
  <c r="BA255" i="1" s="1"/>
  <c r="AZ255" i="1" s="1"/>
  <c r="AZ256" i="1"/>
  <c r="BN254" i="1"/>
  <c r="E272" i="3"/>
  <c r="AL254" i="1"/>
  <c r="DX235" i="5"/>
  <c r="DS178" i="5"/>
  <c r="DX214" i="5"/>
  <c r="DX272" i="5"/>
  <c r="DX280" i="5"/>
  <c r="DX392" i="5"/>
  <c r="E270" i="3"/>
  <c r="BR256" i="5"/>
  <c r="DS177" i="5"/>
  <c r="DX176" i="5"/>
  <c r="E54" i="3"/>
  <c r="AL254" i="5"/>
  <c r="DR15" i="5"/>
  <c r="F257" i="5" s="1"/>
  <c r="DX145" i="5"/>
  <c r="E23" i="3"/>
  <c r="DX291" i="5"/>
  <c r="E169" i="3" s="1"/>
  <c r="DX273" i="5"/>
  <c r="E151" i="3"/>
  <c r="DX152" i="5"/>
  <c r="E30" i="3"/>
  <c r="DX335" i="5"/>
  <c r="E213" i="3"/>
  <c r="DX218" i="5"/>
  <c r="DS319" i="5"/>
  <c r="CB256" i="5"/>
  <c r="DX236" i="5"/>
  <c r="AZ256" i="5"/>
  <c r="DX320" i="5"/>
  <c r="BN256" i="5"/>
  <c r="BO255" i="5" s="1"/>
  <c r="BN255" i="5" s="1"/>
  <c r="AL256" i="5"/>
  <c r="AM255" i="5" s="1"/>
  <c r="AL255" i="5" s="1"/>
  <c r="AP257" i="5"/>
  <c r="BD257" i="5"/>
  <c r="BR257" i="5"/>
  <c r="DS269" i="5"/>
  <c r="E197" i="3"/>
  <c r="DS243" i="5"/>
  <c r="F254" i="5"/>
  <c r="F256" i="5"/>
  <c r="DX180" i="5"/>
  <c r="DS369" i="5"/>
  <c r="DS276" i="5"/>
  <c r="E158" i="3"/>
  <c r="BD256" i="5"/>
  <c r="CB254" i="5"/>
  <c r="AP254" i="5"/>
  <c r="AQ255" i="5" s="1"/>
  <c r="AP255" i="5" s="1"/>
  <c r="BD254" i="5"/>
  <c r="BR254" i="5"/>
  <c r="E31" i="3"/>
  <c r="CB256" i="1"/>
  <c r="CC255" i="1"/>
  <c r="CB255" i="1" s="1"/>
  <c r="DW257" i="1"/>
  <c r="BN256" i="1"/>
  <c r="BO255" i="1" s="1"/>
  <c r="BN255" i="1" s="1"/>
  <c r="F256" i="1"/>
  <c r="AP256" i="1"/>
  <c r="AP254" i="1"/>
  <c r="AQ255" i="1" s="1"/>
  <c r="AP255" i="1" s="1"/>
  <c r="BD254" i="1"/>
  <c r="BE255" i="1" s="1"/>
  <c r="BD255" i="1" s="1"/>
  <c r="BR254" i="1"/>
  <c r="AL256" i="1"/>
  <c r="AM255" i="1" s="1"/>
  <c r="AL255" i="1" s="1"/>
  <c r="E25" i="3"/>
  <c r="DS172" i="5"/>
  <c r="DX172" i="5"/>
  <c r="E50" i="3"/>
  <c r="F724" i="15"/>
  <c r="DS171" i="5"/>
  <c r="DX258" i="5"/>
  <c r="DS258" i="5"/>
  <c r="DS170" i="5"/>
  <c r="DX170" i="5"/>
  <c r="E48" i="3"/>
  <c r="W83" i="21"/>
  <c r="F330" i="16"/>
  <c r="FU330" i="16" s="1"/>
  <c r="E826" i="3" s="1"/>
  <c r="W82" i="21"/>
  <c r="F329" i="16" s="1"/>
  <c r="FU329" i="16" s="1"/>
  <c r="E825" i="3" s="1"/>
  <c r="E32" i="3"/>
  <c r="EX186" i="9"/>
  <c r="EX179" i="9"/>
  <c r="EX232" i="9"/>
  <c r="EX182" i="9"/>
  <c r="E60" i="3"/>
  <c r="EX234" i="9"/>
  <c r="E148" i="3"/>
  <c r="E194" i="3"/>
  <c r="E388" i="3"/>
  <c r="E354" i="3"/>
  <c r="E341" i="3"/>
  <c r="E115" i="3"/>
  <c r="EX254" i="9"/>
  <c r="G255" i="9"/>
  <c r="F255" i="9" s="1"/>
  <c r="E432" i="3"/>
  <c r="EX214" i="9"/>
  <c r="E386" i="3"/>
  <c r="E325" i="3"/>
  <c r="E235" i="3"/>
  <c r="E217" i="3"/>
  <c r="E214" i="3"/>
  <c r="E412" i="3"/>
  <c r="E323" i="3"/>
  <c r="F272" i="16"/>
  <c r="FU272" i="16"/>
  <c r="E768" i="3" s="1"/>
  <c r="F127" i="16"/>
  <c r="E1154" i="3"/>
  <c r="E1155" i="3"/>
  <c r="E71" i="3"/>
  <c r="CU293" i="9"/>
  <c r="CU266" i="9"/>
  <c r="CZ266" i="9"/>
  <c r="EX266" i="9" s="1"/>
  <c r="BV337" i="9"/>
  <c r="EX337" i="9" s="1"/>
  <c r="BV293" i="9"/>
  <c r="EX293" i="9" s="1"/>
  <c r="E171" i="3" s="1"/>
  <c r="E472" i="3"/>
  <c r="BA255" i="5"/>
  <c r="AZ255" i="5" s="1"/>
  <c r="E107" i="3"/>
  <c r="E181" i="3"/>
  <c r="E451" i="3"/>
  <c r="E86" i="3"/>
  <c r="E342" i="3"/>
  <c r="E404" i="3"/>
  <c r="E64" i="3"/>
  <c r="EX184" i="9"/>
  <c r="E62" i="3" s="1"/>
  <c r="EX216" i="9"/>
  <c r="EX223" i="9"/>
  <c r="BR255" i="9"/>
  <c r="BQ255" i="9"/>
  <c r="E419" i="3"/>
  <c r="E469" i="3"/>
  <c r="BS255" i="1"/>
  <c r="BR255" i="1"/>
  <c r="BS255" i="5"/>
  <c r="BR255" i="5" s="1"/>
  <c r="BE255" i="5"/>
  <c r="BD255" i="5" s="1"/>
  <c r="CC255" i="5"/>
  <c r="CB255" i="5" s="1"/>
  <c r="G255" i="1"/>
  <c r="F255" i="1"/>
  <c r="DW255" i="1" l="1"/>
  <c r="E247" i="3"/>
  <c r="DA255" i="9"/>
  <c r="CZ255" i="9" s="1"/>
  <c r="EX255" i="9" s="1"/>
  <c r="EX257" i="9"/>
  <c r="E570" i="3"/>
  <c r="G255" i="5"/>
  <c r="F255" i="5" s="1"/>
  <c r="E80" i="3"/>
  <c r="DS257" i="5"/>
  <c r="DX257" i="5"/>
  <c r="E43" i="3"/>
  <c r="DX256" i="5"/>
  <c r="F226" i="6"/>
  <c r="F216" i="6"/>
  <c r="E161" i="3"/>
  <c r="BQ226" i="6"/>
  <c r="ER18" i="6"/>
  <c r="CT257" i="6"/>
  <c r="CU257" i="6" s="1"/>
  <c r="BV215" i="6"/>
  <c r="BQ174" i="6"/>
  <c r="EX174" i="6" s="1"/>
  <c r="E52" i="3" s="1"/>
  <c r="E257" i="6"/>
  <c r="F257" i="6" s="1"/>
  <c r="CI183" i="6"/>
  <c r="CF183" i="6"/>
  <c r="BQ180" i="6"/>
  <c r="CZ234" i="6"/>
  <c r="F188" i="6"/>
  <c r="CF182" i="6"/>
  <c r="CF188" i="6"/>
  <c r="CF180" i="6"/>
  <c r="CZ185" i="6"/>
  <c r="CU223" i="6"/>
  <c r="BV218" i="6"/>
  <c r="BV226" i="6"/>
  <c r="CZ223" i="6"/>
  <c r="BQ186" i="6"/>
  <c r="BP255" i="6"/>
  <c r="BP257" i="6"/>
  <c r="BQ257" i="6" s="1"/>
  <c r="EX257" i="6" s="1"/>
  <c r="F223" i="6"/>
  <c r="BV180" i="6"/>
  <c r="CT255" i="6"/>
  <c r="BQ182" i="6"/>
  <c r="BV266" i="6" s="1"/>
  <c r="CF174" i="6"/>
  <c r="F182" i="6"/>
  <c r="CU215" i="6"/>
  <c r="CT254" i="6"/>
  <c r="CU254" i="6" s="1"/>
  <c r="CV255" i="6" s="1"/>
  <c r="CU255" i="6" s="1"/>
  <c r="CU188" i="6"/>
  <c r="BQ216" i="6"/>
  <c r="BV182" i="6"/>
  <c r="BV337" i="6" s="1"/>
  <c r="EX337" i="6" s="1"/>
  <c r="E215" i="3" s="1"/>
  <c r="BV216" i="6"/>
  <c r="CF186" i="6"/>
  <c r="BT183" i="6"/>
  <c r="BQ183" i="6"/>
  <c r="EX183" i="6" s="1"/>
  <c r="E61" i="3" s="1"/>
  <c r="CF226" i="6"/>
  <c r="BU255" i="6"/>
  <c r="CZ183" i="6"/>
  <c r="CZ232" i="6"/>
  <c r="CU179" i="6"/>
  <c r="CU232" i="6"/>
  <c r="CF215" i="6"/>
  <c r="CU226" i="6"/>
  <c r="BQ234" i="6"/>
  <c r="EX234" i="6" s="1"/>
  <c r="E112" i="3" s="1"/>
  <c r="CY255" i="6"/>
  <c r="BU257" i="6"/>
  <c r="BV257" i="6" s="1"/>
  <c r="CZ214" i="6"/>
  <c r="CU183" i="6"/>
  <c r="CY257" i="6"/>
  <c r="CZ257" i="6" s="1"/>
  <c r="E254" i="6"/>
  <c r="F254" i="6" s="1"/>
  <c r="BV214" i="6"/>
  <c r="BP256" i="6"/>
  <c r="BQ256" i="6" s="1"/>
  <c r="EX256" i="6" s="1"/>
  <c r="BV185" i="6"/>
  <c r="EX185" i="6" s="1"/>
  <c r="E63" i="3" s="1"/>
  <c r="BQ214" i="6"/>
  <c r="CU234" i="6"/>
  <c r="F232" i="6"/>
  <c r="BQ179" i="6"/>
  <c r="CT256" i="6"/>
  <c r="CU256" i="6" s="1"/>
  <c r="CY256" i="6"/>
  <c r="CZ256" i="6" s="1"/>
  <c r="F186" i="6"/>
  <c r="F234" i="6"/>
  <c r="CU174" i="6"/>
  <c r="CU182" i="6"/>
  <c r="BV223" i="6"/>
  <c r="F174" i="6"/>
  <c r="CF214" i="6"/>
  <c r="BQ215" i="6"/>
  <c r="BV179" i="6"/>
  <c r="BV183" i="6"/>
  <c r="CZ174" i="6"/>
  <c r="BU254" i="6"/>
  <c r="BV254" i="6" s="1"/>
  <c r="F180" i="6"/>
  <c r="E256" i="6"/>
  <c r="F256" i="6" s="1"/>
  <c r="E255" i="6"/>
  <c r="CU216" i="6"/>
  <c r="F215" i="6"/>
  <c r="CZ216" i="6"/>
  <c r="CU180" i="6"/>
  <c r="BV174" i="6"/>
  <c r="BQ223" i="6"/>
  <c r="F179" i="6"/>
  <c r="CE257" i="6"/>
  <c r="CF257" i="6" s="1"/>
  <c r="BT182" i="6"/>
  <c r="E3" i="3"/>
  <c r="CF218" i="6"/>
  <c r="CF223" i="6"/>
  <c r="CE256" i="6"/>
  <c r="CF256" i="6" s="1"/>
  <c r="CZ218" i="6"/>
  <c r="F988" i="15"/>
  <c r="F965" i="15"/>
  <c r="F941" i="15"/>
  <c r="F964" i="15"/>
  <c r="F917" i="15"/>
  <c r="F940" i="15"/>
  <c r="F893" i="15"/>
  <c r="F916" i="15"/>
  <c r="F869" i="15"/>
  <c r="F845" i="15"/>
  <c r="FU84" i="16"/>
  <c r="E580" i="3" s="1"/>
  <c r="DS256" i="5"/>
  <c r="CU218" i="6"/>
  <c r="BW255" i="9"/>
  <c r="BV255" i="9" s="1"/>
  <c r="CZ180" i="6"/>
  <c r="CY254" i="6"/>
  <c r="CZ254" i="6" s="1"/>
  <c r="CU214" i="6"/>
  <c r="CF216" i="6"/>
  <c r="DW254" i="1"/>
  <c r="DX254" i="5"/>
  <c r="BQ232" i="6"/>
  <c r="CU186" i="6"/>
  <c r="F183" i="6"/>
  <c r="DS254" i="5"/>
  <c r="E19" i="3"/>
  <c r="CZ182" i="6"/>
  <c r="F214" i="6"/>
  <c r="BQ188" i="6"/>
  <c r="CF179" i="6"/>
  <c r="E467" i="3"/>
  <c r="CG255" i="9"/>
  <c r="CF255" i="9" s="1"/>
  <c r="EX180" i="9"/>
  <c r="E154" i="3"/>
  <c r="CF234" i="6"/>
  <c r="CE254" i="6"/>
  <c r="CF254" i="6" s="1"/>
  <c r="CF232" i="6"/>
  <c r="CZ215" i="6"/>
  <c r="E234" i="3"/>
  <c r="FU337" i="16"/>
  <c r="E833" i="3" s="1"/>
  <c r="DW256" i="1"/>
  <c r="CE255" i="6"/>
  <c r="BU256" i="6"/>
  <c r="BV256" i="6" s="1"/>
  <c r="CZ179" i="6"/>
  <c r="E1159" i="3"/>
  <c r="E1089" i="3"/>
  <c r="E188" i="3"/>
  <c r="F989" i="15"/>
  <c r="FU339" i="16"/>
  <c r="E835" i="3" s="1"/>
  <c r="E28" i="3"/>
  <c r="DX363" i="5"/>
  <c r="E241" i="3" s="1"/>
  <c r="DX359" i="5"/>
  <c r="E237" i="3" s="1"/>
  <c r="E1157" i="3"/>
  <c r="DW351" i="1"/>
  <c r="E229" i="3" s="1"/>
  <c r="DW384" i="1"/>
  <c r="E262" i="3" s="1"/>
  <c r="E187" i="3"/>
  <c r="FU287" i="16"/>
  <c r="E783" i="3" s="1"/>
  <c r="E254" i="3"/>
  <c r="E916" i="3"/>
  <c r="E1103" i="3"/>
  <c r="E1093" i="3"/>
  <c r="F820" i="15"/>
  <c r="F773" i="15"/>
  <c r="F749" i="15"/>
  <c r="DW318" i="1"/>
  <c r="E196" i="3" s="1"/>
  <c r="DX355" i="5"/>
  <c r="E233" i="3" s="1"/>
  <c r="DX348" i="5"/>
  <c r="E226" i="3" s="1"/>
  <c r="F868" i="15"/>
  <c r="FU443" i="16"/>
  <c r="E939" i="3" s="1"/>
  <c r="FU373" i="16"/>
  <c r="E869" i="3" s="1"/>
  <c r="FU350" i="16"/>
  <c r="E846" i="3" s="1"/>
  <c r="FU255" i="16"/>
  <c r="E751" i="3" s="1"/>
  <c r="FU193" i="16"/>
  <c r="E689" i="3" s="1"/>
  <c r="FU170" i="16"/>
  <c r="E666" i="3" s="1"/>
  <c r="FU138" i="16"/>
  <c r="E634" i="3" s="1"/>
  <c r="FU102" i="16"/>
  <c r="E598" i="3" s="1"/>
  <c r="FU81" i="16"/>
  <c r="E577" i="3" s="1"/>
  <c r="Q89" i="18"/>
  <c r="E548" i="3" s="1"/>
  <c r="T46" i="23"/>
  <c r="E438" i="3" s="1"/>
  <c r="T25" i="19"/>
  <c r="E417" i="3" s="1"/>
  <c r="DX369" i="5"/>
  <c r="BN427" i="17"/>
  <c r="E923" i="3" s="1"/>
  <c r="DW213" i="1"/>
  <c r="E91" i="3" s="1"/>
  <c r="F508" i="14"/>
  <c r="FU338" i="16"/>
  <c r="E834" i="3" s="1"/>
  <c r="FU317" i="16"/>
  <c r="E813" i="3" s="1"/>
  <c r="FU196" i="16"/>
  <c r="E692" i="3" s="1"/>
  <c r="FU183" i="16"/>
  <c r="E679" i="3" s="1"/>
  <c r="FU144" i="16"/>
  <c r="E640" i="3" s="1"/>
  <c r="FU132" i="16"/>
  <c r="E628" i="3" s="1"/>
  <c r="Q67" i="18"/>
  <c r="E526" i="3" s="1"/>
  <c r="Q54" i="18"/>
  <c r="E513" i="3" s="1"/>
  <c r="Q50" i="18"/>
  <c r="E509" i="3" s="1"/>
  <c r="E497" i="3" s="1"/>
  <c r="T87" i="19"/>
  <c r="E479" i="3" s="1"/>
  <c r="FU483" i="16"/>
  <c r="E979" i="3" s="1"/>
  <c r="DS195" i="5"/>
  <c r="F1397" i="15"/>
  <c r="FU455" i="16"/>
  <c r="E951" i="3" s="1"/>
  <c r="FU185" i="16"/>
  <c r="E681" i="3" s="1"/>
  <c r="FU107" i="16"/>
  <c r="E603" i="3" s="1"/>
  <c r="T26" i="23"/>
  <c r="E418" i="3" s="1"/>
  <c r="DS360" i="5"/>
  <c r="DX265" i="5"/>
  <c r="E143" i="3" s="1"/>
  <c r="DS265" i="5"/>
  <c r="E924" i="3"/>
  <c r="FU354" i="16"/>
  <c r="E850" i="3" s="1"/>
  <c r="FU204" i="16"/>
  <c r="E700" i="3" s="1"/>
  <c r="FU171" i="16"/>
  <c r="E667" i="3" s="1"/>
  <c r="FU118" i="16"/>
  <c r="E614" i="3" s="1"/>
  <c r="FU110" i="16"/>
  <c r="E606" i="3" s="1"/>
  <c r="FU94" i="16"/>
  <c r="E590" i="3" s="1"/>
  <c r="FU83" i="16"/>
  <c r="E579" i="3" s="1"/>
  <c r="T100" i="23"/>
  <c r="E492" i="3" s="1"/>
  <c r="T97" i="23"/>
  <c r="E489" i="3" s="1"/>
  <c r="BN200" i="17"/>
  <c r="E564" i="3" s="1"/>
  <c r="F243" i="15"/>
  <c r="DS338" i="5"/>
  <c r="FU312" i="16"/>
  <c r="E808" i="3" s="1"/>
  <c r="FU198" i="16"/>
  <c r="E694" i="3" s="1"/>
  <c r="FU174" i="16"/>
  <c r="E670" i="3" s="1"/>
  <c r="FU96" i="16"/>
  <c r="E592" i="3" s="1"/>
  <c r="T90" i="23"/>
  <c r="E482" i="3" s="1"/>
  <c r="T83" i="23"/>
  <c r="E475" i="3" s="1"/>
  <c r="T82" i="23"/>
  <c r="E474" i="3" s="1"/>
  <c r="T78" i="23"/>
  <c r="E470" i="3" s="1"/>
  <c r="T75" i="23"/>
  <c r="T74" i="23"/>
  <c r="E466" i="3" s="1"/>
  <c r="E459" i="3"/>
  <c r="T43" i="19"/>
  <c r="E435" i="3" s="1"/>
  <c r="E423" i="3"/>
  <c r="DX241" i="5"/>
  <c r="E119" i="3" s="1"/>
  <c r="DS241" i="5"/>
  <c r="E1099" i="3"/>
  <c r="DS278" i="5"/>
  <c r="DX197" i="5"/>
  <c r="E75" i="3" s="1"/>
  <c r="F675" i="15"/>
  <c r="FU289" i="16"/>
  <c r="E785" i="3" s="1"/>
  <c r="FU279" i="16"/>
  <c r="E775" i="3" s="1"/>
  <c r="FU189" i="16"/>
  <c r="E685" i="3" s="1"/>
  <c r="FU164" i="16"/>
  <c r="E660" i="3" s="1"/>
  <c r="T65" i="23"/>
  <c r="E457" i="3" s="1"/>
  <c r="T49" i="23"/>
  <c r="E441" i="3" s="1"/>
  <c r="FU479" i="16"/>
  <c r="E975" i="3" s="1"/>
  <c r="DS198" i="5"/>
  <c r="DX285" i="5"/>
  <c r="E163" i="3" s="1"/>
  <c r="DX207" i="5"/>
  <c r="E85" i="3" s="1"/>
  <c r="EX294" i="6"/>
  <c r="E172" i="3" s="1"/>
  <c r="EX375" i="6"/>
  <c r="E253" i="3" s="1"/>
  <c r="EX386" i="6"/>
  <c r="E264" i="3" s="1"/>
  <c r="E283" i="3"/>
  <c r="EX148" i="9"/>
  <c r="BN420" i="17"/>
  <c r="DX439" i="5"/>
  <c r="DX305" i="5"/>
  <c r="E183" i="3" s="1"/>
  <c r="E261" i="3"/>
  <c r="E177" i="3"/>
  <c r="E165" i="3"/>
  <c r="E126" i="3"/>
  <c r="E108" i="3"/>
  <c r="F2250" i="14"/>
  <c r="EX288" i="9"/>
  <c r="E166" i="3" s="1"/>
  <c r="I77" i="24"/>
  <c r="E1156" i="3" s="1"/>
  <c r="I73" i="24"/>
  <c r="E387" i="3"/>
  <c r="DX301" i="5"/>
  <c r="E179" i="3" s="1"/>
  <c r="DX201" i="5"/>
  <c r="E79" i="3" s="1"/>
  <c r="FU474" i="16"/>
  <c r="E970" i="3" s="1"/>
  <c r="E301" i="3"/>
  <c r="E740" i="3"/>
  <c r="E350" i="3"/>
  <c r="FU334" i="16"/>
  <c r="E830" i="3" s="1"/>
  <c r="EX344" i="9"/>
  <c r="E222" i="3" s="1"/>
  <c r="N292" i="28"/>
  <c r="E170" i="3" s="1"/>
  <c r="DV165" i="5"/>
  <c r="DX165" i="5" s="1"/>
  <c r="DX202" i="5"/>
  <c r="E88" i="3"/>
  <c r="E741" i="3"/>
  <c r="EX149" i="6"/>
  <c r="EX350" i="6"/>
  <c r="E228" i="3" s="1"/>
  <c r="EX361" i="6"/>
  <c r="E239" i="3" s="1"/>
  <c r="DX220" i="5"/>
  <c r="E98" i="3" s="1"/>
  <c r="FU430" i="16"/>
  <c r="E926" i="3" s="1"/>
  <c r="E302" i="3"/>
  <c r="EX325" i="9"/>
  <c r="E203" i="3" s="1"/>
  <c r="DX247" i="5"/>
  <c r="E125" i="3" s="1"/>
  <c r="EX236" i="6"/>
  <c r="E114" i="3" s="1"/>
  <c r="EX328" i="6"/>
  <c r="E206" i="3" s="1"/>
  <c r="EX329" i="6"/>
  <c r="E207" i="3" s="1"/>
  <c r="DX199" i="5"/>
  <c r="E77" i="3" s="1"/>
  <c r="DI183" i="9"/>
  <c r="E250" i="3"/>
  <c r="E369" i="3"/>
  <c r="DX338" i="5"/>
  <c r="E216" i="3" s="1"/>
  <c r="EX378" i="6"/>
  <c r="EX149" i="9"/>
  <c r="EX378" i="9"/>
  <c r="E256" i="3" s="1"/>
  <c r="E175" i="3"/>
  <c r="N245" i="28"/>
  <c r="E123" i="3" s="1"/>
  <c r="E735" i="3"/>
  <c r="O68" i="10"/>
  <c r="E389" i="3" s="1"/>
  <c r="O16" i="10"/>
  <c r="E337" i="3" s="1"/>
  <c r="O75" i="10"/>
  <c r="E396" i="3" s="1"/>
  <c r="O30" i="10"/>
  <c r="E351" i="3" s="1"/>
  <c r="O76" i="10"/>
  <c r="O72" i="10"/>
  <c r="E393" i="3" s="1"/>
  <c r="O26" i="10"/>
  <c r="O79" i="10"/>
  <c r="E400" i="3" s="1"/>
  <c r="O40" i="10"/>
  <c r="O77" i="10"/>
  <c r="E398" i="3" s="1"/>
  <c r="O63" i="10"/>
  <c r="O80" i="10"/>
  <c r="P41" i="10"/>
  <c r="E362" i="3" s="1"/>
  <c r="O78" i="10"/>
  <c r="O71" i="10"/>
  <c r="O15" i="10"/>
  <c r="E336" i="3" s="1"/>
  <c r="O3" i="10"/>
  <c r="E324" i="3" s="1"/>
  <c r="O69" i="10"/>
  <c r="E390" i="3" s="1"/>
  <c r="O37" i="10"/>
  <c r="E358" i="3" s="1"/>
  <c r="O7" i="10"/>
  <c r="E328" i="3" s="1"/>
  <c r="O73" i="10"/>
  <c r="O25" i="10"/>
  <c r="E346" i="3" s="1"/>
  <c r="O59" i="10"/>
  <c r="E380" i="3" s="1"/>
  <c r="O11" i="10"/>
  <c r="E332" i="3" s="1"/>
  <c r="O74" i="10"/>
  <c r="E395" i="3" s="1"/>
  <c r="DS325" i="5"/>
  <c r="EX192" i="6"/>
  <c r="E70" i="3" s="1"/>
  <c r="EX196" i="6"/>
  <c r="E74" i="3" s="1"/>
  <c r="EX341" i="6"/>
  <c r="E219" i="3" s="1"/>
  <c r="EX380" i="6"/>
  <c r="E258" i="3" s="1"/>
  <c r="EX197" i="9"/>
  <c r="EX327" i="9"/>
  <c r="E205" i="3" s="1"/>
  <c r="EX361" i="9"/>
  <c r="EX377" i="9"/>
  <c r="E255" i="3" s="1"/>
  <c r="DX302" i="5"/>
  <c r="E180" i="3" s="1"/>
  <c r="N179" i="28"/>
  <c r="N296" i="28"/>
  <c r="E174" i="3" s="1"/>
  <c r="N321" i="28"/>
  <c r="E199" i="3" s="1"/>
  <c r="EX258" i="6"/>
  <c r="E136" i="3" s="1"/>
  <c r="E40" i="3"/>
  <c r="E173" i="3"/>
  <c r="P77" i="10"/>
  <c r="F416" i="16"/>
  <c r="FU416" i="16" s="1"/>
  <c r="E912" i="3" s="1"/>
  <c r="M73" i="10"/>
  <c r="M10" i="10"/>
  <c r="E331" i="3" s="1"/>
  <c r="N26" i="10"/>
  <c r="N71" i="10"/>
  <c r="E392" i="3" s="1"/>
  <c r="I81" i="10"/>
  <c r="E402" i="3" s="1"/>
  <c r="J74" i="24"/>
  <c r="E1153" i="3" s="1"/>
  <c r="J72" i="24"/>
  <c r="E1151" i="3" s="1"/>
  <c r="J73" i="24"/>
  <c r="M78" i="10"/>
  <c r="E399" i="3" s="1"/>
  <c r="M63" i="10"/>
  <c r="E384" i="3" s="1"/>
  <c r="M80" i="10"/>
  <c r="E401" i="3" s="1"/>
  <c r="M27" i="10"/>
  <c r="E348" i="3" s="1"/>
  <c r="M44" i="10"/>
  <c r="E365" i="3" s="1"/>
  <c r="F73" i="24"/>
  <c r="M76" i="10"/>
  <c r="E397" i="3" s="1"/>
  <c r="M40" i="10"/>
  <c r="M26" i="10"/>
  <c r="P40" i="10"/>
  <c r="M70" i="10"/>
  <c r="E391" i="3" s="1"/>
  <c r="E411" i="3" l="1"/>
  <c r="EX215" i="6"/>
  <c r="E93" i="3" s="1"/>
  <c r="E347" i="3"/>
  <c r="E361" i="3"/>
  <c r="CG255" i="6"/>
  <c r="CF255" i="6" s="1"/>
  <c r="G255" i="6"/>
  <c r="F255" i="6" s="1"/>
  <c r="DS255" i="5"/>
  <c r="DX255" i="5"/>
  <c r="E133" i="3" s="1"/>
  <c r="E394" i="3"/>
  <c r="E696" i="3"/>
  <c r="DA255" i="6"/>
  <c r="CZ255" i="6" s="1"/>
  <c r="EX179" i="6"/>
  <c r="E567" i="3"/>
  <c r="E1152" i="3"/>
  <c r="E7" i="3"/>
  <c r="E6" i="3"/>
  <c r="EX188" i="6"/>
  <c r="E66" i="3" s="1"/>
  <c r="EX223" i="6"/>
  <c r="E101" i="3" s="1"/>
  <c r="E135" i="3"/>
  <c r="E566" i="3"/>
  <c r="E26" i="3"/>
  <c r="E5" i="3"/>
  <c r="E4" i="3"/>
  <c r="E134" i="3"/>
  <c r="EX232" i="6"/>
  <c r="E110" i="3" s="1"/>
  <c r="BW255" i="6"/>
  <c r="BV255" i="6" s="1"/>
  <c r="CU281" i="6"/>
  <c r="EX281" i="6" s="1"/>
  <c r="E159" i="3" s="1"/>
  <c r="CU277" i="6"/>
  <c r="CU266" i="6"/>
  <c r="EX266" i="6" s="1"/>
  <c r="E144" i="3" s="1"/>
  <c r="CZ266" i="6"/>
  <c r="CU278" i="6"/>
  <c r="EX278" i="6" s="1"/>
  <c r="E156" i="3" s="1"/>
  <c r="EX218" i="6"/>
  <c r="E96" i="3" s="1"/>
  <c r="EX180" i="6"/>
  <c r="E58" i="3" s="1"/>
  <c r="EX226" i="6"/>
  <c r="E104" i="3" s="1"/>
  <c r="BR255" i="6"/>
  <c r="BQ255" i="6" s="1"/>
  <c r="EX255" i="6" s="1"/>
  <c r="EX214" i="6"/>
  <c r="E92" i="3" s="1"/>
  <c r="EX216" i="6"/>
  <c r="E94" i="3" s="1"/>
  <c r="E2" i="3"/>
  <c r="EX254" i="6"/>
  <c r="E132" i="3" s="1"/>
  <c r="U20" i="23"/>
  <c r="E410" i="3" s="1"/>
  <c r="E27" i="3"/>
  <c r="E57" i="3" l="1"/>
  <c r="E18" i="3" s="1"/>
  <c r="E8" i="3"/>
  <c r="E9" i="3"/>
</calcChain>
</file>

<file path=xl/sharedStrings.xml><?xml version="1.0" encoding="utf-8"?>
<sst xmlns="http://schemas.openxmlformats.org/spreadsheetml/2006/main" count="21027" uniqueCount="1805">
  <si>
    <t>pç</t>
  </si>
  <si>
    <t>Armação secundaria 1x1 estribo</t>
  </si>
  <si>
    <t>Arruela quadrada</t>
  </si>
  <si>
    <t>Cabo de aluminio  nu 2 CAA - AWG</t>
  </si>
  <si>
    <t>kg</t>
  </si>
  <si>
    <t>Cabo de cobre flexivel isolado - 10mm²</t>
  </si>
  <si>
    <t>Cartucho para conector cunha (azul)</t>
  </si>
  <si>
    <t>Conector derivação cunha tipo estribo normal - 2-4 (vermelho)</t>
  </si>
  <si>
    <t>Conector derivação para linha viva - 6-250 (GLV)</t>
  </si>
  <si>
    <t>Conector derivação tipo cunha - AMP - tipo II</t>
  </si>
  <si>
    <t>Conector derivação tipo cunha - AMP - tipo IV</t>
  </si>
  <si>
    <t>Conector transversal tipo cunha para aterramento - 5/8" x (25 a 35mm²)</t>
  </si>
  <si>
    <t>Eletroduto de pvc - (1/2")</t>
  </si>
  <si>
    <t>Fita Auto Fusão</t>
  </si>
  <si>
    <t>Fita Isolante Preta 20mts</t>
  </si>
  <si>
    <t>Gancho Olhal</t>
  </si>
  <si>
    <t>Isolador pimentão</t>
  </si>
  <si>
    <t>Isolador roldana 76x79mm</t>
  </si>
  <si>
    <t xml:space="preserve">Luva para haste p aterramento </t>
  </si>
  <si>
    <t>Manilha sapatilha</t>
  </si>
  <si>
    <t>Olhal para parafuso</t>
  </si>
  <si>
    <t>Padrão bifásico rural 30 AMP - 05 kva</t>
  </si>
  <si>
    <t>Padrão bifásico rural 50 AMP - 10 kva</t>
  </si>
  <si>
    <t>Padrão bifásico rural 70 AMP - 15 kva</t>
  </si>
  <si>
    <t>Padrão trifásico rural 90 AMP - 25 kva</t>
  </si>
  <si>
    <t>Parafuso de cabeça quadrada - 200mm</t>
  </si>
  <si>
    <t>Parafuso de cabeça quadrada - 250mm</t>
  </si>
  <si>
    <t>Parafuso de cabeça quadrada - 300mm</t>
  </si>
  <si>
    <t>Pino auto-travante - 038mm para isolador pilar</t>
  </si>
  <si>
    <t>Pino auto-travante - 200mm para isolador pilar</t>
  </si>
  <si>
    <t>Poste de concreto armada - 10/150 DT</t>
  </si>
  <si>
    <t>Poste de concreto armada - 10/300 DT</t>
  </si>
  <si>
    <t xml:space="preserve">Poste de concreto armada circular- 10/600 </t>
  </si>
  <si>
    <t>Protetor de bucha de AT de transformador</t>
  </si>
  <si>
    <t>Seccionador de cerca 900kg</t>
  </si>
  <si>
    <t>Suporte para isolador tipo pilar</t>
  </si>
  <si>
    <t>Arame aço galvanizado 14BWG</t>
  </si>
  <si>
    <t>Cartucho para conector cunha (vermelho)</t>
  </si>
  <si>
    <t xml:space="preserve">Poste de concreto armada circular- 11/600 </t>
  </si>
  <si>
    <t xml:space="preserve">Placa de concreto </t>
  </si>
  <si>
    <t>Suporte TL para Chave Faca</t>
  </si>
  <si>
    <t>Poste de concreto armada - 10/600 DT</t>
  </si>
  <si>
    <t>Alça pré formada para Fio Aluministeel N8 awg</t>
  </si>
  <si>
    <t>Emenda Total Preformada Fio Aluministeel N8 awg Convencional</t>
  </si>
  <si>
    <t>Elo fusível tipo K</t>
  </si>
  <si>
    <t>Elo Fusível 0,25H</t>
  </si>
  <si>
    <t>Elo Fusível 0,50H</t>
  </si>
  <si>
    <t>Elo Fusível 0,75H</t>
  </si>
  <si>
    <t>Elo Fusível 1,25H</t>
  </si>
  <si>
    <t>Elo Fusível 1,75H</t>
  </si>
  <si>
    <t>Elo Fusível 3H</t>
  </si>
  <si>
    <t>Fio Aluministeel N8 awg</t>
  </si>
  <si>
    <t>2CAA P/ N8</t>
  </si>
  <si>
    <t>Laço pré-formado de topo para Fio  Aluministeel N8 Awg</t>
  </si>
  <si>
    <t>Laço pré-formado simples lateral para Fio  Aluministeel N8 Awg</t>
  </si>
  <si>
    <t>Alça pré formada 10mm²</t>
  </si>
  <si>
    <t>Alça pré formada 16mm²</t>
  </si>
  <si>
    <t>Alça pré formada 25mm²</t>
  </si>
  <si>
    <t>Cabo Aluminio triplex Xlpe 06 mm²</t>
  </si>
  <si>
    <t>Cabo Aluminio triplex Xlpe 10 mm²</t>
  </si>
  <si>
    <t>Cabo Aluminio triplex Xlpe 16 mm²</t>
  </si>
  <si>
    <t>Cabo Aluminio triplex Xlpe 25 mm²</t>
  </si>
  <si>
    <t>Cabo de cobre coberto com XLPE - 15kv 16mm²</t>
  </si>
  <si>
    <t>Conector terminal tipo espada (bastão) para chave faca 336,4mcm</t>
  </si>
  <si>
    <t>Cabo de aço galvanizado - 6,4mm² (cordoalha)</t>
  </si>
  <si>
    <t xml:space="preserve">Chave faca - tipo C- 400A 36,2kV </t>
  </si>
  <si>
    <t xml:space="preserve">Chave fusível - tipo C- 100A 36,2kV </t>
  </si>
  <si>
    <t>Isolador ancoragem - bastão polimérico 36kv</t>
  </si>
  <si>
    <t>Isolador pilar 170kv</t>
  </si>
  <si>
    <t>Pára-raios de distribuição - 30kV - polimérico - 10kA</t>
  </si>
  <si>
    <t>Transformador monofásico - 34.5KV - 05KVA - 254/127V</t>
  </si>
  <si>
    <t>Transformador monofásico - 34.5KV - 10KVA - 254/127V</t>
  </si>
  <si>
    <t>Transformador monofásico - 34.5KV - 15KVA - 254/127V</t>
  </si>
  <si>
    <t>Transformador monofásico - 34.5KV - 25KVA - 254/127V</t>
  </si>
  <si>
    <t>DT-10/150</t>
  </si>
  <si>
    <t>DT-10/300</t>
  </si>
  <si>
    <t>DT-10/600</t>
  </si>
  <si>
    <t>DT-10/1000</t>
  </si>
  <si>
    <t>DT-11/300</t>
  </si>
  <si>
    <t>DT-11/600</t>
  </si>
  <si>
    <t>DT-11/1000</t>
  </si>
  <si>
    <t>DT-12/300</t>
  </si>
  <si>
    <t>DT-12/600</t>
  </si>
  <si>
    <t>DT-12/1000</t>
  </si>
  <si>
    <t>10/300-C</t>
  </si>
  <si>
    <t>10/150-C</t>
  </si>
  <si>
    <t>10/600-C</t>
  </si>
  <si>
    <t>10/1000-C</t>
  </si>
  <si>
    <t>11/300-C</t>
  </si>
  <si>
    <t>11/600-C</t>
  </si>
  <si>
    <t>11/1000-C</t>
  </si>
  <si>
    <t>12/600-C</t>
  </si>
  <si>
    <t>12/1000-C</t>
  </si>
  <si>
    <t>12/300-C</t>
  </si>
  <si>
    <t>U3-U3</t>
  </si>
  <si>
    <t>2CAA</t>
  </si>
  <si>
    <t>N8</t>
  </si>
  <si>
    <t>U4</t>
  </si>
  <si>
    <t>Poste de concreto armada - 10/1000 DT</t>
  </si>
  <si>
    <t>Poste de concreto armada - 11/200 DT</t>
  </si>
  <si>
    <t>DT-11/200</t>
  </si>
  <si>
    <t>11/200-C</t>
  </si>
  <si>
    <t>Poste de concreto armada - 11/300 DT</t>
  </si>
  <si>
    <t>Poste de concreto armada - 11/600 DT</t>
  </si>
  <si>
    <t>Poste de concreto armada - 11/1000 DT</t>
  </si>
  <si>
    <t>Poste de concreto armada - 12/300 DT</t>
  </si>
  <si>
    <t>Poste de concreto armada - 12/600 DT</t>
  </si>
  <si>
    <t>Poste de concreto armada - 12/1000 DT</t>
  </si>
  <si>
    <t xml:space="preserve">Poste de concreto armada circular- 10/150 </t>
  </si>
  <si>
    <t xml:space="preserve">Poste de concreto armada circular- 10/300 </t>
  </si>
  <si>
    <t xml:space="preserve">Poste de concreto armada circular- 10/1000 </t>
  </si>
  <si>
    <t xml:space="preserve">Poste de concreto armada circular- 11/200 </t>
  </si>
  <si>
    <t xml:space="preserve">Poste de concreto armada circular- 11/300 </t>
  </si>
  <si>
    <t xml:space="preserve">Poste de concreto armada circular- 11/1000 </t>
  </si>
  <si>
    <t xml:space="preserve">Poste de concreto armada circular- 12/300 </t>
  </si>
  <si>
    <t xml:space="preserve">Poste de concreto armada circular- 12/600 </t>
  </si>
  <si>
    <t xml:space="preserve">Poste de concreto armada circular- 12/1000 </t>
  </si>
  <si>
    <t>Cinta circular de Ø 150 mm</t>
  </si>
  <si>
    <t>Cinta circular de Ø 160 mm</t>
  </si>
  <si>
    <t>Cinta circular de Ø 170 mm</t>
  </si>
  <si>
    <t>Cinta circular de Ø 180 mm</t>
  </si>
  <si>
    <t>Cinta circular de Ø 190 mm</t>
  </si>
  <si>
    <t>Cinta circular de Ø 200 mm</t>
  </si>
  <si>
    <t>Cinta circular de Ø 210 mm</t>
  </si>
  <si>
    <t>Cinta circular de Ø 220 mm</t>
  </si>
  <si>
    <t>Cinta circular de Ø 230 mm</t>
  </si>
  <si>
    <t>Cinta circular de Ø 240 mm</t>
  </si>
  <si>
    <t>Cinta circular de Ø 250 mm</t>
  </si>
  <si>
    <t>Suporte para isolador pilar em poste circular</t>
  </si>
  <si>
    <t>U3-U3Cfu</t>
  </si>
  <si>
    <t>U3-Cfu</t>
  </si>
  <si>
    <t>U4-CH</t>
  </si>
  <si>
    <t>Parafuso de cabeça abaulada de 50 mm p/ poste circ</t>
  </si>
  <si>
    <t>Pino auto-travante - 250mm para isolador pilar</t>
  </si>
  <si>
    <t>Concreto p/ base de Poste ≥ 600daN (Cimento, areia e brita)</t>
  </si>
  <si>
    <t xml:space="preserve">UT1 </t>
  </si>
  <si>
    <t xml:space="preserve">U1 </t>
  </si>
  <si>
    <t>CONDUTOR</t>
  </si>
  <si>
    <t>U3 PARA U4</t>
  </si>
  <si>
    <t xml:space="preserve">U3-Derivação </t>
  </si>
  <si>
    <t>Conector, cunha, liga de Alumínio, CN 13, série vermelho</t>
  </si>
  <si>
    <t>Conector derivação tipo cunha - AMP - tipo I série cinza</t>
  </si>
  <si>
    <t>U3 Derivação</t>
  </si>
  <si>
    <t>U4-CFU</t>
  </si>
  <si>
    <t>Conector, cunha, liga de Alumínio, CN 4, série azul</t>
  </si>
  <si>
    <t>Conector, cunha, liga de Alumínio, CN 3, série azul</t>
  </si>
  <si>
    <t>U4-CR</t>
  </si>
  <si>
    <t>Cruzeta de concreto 250 daN - retagular</t>
  </si>
  <si>
    <t>Pino auto-travante - 140mm para isolador pilar</t>
  </si>
  <si>
    <t xml:space="preserve">Chave fusível reguladora - tipo C 36,2kV </t>
  </si>
  <si>
    <t>Mão francesa plana de 619 mm</t>
  </si>
  <si>
    <t>Parafuso de cabeça quadrada - 125mm</t>
  </si>
  <si>
    <t>Parafuso de cabeça quadrada - 350mm</t>
  </si>
  <si>
    <t>Parafuso de cabeça abaulada de 150 mm p/ poste circ</t>
  </si>
  <si>
    <t>Conector tipo cunha para aterramento - 5/8" x (25 a 35mm²)</t>
  </si>
  <si>
    <t>NA FÓRMULA</t>
  </si>
  <si>
    <t>Transformador monofásico - 13.8KV - 05KVA - 254/127V</t>
  </si>
  <si>
    <t>Transformador monofásico - 13.8KV - 10KVA - 254/127V</t>
  </si>
  <si>
    <t>Transformador monofásico - 13.8KV - 15KVA - 254/127V</t>
  </si>
  <si>
    <t>Transformador monofásico - 13.8KV - 25KVA - 254/127V</t>
  </si>
  <si>
    <t>Suporte T para chave fusível 540mm</t>
  </si>
  <si>
    <t>Suporte T para chave fusível 800mm</t>
  </si>
  <si>
    <t>Pára-raios de distribuição - 12kV - polimérico - 10kA</t>
  </si>
  <si>
    <t xml:space="preserve">Chave fusível reguladora - tipo C 15kV </t>
  </si>
  <si>
    <t xml:space="preserve">Chave fusível - tipo C- 100A 15kV </t>
  </si>
  <si>
    <t>Haste de aterramento circular lisa 2400mm</t>
  </si>
  <si>
    <t>Haste de aterramento circular prolongavel 2400mm</t>
  </si>
  <si>
    <t>Haste de aterramento circular com rabicho 2400mm</t>
  </si>
  <si>
    <t>m</t>
  </si>
  <si>
    <t>und</t>
  </si>
  <si>
    <t xml:space="preserve">Chave faca - tipo C- 400A 15kV </t>
  </si>
  <si>
    <t>Unid.</t>
  </si>
  <si>
    <t>Item</t>
  </si>
  <si>
    <t>Chave seccionadora tipo faca unipolar 36,2kV - 400A</t>
  </si>
  <si>
    <t>Fita Isolante Preta 10mts</t>
  </si>
  <si>
    <t>Chave seccionadora tipo faca unipolar 15kV - 400A</t>
  </si>
  <si>
    <t>Isolador pilar 110kv</t>
  </si>
  <si>
    <t>HASTE COM RABICHO (PÇ)</t>
  </si>
  <si>
    <t>SECCIONADORES DE CERCAS   (PÇ)</t>
  </si>
  <si>
    <t>EMENDA PRÉ-FORMADA P/ CABO 2 CAA  (PÇ)</t>
  </si>
  <si>
    <t>EMENDA PRÉ-FORMADA P/ FIO N8-AWG   (PÇ)</t>
  </si>
  <si>
    <t>MÃO DE OBRA</t>
  </si>
  <si>
    <t>PROJETO ELÉTRICO</t>
  </si>
  <si>
    <t>TRANSPORTE</t>
  </si>
  <si>
    <t>P1</t>
  </si>
  <si>
    <t>1/0CAA</t>
  </si>
  <si>
    <t>4/0CAA</t>
  </si>
  <si>
    <t>Cabo de aluminio  nu 1/0 CAA - AWG</t>
  </si>
  <si>
    <t>Conector derivação cunha tipo estribo normal - 1/0 - 2/0 (azul)</t>
  </si>
  <si>
    <t>Alça pré formada para cabo CA - CAA 2 AWG</t>
  </si>
  <si>
    <t>Alça pré formada para cabo CA - CAA 1/0 AWG</t>
  </si>
  <si>
    <t>Alça pré formada para cabo CA - CAA 4/0 AWG</t>
  </si>
  <si>
    <t>Cabo de aluminio  nu 4/0 CAA - AWG</t>
  </si>
  <si>
    <t>Conector derivação cunha tipo estribo normal - 4/0  AWG (azul)</t>
  </si>
  <si>
    <t>Emenda Total Preformada CA - CAA 1/0 AWG</t>
  </si>
  <si>
    <t>Emenda Total Preformada CA - CAA 2 AWG</t>
  </si>
  <si>
    <t>Emenda Total Preformada CA - CAA 4/0 AWG</t>
  </si>
  <si>
    <t>Laço pré-formado de topo para cabo 1/0 AWG CAA</t>
  </si>
  <si>
    <t>Laço pré-formado de topo para cabo 4/0 AWG CAA</t>
  </si>
  <si>
    <t>Laço pré-formado de topo para cabo 2 AWG CAA</t>
  </si>
  <si>
    <t>Laço pré-formado simples lateral para cabo 1/0 AWG CAA</t>
  </si>
  <si>
    <t>Laço pré-formado simples lateral para cabo 4/0 AWG CAA</t>
  </si>
  <si>
    <t>Laço pré-formado simples lateral para cabo 2 AWG CAA</t>
  </si>
  <si>
    <t>Emenda Total Preformada CAA 2 AWG</t>
  </si>
  <si>
    <t>Emenda Total Preformada CAA 1/0 AWG</t>
  </si>
  <si>
    <t>Emenda Total Preformada CAA 4/0 AWG</t>
  </si>
  <si>
    <t>POSTE</t>
  </si>
  <si>
    <t>PT1</t>
  </si>
  <si>
    <t>PTA1</t>
  </si>
  <si>
    <t>Afastador para isolador pilar</t>
  </si>
  <si>
    <t>Isolador ancoragem - bastão polimérico 15kv</t>
  </si>
  <si>
    <t>Cinta circular de Ø 260 mm</t>
  </si>
  <si>
    <t>P4</t>
  </si>
  <si>
    <t>Conector, cunha, liga de Alumínio, CN 6, série azul</t>
  </si>
  <si>
    <t>Conector, cunha, liga de Alumínio, CN 10, série azul</t>
  </si>
  <si>
    <t>Conector, cunha, liga de Alumínio, CN 11, série azul</t>
  </si>
  <si>
    <t>Conector, cunha, liga de Alumínio, CN 14, série vermelho</t>
  </si>
  <si>
    <t>Conector, cunha, liga de Alumínio, CN 15, série azul</t>
  </si>
  <si>
    <t>P3-P3</t>
  </si>
  <si>
    <t>Parafuso de cabeça quadrada - 150mm</t>
  </si>
  <si>
    <t>N3</t>
  </si>
  <si>
    <t>Parafuso de rosca dupla de 400 mm</t>
  </si>
  <si>
    <t>Parafuso de rosca dupla de 450 mm</t>
  </si>
  <si>
    <t>Parafuso de rosca dupla de 500 mm</t>
  </si>
  <si>
    <t>N4</t>
  </si>
  <si>
    <t>Sapatilha</t>
  </si>
  <si>
    <t>Mão francesa perfilada</t>
  </si>
  <si>
    <t>N3-N3</t>
  </si>
  <si>
    <t>Parafuso de rosca dupla de 550 mm</t>
  </si>
  <si>
    <t>N4-CH</t>
  </si>
  <si>
    <t>Sela para cruzeta</t>
  </si>
  <si>
    <t>N4-CFu</t>
  </si>
  <si>
    <t>P3-Derivação  de Estrutura "P"</t>
  </si>
  <si>
    <t>N3-DERIVAÇÃO</t>
  </si>
  <si>
    <t>N3-CFu</t>
  </si>
  <si>
    <t>N3-CR</t>
  </si>
  <si>
    <t>Parafuso de rosca dupla de 350 mm</t>
  </si>
  <si>
    <t>Suporte de Transformador em poste DT</t>
  </si>
  <si>
    <t>Suporte de transformador em poste circular –Ø-210 mm</t>
  </si>
  <si>
    <t>Suporte de transformador em poste circular –Ø-225 mm</t>
  </si>
  <si>
    <t>Suporte de transformador em poste circular –Ø-250 mm</t>
  </si>
  <si>
    <t>Suporte de transformador em poste circular –Ø-270 mm</t>
  </si>
  <si>
    <t>POTÊNCIA</t>
  </si>
  <si>
    <t>RDR</t>
  </si>
  <si>
    <t>RDU</t>
  </si>
  <si>
    <t>Elo Fusível 5H</t>
  </si>
  <si>
    <t>Elo Fusível 6K</t>
  </si>
  <si>
    <t>Elo Fusível 10K</t>
  </si>
  <si>
    <t>Elo Fusível 15K</t>
  </si>
  <si>
    <t>Elo Fusível 3,5H</t>
  </si>
  <si>
    <t>Elo Fusível 2,5H</t>
  </si>
  <si>
    <t>Elo Fusível 12K</t>
  </si>
  <si>
    <t>Elo Fusível 7K</t>
  </si>
  <si>
    <t>Elo Fusível 20K</t>
  </si>
  <si>
    <t>Transformador Trifásico - 13.8KV - 15KVA - 254/127V</t>
  </si>
  <si>
    <t>Transformador Trifásico - 34.5KV - 15KVA - 254/127V</t>
  </si>
  <si>
    <t>Transformador Trifásico - 13.8KV - 30KVA  - 254/127V</t>
  </si>
  <si>
    <t>Transformador Trifásico - 34.5KV - 30KVA  - 254/127V</t>
  </si>
  <si>
    <t>Transformador Trifásico - 13.8KV - 45KVA  - 220/127V</t>
  </si>
  <si>
    <t>Transformador Trifásico - 34.5KV - 45KVA  - 220/127V</t>
  </si>
  <si>
    <t>Transformador Trifásico - 13.8KV - 75KVA  - 220/127V</t>
  </si>
  <si>
    <t>Transformador Trifásico - 34.5KV - 75KVA  - 220/127V</t>
  </si>
  <si>
    <t>Transformador Trifásico - 13.8KV - 112,5KVA  - 220/127V</t>
  </si>
  <si>
    <t>Transformador Trifásico - 34.5KV - 112,5KVA  - 220/127V</t>
  </si>
  <si>
    <t>Transformador Trifásico - 13.8KV - 150KVA  - 220/127V</t>
  </si>
  <si>
    <t>Transformador Trifásico - 34.5KV - 150KVA  - 220/127V</t>
  </si>
  <si>
    <t>Transformador Trifásico - 13.8KV - 225KVA  - 220/127V</t>
  </si>
  <si>
    <t>Transformador Trifásico - 34.5KV - 225KVA  - 220/127V</t>
  </si>
  <si>
    <t>Transformador Trifásico - 13.8KV - 300KVA  - 220/127V</t>
  </si>
  <si>
    <t>Transformador Trifásico - 34.5KV - 300KVA  - 220/127V</t>
  </si>
  <si>
    <t>Transformador Trifásico - 13.8KV - 15KVA - 380/220V</t>
  </si>
  <si>
    <t>Transformador Trifásico - 34.5KV - 15KVA - 380/220V</t>
  </si>
  <si>
    <t>Transformador Trifásico - 13.8KV - 30KVA - 380/220V</t>
  </si>
  <si>
    <t>Transformador Trifásico - 34.5KV - 30KVA - 380/220V</t>
  </si>
  <si>
    <t>Transformador Trifásico - 13.8KV - 45KVA - 380/220V</t>
  </si>
  <si>
    <t>Transformador Trifásico - 34.5KV - 45KVA - 380/220V</t>
  </si>
  <si>
    <t>Transformador Trifásico - 13.8KV - 75KVA - 380/220V</t>
  </si>
  <si>
    <t>Transformador Trifásico - 34.5KV - 75KVA - 380/220V</t>
  </si>
  <si>
    <t>Transformador Trifásico - 13.8KV - 112,5KVA - 380/220V</t>
  </si>
  <si>
    <t>Transformador Trifásico - 34.5KV - 112,5KVA - 380/220V</t>
  </si>
  <si>
    <t>Transformador Trifásico - 13.8KV - 150KVA - 380/220V</t>
  </si>
  <si>
    <t>Transformador Trifásico - 34.5KV - 150KVA - 380/220V</t>
  </si>
  <si>
    <t>Transformador Trifásico - 13.8KV - 225KVA - 380/220V</t>
  </si>
  <si>
    <t>Transformador Trifásico - 34.5KV - 225KVA - 380/220V</t>
  </si>
  <si>
    <t>Transformador Trifásico - 13.8KV - 300KVA - 380/220V</t>
  </si>
  <si>
    <t>Transformador Trifásico - 34.5KV - 300KVA - 380/220V</t>
  </si>
  <si>
    <t>Cabo Cu –isolado –XLPE  50 (50)mm²</t>
  </si>
  <si>
    <t>Disjuntor eletromagnético 120A</t>
  </si>
  <si>
    <t>Eletroduto de pvc - rígido 50mm³</t>
  </si>
  <si>
    <t>TRAFO 45KVA 220/127v</t>
  </si>
  <si>
    <t>TRAFO 45KVA 380/220v</t>
  </si>
  <si>
    <t>Cabo Cu –isolado –XLPE  25 (25)mm²</t>
  </si>
  <si>
    <t>Disjuntor eletromagnético 70A</t>
  </si>
  <si>
    <t>Eletroduto de pvc - rígido 32mm³</t>
  </si>
  <si>
    <t>TRAFO 75KVA 380/220v</t>
  </si>
  <si>
    <t>Elo 3H p/13,8kv e 1H p/ 34,5kv</t>
  </si>
  <si>
    <t>Elo 5H p/13,8kv e 2H p/ 34,5kv</t>
  </si>
  <si>
    <t>DESCRIÇÃO</t>
  </si>
  <si>
    <t>MRT - 10KVA</t>
  </si>
  <si>
    <t>MRT - 15KVA</t>
  </si>
  <si>
    <t>MRT - 25KVA</t>
  </si>
  <si>
    <t>MRT - 05KVA</t>
  </si>
  <si>
    <t>Monofásico</t>
  </si>
  <si>
    <t>Bifásico</t>
  </si>
  <si>
    <t>Trifásico</t>
  </si>
  <si>
    <t>Padrão Urbano Monofásico (ramal 10mm²) 40 AMP</t>
  </si>
  <si>
    <t>Padrão Urbano Bifásico (ramal 16mm²) 60 AMP</t>
  </si>
  <si>
    <t>Padrão Urbano Trifásico (ramal 10mm²) 70 AMP</t>
  </si>
  <si>
    <t>Cabo Aluminio triplex XLPE 06 mm²</t>
  </si>
  <si>
    <t>Cabo Aluminio triplex XLPE 10 mm²</t>
  </si>
  <si>
    <t>Cabo Aluminio triplex XLPE 16 mm²</t>
  </si>
  <si>
    <t>Cabo Aluminio triplex XLPE 25 mm²</t>
  </si>
  <si>
    <t>Cabo Aluminio biplex XLPE 10 mm²</t>
  </si>
  <si>
    <t>Cabo Aluminio quadriplex XLPE 16 mm²</t>
  </si>
  <si>
    <t>Cabo de aluminio  nu 336,4 CAA - AWG</t>
  </si>
  <si>
    <t xml:space="preserve">Transformador Trifásico - 13.8KV - 15KVA - 254/127V </t>
  </si>
  <si>
    <t>Alça pré formada para cabo CA - CAA 336,4 AWG</t>
  </si>
  <si>
    <t>Laço pré-formado simples lateral para cabo 336,4 AWG CAA</t>
  </si>
  <si>
    <t>Laço pré-formado de topo para cabo 336,4 AWG CAA</t>
  </si>
  <si>
    <t>Emenda Total Preformada CA - CAA 336,4 AWG</t>
  </si>
  <si>
    <t>Conector derivação cunha tipo estribo normal - 336,4  AWG (azul)</t>
  </si>
  <si>
    <t>Laço pré-formado de topo para cabo 336,4 MCM CAA</t>
  </si>
  <si>
    <t>Laço pré-formado simples lateral para cabo 336,4 MCM CAA</t>
  </si>
  <si>
    <t>Emenda Total Preformada CAA 336,4 MCM</t>
  </si>
  <si>
    <t>Conector derivação cunha tipo estribo normal - 336,4 MCM</t>
  </si>
  <si>
    <t>Alça pré formada para cabo CA - CAA 336,4 MCM</t>
  </si>
  <si>
    <t>220/127</t>
  </si>
  <si>
    <t>380/220</t>
  </si>
  <si>
    <t>15 KVA</t>
  </si>
  <si>
    <t>30 KVA</t>
  </si>
  <si>
    <t>45 KVA</t>
  </si>
  <si>
    <t>75 KVA</t>
  </si>
  <si>
    <t>112,5 KVA</t>
  </si>
  <si>
    <t>150 KVA</t>
  </si>
  <si>
    <t>225 KVA</t>
  </si>
  <si>
    <t>300 KVA</t>
  </si>
  <si>
    <t>MEDIÇÃO 75 KVA</t>
  </si>
  <si>
    <t>MEDIÇÃO 112,5 KVA</t>
  </si>
  <si>
    <t>MEDIÇÃO 150 KVA</t>
  </si>
  <si>
    <t>MEDIÇÃO 225 KVA</t>
  </si>
  <si>
    <t>MEDIÇÃO 300 KVA</t>
  </si>
  <si>
    <t>MEDIÇÃO 45 KVA</t>
  </si>
  <si>
    <t>Medição para trafo trif. 15kva 220/127</t>
  </si>
  <si>
    <t>Medição para trafo trif. 30kva 220/127</t>
  </si>
  <si>
    <t>Medição para trafo trif. 45kva 220/127</t>
  </si>
  <si>
    <t>Medição para trafo trif. 75kva 220/127</t>
  </si>
  <si>
    <t>Medição para trafo trif. 112,5kva 220/127</t>
  </si>
  <si>
    <t>Medição para trafo trif. 150kva 220/127</t>
  </si>
  <si>
    <t>Medição para trafo trif. 225kva 220/127</t>
  </si>
  <si>
    <t>Medição para trafo trif. 300kva 220/127</t>
  </si>
  <si>
    <t>Medição para trafo trif. 15kva 380/220</t>
  </si>
  <si>
    <t>Medição para trafo trif. 30kva 380/220</t>
  </si>
  <si>
    <t>Medição para trafo trif. 45kva 380/220</t>
  </si>
  <si>
    <t>Medição para trafo trif. 75kva 380/220</t>
  </si>
  <si>
    <t>Medição para trafo trif. 112,5kva 380/220</t>
  </si>
  <si>
    <t>Medição para trafo trif. 150kva 380/220</t>
  </si>
  <si>
    <t>Medição para trafo trif. 225kva 380/220</t>
  </si>
  <si>
    <t>Medição para trafo trif. 300kva 380/220</t>
  </si>
  <si>
    <t>FIO ALUMINISTEEL N8 AWG</t>
  </si>
  <si>
    <t>Editar nas linhas rosas e/ou verdes</t>
  </si>
  <si>
    <t>U3 e U3T SEM TRAFO</t>
  </si>
  <si>
    <t>Elo Fusível 40K</t>
  </si>
  <si>
    <t>Conector, cunha, liga de Alumínio, CN 14, série azul</t>
  </si>
  <si>
    <t>Conector, cunha, liga de Alumínio, CN 15, série vermelho</t>
  </si>
  <si>
    <t>Monofásica 13.8Kv</t>
  </si>
  <si>
    <t>Monofásica 34.5Kv</t>
  </si>
  <si>
    <t>Trifásica 34.5Kv</t>
  </si>
  <si>
    <r>
      <t xml:space="preserve">As estruturas </t>
    </r>
    <r>
      <rPr>
        <sz val="14"/>
        <color indexed="9"/>
        <rFont val="Arial"/>
        <family val="2"/>
      </rPr>
      <t>U3 para U4</t>
    </r>
    <r>
      <rPr>
        <sz val="12"/>
        <color indexed="9"/>
        <rFont val="Arial"/>
        <family val="2"/>
      </rPr>
      <t xml:space="preserve">, </t>
    </r>
    <r>
      <rPr>
        <sz val="14"/>
        <color indexed="9"/>
        <rFont val="Arial"/>
        <family val="2"/>
      </rPr>
      <t>U3 Derivação</t>
    </r>
    <r>
      <rPr>
        <sz val="12"/>
        <color indexed="9"/>
        <rFont val="Arial"/>
        <family val="2"/>
      </rPr>
      <t xml:space="preserve"> e </t>
    </r>
    <r>
      <rPr>
        <sz val="14"/>
        <color indexed="9"/>
        <rFont val="Arial"/>
        <family val="2"/>
      </rPr>
      <t>U3CF</t>
    </r>
    <r>
      <rPr>
        <sz val="12"/>
        <color indexed="9"/>
        <rFont val="Arial"/>
        <family val="2"/>
      </rPr>
      <t xml:space="preserve">, não somam postes. Nessas, selecionar poste somente para determinar os tamanhos de parafusos e cintas para portes circulares </t>
    </r>
  </si>
  <si>
    <t>DIGITE A QUANTIDADE DOS OBJETOS A SEREM ADICIONADOS E/OU SUBTRAÍDOS DA RELAÇÃO TOTAL</t>
  </si>
  <si>
    <t>Adicionar (+)</t>
  </si>
  <si>
    <t>Subtrair (-)</t>
  </si>
  <si>
    <t>PADRÕES ADICIONAIS</t>
  </si>
  <si>
    <t>MAIS</t>
  </si>
  <si>
    <t>MENOS</t>
  </si>
  <si>
    <t xml:space="preserve">Transformador Trifásico - 13.8KV - 15KVA - 220/127V </t>
  </si>
  <si>
    <t>Transformador Trifásico - 34.5KV - 15KVA - 220/127V</t>
  </si>
  <si>
    <t>Transformador Trifásico - 13.8KV - 30KVA  - 220/127V</t>
  </si>
  <si>
    <t>34,5KV</t>
  </si>
  <si>
    <t>Padrão para trafo trif. 15kva 380/220</t>
  </si>
  <si>
    <t>Padrão para trafo trif. 30kva 380/220</t>
  </si>
  <si>
    <t>Trifásica 13.8Kv</t>
  </si>
  <si>
    <t>Concreto para base em poste ≥ 600daN (Cimento, areia, brita e m.o)</t>
  </si>
  <si>
    <t>PADRÃO 30 KVA</t>
  </si>
  <si>
    <r>
      <t>PARA TRAFO DE</t>
    </r>
    <r>
      <rPr>
        <b/>
        <sz val="14"/>
        <color indexed="9"/>
        <rFont val="BankGothic Lt BT"/>
        <family val="2"/>
      </rPr>
      <t>:</t>
    </r>
  </si>
  <si>
    <t>U3 Derivação, U3-Cfu, N3 Derivação e N3-Cfu</t>
  </si>
  <si>
    <r>
      <rPr>
        <b/>
        <i/>
        <u/>
        <sz val="12"/>
        <color indexed="13"/>
        <rFont val="Arial Narrow"/>
        <family val="2"/>
      </rPr>
      <t>U3 PARA U4</t>
    </r>
    <r>
      <rPr>
        <b/>
        <sz val="12"/>
        <color indexed="13"/>
        <rFont val="Arial Narrow"/>
        <family val="2"/>
      </rPr>
      <t xml:space="preserve"> e  as estruturas de 2º Nível, não orçam postes. São elas:</t>
    </r>
  </si>
  <si>
    <t>M</t>
  </si>
  <si>
    <r>
      <t xml:space="preserve">Cabo de aluminio  nu 2 CAA - AWG        </t>
    </r>
    <r>
      <rPr>
        <b/>
        <sz val="10"/>
        <color indexed="10"/>
        <rFont val="Arial"/>
        <family val="2"/>
      </rPr>
      <t>POR QTD. EM METROS</t>
    </r>
  </si>
  <si>
    <r>
      <t xml:space="preserve">Cabo de aço galvanizado - 6,4mm² (cordoalha) </t>
    </r>
    <r>
      <rPr>
        <sz val="11"/>
        <color indexed="10"/>
        <rFont val="Arial"/>
        <family val="2"/>
      </rPr>
      <t xml:space="preserve"> </t>
    </r>
    <r>
      <rPr>
        <b/>
        <sz val="10"/>
        <color indexed="10"/>
        <rFont val="Arial"/>
        <family val="2"/>
      </rPr>
      <t>POR QTD. EM METROS</t>
    </r>
  </si>
  <si>
    <r>
      <t xml:space="preserve">Cabo de aluminio  nu 1/0 CAA - AWG   </t>
    </r>
    <r>
      <rPr>
        <b/>
        <sz val="10"/>
        <color indexed="10"/>
        <rFont val="Arial"/>
        <family val="2"/>
      </rPr>
      <t>POR QTD. EM METROS</t>
    </r>
  </si>
  <si>
    <r>
      <t xml:space="preserve">Cabo de aluminio  nu 4/0 CAA - AWG   </t>
    </r>
    <r>
      <rPr>
        <b/>
        <sz val="10"/>
        <color indexed="10"/>
        <rFont val="Arial"/>
        <family val="2"/>
      </rPr>
      <t xml:space="preserve"> POR QTD. EM METROS</t>
    </r>
  </si>
  <si>
    <r>
      <t xml:space="preserve">Cabo de aluminio  nu 336,4 MCM CA     </t>
    </r>
    <r>
      <rPr>
        <b/>
        <sz val="10"/>
        <color indexed="10"/>
        <rFont val="Arial"/>
        <family val="2"/>
      </rPr>
      <t>POR QTD. EM METROS</t>
    </r>
  </si>
  <si>
    <t>ADICIONANDO OS POSTES, NÃO PRECISARÁ ADICIONAR PLACA DE CONCRETO NEM CONCRETO PARA BASE</t>
  </si>
  <si>
    <t>13/300-C</t>
  </si>
  <si>
    <t>13/600-C</t>
  </si>
  <si>
    <t>13/1000-C</t>
  </si>
  <si>
    <t>DT-13/300</t>
  </si>
  <si>
    <t>DT-13/600</t>
  </si>
  <si>
    <t>DT-13/1000</t>
  </si>
  <si>
    <t>Padrão Urbano Trifásico (ramal 25mm²) 70 AMP</t>
  </si>
  <si>
    <t>ADICIONANDO OS PADRÕES, NÃO PRECISARÁ ADICIONAR ALÇA DE SERVIÇO, CABO TRIPLEX NEM CONECTOR;</t>
  </si>
  <si>
    <t>Poste de concreto armada - 13/300 DT</t>
  </si>
  <si>
    <t>Poste de concreto armada - 13/600 DT</t>
  </si>
  <si>
    <t>Poste de concreto armada - 13/1000 DT</t>
  </si>
  <si>
    <t xml:space="preserve">Poste de concreto armada circular- 13/300 </t>
  </si>
  <si>
    <t xml:space="preserve">Poste de concreto armada circular- 13/600 </t>
  </si>
  <si>
    <t xml:space="preserve">Poste de concreto armada circular- 13/1000 </t>
  </si>
  <si>
    <r>
      <t xml:space="preserve">Cabo de aço galvanizado - 9 mm² (cordoalha)  </t>
    </r>
    <r>
      <rPr>
        <b/>
        <sz val="10"/>
        <color indexed="10"/>
        <rFont val="Arial"/>
        <family val="2"/>
      </rPr>
      <t>POR QTD. EM METROS</t>
    </r>
  </si>
  <si>
    <t>Haste âncora para estai</t>
  </si>
  <si>
    <t>Cabo Aluminio quadriplex XLPE 25 mm²</t>
  </si>
  <si>
    <t>Eletroduto de PVC rígido 12mm² x 300cm (1/2" x 3m)</t>
  </si>
  <si>
    <t>Elo Fusível 25K</t>
  </si>
  <si>
    <t>Descrição dos Materiais</t>
  </si>
  <si>
    <t>REDE SECUNDÁRIA E PROTEÇÃO - TRAFO DE 112,5 KVA - 220/127VOLTS</t>
  </si>
  <si>
    <t>ARAME GALVANIZADO 12  (ROLO 1 KG)</t>
  </si>
  <si>
    <t xml:space="preserve">HASTE ATERR.SIMPLES 5/8X2,40M </t>
  </si>
  <si>
    <t>CONECTOR P/ HASTE ATERRAMENTO TH 5/8"</t>
  </si>
  <si>
    <t>CABO DE COBRE NÚ 25MM (MTS)</t>
  </si>
  <si>
    <t>ELETRODUTO PVC - 3/4"</t>
  </si>
  <si>
    <t>ELETRODUTO PVC - 3"</t>
  </si>
  <si>
    <t>CABEÇOTE DE ALUMINIO 3"</t>
  </si>
  <si>
    <t>BUCHA P/ ELETRODUTO 3/4"</t>
  </si>
  <si>
    <t>BUCHA P/ ELETRODUTO 3"</t>
  </si>
  <si>
    <t>ARRUELA P/ ELETRODUTO 3/4*</t>
  </si>
  <si>
    <t>ARRUELA P/ ELETRODUTO 3*</t>
  </si>
  <si>
    <t>CONECTOR LATÃO 25 MM</t>
  </si>
  <si>
    <t>TERMINAL LATÃO 25 MM</t>
  </si>
  <si>
    <t>CAIXA MEDIÇÃO DJ-2</t>
  </si>
  <si>
    <t>DISJUNTOR TRIPOLAR 300 AMP.</t>
  </si>
  <si>
    <t>CABO DE COBRE ISOLADO 1KV, 95MM (MTS)</t>
  </si>
  <si>
    <t>TERMINAL LATÃO 95MM</t>
  </si>
  <si>
    <t>SILICONE 500 G</t>
  </si>
  <si>
    <t>CAIXA DE CONCRETO 50 X 50</t>
  </si>
  <si>
    <t>CURVA DE PVC 90* - 3/4*</t>
  </si>
  <si>
    <t>CURVA DE PVC 90* - 3*</t>
  </si>
  <si>
    <t>LUVA DE PVC - 3/4*</t>
  </si>
  <si>
    <t>LUVA DE PVC - 3*</t>
  </si>
  <si>
    <t>REDE SECUNDARIA - MEDIÇÃO E PROTEÇÃO 112,5KVA, 380-220 VOLTS</t>
  </si>
  <si>
    <t>ELETRODUTO PVC - 2.1/2"</t>
  </si>
  <si>
    <t>CABEÇOTE DE ALUMINIO 2.1/2"</t>
  </si>
  <si>
    <t>BUCHA P/ ELETRODUTO 3/4</t>
  </si>
  <si>
    <t>BUCHA P/ ELETRODUTO 2.1/2</t>
  </si>
  <si>
    <t>ARRUELA P/ ELETRODUTO 2.1/2*</t>
  </si>
  <si>
    <t>DISJUNTOR TRIPOLAR 175 AMP.</t>
  </si>
  <si>
    <t>MASSA P/ CALAFETAR</t>
  </si>
  <si>
    <t>CURVA DE PVC 90* - 2.1/2*</t>
  </si>
  <si>
    <t>LUVA DE PVC - 2.1/2*</t>
  </si>
  <si>
    <t>ITEM</t>
  </si>
  <si>
    <t>QUTD</t>
  </si>
  <si>
    <t>V.VENDA</t>
  </si>
  <si>
    <t>TOTAL</t>
  </si>
  <si>
    <t>NÃO MEXER NESTA PLANILHA</t>
  </si>
  <si>
    <t>Conector derivação tipo cunha - AMP - tipo III</t>
  </si>
  <si>
    <t>Cabo de aço galvanizado - 7,9 mm² (cordoalha)</t>
  </si>
  <si>
    <t>Cartucho tipo bala para conector cunha (vermelho)</t>
  </si>
  <si>
    <t>Cartucho tipo bala para conector cunha (azul)</t>
  </si>
  <si>
    <t>Chave faca - tipo C-  36,2kV 400A-NBI 150KV</t>
  </si>
  <si>
    <t>Chave faca - tipo C-  15kV 630A-NBI 95KV</t>
  </si>
  <si>
    <t>Conector, cunha, liga de Alumínio, CN 12, série vermelho</t>
  </si>
  <si>
    <t>Conector de  Aterramento - 5/8" (reforçado)</t>
  </si>
  <si>
    <t>Haste de aterramento simples 1/2" x 2400mm</t>
  </si>
  <si>
    <t>Conector TERMINAL tipo espada (bastão) para chave faca 336,4mcm</t>
  </si>
  <si>
    <t>TRAVESSIA DE (RODOVIA E/OU RIO)</t>
  </si>
  <si>
    <t>DISJUNTOR TRIPOLAR 400 AMP.</t>
  </si>
  <si>
    <t>BUCHA P/ ELETRODUTO 2"</t>
  </si>
  <si>
    <t>CAIXA MEDIÇÃO DJ-1</t>
  </si>
  <si>
    <t>DISJUNTOR TRIPOLAR 225 AMP.</t>
  </si>
  <si>
    <t xml:space="preserve">Chave fusível - tipo C- 100A 10ka 15kV com ferragem </t>
  </si>
  <si>
    <t>Chave fusível - tipo C- 100A 10ka 15kV sem ferragem</t>
  </si>
  <si>
    <t>Chave fusível - tipo C- 100A 04ka 36,2kV com ferragem</t>
  </si>
  <si>
    <t>Chave fusível - tipo C- 100A 04ka 36,2kV sem ferragem</t>
  </si>
  <si>
    <t>TERMINAL LATÃO 50 MM</t>
  </si>
  <si>
    <t>DISJUNTOR TRIPOLAR 120 AMP.</t>
  </si>
  <si>
    <t>DISJUNTOR TRIPOLAR 200 AMP.</t>
  </si>
  <si>
    <t>DISJUNTOR TRIPOLAR 350 AMP.</t>
  </si>
  <si>
    <t>DISJUNTOR TRIPOLAR 450 AMP.</t>
  </si>
  <si>
    <t>DISJUNTOR TRIPOLAR 800 AMP.</t>
  </si>
  <si>
    <t>Fio de cobre rígido 6mm²</t>
  </si>
  <si>
    <t>TRANSFORAMADORES MONOFÁSICOS SEM CFU</t>
  </si>
  <si>
    <t>TRANSFORAMADORES MONOFÁSICOS COM CFU</t>
  </si>
  <si>
    <t xml:space="preserve">Luva para haste para aterramento </t>
  </si>
  <si>
    <t>N3 PARA N4</t>
  </si>
  <si>
    <t>N1T-Cfu-PR (sem o trafo)</t>
  </si>
  <si>
    <t>N3T-PR (Sem o Trafo e a Cfu)</t>
  </si>
  <si>
    <t>N4T-PR  (Sem o Trafo e a Cfu)</t>
  </si>
  <si>
    <t>N4T-Cfu-PR (Sem o Trafo)</t>
  </si>
  <si>
    <t>N3T-Cfu-PR (Sem o Trafo)</t>
  </si>
  <si>
    <t>N1T-PR      (Sem o Trafo e a Cfu)</t>
  </si>
  <si>
    <t>Elo Fusível 2H</t>
  </si>
  <si>
    <t>Elo Fusível 1H</t>
  </si>
  <si>
    <t>Transformador Trifásico -  34.5KV - 30KVA  - 220/127V</t>
  </si>
  <si>
    <t>Transformador Trifásico -  34.5KV - 45KVA  - 220/127V</t>
  </si>
  <si>
    <t>Transformador Trifásico -  34.5KV - 75KVA  - 220/127V</t>
  </si>
  <si>
    <t>Transformador Trifásico -  34.5KV - 112,5KVA  - 220/127V</t>
  </si>
  <si>
    <t>Transformador Trifásico -  34.5KV - 150KVA  - 220/127V</t>
  </si>
  <si>
    <t>Transformador Trifásico -  34.5KV - 225KVA  - 220/127V</t>
  </si>
  <si>
    <t>Transformador Trifásico -  34.5KV - 300KVA  - 220/127V</t>
  </si>
  <si>
    <t>Transformador Trifásico -  34.5KV - 15KVA - 380/220V</t>
  </si>
  <si>
    <t>Transformador Trifásico -  34.5KV - 30KVA - 380/220V</t>
  </si>
  <si>
    <t>Transformador Trifásico -  34.5KV - 45KVA - 380/220V</t>
  </si>
  <si>
    <t>Transformador Trifásico -  34.5KV - 75KVA - 380/220V</t>
  </si>
  <si>
    <t>Transformador Trifásico -  34.5KV - 112,5KVA - 380/220V</t>
  </si>
  <si>
    <t>Transformador Trifásico -  34.5KV - 150KVA - 380/220V</t>
  </si>
  <si>
    <t>Transformador Trifásico -  34.5KV - 225KVA - 380/220V</t>
  </si>
  <si>
    <t>Transformador Trifásico -  34.5KV - 300KVA - 380/220V</t>
  </si>
  <si>
    <t xml:space="preserve">Chave fusível religadora - tipo C 15kV </t>
  </si>
  <si>
    <t xml:space="preserve">Chave fusível religadora - tipo C 36,2kV </t>
  </si>
  <si>
    <t>Fio de cobre rígido isolado 6mm²</t>
  </si>
  <si>
    <t>Mão francesa perfilada 1534mm</t>
  </si>
  <si>
    <t>Parafuso de cabeça quadrada - 175mm</t>
  </si>
  <si>
    <t>DISJUNTOR TRIPOLAR 70 AMP.</t>
  </si>
  <si>
    <t>Kg</t>
  </si>
  <si>
    <t>Esfera de sinalização</t>
  </si>
  <si>
    <t>MEDIÇÕES</t>
  </si>
  <si>
    <t xml:space="preserve">VALOR </t>
  </si>
  <si>
    <t xml:space="preserve"> pç </t>
  </si>
  <si>
    <t xml:space="preserve"> kg </t>
  </si>
  <si>
    <t xml:space="preserve"> und </t>
  </si>
  <si>
    <t>N3-N3-Cfu</t>
  </si>
  <si>
    <t>N3-N3-CFu</t>
  </si>
  <si>
    <r>
      <rPr>
        <b/>
        <i/>
        <sz val="12"/>
        <rFont val="Calibri"/>
        <family val="2"/>
      </rPr>
      <t>EXTENSÃO DA REDE COM CABO</t>
    </r>
    <r>
      <rPr>
        <b/>
        <sz val="12"/>
        <rFont val="Calibri"/>
        <family val="2"/>
      </rPr>
      <t xml:space="preserve"> </t>
    </r>
    <r>
      <rPr>
        <b/>
        <sz val="12"/>
        <color indexed="10"/>
        <rFont val="Calibri"/>
        <family val="2"/>
      </rPr>
      <t>2CAA</t>
    </r>
    <r>
      <rPr>
        <b/>
        <sz val="12"/>
        <rFont val="Calibri"/>
        <family val="2"/>
      </rPr>
      <t xml:space="preserve"> (Metros)</t>
    </r>
  </si>
  <si>
    <r>
      <rPr>
        <b/>
        <i/>
        <sz val="12"/>
        <rFont val="Calibri"/>
        <family val="2"/>
      </rPr>
      <t>EXTENSÃO DA REDE COM CABO</t>
    </r>
    <r>
      <rPr>
        <b/>
        <sz val="12"/>
        <rFont val="Calibri"/>
        <family val="2"/>
      </rPr>
      <t xml:space="preserve"> </t>
    </r>
    <r>
      <rPr>
        <b/>
        <sz val="12"/>
        <color indexed="10"/>
        <rFont val="Calibri"/>
        <family val="2"/>
      </rPr>
      <t>1/0 CAA</t>
    </r>
    <r>
      <rPr>
        <b/>
        <sz val="12"/>
        <rFont val="Calibri"/>
        <family val="2"/>
      </rPr>
      <t xml:space="preserve"> (Metros)</t>
    </r>
  </si>
  <si>
    <r>
      <rPr>
        <b/>
        <i/>
        <sz val="12"/>
        <rFont val="Calibri"/>
        <family val="2"/>
      </rPr>
      <t xml:space="preserve">EXTENSÃO DA REDE COM CABO </t>
    </r>
    <r>
      <rPr>
        <b/>
        <sz val="12"/>
        <color indexed="10"/>
        <rFont val="Calibri"/>
        <family val="2"/>
      </rPr>
      <t>4/0 CAA</t>
    </r>
    <r>
      <rPr>
        <b/>
        <sz val="12"/>
        <rFont val="Calibri"/>
        <family val="2"/>
      </rPr>
      <t xml:space="preserve"> (Metros)</t>
    </r>
  </si>
  <si>
    <r>
      <rPr>
        <b/>
        <i/>
        <sz val="12"/>
        <rFont val="Calibri"/>
        <family val="2"/>
      </rPr>
      <t>EXTENSÃO DA REDE COM CABO</t>
    </r>
    <r>
      <rPr>
        <b/>
        <sz val="12"/>
        <rFont val="Calibri"/>
        <family val="2"/>
      </rPr>
      <t xml:space="preserve"> </t>
    </r>
    <r>
      <rPr>
        <b/>
        <sz val="12"/>
        <color indexed="10"/>
        <rFont val="Calibri"/>
        <family val="2"/>
      </rPr>
      <t xml:space="preserve">336,4 CAA </t>
    </r>
    <r>
      <rPr>
        <b/>
        <sz val="12"/>
        <rFont val="Calibri"/>
        <family val="2"/>
      </rPr>
      <t>(Metros)</t>
    </r>
  </si>
  <si>
    <t>EMENDA PRÉ-FORMADA 2CAA  (PÇ)</t>
  </si>
  <si>
    <t>EMENDA PRÉ-FORMADA N8   (PÇ)</t>
  </si>
  <si>
    <r>
      <t xml:space="preserve">EXTENSÃO DA REDE </t>
    </r>
    <r>
      <rPr>
        <b/>
        <sz val="12"/>
        <color indexed="10"/>
        <rFont val="Calibri"/>
        <family val="2"/>
      </rPr>
      <t>3#2CAA (M)</t>
    </r>
  </si>
  <si>
    <r>
      <t xml:space="preserve">EXTENSÃO DA REDE </t>
    </r>
    <r>
      <rPr>
        <b/>
        <sz val="12"/>
        <color indexed="10"/>
        <rFont val="Calibri"/>
        <family val="2"/>
      </rPr>
      <t>3#1/0 CAA (M)</t>
    </r>
  </si>
  <si>
    <r>
      <t xml:space="preserve">EXTENSÃO DA REDE </t>
    </r>
    <r>
      <rPr>
        <b/>
        <sz val="12"/>
        <color indexed="10"/>
        <rFont val="Calibri"/>
        <family val="2"/>
      </rPr>
      <t>3#4/0 CAA (M)</t>
    </r>
  </si>
  <si>
    <r>
      <t xml:space="preserve">EXTENSÃO DA REDE </t>
    </r>
    <r>
      <rPr>
        <b/>
        <sz val="12"/>
        <color indexed="10"/>
        <rFont val="Calibri"/>
        <family val="2"/>
      </rPr>
      <t>3#336,4 CAA (M)</t>
    </r>
  </si>
  <si>
    <t>N3 P/ N4</t>
  </si>
  <si>
    <r>
      <t>EXTENSÃO DA REDE</t>
    </r>
    <r>
      <rPr>
        <b/>
        <sz val="12"/>
        <color indexed="10"/>
        <rFont val="Calibri"/>
        <family val="2"/>
      </rPr>
      <t xml:space="preserve"> 1#2CAA (M)</t>
    </r>
  </si>
  <si>
    <r>
      <t xml:space="preserve">EXTENSÃO DA REDE </t>
    </r>
    <r>
      <rPr>
        <b/>
        <sz val="12"/>
        <color indexed="10"/>
        <rFont val="Calibri"/>
        <family val="2"/>
      </rPr>
      <t>1#336,4 CAA (M)</t>
    </r>
  </si>
  <si>
    <r>
      <t>EXTENSÃO DA REDE</t>
    </r>
    <r>
      <rPr>
        <b/>
        <sz val="12"/>
        <color indexed="10"/>
        <rFont val="Calibri"/>
        <family val="2"/>
      </rPr>
      <t xml:space="preserve"> 1#4/0 CAA (M)</t>
    </r>
  </si>
  <si>
    <r>
      <t xml:space="preserve">EXTENSÃO DA REDE </t>
    </r>
    <r>
      <rPr>
        <b/>
        <sz val="12"/>
        <color indexed="10"/>
        <rFont val="Calibri"/>
        <family val="2"/>
      </rPr>
      <t>1#1/0 CAA (M)</t>
    </r>
  </si>
  <si>
    <t>U1</t>
  </si>
  <si>
    <t>U3 P/ U4</t>
  </si>
  <si>
    <t>U3 P/ U4 - 2CAA P/ N8</t>
  </si>
  <si>
    <t>U3-Der</t>
  </si>
  <si>
    <t>U3 Der 2CAA P/ N8</t>
  </si>
  <si>
    <t>U3-Cfu - 2CAA P/ N8</t>
  </si>
  <si>
    <t>U3-U3-2CAA P/ N8</t>
  </si>
  <si>
    <t>U3-U3Cfu 2CAA P/ N8</t>
  </si>
  <si>
    <t>U4 - 2CAA P/ N8</t>
  </si>
  <si>
    <t>U4-CFU 2CAA P/ N8</t>
  </si>
  <si>
    <t>U4-CH - 2CAA P/ N8</t>
  </si>
  <si>
    <t>5KVA Sem  Cfu</t>
  </si>
  <si>
    <t>10KVA Sem  Cfu</t>
  </si>
  <si>
    <t>15KVA Sem  Cfu</t>
  </si>
  <si>
    <t>25KVA Sem  Cfu</t>
  </si>
  <si>
    <t>5KVA Com  Cfu</t>
  </si>
  <si>
    <t>10KVA Com  Cfu</t>
  </si>
  <si>
    <t>15KVA Com  Cfu</t>
  </si>
  <si>
    <t>25KVA Com  Cfu</t>
  </si>
  <si>
    <t xml:space="preserve">               </t>
  </si>
  <si>
    <t>Pino auto-travante - 228mm para isolador pilar</t>
  </si>
  <si>
    <t>Pino auto-travante - 66mm para isolador pilar</t>
  </si>
  <si>
    <t>CLE  ( CL e CE 1 )</t>
  </si>
  <si>
    <t>CLEA1 ( CL1 e CEA 1 )</t>
  </si>
  <si>
    <t>CLEA2  ( CL2 &amp; CE 2 )</t>
  </si>
  <si>
    <t>CC2</t>
  </si>
  <si>
    <t>CUF3  ( C3 e CE 3 )</t>
  </si>
  <si>
    <t>CUF4  ( C4 e CE 4 )</t>
  </si>
  <si>
    <t>2CUF3  ( C3-C3 e CE3-CE3 )</t>
  </si>
  <si>
    <t>CLHS-CF ( CH )</t>
  </si>
  <si>
    <t>CHS-CF  ( CH )</t>
  </si>
  <si>
    <t>CC2-DC3-CF  ( CE2-N3 CF )</t>
  </si>
  <si>
    <t>CLEA1-DC3-CF  ( CE1A-C3 CF )</t>
  </si>
  <si>
    <t>CUF4-CF  ( CE4 CF )</t>
  </si>
  <si>
    <t>CUF4-SU  ( CE4 SU )</t>
  </si>
  <si>
    <t>35mm²</t>
  </si>
  <si>
    <t>50mm²</t>
  </si>
  <si>
    <t>90mm²</t>
  </si>
  <si>
    <t>CRUZETA, CONCRETO, RETANGULAR, 90 X 90 X 2.000 MM, 250 DAN, 18 MM</t>
  </si>
  <si>
    <t>PÇ</t>
  </si>
  <si>
    <t>ALÇA PRÉ-FORMADA DISTRIBUIÇÃO PARA CABO CA OU CAA 1/0 AWG</t>
  </si>
  <si>
    <t>ALÇA PRÉ-FORMADA DISTRIBUIÇÃO PARA CABO CA OU CAA 2 AWG</t>
  </si>
  <si>
    <t>ALÇA PRÉ-FORMADA DISTRIBUIÇÃO PARA CABO CA OU CAA 336,4 MCM</t>
  </si>
  <si>
    <t>ALÇA PRÉ-FORMADA DISTRIBUIÇÃO PARA CABO CA OU CAA 4/0 AWG</t>
  </si>
  <si>
    <t>ARRUELA, QUADRADA, ACO CARBONO LAMINADO 1010/1020, 38 X 3 MM</t>
  </si>
  <si>
    <t>CABO DE CONEXÃO DO TP COM A CAIXA DE CONTROLE</t>
  </si>
  <si>
    <t>CABO, COBRE, COBERTO, XLPE, 16 MM2, 15 KV, ISOLACAO NA COR CINZA</t>
  </si>
  <si>
    <t>CABO, ISOLADO, COBRE, SINGELO, BITOLA 10 MM2, PRETO, 0,6/1 KV</t>
  </si>
  <si>
    <t>CHAVE, FUSIVEL, MONOPOLAR, C, DISTRIBUICAO, 15 KV, 300 A, 100 A, 10 KA, 95 KV</t>
  </si>
  <si>
    <t>CHAVE, FUSIVEL, MONOPOLAR, C, DISTRIBUICAO, 36.2 KV, 300 A, 100 A, 5 KA, 150 KV</t>
  </si>
  <si>
    <t>CHAVE, SECCIONADORA, TIPO FACA, MONOPOLAR, 15 KV, 630 A, NBI 95 KV</t>
  </si>
  <si>
    <t>CHAVE, SECCIONADORA, TIPO FACA, MONOPOLAR, 36.2 KV, 400 A, NBI 150 KV</t>
  </si>
  <si>
    <t>CONECTOR TIPO CUNHA PARA ATERRAMENTO</t>
  </si>
  <si>
    <t>CONECTOR, ESTRIBO NORMAL, BITOLA 1/0 E 2/0 AWG, ESTRIBO 2 AWG, SERIE AZUL</t>
  </si>
  <si>
    <t>CONECTOR, ESTRIBO NORMAL, BITOLA 3/0 E 4/0 AWG, ESTRIBO 2 AWG, SERIE AZUL</t>
  </si>
  <si>
    <t>CONECTOR, ESTRIBO NORMAL, BITOLA 336.4 MCM, ESTRIBO 1/0 AWG, SERIE AMARELA</t>
  </si>
  <si>
    <t>CONECTOR, ESTRIBO NORMAL, BITOLA 4 E 2 AWG, ESTRIBO 2 AWG, SERIE VERMELHA</t>
  </si>
  <si>
    <t>CORDOALHA, ACO, ZINCADO, DIAM 6,4 MM, FORM 7 FIOS, CATEG MR</t>
  </si>
  <si>
    <t>GANCHO, OLHAL</t>
  </si>
  <si>
    <t>GRAMPO, LINHA VIVA, BIMET, TRONCO 6 AWG A 250 MCM, DERIV 6 A 2/0 AWG</t>
  </si>
  <si>
    <t>ISOLADOR, ANCORAGEM, POLIMERICO, GARFO OLHAL, 15 KV, 110 KV, 50 KN, CINZA CLARO</t>
  </si>
  <si>
    <t>ISOLADOR, ANCORAGEM, POLIMERICO, GARFO OLHAL, 36,2 KV, 170 KV, 50 KN, CINZA CLARO</t>
  </si>
  <si>
    <t>LAMINA, DESLIGADORA, PARA CHAVE FUSIVEL BASE TIPO C, 15 KV, 300 A</t>
  </si>
  <si>
    <t>LAMINA, DESLIGADORA, PARA CHAVE FUSIVEL BASE TIPO C, 25.8 KV, 300 A</t>
  </si>
  <si>
    <t>MANILHA, SAPATILHA</t>
  </si>
  <si>
    <t>OLHAL, PARAFUSO</t>
  </si>
  <si>
    <t>PARA RAIO DISTRIBUICAO ,OXIDO ZINCO, POLIMERICO, 30 KV, 10 KA. SEM SENTELHADOR.</t>
  </si>
  <si>
    <t>PARAFUSO, CABECA QUADRADA, M16 X 2, 200 MM, COM PORCA</t>
  </si>
  <si>
    <t>PARAFUSO, CABECA QUADRADA, M16 X 2, 350 MM, COM PORCA</t>
  </si>
  <si>
    <t>PARAFUSO, CABECA QUADRADA, M16X2, COMP 125 MM, C/ PORCA, ZINC A QUENTE</t>
  </si>
  <si>
    <t>PARAFUSO, CABECA QUADRADA, M16X2, COMP 250 MM, C/ PORCA, ZINC A QUENTE</t>
  </si>
  <si>
    <t>PARAFUSO, CABECA QUADRADA, M16X2, COMP 300 MM, C/ PORCA, ZINC A QUENTE</t>
  </si>
  <si>
    <t>PARAFUSO, ROSCA DUPLA, M16 X 2, 400 MM, COM: 4 PORCAS</t>
  </si>
  <si>
    <t>PARAFUSO, ROSCA DUPLA, M16 X 2, 450 MM, COM: 4 PORCAS</t>
  </si>
  <si>
    <t>PINO, ISOLADOR PILAR, AUTOTRAVANTE, 168.5 MM, M16 X 2</t>
  </si>
  <si>
    <t>PROTETOR, ISOLANTE PARA BUCHA DE 15 KV</t>
  </si>
  <si>
    <t>RELIGADOR – TIPO ESV -MARCA – COOPER POWER SYSTEMS 13,8KV (CÓDIGO 6077)</t>
  </si>
  <si>
    <t>RELIGADOR – TIPO ESV -MARCA – COOPER POWER SYSTEMS 36,2KV (CÓDIGO 40656)</t>
  </si>
  <si>
    <t>SUPORTE PARA FIXAR O RELIGADOR EM POSTE</t>
  </si>
  <si>
    <t>SUPORTE, PARA TRANSFORMADOR, POSTE DUPLO "T", 360 X 76 MM</t>
  </si>
  <si>
    <t>TERMINAL, BARRA, TIPO ESPADA, LIGA DE ALUMNIO, 2 FUROS, 336,4 MCM</t>
  </si>
  <si>
    <t>TENSÃO 13.8KV</t>
  </si>
  <si>
    <t>TENSÃO 34.5KV</t>
  </si>
  <si>
    <t>13,8KV</t>
  </si>
  <si>
    <t>ISOLADOR, PILAR, PORCELANA VITRIFICADA, 15 KV, NBI 110 KV, PESCOCO 57 MM, CORPO 140 MM, CABECA 95 MM, ROSCA DO CENTRO DA BASE M16 X 2</t>
  </si>
  <si>
    <t>ISOLADOR, PILAR, PORCELANA VITRIFICADA, 36,2 KV, NBI 170 KV, PESCOCO 57 MM, CORPO 160 MM, CABECA 95 MM, ROSCA DO CENTRO DA BASE M16 X 2</t>
  </si>
  <si>
    <t>CONECTOR, CUNHA RAMAL, LIGA DE COBRE ESTANHADO, TIPO MULTIPLO (III, IV, V), TRONCO 2.54 A 6.55 MM2, DERIVACAO 1.27 A 4.65 MM2, SERIE AMARELO / VERMELHO / AZUL</t>
  </si>
  <si>
    <t>MAO FRANCESA, PLANA, ACO CARBONO 1010 - 1020, 32 MM (LARGURA) X 620 MM (COMPRIMENTO), 5 MM</t>
  </si>
  <si>
    <t>LAÇO PRÉ-FORMADO DISTRIBUIÇÃO PARA CABO CAA 2 AWG PARA ISOLADOR DE PESCOÇO 57 MM</t>
  </si>
  <si>
    <t>LAÇO PRÉ-FORMADO DISTRIBUIÇÃO PARA CABO CAA 1/0 AWG PARA ISOLADOR DE PESCOÇO 57 MM</t>
  </si>
  <si>
    <t>LAÇO PRÉ-FORMADO DISTRIBUIÇÃO PARA CABO CAA 4/0 AWG PARA ISOLADOR DE PESCOÇO 57 MM</t>
  </si>
  <si>
    <t>LAÇO PRÉ-FORMADO DISTRIBUIÇÃO PARA CABO CAA 336,4 MCM PARA ISOLADOR DE PESCOÇO 57 MM</t>
  </si>
  <si>
    <t>CONECTOR, CUNHA RAMAL, LIGA DE COBRE ESTANHADO, TIPO II, TRONCO 3.17 A 8.12 MM2, DERIVACAO 3.17 A 5.21 MM2, SERIE VERDE</t>
  </si>
  <si>
    <t>CABO, ELETRICO PROTEGIDO, ALUMINIO, 95 MM2, POLIETILENO RETICULADO (XLPE), RESISTENCIA AO TRILHAMENTO 4.0 KV</t>
  </si>
  <si>
    <t>CONECTOR, CUNHA, LIGA DE ALUMNIO, CN 10, TRONCO 8.23 A 14.53 MM2, DERIVACAO 4.11 A 11.79 MM2, SERIE AZUL</t>
  </si>
  <si>
    <t>1/0</t>
  </si>
  <si>
    <t>CONECTOR, CUNHA, LIGA DE ALUMNIO, CN 6, TRONCO 9.25 A 14.53 MM2, DERIVACAO 6.55 A 14.53 MM2, SERIE AZUL</t>
  </si>
  <si>
    <t>4/0</t>
  </si>
  <si>
    <t>CONECTOR, CUNHA, LIGA DE ALUMNIO, CN 15, TRONCO 9.25 A 14.53 MM2, DERIVACAO 9.25 A 14.53 MM2, SERIE AZUL</t>
  </si>
  <si>
    <t>CONECTOR, CUNHA, LIGA DE ALUMNIO, CN 3, TRONCO 15.24 A 17.37 MM2, DERIVACAO 8.23 A 15.24 MM2, SERIE AZUL</t>
  </si>
  <si>
    <t>CONECTOR, CUNHA, LIGA DE ALUMNIO, CN 12, TRONCO 5.18 A 8.38 MM2, DERIVACAO 4.11 A 6.55 MM2, SERIE VERMELHO</t>
  </si>
  <si>
    <t>CONECTOR, CUNHA, LIGA DE ALUMNIO, CN 14, TRONCO 6.55 A 10.11 MM2, DERIVACAO 4.11 A 6.55 MM2, SERIE VERMELHO</t>
  </si>
  <si>
    <t>CONECTOR, CUNHA, LIGA DE ALUMNIO, CN 5, TRONCO 15.24 A 17.37 MM2, DERIVACAO 4.11 A 12.70 MM2, SERIE AZUL</t>
  </si>
  <si>
    <t>1 0U 7</t>
  </si>
  <si>
    <t>TRANSFORMADOR DE POTENCIAL- 500 VA – 7967 V – TENSÃO SECUNDÁRIA – 120 V – CLASSE DE EXATIDÃO -0,6 % - COM UM ENROLAMENTO</t>
  </si>
  <si>
    <t>TRANSFORMADOR DE POTENCIAL- 500 VA – 19962 V – TENSÃO SECUNDÁRIA – 120 V – CLASSE DE EXATIDÃO -0,6 % - COM UM ENROLAMENTO</t>
  </si>
  <si>
    <t>PARA-RAIOS, DISTR, POLIMERICO, ZNO S/ CENTELHADOR, 12 KV, 10 KA, EM CORPO POLIMERICO EM BORRACHA DE SILECONE.</t>
  </si>
  <si>
    <t>HASTE, ATERRAMENTO, SIMPLES, ACO CARBONO 1010-1020 COBREADO, 16.00 MM, 2.400 MM, 254 MICRONS</t>
  </si>
  <si>
    <t>TRANSFORMADOR, DISTRIBUICAO, MONOFASICO, 5 KVA-CLASSE 15 KV, TENSÃO NOMINAL -7967 V - 254/127 V</t>
  </si>
  <si>
    <t>TRANSFORMADOR, DISTRIBUICAO, MONOFASICO, 5 KVA-CLASSE 36,2 KV, TENSÃO NOMINAL -19.919 V- 254/127 V</t>
  </si>
  <si>
    <t>CONECTOR, CUNHA, LIGA DE ALUMNIO, TIPO CN 3, TRONCO 15.24 A 17.37 MM2, DERIVACAO 8.23 A 15.24 MM2, SERIE AZUL</t>
  </si>
  <si>
    <t>SUPORTE, PARA APOIO DE ESCADA, APLICACAO PARA INSTALACAO DE RELIGADOR, USO EM POSTE DUPLO "T"</t>
  </si>
  <si>
    <t>INSTALAÇÃO DE MEDIÇÃO EM ALTA TENSÃO, 34.5 Kv, AO TEMPO, EM POSTE, RAMAL AÉREO</t>
  </si>
  <si>
    <t>Digite o número de medição a ser instalada referente a cada demanda, para a definição das CHAVES e ELOS FUSÍVEIS. Depois, defina em que estrutura será instalada, colocando o número de medição em sua respectiva estrutura, poste e cabos instalados.</t>
  </si>
  <si>
    <t>SOMA DAS MEDIÇÕES</t>
  </si>
  <si>
    <t>QUANTAS COM DEMANDA DE ATÉ 500 KVA ?</t>
  </si>
  <si>
    <t>QUANTAS COM DEMANDA DE 501 A 1000 KVA ?</t>
  </si>
  <si>
    <t>QAUNTAS COM DEMANDA DE 1001 A 10000 KVA?</t>
  </si>
  <si>
    <t>INSTALADA EM N3-N3</t>
  </si>
  <si>
    <t>INSTALADA EM N4</t>
  </si>
  <si>
    <t>CONEXÕES  CABO NU  (AWG) C/ PROTEGIDO (MM²)</t>
  </si>
  <si>
    <t>2AWG+35</t>
  </si>
  <si>
    <t>1/0 + 50</t>
  </si>
  <si>
    <t>4/0 + 95</t>
  </si>
  <si>
    <t>336 + 150</t>
  </si>
  <si>
    <t>DT- 13/600</t>
  </si>
  <si>
    <t>Para-raio distribuição, oxido zinco, polimérico, 30 kV, 10 kA, sem centelhador</t>
  </si>
  <si>
    <t>Chave, seccion. de distrib., faca, monopolar, externo, 36.2 kV, 12.5 kA  (p/ vara de manobra)</t>
  </si>
  <si>
    <t>Chave, fusível, monopolar, C, 36.2 kV, 300 A, 100 A, 5 kA,12.5 kA, (p/ vara de manobra)</t>
  </si>
  <si>
    <t>Elo fusível  15k</t>
  </si>
  <si>
    <t>Elo fusível  25k</t>
  </si>
  <si>
    <t>Transformador de Corrente classe 36 kV</t>
  </si>
  <si>
    <t>Transformador de Potencial classe 36 Kv</t>
  </si>
  <si>
    <t>Mão francesa, plana, aço carbono 1010-1020, 32 mm (largura) X 620mm (comprimento), 5 mm</t>
  </si>
  <si>
    <t>Parafuso, cabeça quadrada, M16X2, comp 125 mm, c/ porca, zincada quente</t>
  </si>
  <si>
    <t>Cruzeta, polimérica, polietileno com fibra natural, 2.400 mm X 90 mm X 112 mm, 250 daN</t>
  </si>
  <si>
    <t>Parafuso, cabeça quadrada, M16X2, comp 200 mm, c/ porca, zincada quente</t>
  </si>
  <si>
    <t xml:space="preserve">Eletroduto, flexível. Em fita de aço doce zincado, PVC, ¾” </t>
  </si>
  <si>
    <t xml:space="preserve">Caixa de passagem </t>
  </si>
  <si>
    <t>Arruela, quadrada, ferro galvanizado, 38 X 3 mm, furo diâmetro 18 mm</t>
  </si>
  <si>
    <t>Parafuso, cabeça quadrada, M16X2, comp 50 mm, c/ porca, zincada quente</t>
  </si>
  <si>
    <t>Parafuso, cabeça quadrada, M16X2, comp 250 mm, c/ porca, zincada quente</t>
  </si>
  <si>
    <t>Parafuso, cabeça quadrada, M16X2, comp 300 mm, c/ porca, zincada quente</t>
  </si>
  <si>
    <t>Parafuso, cabeça quadrada, M16X2, comp 350 mm, c/ porca, zincada quente</t>
  </si>
  <si>
    <t>Suporte para fixar TC´s e TP´s em cruzetas</t>
  </si>
  <si>
    <t>Espaçador, para isolador 40 X 80 mm, furo 18 mm, zincado a quente</t>
  </si>
  <si>
    <t>Parafuso, rosca dupla, M16 X 2, comp 450 mm, c/ 04 porcas, FG</t>
  </si>
  <si>
    <t>Placa de concreto</t>
  </si>
  <si>
    <t>Parafuso, rosca dupla, M16 X 2, comp 500 mm, c/ 04 porcas, FG</t>
  </si>
  <si>
    <t>Parafuso, rosca dupla, M16 X 2, comp 600 mm, c/ 04 porcas, FG</t>
  </si>
  <si>
    <t>Isolador, ancoragem, polimérico, garfo olhal, 34.5 kV, 170 kV, cinza claro</t>
  </si>
  <si>
    <t>Olhal, parafuso, 13 mm, 18 mm, aço forjado, galvanização a quente 5000 DAN</t>
  </si>
  <si>
    <t>Gancho, olhal, aço carbono 1010 - 1020, galvanização a quente, 18 MM</t>
  </si>
  <si>
    <t>Alça pré-formada distribuição para cabo CA ou CAA 2 AWG</t>
  </si>
  <si>
    <t>Alça pré-formada distribuição para cabo CA ou CAA 1/0 AWG</t>
  </si>
  <si>
    <t>Alça pré-formada distribuição para cabo CA ou CAA 4/0 AWG</t>
  </si>
  <si>
    <t>Alça pré-formada distribuição para cabo CA ou CAA 336,4 MCM</t>
  </si>
  <si>
    <t>2 C/ 16 a 35mm²</t>
  </si>
  <si>
    <t>Conector, cunha, liga de alumínio, CN 13, 6.55 a 10.11 mm2, 5.18 a 8.38 mm2, série vermelho</t>
  </si>
  <si>
    <t>1/0 C/ 16 a 50mm²</t>
  </si>
  <si>
    <t>Conector, cunha, liga de alumínio, CN 10, 8.23 a 14.53 mm2, 4.11 a 11.79 mm2, série azul</t>
  </si>
  <si>
    <t>4/0 c/ 95mm²</t>
  </si>
  <si>
    <t>Conector, cunha, liga de alumínio, CN 15, 9.25 a 14.53 mm2, 9.25 a 14.53 mm2, série azul</t>
  </si>
  <si>
    <t>336 c/150mm²</t>
  </si>
  <si>
    <t>Conector, cunha, liga de alumínio, CN 2, 15.24 a 17.37 mm2, 11.68 a 17.37 mm2, série azul</t>
  </si>
  <si>
    <t>4/0 c/ 16mm²</t>
  </si>
  <si>
    <t>Conector, cunha, liga de alumínio, CN 6, 9.25 a 14.53 mm2, 6.55 a 14.53 mm2, série azul</t>
  </si>
  <si>
    <t>336 c/ 16mm²</t>
  </si>
  <si>
    <t>Conector, cunha, liga de alumínio, CN 4, 15.27 a 15.24 mm2, 6.55 a 14.27 mm2, série azul</t>
  </si>
  <si>
    <t>2 C/  35mm²</t>
  </si>
  <si>
    <t>Cabo, protegido, alumínio, 35 mm2, polietil. reticulado (XLPE), resist. ao trilhamento 4.0 KV</t>
  </si>
  <si>
    <t>1/0 C/ 50mm²</t>
  </si>
  <si>
    <t>Cabo, protegido, alumínio, 50 mm2, polietil. reticulado (XLPE), resist. ao trilhamento 4.0 KV</t>
  </si>
  <si>
    <t>4/0 C/ 95mm²</t>
  </si>
  <si>
    <t>Cabo, protegido, alumínio, 95 mm2, polietil. reticulado (XLPE), resist. ao trilhamento 4.0 KV</t>
  </si>
  <si>
    <t>Cabo, protegido, alumínio, 150 mm2, polietil. reticulado (XLPE), resist. ao trilhamento 4.0 KV</t>
  </si>
  <si>
    <t>Cabo, cobre, coberto, XLPE, 16 mm2, 15 KV, isolação na cor cinza</t>
  </si>
  <si>
    <t>Terminal espada condutor tronco 336,4 MCM, condutor derivação 2AWG a 336,4 MCM, 2 furos</t>
  </si>
  <si>
    <t>TER C/ 35mm²</t>
  </si>
  <si>
    <t>TER C/ 50mm²</t>
  </si>
  <si>
    <t>TER C/ 95mm²</t>
  </si>
  <si>
    <t>Conector, cunha, liga de alumínio, CN 3, 15.24 a 17.37 mm2, 8.23 a 15.24 mm2, série azul</t>
  </si>
  <si>
    <t>TER C/ 150mm²</t>
  </si>
  <si>
    <t>Caixa de medição</t>
  </si>
  <si>
    <t>Cabo, cobre isolado singelo, 16 mm2, 750 V, preto</t>
  </si>
  <si>
    <t>Haste aterramento simples aço carbono cobreada 16.00mm, 2.400 mm, 254 microns</t>
  </si>
  <si>
    <t>Conector, cunha ramal, liga de cobra estanhado, III, série vermelho</t>
  </si>
  <si>
    <t xml:space="preserve">Conector, cunha ramal, liga de cobre estanhado, II, 3.17 a 8.12mm2, série verde </t>
  </si>
  <si>
    <t>Cordoalha, aço, zincado, diâm 6,4 mm, form 7 fios, categ MR</t>
  </si>
  <si>
    <t>Conector, aterramento, tipo cunha, cabo-haste, 5/8", cordoalha de aço</t>
  </si>
  <si>
    <t>Mão francesa, plana, aço carbono 620mm (comprimento), 5 mm</t>
  </si>
  <si>
    <t xml:space="preserve">Chave, seccion. de distrib., faca, monopolar, externo, 36.2 kV, 12.5 kA </t>
  </si>
  <si>
    <t>Cruzeta, polimérica, polietileno com fibra natural, 2.400, 250 daN</t>
  </si>
  <si>
    <t>Conector, cunha, liga de alumínio, CN 13,  série vermelho</t>
  </si>
  <si>
    <t>Conector, cunha, liga de alumínio, CN 10,  série azul</t>
  </si>
  <si>
    <t>Conector, cunha, liga de alumínio, CN 6, série azul</t>
  </si>
  <si>
    <t>Conector, cunha, liga de alumínio, CN 2, série azul</t>
  </si>
  <si>
    <t>Conector, cunha, liga de alumínio, CN 4, série azul</t>
  </si>
  <si>
    <t>Conector, cunha, liga de alumínio, CN 4, , série azul</t>
  </si>
  <si>
    <t>Conector, cunha, liga de alumínio, CN 4,  série azul</t>
  </si>
  <si>
    <t>Conector, cunha, liga de alumínio, CN 3, série azul</t>
  </si>
  <si>
    <t>Terminal espada condutor tronco 336,4 MCM, 2AWG a 336,4 MCM, 2 furos</t>
  </si>
  <si>
    <t>Cabo, protegido, alumínio, 35 mm2, polietil. reticulado (XLPE), 4.0 KV</t>
  </si>
  <si>
    <t>Cabo, protegido, alumínio, 50 mm2, polietil. reticulado (XLPE), 4.0 KV</t>
  </si>
  <si>
    <t>Cabo, protegido, alumínio, 95 mm2, polietil. reticulado (XLPE), 4.0 KV</t>
  </si>
  <si>
    <t>Cabo, protegido, alumínio, 150 mm2, polietil. reticulado (XLPE), 4.0 KV</t>
  </si>
  <si>
    <t>Chave, fusível, monopolar, C, 36.2 kV, 300 A, 100 A, 5 kA,12.5 Ka</t>
  </si>
  <si>
    <t>Eletroduto, flexível. Em fita de aço doce zincado, PVC, ¾” , 3m</t>
  </si>
  <si>
    <t>UN.</t>
  </si>
  <si>
    <t>SUPORTE, PARA APOIO DE ESCADA,  PARA INSTALACAO DE RELIGADOREM POSTE D "T"</t>
  </si>
  <si>
    <t>CONECTOR, CUNHA, LIGA DE ALUMNIO, TIPO CN 3, SERIE AZUL</t>
  </si>
  <si>
    <t>TRANSFORMADOR, DISTRIBUICAO, MONOFASICO, 5 KVA, 15 KV,  -7967 V - 254/127 V</t>
  </si>
  <si>
    <t>TRANSFORMADOR, DISTRIBUICAO, MONOFASICO, 5 KVA, 36,2 KV, -19.919 V- 254/127 V</t>
  </si>
  <si>
    <t>HASTE, ATERRAMENTO, SIMPLES, ACO CARBONO, 16.00 MM, 2.400 MM</t>
  </si>
  <si>
    <t xml:space="preserve">PARA-RAIOS, DISTR, POLIMERICO, ZNO S/ CENTELHADOR, 12 KV, 10 KA, </t>
  </si>
  <si>
    <t>CONECTOR, CUNHA, LIGA DE ALUMNIO, CN 6, SERIE AZUL</t>
  </si>
  <si>
    <t>CONECTOR, CUNHA, LIGA DE ALUMNIO, CN 10, SERIE AZUL</t>
  </si>
  <si>
    <t>CONECTOR, CUNHA, LIGA DE ALUMNIO, CN 3, SERIE AZUL</t>
  </si>
  <si>
    <t>CONECTOR, CUNHA, LIGA DE ALUMNIO, CN 12, SERIE VERMELHO</t>
  </si>
  <si>
    <t>CONECTOR, CUNHA, LIGA DE ALUMNIO, CN 14, SERIE VERMELHO</t>
  </si>
  <si>
    <t>CONECTOR, CUNHA, LIGA DE ALUMNIO, CN 5, SERIE AZUL</t>
  </si>
  <si>
    <t xml:space="preserve">TRANSFORMADOR DE POTENCIAL- 500 VA – 7967 V – 20 V </t>
  </si>
  <si>
    <t xml:space="preserve">TRANSFORMADOR DE POTENCIAL- 500 VA – 19962 V – 120 V </t>
  </si>
  <si>
    <t>CABO, ELETRICO PROTEGIDO, ALUM., 95 MM2, POLIETILENO RETICULADO (XLPE),  4.0 KV</t>
  </si>
  <si>
    <t xml:space="preserve">LAÇO PRÉ-FORMADO DISTRIBUIÇÃO PARA CABO CAA 2 AWG PARA ISOLADOR DE </t>
  </si>
  <si>
    <t xml:space="preserve">LAÇO PRÉ-FORMADO DISTRIBUIÇÃO PARA CABO CAA 1/0 AWG </t>
  </si>
  <si>
    <t>LAÇO PRÉ-FORMADO DISTRIBUIÇÃO PARA CABO CAA 4/0 AWG</t>
  </si>
  <si>
    <t xml:space="preserve">LAÇO PRÉ-FORMADO DISTRIBUIÇÃO PARA CABO CAA 336,4 MCM </t>
  </si>
  <si>
    <t>CONECTOR, CUNHA RAMAL, LIGA DE COBRE ESTANHADO, TIPO II, SERIE VERDE</t>
  </si>
  <si>
    <t>MAO FRANCESA, PLANA, ACO CARBONO, 620 MM x 5 MM</t>
  </si>
  <si>
    <t>CONECTOR, CUNHA RAMAL, LIGA DE COBRE ESTANHADO, TIPO III</t>
  </si>
  <si>
    <t>ISOLADOR, PILAR, PORCELANA VITRIFICADA, 36,2 KV, NBI 170 KV</t>
  </si>
  <si>
    <t>ISOLADOR, PILAR, PORCELANA VITRIFICADA, 15 KV, NBI 110 KV</t>
  </si>
  <si>
    <t>NORMA TÉCNICA NTD-RE- 006</t>
  </si>
  <si>
    <t>PARA MEDIÇÃO EM MÉDIA TENSÃO 34,5KV</t>
  </si>
  <si>
    <t>Alça pré formada 10mm</t>
  </si>
  <si>
    <t>Alça pré formada 16mm</t>
  </si>
  <si>
    <t>Alça pré formada 25mm</t>
  </si>
  <si>
    <t>Alça pré formada para cabo 1/0 CAA AWG</t>
  </si>
  <si>
    <t>Alça pré formada para cabo 2 CAA AWG</t>
  </si>
  <si>
    <t>Alça pré formada para cabo 4 CAA AWG</t>
  </si>
  <si>
    <t>Alça pré formada para cabo 4/0 CAA AWG</t>
  </si>
  <si>
    <t xml:space="preserve">Arame Galvanizado 14 BWG 2,10MM </t>
  </si>
  <si>
    <t>Armação secundaria 3/1/6" - 1x1 estribo (pesada)</t>
  </si>
  <si>
    <t>Armação secundaria 3/16" - 2x2 estribo (pesada)</t>
  </si>
  <si>
    <t>Arruela de aluminio 1"</t>
  </si>
  <si>
    <t>Arruela de aluminio 1.1/2"</t>
  </si>
  <si>
    <t>Arruela de aluminio 1.1/4"</t>
  </si>
  <si>
    <t>Arruela de aluminio 1/2"</t>
  </si>
  <si>
    <t>Arruela de aluminio 2"</t>
  </si>
  <si>
    <t>Arruela de aluminio 2.1/2"</t>
  </si>
  <si>
    <t>Arruela de aluminio 3/4"</t>
  </si>
  <si>
    <t>Arruela de aluminio 4"</t>
  </si>
  <si>
    <t>Arruela de aluminio de 3"</t>
  </si>
  <si>
    <t>ARRUELA PARA ELETRODUTO 2"</t>
  </si>
  <si>
    <t>ARRUELA PARA ELETRODUTO 3/4"</t>
  </si>
  <si>
    <t>Bastão quimico 9-kg</t>
  </si>
  <si>
    <t>Bucha de aluminio 1"</t>
  </si>
  <si>
    <t>Bucha de aluminio 1.1/2"</t>
  </si>
  <si>
    <t>Bucha de aluminio 1.1/4"</t>
  </si>
  <si>
    <t>Bucha de aluminio 1/2"</t>
  </si>
  <si>
    <t>Bucha de aluminio 2"</t>
  </si>
  <si>
    <t>Bucha de aluminio 2.1/2"</t>
  </si>
  <si>
    <t>Bucha de aluminio 3"</t>
  </si>
  <si>
    <t>Bucha de aluminio 3/4"</t>
  </si>
  <si>
    <t>Bucha de aluminio 4"</t>
  </si>
  <si>
    <t>Cabeçote de aluminio 1"</t>
  </si>
  <si>
    <t>Cabeçote de aluminio 1.1/2"</t>
  </si>
  <si>
    <t>Cabeçote de aluminio 1.1/4"</t>
  </si>
  <si>
    <t>Cabeçote de aluminio 2"</t>
  </si>
  <si>
    <t>Cabeçote de aluminio 2.1/2"</t>
  </si>
  <si>
    <t>Cabeçote de aluminio 3"</t>
  </si>
  <si>
    <t>Cabeçote de aluminio 3/4"</t>
  </si>
  <si>
    <t>Cabeçote de aluminio 4"</t>
  </si>
  <si>
    <t>Cabo aluminio multiplexado quad. Xlpe 3x1x120+70mm²</t>
  </si>
  <si>
    <t>Cabo aluminio multiplexado quad. Xlpe 3x1x35+35mm²</t>
  </si>
  <si>
    <t>Cabo aluminio multiplexado quad. Xlpe 3x1x70+70mm²</t>
  </si>
  <si>
    <t xml:space="preserve">Cabo Aluminio triplex Xlpe 10 mm </t>
  </si>
  <si>
    <t xml:space="preserve">Cabo Aluminio triplex Xlpe 16 mm </t>
  </si>
  <si>
    <t xml:space="preserve">Cabo Aluminio triplex Xlpe 25 mm </t>
  </si>
  <si>
    <t>Cabo cu flex EPR 25mm 0,6/1kv (rede compacta)</t>
  </si>
  <si>
    <t>Cabo de aço galvanizado - 6,4mm (cordoalha)</t>
  </si>
  <si>
    <t>Cabo de aluminio nu 1/0 CAA AWG</t>
  </si>
  <si>
    <t>Cabo de aluminio nu 4 CAA - AWG</t>
  </si>
  <si>
    <t>Cabo de aluminio nu 4/0 CAA AWG</t>
  </si>
  <si>
    <t>Cabo de cobre coberto com XLPE - 15kv 16mm</t>
  </si>
  <si>
    <t>Cabo de cobre flex. isol. 750V - 16mm - azul</t>
  </si>
  <si>
    <t>Cabo de cobre flex. isol. 750V - 2,5mm - amarelo</t>
  </si>
  <si>
    <t>Cabo de cobre flex. isol. 750V - 2,5mm - vermelho</t>
  </si>
  <si>
    <t>Cabo de cobre flex. Isol. 750V - 25mm - AZUL</t>
  </si>
  <si>
    <t>Cabo de cobre flexivel isolado 1KV -  35mm</t>
  </si>
  <si>
    <t>Cabo de cobre flexivel isolado 1kv 120mm</t>
  </si>
  <si>
    <t>Cabo de cobre flexivel isolado 1kv 240mm</t>
  </si>
  <si>
    <t>Cabo de cobre flexivel isolado 1kv 25mm</t>
  </si>
  <si>
    <t>Cabo de cobre flexivel isolado 1kv 50mm</t>
  </si>
  <si>
    <t>Cabo de cobre flexivel isolado 1kv 70mm</t>
  </si>
  <si>
    <t>Cabo de cobre flexivel isolado 1kv 95mm</t>
  </si>
  <si>
    <t>Cabo de cobre flexivel isolado 750V -  25mm</t>
  </si>
  <si>
    <t>Cabo de cobre nu-  25mm</t>
  </si>
  <si>
    <t>CAIXA DE CONCRETO 50X50</t>
  </si>
  <si>
    <t>Caixa de proteção DJ-1 (Cemat)</t>
  </si>
  <si>
    <t>Caixa de proteção DJ-2 (Cemat)</t>
  </si>
  <si>
    <t>CAIXA PADRAO FM MONOFASICA - OLIPE</t>
  </si>
  <si>
    <t>CAIXA PADRAO FP MONOFASICA - OLIPE</t>
  </si>
  <si>
    <t xml:space="preserve">Cartucho tipo bala p/ conector cunha (azul) </t>
  </si>
  <si>
    <t>Cartucho tipo bala p/ conector cunha (vermelho)</t>
  </si>
  <si>
    <t>Carvão mineral 12-kg</t>
  </si>
  <si>
    <t>Chapa p/ estai</t>
  </si>
  <si>
    <t>Chave fusível XS 15KV-300A - 10KA (sem ferragem)</t>
  </si>
  <si>
    <t>Chave fusível XS 15KV-300A - 10KA (com ferragem)</t>
  </si>
  <si>
    <t>Chave fusível XS 36,2KV-300A - 05KA (sem ferragem)</t>
  </si>
  <si>
    <t>CHAVE SECCIONADORA 36,2KV-400A-NBI 150KV</t>
  </si>
  <si>
    <t>CHAVE SECCIONADORA 36,2KV-630A-NBI 150KV</t>
  </si>
  <si>
    <t>Conector derivação tipo cunha - Tronco cabo 6,4mm² Derivação cabo 6,4mm²</t>
  </si>
  <si>
    <t>Conector derivação tipo cunha - AMP - tipo C</t>
  </si>
  <si>
    <t>Conector derivação tipo cunha - AMP - tipo I</t>
  </si>
  <si>
    <t>Conector derivação tipo cunha - AMP - tipo V</t>
  </si>
  <si>
    <t xml:space="preserve">Conector derivação tipo cunha - AMP - tipo VI </t>
  </si>
  <si>
    <t xml:space="preserve">Conector derivação tipo cunha - AMP - tipo VII </t>
  </si>
  <si>
    <t>Conector derivação tipo cunha - AMP - tipo VIII</t>
  </si>
  <si>
    <t>Conector perfurante P16-120 / D4-35mm</t>
  </si>
  <si>
    <t>Conector perfurante P25-120 / D25-120mm</t>
  </si>
  <si>
    <t>Conector perfurante P70-240 / D70-240mm</t>
  </si>
  <si>
    <t>Conector tipo cunha 336 x 336</t>
  </si>
  <si>
    <t>Cruzeta de concreto - 250 daN - retangular</t>
  </si>
  <si>
    <t>Curva p/ eletroduto PVC 90° x 1"</t>
  </si>
  <si>
    <t>Curva p/ eletroduto PVC 90° x 1. 1/4"</t>
  </si>
  <si>
    <t>Curva p/ eletroduto PVC 90° x 1.1/2"</t>
  </si>
  <si>
    <t>Curva p/ eletroduto PVC 90° x 2"</t>
  </si>
  <si>
    <t>Curva p/ eletroduto PVC 90° x 2.1/2"</t>
  </si>
  <si>
    <t>Curva p/ eletroduto PVC 90° x 3"</t>
  </si>
  <si>
    <t>Curva p/ eletroduto PVC 90° x 3/4"</t>
  </si>
  <si>
    <t>Curva p/ eletroduto PVC 90° x 4"</t>
  </si>
  <si>
    <r>
      <t xml:space="preserve">DISJUNTOR </t>
    </r>
    <r>
      <rPr>
        <b/>
        <sz val="10"/>
        <rFont val="Arial"/>
        <family val="2"/>
      </rPr>
      <t xml:space="preserve"> MONOPOLAR 15A</t>
    </r>
    <r>
      <rPr>
        <sz val="10"/>
        <rFont val="Arial"/>
        <family val="2"/>
      </rPr>
      <t xml:space="preserve"> </t>
    </r>
  </si>
  <si>
    <r>
      <t xml:space="preserve">DISJUNTOR </t>
    </r>
    <r>
      <rPr>
        <b/>
        <sz val="10"/>
        <rFont val="Arial"/>
        <family val="2"/>
      </rPr>
      <t xml:space="preserve"> MONOPOLAR 20A</t>
    </r>
    <r>
      <rPr>
        <sz val="10"/>
        <rFont val="Arial"/>
        <family val="2"/>
      </rPr>
      <t xml:space="preserve"> </t>
    </r>
  </si>
  <si>
    <r>
      <t xml:space="preserve">DISJUNTOR </t>
    </r>
    <r>
      <rPr>
        <b/>
        <sz val="10"/>
        <rFont val="Arial"/>
        <family val="2"/>
      </rPr>
      <t xml:space="preserve"> MONOPOLAR 40A</t>
    </r>
    <r>
      <rPr>
        <sz val="10"/>
        <rFont val="Arial"/>
        <family val="2"/>
      </rPr>
      <t xml:space="preserve"> </t>
    </r>
  </si>
  <si>
    <r>
      <t xml:space="preserve">DISJUNTOR </t>
    </r>
    <r>
      <rPr>
        <b/>
        <sz val="10"/>
        <rFont val="Arial"/>
        <family val="2"/>
      </rPr>
      <t xml:space="preserve"> MONOPOLAR 50A</t>
    </r>
    <r>
      <rPr>
        <sz val="10"/>
        <rFont val="Arial"/>
        <family val="2"/>
      </rPr>
      <t xml:space="preserve"> </t>
    </r>
  </si>
  <si>
    <r>
      <t>DISJUNTOR B</t>
    </r>
    <r>
      <rPr>
        <b/>
        <sz val="10"/>
        <rFont val="Arial"/>
        <family val="2"/>
      </rPr>
      <t>IPOLAR 30A</t>
    </r>
    <r>
      <rPr>
        <sz val="10"/>
        <rFont val="Arial"/>
        <family val="2"/>
      </rPr>
      <t xml:space="preserve"> </t>
    </r>
  </si>
  <si>
    <r>
      <t>DISJUNTOR B</t>
    </r>
    <r>
      <rPr>
        <b/>
        <sz val="10"/>
        <rFont val="Arial"/>
        <family val="2"/>
      </rPr>
      <t>IPOLAR 50A</t>
    </r>
    <r>
      <rPr>
        <sz val="10"/>
        <rFont val="Arial"/>
        <family val="2"/>
      </rPr>
      <t xml:space="preserve"> </t>
    </r>
  </si>
  <si>
    <r>
      <t>DISJUNTOR B</t>
    </r>
    <r>
      <rPr>
        <b/>
        <sz val="10"/>
        <rFont val="Arial"/>
        <family val="2"/>
      </rPr>
      <t>IPOLAR 60A</t>
    </r>
    <r>
      <rPr>
        <sz val="10"/>
        <rFont val="Arial"/>
        <family val="2"/>
      </rPr>
      <t xml:space="preserve"> </t>
    </r>
  </si>
  <si>
    <r>
      <t>DISJUNTOR B</t>
    </r>
    <r>
      <rPr>
        <b/>
        <sz val="10"/>
        <rFont val="Arial"/>
        <family val="2"/>
      </rPr>
      <t>IPOLAR 70A</t>
    </r>
    <r>
      <rPr>
        <sz val="10"/>
        <rFont val="Arial"/>
        <family val="2"/>
      </rPr>
      <t xml:space="preserve"> </t>
    </r>
  </si>
  <si>
    <r>
      <t>DISJUNTOR B</t>
    </r>
    <r>
      <rPr>
        <b/>
        <sz val="10"/>
        <rFont val="Arial"/>
        <family val="2"/>
      </rPr>
      <t>IPOLAR 90A</t>
    </r>
    <r>
      <rPr>
        <sz val="10"/>
        <rFont val="Arial"/>
        <family val="2"/>
      </rPr>
      <t xml:space="preserve"> </t>
    </r>
  </si>
  <si>
    <t>Disjuntor eletromagnético  - 3 polos - 300A</t>
  </si>
  <si>
    <t>Disjuntor eletromagnético 100A</t>
  </si>
  <si>
    <t>Disjuntor eletromagnético 125A</t>
  </si>
  <si>
    <t>Disjuntor eletromagnético 200A</t>
  </si>
  <si>
    <t>Disjuntor eletromagnético 225A</t>
  </si>
  <si>
    <t>Disjuntor eletromagnético 250A</t>
  </si>
  <si>
    <r>
      <t>DISJUNTOR T</t>
    </r>
    <r>
      <rPr>
        <b/>
        <sz val="10"/>
        <rFont val="Arial"/>
        <family val="2"/>
      </rPr>
      <t>IPOLAR 90A</t>
    </r>
    <r>
      <rPr>
        <sz val="10"/>
        <rFont val="Arial"/>
        <family val="2"/>
      </rPr>
      <t xml:space="preserve"> </t>
    </r>
  </si>
  <si>
    <t>Eletroduto de pvc - (1")</t>
  </si>
  <si>
    <t>Eletroduto de pvc - (2")</t>
  </si>
  <si>
    <t>Eletroduto de pvc - (3")</t>
  </si>
  <si>
    <t>Eletroduto de pvc - (4")</t>
  </si>
  <si>
    <t>Eletroduto de pvc - 1.1/2"</t>
  </si>
  <si>
    <t>Eletroduto de pvc - 1.1/4"</t>
  </si>
  <si>
    <t>Eletroduto de pvc - 2.1/2"</t>
  </si>
  <si>
    <t>Eletroduto de pvc - 3/4</t>
  </si>
  <si>
    <t>Elo fusível tipo 0,25-H</t>
  </si>
  <si>
    <t>Elo fusível tipo 0,50-H</t>
  </si>
  <si>
    <t>Elo fusível tipo 0,75-H</t>
  </si>
  <si>
    <t>Elo fusível tipo 1,25-H</t>
  </si>
  <si>
    <t>Elo fusível tipo 1,75-H</t>
  </si>
  <si>
    <t>Elo fusível tipo 10-K</t>
  </si>
  <si>
    <t>Elo fusível tipo 15-K</t>
  </si>
  <si>
    <t>Elo fusível tipo 1-H</t>
  </si>
  <si>
    <t>Elo fusível tipo 20-K</t>
  </si>
  <si>
    <t>Elo fusível tipo 25-K</t>
  </si>
  <si>
    <t>Elo fusível tipo 2-H</t>
  </si>
  <si>
    <t>Elo fusível tipo 3-H</t>
  </si>
  <si>
    <t>Elo fusível tipo 40-K</t>
  </si>
  <si>
    <t>Elo fusível tipo 5-H</t>
  </si>
  <si>
    <t>Elo fusível tipo 6-K</t>
  </si>
  <si>
    <t>Emenda pre formada 2 AWG-CA</t>
  </si>
  <si>
    <t>Emenda pre formada 2 AWG-CAA</t>
  </si>
  <si>
    <t>Fio 8awg - alumistil</t>
  </si>
  <si>
    <t>Fio de cobre sólido isol. 750v - 1,5mm - branco</t>
  </si>
  <si>
    <t>Fio de cobre sólido isol. 750v - 1,5mm - preto</t>
  </si>
  <si>
    <t>Fio de cobre sólido isol. 750v - 10mm - azul</t>
  </si>
  <si>
    <t>Fio de cobre sólido isol. 750v - 6mm - azul</t>
  </si>
  <si>
    <t>Fio de cobre sólido isol. 750v - 6mm - branco</t>
  </si>
  <si>
    <t>Fio de cobre sólido isol. 750v - 6mm - preto</t>
  </si>
  <si>
    <t>Fio de cobre sólido isol. 750v - 6mm - verde</t>
  </si>
  <si>
    <t>Fio de cobre sólido isol. 750v - 6mm - vermelho</t>
  </si>
  <si>
    <t xml:space="preserve">Fita Isolante Preta 19mm x 10m </t>
  </si>
  <si>
    <t>Granpo ancoragem met. CB COB CABO 13,0 A 16</t>
  </si>
  <si>
    <t>HASTE ANCORA M-16X2400MM</t>
  </si>
  <si>
    <t>Haste aterramento simples - 1/2" x 1500mm</t>
  </si>
  <si>
    <t>Haste aterramento simples - 1/2" x 2400mm</t>
  </si>
  <si>
    <t>Haste aterramento simples - 5/8" x 2400mm</t>
  </si>
  <si>
    <t>Haste aterramento tipo cantoneira - 2400mm</t>
  </si>
  <si>
    <t>Haste de aterramento circular prolongavel aço-cobre - 5/8" por 2400mm</t>
  </si>
  <si>
    <t>Interruptor simples 10A - sobrepor</t>
  </si>
  <si>
    <t>Isolador de disco 15kv</t>
  </si>
  <si>
    <t>Isolador pilar 15kv</t>
  </si>
  <si>
    <t>Isolador pilar 35kv</t>
  </si>
  <si>
    <t>Laço lateral fio N. 8 caz</t>
  </si>
  <si>
    <t>Laço pré-formado de topo para cabo 1/0 CAA</t>
  </si>
  <si>
    <t>Laço pré-formado de topo para cabo 2 CAA</t>
  </si>
  <si>
    <t>Laço pré-formado de topo para cabo 4 CAA</t>
  </si>
  <si>
    <t>Laço pré-formado de topo para cabo 4/0 CAA</t>
  </si>
  <si>
    <t>Laço pré-formado simples lateral para cabo 1/0 CAA</t>
  </si>
  <si>
    <t>Laço pré-formado simples lateral para cabo 2 CAA</t>
  </si>
  <si>
    <t>Laço pré-formado simples lateral para cabo 4 CAA</t>
  </si>
  <si>
    <t>Laço pré-formado simples lateral para cabo 4/0 CAA</t>
  </si>
  <si>
    <t>Lampada incandecente 100W - 127 V.</t>
  </si>
  <si>
    <t>Luva de emenda para haste 5/8"</t>
  </si>
  <si>
    <t>Luva p/ eletroduto PVC - 1"</t>
  </si>
  <si>
    <t>Luva p/ eletroduto PVC - 1.1/2"</t>
  </si>
  <si>
    <t>Luva p/ eletroduto PVC - 1.1/4"</t>
  </si>
  <si>
    <t>Luva p/ eletroduto PVC - 2"</t>
  </si>
  <si>
    <t>Luva p/ eletroduto PVC - 2.1/2"</t>
  </si>
  <si>
    <t>Luva p/ eletroduto PVC - 3"</t>
  </si>
  <si>
    <t>Luva p/ eletroduto PVC - 3/4"</t>
  </si>
  <si>
    <t>Luva p/ eletroduto PVC - 4"</t>
  </si>
  <si>
    <t>Mão francesa plana de 619mm</t>
  </si>
  <si>
    <t>MASSA P/ CALAFETAR CINZA</t>
  </si>
  <si>
    <t>Padrão bifásico rural 90 AMP - 25 kva</t>
  </si>
  <si>
    <t>Parafuso de cabeça quadrada - 100mm</t>
  </si>
  <si>
    <t>Parafuso Frances 45mm p/ poste circ</t>
  </si>
  <si>
    <t>Pino Curto p/ Isolador de Pino</t>
  </si>
  <si>
    <t>Pino auto-travante - 16 x 140mm</t>
  </si>
  <si>
    <t>Pino auto-travante - 16 x 228mm</t>
  </si>
  <si>
    <t>Pino auto-travante - 16 x 66mm</t>
  </si>
  <si>
    <t>Pino auto-travante - 3/4 x 140mm</t>
  </si>
  <si>
    <t>Pino auto-travante - 3/4 x 228mm</t>
  </si>
  <si>
    <t>Placa de Concreto</t>
  </si>
  <si>
    <t>Presilha de fio - tipo miguelão</t>
  </si>
  <si>
    <t>Roldana plastica 24 x 24 com prego</t>
  </si>
  <si>
    <t>Sapatilha para cabo de aço - 7,94mm</t>
  </si>
  <si>
    <t>Sela p/ Cruzeta de Aço</t>
  </si>
  <si>
    <t>Silicone 500g</t>
  </si>
  <si>
    <t>Soquete porcelana sobrepor 04 Amp.</t>
  </si>
  <si>
    <t>Suporte de transformador em poste DT</t>
  </si>
  <si>
    <t>Suporte C</t>
  </si>
  <si>
    <t>Suporte L</t>
  </si>
  <si>
    <t>Suporte ''T'' 5/16x540mm 15kv</t>
  </si>
  <si>
    <t>Suporte ''T'' 5/16x800mm 25kv</t>
  </si>
  <si>
    <t>Terminal de compresão 120mm</t>
  </si>
  <si>
    <t>Terminal de compresão 150mm</t>
  </si>
  <si>
    <t>Terminal de compresão 240mm</t>
  </si>
  <si>
    <t>Terminal de compresão 25mm</t>
  </si>
  <si>
    <t>Terminal de compresão 35mm</t>
  </si>
  <si>
    <t>Terminal de compresão 50mm</t>
  </si>
  <si>
    <t>Terminal de compresão 70mm</t>
  </si>
  <si>
    <t>Terminal de compresão 95mm</t>
  </si>
  <si>
    <t>Terminal de presão 120mm</t>
  </si>
  <si>
    <t>Terminal de presão 150mm</t>
  </si>
  <si>
    <t>Terminal de presão 240mm</t>
  </si>
  <si>
    <t>Terminal de presão 50mm</t>
  </si>
  <si>
    <t>Terminal de presão 95mm</t>
  </si>
  <si>
    <t>TERMINAL LATÃO 16 MM</t>
  </si>
  <si>
    <t>Terminal pressão tipo latão 25mm</t>
  </si>
  <si>
    <t>Terminal pressão tipo latão 70mm</t>
  </si>
  <si>
    <t>Terminal tipo espada - 336</t>
  </si>
  <si>
    <t>Terminal tipo espada - 4/0</t>
  </si>
  <si>
    <t>Terra gel (protegel) 12-kg</t>
  </si>
  <si>
    <t>TUBO CH GALV 3" EXT X CH18 X 5M S/ROSCA (p/ padrão)</t>
  </si>
  <si>
    <t>TUBO CH GALV 3" EXT X CH18 X 7M S/ROSCA (p/ padrão)</t>
  </si>
  <si>
    <t>Armação secundária 2 estribos -zincada</t>
  </si>
  <si>
    <t>Isolador roldana porcelana 76x80 mm</t>
  </si>
  <si>
    <t>Fio de alumínio nú para amarração – 6 AWG</t>
  </si>
  <si>
    <t>Fita de alumínio recozido para proteção de cabo</t>
  </si>
  <si>
    <t>Suporte J</t>
  </si>
  <si>
    <t>Estribo para suporte tipo L</t>
  </si>
  <si>
    <t xml:space="preserve">Espaçador Losang 15kv </t>
  </si>
  <si>
    <t>Anel Amarração</t>
  </si>
  <si>
    <t>Fixador de Perfil ''U'' 176mm</t>
  </si>
  <si>
    <t>Pára-raios de distribuição - 15kV - polimérico - 10kA</t>
  </si>
  <si>
    <t>Parafuso de cabeça abaulada 50mm</t>
  </si>
  <si>
    <t>Parafuso de cabeça abaulada 100mm</t>
  </si>
  <si>
    <t>Parafuso de cabeça abaulada 150mm</t>
  </si>
  <si>
    <t>Suporte para fixar para-raios em cruzeta</t>
  </si>
  <si>
    <t>Braço anti-balanço - 15kv</t>
  </si>
  <si>
    <t>2</t>
  </si>
  <si>
    <t>Arruela espaçadora 50x30mm</t>
  </si>
  <si>
    <t>CLH-T-PR  (SEM O TRAFO)</t>
  </si>
  <si>
    <t>CLEA-T-PR (SEM O TRAFO)</t>
  </si>
  <si>
    <t>Isolador de pino polimérico 15kv (Rede Compacta)</t>
  </si>
  <si>
    <t>Perfil ''U''</t>
  </si>
  <si>
    <t xml:space="preserve">CUF3-T-PR (C/ CF e S/ O TRAFO)  </t>
  </si>
  <si>
    <t>Suporte horizontal</t>
  </si>
  <si>
    <t>CHAVE SECCIONADORA 15KV-600A</t>
  </si>
  <si>
    <t>NA FORM.</t>
  </si>
  <si>
    <t>NA FORM</t>
  </si>
  <si>
    <t>Parafuso de cabeça quadrada - 400mm</t>
  </si>
  <si>
    <t>Cinta circular de Ø 270 mm</t>
  </si>
  <si>
    <t>Suporte de transformador em poste circular –Ø-195 mm</t>
  </si>
  <si>
    <t>Suporte de transformador em poste circular –Ø-200 mm</t>
  </si>
  <si>
    <t>Suporte de transformador em poste circular –Ø-230 mm</t>
  </si>
  <si>
    <t>Suporte de transformador em poste circular –Ø-240 mm</t>
  </si>
  <si>
    <t>Suporte de transformador em poste circular –Ø-260 mm</t>
  </si>
  <si>
    <t>Suporte de transformador em poste circular –Ø-285 mm</t>
  </si>
  <si>
    <t>Suporte de transformador em poste circular –Ø-290 mm</t>
  </si>
  <si>
    <t>Suporte de transformador em poste circular –Ø-300 mm</t>
  </si>
  <si>
    <t>95mm²</t>
  </si>
  <si>
    <t>Alça pré-formada de estai p/ cabo de aço -6,4 mm</t>
  </si>
  <si>
    <t>Alça pré-formada de estai p/ cabo de aço -9,5 mm</t>
  </si>
  <si>
    <t>Fixador pré-formado de estai p/ cabo de aço - 6,4 mm x 6,4 mm</t>
  </si>
  <si>
    <t>Fixador pré-formado de estai p/ cabo de aço - 6,4 mm x 9,5 mm</t>
  </si>
  <si>
    <t>Grampo de ancoragem p/ cabo coberto-15kV de 35 mm²</t>
  </si>
  <si>
    <t>Grampo de ancoragem p/ cabo coberto-15kV de 50 mm²</t>
  </si>
  <si>
    <t>Grampo de ancoragem p/ cabo coberto-15kV de 95 mm²</t>
  </si>
  <si>
    <t>Grampo de ancoragem p/ cabo coberto-15kV de 150 mm²</t>
  </si>
  <si>
    <t>Grampo de ancoragem p/ cabo coberto-15kV de 185 mm²</t>
  </si>
  <si>
    <t>Capa protetora p/ conector cunha de aplic. em cabos CA de 35 a 185 mm²</t>
  </si>
  <si>
    <t>Conector derivação cunha tipo estribo normal-35 mm² x 2 AWG</t>
  </si>
  <si>
    <t>Conector terminal de estrangulamento para chave faca-cabo 35 mm²</t>
  </si>
  <si>
    <t>Conector derivação cunha tipo estribo normal- 50 mm² x 2 AWG</t>
  </si>
  <si>
    <t>Conector derivação cunha tipo estribo normal - 95 mm² x 2 AWG</t>
  </si>
  <si>
    <t>Conector derivação cunha tipo estribo normal- 185 mm² x 2 AWG</t>
  </si>
  <si>
    <t>Conector derivação cunha tipo estribo normal - 150 mm² X 2 AWG</t>
  </si>
  <si>
    <t>Conector terminal de estrangulamento para chave faca-cabo 50 mm²</t>
  </si>
  <si>
    <t>Conector terminal de estrangulamento para chave faca-cabo 95 mm²</t>
  </si>
  <si>
    <t>Conector terminal de estrangulamento para chave faca-cabo 150 mm²</t>
  </si>
  <si>
    <t>Conector terminal de estrangulamento para chave faca-cabo 185 mm²</t>
  </si>
  <si>
    <t>Cabo alumínio-CA, coberto com polientileno reticulado 35mm²</t>
  </si>
  <si>
    <t>Cabo alumínio-CA, coberto com polientileno reticulado 50mm²</t>
  </si>
  <si>
    <t>Cabo alumínio-CA, coberto com polientileno reticulado 95mm²</t>
  </si>
  <si>
    <t>FÓRMULAS ESPECIAIS</t>
  </si>
  <si>
    <t>CJE (CJ Cadastro)</t>
  </si>
  <si>
    <t>Msgeiro</t>
  </si>
  <si>
    <r>
      <t>CRUZAMENTO AÉREO REDE COMPACTA</t>
    </r>
    <r>
      <rPr>
        <b/>
        <sz val="12"/>
        <color indexed="10"/>
        <rFont val="Calibri"/>
        <family val="2"/>
      </rPr>
      <t xml:space="preserve"> 35mm²</t>
    </r>
  </si>
  <si>
    <r>
      <t xml:space="preserve">CRUZAMENTO AÉREO REDE COMPACTA </t>
    </r>
    <r>
      <rPr>
        <b/>
        <sz val="12"/>
        <color indexed="10"/>
        <rFont val="Calibri"/>
        <family val="2"/>
      </rPr>
      <t>95mm²</t>
    </r>
  </si>
  <si>
    <r>
      <t>CRUZAMENTO AÉREO REDE COMPACTA</t>
    </r>
    <r>
      <rPr>
        <b/>
        <sz val="12"/>
        <color indexed="10"/>
        <rFont val="Calibri"/>
        <family val="2"/>
      </rPr>
      <t xml:space="preserve"> 50mm²</t>
    </r>
  </si>
  <si>
    <t>Separador de cabos</t>
  </si>
  <si>
    <t>Fio de Alumínio coberto 10mm²</t>
  </si>
  <si>
    <r>
      <t xml:space="preserve">ATERRAMENTO DO MENSAGEIRO </t>
    </r>
    <r>
      <rPr>
        <b/>
        <sz val="12"/>
        <color indexed="10"/>
        <rFont val="Calibri"/>
        <family val="2"/>
      </rPr>
      <t>6,4mm² e Neutro 35mm²</t>
    </r>
  </si>
  <si>
    <r>
      <t xml:space="preserve">ATERRAMENTO DO MENSAGEIRO </t>
    </r>
    <r>
      <rPr>
        <b/>
        <sz val="12"/>
        <color indexed="10"/>
        <rFont val="Calibri"/>
        <family val="2"/>
      </rPr>
      <t>9,5mm² e Neutro 70mm²</t>
    </r>
  </si>
  <si>
    <t xml:space="preserve">        Descrição dos materiais</t>
  </si>
  <si>
    <r>
      <rPr>
        <b/>
        <i/>
        <u/>
        <sz val="14"/>
        <color indexed="13"/>
        <rFont val="Arial Narrow"/>
        <family val="2"/>
      </rPr>
      <t>N3-CUF3,</t>
    </r>
    <r>
      <rPr>
        <b/>
        <i/>
        <sz val="14"/>
        <color indexed="13"/>
        <rFont val="Arial Narrow"/>
        <family val="2"/>
      </rPr>
      <t xml:space="preserve"> </t>
    </r>
    <r>
      <rPr>
        <b/>
        <i/>
        <u/>
        <sz val="14"/>
        <color indexed="13"/>
        <rFont val="Arial Narrow"/>
        <family val="2"/>
      </rPr>
      <t>N3-CUF3-PR</t>
    </r>
    <r>
      <rPr>
        <b/>
        <sz val="14"/>
        <color indexed="13"/>
        <rFont val="Arial Narrow"/>
        <family val="2"/>
      </rPr>
      <t xml:space="preserve"> e as estruturas de 2º Nível, não orçam postes. São elas: DCC2, DCUF3 e DC3-CF</t>
    </r>
  </si>
  <si>
    <r>
      <rPr>
        <b/>
        <sz val="16"/>
        <color indexed="13"/>
        <rFont val="Cambria"/>
        <family val="1"/>
      </rPr>
      <t>TRANSFORMADORES TRIFÁSICOS 34.5 KV</t>
    </r>
    <r>
      <rPr>
        <b/>
        <sz val="18"/>
        <color indexed="13"/>
        <rFont val="Cambria"/>
        <family val="1"/>
      </rPr>
      <t xml:space="preserve">         </t>
    </r>
    <r>
      <rPr>
        <b/>
        <sz val="10"/>
        <color indexed="53"/>
        <rFont val="Cambria"/>
        <family val="1"/>
      </rPr>
      <t>Digite nas linhas magentas e/ou verdes</t>
    </r>
  </si>
  <si>
    <r>
      <rPr>
        <b/>
        <sz val="16"/>
        <color indexed="13"/>
        <rFont val="Cambria"/>
        <family val="1"/>
      </rPr>
      <t>TRANSFORMADORES TRIFÁSICOS 13.8 KV</t>
    </r>
    <r>
      <rPr>
        <b/>
        <sz val="18"/>
        <color indexed="13"/>
        <rFont val="Cambria"/>
        <family val="1"/>
      </rPr>
      <t xml:space="preserve">         </t>
    </r>
    <r>
      <rPr>
        <b/>
        <sz val="10"/>
        <color indexed="53"/>
        <rFont val="Cambria"/>
        <family val="1"/>
      </rPr>
      <t>Digite nas linhas magentas e/ou verdes</t>
    </r>
  </si>
  <si>
    <t>70mm²</t>
  </si>
  <si>
    <t>120mm²</t>
  </si>
  <si>
    <r>
      <t>SI-1 (</t>
    </r>
    <r>
      <rPr>
        <b/>
        <sz val="14"/>
        <color indexed="13"/>
        <rFont val="Calibri"/>
        <family val="2"/>
      </rPr>
      <t>Passante</t>
    </r>
    <r>
      <rPr>
        <b/>
        <sz val="14"/>
        <color indexed="9"/>
        <rFont val="Calibri"/>
        <family val="2"/>
      </rPr>
      <t>)</t>
    </r>
  </si>
  <si>
    <r>
      <t>SI-1S (</t>
    </r>
    <r>
      <rPr>
        <b/>
        <sz val="14"/>
        <color indexed="13"/>
        <rFont val="Calibri"/>
        <family val="2"/>
      </rPr>
      <t>Final de 2 circuitos</t>
    </r>
    <r>
      <rPr>
        <b/>
        <sz val="14"/>
        <color indexed="9"/>
        <rFont val="Calibri"/>
        <family val="2"/>
      </rPr>
      <t>)</t>
    </r>
  </si>
  <si>
    <r>
      <t>SI-3 (</t>
    </r>
    <r>
      <rPr>
        <b/>
        <sz val="14"/>
        <color indexed="13"/>
        <rFont val="Calibri"/>
        <family val="2"/>
      </rPr>
      <t>Final de rede</t>
    </r>
    <r>
      <rPr>
        <b/>
        <sz val="14"/>
        <color indexed="9"/>
        <rFont val="Calibri"/>
        <family val="2"/>
      </rPr>
      <t>)</t>
    </r>
  </si>
  <si>
    <r>
      <t>SI-4 (</t>
    </r>
    <r>
      <rPr>
        <b/>
        <sz val="14"/>
        <color indexed="13"/>
        <rFont val="Calibri"/>
        <family val="2"/>
      </rPr>
      <t>Ancoragem simples</t>
    </r>
    <r>
      <rPr>
        <b/>
        <sz val="14"/>
        <color indexed="9"/>
        <rFont val="Calibri"/>
        <family val="2"/>
      </rPr>
      <t>)</t>
    </r>
  </si>
  <si>
    <r>
      <t>SI-1T (</t>
    </r>
    <r>
      <rPr>
        <b/>
        <sz val="14"/>
        <color indexed="13"/>
        <rFont val="Calibri"/>
        <family val="2"/>
      </rPr>
      <t>Passante com Trafo</t>
    </r>
    <r>
      <rPr>
        <b/>
        <sz val="14"/>
        <color indexed="9"/>
        <rFont val="Calibri"/>
        <family val="2"/>
      </rPr>
      <t>)</t>
    </r>
  </si>
  <si>
    <t>2 AWG CA</t>
  </si>
  <si>
    <t>2/0 AWG CA</t>
  </si>
  <si>
    <t>4/0 AWG CA</t>
  </si>
  <si>
    <r>
      <t>SI-T (</t>
    </r>
    <r>
      <rPr>
        <b/>
        <sz val="14"/>
        <color indexed="13"/>
        <rFont val="Calibri"/>
        <family val="2"/>
      </rPr>
      <t>Transição de Cabo nu para cabo Isolado</t>
    </r>
    <r>
      <rPr>
        <b/>
        <sz val="14"/>
        <color indexed="9"/>
        <rFont val="Calibri"/>
        <family val="2"/>
      </rPr>
      <t>)</t>
    </r>
  </si>
  <si>
    <t>EM DUPLO "T"</t>
  </si>
  <si>
    <t>EM CIRCULAR</t>
  </si>
  <si>
    <t>Armação secundária 1 estribo -zincada</t>
  </si>
  <si>
    <t>Fio de cobre isolado 6mm²</t>
  </si>
  <si>
    <t>Armação secundaria 1 estribo zincada</t>
  </si>
  <si>
    <t>Armação secundaria 2 estribos zincada</t>
  </si>
  <si>
    <t>Conector perfurante 25-120 mm² X 25-120 mm² (rabicho)</t>
  </si>
  <si>
    <t>NA FORMULA</t>
  </si>
  <si>
    <t>Cabo isolado cobre singelo 35mm², preto, 750V, PVC</t>
  </si>
  <si>
    <t>Cabo isolado cobre singelo 70mm², preto, 750V, PVC</t>
  </si>
  <si>
    <t>Cabo isolado cobre singelo 120mm², preto, 750V, PVC</t>
  </si>
  <si>
    <r>
      <t xml:space="preserve">CRUZAMENTO INDEPENDENTE </t>
    </r>
    <r>
      <rPr>
        <b/>
        <sz val="12"/>
        <color indexed="10"/>
        <rFont val="Calibri"/>
        <family val="2"/>
      </rPr>
      <t>EM CABO 35mm²</t>
    </r>
  </si>
  <si>
    <t>Fio recuzido de alumínio para amarração</t>
  </si>
  <si>
    <r>
      <t xml:space="preserve">CRUZAMENTO INTERLIGADO </t>
    </r>
    <r>
      <rPr>
        <b/>
        <sz val="12"/>
        <color indexed="10"/>
        <rFont val="Calibri"/>
        <family val="2"/>
      </rPr>
      <t>EM CABO 120mm²</t>
    </r>
  </si>
  <si>
    <r>
      <t xml:space="preserve">CRUZAMENTO INTERLIGADO </t>
    </r>
    <r>
      <rPr>
        <b/>
        <sz val="12"/>
        <color indexed="10"/>
        <rFont val="Calibri"/>
        <family val="2"/>
      </rPr>
      <t xml:space="preserve">EM CABO 70mm² </t>
    </r>
  </si>
  <si>
    <r>
      <t>CRUZAMENTO INTERLIGADO</t>
    </r>
    <r>
      <rPr>
        <b/>
        <sz val="12"/>
        <color indexed="10"/>
        <rFont val="Calibri"/>
        <family val="2"/>
      </rPr>
      <t xml:space="preserve"> </t>
    </r>
    <r>
      <rPr>
        <b/>
        <sz val="12"/>
        <color indexed="10"/>
        <rFont val="Calibri"/>
        <family val="2"/>
      </rPr>
      <t>EM CABO 35mm²</t>
    </r>
  </si>
  <si>
    <t>unid</t>
  </si>
  <si>
    <r>
      <t xml:space="preserve">CRUZAMENTO CABO COBERTO </t>
    </r>
    <r>
      <rPr>
        <b/>
        <sz val="12"/>
        <color indexed="10"/>
        <rFont val="Calibri"/>
        <family val="2"/>
      </rPr>
      <t xml:space="preserve">35mm² </t>
    </r>
    <r>
      <rPr>
        <b/>
        <sz val="12"/>
        <rFont val="Calibri"/>
        <family val="2"/>
      </rPr>
      <t xml:space="preserve">+ CABO NU </t>
    </r>
    <r>
      <rPr>
        <b/>
        <sz val="12"/>
        <color indexed="10"/>
        <rFont val="Calibri"/>
        <family val="2"/>
      </rPr>
      <t>2CAA</t>
    </r>
  </si>
  <si>
    <r>
      <t xml:space="preserve">CRUZAM. CABO COBERTO </t>
    </r>
    <r>
      <rPr>
        <b/>
        <sz val="12"/>
        <color indexed="10"/>
        <rFont val="Calibri"/>
        <family val="2"/>
      </rPr>
      <t>70 a 120mm²</t>
    </r>
    <r>
      <rPr>
        <b/>
        <sz val="12"/>
        <rFont val="Calibri"/>
        <family val="2"/>
      </rPr>
      <t xml:space="preserve"> + CABO </t>
    </r>
    <r>
      <rPr>
        <b/>
        <sz val="12"/>
        <color indexed="10"/>
        <rFont val="Calibri"/>
        <family val="2"/>
      </rPr>
      <t>2 e 1/0CAA</t>
    </r>
  </si>
  <si>
    <t>CONECTOR, CUNHA, LIGA DE ALUMNIO, CN 2, SERIE AZUL</t>
  </si>
  <si>
    <r>
      <t>CRUZAM. CABO COBER.</t>
    </r>
    <r>
      <rPr>
        <b/>
        <sz val="12"/>
        <color indexed="10"/>
        <rFont val="Calibri"/>
        <family val="2"/>
      </rPr>
      <t xml:space="preserve"> 35mm²</t>
    </r>
    <r>
      <rPr>
        <b/>
        <sz val="12"/>
        <rFont val="Calibri"/>
        <family val="2"/>
      </rPr>
      <t xml:space="preserve"> + CABO</t>
    </r>
    <r>
      <rPr>
        <b/>
        <sz val="12"/>
        <color indexed="10"/>
        <rFont val="Calibri"/>
        <family val="2"/>
      </rPr>
      <t xml:space="preserve"> 1/0 a 4/0CAA</t>
    </r>
  </si>
  <si>
    <t xml:space="preserve">DISJUNTOR  MONOPOLAR 15A </t>
  </si>
  <si>
    <t xml:space="preserve">DISJUNTOR  MONOPOLAR 20A </t>
  </si>
  <si>
    <t xml:space="preserve">DISJUNTOR  MONOPOLAR 40A </t>
  </si>
  <si>
    <t xml:space="preserve">DISJUNTOR  MONOPOLAR 50A </t>
  </si>
  <si>
    <t xml:space="preserve">DISJUNTOR BIPOLAR 30A </t>
  </si>
  <si>
    <t xml:space="preserve">DISJUNTOR BIPOLAR 50A </t>
  </si>
  <si>
    <t xml:space="preserve">DISJUNTOR BIPOLAR 60A </t>
  </si>
  <si>
    <t xml:space="preserve">DISJUNTOR BIPOLAR 70A </t>
  </si>
  <si>
    <t xml:space="preserve">DISJUNTOR BIPOLAR 90A </t>
  </si>
  <si>
    <t xml:space="preserve">DISJUNTOR TIPOLAR 90A </t>
  </si>
  <si>
    <t>RELIGADOR TIPO ESV COOPER POWER</t>
  </si>
  <si>
    <t>NORMA TÉCNICA NTD-RE- 002</t>
  </si>
  <si>
    <t>RELIGADOR TIPO "NOVA 15" COOPER POWER</t>
  </si>
  <si>
    <t xml:space="preserve"> RELIGADOR AUTOMÁTICO TIPO "NOVA 15" da COOPER POWER (MONTAGEM TIPO A)</t>
  </si>
  <si>
    <t xml:space="preserve"> RELIGADOR AUTOMÁTICO TIPO "ESV" da COOPER POWER (MONTAGEM TIPO A)</t>
  </si>
  <si>
    <t>POSTE DE CONCRETO ARMADA - 10/300 DT</t>
  </si>
  <si>
    <t>POSTE DE CONCRETO ARMADA - 10/600 DT</t>
  </si>
  <si>
    <t>POSTE DE CONCRETO ARMADA - 10/1000 DT</t>
  </si>
  <si>
    <t>POSTE DE CONCRETO ARMADA - 11/300 DT</t>
  </si>
  <si>
    <t>POSTE DE CONCRETO ARMADA - 11/600 DT</t>
  </si>
  <si>
    <t>POSTE DE CONCRETO ARMADA - 11/1000 DT</t>
  </si>
  <si>
    <t>POSTE DE CONCRETO ARMADA - 12/300 DT</t>
  </si>
  <si>
    <t>POSTE DE CONCRETO ARMADA - 12/600 DT</t>
  </si>
  <si>
    <t>POSTE DE CONCRETO ARMADA - 12/1000 DT</t>
  </si>
  <si>
    <t>POSTE DE CONCRETO ARMADA - 13/300 DT</t>
  </si>
  <si>
    <t>POSTE DE CONCRETO ARMADA - 13/600 DT</t>
  </si>
  <si>
    <t>POSTE DE CONCRETO ARMADA - 13/1000 DT</t>
  </si>
  <si>
    <t>ISOLADOR, ANCORAGEM, POLIMERICO, GARFO OLHAL, 15 KV, 110 KV, 50 KN</t>
  </si>
  <si>
    <t>CONCRETO PARA BASE POSTE ≥ 600daN (Cimento, areia, brita e m.o)</t>
  </si>
  <si>
    <t>CONCRETO PARA BASE POSTE ≥ 600daN (Cimento, areia, pedra brita)</t>
  </si>
  <si>
    <t>CONCRETO PARA BASE POSTE ≥ 600daN (Cimento, areia e pedra brita)</t>
  </si>
  <si>
    <t>UND</t>
  </si>
  <si>
    <t>PLACA DE CONCRETO</t>
  </si>
  <si>
    <t>CJE</t>
  </si>
  <si>
    <t>CLE</t>
  </si>
  <si>
    <t>CLEA1</t>
  </si>
  <si>
    <t>CLEA2</t>
  </si>
  <si>
    <t>CUF3</t>
  </si>
  <si>
    <t>2CUF3</t>
  </si>
  <si>
    <t>CUF4</t>
  </si>
  <si>
    <t>CLHS-CF</t>
  </si>
  <si>
    <t>CHS-CF</t>
  </si>
  <si>
    <t>CUF4-CF</t>
  </si>
  <si>
    <t>CUF4-SU</t>
  </si>
  <si>
    <t>CLH-T-PR</t>
  </si>
  <si>
    <t>CLEA-T-PR</t>
  </si>
  <si>
    <r>
      <t xml:space="preserve">EXTENSÃO DA REDE COM CABO COBERTO </t>
    </r>
    <r>
      <rPr>
        <b/>
        <sz val="10"/>
        <color indexed="10"/>
        <rFont val="Calibri"/>
        <family val="2"/>
      </rPr>
      <t>35 mm²</t>
    </r>
    <r>
      <rPr>
        <b/>
        <sz val="10"/>
        <rFont val="Calibri"/>
        <family val="2"/>
      </rPr>
      <t xml:space="preserve"> (Metros)</t>
    </r>
  </si>
  <si>
    <r>
      <t xml:space="preserve">EXTENSÃO DA REDE COM CABO COBERTO </t>
    </r>
    <r>
      <rPr>
        <b/>
        <sz val="10"/>
        <color indexed="10"/>
        <rFont val="Calibri"/>
        <family val="2"/>
      </rPr>
      <t>50 mm²</t>
    </r>
    <r>
      <rPr>
        <b/>
        <sz val="10"/>
        <rFont val="Calibri"/>
        <family val="2"/>
      </rPr>
      <t xml:space="preserve"> (Metros)</t>
    </r>
  </si>
  <si>
    <r>
      <t xml:space="preserve">EXTENSÃO DA REDE COM CABO COBERTO </t>
    </r>
    <r>
      <rPr>
        <b/>
        <sz val="10"/>
        <color indexed="10"/>
        <rFont val="Calibri"/>
        <family val="2"/>
      </rPr>
      <t>95</t>
    </r>
    <r>
      <rPr>
        <b/>
        <sz val="10"/>
        <rFont val="Calibri"/>
        <family val="2"/>
      </rPr>
      <t xml:space="preserve"> </t>
    </r>
    <r>
      <rPr>
        <b/>
        <sz val="10"/>
        <color indexed="10"/>
        <rFont val="Calibri"/>
        <family val="2"/>
      </rPr>
      <t>mm²</t>
    </r>
    <r>
      <rPr>
        <b/>
        <sz val="10"/>
        <rFont val="Calibri"/>
        <family val="2"/>
      </rPr>
      <t xml:space="preserve"> (Metros)</t>
    </r>
  </si>
  <si>
    <r>
      <t xml:space="preserve">ATERRAMENTO DO MENSAGEIRO </t>
    </r>
    <r>
      <rPr>
        <b/>
        <sz val="10"/>
        <color indexed="10"/>
        <rFont val="Calibri"/>
        <family val="2"/>
      </rPr>
      <t>6,4mm² e Neutro 35mm²</t>
    </r>
  </si>
  <si>
    <r>
      <t xml:space="preserve">ATERRAMENTO DO MENSAGEIRO </t>
    </r>
    <r>
      <rPr>
        <b/>
        <sz val="10"/>
        <color indexed="10"/>
        <rFont val="Calibri"/>
        <family val="2"/>
      </rPr>
      <t>9,5mm² e Neutro 70mm²</t>
    </r>
  </si>
  <si>
    <r>
      <t>CRUZAMENTO AÉREO REDE COMPACTA</t>
    </r>
    <r>
      <rPr>
        <b/>
        <sz val="10"/>
        <color indexed="10"/>
        <rFont val="Calibri"/>
        <family val="2"/>
      </rPr>
      <t xml:space="preserve"> 35mm²</t>
    </r>
  </si>
  <si>
    <r>
      <t>CRUZAMENTO AÉREO REDE COMPACTA</t>
    </r>
    <r>
      <rPr>
        <b/>
        <sz val="10"/>
        <color indexed="10"/>
        <rFont val="Calibri"/>
        <family val="2"/>
      </rPr>
      <t xml:space="preserve"> 50mm²</t>
    </r>
  </si>
  <si>
    <r>
      <t xml:space="preserve">CRUZAMENTO AÉREO REDE COMPACTA </t>
    </r>
    <r>
      <rPr>
        <b/>
        <sz val="10"/>
        <color indexed="10"/>
        <rFont val="Calibri"/>
        <family val="2"/>
      </rPr>
      <t>95mm²</t>
    </r>
  </si>
  <si>
    <r>
      <t xml:space="preserve">CRUZAMENTO CABO COBERTO </t>
    </r>
    <r>
      <rPr>
        <b/>
        <sz val="10"/>
        <color indexed="10"/>
        <rFont val="Calibri"/>
        <family val="2"/>
      </rPr>
      <t xml:space="preserve">35mm² </t>
    </r>
    <r>
      <rPr>
        <b/>
        <sz val="10"/>
        <rFont val="Calibri"/>
        <family val="2"/>
      </rPr>
      <t xml:space="preserve">+ CABO NU </t>
    </r>
    <r>
      <rPr>
        <b/>
        <sz val="10"/>
        <color indexed="10"/>
        <rFont val="Calibri"/>
        <family val="2"/>
      </rPr>
      <t>2CAA</t>
    </r>
  </si>
  <si>
    <r>
      <t xml:space="preserve">CRUZAM. CABO COBERTO </t>
    </r>
    <r>
      <rPr>
        <b/>
        <sz val="10"/>
        <color indexed="10"/>
        <rFont val="Calibri"/>
        <family val="2"/>
      </rPr>
      <t>70 a 120mm²</t>
    </r>
    <r>
      <rPr>
        <b/>
        <sz val="10"/>
        <rFont val="Calibri"/>
        <family val="2"/>
      </rPr>
      <t xml:space="preserve"> + CABO </t>
    </r>
    <r>
      <rPr>
        <b/>
        <sz val="10"/>
        <color indexed="10"/>
        <rFont val="Calibri"/>
        <family val="2"/>
      </rPr>
      <t>2 e 1/0CAA</t>
    </r>
  </si>
  <si>
    <r>
      <t>CRUZAM. CABO COBER.</t>
    </r>
    <r>
      <rPr>
        <b/>
        <sz val="10"/>
        <color indexed="10"/>
        <rFont val="Calibri"/>
        <family val="2"/>
      </rPr>
      <t xml:space="preserve"> 35mm²</t>
    </r>
    <r>
      <rPr>
        <b/>
        <sz val="10"/>
        <rFont val="Calibri"/>
        <family val="2"/>
      </rPr>
      <t xml:space="preserve"> + CABO</t>
    </r>
    <r>
      <rPr>
        <b/>
        <sz val="10"/>
        <color indexed="10"/>
        <rFont val="Calibri"/>
        <family val="2"/>
      </rPr>
      <t xml:space="preserve"> 1/0 a 4/0CAA</t>
    </r>
  </si>
  <si>
    <t>BRAÇO TIPO BR-1</t>
  </si>
  <si>
    <t>FIO DE COBRE ISOLADO - 2,5mm²</t>
  </si>
  <si>
    <t xml:space="preserve">FITA ISOLANTE PRASTICA N°33 -19mmx 5 M </t>
  </si>
  <si>
    <t>LAMPADA VAPOR DE SODIO 100W</t>
  </si>
  <si>
    <t>LUMINARIA TIPO LMA - 1</t>
  </si>
  <si>
    <t>REATOR USO EXTERNO PARA LÂMPADA  DE VAPOR DE SODIO 100W 220V</t>
  </si>
  <si>
    <t>BASE EXTERNA PARA RELE FOTOELETRICO</t>
  </si>
  <si>
    <t>CONECTOR PERFURANTE 1,5-6mm² x 10-70 mm²</t>
  </si>
  <si>
    <t xml:space="preserve">RELE FOTOELETRICO(N.F) 220V CARGA NOMINAL 1800 V.A </t>
  </si>
  <si>
    <t>RELIGADOR – TIPO NOVA -MARCA – COOPER POWER SYSTEMS  13.8KV</t>
  </si>
  <si>
    <t>RELIGADOR – TIPO NOVA -MARCA – COOPER POWER SYSTEMS  34.5KV</t>
  </si>
  <si>
    <t>RELIGADOR – TIPO NOVA -MARCA – COOPER POWER SYSTEMS  34.58KV</t>
  </si>
  <si>
    <t>Cabo de aço zincada 9,5mm form 7 fios (cordoalha)</t>
  </si>
  <si>
    <t>Líder 7</t>
  </si>
  <si>
    <t>Cód. SAP</t>
  </si>
  <si>
    <t>Alça pré formada  de distribuição para cabo CA - CAA 2 AWG</t>
  </si>
  <si>
    <t>Alça pré formada  de distribuição para cabo CA - CAA 1/0 AWG</t>
  </si>
  <si>
    <t>Alça pré formada  de distribuição para cabo CA - CAA 4/0 AWG</t>
  </si>
  <si>
    <t>Alça pré formada  de distribuição para cabo CA - CAA 336,4 AWG</t>
  </si>
  <si>
    <t>Alça pré formada de serviço para cabo triplex 10mm²</t>
  </si>
  <si>
    <t>Alça pré formada de serviço para cabo triplex 16mm²</t>
  </si>
  <si>
    <t>Alça pré formada de serviço para cabo triplex 25mm²</t>
  </si>
  <si>
    <r>
      <t>N1</t>
    </r>
    <r>
      <rPr>
        <b/>
        <sz val="11"/>
        <color indexed="13"/>
        <rFont val="Calibri"/>
        <family val="2"/>
      </rPr>
      <t xml:space="preserve"> </t>
    </r>
    <r>
      <rPr>
        <b/>
        <sz val="12"/>
        <color indexed="13"/>
        <rFont val="Calibri"/>
        <family val="2"/>
      </rPr>
      <t>(RARA, DE TOPO)</t>
    </r>
  </si>
  <si>
    <r>
      <t>N1</t>
    </r>
    <r>
      <rPr>
        <b/>
        <sz val="12"/>
        <color indexed="9"/>
        <rFont val="Calibri"/>
        <family val="2"/>
      </rPr>
      <t xml:space="preserve"> </t>
    </r>
    <r>
      <rPr>
        <b/>
        <sz val="12"/>
        <color indexed="13"/>
        <rFont val="Calibri"/>
        <family val="2"/>
      </rPr>
      <t>(NORMAL DE COXO)</t>
    </r>
  </si>
  <si>
    <t xml:space="preserve">CUF3-T-PR (S/ CF e S/ O TRAFO)  </t>
  </si>
  <si>
    <t>ELETRODUTO DE AÇO 6000mm X 100mm</t>
  </si>
  <si>
    <t>LUVA PARA ELETRODUTO DE AÇO 65mm</t>
  </si>
  <si>
    <t>LUVA PARA ELETRODUTO DE AÇO 80mm</t>
  </si>
  <si>
    <t>LUVA PARA ELETRODUTO DE AÇO 100mm</t>
  </si>
  <si>
    <t>DISJUNTOR TERMOMAGNÉTICO TRIPOLAR 600 A</t>
  </si>
  <si>
    <t>CONECTOR CUNHA CN 4</t>
  </si>
  <si>
    <t>UNID.</t>
  </si>
  <si>
    <t>DISJUNTOR TRIPOLAR 125 AMP.</t>
  </si>
  <si>
    <t>ELETRODUTO DE AÇO 6000mm X 80mm</t>
  </si>
  <si>
    <t>ELETRODUTO DE AÇO 6000mm X 65mm</t>
  </si>
  <si>
    <t>CONECTOR CUNHA CN 13</t>
  </si>
  <si>
    <t>CONECTOR CUNHA CN 10</t>
  </si>
  <si>
    <t>CONECTOR CUNHA CN 6</t>
  </si>
  <si>
    <t>CONECTOR CUNHA CN 11</t>
  </si>
  <si>
    <t>CONECTOR CUNHA CN 12</t>
  </si>
  <si>
    <t>CONECTOR CUNHA CN 14</t>
  </si>
  <si>
    <t>CONECTOR CUNHA CN 15</t>
  </si>
  <si>
    <t>LUVA PARA ELETRODUTO DE AÇO 50mm</t>
  </si>
  <si>
    <t>ELETRODUTO DE AÇO 6000mm X 50mm</t>
  </si>
  <si>
    <t>DISJUNTOR TRIPOLAR 100 AMP.</t>
  </si>
  <si>
    <t>Padrão Trifásico 100A. - 35mm² trafo 45kva - 380/220v.</t>
  </si>
  <si>
    <t>Padrão Trifásico 125A. - 50mm² - Trafo 45kva - 220/127v.</t>
  </si>
  <si>
    <t>MEDIÇÕES COM MURETA</t>
  </si>
  <si>
    <t>Padrão Trifásico 40A. 10mm²  - 15kva - 220/127V.</t>
  </si>
  <si>
    <t>Padrão Trifásico 70A. 16MM² -  30kva - 220/127V.</t>
  </si>
  <si>
    <t>Padrão Trifásico 30A. 6mm²  - 15kva - 380/220V.</t>
  </si>
  <si>
    <t>Padrão Trifásico 50A. 10mm² -  30kva - 380/220V.</t>
  </si>
  <si>
    <t>Padrão Trifásico 120A. - 50mm² - Trafo 45kva - 220/127v.</t>
  </si>
  <si>
    <t>Padrão Trifásico 70A. - 25mm² trafo 45kva - 380/220v.</t>
  </si>
  <si>
    <t>PAD. 45KVA</t>
  </si>
  <si>
    <t>220/127V</t>
  </si>
  <si>
    <t>380/220V</t>
  </si>
  <si>
    <t>PAD. 15KVA</t>
  </si>
  <si>
    <t>PAD. 30KVA</t>
  </si>
  <si>
    <t>REDE SECUNDÁRIA - TRAFO DE 112,5 KVA - 220/127V. - NDU-002</t>
  </si>
  <si>
    <t>REDE SECUNDARIA - TRAFO DE 112,5 KVA - 380-220V. - NDU-002</t>
  </si>
  <si>
    <t>REDE SECUNDÁRIA - TRAFO DE 150 KVA - 220/127V. - NDU-002</t>
  </si>
  <si>
    <t>REDE SECUNDÁRIA - TRAFO DE 150 KVA - 380/220V. - NDU- 002</t>
  </si>
  <si>
    <t>REDE SECUNDÁRIA - TRAFO DE 45 KVA - 220/127V. - NDU-002</t>
  </si>
  <si>
    <t>REDE SECUNDÁRIA - TRAFO DE 75 KVA - 220/127V.  -  NDU-002</t>
  </si>
  <si>
    <t>REDE SECUNDÁRIA - TRAFO DE 225 KVA - 220/127V.  -  NDU-002</t>
  </si>
  <si>
    <t>REDE SECUNDÁRIA - TRAFO DE 225 KVA - 380/220V. -  NDU-002</t>
  </si>
  <si>
    <t>REDE SECUNDÁRIA - TRAFO DE 300 KVA - 220/127V. - NDU-002</t>
  </si>
  <si>
    <t>REDE SECUNDÁRIA - TRAFO DE 300 KVA - 380/220V. - NDU-002</t>
  </si>
  <si>
    <t>REDE SECUNDÁRIA - TRAFO DE 45 KVA - 380/220V. - NDU-002</t>
  </si>
  <si>
    <t>REDE SECUNDÁRIA - TRAFO DE 75 KVA - 380/220V. - NDU-002</t>
  </si>
  <si>
    <t>TRANSFORMADORES TRIFÁSICOS</t>
  </si>
  <si>
    <t>PADRÕES PARA TRANSFORMADORES</t>
  </si>
  <si>
    <t xml:space="preserve">                                           MATERIAIS PARA MEDIÇÃO COM MURETA EM TRANSFORMADOR TRIFÁSICO - 225KVA - 220/127V</t>
  </si>
  <si>
    <t xml:space="preserve">                                           MATERIAIS PARA MEDIÇÃO COM MURETA EM TRANSFORMADOR TRIFÁSICO - 150KVA - 220/127V</t>
  </si>
  <si>
    <t xml:space="preserve">                        MATERIAIS PARA MEDIÇÃO COM MURETA EM TRANSFORMADOR TRIFÁSICO - 15KVA - 220/127V - NA REDE COMPACTA</t>
  </si>
  <si>
    <t xml:space="preserve">                        MATERIAIS PARA MEDIÇÃO COM MURETA EM TRANSFORMADOR TRIFÁSICO - 15KVA - 380/220V - NA REDE COMPACTA</t>
  </si>
  <si>
    <t xml:space="preserve">                        MATERIAIS PARA MEDIÇÃO COM MURETA EM TRANSFORMADOR TRIFÁSICO - 30KVA - 220/127V - NA REDE COMPACTA</t>
  </si>
  <si>
    <t xml:space="preserve">                        MATERIAIS PARA MEDIÇÃO COM MURETA EM TRANSFORMADOR TRIFÁSICO - 30KVA - 380/220V - NA REDE COMPACTA</t>
  </si>
  <si>
    <t xml:space="preserve">                        MATERIAIS PARA MEDIÇÃO COM MURETA EM TRANSFORMADOR TRIFÁSICO - 45KVA - 220/127V - NA REDE COMPACTA</t>
  </si>
  <si>
    <t xml:space="preserve">                        MATERIAIS PARA MEDIÇÃO COM MURETA EM TRANSFORMADOR TRIFÁSICO - 45KVA - 380/220V - NA REDE COMPACTA</t>
  </si>
  <si>
    <t xml:space="preserve">                        MATERIAIS PARA MEDIÇÃO COM MURETA EM TRANSFORMADOR TRIFÁSICO - 75KVA - 220/127V - NA REDE COMPACTA</t>
  </si>
  <si>
    <t xml:space="preserve">                        MATERIAIS PARA MEDIÇÃO COM MURETA EM TRANSFORMADOR TRIFÁSICO - 75KVA - 380/220V - NA REDE COMPACTA</t>
  </si>
  <si>
    <t xml:space="preserve">                        MATERIAIS PARA MEDIÇÃO COM MURETA EM TRANSFORMADOR TRIFÁSICO - 112,5KVA - 220/127V - NA REDE COMPACTA</t>
  </si>
  <si>
    <t xml:space="preserve">                        MATERIAIS PARA MEDIÇÃO COM MURETA EM TRANSFORMADOR TRIFÁSICO - 112,5KVA - 380/220V - NA REDE COMPACTA</t>
  </si>
  <si>
    <t xml:space="preserve">                        MATERIAIS PARA MEDIÇÃO COM MURETA EM TRANSFORMADOR TRIFÁSICO - 150KVA - 220/127V - NA REDE COMPACTA</t>
  </si>
  <si>
    <t xml:space="preserve">                        MATERIAIS PARA MEDIÇÃO COM MURETA EM TRANSFORMADOR TRIFÁSICO - 150KVA - 380/220V - NA REDE COMPACTA</t>
  </si>
  <si>
    <t xml:space="preserve">                        MATERIAIS PARA MEDIÇÃO COM MURETA EM TRANSFORMADOR TRIFÁSICO - 225KVA - 220/127V - NA REDE COMPACTA</t>
  </si>
  <si>
    <t xml:space="preserve">                        MATERIAIS PARA MEDIÇÃO COM MURETA EM TRANSFORMADOR TRIFÁSICO - 225KVA - 380/220V - NA REDE COMPACTA</t>
  </si>
  <si>
    <t xml:space="preserve">                        MATERIAIS PARA MEDIÇÃO COM MURETA EM TRANSFORMADOR TRIFÁSICO - 300KVA - 220/127V - NA REDE COMPACTA</t>
  </si>
  <si>
    <t xml:space="preserve">                        MATERIAIS PARA MEDIÇÃO COM MURETA EM TRANSFORMADOR TRIFÁSICO - 300KVA - 380/220V - NA REDE COMPACTA</t>
  </si>
  <si>
    <t>CAIXA MEDIÇÃO 100 X 60 X 2,25cm (MEDIÇÃO DIRETA)</t>
  </si>
  <si>
    <t>CAIXA MEDIÇÃO 160 X 60 X 2,75cm (MEDIÇÃO INDIRETA)</t>
  </si>
  <si>
    <t>CABO DE COBRE NÚ 25mm²</t>
  </si>
  <si>
    <t>ESTAI ÂNCORA</t>
  </si>
  <si>
    <t>QUANT</t>
  </si>
  <si>
    <t>Alça pré-formada de estai p/ cabo de aço -7,9 mm</t>
  </si>
  <si>
    <t>na form</t>
  </si>
  <si>
    <t>Chapa, fixação de estai, aço carbono zincado a quente</t>
  </si>
  <si>
    <t>Cinta circular de Ø 280 mm</t>
  </si>
  <si>
    <t>Cinta circular de Ø 290 mm</t>
  </si>
  <si>
    <t>Cinta circular de Ø 300 mm</t>
  </si>
  <si>
    <t>Cinta circular de Ø 310 mm</t>
  </si>
  <si>
    <t>Cinta circular de Ø 320 mm</t>
  </si>
  <si>
    <t>Cinta circular de Ø 330 mm</t>
  </si>
  <si>
    <t>Cinta circular de Ø 340 mm</t>
  </si>
  <si>
    <t>Cinta circular de Ø 350 mm</t>
  </si>
  <si>
    <t>Cinta circular de Ø 360 mm</t>
  </si>
  <si>
    <t>MURETA DE ALVENARIA ( ALT. 2 M,  LARG. 1 M,  PROF. 0,40 M )</t>
  </si>
  <si>
    <r>
      <t>SI-T (</t>
    </r>
    <r>
      <rPr>
        <b/>
        <sz val="14"/>
        <color indexed="13"/>
        <rFont val="Bodoni MT Condensed"/>
        <family val="1"/>
      </rPr>
      <t>Transição de Cabo</t>
    </r>
    <r>
      <rPr>
        <b/>
        <sz val="14"/>
        <color indexed="9"/>
        <rFont val="Calibri"/>
        <family val="2"/>
      </rPr>
      <t>)</t>
    </r>
  </si>
  <si>
    <r>
      <t xml:space="preserve">2CA - </t>
    </r>
    <r>
      <rPr>
        <b/>
        <sz val="12"/>
        <color indexed="30"/>
        <rFont val="Agency FB"/>
        <family val="2"/>
      </rPr>
      <t>35mm²</t>
    </r>
  </si>
  <si>
    <r>
      <t xml:space="preserve">2CA - </t>
    </r>
    <r>
      <rPr>
        <b/>
        <sz val="12"/>
        <color indexed="30"/>
        <rFont val="Agency FB"/>
        <family val="2"/>
      </rPr>
      <t>70mm²</t>
    </r>
  </si>
  <si>
    <r>
      <t xml:space="preserve">2CA - </t>
    </r>
    <r>
      <rPr>
        <b/>
        <sz val="12"/>
        <color indexed="30"/>
        <rFont val="Agency FB"/>
        <family val="2"/>
      </rPr>
      <t>120mm²</t>
    </r>
  </si>
  <si>
    <r>
      <t xml:space="preserve">2/0 - </t>
    </r>
    <r>
      <rPr>
        <b/>
        <sz val="12"/>
        <color indexed="9"/>
        <rFont val="Agency FB"/>
        <family val="2"/>
      </rPr>
      <t>35mm²</t>
    </r>
  </si>
  <si>
    <r>
      <t xml:space="preserve">2/0 - </t>
    </r>
    <r>
      <rPr>
        <b/>
        <sz val="12"/>
        <color indexed="9"/>
        <rFont val="Agency FB"/>
        <family val="2"/>
      </rPr>
      <t>70mm²</t>
    </r>
  </si>
  <si>
    <r>
      <t xml:space="preserve">2/0 - </t>
    </r>
    <r>
      <rPr>
        <b/>
        <sz val="12"/>
        <color indexed="9"/>
        <rFont val="Agency FB"/>
        <family val="2"/>
      </rPr>
      <t>120mm²</t>
    </r>
  </si>
  <si>
    <t>POSTE "DT"</t>
  </si>
  <si>
    <r>
      <t xml:space="preserve">4/0 - </t>
    </r>
    <r>
      <rPr>
        <b/>
        <sz val="12"/>
        <color indexed="60"/>
        <rFont val="Agency FB"/>
        <family val="2"/>
      </rPr>
      <t>35mm²</t>
    </r>
  </si>
  <si>
    <r>
      <t>4/0 -</t>
    </r>
    <r>
      <rPr>
        <b/>
        <sz val="12"/>
        <color indexed="60"/>
        <rFont val="Agency FB"/>
        <family val="2"/>
      </rPr>
      <t xml:space="preserve"> 70mm²</t>
    </r>
  </si>
  <si>
    <r>
      <t xml:space="preserve">4/0 - </t>
    </r>
    <r>
      <rPr>
        <b/>
        <sz val="12"/>
        <color indexed="60"/>
        <rFont val="Agency FB"/>
        <family val="2"/>
      </rPr>
      <t>120mm²</t>
    </r>
  </si>
  <si>
    <t>POSTE "CIRC"</t>
  </si>
  <si>
    <r>
      <t>SI-1  (</t>
    </r>
    <r>
      <rPr>
        <b/>
        <sz val="14"/>
        <color indexed="13"/>
        <rFont val="Agency FB"/>
        <family val="2"/>
      </rPr>
      <t>PSSNT</t>
    </r>
    <r>
      <rPr>
        <b/>
        <sz val="14"/>
        <color indexed="9"/>
        <rFont val="Agency FB"/>
        <family val="2"/>
      </rPr>
      <t>)</t>
    </r>
  </si>
  <si>
    <t>SI-3</t>
  </si>
  <si>
    <t>SI-1-3</t>
  </si>
  <si>
    <r>
      <t xml:space="preserve">EXTENSÃO REDE CABO QUADUPLEX </t>
    </r>
    <r>
      <rPr>
        <b/>
        <sz val="14"/>
        <color indexed="10"/>
        <rFont val="Bodoni MT Condensed"/>
        <family val="1"/>
      </rPr>
      <t>35 mm²</t>
    </r>
    <r>
      <rPr>
        <b/>
        <sz val="14"/>
        <rFont val="Bodoni MT Condensed"/>
        <family val="1"/>
      </rPr>
      <t xml:space="preserve">    (M)</t>
    </r>
  </si>
  <si>
    <r>
      <t xml:space="preserve">EXTENSÃO REDE CABO QUADUPLEX </t>
    </r>
    <r>
      <rPr>
        <b/>
        <sz val="14"/>
        <color indexed="10"/>
        <rFont val="Bodoni MT Condensed"/>
        <family val="1"/>
      </rPr>
      <t xml:space="preserve">70 mm² </t>
    </r>
    <r>
      <rPr>
        <b/>
        <sz val="14"/>
        <rFont val="Bodoni MT Condensed"/>
        <family val="1"/>
      </rPr>
      <t xml:space="preserve">   (M)</t>
    </r>
  </si>
  <si>
    <r>
      <t xml:space="preserve">EXTENSÃO REDE CABO QUADUPLEX </t>
    </r>
    <r>
      <rPr>
        <b/>
        <sz val="14"/>
        <color indexed="10"/>
        <rFont val="Bodoni MT Condensed"/>
        <family val="1"/>
      </rPr>
      <t xml:space="preserve">120 mm²  </t>
    </r>
    <r>
      <rPr>
        <b/>
        <sz val="14"/>
        <rFont val="Bodoni MT Condensed"/>
        <family val="1"/>
      </rPr>
      <t xml:space="preserve">(M) </t>
    </r>
  </si>
  <si>
    <r>
      <t>CRUZAMENTO INTERLIGADO</t>
    </r>
    <r>
      <rPr>
        <b/>
        <sz val="14"/>
        <color indexed="10"/>
        <rFont val="Bodoni MT Condensed"/>
        <family val="1"/>
      </rPr>
      <t xml:space="preserve"> EM CABO 35mm²</t>
    </r>
  </si>
  <si>
    <r>
      <t xml:space="preserve">CRUZAMENTO INTERLIGADO </t>
    </r>
    <r>
      <rPr>
        <b/>
        <sz val="14"/>
        <color indexed="10"/>
        <rFont val="Bodoni MT Condensed"/>
        <family val="1"/>
      </rPr>
      <t xml:space="preserve">EM CABO 70mm² </t>
    </r>
  </si>
  <si>
    <r>
      <t xml:space="preserve">CRUZAMENTO INTERLIGADO </t>
    </r>
    <r>
      <rPr>
        <b/>
        <sz val="14"/>
        <color indexed="10"/>
        <rFont val="Bodoni MT Condensed"/>
        <family val="1"/>
      </rPr>
      <t>EM CABO 120mm²</t>
    </r>
  </si>
  <si>
    <r>
      <t xml:space="preserve">CRUZAMENTO INDEPENDENTE </t>
    </r>
    <r>
      <rPr>
        <b/>
        <sz val="14"/>
        <color indexed="10"/>
        <rFont val="Bodoni MT Condensed"/>
        <family val="1"/>
      </rPr>
      <t>EM CABO 35mm²</t>
    </r>
  </si>
  <si>
    <r>
      <t xml:space="preserve">CRUZAMENTO INDEPENDENTE </t>
    </r>
    <r>
      <rPr>
        <b/>
        <sz val="14"/>
        <color indexed="10"/>
        <rFont val="Bodoni MT Condensed"/>
        <family val="1"/>
      </rPr>
      <t>EM CABO 70 a 120mm²</t>
    </r>
  </si>
  <si>
    <t>ESTRUTURAS 13,8KV e BT</t>
  </si>
  <si>
    <t>Isolador pilar 15kv - 110kv</t>
  </si>
  <si>
    <t>Isolador pilar 36kv - 170kv</t>
  </si>
  <si>
    <r>
      <t>SI-1-3 (</t>
    </r>
    <r>
      <rPr>
        <b/>
        <sz val="14"/>
        <color indexed="13"/>
        <rFont val="Calibri"/>
        <family val="2"/>
      </rPr>
      <t>P</t>
    </r>
    <r>
      <rPr>
        <b/>
        <sz val="14"/>
        <color indexed="13"/>
        <rFont val="Calibri"/>
        <family val="2"/>
      </rPr>
      <t>assante com derivaçã</t>
    </r>
    <r>
      <rPr>
        <b/>
        <sz val="14"/>
        <color indexed="13"/>
        <rFont val="Calibri"/>
        <family val="2"/>
      </rPr>
      <t>o</t>
    </r>
    <r>
      <rPr>
        <b/>
        <sz val="14"/>
        <color indexed="9"/>
        <rFont val="Calibri"/>
        <family val="2"/>
      </rPr>
      <t>)</t>
    </r>
  </si>
  <si>
    <r>
      <t>SI-4-3 (</t>
    </r>
    <r>
      <rPr>
        <b/>
        <sz val="14"/>
        <color indexed="13"/>
        <rFont val="Calibri"/>
        <family val="2"/>
      </rPr>
      <t>Ancoragem</t>
    </r>
    <r>
      <rPr>
        <b/>
        <sz val="14"/>
        <color indexed="13"/>
        <rFont val="Calibri"/>
        <family val="2"/>
      </rPr>
      <t xml:space="preserve"> com derivação</t>
    </r>
    <r>
      <rPr>
        <b/>
        <sz val="14"/>
        <color indexed="9"/>
        <rFont val="Calibri"/>
        <family val="2"/>
      </rPr>
      <t>)</t>
    </r>
  </si>
  <si>
    <t>CABO DE COBRE NÚ 16mm²</t>
  </si>
  <si>
    <t>TERMINAL DE COMPRESSÃO 16mm²</t>
  </si>
  <si>
    <t>TERMINAL LATÃO 16 mm²</t>
  </si>
  <si>
    <t>TERMINAL LATÃO 25 mm²</t>
  </si>
  <si>
    <t>TERMINAL LATÃO 35 mm²</t>
  </si>
  <si>
    <t>TERMINAL LATÃO 50 mm²</t>
  </si>
  <si>
    <t>TERMINAL LATÃO 70 mm²</t>
  </si>
  <si>
    <t>TERMINAL LATÃO 95 mm²</t>
  </si>
  <si>
    <t>TERMINAL LATÃO 120 mm²</t>
  </si>
  <si>
    <t>TERMINAL LATÃO 185 mm²</t>
  </si>
  <si>
    <t>TERMINAL LATÃO 240 mm²</t>
  </si>
  <si>
    <t>CURVA DE 90° PARA ELETRODUTO DE AÇO 50 mm²</t>
  </si>
  <si>
    <t>CURVA DE 90° PARA ELETRODUTO DE AÇO 65 mm²</t>
  </si>
  <si>
    <t>CURVA DE 90° PARA ELETRODUTO DE AÇO 80 mm²</t>
  </si>
  <si>
    <t>CURVA DE 90° PARA ELETRODUTO DE AÇO 100 mm²</t>
  </si>
  <si>
    <t>CABO DE COBRE ISOLADO 1KV, 16 mm²</t>
  </si>
  <si>
    <t>CABO DE COBRE ISOLADO 1KV, 25 mm²</t>
  </si>
  <si>
    <t>CABO DE COBRE ISOLADO 1KV, 35 mm²</t>
  </si>
  <si>
    <t xml:space="preserve">CABO DE COBRE ISOLADO 1KV, 50 mm² </t>
  </si>
  <si>
    <t>CABO DE COBRE ISOLADO 1KV, 70 mm²</t>
  </si>
  <si>
    <t>CABO DE COBRE ISOLADO 1KV, 95 mm²</t>
  </si>
  <si>
    <t>CABO DE COBRE ISOLADO 1KV, 120 mm²</t>
  </si>
  <si>
    <t>CABO DE COBRE ISOLADO 1KV, 185 mm²</t>
  </si>
  <si>
    <t>CABO DE COBRE ISOLADO 1KV, 240 mm²</t>
  </si>
  <si>
    <t>CABEÇOTE PARA ELETRODUTO DE AÇO 50 mm²</t>
  </si>
  <si>
    <t>CABEÇOTE PARA ELETRODUTO DE AÇO 65 mm²</t>
  </si>
  <si>
    <t>CABEÇOTE PARA ELETRODUTO DE AÇO 80 mm²</t>
  </si>
  <si>
    <t>CABEÇOTE PARA ELETRODUTO DE AÇO 100 mm²</t>
  </si>
  <si>
    <t>ARRUELA P/ ELETRODUTO DE AÇO 50 mm²</t>
  </si>
  <si>
    <t>ARRUELA P/ ELETRODUTO DE AÇO 65 mm²</t>
  </si>
  <si>
    <t>ARRUELA P/ ELETRODUTO DE AÇO 80 mm²</t>
  </si>
  <si>
    <t>ARRUELA P/ ELETRODUTO DE AÇO 100 mm²</t>
  </si>
  <si>
    <t>BUCHA P/ ELETRODUTO DE AÇO 50 mm²</t>
  </si>
  <si>
    <t>BUCHA P/ ELETRODUTO DE AÇO 65 mm²</t>
  </si>
  <si>
    <t>BUCHA P/ ELETRODUTO DE AÇO 80 mm²</t>
  </si>
  <si>
    <t>BUCHA P/ ELETRODUTO DE AÇO 100 mm²</t>
  </si>
  <si>
    <t xml:space="preserve">ARAME GALVANIZADO Nº 12 </t>
  </si>
  <si>
    <t>35-35</t>
  </si>
  <si>
    <t>70~120</t>
  </si>
  <si>
    <t>70~120-35</t>
  </si>
  <si>
    <r>
      <t>SI-1T-3 (</t>
    </r>
    <r>
      <rPr>
        <b/>
        <sz val="14"/>
        <color indexed="13"/>
        <rFont val="Calibri"/>
        <family val="2"/>
      </rPr>
      <t>Passante no trafo + deriv.</t>
    </r>
    <r>
      <rPr>
        <b/>
        <sz val="14"/>
        <color indexed="9"/>
        <rFont val="Calibri"/>
        <family val="2"/>
      </rPr>
      <t>)</t>
    </r>
  </si>
  <si>
    <r>
      <rPr>
        <b/>
        <sz val="14"/>
        <color indexed="10"/>
        <rFont val="Agency FB"/>
        <family val="2"/>
      </rPr>
      <t>70~120-35</t>
    </r>
    <r>
      <rPr>
        <b/>
        <sz val="14"/>
        <rFont val="Agency FB"/>
        <family val="2"/>
      </rPr>
      <t xml:space="preserve"> = CABOS DE 70 A 120mm² COM DERIVAÇÃO 35mm²</t>
    </r>
  </si>
  <si>
    <t>LEGENDA DE TRANSIÇÃO DE CABOS EM DERIVAÇÕES DA BT</t>
  </si>
  <si>
    <r>
      <rPr>
        <b/>
        <sz val="14"/>
        <color indexed="10"/>
        <rFont val="Agency FB"/>
        <family val="2"/>
      </rPr>
      <t xml:space="preserve">70~120  </t>
    </r>
    <r>
      <rPr>
        <b/>
        <sz val="14"/>
        <rFont val="Agency FB"/>
        <family val="2"/>
      </rPr>
      <t>= CABOS DE 70 A 120mm² C/ DERIVAÇÃO MAIOR QUE 35mm²</t>
    </r>
  </si>
  <si>
    <t>M³</t>
  </si>
  <si>
    <t>SC</t>
  </si>
  <si>
    <t xml:space="preserve">   * CIMENTO 50Kg</t>
  </si>
  <si>
    <t xml:space="preserve">   * AREIA FINA MÉDIA</t>
  </si>
  <si>
    <t xml:space="preserve">   * PEDRA BRITA Nº 1 - LATA COM 18 LITROS</t>
  </si>
  <si>
    <t xml:space="preserve">   * FERRO 6mm²  -  BARRA 12 METROS</t>
  </si>
  <si>
    <t xml:space="preserve">   * TIJOLO 6 FUROS</t>
  </si>
  <si>
    <t xml:space="preserve">   * VEDANTE 1000ml</t>
  </si>
  <si>
    <t xml:space="preserve">   * TINTA BRANCA TIPO VEDANTE 3600ml</t>
  </si>
  <si>
    <t>MATERIAIS PARA MEDIÇÃO COM MURETA EM TRANSFORMADOR TRIFÁSICO - 45KVA - 220/127V</t>
  </si>
  <si>
    <t>MATERIAIS PARA MEDIÇÃO COM MURETA EM TRANSFORMADOR TRIFÁSICO - 75KVA - 220/127V</t>
  </si>
  <si>
    <t>MATERIAIS PARA MEDIÇÃO COM MURETA EM TRANSFORMADOR TRIFÁSICO - 112,5KVA - 220/127V</t>
  </si>
  <si>
    <t>MATERIAIS PARA MEDIÇÃO COM MURETA EM TRANSFORMADOR TRIFÁSICO - 150KVA - 220/127V</t>
  </si>
  <si>
    <t>MATERIAIS PARA MEDIÇÃO COM MURETA EM TRANSFORMADOR TRIFÁSICO - 225KVA - 220/127V</t>
  </si>
  <si>
    <t>MATERIAIS PARA MEDIÇÃO COM MURETA EM TRANSFORMADOR TRIFÁSICO - 300KVA - 220/127V</t>
  </si>
  <si>
    <t xml:space="preserve">        * AREIA FINA MÉDIA</t>
  </si>
  <si>
    <t xml:space="preserve">        * CIMENTO 50Kg</t>
  </si>
  <si>
    <t xml:space="preserve">        * FERRO 6mm²  -  BARRA 12 METROS</t>
  </si>
  <si>
    <t xml:space="preserve">        * PEDRA BRITA Nº 1 - LATA COM 18 LITROS</t>
  </si>
  <si>
    <t xml:space="preserve">        * TIJOLO 6 FUROS</t>
  </si>
  <si>
    <t xml:space="preserve">        * TINTA BRANCA TIPO VEDANTE 3600ml</t>
  </si>
  <si>
    <t xml:space="preserve">        * VEDANTE 1000ml</t>
  </si>
  <si>
    <t>HTE</t>
  </si>
  <si>
    <t>ESTAI ANC</t>
  </si>
  <si>
    <t>N1 - RARA, DE TOPO</t>
  </si>
  <si>
    <t>N1 - NORMAL,  COXO</t>
  </si>
  <si>
    <t>220/127 V.</t>
  </si>
  <si>
    <t>380/220 V.</t>
  </si>
  <si>
    <r>
      <t>CUF3-T-PR</t>
    </r>
    <r>
      <rPr>
        <b/>
        <i/>
        <sz val="14"/>
        <color indexed="10"/>
        <rFont val="Agency FB"/>
        <family val="2"/>
      </rPr>
      <t xml:space="preserve"> </t>
    </r>
    <r>
      <rPr>
        <b/>
        <i/>
        <sz val="14"/>
        <color indexed="13"/>
        <rFont val="Agency FB"/>
        <family val="2"/>
      </rPr>
      <t>COM CFU</t>
    </r>
  </si>
  <si>
    <r>
      <t xml:space="preserve">CUF3-T-PR </t>
    </r>
    <r>
      <rPr>
        <b/>
        <i/>
        <sz val="14"/>
        <color indexed="13"/>
        <rFont val="Agency FB"/>
        <family val="2"/>
      </rPr>
      <t>SEM CFU</t>
    </r>
  </si>
  <si>
    <t>SI-1S</t>
  </si>
  <si>
    <r>
      <t>SI-4 (</t>
    </r>
    <r>
      <rPr>
        <b/>
        <i/>
        <sz val="14"/>
        <color indexed="13"/>
        <rFont val="Agency FB"/>
        <family val="2"/>
      </rPr>
      <t>2 Fins com ou sem mudança de cabo</t>
    </r>
    <r>
      <rPr>
        <b/>
        <sz val="14"/>
        <color indexed="9"/>
        <rFont val="Agency FB"/>
        <family val="2"/>
      </rPr>
      <t>)</t>
    </r>
  </si>
  <si>
    <r>
      <t xml:space="preserve">SI-4 </t>
    </r>
    <r>
      <rPr>
        <b/>
        <sz val="14"/>
        <color indexed="13"/>
        <rFont val="Agency FB"/>
        <family val="2"/>
      </rPr>
      <t>(Ancoragem simples)</t>
    </r>
  </si>
  <si>
    <t>35/70~120</t>
  </si>
  <si>
    <t>70~120/35</t>
  </si>
  <si>
    <t>120~70</t>
  </si>
  <si>
    <t>SI-1T-3</t>
  </si>
  <si>
    <t>SI-1T</t>
  </si>
  <si>
    <t>POSTES ADICIONADOS NA REDE BT SEM AT</t>
  </si>
  <si>
    <r>
      <rPr>
        <b/>
        <sz val="14"/>
        <color indexed="10"/>
        <rFont val="Agency FB"/>
        <family val="2"/>
      </rPr>
      <t>35-70~120</t>
    </r>
    <r>
      <rPr>
        <b/>
        <sz val="14"/>
        <rFont val="Agency FB"/>
        <family val="2"/>
      </rPr>
      <t>= CABOS 35mm²  COM DERIVAÇÃO DE 70 A 120mm²</t>
    </r>
  </si>
  <si>
    <r>
      <t>N1 - (</t>
    </r>
    <r>
      <rPr>
        <b/>
        <sz val="14"/>
        <color indexed="13"/>
        <rFont val="Agency FB"/>
        <family val="2"/>
      </rPr>
      <t>DE COXO NORMAL)</t>
    </r>
  </si>
  <si>
    <r>
      <t xml:space="preserve">N1 - </t>
    </r>
    <r>
      <rPr>
        <b/>
        <sz val="14"/>
        <color indexed="13"/>
        <rFont val="Agency FB"/>
        <family val="2"/>
      </rPr>
      <t>( RARA, DE TOPO )</t>
    </r>
  </si>
  <si>
    <t>ESTRUTURAS 34.5KV</t>
  </si>
  <si>
    <t>Cabo Aluminio quadriplex XLPE 70 mm²</t>
  </si>
  <si>
    <t>Cabo Aluminio quadriplex XLPE 70mm²</t>
  </si>
  <si>
    <t>Cabo Aluminio quadriplex XLPE 35 mm²</t>
  </si>
  <si>
    <t>Cabo Aluminio quadriplex XLPE 35mm²</t>
  </si>
  <si>
    <r>
      <t xml:space="preserve">CUF3-T-PR </t>
    </r>
    <r>
      <rPr>
        <b/>
        <i/>
        <sz val="28"/>
        <color indexed="10"/>
        <rFont val="Agency FB"/>
        <family val="2"/>
      </rPr>
      <t>SEM CFU</t>
    </r>
  </si>
  <si>
    <r>
      <t xml:space="preserve">CUF3-T-PR </t>
    </r>
    <r>
      <rPr>
        <b/>
        <i/>
        <sz val="28"/>
        <color indexed="10"/>
        <rFont val="Agency FB"/>
        <family val="2"/>
      </rPr>
      <t>COM CFU</t>
    </r>
  </si>
  <si>
    <t>DC3-CF - DERIVAÇÃO DE CABO NÚ</t>
  </si>
  <si>
    <t>1/0 CAA</t>
  </si>
  <si>
    <t>4/0 CAA</t>
  </si>
  <si>
    <t>2 CAA</t>
  </si>
  <si>
    <t>N3-CUF3   ( ESTRUTURA N3 JÁ EXISTENTE NO LOCAL )</t>
  </si>
  <si>
    <t>CONECTOR CUNHA DER CN2 AL 15,2-17,3X11-17MM</t>
  </si>
  <si>
    <t>CONECTOR CUNHA DER CN15 AL 9,2-14,5X9,2-14MM</t>
  </si>
  <si>
    <t>CONECTOR CUNHA DER CN10 AL 8,2-14X4,1-11,7MM</t>
  </si>
  <si>
    <t>CONECTOR CUNHA DER CN13 AL 6,5-10X4,11-6,5MM</t>
  </si>
  <si>
    <t>CONECTOR CUNHA DER CN6 AL 9,2-14,5X6,5-14MM</t>
  </si>
  <si>
    <t>CONECTOR CUNHA DER CN4 AL 15,2-17,3X6,5-14MM</t>
  </si>
  <si>
    <t>CONECTOR CUNHA DER CN3 AL 15,2-17,3X8,2-15MM</t>
  </si>
  <si>
    <t>DCUF3 - DERIVANDO DE CABO ALUMINIO NÚ</t>
  </si>
  <si>
    <t>CONECTOR CUNHA DER CN12 AL 5,1-8,3X4,1-6,5MM</t>
  </si>
  <si>
    <t>DERIVANDO DE</t>
  </si>
  <si>
    <t>35 mm²</t>
  </si>
  <si>
    <t>50 mm²</t>
  </si>
  <si>
    <t>95 mm²</t>
  </si>
  <si>
    <t>INFORME A BITOLA QUE DERIVA E A DE ONDE DERIVARÁ</t>
  </si>
  <si>
    <t>CONECTOR CUNHA DER CN16 AL 16,9-18,3X11-14MM</t>
  </si>
  <si>
    <t>CONECTOR CUNHA DER CN11 AL 8,2~14X4,1~7,6MM²</t>
  </si>
  <si>
    <t>CONECTOR CUNHA ESTRIBO NORMAL AL 4~2AWG EST2AWG</t>
  </si>
  <si>
    <t>CONECTOR CUNHA ESTRIBO NORMAL AL 1/0~2/0AWG EST2AWG</t>
  </si>
  <si>
    <t>CONECTOR CUNHA ESTRIBO NORMAL AL 3/0~4/0AWG EST2AWG</t>
  </si>
  <si>
    <t>CONECTOR CUNHA ESTRIBO NORMAL AL 336,MCM EST1/0AWG</t>
  </si>
  <si>
    <t>DCC2 - DERIVANDO DE CABO NÚ</t>
  </si>
  <si>
    <t>NAS DERIVAÇÕES, ESCOLHA O CABO A UTILIZAR E O QUE DERIVARÁ</t>
  </si>
  <si>
    <t>DCC2 - DERIVANDO DE CABO PROTEGIDO</t>
  </si>
  <si>
    <t>DCUF3 - DERIVANDO DE CABO PROTEGIDO</t>
  </si>
  <si>
    <t>DC3-CF - DERIVAÇÃO DE CABO PROTEGIDO</t>
  </si>
  <si>
    <r>
      <t xml:space="preserve">EXTENSÃO DA REDE COM CABO PROTEGIDO </t>
    </r>
    <r>
      <rPr>
        <b/>
        <sz val="12"/>
        <color indexed="10"/>
        <rFont val="Arial Narrow"/>
        <family val="2"/>
      </rPr>
      <t>35 mm²</t>
    </r>
    <r>
      <rPr>
        <b/>
        <sz val="12"/>
        <rFont val="Arial Narrow"/>
        <family val="2"/>
      </rPr>
      <t xml:space="preserve"> (Metros)</t>
    </r>
  </si>
  <si>
    <r>
      <t xml:space="preserve">EXTENSÃO DA REDE COM CABO PROTEGIDO </t>
    </r>
    <r>
      <rPr>
        <b/>
        <sz val="12"/>
        <color indexed="10"/>
        <rFont val="Arial Narrow"/>
        <family val="2"/>
      </rPr>
      <t>50 mm²</t>
    </r>
    <r>
      <rPr>
        <b/>
        <sz val="12"/>
        <rFont val="Arial Narrow"/>
        <family val="2"/>
      </rPr>
      <t xml:space="preserve"> (Metros)</t>
    </r>
  </si>
  <si>
    <r>
      <t xml:space="preserve">EXTENSÃO DA REDE COM CABO PROTEGIDO </t>
    </r>
    <r>
      <rPr>
        <b/>
        <sz val="12"/>
        <color indexed="10"/>
        <rFont val="Arial Narrow"/>
        <family val="2"/>
      </rPr>
      <t>95</t>
    </r>
    <r>
      <rPr>
        <b/>
        <sz val="12"/>
        <rFont val="Arial Narrow"/>
        <family val="2"/>
      </rPr>
      <t xml:space="preserve"> </t>
    </r>
    <r>
      <rPr>
        <b/>
        <sz val="12"/>
        <color indexed="10"/>
        <rFont val="Arial Narrow"/>
        <family val="2"/>
      </rPr>
      <t>mm²</t>
    </r>
    <r>
      <rPr>
        <b/>
        <sz val="12"/>
        <rFont val="Arial Narrow"/>
        <family val="2"/>
      </rPr>
      <t xml:space="preserve"> (Metros)</t>
    </r>
  </si>
  <si>
    <t>AO INSERIR POSTES, AS PLACAS DE CONCRETOS E CONCRETO P/ BASE, SERÃO ADICIONADAS AUTOMATICAMENTE</t>
  </si>
  <si>
    <t>ESTA PLANILHA SERVE PARA ADICIONAR E SUBTRAIR OS MATERIAIS DE  APENAS REDES CABOS NÚS</t>
  </si>
  <si>
    <t>ESTA PLANILHA SERVE PARA ADICIONAR E SUBTRAIR OS MATERIAIS DE APENAS REDES COMPACTAS E BTs</t>
  </si>
  <si>
    <r>
      <t>MURETA DE ALVENARIA  (</t>
    </r>
    <r>
      <rPr>
        <b/>
        <sz val="10"/>
        <rFont val="Cambria"/>
        <family val="1"/>
      </rPr>
      <t xml:space="preserve"> </t>
    </r>
    <r>
      <rPr>
        <b/>
        <i/>
        <sz val="10"/>
        <rFont val="Cambria"/>
        <family val="1"/>
      </rPr>
      <t xml:space="preserve">ALT. 2 M,  LARG. 1 M,  PROF. 40 CM </t>
    </r>
    <r>
      <rPr>
        <b/>
        <sz val="10"/>
        <rFont val="Arial"/>
        <family val="2"/>
      </rPr>
      <t>)</t>
    </r>
  </si>
  <si>
    <r>
      <t>MURETA DE ALVENARIA  (</t>
    </r>
    <r>
      <rPr>
        <b/>
        <sz val="10"/>
        <rFont val="Cambria"/>
        <family val="1"/>
      </rPr>
      <t xml:space="preserve"> </t>
    </r>
    <r>
      <rPr>
        <b/>
        <i/>
        <sz val="10"/>
        <rFont val="Cambria"/>
        <family val="1"/>
      </rPr>
      <t xml:space="preserve">ALT. 2 M,  LARG. 1 M,  PROF. 40 CM </t>
    </r>
    <r>
      <rPr>
        <b/>
        <sz val="10"/>
        <rFont val="Arial"/>
        <family val="2"/>
      </rPr>
      <t>)</t>
    </r>
  </si>
  <si>
    <t>Cabo Aluminio quadriplex XLPE 10 mm²</t>
  </si>
  <si>
    <t>Cabo Aluminio quadriplex XLPE 50 mm²</t>
  </si>
  <si>
    <t>Arame farpado galvanizado</t>
  </si>
  <si>
    <t>Batente tipo cantoneira 30 x 3 x 6cm, com suporte para fixação e cadeado</t>
  </si>
  <si>
    <t>Cabo de cobre coberto com XLPE - 16mm²</t>
  </si>
  <si>
    <t>Cabo de cobre PP isolado 2 x 6mm²</t>
  </si>
  <si>
    <t>Caixa de concreto 50cm x 50cm</t>
  </si>
  <si>
    <t>Conector aço-cobre para haste de aterramento</t>
  </si>
  <si>
    <t>Conector transversal 5/8" para haste de aterramento</t>
  </si>
  <si>
    <t>Concreto para base em poste ≥ 600daN (Cimento, areia, brita)</t>
  </si>
  <si>
    <t>Dobradiça em aço</t>
  </si>
  <si>
    <t>Esticador de cerca, em aço</t>
  </si>
  <si>
    <t>Fecho para fita de aço inox 304</t>
  </si>
  <si>
    <t>Fita de aço inox 304 - 3/4 x 5mm</t>
  </si>
  <si>
    <t xml:space="preserve">Luva para haste de aterramento circular prolongável </t>
  </si>
  <si>
    <t xml:space="preserve">Mangueira corrugada 1,1/4" </t>
  </si>
  <si>
    <t>Parafuso 6mm X 10mm²  para terminal de 35mm²</t>
  </si>
  <si>
    <t>Pilar palanque para cerca  -  330cm + 48cm x 10cm x 10cm</t>
  </si>
  <si>
    <t>Pilar palanque para cerca  -  330cm + 40cm x 16cm x 18cm</t>
  </si>
  <si>
    <t>Pedra brita nº 2</t>
  </si>
  <si>
    <t>m³</t>
  </si>
  <si>
    <t>Placa de advertência "PERIGO DE MORTE" 47cm X 34cm</t>
  </si>
  <si>
    <t>Poste de concreto armada - 4/300 DT</t>
  </si>
  <si>
    <t>Tela alambrado 170 mm</t>
  </si>
  <si>
    <t>Terminal de compressão 35mm²</t>
  </si>
  <si>
    <t>Terminal tipo espada (bastão) para chave faca 336,4mcm</t>
  </si>
  <si>
    <t xml:space="preserve">                        SUBESTAÇÃO AO TEMPO EM REDE MÉDIA TENSÃO 34.5KV</t>
  </si>
  <si>
    <t>SE. SEM  POSTOS DE TRANSFORMAÇÃO</t>
  </si>
  <si>
    <t>SUBESTAÇÃO AO TEMPO - 34.5KV - NDU-002</t>
  </si>
  <si>
    <t xml:space="preserve">TRAFOS TRIF DE 15 E 30KVA, NÃO TÊM MEDIÇÃO COM MURETA. LANÇANDO O TRAFO, JÁ ORÇA A MEDIÇÃO COM PADRÃO </t>
  </si>
  <si>
    <t>NO TRAFO DE  45KVA, AO LANÇÁ-LO, JÁ ORÇA A MEDIÇÃO COM PADRÃO. LANÇANDO A MEDIÇÃO COM MURETA, SAI A MEDIÇÃO COM PADRÃO</t>
  </si>
  <si>
    <r>
      <rPr>
        <b/>
        <i/>
        <u/>
        <sz val="10"/>
        <color indexed="9"/>
        <rFont val="Arial Narrow"/>
        <family val="2"/>
      </rPr>
      <t>U3 PARA U4</t>
    </r>
    <r>
      <rPr>
        <b/>
        <sz val="10"/>
        <color indexed="9"/>
        <rFont val="Arial Narrow"/>
        <family val="2"/>
      </rPr>
      <t xml:space="preserve"> e  as estruturas de 2º Nível, não orçam postes. São elas:                       U3 Derivação, U3-Cfu, N3 Derivação e N3-Cfu</t>
    </r>
  </si>
  <si>
    <t>112-380</t>
  </si>
  <si>
    <t>112-220</t>
  </si>
  <si>
    <t>150-220</t>
  </si>
  <si>
    <t>150-380</t>
  </si>
  <si>
    <t>45-220</t>
  </si>
  <si>
    <t>75-220</t>
  </si>
  <si>
    <t>225-220</t>
  </si>
  <si>
    <t>225-380</t>
  </si>
  <si>
    <t>300-220</t>
  </si>
  <si>
    <t>300-380</t>
  </si>
  <si>
    <t>45-380</t>
  </si>
  <si>
    <t>75-380</t>
  </si>
  <si>
    <t>CABO DE COBRE ISOLADO 1KV, 150 mm²</t>
  </si>
  <si>
    <t>Barramentos da BT</t>
  </si>
  <si>
    <t>QUANT.</t>
  </si>
  <si>
    <t>CFU - AVULSO</t>
  </si>
  <si>
    <t>N4-CR</t>
  </si>
  <si>
    <t>Espaçador de isoladores</t>
  </si>
  <si>
    <t>Parafuso de cabeça abaulada de 200 mm p/ poste circ</t>
  </si>
  <si>
    <t>Cinta circular de Ø 140 mm</t>
  </si>
  <si>
    <t>Parafuso de rosca dupla de 600 mm</t>
  </si>
  <si>
    <t>Parafuso de rosca dupla de 650 mm</t>
  </si>
  <si>
    <r>
      <rPr>
        <b/>
        <i/>
        <u/>
        <sz val="10"/>
        <color indexed="9"/>
        <rFont val="Arial Narrow"/>
        <family val="2"/>
      </rPr>
      <t>U3 PARA U4</t>
    </r>
    <r>
      <rPr>
        <b/>
        <sz val="10"/>
        <color indexed="9"/>
        <rFont val="Arial Narrow"/>
        <family val="2"/>
      </rPr>
      <t xml:space="preserve"> e  as estruturas de 2º Nível, não orçam postes. São elas:               U3 Derivação, U3-Cfu, N3 Derivação e N3-Cfu</t>
    </r>
  </si>
  <si>
    <t>CFU AVULSO</t>
  </si>
  <si>
    <t>CFU TRIF AV</t>
  </si>
  <si>
    <r>
      <t xml:space="preserve">Elo Fusível </t>
    </r>
    <r>
      <rPr>
        <b/>
        <sz val="11"/>
        <color indexed="10"/>
        <rFont val="Arial"/>
        <family val="2"/>
      </rPr>
      <t>(CALCULAR CAPACIDADE)</t>
    </r>
  </si>
  <si>
    <r>
      <t xml:space="preserve">CHAVE FUSÍVEL 3Ø ( </t>
    </r>
    <r>
      <rPr>
        <b/>
        <sz val="13"/>
        <color indexed="9"/>
        <rFont val="Agency FB"/>
        <family val="2"/>
      </rPr>
      <t>O JOGO</t>
    </r>
    <r>
      <rPr>
        <b/>
        <sz val="14"/>
        <color indexed="9"/>
        <rFont val="Calibri"/>
        <family val="2"/>
      </rPr>
      <t xml:space="preserve"> )</t>
    </r>
  </si>
  <si>
    <t>Conector, cunha, liga de Alumínio, CN 2</t>
  </si>
  <si>
    <t>CHAVE ATENDERÁ QUANTOS KVA?</t>
  </si>
  <si>
    <r>
      <t xml:space="preserve">SI-3-3 </t>
    </r>
    <r>
      <rPr>
        <b/>
        <sz val="14"/>
        <color indexed="9"/>
        <rFont val="Agency FB"/>
        <family val="2"/>
      </rPr>
      <t>(</t>
    </r>
    <r>
      <rPr>
        <b/>
        <sz val="14"/>
        <color indexed="13"/>
        <rFont val="Agency FB"/>
        <family val="2"/>
      </rPr>
      <t>2 Fins com ou sem mudança de cabo</t>
    </r>
    <r>
      <rPr>
        <b/>
        <sz val="14"/>
        <color indexed="9"/>
        <rFont val="Agency FB"/>
        <family val="2"/>
      </rPr>
      <t>)</t>
    </r>
  </si>
  <si>
    <t xml:space="preserve"> PADRÃO</t>
  </si>
  <si>
    <t xml:space="preserve">5KVA COM </t>
  </si>
  <si>
    <t>AÇO</t>
  </si>
  <si>
    <t>CONC.</t>
  </si>
  <si>
    <t>POSTE DE</t>
  </si>
  <si>
    <t xml:space="preserve">10KVA COM </t>
  </si>
  <si>
    <t xml:space="preserve">15KVA COM </t>
  </si>
  <si>
    <t xml:space="preserve">25KVA COM </t>
  </si>
  <si>
    <t>Padrão bifásico rural 30 AMP - 05 kva - Poste de concreto</t>
  </si>
  <si>
    <t>Padrão bifásico rural 50 AMP - 10 kva - Poste de concreto</t>
  </si>
  <si>
    <t>Padrão bifásico rural 70 AMP - 15 kva - Poste de concreto</t>
  </si>
  <si>
    <t>Padrão bifásico rural 30 AMP - 05 kva - Poste de Aço galvanizado</t>
  </si>
  <si>
    <t>Padrão bifásico rural 50 AMP - 10 kva - Poste de Aço galvanizado</t>
  </si>
  <si>
    <t>Padrão bifásico rural 70 AMP - 15 kva - Poste de Aço galvanizado</t>
  </si>
  <si>
    <t>Padrão trifásico rural 100 AMP - 25 kva - Poste de concreto</t>
  </si>
  <si>
    <t>Padrão trifásico rural 100 AMP - 25 kva - Poste de Aço galvanizado</t>
  </si>
  <si>
    <t>Padrão bifásico rural 100 AMP - 25 kva - Poste de Aço galvanizado</t>
  </si>
  <si>
    <t>Padrão bifásico rural 30 AMP - 05 kva - Poste de Concreto</t>
  </si>
  <si>
    <t>Padrão bifásico rural 50 AMP - 10 kva - Poste de Concreto</t>
  </si>
  <si>
    <t>Padrão bifásico rural 70 AMP - 15 kva - Poste de Concreto</t>
  </si>
  <si>
    <t>Padrão bifásico rural 100 AMP - 25 kva - Poste de Concreto</t>
  </si>
  <si>
    <t xml:space="preserve"> PADRÃO E</t>
  </si>
  <si>
    <t>Cabo de cobre coberto com XLPE - 15kv 95mm²</t>
  </si>
  <si>
    <t>Cruzeta polimérica retangular 5000mm x 90mm x 112mm</t>
  </si>
  <si>
    <t>Fio de cobre rígido isolado 10mm²</t>
  </si>
  <si>
    <t>Parafuso de cabeça quadrada - 50mm</t>
  </si>
  <si>
    <t>Regulador de tensão monofásico automático – 13,8 kV</t>
  </si>
  <si>
    <t>Regulador de tensão monofásico automático -19,92 kV</t>
  </si>
  <si>
    <t>Relé sincronizador de reguladores de tensão</t>
  </si>
  <si>
    <t>Suporte de transformador em poste circular –Ø-255 mm</t>
  </si>
  <si>
    <t>Suporte para fixação de chave faca em posição inclinada (45°) – 36,2 kV</t>
  </si>
  <si>
    <t>Suporte T 34.5kv</t>
  </si>
  <si>
    <t>Fio de cobre rígido 10mm²</t>
  </si>
  <si>
    <t>Suporte fixação de chave faca em posição inclinada (45°) – 36,2 kV</t>
  </si>
  <si>
    <t>EM POSTES</t>
  </si>
  <si>
    <t>PLATAFORMA</t>
  </si>
  <si>
    <t xml:space="preserve">Fonte: NTE_034 - 5ª Edição. </t>
  </si>
  <si>
    <r>
      <t xml:space="preserve">      Obs.: </t>
    </r>
    <r>
      <rPr>
        <b/>
        <sz val="10"/>
        <color indexed="52"/>
        <rFont val="Calibri"/>
        <family val="2"/>
      </rPr>
      <t xml:space="preserve">____________________________________       </t>
    </r>
    <r>
      <rPr>
        <b/>
        <sz val="10"/>
        <color indexed="8"/>
        <rFont val="Calibri"/>
        <family val="2"/>
      </rPr>
      <t xml:space="preserve">                                                                                                                       Os reguladores de tensão de 13,8 kV , devem ser conectados em delta fechado, conforme detalhado nas Figuras 14 a 18 do anexo C. E  os reguladores de tensão de 19,92 kV devem ser conectados em estrela aterrada, conforme detalhado nas Figuras 1 a 8 do Anexo A, ou Figuras 9 a 13 do Anexo B.</t>
    </r>
  </si>
  <si>
    <t>REGULADOR DE TENSÃO EM POSTE, TENSÃO 13,8 KV</t>
  </si>
  <si>
    <t>REGULADOR DE TENSÃO EM POSTE, TENSÃO 19,92 KV</t>
  </si>
  <si>
    <t>REGULADOR DE TENSÃO EM PLATAFORMA, TENSÃO 19,92 KV</t>
  </si>
  <si>
    <t>REDE BAIXA TENSÃO CABO MULTIPLEXADO ISOLADO</t>
  </si>
  <si>
    <t>REDE COMPACTA CABO PROTEGIDO</t>
  </si>
  <si>
    <t>MONOFÁSICA, TENSÃO NOMINAL 7,97 KV</t>
  </si>
  <si>
    <t>TRIFÁSICA, TENSÃO NOMINAL 13,8 KV</t>
  </si>
  <si>
    <t>MONOFÁSICA, TENSÃO NOMINAL 19,92 KV</t>
  </si>
  <si>
    <t>TRIFÁSICA, TENSÃO NOMINAL 34,5 KV</t>
  </si>
  <si>
    <t>RELAÇÃO DOS MATERIAIS PARA REDE DE ENERGIA ELÉTRICA</t>
  </si>
  <si>
    <t>Cabo Aluminio triplex Xlpe 35 mm²</t>
  </si>
  <si>
    <t>Cabo Aluminio triplex XLPE 35 mm²</t>
  </si>
  <si>
    <t>Conector perfurante 25-120 mm² X 25-120 mm²</t>
  </si>
  <si>
    <t xml:space="preserve">Conector perfurante 25-120 mm² X 25-120 mm² </t>
  </si>
  <si>
    <t>Padrão trifásico rural 125 AMP - 37,5 kva - Poste de concreto</t>
  </si>
  <si>
    <t>Padrão brifásico rural 125 AMP - 37,5 kva - Poste de concreto</t>
  </si>
  <si>
    <t>Padrão brifásico rural 100 AMP - 25 kva - Poste de concreto</t>
  </si>
  <si>
    <t>Padrão Trifásico 120A. - 35mm² - Trafo 45kva - 220/127v.</t>
  </si>
  <si>
    <t>Padrão Trifásico 125A. - 35mm² - Trafo 45kva - 220/127v.</t>
  </si>
  <si>
    <t>Padrão Trifásico 70A. - 25mm² - trafo 45kva - 380/220v.</t>
  </si>
  <si>
    <t>Padrão bifásico rural 30 Amp. - 10mm², 05 kva - Poste de Aço galvanizado</t>
  </si>
  <si>
    <t>Padrão bifásico rural 50 Amp. - 10mm², 10 kva - Poste de Aço galvanizado</t>
  </si>
  <si>
    <t>Padrão bifásico rural 70 Amp. - 16mm², 15 kva - Poste de Aço galvanizado</t>
  </si>
  <si>
    <t>Padrão bifásico rural 100 Amp. - 25mm², 25 kva - Poste de Aço galvanizado</t>
  </si>
  <si>
    <t>Padrão bifásico rural 30 Amp. - 10mm², 05 kva - Poste de concreto</t>
  </si>
  <si>
    <t>Padrão bifásico rural 50 Amp. - 10mm², 10 kva - Poste de concreto</t>
  </si>
  <si>
    <t>Padrão bifásico rural 70 Amp. - 16mm², 15 kva - Poste de concreto</t>
  </si>
  <si>
    <t>Padrão bifásico rural 100 Amp. - 25mm², 25 kva - Poste de concreto</t>
  </si>
  <si>
    <t>Transformador monofásico - 13.8KV - 37,5KVA - 254/127V</t>
  </si>
  <si>
    <t>Transformador monofásico - 34.5KV - 37,5KVA - 254/127V</t>
  </si>
  <si>
    <t>Transformador monofásico - 13.8KV - 37.5KVA - 254/127V</t>
  </si>
  <si>
    <t>Transformador monofásico - 34.5KV - 37.5KVA - 254/127V</t>
  </si>
  <si>
    <t>Cabo Aluminio triplex Xlpe 50 mm²</t>
  </si>
  <si>
    <t>Cabo Aluminio triplex XLPE 50 mm²</t>
  </si>
  <si>
    <t>MRT - 37,5KVA</t>
  </si>
  <si>
    <t>Transformador monofásico - 34.5KV -37,5KVA - 254/127V</t>
  </si>
  <si>
    <t>Padrão brifásico rural 140 AMP - 37,5 kva - Poste de concreto</t>
  </si>
  <si>
    <t>Padrão bifásico rural 140 Amp., 50mm²,  37,5 kva, Poste de concreto</t>
  </si>
  <si>
    <t>Padrão trifásico rural 140 AMP - 37,5 kva - Poste de concreto</t>
  </si>
  <si>
    <t>37,5KVA - PADRÃO</t>
  </si>
  <si>
    <t xml:space="preserve"> COM POSTE DE CONCRETO</t>
  </si>
  <si>
    <t>37,5KVA - PADRÃO COM</t>
  </si>
  <si>
    <t xml:space="preserve"> POSTE DE CONCRETO</t>
  </si>
  <si>
    <t>COM POSTE DE CONCRETO</t>
  </si>
  <si>
    <t>FORMULA  EM "DO168"</t>
  </si>
  <si>
    <t>pc</t>
  </si>
  <si>
    <t xml:space="preserve">Conector perfurante 70-185 mm² X 25-180 mm² </t>
  </si>
  <si>
    <t>Cabo isolado cobre singelo 150mm², preto, 750V, PVC</t>
  </si>
  <si>
    <t>Conector perfurante 70-185 mm² X 70-185 mm²</t>
  </si>
  <si>
    <t>FORM</t>
  </si>
  <si>
    <t>FORMULA  EM "DO269"</t>
  </si>
  <si>
    <t>FORMULA  EM "DO270"</t>
  </si>
  <si>
    <r>
      <rPr>
        <b/>
        <sz val="14"/>
        <color indexed="10"/>
        <rFont val="Agency FB"/>
        <family val="2"/>
      </rPr>
      <t xml:space="preserve">35-35 </t>
    </r>
    <r>
      <rPr>
        <b/>
        <sz val="14"/>
        <rFont val="Agency FB"/>
        <family val="2"/>
      </rPr>
      <t>= CABO 35mm² COM DERIVAÇÃO 35mm²</t>
    </r>
  </si>
  <si>
    <r>
      <t xml:space="preserve">EXTENSÃO REDE CABO QUADUPLEX </t>
    </r>
    <r>
      <rPr>
        <b/>
        <sz val="12"/>
        <color indexed="10"/>
        <rFont val="Calibri"/>
        <family val="2"/>
      </rPr>
      <t xml:space="preserve">70 mm² </t>
    </r>
    <r>
      <rPr>
        <b/>
        <sz val="12"/>
        <rFont val="Calibri"/>
        <family val="2"/>
      </rPr>
      <t xml:space="preserve">    (M)</t>
    </r>
  </si>
  <si>
    <r>
      <t xml:space="preserve">EXTENSÃO REDE CABO QUADUPLEX </t>
    </r>
    <r>
      <rPr>
        <b/>
        <sz val="12"/>
        <color indexed="10"/>
        <rFont val="Calibri"/>
        <family val="2"/>
      </rPr>
      <t>35 mm²</t>
    </r>
    <r>
      <rPr>
        <b/>
        <sz val="12"/>
        <rFont val="Calibri"/>
        <family val="2"/>
      </rPr>
      <t xml:space="preserve">     (M)</t>
    </r>
  </si>
  <si>
    <r>
      <t xml:space="preserve">EXTENSÃO REDE CABO QUADUPLEX </t>
    </r>
    <r>
      <rPr>
        <b/>
        <sz val="12"/>
        <color indexed="10"/>
        <rFont val="Calibri"/>
        <family val="2"/>
      </rPr>
      <t xml:space="preserve">120 mm²   </t>
    </r>
    <r>
      <rPr>
        <b/>
        <sz val="12"/>
        <rFont val="Calibri"/>
        <family val="2"/>
      </rPr>
      <t xml:space="preserve">(M) </t>
    </r>
  </si>
  <si>
    <t>10 METROS</t>
  </si>
  <si>
    <t>11 METROS</t>
  </si>
  <si>
    <t>12 METROS</t>
  </si>
  <si>
    <t>13 METROS</t>
  </si>
  <si>
    <t>ATERRAMENTOS AVULSOS</t>
  </si>
  <si>
    <t>PARA TRAFO</t>
  </si>
  <si>
    <t>300C</t>
  </si>
  <si>
    <t>600C</t>
  </si>
  <si>
    <t>1000C</t>
  </si>
  <si>
    <r>
      <t xml:space="preserve">CRUZAMENTO INDEPENDENTE </t>
    </r>
    <r>
      <rPr>
        <b/>
        <sz val="12"/>
        <color indexed="10"/>
        <rFont val="Calibri"/>
        <family val="2"/>
      </rPr>
      <t>EM CABO 70mm² a 120mm²</t>
    </r>
  </si>
  <si>
    <t>Cinta circular de Ø 370 mm</t>
  </si>
  <si>
    <t>Cinta circular de Ø 380 mm</t>
  </si>
  <si>
    <t>Cinta circular de Ø 390 mm</t>
  </si>
  <si>
    <t>Cinta circular de Ø 400 mm</t>
  </si>
  <si>
    <t>Cinta circular de Ø 410 mm</t>
  </si>
  <si>
    <t>Cinta circular de Ø 420 mm</t>
  </si>
  <si>
    <t>Cinta circular de Ø 430 mm</t>
  </si>
  <si>
    <t>Cinta circular de Ø 440 mm</t>
  </si>
  <si>
    <t>Cinta circular de Ø 450 mm</t>
  </si>
  <si>
    <t>Cinta circular de Ø 460 mm</t>
  </si>
  <si>
    <t>Cinta circular de Ø 470 mm</t>
  </si>
  <si>
    <t>Cinta circular de Ø 480 mm</t>
  </si>
  <si>
    <t>Cinta circular de Ø 4240 mm</t>
  </si>
  <si>
    <t>Cinta circular de Ø 490 mm</t>
  </si>
  <si>
    <r>
      <t xml:space="preserve">DISJUNTOR </t>
    </r>
    <r>
      <rPr>
        <b/>
        <sz val="10"/>
        <rFont val="Calibri"/>
        <family val="2"/>
      </rPr>
      <t xml:space="preserve"> MONOPOLAR 15A</t>
    </r>
    <r>
      <rPr>
        <sz val="10"/>
        <rFont val="Calibri"/>
        <family val="2"/>
      </rPr>
      <t xml:space="preserve"> </t>
    </r>
  </si>
  <si>
    <r>
      <t xml:space="preserve">DISJUNTOR </t>
    </r>
    <r>
      <rPr>
        <b/>
        <sz val="10"/>
        <rFont val="Calibri"/>
        <family val="2"/>
      </rPr>
      <t xml:space="preserve"> MONOPOLAR 20A</t>
    </r>
    <r>
      <rPr>
        <sz val="10"/>
        <rFont val="Calibri"/>
        <family val="2"/>
      </rPr>
      <t xml:space="preserve"> </t>
    </r>
  </si>
  <si>
    <r>
      <t xml:space="preserve">DISJUNTOR </t>
    </r>
    <r>
      <rPr>
        <b/>
        <sz val="10"/>
        <rFont val="Calibri"/>
        <family val="2"/>
      </rPr>
      <t xml:space="preserve"> MONOPOLAR 40A</t>
    </r>
    <r>
      <rPr>
        <sz val="10"/>
        <rFont val="Calibri"/>
        <family val="2"/>
      </rPr>
      <t xml:space="preserve"> </t>
    </r>
  </si>
  <si>
    <r>
      <t xml:space="preserve">DISJUNTOR </t>
    </r>
    <r>
      <rPr>
        <b/>
        <sz val="10"/>
        <rFont val="Calibri"/>
        <family val="2"/>
      </rPr>
      <t xml:space="preserve"> MONOPOLAR 50A</t>
    </r>
    <r>
      <rPr>
        <sz val="10"/>
        <rFont val="Calibri"/>
        <family val="2"/>
      </rPr>
      <t xml:space="preserve"> </t>
    </r>
  </si>
  <si>
    <r>
      <t>DISJUNTOR B</t>
    </r>
    <r>
      <rPr>
        <b/>
        <sz val="10"/>
        <rFont val="Calibri"/>
        <family val="2"/>
      </rPr>
      <t>IPOLAR 30A</t>
    </r>
    <r>
      <rPr>
        <sz val="10"/>
        <rFont val="Calibri"/>
        <family val="2"/>
      </rPr>
      <t xml:space="preserve"> </t>
    </r>
  </si>
  <si>
    <r>
      <t>DISJUNTOR B</t>
    </r>
    <r>
      <rPr>
        <b/>
        <sz val="10"/>
        <rFont val="Calibri"/>
        <family val="2"/>
      </rPr>
      <t>IPOLAR 50A</t>
    </r>
    <r>
      <rPr>
        <sz val="10"/>
        <rFont val="Calibri"/>
        <family val="2"/>
      </rPr>
      <t xml:space="preserve"> </t>
    </r>
  </si>
  <si>
    <r>
      <t>DISJUNTOR B</t>
    </r>
    <r>
      <rPr>
        <b/>
        <sz val="10"/>
        <rFont val="Calibri"/>
        <family val="2"/>
      </rPr>
      <t>IPOLAR 60A</t>
    </r>
    <r>
      <rPr>
        <sz val="10"/>
        <rFont val="Calibri"/>
        <family val="2"/>
      </rPr>
      <t xml:space="preserve"> </t>
    </r>
  </si>
  <si>
    <r>
      <t>DISJUNTOR B</t>
    </r>
    <r>
      <rPr>
        <b/>
        <sz val="10"/>
        <rFont val="Calibri"/>
        <family val="2"/>
      </rPr>
      <t>IPOLAR 70A</t>
    </r>
    <r>
      <rPr>
        <sz val="10"/>
        <rFont val="Calibri"/>
        <family val="2"/>
      </rPr>
      <t xml:space="preserve"> </t>
    </r>
  </si>
  <si>
    <r>
      <t>DISJUNTOR B</t>
    </r>
    <r>
      <rPr>
        <b/>
        <sz val="10"/>
        <rFont val="Calibri"/>
        <family val="2"/>
      </rPr>
      <t>IPOLAR 90A</t>
    </r>
    <r>
      <rPr>
        <sz val="10"/>
        <rFont val="Calibri"/>
        <family val="2"/>
      </rPr>
      <t xml:space="preserve"> </t>
    </r>
  </si>
  <si>
    <r>
      <t>DISJUNTOR T</t>
    </r>
    <r>
      <rPr>
        <b/>
        <sz val="10"/>
        <rFont val="Calibri"/>
        <family val="2"/>
      </rPr>
      <t>IPOLAR 90A</t>
    </r>
    <r>
      <rPr>
        <sz val="10"/>
        <rFont val="Calibri"/>
        <family val="2"/>
      </rPr>
      <t xml:space="preserve"> </t>
    </r>
  </si>
  <si>
    <t>ILUMINAÇÃO PÚBLICA COMUM ( EM POSTE DUPLO T )</t>
  </si>
  <si>
    <t>ILUMINAÇÃO PÚBLICA COMUM ( EM POSTE CIRCULAR )</t>
  </si>
  <si>
    <t xml:space="preserve">150~200 </t>
  </si>
  <si>
    <t xml:space="preserve">150~200C </t>
  </si>
  <si>
    <r>
      <t xml:space="preserve">Estas estruturas de fim de rede BT e BT c/ TRAFO </t>
    </r>
    <r>
      <rPr>
        <b/>
        <sz val="13"/>
        <rFont val="Calibri"/>
        <family val="2"/>
      </rPr>
      <t>(SI-3, SI-1T, SI-1-3T)</t>
    </r>
    <r>
      <rPr>
        <b/>
        <sz val="13"/>
        <color indexed="10"/>
        <rFont val="Calibri"/>
        <family val="2"/>
      </rPr>
      <t>, orçam automaticamente seus aterramentos</t>
    </r>
  </si>
  <si>
    <t xml:space="preserve"> ADICIONE OS POSTES QUE SERÃO USADOS NA BT SEM MT</t>
  </si>
  <si>
    <t xml:space="preserve">REDE SECUNDÁRIA CABO ISOLADA </t>
  </si>
  <si>
    <r>
      <rPr>
        <b/>
        <sz val="16"/>
        <color indexed="9"/>
        <rFont val="Arial Narrow"/>
        <family val="2"/>
      </rPr>
      <t xml:space="preserve">( </t>
    </r>
    <r>
      <rPr>
        <b/>
        <sz val="14"/>
        <color indexed="9"/>
        <rFont val="Arial Narrow"/>
        <family val="2"/>
      </rPr>
      <t xml:space="preserve">REDE DE BAIXA TENSÃO COM CABO MULTIPLEXADO </t>
    </r>
    <r>
      <rPr>
        <b/>
        <sz val="16"/>
        <color indexed="9"/>
        <rFont val="Arial Narrow"/>
        <family val="2"/>
      </rPr>
      <t>)</t>
    </r>
  </si>
  <si>
    <r>
      <t xml:space="preserve">   AS ESTRUTURAS BT INCLUEM POSTES</t>
    </r>
    <r>
      <rPr>
        <b/>
        <sz val="16"/>
        <color indexed="10"/>
        <rFont val="Agency FB"/>
        <family val="2"/>
      </rPr>
      <t xml:space="preserve"> </t>
    </r>
    <r>
      <rPr>
        <b/>
        <sz val="16"/>
        <rFont val="Agency FB"/>
        <family val="2"/>
      </rPr>
      <t>?</t>
    </r>
  </si>
  <si>
    <t xml:space="preserve">     R.: NÃO. Ao lançar as quantias de BT, a descrição dos postes só servem p/ definir os tamanhos de parafusos e cintas. Para obter os postes necessários, adicione, na guia final, depois da SI-1T-3, a quantidade de postes que serão utilizados onde só haverá  BT sem AT</t>
  </si>
  <si>
    <t>NÃO USAR ATERRAMENTOS AVULSOS NOS CASOS ABAIXO:</t>
  </si>
  <si>
    <r>
      <t xml:space="preserve">As estruturas de fim de rede BT e BT c/ TRAFO </t>
    </r>
    <r>
      <rPr>
        <b/>
        <sz val="14"/>
        <color indexed="10"/>
        <rFont val="Calibri"/>
        <family val="2"/>
      </rPr>
      <t xml:space="preserve">(SI-3, SI-1T, SI-1-3T) </t>
    </r>
    <r>
      <rPr>
        <b/>
        <sz val="14"/>
        <rFont val="Calibri"/>
        <family val="2"/>
      </rPr>
      <t xml:space="preserve">e seccionamentos </t>
    </r>
    <r>
      <rPr>
        <b/>
        <sz val="14"/>
        <color indexed="10"/>
        <rFont val="Calibri"/>
        <family val="2"/>
      </rPr>
      <t>(SI-1S)</t>
    </r>
    <r>
      <rPr>
        <b/>
        <sz val="14"/>
        <rFont val="Calibri"/>
        <family val="2"/>
      </rPr>
      <t>, orçam automaticamente seus aterramentos</t>
    </r>
  </si>
  <si>
    <r>
      <t xml:space="preserve">AS ESTRUTURAS DE FIM DE REDE BT </t>
    </r>
    <r>
      <rPr>
        <b/>
        <sz val="13"/>
        <color indexed="10"/>
        <rFont val="Calibri"/>
        <family val="2"/>
      </rPr>
      <t>( SI-3 )</t>
    </r>
    <r>
      <rPr>
        <b/>
        <sz val="13"/>
        <rFont val="Calibri"/>
        <family val="2"/>
      </rPr>
      <t xml:space="preserve">, ESTRUTURAS BT COM TRAFO </t>
    </r>
    <r>
      <rPr>
        <b/>
        <sz val="13"/>
        <color indexed="10"/>
        <rFont val="Calibri"/>
        <family val="2"/>
      </rPr>
      <t>( SI-1T e  SI-1-3T)</t>
    </r>
    <r>
      <rPr>
        <b/>
        <sz val="13"/>
        <rFont val="Calibri"/>
        <family val="2"/>
      </rPr>
      <t xml:space="preserve"> E SECCIONAMENTO DE BT </t>
    </r>
    <r>
      <rPr>
        <b/>
        <sz val="13"/>
        <color indexed="10"/>
        <rFont val="Calibri"/>
        <family val="2"/>
      </rPr>
      <t>( SI-1S)</t>
    </r>
    <r>
      <rPr>
        <b/>
        <sz val="13"/>
        <rFont val="Calibri"/>
        <family val="2"/>
      </rPr>
      <t>, ORÇAM SEUS ATERRAMENTOS AUTOMATICAMENTE, ENTÃO, NÃO PRECISAM SER LANÇADAS EM ATERRAMENTOS AVULSOS</t>
    </r>
  </si>
  <si>
    <t>ATERRAMENTO AVULSOS EM BT</t>
  </si>
  <si>
    <t>SI-1S,  SI-3 e SI-T ORÇAM AUTOMÁTICAS</t>
  </si>
  <si>
    <t>NA ESTRUTURA</t>
  </si>
  <si>
    <t xml:space="preserve"> NO ESFORÇO</t>
  </si>
  <si>
    <t xml:space="preserve">BT s/ AT,  N1-13.8KV </t>
  </si>
  <si>
    <t>COMPACTA DERIV. C/ CHAVE</t>
  </si>
  <si>
    <t>COMPACTA DERIV. S/ CHAVE</t>
  </si>
  <si>
    <t>N1-T, N3-T, N4-T na 34.5KV</t>
  </si>
  <si>
    <t>N1-T, N3-T, N4-T na 13.8KV</t>
  </si>
  <si>
    <t>CLEA2, N1-N3D-13.8, CC2, CJE</t>
  </si>
  <si>
    <t>CUF3, CUF4, CLE, CHS</t>
  </si>
  <si>
    <t>CINTA POSTE DT ACO 310X190MM</t>
  </si>
  <si>
    <t>CINTA POSTE DT ACO 330X205MM</t>
  </si>
  <si>
    <t>CINTA POSTE DT ACO 240X330MM</t>
  </si>
  <si>
    <t>CINTA POSTE DT ACO 150X45MM</t>
  </si>
  <si>
    <t>CINTA POSTE DT ACO 130X55MM</t>
  </si>
  <si>
    <t>UNID</t>
  </si>
  <si>
    <t>CINTA POSTE DT ACO 135 X 85MM</t>
  </si>
  <si>
    <t>CINTA POSTE DT ACO 135 X 90MM</t>
  </si>
  <si>
    <t>CINTA POSTE DT ACO 140 X 95MM</t>
  </si>
  <si>
    <t>CINTA POSTE DT ACO 145 X 95MM</t>
  </si>
  <si>
    <t>CINTA POSTE DT ACO 150 X 100MM</t>
  </si>
  <si>
    <t>CINTA POSTE DT ACO 180 X 120MM</t>
  </si>
  <si>
    <t>CINTA POSTE DT ACO 190 X 125MM</t>
  </si>
  <si>
    <t>CINTA POSTE DT ACO 190 X130MM</t>
  </si>
  <si>
    <t>CINTA POSTE DT ACO 200 X 135MM</t>
  </si>
  <si>
    <t>CINTA POSTE DT ACO 205 X 135MM</t>
  </si>
  <si>
    <t>CINTA POSTE DT ACO 200 X 130MM</t>
  </si>
  <si>
    <t>CINTA POSTE DT ACO 210 X 140MM</t>
  </si>
  <si>
    <t>CINTA POSTE DT ACO 215 X 145MM</t>
  </si>
  <si>
    <t>CINTA POSTE DT ACO 210 X 145MM</t>
  </si>
  <si>
    <t>CINTA POSTE DT ACO 220X150MM</t>
  </si>
  <si>
    <t>CINTA POSTE DT ACO 225 X 155MM</t>
  </si>
  <si>
    <t>CINTA POSTE DT ACO 230 X 160MM</t>
  </si>
  <si>
    <t>CINTA POSTE DT ACO 235 X 160MM</t>
  </si>
  <si>
    <t>CINTA POSTE DT ACO 240 X165MM</t>
  </si>
  <si>
    <t>BT s/ AT,  N1-13.8KV, CLE</t>
  </si>
  <si>
    <t>CUF3, CUF4, CHS</t>
  </si>
  <si>
    <t xml:space="preserve">CLEA2-DC3-CF </t>
  </si>
  <si>
    <t>N1-N3D-34.5, N4-N3D-34.5</t>
  </si>
  <si>
    <t>CHLS, N1-34.5KV, CLEA1</t>
  </si>
  <si>
    <t>CHS-CH, CLHS-CH, CLEAs-DCUF3</t>
  </si>
  <si>
    <t>2CUF3, CUF4-CF, CUF4-SU,</t>
  </si>
  <si>
    <t>CINTA POSTE DT ACO 195 X130MM</t>
  </si>
  <si>
    <t>VEM DOS TRS</t>
  </si>
  <si>
    <t>Elo fusível tipo 7K</t>
  </si>
  <si>
    <t>Elo Fusível (CALCULAR)</t>
  </si>
  <si>
    <t>REGULADOR 34,5KV          ESTRELA ATERRADA</t>
  </si>
  <si>
    <t>REGULADOR 13,8KV    DELTA FECHADO</t>
  </si>
  <si>
    <t>ILUMINAÇÃO PÚBLICA COMUM</t>
  </si>
  <si>
    <t xml:space="preserve">                                           </t>
  </si>
  <si>
    <t xml:space="preserve">                                           MATERIAIS PARA MEDIÇÃO COM MURETA EM TRANSFORMADOR DE 112,5KVA - 220/127V</t>
  </si>
  <si>
    <t xml:space="preserve"> MATERIAIS PARA MEDIÇÃO COM MURETA EM TRANSFORMADOR TRIFÁSICO - 225KVA - 220/127V</t>
  </si>
  <si>
    <t>MATERIAIS PARA MEDIÇÃO COM MURETA EM TRANSFORMADOR TRIFÁSICO DE 45KVA - 220/127V</t>
  </si>
  <si>
    <t>MATERIAIS PARA MEDIÇÃO COM MURETA EM TRANSFORMADOR TRIFÁSICO DE 75KVA - 220/127V</t>
  </si>
  <si>
    <t>MATERIAIS PARA MEDIÇÃO COM MURETA EM TRANSFORMADOR TRIFÁSICO DE 112,5KVA - 220/127V</t>
  </si>
  <si>
    <t xml:space="preserve"> MATERIAIS PARA MEDIÇÃO COM MURETA EM TRANSFORMADOR TRIFÁSICO - 45KVA - 380/220V</t>
  </si>
  <si>
    <t>MATERIAIS PARA MEDIÇÃO COM MURETA EM TRANSFORMADOR TRIFÁSICO - 75KVA - 380/220V</t>
  </si>
  <si>
    <t>MATERIAIS PARA MEDIÇÃO COM MURETA EM TRANSFORMADOR TRIFÁSICO - 112,5KVA - 380/220V</t>
  </si>
  <si>
    <t>MATERIAIS PARA MEDIÇÃO COM MURETA EM TRANSFORMADOR TRIFÁSICO - 150KVA - 380/220V</t>
  </si>
  <si>
    <t>MATERIAIS PARA MEDIÇÃO COM MURETA EM TRANSFORMADOR TRIFÁSICO - 225KVA - 380/220V</t>
  </si>
  <si>
    <t>MATERIAIS PARA MEDIÇÃO COM MURETA EM TRANSFORMADOR TRIFÁSICO - 300KVA - 380/220V</t>
  </si>
  <si>
    <t>Caixa tubo de concreto para aterramento de padrão</t>
  </si>
  <si>
    <t>Descrição mono 34.5 na Relação dos materiais</t>
  </si>
  <si>
    <t>Caixa tubo para aterramento de padrão</t>
  </si>
  <si>
    <t>Alça preformada cabo 2CAA</t>
  </si>
  <si>
    <t>Alça preformada cabo 1/0CAA</t>
  </si>
  <si>
    <t>Alça pré formada de serviço para cabo Quaduplex 35mm²</t>
  </si>
  <si>
    <t>Alça pré formada 35mm</t>
  </si>
  <si>
    <t>Armação secundária 1 estribo</t>
  </si>
  <si>
    <t>Isolador com parafuso rosca soberba pimentão</t>
  </si>
  <si>
    <t>Isolador roldana porcelana</t>
  </si>
  <si>
    <t>REGULADORES EM TENSÕES NOMINAIS 13,8KV e 34,5KV - NTE_034</t>
  </si>
  <si>
    <t>PADRÃO P/ 45 KVA</t>
  </si>
  <si>
    <t>MEDIÇÃO COM PADRÃO EM REDES COMPACTAS</t>
  </si>
  <si>
    <t xml:space="preserve">MEDIÇÃO COM MURETA  EM REDES COMPACTAS </t>
  </si>
  <si>
    <t>HTE  - ( SEM ESTAI )</t>
  </si>
  <si>
    <t>EM POSTE:</t>
  </si>
  <si>
    <t>Fio de cobre rígido isolado 6mm² para amarração em isolador pilar</t>
  </si>
  <si>
    <t>Pino auto-travante AC 56,5mm para isolador pilar</t>
  </si>
  <si>
    <t>Pino auto-travante AC 168,5mm para isolador pilar</t>
  </si>
  <si>
    <t>Pino auto-travante AC 228,5mm para isolador pilar</t>
  </si>
  <si>
    <t>Pino auto-travante AC 278,5mm para isolador pilar</t>
  </si>
  <si>
    <t>Pino Longo, fixação 145mm, rosca chumbo para Isolador polimérico</t>
  </si>
  <si>
    <t>Pino Curto, fixação 45mm, rosca chumbo para Isolador polimérico</t>
  </si>
  <si>
    <t>Fio de Alumínio coberto 10mm² amarração rede compacta</t>
  </si>
  <si>
    <t>Cabo de cobre isolado 1kv, 120mm²</t>
  </si>
  <si>
    <t>Cabo de cobre isolado 1kv, 150mm²</t>
  </si>
  <si>
    <t>Dos Trafos</t>
  </si>
  <si>
    <t>Cabo Aluminio quadriplex XLPE 10mm²</t>
  </si>
  <si>
    <t>Cabo Aluminio quadriplex XLPE 16mm²</t>
  </si>
  <si>
    <t>Cabo Aluminio quadriplex XLPE 25mm²</t>
  </si>
  <si>
    <t>Cabo Aluminio quadriplex XLPE 50mm²</t>
  </si>
  <si>
    <t>Elo fusível tipo 6-H</t>
  </si>
  <si>
    <t>Padrão monoásico rural 30 AMP - 05 kva</t>
  </si>
  <si>
    <t>Elo fusível tipo 11-H</t>
  </si>
  <si>
    <t>Elo fusível tipo 22-H</t>
  </si>
  <si>
    <t>Elo fusível tipo 33-H</t>
  </si>
  <si>
    <t>Transformador Trifásico - 13.8KV -112,5KVA -220/127V</t>
  </si>
  <si>
    <t>Transformador Trifásico - 34.5KV-112,5KVA -220/127V</t>
  </si>
  <si>
    <t>INSERIR NOME DO MUNICÍPIO</t>
  </si>
  <si>
    <t>INSERIR ENDEREÇO DE LOCALIZAÇÃO</t>
  </si>
  <si>
    <t xml:space="preserve">Conector perfurante 70-185 mm² X 70-180 mm² </t>
  </si>
  <si>
    <t>Suporte ( chapa "T" ) para isolador tipo pilar</t>
  </si>
  <si>
    <t>Suporte L (braço L fofo)</t>
  </si>
  <si>
    <t>Fio de cobre isolado 10mm²</t>
  </si>
  <si>
    <t>Fio de cobre isolado10mm²</t>
  </si>
  <si>
    <t>Conector, cunha, liga de Alumínio, CN 16, série azul</t>
  </si>
  <si>
    <t>INSERIR NOME DA OBRA/PROPRIETÁRIO</t>
  </si>
  <si>
    <t>Cabo de cobre nú 50mm²</t>
  </si>
  <si>
    <t>Cabo de cobra nú 50mm²</t>
  </si>
  <si>
    <t>MUDOU PARA CABO 50mm² DE COBRE NU</t>
  </si>
  <si>
    <t>Cabo de cobre nu 50mm²</t>
  </si>
  <si>
    <t>Cabo de cobre nu 50²</t>
  </si>
  <si>
    <t>cabo de cobre nú 50mm²</t>
  </si>
  <si>
    <t>Elo Fusível Calcular potencia</t>
  </si>
  <si>
    <t>MURETA DE ALVENARIA ( ALT. 2,20 M,  LARG. 2,20 M,  PROF. 0,40 M )</t>
  </si>
  <si>
    <t>CAIXAS DE MEDIÇÃO 3 em 1 ( 62X49, 62X56 e 62 X 40 ) SEM BARRAMENTO</t>
  </si>
  <si>
    <t>CAIXAS DE MEDIÇÃO 3 em 1 ( 62X49, 62X56 e 82 X 40 ) COM BARRAMENTO</t>
  </si>
  <si>
    <t>C/BARRAM.</t>
  </si>
  <si>
    <t>127V</t>
  </si>
  <si>
    <t>380V</t>
  </si>
  <si>
    <r>
      <t>PARA TRAFO DE</t>
    </r>
    <r>
      <rPr>
        <b/>
        <sz val="14"/>
        <color indexed="9"/>
        <rFont val="BankGothic Lt BT"/>
        <family val="2"/>
      </rPr>
      <t>:</t>
    </r>
  </si>
  <si>
    <r>
      <rPr>
        <b/>
        <sz val="11"/>
        <rFont val="Agency FB"/>
        <family val="2"/>
      </rPr>
      <t xml:space="preserve">PADRÃO 15 KVA </t>
    </r>
    <r>
      <rPr>
        <b/>
        <sz val="11"/>
        <rFont val="AcadEref"/>
      </rPr>
      <t>3Ø</t>
    </r>
  </si>
  <si>
    <t>CAIXA MEDIÇÃO 100 X 60 X 2,25cm (MEDIÇÃO DIRETA ATÉ 200A)</t>
  </si>
  <si>
    <t>S/BARRAM.</t>
  </si>
  <si>
    <t>DISJUNTOR TRIPOLAR 500 AMP.</t>
  </si>
  <si>
    <t>Portão metálico aço/alambrado 170cm x 140cm</t>
  </si>
  <si>
    <t>Base para TP 250x45cm com pé 85x85x20cm e ponta  65x65x10cm</t>
  </si>
  <si>
    <t>Base para TC 280x45cm com pé 85x85x20cm e ponta  65x65x10cm</t>
  </si>
  <si>
    <t>Religador  Automático -  34.5 KV</t>
  </si>
  <si>
    <t>Transformador monofásico 5kVA - 19,92KV</t>
  </si>
  <si>
    <t>Cabo d aluminio nu 2CAA</t>
  </si>
  <si>
    <t>Cabo d aluminio nu 1/0CAA</t>
  </si>
  <si>
    <t>Cabo d aluminio nu 4/0CAA</t>
  </si>
  <si>
    <t>Cabo d aluminio nu 336CAA</t>
  </si>
  <si>
    <t>Eletrodo para soldagem  cabo de cobre nú 50mm²</t>
  </si>
  <si>
    <t>Mureta de alvenaria  200cm x 100cm x 40cm</t>
  </si>
  <si>
    <t>Cabo de cobre flexível 10m² para saída de para-raios</t>
  </si>
  <si>
    <t>Cabo de alumnio protegido com XLPE -  16mm²</t>
  </si>
  <si>
    <t>Cruzeta de concreto 400daN  320cm - retagular</t>
  </si>
  <si>
    <t>Cruzeta de concreto 250daN  200cm - retagular</t>
  </si>
  <si>
    <t>Cabo de cobre nú 50mm² para malha de terra</t>
  </si>
  <si>
    <t>Cabo de aço galvanizado - 6,4mm²  (cordoalha p/ aterramento)</t>
  </si>
  <si>
    <t>Alça pré-formada de estai p/ cabo de aço 6.4 mm</t>
  </si>
  <si>
    <t>Arame liso galvanizado</t>
  </si>
  <si>
    <t xml:space="preserve">        * Arei média</t>
  </si>
  <si>
    <t xml:space="preserve">        * Cimento - saca 50Kg</t>
  </si>
  <si>
    <t xml:space="preserve">        * Ferro 6mm²  -  barra 6 metros</t>
  </si>
  <si>
    <t xml:space="preserve">        * Pedra brita Nº 1 - lata com 18 litros</t>
  </si>
  <si>
    <t xml:space="preserve">        * Tijolos 6 furos</t>
  </si>
  <si>
    <t xml:space="preserve">        * Tinta tipo vendante 3600ml</t>
  </si>
  <si>
    <t>Tijolo 8 furos para murinho de proteção da brita</t>
  </si>
  <si>
    <t>Conector, cunha, cobre, 25mm² ~14,30mm²</t>
  </si>
  <si>
    <t>Extintor de incêndio CO²  6kg com placa de identificação</t>
  </si>
  <si>
    <t>Isolador pilar 170kv - 36kv</t>
  </si>
  <si>
    <t>Laço pré-formado de topo para cabo 336 mcm CAA</t>
  </si>
  <si>
    <t>Caixa metálica para medição em MT</t>
  </si>
  <si>
    <t>Placa de concreto para base de poste &gt;= 600 daN</t>
  </si>
  <si>
    <t>CABO</t>
  </si>
  <si>
    <t>Mureta</t>
  </si>
  <si>
    <t>CHAVE FUSIVEL RELIG 24,2/36,2KV 100A 1F MAN SECO SIM 4,5KA 3 INT</t>
  </si>
  <si>
    <t>CHAVE FUSIVEL RELIG DISTRIBUIÇÃO TR 15KV 100A 1F M</t>
  </si>
  <si>
    <t>CHAVE FUSIVEL DISTRIBUIÇÃOTRIB 15,0KV 300A SEM FERRAGEM</t>
  </si>
  <si>
    <t>CHAVE FUSIVEL DISTRIBUIÇÃOTRIB 15,0KV 300A COM FERRAGEM</t>
  </si>
  <si>
    <t>CHAVE FUSIVEL DISTRIBUIÇÃOTRIB 36,2KV 300A 3F COM FERRAGEM</t>
  </si>
  <si>
    <t>CHAVE FUSIVEL DISTRIBUIÇÃOTRIB 36,2KV 300A 3F SEM FERRAGEM</t>
  </si>
  <si>
    <t>CONECTOR CUNHA C-C COBRE 2,54-6,55/ 1,27-4,65mm AZ TP IV</t>
  </si>
  <si>
    <t>CONECTOR CUNHA C-C COBRE 3,17-8,12/ 3,17-7,42mm CZ TP I</t>
  </si>
  <si>
    <t>CONECTOR CUNHA C-C COBRE 2,54-6,55/ 1,27-4,65mm VM TP III</t>
  </si>
  <si>
    <t>CON CUNHA DER CN15 AL 9,2-14,5X9,2-14mm</t>
  </si>
  <si>
    <t>CON CUNHA DER CN16 AL 16,9-18,3X11-14mm</t>
  </si>
  <si>
    <t>CON CUNHA DER CN2 AL 15,2-17,3X11-17mm</t>
  </si>
  <si>
    <t>CRUZETA POSTE CONCR QUADR 90X90MM 2000MM</t>
  </si>
  <si>
    <t>HASTE ATERRAMENTO CIRC S/ROSCA 5/8 POL 2400,0MM C/ RABICHO</t>
  </si>
  <si>
    <t>ATERRAMENTOS DE CERCA COM HASTE SEM RABICHO</t>
  </si>
  <si>
    <t>ATERRAMENTOS DE CERCA COM HASTE COM RABICHO</t>
  </si>
  <si>
    <t>ATERRAMENTOS DE CERCA COM HASTE COM CORDOALHA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</si>
</sst>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* #,##0_);_(* \(#,##0\);_(* &quot;-&quot;??_);_(@_)"/>
    <numFmt numFmtId="165" formatCode="&quot;R$ &quot;#,##0.00"/>
    <numFmt numFmtId="166" formatCode="#,##0.0"/>
  </numFmts>
  <fonts count="324"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sz val="11"/>
      <name val="Bookman Old Style"/>
      <family val="1"/>
    </font>
    <font>
      <b/>
      <sz val="14"/>
      <name val="Agency FB"/>
      <family val="2"/>
    </font>
    <font>
      <b/>
      <sz val="16"/>
      <name val="Agency FB"/>
      <family val="2"/>
    </font>
    <font>
      <b/>
      <sz val="11"/>
      <name val="Arial"/>
      <family val="2"/>
    </font>
    <font>
      <b/>
      <sz val="12"/>
      <name val="Agency FB"/>
      <family val="2"/>
    </font>
    <font>
      <sz val="12"/>
      <color indexed="9"/>
      <name val="Arial"/>
      <family val="2"/>
    </font>
    <font>
      <sz val="14"/>
      <color indexed="9"/>
      <name val="Arial"/>
      <family val="2"/>
    </font>
    <font>
      <b/>
      <sz val="11"/>
      <name val="Agency FB"/>
      <family val="2"/>
    </font>
    <font>
      <b/>
      <sz val="14"/>
      <color indexed="9"/>
      <name val="BankGothic Lt BT"/>
      <family val="2"/>
    </font>
    <font>
      <b/>
      <sz val="12"/>
      <color indexed="13"/>
      <name val="Arial Narrow"/>
      <family val="2"/>
    </font>
    <font>
      <b/>
      <i/>
      <u/>
      <sz val="12"/>
      <color indexed="13"/>
      <name val="Arial Narrow"/>
      <family val="2"/>
    </font>
    <font>
      <b/>
      <sz val="10"/>
      <color indexed="10"/>
      <name val="Arial"/>
      <family val="2"/>
    </font>
    <font>
      <sz val="11"/>
      <color indexed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b/>
      <sz val="12"/>
      <name val="Calibri"/>
      <family val="2"/>
    </font>
    <font>
      <b/>
      <i/>
      <sz val="12"/>
      <name val="Calibri"/>
      <family val="2"/>
    </font>
    <font>
      <b/>
      <sz val="12"/>
      <color indexed="10"/>
      <name val="Calibri"/>
      <family val="2"/>
    </font>
    <font>
      <b/>
      <sz val="14"/>
      <name val="Arial"/>
      <family val="2"/>
    </font>
    <font>
      <b/>
      <sz val="25.5"/>
      <name val="Arial"/>
      <family val="2"/>
    </font>
    <font>
      <b/>
      <sz val="14"/>
      <color indexed="13"/>
      <name val="Arial Narrow"/>
      <family val="2"/>
    </font>
    <font>
      <b/>
      <i/>
      <u/>
      <sz val="14"/>
      <color indexed="13"/>
      <name val="Arial Narrow"/>
      <family val="2"/>
    </font>
    <font>
      <b/>
      <i/>
      <sz val="14"/>
      <color indexed="13"/>
      <name val="Arial Narrow"/>
      <family val="2"/>
    </font>
    <font>
      <b/>
      <sz val="18"/>
      <color indexed="13"/>
      <name val="Cambria"/>
      <family val="1"/>
    </font>
    <font>
      <b/>
      <sz val="16"/>
      <color indexed="13"/>
      <name val="Cambria"/>
      <family val="1"/>
    </font>
    <font>
      <b/>
      <sz val="10"/>
      <color indexed="53"/>
      <name val="Cambria"/>
      <family val="1"/>
    </font>
    <font>
      <b/>
      <sz val="14"/>
      <color indexed="9"/>
      <name val="Calibri"/>
      <family val="2"/>
    </font>
    <font>
      <b/>
      <sz val="14"/>
      <color indexed="13"/>
      <name val="Calibri"/>
      <family val="2"/>
    </font>
    <font>
      <b/>
      <sz val="10"/>
      <name val="Calibri"/>
      <family val="2"/>
    </font>
    <font>
      <b/>
      <sz val="10"/>
      <color indexed="10"/>
      <name val="Calibri"/>
      <family val="2"/>
    </font>
    <font>
      <b/>
      <sz val="11"/>
      <color indexed="13"/>
      <name val="Calibri"/>
      <family val="2"/>
    </font>
    <font>
      <b/>
      <sz val="12"/>
      <color indexed="9"/>
      <name val="Calibri"/>
      <family val="2"/>
    </font>
    <font>
      <b/>
      <sz val="12"/>
      <color indexed="13"/>
      <name val="Calibri"/>
      <family val="2"/>
    </font>
    <font>
      <b/>
      <sz val="22"/>
      <name val="Arial"/>
      <family val="2"/>
    </font>
    <font>
      <b/>
      <sz val="14"/>
      <color indexed="9"/>
      <name val="Agency FB"/>
      <family val="2"/>
    </font>
    <font>
      <b/>
      <sz val="14"/>
      <color indexed="13"/>
      <name val="Bodoni MT Condensed"/>
      <family val="1"/>
    </font>
    <font>
      <b/>
      <sz val="12"/>
      <color indexed="9"/>
      <name val="Agency FB"/>
      <family val="2"/>
    </font>
    <font>
      <b/>
      <sz val="12"/>
      <color indexed="30"/>
      <name val="Agency FB"/>
      <family val="2"/>
    </font>
    <font>
      <b/>
      <sz val="12"/>
      <color indexed="60"/>
      <name val="Agency FB"/>
      <family val="2"/>
    </font>
    <font>
      <b/>
      <sz val="14"/>
      <color indexed="13"/>
      <name val="Agency FB"/>
      <family val="2"/>
    </font>
    <font>
      <b/>
      <sz val="14"/>
      <name val="Bodoni MT Condensed"/>
      <family val="1"/>
    </font>
    <font>
      <b/>
      <sz val="14"/>
      <color indexed="10"/>
      <name val="Bodoni MT Condensed"/>
      <family val="1"/>
    </font>
    <font>
      <b/>
      <sz val="11"/>
      <name val="Bodoni MT Condensed"/>
      <family val="1"/>
    </font>
    <font>
      <b/>
      <sz val="14"/>
      <color indexed="10"/>
      <name val="Agency FB"/>
      <family val="2"/>
    </font>
    <font>
      <i/>
      <sz val="10"/>
      <name val="Arial"/>
      <family val="2"/>
    </font>
    <font>
      <b/>
      <sz val="10"/>
      <name val="Cambria"/>
      <family val="1"/>
    </font>
    <font>
      <b/>
      <i/>
      <sz val="10"/>
      <name val="Cambria"/>
      <family val="1"/>
    </font>
    <font>
      <sz val="12"/>
      <name val="Franklin Gothic Medium Cond"/>
      <family val="2"/>
    </font>
    <font>
      <b/>
      <i/>
      <sz val="14"/>
      <color indexed="10"/>
      <name val="Agency FB"/>
      <family val="2"/>
    </font>
    <font>
      <b/>
      <i/>
      <sz val="14"/>
      <color indexed="13"/>
      <name val="Agency FB"/>
      <family val="2"/>
    </font>
    <font>
      <b/>
      <i/>
      <sz val="28"/>
      <color indexed="10"/>
      <name val="Agency FB"/>
      <family val="2"/>
    </font>
    <font>
      <sz val="9"/>
      <name val="Arial"/>
      <family val="2"/>
    </font>
    <font>
      <b/>
      <sz val="12"/>
      <name val="UniversalMath1 BT"/>
      <family val="1"/>
      <charset val="2"/>
    </font>
    <font>
      <b/>
      <sz val="12"/>
      <name val="Arial Narrow"/>
      <family val="2"/>
    </font>
    <font>
      <b/>
      <sz val="12"/>
      <color indexed="10"/>
      <name val="Arial Narrow"/>
      <family val="2"/>
    </font>
    <font>
      <sz val="8"/>
      <name val="Arial"/>
      <family val="2"/>
    </font>
    <font>
      <b/>
      <sz val="10"/>
      <color indexed="9"/>
      <name val="Arial Narrow"/>
      <family val="2"/>
    </font>
    <font>
      <b/>
      <i/>
      <u/>
      <sz val="10"/>
      <color indexed="9"/>
      <name val="Arial Narrow"/>
      <family val="2"/>
    </font>
    <font>
      <b/>
      <sz val="11"/>
      <color indexed="10"/>
      <name val="Arial"/>
      <family val="2"/>
    </font>
    <font>
      <b/>
      <sz val="13"/>
      <color indexed="9"/>
      <name val="Agency FB"/>
      <family val="2"/>
    </font>
    <font>
      <b/>
      <sz val="14"/>
      <name val="Calibri"/>
      <family val="2"/>
    </font>
    <font>
      <sz val="10"/>
      <name val="Calibri"/>
      <family val="2"/>
    </font>
    <font>
      <b/>
      <sz val="18"/>
      <name val="BankGothic Md BT"/>
      <family val="2"/>
    </font>
    <font>
      <b/>
      <sz val="10"/>
      <color indexed="8"/>
      <name val="Calibri"/>
      <family val="2"/>
    </font>
    <font>
      <b/>
      <sz val="10"/>
      <color indexed="52"/>
      <name val="Calibri"/>
      <family val="2"/>
    </font>
    <font>
      <b/>
      <sz val="14"/>
      <color indexed="10"/>
      <name val="Calibri"/>
      <family val="2"/>
    </font>
    <font>
      <b/>
      <sz val="13"/>
      <color indexed="10"/>
      <name val="Calibri"/>
      <family val="2"/>
    </font>
    <font>
      <b/>
      <sz val="12"/>
      <name val="Arial Rounded MT Bold"/>
      <family val="2"/>
    </font>
    <font>
      <b/>
      <sz val="18"/>
      <name val="Agency FB"/>
      <family val="2"/>
    </font>
    <font>
      <b/>
      <sz val="13"/>
      <name val="Calibri"/>
      <family val="2"/>
    </font>
    <font>
      <b/>
      <sz val="22"/>
      <color indexed="13"/>
      <name val="Arial Narrow"/>
      <family val="2"/>
    </font>
    <font>
      <b/>
      <sz val="14"/>
      <color indexed="9"/>
      <name val="Arial Narrow"/>
      <family val="2"/>
    </font>
    <font>
      <b/>
      <sz val="16"/>
      <color indexed="9"/>
      <name val="Arial Narrow"/>
      <family val="2"/>
    </font>
    <font>
      <b/>
      <sz val="16"/>
      <color indexed="10"/>
      <name val="Agency FB"/>
      <family val="2"/>
    </font>
    <font>
      <b/>
      <sz val="11"/>
      <name val="Bookman Old Style"/>
      <family val="1"/>
    </font>
    <font>
      <b/>
      <sz val="8"/>
      <name val="Arial"/>
      <family val="2"/>
    </font>
    <font>
      <b/>
      <sz val="11"/>
      <name val="AcadEref"/>
    </font>
    <font>
      <b/>
      <u/>
      <sz val="12"/>
      <color indexed="10"/>
      <name val="Calibri"/>
      <family val="2"/>
    </font>
    <font>
      <sz val="20"/>
      <color indexed="12"/>
      <name val="Bodoni MT Poster Compressed"/>
      <family val="1"/>
    </font>
    <font>
      <sz val="16"/>
      <color indexed="8"/>
      <name val="Bodoni MT Poster Compressed"/>
      <family val="1"/>
    </font>
    <font>
      <sz val="18"/>
      <color indexed="8"/>
      <name val="Bodoni MT Poster Compressed"/>
      <family val="1"/>
    </font>
    <font>
      <b/>
      <sz val="16"/>
      <color indexed="12"/>
      <name val="Arial Narrow"/>
      <family val="2"/>
    </font>
    <font>
      <sz val="16"/>
      <color indexed="12"/>
      <name val="Bodoni MT Poster Compressed"/>
      <family val="1"/>
    </font>
    <font>
      <sz val="16"/>
      <color indexed="10"/>
      <name val="Bodoni MT Poster Compressed"/>
      <family val="1"/>
    </font>
    <font>
      <b/>
      <sz val="22"/>
      <color indexed="12"/>
      <name val="Arial Narrow"/>
      <family val="2"/>
    </font>
    <font>
      <b/>
      <sz val="14"/>
      <color indexed="12"/>
      <name val="Arial Narrow"/>
      <family val="2"/>
    </font>
    <font>
      <sz val="14"/>
      <color indexed="12"/>
      <name val="Bodoni MT Poster Compressed"/>
      <family val="1"/>
    </font>
    <font>
      <b/>
      <sz val="14"/>
      <color indexed="18"/>
      <name val="Cambria"/>
      <family val="1"/>
    </font>
    <font>
      <b/>
      <sz val="12"/>
      <color indexed="18"/>
      <name val="Cambria"/>
      <family val="1"/>
    </font>
    <font>
      <b/>
      <sz val="10"/>
      <color indexed="18"/>
      <name val="Cambria"/>
      <family val="1"/>
    </font>
    <font>
      <sz val="11"/>
      <color indexed="8"/>
      <name val="Calibri"/>
      <family val="2"/>
    </font>
    <font>
      <u/>
      <sz val="12"/>
      <color indexed="10"/>
      <name val="Cambria"/>
      <family val="1"/>
    </font>
    <font>
      <sz val="12"/>
      <color indexed="8"/>
      <name val="Cambria"/>
      <family val="1"/>
    </font>
    <font>
      <b/>
      <sz val="16"/>
      <color indexed="12"/>
      <name val="Cambria"/>
      <family val="1"/>
    </font>
    <font>
      <sz val="18"/>
      <color indexed="12"/>
      <name val="Bodoni MT Poster Compressed"/>
      <family val="1"/>
    </font>
    <font>
      <sz val="16"/>
      <color indexed="12"/>
      <name val="Calibri"/>
      <family val="2"/>
    </font>
    <font>
      <sz val="18"/>
      <color indexed="10"/>
      <name val="Bodoni MT Poster Compressed"/>
      <family val="1"/>
    </font>
    <font>
      <sz val="22"/>
      <color indexed="12"/>
      <name val="Calibri"/>
      <family val="2"/>
    </font>
    <font>
      <sz val="24"/>
      <color indexed="12"/>
      <name val="Calibri"/>
      <family val="2"/>
    </font>
    <font>
      <sz val="20"/>
      <color indexed="12"/>
      <name val="Calibri"/>
      <family val="2"/>
    </font>
    <font>
      <sz val="28"/>
      <color indexed="8"/>
      <name val="Algerian"/>
      <family val="5"/>
    </font>
    <font>
      <b/>
      <sz val="14"/>
      <color indexed="12"/>
      <name val="Calibri"/>
      <family val="2"/>
    </font>
    <font>
      <b/>
      <sz val="16"/>
      <color indexed="10"/>
      <name val="Cambria"/>
      <family val="1"/>
    </font>
    <font>
      <sz val="28"/>
      <color indexed="16"/>
      <name val="Cambria"/>
      <family val="1"/>
    </font>
    <font>
      <sz val="24"/>
      <color indexed="20"/>
      <name val="Bodoni MT Poster Compressed"/>
      <family val="1"/>
    </font>
    <font>
      <sz val="16"/>
      <color indexed="20"/>
      <name val="Bodoni MT Poster Compressed"/>
      <family val="1"/>
    </font>
    <font>
      <b/>
      <sz val="13"/>
      <color indexed="12"/>
      <name val="Cambria"/>
      <family val="1"/>
    </font>
    <font>
      <sz val="80"/>
      <color indexed="12"/>
      <name val="DARLING"/>
    </font>
    <font>
      <sz val="31"/>
      <color indexed="63"/>
      <name val="Bodoni MT Poster Compressed"/>
      <family val="1"/>
    </font>
    <font>
      <b/>
      <sz val="25"/>
      <color indexed="63"/>
      <name val="Bodoni MT Poster Compressed"/>
      <family val="1"/>
    </font>
    <font>
      <sz val="22"/>
      <color indexed="12"/>
      <name val="Agency FB"/>
    </font>
    <font>
      <b/>
      <sz val="12"/>
      <color indexed="12"/>
      <name val="Agency FB"/>
    </font>
    <font>
      <u/>
      <sz val="16"/>
      <color indexed="12"/>
      <name val="Franklin Gothic Demi"/>
    </font>
    <font>
      <sz val="12"/>
      <color indexed="8"/>
      <name val="Agency FB"/>
    </font>
    <font>
      <b/>
      <sz val="14"/>
      <color indexed="12"/>
      <name val="Agency FB"/>
    </font>
    <font>
      <sz val="16"/>
      <color indexed="8"/>
      <name val="Agency FB"/>
    </font>
    <font>
      <sz val="14"/>
      <color indexed="8"/>
      <name val="Agency FB"/>
    </font>
    <font>
      <b/>
      <sz val="24"/>
      <color indexed="8"/>
      <name val="Agency FB"/>
    </font>
    <font>
      <b/>
      <sz val="10"/>
      <color indexed="8"/>
      <name val="Agency FB"/>
    </font>
    <font>
      <b/>
      <sz val="18"/>
      <color indexed="12"/>
      <name val="Agency FB"/>
    </font>
    <font>
      <b/>
      <sz val="16"/>
      <color indexed="12"/>
      <name val="Agency FB"/>
    </font>
    <font>
      <sz val="12"/>
      <color indexed="16"/>
      <name val="Agency FB"/>
    </font>
    <font>
      <b/>
      <sz val="22"/>
      <color indexed="16"/>
      <name val="Bodoni MT Condensed"/>
    </font>
    <font>
      <b/>
      <sz val="20"/>
      <color indexed="8"/>
      <name val="Agency FB"/>
    </font>
    <font>
      <b/>
      <sz val="18"/>
      <color indexed="8"/>
      <name val="Agency FB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9"/>
      <name val="Calibri"/>
      <family val="2"/>
      <scheme val="minor"/>
    </font>
    <font>
      <sz val="11"/>
      <color theme="1"/>
      <name val="Arial"/>
      <family val="2"/>
    </font>
    <font>
      <b/>
      <sz val="26"/>
      <color theme="0"/>
      <name val="Agency FB"/>
      <family val="2"/>
    </font>
    <font>
      <b/>
      <sz val="12"/>
      <name val="Calibri"/>
      <family val="2"/>
      <scheme val="minor"/>
    </font>
    <font>
      <b/>
      <sz val="11"/>
      <color theme="0"/>
      <name val="Bookman Old Style"/>
      <family val="1"/>
    </font>
    <font>
      <b/>
      <sz val="11"/>
      <color rgb="FFC00000"/>
      <name val="Calibri"/>
      <family val="2"/>
      <scheme val="minor"/>
    </font>
    <font>
      <b/>
      <sz val="12"/>
      <color theme="0"/>
      <name val="Arial"/>
      <family val="2"/>
    </font>
    <font>
      <b/>
      <sz val="12"/>
      <color theme="0"/>
      <name val="Calibri"/>
      <family val="2"/>
      <scheme val="minor"/>
    </font>
    <font>
      <sz val="11"/>
      <color theme="0"/>
      <name val="Arial"/>
      <family val="2"/>
    </font>
    <font>
      <b/>
      <sz val="14"/>
      <color theme="0"/>
      <name val="Agency FB"/>
      <family val="2"/>
    </font>
    <font>
      <sz val="12"/>
      <color rgb="FFFF0000"/>
      <name val="Arial"/>
      <family val="2"/>
    </font>
    <font>
      <b/>
      <sz val="14"/>
      <color theme="0"/>
      <name val="Calibri"/>
      <family val="2"/>
      <scheme val="minor"/>
    </font>
    <font>
      <sz val="12"/>
      <color theme="1"/>
      <name val="Arial"/>
      <family val="2"/>
    </font>
    <font>
      <sz val="14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1"/>
      <name val="Agency FB"/>
      <family val="2"/>
    </font>
    <font>
      <b/>
      <sz val="12"/>
      <color theme="1"/>
      <name val="Calibri"/>
      <family val="2"/>
      <scheme val="minor"/>
    </font>
    <font>
      <sz val="11"/>
      <color theme="1" tint="4.9989318521683403E-2"/>
      <name val="Arial"/>
      <family val="2"/>
    </font>
    <font>
      <sz val="12"/>
      <color theme="1" tint="4.9989318521683403E-2"/>
      <name val="Arial"/>
      <family val="2"/>
    </font>
    <font>
      <b/>
      <sz val="48"/>
      <color theme="1" tint="4.9989318521683403E-2"/>
      <name val="Agency FB"/>
      <family val="2"/>
    </font>
    <font>
      <sz val="16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FF0000"/>
      <name val="Arial"/>
      <family val="2"/>
    </font>
    <font>
      <sz val="11"/>
      <color theme="1" tint="0.14999847407452621"/>
      <name val="Arial"/>
      <family val="2"/>
    </font>
    <font>
      <sz val="10"/>
      <color theme="1" tint="0.14999847407452621"/>
      <name val="Arial"/>
      <family val="2"/>
    </font>
    <font>
      <sz val="11"/>
      <color rgb="FF0070C0"/>
      <name val="Calibri"/>
      <family val="2"/>
      <scheme val="minor"/>
    </font>
    <font>
      <b/>
      <sz val="12"/>
      <color theme="3" tint="-0.249977111117893"/>
      <name val="Agency FB"/>
      <family val="2"/>
    </font>
    <font>
      <b/>
      <sz val="12"/>
      <color rgb="FFFFFF00"/>
      <name val="Bookman Old Style"/>
      <family val="1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sz val="12"/>
      <color theme="0"/>
      <name val="Calibri"/>
      <family val="2"/>
      <scheme val="minor"/>
    </font>
    <font>
      <sz val="22"/>
      <color rgb="FFC00000"/>
      <name val="Arial Rounded MT Bold"/>
      <family val="2"/>
    </font>
    <font>
      <b/>
      <sz val="22"/>
      <color theme="0"/>
      <name val="Agency FB"/>
      <family val="2"/>
    </font>
    <font>
      <b/>
      <sz val="12"/>
      <color rgb="FFFF0000"/>
      <name val="Calibri"/>
      <family val="2"/>
      <scheme val="minor"/>
    </font>
    <font>
      <sz val="18"/>
      <color theme="1"/>
      <name val="Agency FB"/>
      <family val="2"/>
    </font>
    <font>
      <b/>
      <sz val="18"/>
      <color theme="1"/>
      <name val="Agency FB"/>
      <family val="2"/>
    </font>
    <font>
      <sz val="11"/>
      <color theme="0"/>
      <name val="Calibri"/>
      <family val="2"/>
      <scheme val="minor"/>
    </font>
    <font>
      <b/>
      <sz val="14"/>
      <color theme="0"/>
      <name val="Arial"/>
      <family val="2"/>
    </font>
    <font>
      <sz val="11"/>
      <color theme="4" tint="-0.249977111117893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6"/>
      <color theme="0"/>
      <name val="Agency FB"/>
      <family val="2"/>
    </font>
    <font>
      <sz val="11"/>
      <color rgb="FF002060"/>
      <name val="Calibri"/>
      <family val="2"/>
      <scheme val="minor"/>
    </font>
    <font>
      <sz val="24"/>
      <color theme="1"/>
      <name val="Agency FB"/>
      <family val="2"/>
    </font>
    <font>
      <b/>
      <sz val="10"/>
      <color theme="3"/>
      <name val="Arial"/>
      <family val="2"/>
    </font>
    <font>
      <sz val="10"/>
      <color theme="1"/>
      <name val="Calibri"/>
      <family val="2"/>
      <scheme val="minor"/>
    </font>
    <font>
      <b/>
      <sz val="12"/>
      <color theme="0"/>
      <name val="Arial Narrow"/>
      <family val="2"/>
    </font>
    <font>
      <b/>
      <sz val="12"/>
      <color rgb="FFFFFF00"/>
      <name val="Arial Narrow"/>
      <family val="2"/>
    </font>
    <font>
      <b/>
      <sz val="10"/>
      <color theme="0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FF0000"/>
      <name val="Arial"/>
      <family val="2"/>
    </font>
    <font>
      <sz val="11"/>
      <color rgb="FF00B050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10"/>
      <color theme="5" tint="-0.249977111117893"/>
      <name val="Arial"/>
      <family val="2"/>
    </font>
    <font>
      <sz val="10"/>
      <color theme="3" tint="-0.249977111117893"/>
      <name val="Arial"/>
      <family val="2"/>
    </font>
    <font>
      <sz val="11"/>
      <color theme="3" tint="0.59999389629810485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theme="5" tint="0.59999389629810485"/>
      <name val="Calibri"/>
      <family val="2"/>
      <scheme val="minor"/>
    </font>
    <font>
      <sz val="10"/>
      <color theme="3" tint="0.39997558519241921"/>
      <name val="Arial"/>
      <family val="2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b/>
      <sz val="10"/>
      <color theme="5" tint="-0.249977111117893"/>
      <name val="Arial"/>
      <family val="2"/>
    </font>
    <font>
      <b/>
      <sz val="11"/>
      <color theme="3" tint="-0.249977111117893"/>
      <name val="Calibri"/>
      <family val="2"/>
      <scheme val="minor"/>
    </font>
    <font>
      <b/>
      <sz val="11"/>
      <color theme="3" tint="0.59999389629810485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10"/>
      <color theme="5" tint="0.39997558519241921"/>
      <name val="Arial"/>
      <family val="2"/>
    </font>
    <font>
      <b/>
      <sz val="11"/>
      <color theme="6" tint="-0.249977111117893"/>
      <name val="Calibri"/>
      <family val="2"/>
      <scheme val="minor"/>
    </font>
    <font>
      <b/>
      <sz val="11"/>
      <color theme="5" tint="0.59999389629810485"/>
      <name val="Calibri"/>
      <family val="2"/>
      <scheme val="minor"/>
    </font>
    <font>
      <b/>
      <sz val="10"/>
      <color theme="3" tint="0.39997558519241921"/>
      <name val="Arial"/>
      <family val="2"/>
    </font>
    <font>
      <sz val="11"/>
      <color rgb="FFFF0000"/>
      <name val="Arial"/>
      <family val="2"/>
    </font>
    <font>
      <sz val="11"/>
      <color theme="5" tint="0.39997558519241921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b/>
      <sz val="10"/>
      <color theme="6" tint="-0.249977111117893"/>
      <name val="Arial"/>
      <family val="2"/>
    </font>
    <font>
      <sz val="10"/>
      <color theme="5" tint="0.39997558519241921"/>
      <name val="Arial"/>
      <family val="2"/>
    </font>
    <font>
      <sz val="10"/>
      <color theme="6" tint="-0.249977111117893"/>
      <name val="Arial"/>
      <family val="2"/>
    </font>
    <font>
      <b/>
      <sz val="11"/>
      <color theme="5" tint="0.39997558519241921"/>
      <name val="Calibri"/>
      <family val="2"/>
      <scheme val="minor"/>
    </font>
    <font>
      <sz val="10"/>
      <color theme="1"/>
      <name val="Arial"/>
      <family val="2"/>
    </font>
    <font>
      <b/>
      <sz val="10"/>
      <color theme="4" tint="-0.249977111117893"/>
      <name val="Calibri"/>
      <family val="2"/>
      <scheme val="minor"/>
    </font>
    <font>
      <b/>
      <sz val="11"/>
      <color theme="1" tint="0.14999847407452621"/>
      <name val="Agency FB"/>
      <family val="2"/>
    </font>
    <font>
      <b/>
      <sz val="12"/>
      <color theme="1" tint="0.14999847407452621"/>
      <name val="Agency FB"/>
      <family val="2"/>
    </font>
    <font>
      <sz val="11"/>
      <color theme="6" tint="0.59999389629810485"/>
      <name val="Arial"/>
      <family val="2"/>
    </font>
    <font>
      <sz val="11"/>
      <color theme="6" tint="0.39997558519241921"/>
      <name val="Arial"/>
      <family val="2"/>
    </font>
    <font>
      <sz val="8"/>
      <color theme="6" tint="0.59999389629810485"/>
      <name val="Calibri"/>
      <family val="2"/>
      <scheme val="minor"/>
    </font>
    <font>
      <sz val="11"/>
      <color theme="6" tint="0.79998168889431442"/>
      <name val="Arial"/>
      <family val="2"/>
    </font>
    <font>
      <sz val="48"/>
      <color rgb="FF00B050"/>
      <name val="Algerian"/>
      <family val="5"/>
    </font>
    <font>
      <sz val="50"/>
      <color rgb="FF00B050"/>
      <name val="Algerian"/>
      <family val="5"/>
    </font>
    <font>
      <b/>
      <sz val="11"/>
      <color rgb="FFFF0000"/>
      <name val="Arial"/>
      <family val="2"/>
    </font>
    <font>
      <b/>
      <sz val="11"/>
      <color theme="3" tint="-0.249977111117893"/>
      <name val="Arial"/>
      <family val="2"/>
    </font>
    <font>
      <b/>
      <sz val="11"/>
      <color theme="5" tint="-0.249977111117893"/>
      <name val="Arial"/>
      <family val="2"/>
    </font>
    <font>
      <b/>
      <sz val="11"/>
      <color rgb="FF92D050"/>
      <name val="Arial"/>
      <family val="2"/>
    </font>
    <font>
      <b/>
      <sz val="11"/>
      <color rgb="FF00B0F0"/>
      <name val="Arial"/>
      <family val="2"/>
    </font>
    <font>
      <b/>
      <sz val="11"/>
      <color theme="5" tint="0.59999389629810485"/>
      <name val="Arial"/>
      <family val="2"/>
    </font>
    <font>
      <b/>
      <sz val="11"/>
      <color rgb="FF0070C0"/>
      <name val="Arial"/>
      <family val="2"/>
    </font>
    <font>
      <b/>
      <sz val="11"/>
      <color theme="0"/>
      <name val="Arial"/>
      <family val="2"/>
    </font>
    <font>
      <b/>
      <sz val="11"/>
      <color theme="5"/>
      <name val="Arial"/>
      <family val="2"/>
    </font>
    <font>
      <b/>
      <sz val="11"/>
      <color theme="3" tint="0.39997558519241921"/>
      <name val="Arial"/>
      <family val="2"/>
    </font>
    <font>
      <b/>
      <sz val="11"/>
      <color rgb="FF00B050"/>
      <name val="Arial"/>
      <family val="2"/>
    </font>
    <font>
      <i/>
      <sz val="11"/>
      <name val="Calibri"/>
      <family val="2"/>
      <scheme val="minor"/>
    </font>
    <font>
      <sz val="18"/>
      <color rgb="FFC00000"/>
      <name val="Arial"/>
      <family val="2"/>
    </font>
    <font>
      <b/>
      <sz val="14"/>
      <color theme="0" tint="-4.9989318521683403E-2"/>
      <name val="Agency FB"/>
      <family val="2"/>
    </font>
    <font>
      <b/>
      <sz val="16"/>
      <color theme="1"/>
      <name val="Agency FB"/>
      <family val="2"/>
    </font>
    <font>
      <b/>
      <sz val="12"/>
      <color theme="0"/>
      <name val="Agency FB"/>
      <family val="2"/>
    </font>
    <font>
      <sz val="9"/>
      <color rgb="FFFF0000"/>
      <name val="Arial"/>
      <family val="2"/>
    </font>
    <font>
      <sz val="11"/>
      <color theme="1" tint="0.14999847407452621"/>
      <name val="Calibri"/>
      <family val="2"/>
      <scheme val="minor"/>
    </font>
    <font>
      <b/>
      <sz val="11"/>
      <color theme="6" tint="0.39997558519241921"/>
      <name val="Arial"/>
      <family val="2"/>
    </font>
    <font>
      <b/>
      <sz val="14"/>
      <color rgb="FF7030A0"/>
      <name val="Agency FB"/>
      <family val="2"/>
    </font>
    <font>
      <b/>
      <sz val="10"/>
      <color theme="3" tint="-0.249977111117893"/>
      <name val="Agency FB"/>
      <family val="2"/>
    </font>
    <font>
      <sz val="12"/>
      <color theme="3" tint="-0.249977111117893"/>
      <name val="Arial"/>
      <family val="2"/>
    </font>
    <font>
      <b/>
      <sz val="14"/>
      <color rgb="FF002060"/>
      <name val="Agency FB"/>
      <family val="2"/>
    </font>
    <font>
      <sz val="10"/>
      <color theme="1" tint="0.14999847407452621"/>
      <name val="Calibri"/>
      <family val="2"/>
      <scheme val="minor"/>
    </font>
    <font>
      <sz val="10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9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4"/>
      <color theme="1"/>
      <name val="Arial"/>
      <family val="2"/>
    </font>
    <font>
      <b/>
      <sz val="11"/>
      <color theme="4" tint="-0.499984740745262"/>
      <name val="Agency FB"/>
      <family val="2"/>
    </font>
    <font>
      <b/>
      <sz val="14"/>
      <color theme="0" tint="-4.9989318521683403E-2"/>
      <name val="Arial"/>
      <family val="2"/>
    </font>
    <font>
      <b/>
      <sz val="14"/>
      <color theme="9" tint="0.59999389629810485"/>
      <name val="Arial"/>
      <family val="2"/>
    </font>
    <font>
      <b/>
      <sz val="16"/>
      <color theme="3" tint="-0.249977111117893"/>
      <name val="Agency FB"/>
      <family val="2"/>
    </font>
    <font>
      <b/>
      <sz val="16"/>
      <color theme="4" tint="-0.249977111117893"/>
      <name val="Agency FB"/>
      <family val="2"/>
    </font>
    <font>
      <b/>
      <sz val="14"/>
      <color theme="1"/>
      <name val="Cambria"/>
      <family val="1"/>
      <scheme val="major"/>
    </font>
    <font>
      <sz val="8"/>
      <color theme="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FFFF00"/>
      <name val="Agency FB"/>
      <family val="2"/>
    </font>
    <font>
      <b/>
      <sz val="14"/>
      <color rgb="FFC00000"/>
      <name val="Agency FB"/>
      <family val="2"/>
    </font>
    <font>
      <b/>
      <sz val="12"/>
      <color theme="0"/>
      <name val="Bookman Old Style"/>
      <family val="1"/>
    </font>
    <font>
      <b/>
      <sz val="12"/>
      <color rgb="FFC00000"/>
      <name val="Calibri"/>
      <family val="2"/>
      <scheme val="minor"/>
    </font>
    <font>
      <sz val="11"/>
      <color theme="0"/>
      <name val="Bookman Old Style"/>
      <family val="1"/>
    </font>
    <font>
      <b/>
      <sz val="11"/>
      <color theme="0"/>
      <name val="Calibri"/>
      <family val="2"/>
      <scheme val="minor"/>
    </font>
    <font>
      <b/>
      <sz val="14"/>
      <color rgb="FF69075B"/>
      <name val="Agency FB"/>
      <family val="2"/>
    </font>
    <font>
      <sz val="14"/>
      <color rgb="FF69075B"/>
      <name val="Agency FB"/>
      <family val="2"/>
    </font>
    <font>
      <sz val="12"/>
      <color rgb="FF69075B"/>
      <name val="Agency FB"/>
      <family val="2"/>
    </font>
    <font>
      <b/>
      <sz val="12"/>
      <color theme="0" tint="-4.9989318521683403E-2"/>
      <name val="Calibri"/>
      <family val="2"/>
      <scheme val="minor"/>
    </font>
    <font>
      <b/>
      <sz val="18"/>
      <name val="Calibri"/>
      <family val="2"/>
      <scheme val="minor"/>
    </font>
    <font>
      <sz val="11"/>
      <color theme="1"/>
      <name val="Agency FB"/>
      <family val="2"/>
    </font>
    <font>
      <i/>
      <sz val="10"/>
      <color rgb="FFFF0000"/>
      <name val="Arial"/>
      <family val="2"/>
    </font>
    <font>
      <sz val="11"/>
      <color rgb="FFFF0000"/>
      <name val="Agency FB"/>
      <family val="2"/>
    </font>
    <font>
      <b/>
      <sz val="16"/>
      <color theme="0"/>
      <name val="Arial"/>
      <family val="2"/>
    </font>
    <font>
      <b/>
      <sz val="18"/>
      <color rgb="FFFFFF00"/>
      <name val="BankGothic Md BT"/>
      <family val="2"/>
    </font>
    <font>
      <b/>
      <sz val="33"/>
      <color theme="1" tint="4.9989318521683403E-2"/>
      <name val="Agency FB"/>
      <family val="2"/>
    </font>
    <font>
      <sz val="12"/>
      <color theme="0"/>
      <name val="Arial"/>
      <family val="2"/>
    </font>
    <font>
      <b/>
      <sz val="10"/>
      <color theme="0"/>
      <name val="Arial Narrow"/>
      <family val="2"/>
    </font>
    <font>
      <b/>
      <sz val="11"/>
      <color theme="0"/>
      <name val="Arial Narrow"/>
      <family val="2"/>
    </font>
    <font>
      <b/>
      <sz val="9"/>
      <name val="Calibri"/>
      <family val="2"/>
      <scheme val="minor"/>
    </font>
    <font>
      <b/>
      <sz val="12"/>
      <color theme="1"/>
      <name val="Agency FB"/>
      <family val="2"/>
    </font>
    <font>
      <b/>
      <sz val="10"/>
      <color rgb="FFFFFF00"/>
      <name val="Calibri"/>
      <family val="2"/>
      <scheme val="minor"/>
    </font>
    <font>
      <sz val="28"/>
      <color rgb="FFFF0000"/>
      <name val="Calibri"/>
      <family val="2"/>
      <scheme val="minor"/>
    </font>
    <font>
      <sz val="10"/>
      <color theme="0"/>
      <name val="Arial"/>
      <family val="2"/>
    </font>
    <font>
      <b/>
      <sz val="13"/>
      <color rgb="FFFFFF00"/>
      <name val="Calibri"/>
      <family val="2"/>
      <scheme val="minor"/>
    </font>
    <font>
      <b/>
      <sz val="18"/>
      <color rgb="FFFFFF00"/>
      <name val="Cambria"/>
      <family val="1"/>
    </font>
    <font>
      <b/>
      <sz val="18"/>
      <color rgb="FFFFFF00"/>
      <name val="Cambria"/>
      <family val="1"/>
      <scheme val="major"/>
    </font>
    <font>
      <sz val="12"/>
      <color rgb="FFFFFF00"/>
      <name val="Bodoni MT Poster Compressed"/>
      <family val="1"/>
    </font>
    <font>
      <b/>
      <sz val="14"/>
      <color rgb="FFFFFF00"/>
      <name val="Calibri"/>
      <family val="2"/>
    </font>
    <font>
      <b/>
      <sz val="16"/>
      <color rgb="FFFFFF00"/>
      <name val="Agency FB"/>
      <family val="2"/>
    </font>
    <font>
      <b/>
      <sz val="12"/>
      <color rgb="FFFFFF00"/>
      <name val="Calibri"/>
      <family val="2"/>
    </font>
    <font>
      <b/>
      <sz val="28"/>
      <color theme="1"/>
      <name val="Agency FB"/>
      <family val="2"/>
    </font>
    <font>
      <b/>
      <sz val="14"/>
      <color rgb="FFFF0000"/>
      <name val="Calibri"/>
      <family val="2"/>
      <scheme val="minor"/>
    </font>
    <font>
      <b/>
      <sz val="13"/>
      <color rgb="FFFFFF00"/>
      <name val="Agency FB"/>
      <family val="2"/>
    </font>
    <font>
      <b/>
      <sz val="13"/>
      <color rgb="FFFF0000"/>
      <name val="Calibri"/>
      <family val="2"/>
      <scheme val="minor"/>
    </font>
    <font>
      <b/>
      <sz val="13"/>
      <name val="Calibri"/>
      <family val="2"/>
      <scheme val="minor"/>
    </font>
    <font>
      <b/>
      <sz val="14"/>
      <color theme="0"/>
      <name val="Arial Narrow"/>
      <family val="2"/>
    </font>
    <font>
      <b/>
      <sz val="14"/>
      <color theme="6" tint="0.79998168889431442"/>
      <name val="Agency FB"/>
      <family val="2"/>
    </font>
    <font>
      <b/>
      <u/>
      <sz val="16"/>
      <color theme="0" tint="-4.9989318521683403E-2"/>
      <name val="Agency FB"/>
      <family val="2"/>
    </font>
    <font>
      <b/>
      <u/>
      <sz val="16"/>
      <color theme="0" tint="-4.9989318521683403E-2"/>
      <name val="Calibri"/>
      <family val="2"/>
      <scheme val="minor"/>
    </font>
    <font>
      <b/>
      <sz val="16"/>
      <color theme="5" tint="-0.499984740745262"/>
      <name val="Agency FB"/>
      <family val="2"/>
    </font>
    <font>
      <b/>
      <sz val="12"/>
      <color rgb="FFFF0000"/>
      <name val="Arial"/>
      <family val="2"/>
    </font>
    <font>
      <sz val="16"/>
      <color theme="8" tint="0.59999389629810485"/>
      <name val="Algerian"/>
      <family val="5"/>
    </font>
    <font>
      <b/>
      <sz val="39"/>
      <color rgb="FFFF0000"/>
      <name val="Agency FB"/>
      <family val="2"/>
    </font>
    <font>
      <b/>
      <sz val="14"/>
      <color rgb="FFFF0000"/>
      <name val="Agency FB"/>
      <family val="2"/>
    </font>
    <font>
      <b/>
      <sz val="20"/>
      <color theme="3" tint="-0.249977111117893"/>
      <name val="Agency FB"/>
      <family val="2"/>
    </font>
    <font>
      <b/>
      <sz val="28"/>
      <color rgb="FF0070C0"/>
      <name val="Agency FB"/>
      <family val="2"/>
    </font>
    <font>
      <b/>
      <sz val="18"/>
      <color rgb="FF002060"/>
      <name val="Agency FB"/>
      <family val="2"/>
    </font>
    <font>
      <sz val="36"/>
      <color theme="1"/>
      <name val="Cambria"/>
      <family val="1"/>
      <scheme val="major"/>
    </font>
    <font>
      <b/>
      <sz val="18"/>
      <color theme="0"/>
      <name val="Agency FB"/>
      <family val="2"/>
    </font>
    <font>
      <sz val="19"/>
      <color theme="1"/>
      <name val="Agency FB"/>
      <family val="2"/>
    </font>
    <font>
      <sz val="19"/>
      <color theme="1"/>
      <name val="Cambria"/>
      <family val="1"/>
      <scheme val="major"/>
    </font>
    <font>
      <b/>
      <i/>
      <sz val="11"/>
      <color rgb="FFFFFF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</fonts>
  <fills count="65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69075B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D600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CC0099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13389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BB0D5C"/>
        <bgColor indexed="64"/>
      </patternFill>
    </fill>
    <fill>
      <patternFill patternType="solid">
        <fgColor rgb="FFAA068B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5C0852"/>
        <bgColor indexed="64"/>
      </patternFill>
    </fill>
    <fill>
      <patternFill patternType="solid">
        <fgColor rgb="FF81DEFF"/>
        <bgColor indexed="64"/>
      </patternFill>
    </fill>
    <fill>
      <patternFill patternType="solid">
        <fgColor rgb="FF0309FD"/>
        <bgColor indexed="64"/>
      </patternFill>
    </fill>
    <fill>
      <patternFill patternType="solid">
        <fgColor theme="1" tint="0.249977111117893"/>
        <bgColor indexed="64"/>
      </patternFill>
    </fill>
  </fills>
  <borders count="1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thin">
        <color rgb="FFFF0000"/>
      </top>
      <bottom/>
      <diagonal/>
    </border>
    <border>
      <left style="medium">
        <color rgb="FF7030A0"/>
      </left>
      <right/>
      <top style="medium">
        <color rgb="FF7030A0"/>
      </top>
      <bottom style="medium">
        <color rgb="FF7030A0"/>
      </bottom>
      <diagonal/>
    </border>
    <border>
      <left style="thin">
        <color rgb="FF002060"/>
      </left>
      <right style="thin">
        <color rgb="FF002060"/>
      </right>
      <top style="medium">
        <color rgb="FF7030A0"/>
      </top>
      <bottom style="medium">
        <color rgb="FF7030A0"/>
      </bottom>
      <diagonal/>
    </border>
    <border>
      <left style="thin">
        <color rgb="FF002060"/>
      </left>
      <right style="medium">
        <color rgb="FF7030A0"/>
      </right>
      <top style="medium">
        <color rgb="FF7030A0"/>
      </top>
      <bottom style="medium">
        <color rgb="FF7030A0"/>
      </bottom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thin">
        <color rgb="FFFF0000"/>
      </left>
      <right/>
      <top/>
      <bottom/>
      <diagonal/>
    </border>
    <border>
      <left style="thin">
        <color theme="5" tint="-0.249977111117893"/>
      </left>
      <right/>
      <top/>
      <bottom/>
      <diagonal/>
    </border>
    <border>
      <left style="medium">
        <color theme="5" tint="-0.249977111117893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5" tint="-0.249977111117893"/>
      </right>
      <top style="thin">
        <color indexed="64"/>
      </top>
      <bottom style="thin">
        <color indexed="64"/>
      </bottom>
      <diagonal/>
    </border>
    <border>
      <left style="medium">
        <color theme="5" tint="-0.249977111117893"/>
      </left>
      <right style="thin">
        <color indexed="64"/>
      </right>
      <top style="thin">
        <color indexed="64"/>
      </top>
      <bottom style="medium">
        <color theme="5" tint="-0.249977111117893"/>
      </bottom>
      <diagonal/>
    </border>
    <border>
      <left/>
      <right style="thin">
        <color indexed="64"/>
      </right>
      <top/>
      <bottom style="medium">
        <color theme="5" tint="-0.249977111117893"/>
      </bottom>
      <diagonal/>
    </border>
    <border>
      <left style="thin">
        <color indexed="64"/>
      </left>
      <right style="thin">
        <color indexed="64"/>
      </right>
      <top/>
      <bottom style="medium">
        <color theme="5" tint="-0.249977111117893"/>
      </bottom>
      <diagonal/>
    </border>
    <border>
      <left style="thin">
        <color indexed="64"/>
      </left>
      <right style="medium">
        <color theme="5" tint="-0.249977111117893"/>
      </right>
      <top style="thin">
        <color indexed="64"/>
      </top>
      <bottom style="medium">
        <color theme="5" tint="-0.249977111117893"/>
      </bottom>
      <diagonal/>
    </border>
    <border>
      <left style="medium">
        <color rgb="FFC00000"/>
      </left>
      <right/>
      <top style="medium">
        <color rgb="FFC00000"/>
      </top>
      <bottom style="medium">
        <color rgb="FFC00000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medium">
        <color indexed="64"/>
      </left>
      <right/>
      <top style="medium">
        <color indexed="64"/>
      </top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 style="medium">
        <color rgb="FFFF0000"/>
      </left>
      <right/>
      <top style="thin">
        <color rgb="FFCC0099"/>
      </top>
      <bottom style="thin">
        <color rgb="FFCC0099"/>
      </bottom>
      <diagonal/>
    </border>
    <border>
      <left/>
      <right/>
      <top style="thin">
        <color rgb="FFCC0099"/>
      </top>
      <bottom style="thin">
        <color rgb="FFCC0099"/>
      </bottom>
      <diagonal/>
    </border>
    <border>
      <left/>
      <right style="medium">
        <color rgb="FFFF0000"/>
      </right>
      <top style="thin">
        <color rgb="FFCC0099"/>
      </top>
      <bottom style="thin">
        <color rgb="FFCC0099"/>
      </bottom>
      <diagonal/>
    </border>
    <border>
      <left style="medium">
        <color rgb="FFFF0000"/>
      </left>
      <right/>
      <top style="thin">
        <color rgb="FFCC0099"/>
      </top>
      <bottom style="medium">
        <color rgb="FFFF0000"/>
      </bottom>
      <diagonal/>
    </border>
    <border>
      <left/>
      <right/>
      <top style="thin">
        <color rgb="FFCC0099"/>
      </top>
      <bottom style="medium">
        <color rgb="FFFF0000"/>
      </bottom>
      <diagonal/>
    </border>
    <border>
      <left/>
      <right style="medium">
        <color rgb="FFFF0000"/>
      </right>
      <top style="thin">
        <color rgb="FFCC0099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medium">
        <color rgb="FFFF0000"/>
      </left>
      <right/>
      <top style="thin">
        <color rgb="FFFF0000"/>
      </top>
      <bottom style="thin">
        <color rgb="FFCC0099"/>
      </bottom>
      <diagonal/>
    </border>
    <border>
      <left/>
      <right/>
      <top style="thin">
        <color rgb="FFFF0000"/>
      </top>
      <bottom style="thin">
        <color rgb="FFCC0099"/>
      </bottom>
      <diagonal/>
    </border>
    <border>
      <left/>
      <right style="medium">
        <color rgb="FFFF0000"/>
      </right>
      <top style="thin">
        <color rgb="FFFF0000"/>
      </top>
      <bottom style="thin">
        <color rgb="FFCC0099"/>
      </bottom>
      <diagonal/>
    </border>
    <border>
      <left style="medium">
        <color rgb="FFFF0000"/>
      </left>
      <right/>
      <top style="medium">
        <color rgb="FFFF0000"/>
      </top>
      <bottom style="thin">
        <color rgb="FFFF0000"/>
      </bottom>
      <diagonal/>
    </border>
    <border>
      <left/>
      <right/>
      <top style="medium">
        <color rgb="FFFF0000"/>
      </top>
      <bottom style="thin">
        <color rgb="FFFF0000"/>
      </bottom>
      <diagonal/>
    </border>
    <border>
      <left/>
      <right style="medium">
        <color rgb="FFFF0000"/>
      </right>
      <top style="medium">
        <color rgb="FFFF0000"/>
      </top>
      <bottom style="thin">
        <color rgb="FFFF000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thin">
        <color theme="5" tint="-0.249977111117893"/>
      </left>
      <right/>
      <top style="medium">
        <color indexed="64"/>
      </top>
      <bottom/>
      <diagonal/>
    </border>
    <border>
      <left/>
      <right style="thin">
        <color theme="5" tint="-0.249977111117893"/>
      </right>
      <top style="medium">
        <color indexed="64"/>
      </top>
      <bottom/>
      <diagonal/>
    </border>
    <border>
      <left/>
      <right style="thin">
        <color theme="5" tint="-0.249977111117893"/>
      </right>
      <top/>
      <bottom/>
      <diagonal/>
    </border>
    <border>
      <left style="medium">
        <color theme="5" tint="-0.249977111117893"/>
      </left>
      <right/>
      <top style="medium">
        <color theme="5" tint="-0.249977111117893"/>
      </top>
      <bottom style="thin">
        <color indexed="64"/>
      </bottom>
      <diagonal/>
    </border>
    <border>
      <left/>
      <right/>
      <top style="medium">
        <color theme="5" tint="-0.249977111117893"/>
      </top>
      <bottom style="thin">
        <color indexed="64"/>
      </bottom>
      <diagonal/>
    </border>
    <border>
      <left/>
      <right style="medium">
        <color theme="5" tint="-0.249977111117893"/>
      </right>
      <top style="medium">
        <color theme="5" tint="-0.249977111117893"/>
      </top>
      <bottom style="thin">
        <color indexed="64"/>
      </bottom>
      <diagonal/>
    </border>
  </borders>
  <cellStyleXfs count="4">
    <xf numFmtId="0" fontId="0" fillId="0" borderId="0"/>
    <xf numFmtId="44" fontId="130" fillId="0" borderId="0" applyFont="0" applyFill="0" applyBorder="0" applyAlignment="0" applyProtection="0"/>
    <xf numFmtId="0" fontId="17" fillId="0" borderId="0"/>
    <xf numFmtId="43" fontId="130" fillId="0" borderId="0" applyFont="0" applyFill="0" applyBorder="0" applyAlignment="0" applyProtection="0"/>
  </cellStyleXfs>
  <cellXfs count="2105">
    <xf numFmtId="0" fontId="0" fillId="0" borderId="0" xfId="0"/>
    <xf numFmtId="0" fontId="1" fillId="0" borderId="1" xfId="0" applyFont="1" applyBorder="1"/>
    <xf numFmtId="43" fontId="1" fillId="0" borderId="1" xfId="3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1" fillId="0" borderId="1" xfId="3" applyNumberFormat="1" applyFont="1" applyBorder="1" applyAlignment="1">
      <alignment horizontal="center" vertical="center"/>
    </xf>
    <xf numFmtId="0" fontId="131" fillId="0" borderId="1" xfId="0" applyFont="1" applyBorder="1"/>
    <xf numFmtId="0" fontId="131" fillId="0" borderId="0" xfId="0" applyFont="1"/>
    <xf numFmtId="0" fontId="131" fillId="0" borderId="2" xfId="0" applyFont="1" applyBorder="1"/>
    <xf numFmtId="0" fontId="2" fillId="0" borderId="0" xfId="0" applyFont="1"/>
    <xf numFmtId="0" fontId="2" fillId="0" borderId="3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131" fillId="0" borderId="4" xfId="0" applyFont="1" applyBorder="1"/>
    <xf numFmtId="0" fontId="131" fillId="0" borderId="5" xfId="0" applyFont="1" applyBorder="1"/>
    <xf numFmtId="0" fontId="131" fillId="0" borderId="6" xfId="0" applyFont="1" applyBorder="1"/>
    <xf numFmtId="0" fontId="132" fillId="0" borderId="0" xfId="0" applyFont="1"/>
    <xf numFmtId="0" fontId="132" fillId="0" borderId="0" xfId="0" applyFont="1" applyAlignment="1">
      <alignment horizontal="center"/>
    </xf>
    <xf numFmtId="0" fontId="133" fillId="0" borderId="0" xfId="0" applyFont="1" applyAlignment="1">
      <alignment horizontal="center" vertical="center"/>
    </xf>
    <xf numFmtId="0" fontId="131" fillId="0" borderId="7" xfId="0" applyFont="1" applyBorder="1"/>
    <xf numFmtId="0" fontId="4" fillId="0" borderId="0" xfId="0" applyFont="1" applyAlignment="1">
      <alignment horizontal="center" vertical="center"/>
    </xf>
    <xf numFmtId="0" fontId="134" fillId="0" borderId="0" xfId="0" applyFont="1"/>
    <xf numFmtId="164" fontId="1" fillId="0" borderId="2" xfId="3" applyNumberFormat="1" applyFont="1" applyBorder="1" applyAlignment="1">
      <alignment horizontal="center" vertical="center"/>
    </xf>
    <xf numFmtId="0" fontId="135" fillId="0" borderId="6" xfId="0" applyFont="1" applyBorder="1"/>
    <xf numFmtId="0" fontId="2" fillId="0" borderId="1" xfId="0" applyFont="1" applyBorder="1" applyAlignment="1">
      <alignment horizontal="left" vertical="center"/>
    </xf>
    <xf numFmtId="0" fontId="2" fillId="0" borderId="1" xfId="0" applyFont="1" applyBorder="1"/>
    <xf numFmtId="0" fontId="136" fillId="0" borderId="0" xfId="0" applyFont="1"/>
    <xf numFmtId="164" fontId="2" fillId="0" borderId="4" xfId="3" applyNumberFormat="1" applyFont="1" applyBorder="1" applyAlignment="1">
      <alignment horizontal="center" vertical="center"/>
    </xf>
    <xf numFmtId="164" fontId="2" fillId="0" borderId="5" xfId="3" applyNumberFormat="1" applyFont="1" applyBorder="1" applyAlignment="1">
      <alignment horizontal="center" vertical="center"/>
    </xf>
    <xf numFmtId="0" fontId="137" fillId="0" borderId="0" xfId="0" applyFont="1" applyAlignment="1">
      <alignment vertical="center"/>
    </xf>
    <xf numFmtId="0" fontId="138" fillId="4" borderId="8" xfId="0" applyFont="1" applyFill="1" applyBorder="1" applyAlignment="1">
      <alignment vertical="center"/>
    </xf>
    <xf numFmtId="0" fontId="3" fillId="0" borderId="0" xfId="0" applyFont="1" applyAlignment="1">
      <alignment vertical="center"/>
    </xf>
    <xf numFmtId="0" fontId="138" fillId="5" borderId="9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138" fillId="4" borderId="10" xfId="0" applyFont="1" applyFill="1" applyBorder="1" applyAlignment="1">
      <alignment vertical="center"/>
    </xf>
    <xf numFmtId="0" fontId="138" fillId="5" borderId="10" xfId="0" applyFont="1" applyFill="1" applyBorder="1" applyAlignment="1">
      <alignment vertical="center"/>
    </xf>
    <xf numFmtId="0" fontId="138" fillId="4" borderId="9" xfId="0" applyFont="1" applyFill="1" applyBorder="1" applyAlignment="1">
      <alignment vertical="center"/>
    </xf>
    <xf numFmtId="0" fontId="139" fillId="0" borderId="0" xfId="0" applyFont="1" applyAlignment="1">
      <alignment vertical="center"/>
    </xf>
    <xf numFmtId="0" fontId="140" fillId="0" borderId="0" xfId="0" applyFont="1" applyAlignment="1">
      <alignment horizontal="center" vertical="center"/>
    </xf>
    <xf numFmtId="0" fontId="141" fillId="0" borderId="0" xfId="0" applyFont="1" applyAlignment="1">
      <alignment horizontal="center" vertical="center"/>
    </xf>
    <xf numFmtId="0" fontId="142" fillId="0" borderId="0" xfId="0" applyFont="1" applyAlignment="1">
      <alignment horizontal="center" vertical="center"/>
    </xf>
    <xf numFmtId="0" fontId="143" fillId="0" borderId="0" xfId="0" applyFont="1" applyAlignment="1">
      <alignment vertical="center"/>
    </xf>
    <xf numFmtId="0" fontId="131" fillId="6" borderId="1" xfId="0" applyFont="1" applyFill="1" applyBorder="1"/>
    <xf numFmtId="0" fontId="131" fillId="7" borderId="1" xfId="0" applyFont="1" applyFill="1" applyBorder="1"/>
    <xf numFmtId="164" fontId="1" fillId="8" borderId="1" xfId="3" applyNumberFormat="1" applyFont="1" applyFill="1" applyBorder="1" applyAlignment="1">
      <alignment horizontal="center" vertical="center"/>
    </xf>
    <xf numFmtId="0" fontId="131" fillId="8" borderId="1" xfId="0" applyFont="1" applyFill="1" applyBorder="1"/>
    <xf numFmtId="0" fontId="131" fillId="8" borderId="0" xfId="0" applyFont="1" applyFill="1"/>
    <xf numFmtId="164" fontId="2" fillId="0" borderId="1" xfId="3" applyNumberFormat="1" applyFont="1" applyBorder="1" applyAlignment="1">
      <alignment horizontal="center" vertical="center"/>
    </xf>
    <xf numFmtId="0" fontId="131" fillId="9" borderId="1" xfId="0" applyFont="1" applyFill="1" applyBorder="1"/>
    <xf numFmtId="0" fontId="131" fillId="10" borderId="1" xfId="0" applyFont="1" applyFill="1" applyBorder="1"/>
    <xf numFmtId="0" fontId="144" fillId="11" borderId="11" xfId="0" applyFont="1" applyFill="1" applyBorder="1" applyAlignment="1">
      <alignment horizontal="center" vertical="center"/>
    </xf>
    <xf numFmtId="0" fontId="131" fillId="12" borderId="1" xfId="0" applyFont="1" applyFill="1" applyBorder="1"/>
    <xf numFmtId="164" fontId="1" fillId="12" borderId="1" xfId="3" applyNumberFormat="1" applyFont="1" applyFill="1" applyBorder="1" applyAlignment="1">
      <alignment horizontal="center" vertical="center"/>
    </xf>
    <xf numFmtId="0" fontId="131" fillId="12" borderId="0" xfId="0" applyFont="1" applyFill="1"/>
    <xf numFmtId="0" fontId="131" fillId="12" borderId="5" xfId="0" applyFont="1" applyFill="1" applyBorder="1"/>
    <xf numFmtId="0" fontId="131" fillId="12" borderId="6" xfId="0" applyFont="1" applyFill="1" applyBorder="1"/>
    <xf numFmtId="0" fontId="131" fillId="12" borderId="2" xfId="0" applyFont="1" applyFill="1" applyBorder="1"/>
    <xf numFmtId="0" fontId="131" fillId="12" borderId="4" xfId="0" applyFont="1" applyFill="1" applyBorder="1"/>
    <xf numFmtId="0" fontId="145" fillId="0" borderId="1" xfId="0" applyFont="1" applyBorder="1" applyAlignment="1">
      <alignment horizontal="left" vertical="center"/>
    </xf>
    <xf numFmtId="0" fontId="131" fillId="10" borderId="6" xfId="0" applyFont="1" applyFill="1" applyBorder="1"/>
    <xf numFmtId="0" fontId="144" fillId="0" borderId="0" xfId="0" applyFont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131" fillId="13" borderId="1" xfId="0" applyFont="1" applyFill="1" applyBorder="1"/>
    <xf numFmtId="0" fontId="131" fillId="14" borderId="1" xfId="0" applyFont="1" applyFill="1" applyBorder="1"/>
    <xf numFmtId="0" fontId="131" fillId="15" borderId="1" xfId="0" applyFont="1" applyFill="1" applyBorder="1"/>
    <xf numFmtId="0" fontId="131" fillId="16" borderId="1" xfId="0" applyFont="1" applyFill="1" applyBorder="1"/>
    <xf numFmtId="0" fontId="131" fillId="17" borderId="1" xfId="0" applyFont="1" applyFill="1" applyBorder="1"/>
    <xf numFmtId="0" fontId="131" fillId="18" borderId="1" xfId="0" applyFont="1" applyFill="1" applyBorder="1"/>
    <xf numFmtId="0" fontId="131" fillId="19" borderId="1" xfId="0" applyFont="1" applyFill="1" applyBorder="1"/>
    <xf numFmtId="0" fontId="1" fillId="14" borderId="1" xfId="0" applyFont="1" applyFill="1" applyBorder="1" applyAlignment="1">
      <alignment horizontal="left" vertical="center"/>
    </xf>
    <xf numFmtId="0" fontId="1" fillId="0" borderId="0" xfId="0" applyFont="1"/>
    <xf numFmtId="0" fontId="147" fillId="0" borderId="0" xfId="0" applyFont="1"/>
    <xf numFmtId="0" fontId="138" fillId="18" borderId="10" xfId="0" applyFont="1" applyFill="1" applyBorder="1" applyAlignment="1">
      <alignment horizontal="right" vertical="center"/>
    </xf>
    <xf numFmtId="0" fontId="131" fillId="20" borderId="1" xfId="0" applyFont="1" applyFill="1" applyBorder="1"/>
    <xf numFmtId="0" fontId="131" fillId="21" borderId="1" xfId="0" applyFont="1" applyFill="1" applyBorder="1"/>
    <xf numFmtId="0" fontId="131" fillId="22" borderId="1" xfId="0" applyFont="1" applyFill="1" applyBorder="1"/>
    <xf numFmtId="0" fontId="138" fillId="4" borderId="1" xfId="0" applyFont="1" applyFill="1" applyBorder="1" applyAlignment="1">
      <alignment vertical="center"/>
    </xf>
    <xf numFmtId="0" fontId="142" fillId="7" borderId="1" xfId="0" applyFont="1" applyFill="1" applyBorder="1" applyAlignment="1">
      <alignment horizontal="center" vertical="center"/>
    </xf>
    <xf numFmtId="0" fontId="142" fillId="23" borderId="1" xfId="0" applyFont="1" applyFill="1" applyBorder="1" applyAlignment="1">
      <alignment horizontal="center" vertical="center"/>
    </xf>
    <xf numFmtId="0" fontId="138" fillId="5" borderId="1" xfId="0" applyFont="1" applyFill="1" applyBorder="1" applyAlignment="1">
      <alignment vertical="center"/>
    </xf>
    <xf numFmtId="0" fontId="2" fillId="0" borderId="2" xfId="0" applyFont="1" applyBorder="1"/>
    <xf numFmtId="0" fontId="142" fillId="23" borderId="2" xfId="0" applyFont="1" applyFill="1" applyBorder="1" applyAlignment="1">
      <alignment horizontal="center" vertical="center"/>
    </xf>
    <xf numFmtId="0" fontId="138" fillId="17" borderId="10" xfId="0" applyFont="1" applyFill="1" applyBorder="1" applyAlignment="1">
      <alignment horizontal="right" vertical="center"/>
    </xf>
    <xf numFmtId="0" fontId="0" fillId="0" borderId="2" xfId="0" applyBorder="1"/>
    <xf numFmtId="0" fontId="2" fillId="24" borderId="1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1" fillId="0" borderId="5" xfId="0" applyFont="1" applyBorder="1" applyAlignment="1">
      <alignment horizontal="left" vertical="center"/>
    </xf>
    <xf numFmtId="164" fontId="1" fillId="0" borderId="7" xfId="3" applyNumberFormat="1" applyFont="1" applyBorder="1" applyAlignment="1">
      <alignment horizontal="center" vertical="center"/>
    </xf>
    <xf numFmtId="164" fontId="1" fillId="0" borderId="6" xfId="3" applyNumberFormat="1" applyFont="1" applyBorder="1" applyAlignment="1">
      <alignment horizontal="center" vertical="center"/>
    </xf>
    <xf numFmtId="0" fontId="142" fillId="23" borderId="1" xfId="0" applyFont="1" applyFill="1" applyBorder="1" applyAlignment="1">
      <alignment horizontal="center"/>
    </xf>
    <xf numFmtId="0" fontId="138" fillId="0" borderId="1" xfId="0" applyFont="1" applyBorder="1" applyAlignment="1">
      <alignment vertical="center"/>
    </xf>
    <xf numFmtId="0" fontId="148" fillId="0" borderId="1" xfId="0" applyFont="1" applyBorder="1" applyAlignment="1">
      <alignment vertical="center"/>
    </xf>
    <xf numFmtId="0" fontId="1" fillId="0" borderId="0" xfId="0" applyFont="1" applyAlignment="1">
      <alignment horizontal="left" vertical="center"/>
    </xf>
    <xf numFmtId="0" fontId="1" fillId="22" borderId="5" xfId="0" applyFont="1" applyFill="1" applyBorder="1" applyAlignment="1">
      <alignment horizontal="left" vertical="center"/>
    </xf>
    <xf numFmtId="0" fontId="149" fillId="0" borderId="0" xfId="0" applyFont="1" applyAlignment="1">
      <alignment horizontal="center" vertical="center"/>
    </xf>
    <xf numFmtId="0" fontId="150" fillId="0" borderId="0" xfId="0" applyFont="1" applyAlignment="1">
      <alignment horizontal="center" vertical="center"/>
    </xf>
    <xf numFmtId="1" fontId="131" fillId="6" borderId="1" xfId="0" applyNumberFormat="1" applyFont="1" applyFill="1" applyBorder="1"/>
    <xf numFmtId="0" fontId="4" fillId="10" borderId="12" xfId="0" applyFont="1" applyFill="1" applyBorder="1" applyAlignment="1">
      <alignment horizontal="center" vertical="center"/>
    </xf>
    <xf numFmtId="0" fontId="138" fillId="4" borderId="1" xfId="0" applyFont="1" applyFill="1" applyBorder="1" applyAlignment="1">
      <alignment horizontal="left" vertical="center"/>
    </xf>
    <xf numFmtId="0" fontId="138" fillId="5" borderId="1" xfId="0" applyFont="1" applyFill="1" applyBorder="1" applyAlignment="1">
      <alignment horizontal="left" vertical="center"/>
    </xf>
    <xf numFmtId="0" fontId="138" fillId="4" borderId="13" xfId="0" applyFont="1" applyFill="1" applyBorder="1" applyAlignment="1">
      <alignment vertical="center"/>
    </xf>
    <xf numFmtId="0" fontId="151" fillId="9" borderId="12" xfId="0" applyFont="1" applyFill="1" applyBorder="1" applyAlignment="1">
      <alignment horizontal="center" vertical="center"/>
    </xf>
    <xf numFmtId="0" fontId="151" fillId="9" borderId="13" xfId="0" applyFont="1" applyFill="1" applyBorder="1" applyAlignment="1">
      <alignment horizontal="center" vertical="center"/>
    </xf>
    <xf numFmtId="0" fontId="152" fillId="25" borderId="1" xfId="0" applyFont="1" applyFill="1" applyBorder="1"/>
    <xf numFmtId="0" fontId="152" fillId="5" borderId="1" xfId="0" applyFont="1" applyFill="1" applyBorder="1"/>
    <xf numFmtId="0" fontId="6" fillId="25" borderId="1" xfId="0" applyFont="1" applyFill="1" applyBorder="1"/>
    <xf numFmtId="0" fontId="6" fillId="5" borderId="1" xfId="0" applyFont="1" applyFill="1" applyBorder="1"/>
    <xf numFmtId="0" fontId="142" fillId="7" borderId="7" xfId="0" applyFont="1" applyFill="1" applyBorder="1" applyAlignment="1">
      <alignment horizontal="center" vertical="center"/>
    </xf>
    <xf numFmtId="0" fontId="142" fillId="7" borderId="6" xfId="0" applyFont="1" applyFill="1" applyBorder="1" applyAlignment="1">
      <alignment horizontal="center" vertical="center"/>
    </xf>
    <xf numFmtId="0" fontId="138" fillId="16" borderId="1" xfId="0" applyFont="1" applyFill="1" applyBorder="1" applyAlignment="1">
      <alignment horizontal="left" vertical="center"/>
    </xf>
    <xf numFmtId="2" fontId="2" fillId="0" borderId="1" xfId="0" applyNumberFormat="1" applyFont="1" applyBorder="1"/>
    <xf numFmtId="0" fontId="144" fillId="9" borderId="10" xfId="0" applyFont="1" applyFill="1" applyBorder="1"/>
    <xf numFmtId="2" fontId="142" fillId="23" borderId="1" xfId="0" applyNumberFormat="1" applyFont="1" applyFill="1" applyBorder="1" applyAlignment="1">
      <alignment horizontal="center" vertical="center"/>
    </xf>
    <xf numFmtId="0" fontId="144" fillId="9" borderId="14" xfId="0" applyFont="1" applyFill="1" applyBorder="1"/>
    <xf numFmtId="0" fontId="0" fillId="0" borderId="0" xfId="0" applyAlignment="1">
      <alignment horizontal="center"/>
    </xf>
    <xf numFmtId="1" fontId="142" fillId="7" borderId="1" xfId="0" applyNumberFormat="1" applyFont="1" applyFill="1" applyBorder="1" applyAlignment="1">
      <alignment horizontal="center" vertical="center"/>
    </xf>
    <xf numFmtId="1" fontId="142" fillId="23" borderId="1" xfId="0" applyNumberFormat="1" applyFont="1" applyFill="1" applyBorder="1" applyAlignment="1">
      <alignment horizontal="center" vertical="center"/>
    </xf>
    <xf numFmtId="0" fontId="153" fillId="0" borderId="1" xfId="0" applyFont="1" applyBorder="1" applyAlignment="1">
      <alignment horizontal="left" vertical="center"/>
    </xf>
    <xf numFmtId="0" fontId="131" fillId="26" borderId="1" xfId="0" applyFont="1" applyFill="1" applyBorder="1" applyAlignment="1">
      <alignment horizontal="right"/>
    </xf>
    <xf numFmtId="0" fontId="154" fillId="0" borderId="1" xfId="0" applyFont="1" applyBorder="1" applyAlignment="1">
      <alignment horizontal="left" vertical="center"/>
    </xf>
    <xf numFmtId="0" fontId="154" fillId="0" borderId="1" xfId="0" applyFont="1" applyBorder="1"/>
    <xf numFmtId="0" fontId="155" fillId="0" borderId="1" xfId="0" applyFont="1" applyBorder="1" applyAlignment="1">
      <alignment vertical="center"/>
    </xf>
    <xf numFmtId="0" fontId="156" fillId="0" borderId="0" xfId="0" applyFont="1"/>
    <xf numFmtId="1" fontId="0" fillId="0" borderId="0" xfId="0" applyNumberFormat="1" applyAlignment="1">
      <alignment horizontal="center"/>
    </xf>
    <xf numFmtId="0" fontId="139" fillId="0" borderId="0" xfId="0" applyFont="1" applyAlignment="1">
      <alignment horizontal="center" vertical="center"/>
    </xf>
    <xf numFmtId="0" fontId="131" fillId="7" borderId="1" xfId="0" applyFont="1" applyFill="1" applyBorder="1" applyAlignment="1">
      <alignment horizontal="center"/>
    </xf>
    <xf numFmtId="2" fontId="2" fillId="0" borderId="2" xfId="0" applyNumberFormat="1" applyFont="1" applyBorder="1"/>
    <xf numFmtId="0" fontId="147" fillId="10" borderId="11" xfId="0" applyFont="1" applyFill="1" applyBorder="1" applyAlignment="1">
      <alignment horizontal="center"/>
    </xf>
    <xf numFmtId="0" fontId="2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center" vertical="center"/>
    </xf>
    <xf numFmtId="0" fontId="147" fillId="10" borderId="11" xfId="0" applyFont="1" applyFill="1" applyBorder="1"/>
    <xf numFmtId="0" fontId="137" fillId="0" borderId="0" xfId="0" applyFont="1" applyAlignment="1">
      <alignment horizontal="left"/>
    </xf>
    <xf numFmtId="0" fontId="138" fillId="0" borderId="0" xfId="0" applyFont="1" applyAlignment="1">
      <alignment horizontal="left" vertical="center"/>
    </xf>
    <xf numFmtId="0" fontId="157" fillId="0" borderId="0" xfId="0" applyFont="1" applyAlignment="1">
      <alignment horizontal="center" vertical="center"/>
    </xf>
    <xf numFmtId="0" fontId="138" fillId="0" borderId="0" xfId="0" applyFont="1" applyAlignment="1">
      <alignment horizontal="center" vertical="center"/>
    </xf>
    <xf numFmtId="0" fontId="138" fillId="5" borderId="15" xfId="0" applyFont="1" applyFill="1" applyBorder="1" applyAlignment="1">
      <alignment vertical="center"/>
    </xf>
    <xf numFmtId="0" fontId="138" fillId="5" borderId="13" xfId="0" applyFont="1" applyFill="1" applyBorder="1" applyAlignment="1">
      <alignment vertical="center"/>
    </xf>
    <xf numFmtId="0" fontId="131" fillId="13" borderId="0" xfId="0" applyFont="1" applyFill="1"/>
    <xf numFmtId="0" fontId="131" fillId="17" borderId="0" xfId="0" applyFont="1" applyFill="1"/>
    <xf numFmtId="0" fontId="154" fillId="0" borderId="0" xfId="0" applyFont="1" applyAlignment="1">
      <alignment horizontal="left" vertical="center"/>
    </xf>
    <xf numFmtId="164" fontId="1" fillId="0" borderId="0" xfId="3" applyNumberFormat="1" applyFont="1" applyAlignment="1">
      <alignment horizontal="center" vertical="center"/>
    </xf>
    <xf numFmtId="0" fontId="131" fillId="6" borderId="0" xfId="0" applyFont="1" applyFill="1"/>
    <xf numFmtId="0" fontId="131" fillId="7" borderId="0" xfId="0" applyFont="1" applyFill="1"/>
    <xf numFmtId="0" fontId="131" fillId="9" borderId="0" xfId="0" applyFont="1" applyFill="1"/>
    <xf numFmtId="0" fontId="131" fillId="15" borderId="0" xfId="0" applyFont="1" applyFill="1"/>
    <xf numFmtId="0" fontId="1" fillId="8" borderId="0" xfId="0" applyFont="1" applyFill="1" applyAlignment="1">
      <alignment horizontal="left" vertical="center"/>
    </xf>
    <xf numFmtId="164" fontId="1" fillId="8" borderId="0" xfId="3" applyNumberFormat="1" applyFont="1" applyFill="1" applyAlignment="1">
      <alignment horizontal="center" vertical="center"/>
    </xf>
    <xf numFmtId="0" fontId="131" fillId="20" borderId="0" xfId="0" applyFont="1" applyFill="1"/>
    <xf numFmtId="0" fontId="2" fillId="24" borderId="0" xfId="0" applyFont="1" applyFill="1" applyAlignment="1">
      <alignment horizontal="left" vertical="center"/>
    </xf>
    <xf numFmtId="1" fontId="131" fillId="7" borderId="0" xfId="0" applyNumberFormat="1" applyFont="1" applyFill="1"/>
    <xf numFmtId="0" fontId="131" fillId="26" borderId="0" xfId="0" applyFont="1" applyFill="1" applyAlignment="1">
      <alignment horizontal="right"/>
    </xf>
    <xf numFmtId="0" fontId="131" fillId="10" borderId="0" xfId="0" applyFont="1" applyFill="1"/>
    <xf numFmtId="0" fontId="145" fillId="0" borderId="0" xfId="0" applyFont="1" applyAlignment="1">
      <alignment horizontal="left" vertical="center"/>
    </xf>
    <xf numFmtId="0" fontId="1" fillId="14" borderId="0" xfId="0" applyFont="1" applyFill="1" applyAlignment="1">
      <alignment horizontal="left" vertical="center"/>
    </xf>
    <xf numFmtId="0" fontId="1" fillId="22" borderId="0" xfId="0" applyFont="1" applyFill="1" applyAlignment="1">
      <alignment horizontal="left" vertical="center"/>
    </xf>
    <xf numFmtId="0" fontId="154" fillId="0" borderId="0" xfId="0" applyFont="1"/>
    <xf numFmtId="43" fontId="1" fillId="0" borderId="0" xfId="3" applyFont="1" applyAlignment="1">
      <alignment horizontal="center" vertical="center"/>
    </xf>
    <xf numFmtId="0" fontId="2" fillId="24" borderId="0" xfId="0" applyFont="1" applyFill="1"/>
    <xf numFmtId="0" fontId="1" fillId="25" borderId="0" xfId="0" applyFont="1" applyFill="1" applyAlignment="1">
      <alignment horizontal="left" vertical="center"/>
    </xf>
    <xf numFmtId="0" fontId="158" fillId="0" borderId="0" xfId="0" applyFont="1"/>
    <xf numFmtId="0" fontId="138" fillId="16" borderId="15" xfId="0" applyFont="1" applyFill="1" applyBorder="1" applyAlignment="1">
      <alignment horizontal="left" vertical="center"/>
    </xf>
    <xf numFmtId="0" fontId="2" fillId="19" borderId="0" xfId="0" applyFont="1" applyFill="1"/>
    <xf numFmtId="0" fontId="136" fillId="19" borderId="0" xfId="0" applyFont="1" applyFill="1"/>
    <xf numFmtId="0" fontId="159" fillId="0" borderId="0" xfId="0" applyFont="1"/>
    <xf numFmtId="0" fontId="17" fillId="0" borderId="1" xfId="0" applyFont="1" applyBorder="1" applyAlignment="1">
      <alignment horizontal="center"/>
    </xf>
    <xf numFmtId="0" fontId="17" fillId="0" borderId="1" xfId="0" applyFont="1" applyBorder="1"/>
    <xf numFmtId="165" fontId="0" fillId="0" borderId="1" xfId="0" applyNumberFormat="1" applyBorder="1" applyAlignment="1">
      <alignment horizontal="right"/>
    </xf>
    <xf numFmtId="165" fontId="0" fillId="0" borderId="16" xfId="0" applyNumberFormat="1" applyBorder="1" applyAlignment="1">
      <alignment horizontal="right"/>
    </xf>
    <xf numFmtId="0" fontId="0" fillId="0" borderId="1" xfId="0" applyBorder="1" applyAlignment="1">
      <alignment horizontal="center"/>
    </xf>
    <xf numFmtId="0" fontId="0" fillId="0" borderId="1" xfId="0" applyBorder="1"/>
    <xf numFmtId="165" fontId="17" fillId="0" borderId="1" xfId="0" applyNumberFormat="1" applyFont="1" applyBorder="1" applyAlignment="1">
      <alignment horizontal="right"/>
    </xf>
    <xf numFmtId="0" fontId="0" fillId="0" borderId="5" xfId="0" applyBorder="1" applyAlignment="1">
      <alignment horizontal="center"/>
    </xf>
    <xf numFmtId="0" fontId="17" fillId="0" borderId="5" xfId="0" applyFont="1" applyBorder="1" applyAlignment="1">
      <alignment horizontal="left"/>
    </xf>
    <xf numFmtId="0" fontId="17" fillId="0" borderId="0" xfId="0" applyFont="1"/>
    <xf numFmtId="165" fontId="0" fillId="0" borderId="5" xfId="0" applyNumberFormat="1" applyBorder="1" applyAlignment="1">
      <alignment horizontal="right"/>
    </xf>
    <xf numFmtId="0" fontId="160" fillId="0" borderId="1" xfId="0" applyFont="1" applyBorder="1"/>
    <xf numFmtId="165" fontId="159" fillId="0" borderId="1" xfId="0" applyNumberFormat="1" applyFont="1" applyBorder="1" applyAlignment="1">
      <alignment horizontal="right"/>
    </xf>
    <xf numFmtId="0" fontId="160" fillId="0" borderId="1" xfId="0" applyFont="1" applyBorder="1" applyAlignment="1">
      <alignment horizontal="center"/>
    </xf>
    <xf numFmtId="0" fontId="159" fillId="0" borderId="1" xfId="0" applyFont="1" applyBorder="1" applyAlignment="1">
      <alignment horizontal="center"/>
    </xf>
    <xf numFmtId="0" fontId="160" fillId="0" borderId="5" xfId="0" applyFont="1" applyBorder="1" applyAlignment="1">
      <alignment horizontal="left"/>
    </xf>
    <xf numFmtId="165" fontId="159" fillId="0" borderId="5" xfId="0" applyNumberFormat="1" applyFont="1" applyBorder="1" applyAlignment="1">
      <alignment horizontal="right"/>
    </xf>
    <xf numFmtId="0" fontId="18" fillId="2" borderId="17" xfId="0" applyFont="1" applyFill="1" applyBorder="1" applyAlignment="1">
      <alignment horizontal="center" vertical="center"/>
    </xf>
    <xf numFmtId="0" fontId="18" fillId="2" borderId="18" xfId="0" applyFont="1" applyFill="1" applyBorder="1" applyAlignment="1">
      <alignment horizontal="center" vertical="center"/>
    </xf>
    <xf numFmtId="0" fontId="18" fillId="2" borderId="19" xfId="0" applyFont="1" applyFill="1" applyBorder="1" applyAlignment="1">
      <alignment horizontal="center" vertical="center"/>
    </xf>
    <xf numFmtId="0" fontId="18" fillId="2" borderId="20" xfId="0" applyFont="1" applyFill="1" applyBorder="1" applyAlignment="1">
      <alignment horizontal="center" vertical="center"/>
    </xf>
    <xf numFmtId="0" fontId="0" fillId="3" borderId="21" xfId="0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159" fillId="0" borderId="1" xfId="0" applyFont="1" applyBorder="1"/>
    <xf numFmtId="0" fontId="0" fillId="0" borderId="0" xfId="0" applyAlignment="1">
      <alignment horizontal="right"/>
    </xf>
    <xf numFmtId="165" fontId="0" fillId="0" borderId="0" xfId="0" applyNumberFormat="1" applyAlignment="1">
      <alignment horizontal="right"/>
    </xf>
    <xf numFmtId="0" fontId="17" fillId="0" borderId="0" xfId="0" applyFont="1" applyAlignment="1">
      <alignment horizontal="left"/>
    </xf>
    <xf numFmtId="0" fontId="17" fillId="0" borderId="0" xfId="0" applyFont="1" applyAlignment="1">
      <alignment horizontal="center"/>
    </xf>
    <xf numFmtId="165" fontId="131" fillId="0" borderId="2" xfId="0" applyNumberFormat="1" applyFont="1" applyBorder="1" applyAlignment="1">
      <alignment horizontal="right"/>
    </xf>
    <xf numFmtId="165" fontId="131" fillId="0" borderId="1" xfId="0" applyNumberFormat="1" applyFont="1" applyBorder="1" applyAlignment="1">
      <alignment horizontal="right"/>
    </xf>
    <xf numFmtId="0" fontId="17" fillId="0" borderId="1" xfId="0" applyFont="1" applyBorder="1" applyAlignment="1">
      <alignment horizontal="left"/>
    </xf>
    <xf numFmtId="0" fontId="17" fillId="0" borderId="5" xfId="0" applyFont="1" applyBorder="1"/>
    <xf numFmtId="0" fontId="17" fillId="0" borderId="2" xfId="0" applyFont="1" applyBorder="1" applyAlignment="1">
      <alignment horizontal="center"/>
    </xf>
    <xf numFmtId="0" fontId="131" fillId="0" borderId="1" xfId="0" applyFont="1" applyBorder="1" applyAlignment="1">
      <alignment horizontal="center"/>
    </xf>
    <xf numFmtId="0" fontId="131" fillId="27" borderId="0" xfId="0" applyFont="1" applyFill="1"/>
    <xf numFmtId="0" fontId="1" fillId="27" borderId="1" xfId="0" applyFont="1" applyFill="1" applyBorder="1" applyAlignment="1">
      <alignment horizontal="left" vertical="center"/>
    </xf>
    <xf numFmtId="164" fontId="1" fillId="27" borderId="1" xfId="3" applyNumberFormat="1" applyFont="1" applyFill="1" applyBorder="1" applyAlignment="1">
      <alignment horizontal="center" vertical="center"/>
    </xf>
    <xf numFmtId="0" fontId="131" fillId="27" borderId="1" xfId="0" applyFont="1" applyFill="1" applyBorder="1"/>
    <xf numFmtId="0" fontId="131" fillId="27" borderId="5" xfId="0" applyFont="1" applyFill="1" applyBorder="1"/>
    <xf numFmtId="0" fontId="131" fillId="27" borderId="6" xfId="0" applyFont="1" applyFill="1" applyBorder="1"/>
    <xf numFmtId="0" fontId="131" fillId="27" borderId="4" xfId="0" applyFont="1" applyFill="1" applyBorder="1"/>
    <xf numFmtId="1" fontId="131" fillId="0" borderId="0" xfId="0" applyNumberFormat="1" applyFont="1"/>
    <xf numFmtId="0" fontId="0" fillId="28" borderId="0" xfId="0" applyFill="1"/>
    <xf numFmtId="0" fontId="142" fillId="28" borderId="0" xfId="0" applyFont="1" applyFill="1" applyAlignment="1">
      <alignment horizontal="center" vertical="center"/>
    </xf>
    <xf numFmtId="0" fontId="20" fillId="0" borderId="1" xfId="0" applyFont="1" applyBorder="1" applyAlignment="1">
      <alignment vertical="center"/>
    </xf>
    <xf numFmtId="0" fontId="131" fillId="29" borderId="1" xfId="0" applyFont="1" applyFill="1" applyBorder="1"/>
    <xf numFmtId="0" fontId="138" fillId="4" borderId="15" xfId="0" applyFont="1" applyFill="1" applyBorder="1" applyAlignment="1">
      <alignment vertical="center"/>
    </xf>
    <xf numFmtId="0" fontId="161" fillId="0" borderId="1" xfId="0" applyFont="1" applyBorder="1" applyAlignment="1">
      <alignment horizontal="center" vertical="center"/>
    </xf>
    <xf numFmtId="0" fontId="161" fillId="0" borderId="1" xfId="0" applyFont="1" applyBorder="1" applyAlignment="1">
      <alignment horizontal="left" vertical="center"/>
    </xf>
    <xf numFmtId="2" fontId="161" fillId="0" borderId="1" xfId="0" applyNumberFormat="1" applyFont="1" applyBorder="1"/>
    <xf numFmtId="0" fontId="161" fillId="0" borderId="0" xfId="0" applyFont="1"/>
    <xf numFmtId="0" fontId="161" fillId="15" borderId="1" xfId="0" applyFont="1" applyFill="1" applyBorder="1" applyAlignment="1">
      <alignment horizontal="left" vertical="center"/>
    </xf>
    <xf numFmtId="0" fontId="161" fillId="0" borderId="1" xfId="0" applyFont="1" applyBorder="1"/>
    <xf numFmtId="0" fontId="162" fillId="0" borderId="1" xfId="0" applyFont="1" applyBorder="1"/>
    <xf numFmtId="0" fontId="163" fillId="0" borderId="0" xfId="0" applyFont="1"/>
    <xf numFmtId="0" fontId="138" fillId="28" borderId="0" xfId="0" applyFont="1" applyFill="1" applyAlignment="1">
      <alignment horizontal="left" vertical="center"/>
    </xf>
    <xf numFmtId="0" fontId="138" fillId="28" borderId="0" xfId="0" applyFont="1" applyFill="1" applyAlignment="1">
      <alignment horizontal="center" vertical="center"/>
    </xf>
    <xf numFmtId="2" fontId="1" fillId="28" borderId="11" xfId="0" applyNumberFormat="1" applyFont="1" applyFill="1" applyBorder="1" applyAlignment="1">
      <alignment horizontal="center"/>
    </xf>
    <xf numFmtId="2" fontId="1" fillId="15" borderId="11" xfId="0" applyNumberFormat="1" applyFont="1" applyFill="1" applyBorder="1" applyAlignment="1">
      <alignment horizontal="center"/>
    </xf>
    <xf numFmtId="2" fontId="2" fillId="0" borderId="0" xfId="0" applyNumberFormat="1" applyFont="1"/>
    <xf numFmtId="0" fontId="131" fillId="6" borderId="6" xfId="0" applyFont="1" applyFill="1" applyBorder="1"/>
    <xf numFmtId="0" fontId="131" fillId="9" borderId="6" xfId="0" applyFont="1" applyFill="1" applyBorder="1"/>
    <xf numFmtId="0" fontId="131" fillId="15" borderId="6" xfId="0" applyFont="1" applyFill="1" applyBorder="1"/>
    <xf numFmtId="0" fontId="138" fillId="5" borderId="2" xfId="0" applyFont="1" applyFill="1" applyBorder="1" applyAlignment="1">
      <alignment horizontal="left" vertical="center"/>
    </xf>
    <xf numFmtId="0" fontId="142" fillId="7" borderId="2" xfId="0" applyFont="1" applyFill="1" applyBorder="1" applyAlignment="1">
      <alignment horizontal="center" vertical="center"/>
    </xf>
    <xf numFmtId="0" fontId="0" fillId="30" borderId="0" xfId="0" applyFill="1"/>
    <xf numFmtId="0" fontId="133" fillId="4" borderId="10" xfId="0" applyFont="1" applyFill="1" applyBorder="1" applyAlignment="1">
      <alignment horizontal="center" vertical="center"/>
    </xf>
    <xf numFmtId="0" fontId="149" fillId="9" borderId="10" xfId="0" applyFont="1" applyFill="1" applyBorder="1" applyAlignment="1">
      <alignment horizontal="center" vertical="center"/>
    </xf>
    <xf numFmtId="0" fontId="146" fillId="11" borderId="10" xfId="0" applyFont="1" applyFill="1" applyBorder="1" applyAlignment="1">
      <alignment horizontal="center" vertical="center"/>
    </xf>
    <xf numFmtId="0" fontId="0" fillId="31" borderId="0" xfId="0" applyFill="1"/>
    <xf numFmtId="0" fontId="164" fillId="31" borderId="0" xfId="0" applyFont="1" applyFill="1" applyAlignment="1">
      <alignment vertical="center"/>
    </xf>
    <xf numFmtId="0" fontId="165" fillId="0" borderId="8" xfId="0" applyFont="1" applyBorder="1" applyAlignment="1">
      <alignment horizontal="center"/>
    </xf>
    <xf numFmtId="0" fontId="165" fillId="0" borderId="23" xfId="0" applyFont="1" applyBorder="1" applyAlignment="1">
      <alignment horizontal="center"/>
    </xf>
    <xf numFmtId="0" fontId="142" fillId="0" borderId="1" xfId="0" applyFont="1" applyBorder="1" applyAlignment="1">
      <alignment horizontal="center"/>
    </xf>
    <xf numFmtId="44" fontId="142" fillId="0" borderId="1" xfId="1" applyFont="1" applyBorder="1" applyAlignment="1">
      <alignment horizontal="center"/>
    </xf>
    <xf numFmtId="0" fontId="138" fillId="0" borderId="15" xfId="0" applyFont="1" applyBorder="1" applyAlignment="1">
      <alignment vertical="center"/>
    </xf>
    <xf numFmtId="0" fontId="2" fillId="0" borderId="0" xfId="0" applyFont="1" applyAlignment="1">
      <alignment horizontal="left" vertical="center"/>
    </xf>
    <xf numFmtId="0" fontId="166" fillId="0" borderId="0" xfId="0" applyFont="1"/>
    <xf numFmtId="0" fontId="167" fillId="0" borderId="0" xfId="0" applyFont="1"/>
    <xf numFmtId="0" fontId="20" fillId="0" borderId="0" xfId="0" applyFont="1"/>
    <xf numFmtId="0" fontId="20" fillId="4" borderId="5" xfId="0" applyFont="1" applyFill="1" applyBorder="1"/>
    <xf numFmtId="0" fontId="20" fillId="4" borderId="24" xfId="0" applyFont="1" applyFill="1" applyBorder="1"/>
    <xf numFmtId="0" fontId="20" fillId="4" borderId="6" xfId="0" applyFont="1" applyFill="1" applyBorder="1"/>
    <xf numFmtId="0" fontId="20" fillId="0" borderId="5" xfId="0" applyFont="1" applyBorder="1"/>
    <xf numFmtId="0" fontId="20" fillId="0" borderId="24" xfId="0" applyFont="1" applyBorder="1"/>
    <xf numFmtId="0" fontId="20" fillId="0" borderId="6" xfId="0" applyFont="1" applyBorder="1"/>
    <xf numFmtId="0" fontId="146" fillId="11" borderId="10" xfId="0" applyFont="1" applyFill="1" applyBorder="1" applyAlignment="1">
      <alignment vertical="center"/>
    </xf>
    <xf numFmtId="0" fontId="146" fillId="11" borderId="25" xfId="0" applyFont="1" applyFill="1" applyBorder="1" applyAlignment="1">
      <alignment vertical="center"/>
    </xf>
    <xf numFmtId="0" fontId="20" fillId="4" borderId="5" xfId="0" applyFont="1" applyFill="1" applyBorder="1" applyAlignment="1">
      <alignment vertical="center"/>
    </xf>
    <xf numFmtId="0" fontId="20" fillId="4" borderId="24" xfId="0" applyFont="1" applyFill="1" applyBorder="1" applyAlignment="1">
      <alignment vertical="center"/>
    </xf>
    <xf numFmtId="0" fontId="20" fillId="4" borderId="6" xfId="0" applyFont="1" applyFill="1" applyBorder="1" applyAlignment="1">
      <alignment vertical="center"/>
    </xf>
    <xf numFmtId="0" fontId="20" fillId="0" borderId="5" xfId="0" applyFont="1" applyBorder="1" applyAlignment="1">
      <alignment vertical="center"/>
    </xf>
    <xf numFmtId="0" fontId="20" fillId="0" borderId="24" xfId="0" applyFont="1" applyBorder="1" applyAlignment="1">
      <alignment vertical="center"/>
    </xf>
    <xf numFmtId="0" fontId="20" fillId="0" borderId="6" xfId="0" applyFont="1" applyBorder="1" applyAlignment="1">
      <alignment vertical="center"/>
    </xf>
    <xf numFmtId="0" fontId="146" fillId="0" borderId="0" xfId="0" applyFont="1" applyAlignment="1">
      <alignment vertical="center"/>
    </xf>
    <xf numFmtId="0" fontId="146" fillId="11" borderId="11" xfId="0" applyFont="1" applyFill="1" applyBorder="1" applyAlignment="1">
      <alignment horizontal="center" vertical="center"/>
    </xf>
    <xf numFmtId="0" fontId="142" fillId="7" borderId="26" xfId="0" applyFont="1" applyFill="1" applyBorder="1" applyAlignment="1">
      <alignment horizontal="center" vertical="center"/>
    </xf>
    <xf numFmtId="0" fontId="146" fillId="11" borderId="11" xfId="0" applyFont="1" applyFill="1" applyBorder="1" applyAlignment="1">
      <alignment vertical="center"/>
    </xf>
    <xf numFmtId="0" fontId="142" fillId="11" borderId="11" xfId="0" applyFont="1" applyFill="1" applyBorder="1" applyAlignment="1">
      <alignment horizontal="center" vertical="center"/>
    </xf>
    <xf numFmtId="0" fontId="133" fillId="10" borderId="12" xfId="0" applyFont="1" applyFill="1" applyBorder="1" applyAlignment="1">
      <alignment horizontal="center" vertical="center"/>
    </xf>
    <xf numFmtId="0" fontId="133" fillId="4" borderId="10" xfId="0" applyFont="1" applyFill="1" applyBorder="1" applyAlignment="1">
      <alignment vertical="center"/>
    </xf>
    <xf numFmtId="0" fontId="138" fillId="4" borderId="2" xfId="0" applyFont="1" applyFill="1" applyBorder="1" applyAlignment="1">
      <alignment vertical="center"/>
    </xf>
    <xf numFmtId="0" fontId="133" fillId="32" borderId="14" xfId="0" applyFont="1" applyFill="1" applyBorder="1" applyAlignment="1">
      <alignment vertical="center"/>
    </xf>
    <xf numFmtId="0" fontId="133" fillId="10" borderId="11" xfId="0" applyFont="1" applyFill="1" applyBorder="1" applyAlignment="1">
      <alignment horizontal="center" vertical="center"/>
    </xf>
    <xf numFmtId="0" fontId="133" fillId="32" borderId="10" xfId="0" applyFont="1" applyFill="1" applyBorder="1" applyAlignment="1">
      <alignment vertical="center"/>
    </xf>
    <xf numFmtId="0" fontId="149" fillId="4" borderId="13" xfId="0" applyFont="1" applyFill="1" applyBorder="1" applyAlignment="1">
      <alignment horizontal="center" vertical="center"/>
    </xf>
    <xf numFmtId="0" fontId="133" fillId="9" borderId="1" xfId="0" applyFont="1" applyFill="1" applyBorder="1" applyAlignment="1">
      <alignment horizontal="center" vertical="center"/>
    </xf>
    <xf numFmtId="0" fontId="133" fillId="32" borderId="25" xfId="0" applyFont="1" applyFill="1" applyBorder="1" applyAlignment="1">
      <alignment vertical="center"/>
    </xf>
    <xf numFmtId="0" fontId="149" fillId="4" borderId="1" xfId="0" applyFont="1" applyFill="1" applyBorder="1" applyAlignment="1">
      <alignment horizontal="center" vertical="center"/>
    </xf>
    <xf numFmtId="0" fontId="149" fillId="9" borderId="1" xfId="0" applyFont="1" applyFill="1" applyBorder="1" applyAlignment="1">
      <alignment horizontal="center" vertical="center"/>
    </xf>
    <xf numFmtId="0" fontId="149" fillId="32" borderId="10" xfId="0" applyFont="1" applyFill="1" applyBorder="1" applyAlignment="1">
      <alignment vertical="center"/>
    </xf>
    <xf numFmtId="0" fontId="149" fillId="32" borderId="25" xfId="0" applyFont="1" applyFill="1" applyBorder="1" applyAlignment="1">
      <alignment vertical="center"/>
    </xf>
    <xf numFmtId="0" fontId="149" fillId="32" borderId="14" xfId="0" applyFont="1" applyFill="1" applyBorder="1" applyAlignment="1">
      <alignment vertical="center"/>
    </xf>
    <xf numFmtId="0" fontId="149" fillId="9" borderId="12" xfId="0" applyFont="1" applyFill="1" applyBorder="1" applyAlignment="1">
      <alignment horizontal="center" vertical="center"/>
    </xf>
    <xf numFmtId="0" fontId="142" fillId="7" borderId="5" xfId="0" applyFont="1" applyFill="1" applyBorder="1" applyAlignment="1">
      <alignment horizontal="center" vertical="center"/>
    </xf>
    <xf numFmtId="0" fontId="138" fillId="0" borderId="0" xfId="0" applyFont="1" applyAlignment="1">
      <alignment vertical="center"/>
    </xf>
    <xf numFmtId="0" fontId="168" fillId="0" borderId="0" xfId="0" applyFont="1"/>
    <xf numFmtId="0" fontId="142" fillId="33" borderId="11" xfId="0" applyFont="1" applyFill="1" applyBorder="1" applyAlignment="1">
      <alignment horizontal="center" vertical="center"/>
    </xf>
    <xf numFmtId="0" fontId="168" fillId="0" borderId="0" xfId="0" applyFont="1" applyAlignment="1">
      <alignment horizontal="center"/>
    </xf>
    <xf numFmtId="0" fontId="142" fillId="10" borderId="12" xfId="0" applyFont="1" applyFill="1" applyBorder="1" applyAlignment="1">
      <alignment horizontal="center" vertical="center"/>
    </xf>
    <xf numFmtId="0" fontId="142" fillId="0" borderId="0" xfId="0" applyFont="1" applyAlignment="1">
      <alignment horizontal="center"/>
    </xf>
    <xf numFmtId="0" fontId="142" fillId="9" borderId="12" xfId="0" applyFont="1" applyFill="1" applyBorder="1" applyAlignment="1">
      <alignment horizontal="center" vertical="center"/>
    </xf>
    <xf numFmtId="0" fontId="142" fillId="9" borderId="27" xfId="0" applyFont="1" applyFill="1" applyBorder="1" applyAlignment="1">
      <alignment horizontal="center" vertical="center"/>
    </xf>
    <xf numFmtId="0" fontId="142" fillId="9" borderId="28" xfId="0" applyFont="1" applyFill="1" applyBorder="1" applyAlignment="1">
      <alignment horizontal="center" vertical="center"/>
    </xf>
    <xf numFmtId="0" fontId="142" fillId="32" borderId="11" xfId="0" applyFont="1" applyFill="1" applyBorder="1" applyAlignment="1">
      <alignment horizontal="center" vertical="center"/>
    </xf>
    <xf numFmtId="0" fontId="142" fillId="9" borderId="11" xfId="0" applyFont="1" applyFill="1" applyBorder="1" applyAlignment="1">
      <alignment horizontal="center" vertical="center"/>
    </xf>
    <xf numFmtId="0" fontId="142" fillId="4" borderId="1" xfId="0" applyFont="1" applyFill="1" applyBorder="1" applyAlignment="1">
      <alignment horizontal="center" vertical="center"/>
    </xf>
    <xf numFmtId="0" fontId="142" fillId="9" borderId="1" xfId="0" applyFont="1" applyFill="1" applyBorder="1" applyAlignment="1">
      <alignment horizontal="center" vertical="center"/>
    </xf>
    <xf numFmtId="0" fontId="142" fillId="4" borderId="12" xfId="0" applyFont="1" applyFill="1" applyBorder="1" applyAlignment="1">
      <alignment horizontal="center" vertical="center"/>
    </xf>
    <xf numFmtId="0" fontId="142" fillId="10" borderId="11" xfId="0" applyFont="1" applyFill="1" applyBorder="1" applyAlignment="1">
      <alignment horizontal="center" vertical="center"/>
    </xf>
    <xf numFmtId="0" fontId="142" fillId="4" borderId="11" xfId="0" applyFont="1" applyFill="1" applyBorder="1" applyAlignment="1">
      <alignment horizontal="center" vertical="center"/>
    </xf>
    <xf numFmtId="0" fontId="146" fillId="34" borderId="11" xfId="0" applyFont="1" applyFill="1" applyBorder="1" applyAlignment="1">
      <alignment horizontal="center" vertical="center"/>
    </xf>
    <xf numFmtId="0" fontId="142" fillId="34" borderId="11" xfId="0" applyFont="1" applyFill="1" applyBorder="1" applyAlignment="1">
      <alignment horizontal="center"/>
    </xf>
    <xf numFmtId="0" fontId="146" fillId="34" borderId="14" xfId="0" applyFont="1" applyFill="1" applyBorder="1" applyAlignment="1">
      <alignment vertical="center"/>
    </xf>
    <xf numFmtId="0" fontId="142" fillId="34" borderId="14" xfId="0" applyFont="1" applyFill="1" applyBorder="1" applyAlignment="1">
      <alignment horizontal="center" vertical="center"/>
    </xf>
    <xf numFmtId="0" fontId="142" fillId="34" borderId="14" xfId="0" applyFont="1" applyFill="1" applyBorder="1" applyAlignment="1">
      <alignment horizontal="center"/>
    </xf>
    <xf numFmtId="0" fontId="169" fillId="0" borderId="0" xfId="0" applyFont="1" applyAlignment="1">
      <alignment vertical="center"/>
    </xf>
    <xf numFmtId="0" fontId="0" fillId="20" borderId="25" xfId="0" applyFill="1" applyBorder="1" applyAlignment="1">
      <alignment horizontal="center"/>
    </xf>
    <xf numFmtId="0" fontId="144" fillId="11" borderId="14" xfId="0" applyFont="1" applyFill="1" applyBorder="1" applyAlignment="1">
      <alignment horizontal="center" vertical="center"/>
    </xf>
    <xf numFmtId="0" fontId="144" fillId="11" borderId="1" xfId="0" applyFont="1" applyFill="1" applyBorder="1" applyAlignment="1">
      <alignment horizontal="center" vertical="center"/>
    </xf>
    <xf numFmtId="0" fontId="170" fillId="0" borderId="0" xfId="0" applyFont="1" applyAlignment="1">
      <alignment vertical="center"/>
    </xf>
    <xf numFmtId="0" fontId="0" fillId="0" borderId="25" xfId="0" applyBorder="1" applyAlignment="1">
      <alignment horizontal="center"/>
    </xf>
    <xf numFmtId="0" fontId="146" fillId="9" borderId="11" xfId="0" applyFont="1" applyFill="1" applyBorder="1" applyAlignment="1">
      <alignment horizontal="center" vertical="center"/>
    </xf>
    <xf numFmtId="0" fontId="142" fillId="9" borderId="11" xfId="0" applyFont="1" applyFill="1" applyBorder="1" applyAlignment="1">
      <alignment horizontal="center"/>
    </xf>
    <xf numFmtId="0" fontId="142" fillId="11" borderId="14" xfId="0" applyFont="1" applyFill="1" applyBorder="1" applyAlignment="1">
      <alignment horizontal="center" vertical="center"/>
    </xf>
    <xf numFmtId="0" fontId="142" fillId="11" borderId="11" xfId="0" applyFont="1" applyFill="1" applyBorder="1" applyAlignment="1">
      <alignment horizontal="center"/>
    </xf>
    <xf numFmtId="0" fontId="142" fillId="11" borderId="14" xfId="0" applyFont="1" applyFill="1" applyBorder="1" applyAlignment="1">
      <alignment horizontal="center"/>
    </xf>
    <xf numFmtId="0" fontId="20" fillId="0" borderId="5" xfId="0" applyFont="1" applyBorder="1" applyAlignment="1">
      <alignment horizontal="left"/>
    </xf>
    <xf numFmtId="0" fontId="20" fillId="0" borderId="24" xfId="0" applyFont="1" applyBorder="1" applyAlignment="1">
      <alignment horizontal="left"/>
    </xf>
    <xf numFmtId="0" fontId="20" fillId="0" borderId="6" xfId="0" applyFont="1" applyBorder="1" applyAlignment="1">
      <alignment horizontal="left"/>
    </xf>
    <xf numFmtId="0" fontId="171" fillId="0" borderId="0" xfId="0" applyFont="1" applyAlignment="1">
      <alignment horizontal="left" vertical="center"/>
    </xf>
    <xf numFmtId="0" fontId="171" fillId="0" borderId="0" xfId="0" applyFont="1" applyAlignment="1">
      <alignment horizontal="center" vertical="center"/>
    </xf>
    <xf numFmtId="0" fontId="136" fillId="35" borderId="1" xfId="0" applyFont="1" applyFill="1" applyBorder="1" applyAlignment="1">
      <alignment horizontal="center"/>
    </xf>
    <xf numFmtId="0" fontId="131" fillId="0" borderId="1" xfId="0" applyFont="1" applyBorder="1" applyAlignment="1">
      <alignment horizontal="left" vertical="center"/>
    </xf>
    <xf numFmtId="0" fontId="172" fillId="0" borderId="0" xfId="0" applyFont="1"/>
    <xf numFmtId="0" fontId="16" fillId="16" borderId="29" xfId="0" applyFont="1" applyFill="1" applyBorder="1" applyAlignment="1">
      <alignment horizontal="left" vertical="center"/>
    </xf>
    <xf numFmtId="0" fontId="141" fillId="7" borderId="7" xfId="0" applyFont="1" applyFill="1" applyBorder="1" applyAlignment="1">
      <alignment horizontal="center" vertical="center"/>
    </xf>
    <xf numFmtId="0" fontId="141" fillId="23" borderId="2" xfId="0" applyFont="1" applyFill="1" applyBorder="1" applyAlignment="1">
      <alignment horizontal="center" vertical="center"/>
    </xf>
    <xf numFmtId="0" fontId="141" fillId="18" borderId="2" xfId="0" applyFont="1" applyFill="1" applyBorder="1" applyAlignment="1">
      <alignment horizontal="center" vertical="center"/>
    </xf>
    <xf numFmtId="0" fontId="141" fillId="6" borderId="30" xfId="0" applyFont="1" applyFill="1" applyBorder="1" applyAlignment="1">
      <alignment horizontal="center" vertical="center"/>
    </xf>
    <xf numFmtId="0" fontId="16" fillId="5" borderId="31" xfId="0" applyFont="1" applyFill="1" applyBorder="1" applyAlignment="1">
      <alignment horizontal="left" vertical="center"/>
    </xf>
    <xf numFmtId="0" fontId="141" fillId="7" borderId="6" xfId="0" applyFont="1" applyFill="1" applyBorder="1" applyAlignment="1">
      <alignment horizontal="center" vertical="center"/>
    </xf>
    <xf numFmtId="0" fontId="141" fillId="23" borderId="1" xfId="0" applyFont="1" applyFill="1" applyBorder="1" applyAlignment="1">
      <alignment horizontal="center" vertical="center"/>
    </xf>
    <xf numFmtId="0" fontId="141" fillId="18" borderId="1" xfId="0" applyFont="1" applyFill="1" applyBorder="1" applyAlignment="1">
      <alignment horizontal="center" vertical="center"/>
    </xf>
    <xf numFmtId="0" fontId="141" fillId="6" borderId="32" xfId="0" applyFont="1" applyFill="1" applyBorder="1" applyAlignment="1">
      <alignment horizontal="center" vertical="center"/>
    </xf>
    <xf numFmtId="0" fontId="16" fillId="16" borderId="31" xfId="0" applyFont="1" applyFill="1" applyBorder="1" applyAlignment="1">
      <alignment horizontal="left" vertical="center"/>
    </xf>
    <xf numFmtId="0" fontId="16" fillId="16" borderId="33" xfId="0" applyFont="1" applyFill="1" applyBorder="1" applyAlignment="1">
      <alignment horizontal="left" vertical="center"/>
    </xf>
    <xf numFmtId="0" fontId="141" fillId="7" borderId="34" xfId="0" applyFont="1" applyFill="1" applyBorder="1" applyAlignment="1">
      <alignment horizontal="center" vertical="center"/>
    </xf>
    <xf numFmtId="0" fontId="141" fillId="23" borderId="35" xfId="0" applyFont="1" applyFill="1" applyBorder="1" applyAlignment="1">
      <alignment horizontal="center" vertical="center"/>
    </xf>
    <xf numFmtId="0" fontId="141" fillId="18" borderId="35" xfId="0" applyFont="1" applyFill="1" applyBorder="1" applyAlignment="1">
      <alignment horizontal="center" vertical="center"/>
    </xf>
    <xf numFmtId="0" fontId="141" fillId="6" borderId="36" xfId="0" applyFont="1" applyFill="1" applyBorder="1" applyAlignment="1">
      <alignment horizontal="center" vertical="center"/>
    </xf>
    <xf numFmtId="0" fontId="0" fillId="15" borderId="0" xfId="0" applyFill="1"/>
    <xf numFmtId="0" fontId="0" fillId="7" borderId="0" xfId="0" applyFill="1"/>
    <xf numFmtId="0" fontId="0" fillId="36" borderId="0" xfId="0" applyFill="1"/>
    <xf numFmtId="0" fontId="131" fillId="36" borderId="0" xfId="0" applyFont="1" applyFill="1"/>
    <xf numFmtId="0" fontId="0" fillId="19" borderId="0" xfId="0" applyFill="1"/>
    <xf numFmtId="0" fontId="0" fillId="37" borderId="0" xfId="0" applyFill="1"/>
    <xf numFmtId="0" fontId="0" fillId="16" borderId="0" xfId="0" applyFill="1"/>
    <xf numFmtId="0" fontId="0" fillId="22" borderId="0" xfId="0" applyFill="1"/>
    <xf numFmtId="0" fontId="0" fillId="26" borderId="0" xfId="0" applyFill="1"/>
    <xf numFmtId="2" fontId="136" fillId="0" borderId="0" xfId="0" applyNumberFormat="1" applyFont="1"/>
    <xf numFmtId="2" fontId="136" fillId="35" borderId="1" xfId="0" applyNumberFormat="1" applyFont="1" applyFill="1" applyBorder="1" applyAlignment="1">
      <alignment horizontal="center"/>
    </xf>
    <xf numFmtId="0" fontId="172" fillId="28" borderId="0" xfId="0" applyFont="1" applyFill="1"/>
    <xf numFmtId="0" fontId="131" fillId="28" borderId="0" xfId="0" applyFont="1" applyFill="1"/>
    <xf numFmtId="0" fontId="0" fillId="17" borderId="0" xfId="0" applyFill="1"/>
    <xf numFmtId="0" fontId="131" fillId="17" borderId="1" xfId="0" applyFont="1" applyFill="1" applyBorder="1" applyAlignment="1">
      <alignment horizontal="left" vertical="center"/>
    </xf>
    <xf numFmtId="0" fontId="131" fillId="17" borderId="37" xfId="0" applyFont="1" applyFill="1" applyBorder="1" applyAlignment="1">
      <alignment horizontal="left" vertical="center"/>
    </xf>
    <xf numFmtId="0" fontId="131" fillId="17" borderId="0" xfId="0" applyFont="1" applyFill="1" applyAlignment="1">
      <alignment horizontal="left" vertical="center"/>
    </xf>
    <xf numFmtId="0" fontId="173" fillId="28" borderId="0" xfId="0" applyFont="1" applyFill="1" applyAlignment="1">
      <alignment vertical="center"/>
    </xf>
    <xf numFmtId="0" fontId="140" fillId="28" borderId="0" xfId="0" applyFont="1" applyFill="1" applyAlignment="1">
      <alignment horizontal="center" vertical="center"/>
    </xf>
    <xf numFmtId="0" fontId="141" fillId="28" borderId="0" xfId="0" applyFont="1" applyFill="1" applyAlignment="1">
      <alignment horizontal="center" vertical="center"/>
    </xf>
    <xf numFmtId="0" fontId="174" fillId="28" borderId="0" xfId="0" applyFont="1" applyFill="1"/>
    <xf numFmtId="0" fontId="23" fillId="15" borderId="38" xfId="0" applyFont="1" applyFill="1" applyBorder="1" applyAlignment="1">
      <alignment horizontal="center"/>
    </xf>
    <xf numFmtId="0" fontId="24" fillId="0" borderId="0" xfId="0" applyFont="1" applyAlignment="1">
      <alignment horizontal="center" vertical="center"/>
    </xf>
    <xf numFmtId="0" fontId="4" fillId="9" borderId="12" xfId="0" applyFont="1" applyFill="1" applyBorder="1"/>
    <xf numFmtId="0" fontId="4" fillId="9" borderId="11" xfId="0" applyFont="1" applyFill="1" applyBorder="1"/>
    <xf numFmtId="0" fontId="138" fillId="16" borderId="27" xfId="0" applyFont="1" applyFill="1" applyBorder="1" applyAlignment="1">
      <alignment horizontal="left" vertical="center"/>
    </xf>
    <xf numFmtId="0" fontId="175" fillId="7" borderId="28" xfId="0" applyFont="1" applyFill="1" applyBorder="1" applyAlignment="1">
      <alignment horizontal="center" vertical="center"/>
    </xf>
    <xf numFmtId="0" fontId="175" fillId="23" borderId="28" xfId="0" applyFont="1" applyFill="1" applyBorder="1" applyAlignment="1">
      <alignment horizontal="center" vertical="center"/>
    </xf>
    <xf numFmtId="0" fontId="175" fillId="18" borderId="28" xfId="0" applyFont="1" applyFill="1" applyBorder="1" applyAlignment="1">
      <alignment horizontal="center" vertical="center"/>
    </xf>
    <xf numFmtId="0" fontId="175" fillId="38" borderId="28" xfId="0" applyFont="1" applyFill="1" applyBorder="1" applyAlignment="1">
      <alignment horizontal="center"/>
    </xf>
    <xf numFmtId="0" fontId="138" fillId="5" borderId="39" xfId="0" applyFont="1" applyFill="1" applyBorder="1" applyAlignment="1">
      <alignment horizontal="left" vertical="center"/>
    </xf>
    <xf numFmtId="0" fontId="175" fillId="7" borderId="40" xfId="0" applyFont="1" applyFill="1" applyBorder="1" applyAlignment="1">
      <alignment horizontal="center" vertical="center"/>
    </xf>
    <xf numFmtId="0" fontId="175" fillId="23" borderId="40" xfId="0" applyFont="1" applyFill="1" applyBorder="1" applyAlignment="1">
      <alignment horizontal="center" vertical="center"/>
    </xf>
    <xf numFmtId="0" fontId="175" fillId="18" borderId="40" xfId="0" applyFont="1" applyFill="1" applyBorder="1" applyAlignment="1">
      <alignment horizontal="center" vertical="center"/>
    </xf>
    <xf numFmtId="0" fontId="175" fillId="38" borderId="40" xfId="0" applyFont="1" applyFill="1" applyBorder="1" applyAlignment="1">
      <alignment horizontal="center"/>
    </xf>
    <xf numFmtId="0" fontId="138" fillId="16" borderId="39" xfId="0" applyFont="1" applyFill="1" applyBorder="1" applyAlignment="1">
      <alignment horizontal="left" vertical="center"/>
    </xf>
    <xf numFmtId="0" fontId="138" fillId="16" borderId="41" xfId="0" applyFont="1" applyFill="1" applyBorder="1" applyAlignment="1">
      <alignment horizontal="left" vertical="center"/>
    </xf>
    <xf numFmtId="0" fontId="175" fillId="7" borderId="42" xfId="0" applyFont="1" applyFill="1" applyBorder="1" applyAlignment="1">
      <alignment horizontal="center" vertical="center"/>
    </xf>
    <xf numFmtId="0" fontId="175" fillId="23" borderId="42" xfId="0" applyFont="1" applyFill="1" applyBorder="1" applyAlignment="1">
      <alignment horizontal="center" vertical="center"/>
    </xf>
    <xf numFmtId="0" fontId="175" fillId="18" borderId="42" xfId="0" applyFont="1" applyFill="1" applyBorder="1" applyAlignment="1">
      <alignment horizontal="center" vertical="center"/>
    </xf>
    <xf numFmtId="0" fontId="175" fillId="38" borderId="42" xfId="0" applyFont="1" applyFill="1" applyBorder="1" applyAlignment="1">
      <alignment horizontal="center"/>
    </xf>
    <xf numFmtId="0" fontId="163" fillId="15" borderId="1" xfId="0" applyFont="1" applyFill="1" applyBorder="1"/>
    <xf numFmtId="0" fontId="176" fillId="0" borderId="0" xfId="0" applyFont="1"/>
    <xf numFmtId="0" fontId="176" fillId="0" borderId="1" xfId="0" applyFont="1" applyBorder="1" applyAlignment="1">
      <alignment horizontal="left" vertical="center"/>
    </xf>
    <xf numFmtId="0" fontId="177" fillId="0" borderId="1" xfId="0" applyFont="1" applyBorder="1" applyAlignment="1">
      <alignment horizontal="left" vertical="center"/>
    </xf>
    <xf numFmtId="0" fontId="159" fillId="0" borderId="1" xfId="0" applyFont="1" applyBorder="1" applyAlignment="1">
      <alignment horizontal="left" vertical="center"/>
    </xf>
    <xf numFmtId="0" fontId="163" fillId="0" borderId="1" xfId="0" applyFont="1" applyBorder="1" applyAlignment="1">
      <alignment horizontal="left" vertical="center"/>
    </xf>
    <xf numFmtId="0" fontId="163" fillId="22" borderId="1" xfId="0" applyFont="1" applyFill="1" applyBorder="1"/>
    <xf numFmtId="0" fontId="163" fillId="22" borderId="0" xfId="0" applyFont="1" applyFill="1"/>
    <xf numFmtId="0" fontId="159" fillId="17" borderId="1" xfId="0" applyFont="1" applyFill="1" applyBorder="1"/>
    <xf numFmtId="0" fontId="159" fillId="17" borderId="0" xfId="0" applyFont="1" applyFill="1"/>
    <xf numFmtId="0" fontId="159" fillId="17" borderId="1" xfId="0" applyFont="1" applyFill="1" applyBorder="1" applyAlignment="1">
      <alignment horizontal="left" vertical="top"/>
    </xf>
    <xf numFmtId="0" fontId="0" fillId="39" borderId="0" xfId="0" applyFill="1"/>
    <xf numFmtId="0" fontId="163" fillId="39" borderId="1" xfId="0" applyFont="1" applyFill="1" applyBorder="1"/>
    <xf numFmtId="0" fontId="163" fillId="39" borderId="0" xfId="0" applyFont="1" applyFill="1"/>
    <xf numFmtId="0" fontId="176" fillId="15" borderId="0" xfId="0" applyFont="1" applyFill="1"/>
    <xf numFmtId="0" fontId="159" fillId="15" borderId="0" xfId="0" applyFont="1" applyFill="1"/>
    <xf numFmtId="164" fontId="161" fillId="0" borderId="1" xfId="3" applyNumberFormat="1" applyFont="1" applyBorder="1" applyAlignment="1">
      <alignment horizontal="center"/>
    </xf>
    <xf numFmtId="0" fontId="131" fillId="0" borderId="1" xfId="0" applyFont="1" applyBorder="1" applyAlignment="1">
      <alignment horizontal="left" vertical="top"/>
    </xf>
    <xf numFmtId="0" fontId="0" fillId="40" borderId="0" xfId="0" applyFill="1"/>
    <xf numFmtId="0" fontId="172" fillId="40" borderId="0" xfId="0" applyFont="1" applyFill="1"/>
    <xf numFmtId="0" fontId="178" fillId="11" borderId="31" xfId="0" applyFont="1" applyFill="1" applyBorder="1" applyAlignment="1">
      <alignment horizontal="center" vertical="center"/>
    </xf>
    <xf numFmtId="0" fontId="178" fillId="11" borderId="1" xfId="0" applyFont="1" applyFill="1" applyBorder="1" applyAlignment="1">
      <alignment horizontal="center" vertical="center"/>
    </xf>
    <xf numFmtId="0" fontId="178" fillId="11" borderId="32" xfId="0" applyFont="1" applyFill="1" applyBorder="1" applyAlignment="1">
      <alignment horizontal="center" vertical="center"/>
    </xf>
    <xf numFmtId="0" fontId="179" fillId="0" borderId="0" xfId="0" applyFont="1"/>
    <xf numFmtId="0" fontId="180" fillId="0" borderId="0" xfId="0" applyFont="1" applyAlignment="1">
      <alignment horizontal="center"/>
    </xf>
    <xf numFmtId="0" fontId="17" fillId="0" borderId="1" xfId="0" applyFont="1" applyBorder="1" applyAlignment="1">
      <alignment horizontal="left" vertical="center"/>
    </xf>
    <xf numFmtId="164" fontId="17" fillId="0" borderId="1" xfId="3" applyNumberFormat="1" applyFont="1" applyBorder="1" applyAlignment="1">
      <alignment horizontal="center" vertical="center"/>
    </xf>
    <xf numFmtId="0" fontId="181" fillId="0" borderId="1" xfId="0" applyFont="1" applyBorder="1" applyAlignment="1">
      <alignment horizontal="left" vertical="center"/>
    </xf>
    <xf numFmtId="0" fontId="17" fillId="0" borderId="1" xfId="0" applyFont="1" applyBorder="1" applyAlignment="1">
      <alignment horizontal="justify" vertical="top" wrapText="1"/>
    </xf>
    <xf numFmtId="43" fontId="17" fillId="0" borderId="1" xfId="3" applyFont="1" applyBorder="1" applyAlignment="1">
      <alignment horizontal="center" vertical="center"/>
    </xf>
    <xf numFmtId="0" fontId="17" fillId="0" borderId="5" xfId="0" applyFont="1" applyBorder="1" applyAlignment="1">
      <alignment horizontal="left" vertical="center"/>
    </xf>
    <xf numFmtId="164" fontId="17" fillId="0" borderId="6" xfId="3" applyNumberFormat="1" applyFont="1" applyBorder="1" applyAlignment="1">
      <alignment horizontal="center" vertical="center"/>
    </xf>
    <xf numFmtId="49" fontId="0" fillId="0" borderId="0" xfId="0" applyNumberFormat="1"/>
    <xf numFmtId="0" fontId="17" fillId="15" borderId="1" xfId="0" applyFont="1" applyFill="1" applyBorder="1" applyAlignment="1">
      <alignment horizontal="left" vertical="center"/>
    </xf>
    <xf numFmtId="164" fontId="17" fillId="15" borderId="1" xfId="3" applyNumberFormat="1" applyFont="1" applyFill="1" applyBorder="1" applyAlignment="1">
      <alignment horizontal="center" vertical="center"/>
    </xf>
    <xf numFmtId="0" fontId="17" fillId="13" borderId="1" xfId="0" applyFont="1" applyFill="1" applyBorder="1" applyAlignment="1">
      <alignment horizontal="left"/>
    </xf>
    <xf numFmtId="49" fontId="0" fillId="13" borderId="0" xfId="0" applyNumberFormat="1" applyFill="1" applyAlignment="1">
      <alignment horizontal="right"/>
    </xf>
    <xf numFmtId="0" fontId="0" fillId="13" borderId="0" xfId="0" applyFill="1" applyAlignment="1">
      <alignment horizontal="right"/>
    </xf>
    <xf numFmtId="0" fontId="0" fillId="13" borderId="0" xfId="0" applyFill="1" applyAlignment="1">
      <alignment horizontal="center"/>
    </xf>
    <xf numFmtId="0" fontId="0" fillId="15" borderId="1" xfId="0" applyFill="1" applyBorder="1"/>
    <xf numFmtId="0" fontId="162" fillId="0" borderId="1" xfId="0" applyFont="1" applyBorder="1" applyAlignment="1">
      <alignment horizontal="center" vertical="center"/>
    </xf>
    <xf numFmtId="0" fontId="162" fillId="0" borderId="1" xfId="0" applyFont="1" applyBorder="1" applyAlignment="1">
      <alignment horizontal="left" vertical="center"/>
    </xf>
    <xf numFmtId="0" fontId="162" fillId="15" borderId="1" xfId="0" applyFont="1" applyFill="1" applyBorder="1" applyAlignment="1">
      <alignment horizontal="center" vertical="center"/>
    </xf>
    <xf numFmtId="0" fontId="162" fillId="15" borderId="1" xfId="0" applyFont="1" applyFill="1" applyBorder="1" applyAlignment="1">
      <alignment horizontal="left" vertical="center"/>
    </xf>
    <xf numFmtId="0" fontId="182" fillId="15" borderId="0" xfId="0" applyFont="1" applyFill="1"/>
    <xf numFmtId="0" fontId="182" fillId="0" borderId="0" xfId="0" applyFont="1"/>
    <xf numFmtId="1" fontId="0" fillId="0" borderId="0" xfId="0" applyNumberFormat="1"/>
    <xf numFmtId="43" fontId="17" fillId="0" borderId="0" xfId="3" applyFont="1" applyAlignment="1">
      <alignment horizontal="center" vertical="center"/>
    </xf>
    <xf numFmtId="164" fontId="161" fillId="0" borderId="0" xfId="3" applyNumberFormat="1" applyFont="1" applyAlignment="1">
      <alignment horizontal="center"/>
    </xf>
    <xf numFmtId="164" fontId="17" fillId="0" borderId="0" xfId="3" applyNumberFormat="1" applyFont="1" applyAlignment="1">
      <alignment horizontal="center" vertical="center"/>
    </xf>
    <xf numFmtId="1" fontId="17" fillId="0" borderId="0" xfId="3" applyNumberFormat="1" applyFont="1" applyAlignment="1">
      <alignment horizontal="center" vertical="center"/>
    </xf>
    <xf numFmtId="164" fontId="17" fillId="15" borderId="0" xfId="3" applyNumberFormat="1" applyFont="1" applyFill="1" applyAlignment="1">
      <alignment horizontal="center" vertical="center"/>
    </xf>
    <xf numFmtId="1" fontId="17" fillId="0" borderId="0" xfId="3" applyNumberFormat="1" applyFont="1" applyAlignment="1">
      <alignment horizontal="right"/>
    </xf>
    <xf numFmtId="0" fontId="20" fillId="4" borderId="31" xfId="0" applyFont="1" applyFill="1" applyBorder="1" applyAlignment="1">
      <alignment vertical="center"/>
    </xf>
    <xf numFmtId="0" fontId="142" fillId="23" borderId="32" xfId="0" applyFont="1" applyFill="1" applyBorder="1" applyAlignment="1">
      <alignment horizontal="center"/>
    </xf>
    <xf numFmtId="0" fontId="20" fillId="0" borderId="31" xfId="0" applyFont="1" applyBorder="1" applyAlignment="1">
      <alignment vertical="center"/>
    </xf>
    <xf numFmtId="0" fontId="138" fillId="4" borderId="31" xfId="0" applyFont="1" applyFill="1" applyBorder="1" applyAlignment="1">
      <alignment vertical="center"/>
    </xf>
    <xf numFmtId="0" fontId="138" fillId="0" borderId="31" xfId="0" applyFont="1" applyBorder="1" applyAlignment="1">
      <alignment vertical="center"/>
    </xf>
    <xf numFmtId="0" fontId="137" fillId="0" borderId="0" xfId="0" applyFont="1" applyAlignment="1">
      <alignment horizontal="center" vertical="center"/>
    </xf>
    <xf numFmtId="0" fontId="183" fillId="0" borderId="0" xfId="0" applyFont="1"/>
    <xf numFmtId="0" fontId="184" fillId="0" borderId="0" xfId="0" applyFont="1"/>
    <xf numFmtId="0" fontId="165" fillId="0" borderId="0" xfId="0" applyFont="1" applyAlignment="1">
      <alignment horizontal="center"/>
    </xf>
    <xf numFmtId="0" fontId="20" fillId="0" borderId="0" xfId="0" applyFont="1" applyAlignment="1">
      <alignment vertical="center"/>
    </xf>
    <xf numFmtId="0" fontId="148" fillId="0" borderId="0" xfId="0" applyFont="1" applyAlignment="1">
      <alignment vertical="center"/>
    </xf>
    <xf numFmtId="44" fontId="142" fillId="0" borderId="0" xfId="1" applyFont="1" applyAlignment="1">
      <alignment horizontal="center"/>
    </xf>
    <xf numFmtId="2" fontId="161" fillId="0" borderId="0" xfId="0" applyNumberFormat="1" applyFont="1"/>
    <xf numFmtId="0" fontId="185" fillId="0" borderId="0" xfId="0" applyFont="1" applyAlignment="1">
      <alignment wrapText="1"/>
    </xf>
    <xf numFmtId="0" fontId="142" fillId="23" borderId="32" xfId="0" applyFont="1" applyFill="1" applyBorder="1" applyAlignment="1">
      <alignment horizontal="center" vertical="center"/>
    </xf>
    <xf numFmtId="0" fontId="142" fillId="7" borderId="36" xfId="0" applyFont="1" applyFill="1" applyBorder="1" applyAlignment="1">
      <alignment horizontal="center" vertical="center"/>
    </xf>
    <xf numFmtId="0" fontId="7" fillId="23" borderId="1" xfId="0" applyFont="1" applyFill="1" applyBorder="1" applyAlignment="1">
      <alignment horizontal="center" vertical="center"/>
    </xf>
    <xf numFmtId="0" fontId="7" fillId="7" borderId="35" xfId="0" applyFont="1" applyFill="1" applyBorder="1" applyAlignment="1">
      <alignment horizontal="center" vertical="center"/>
    </xf>
    <xf numFmtId="164" fontId="17" fillId="0" borderId="0" xfId="3" applyNumberFormat="1" applyFont="1" applyAlignment="1">
      <alignment horizontal="right" vertical="center"/>
    </xf>
    <xf numFmtId="0" fontId="138" fillId="5" borderId="31" xfId="0" applyFont="1" applyFill="1" applyBorder="1" applyAlignment="1">
      <alignment horizontal="left" vertical="center"/>
    </xf>
    <xf numFmtId="0" fontId="138" fillId="16" borderId="31" xfId="0" applyFont="1" applyFill="1" applyBorder="1" applyAlignment="1">
      <alignment horizontal="left" vertical="center"/>
    </xf>
    <xf numFmtId="0" fontId="138" fillId="16" borderId="33" xfId="0" applyFont="1" applyFill="1" applyBorder="1" applyAlignment="1">
      <alignment horizontal="left" vertical="center"/>
    </xf>
    <xf numFmtId="0" fontId="146" fillId="28" borderId="13" xfId="0" applyFont="1" applyFill="1" applyBorder="1" applyAlignment="1">
      <alignment vertical="center"/>
    </xf>
    <xf numFmtId="0" fontId="146" fillId="28" borderId="43" xfId="0" applyFont="1" applyFill="1" applyBorder="1" applyAlignment="1">
      <alignment vertical="center"/>
    </xf>
    <xf numFmtId="0" fontId="146" fillId="28" borderId="0" xfId="0" applyFont="1" applyFill="1" applyAlignment="1">
      <alignment vertical="center"/>
    </xf>
    <xf numFmtId="2" fontId="0" fillId="13" borderId="0" xfId="0" applyNumberFormat="1" applyFill="1" applyAlignment="1">
      <alignment horizontal="left" vertical="center"/>
    </xf>
    <xf numFmtId="0" fontId="0" fillId="0" borderId="44" xfId="0" applyBorder="1"/>
    <xf numFmtId="0" fontId="138" fillId="5" borderId="29" xfId="0" applyFont="1" applyFill="1" applyBorder="1" applyAlignment="1">
      <alignment horizontal="left" vertical="center"/>
    </xf>
    <xf numFmtId="0" fontId="142" fillId="7" borderId="45" xfId="0" applyFont="1" applyFill="1" applyBorder="1" applyAlignment="1">
      <alignment horizontal="center" vertical="center"/>
    </xf>
    <xf numFmtId="164" fontId="17" fillId="0" borderId="37" xfId="3" applyNumberFormat="1" applyFont="1" applyBorder="1" applyAlignment="1">
      <alignment horizontal="center" vertical="center"/>
    </xf>
    <xf numFmtId="0" fontId="186" fillId="41" borderId="5" xfId="0" applyFont="1" applyFill="1" applyBorder="1"/>
    <xf numFmtId="0" fontId="187" fillId="41" borderId="24" xfId="0" applyFont="1" applyFill="1" applyBorder="1" applyAlignment="1">
      <alignment horizontal="center" vertical="center"/>
    </xf>
    <xf numFmtId="0" fontId="33" fillId="4" borderId="31" xfId="0" applyFont="1" applyFill="1" applyBorder="1" applyAlignment="1">
      <alignment vertical="center"/>
    </xf>
    <xf numFmtId="0" fontId="33" fillId="0" borderId="31" xfId="0" applyFont="1" applyBorder="1" applyAlignment="1">
      <alignment vertical="center"/>
    </xf>
    <xf numFmtId="0" fontId="188" fillId="4" borderId="31" xfId="0" applyFont="1" applyFill="1" applyBorder="1" applyAlignment="1">
      <alignment vertical="center"/>
    </xf>
    <xf numFmtId="0" fontId="188" fillId="0" borderId="31" xfId="0" applyFont="1" applyBorder="1" applyAlignment="1">
      <alignment vertical="center"/>
    </xf>
    <xf numFmtId="0" fontId="189" fillId="0" borderId="1" xfId="0" applyFont="1" applyBorder="1"/>
    <xf numFmtId="0" fontId="160" fillId="0" borderId="6" xfId="0" applyFont="1" applyBorder="1" applyAlignment="1">
      <alignment horizontal="center"/>
    </xf>
    <xf numFmtId="0" fontId="189" fillId="0" borderId="1" xfId="0" applyFont="1" applyBorder="1" applyAlignment="1">
      <alignment wrapText="1"/>
    </xf>
    <xf numFmtId="0" fontId="138" fillId="27" borderId="1" xfId="0" applyFont="1" applyFill="1" applyBorder="1" applyAlignment="1">
      <alignment vertical="center"/>
    </xf>
    <xf numFmtId="0" fontId="144" fillId="0" borderId="0" xfId="0" applyFont="1"/>
    <xf numFmtId="0" fontId="151" fillId="0" borderId="0" xfId="0" applyFont="1" applyAlignment="1">
      <alignment horizontal="center" vertical="center"/>
    </xf>
    <xf numFmtId="0" fontId="152" fillId="0" borderId="0" xfId="0" applyFont="1"/>
    <xf numFmtId="2" fontId="142" fillId="0" borderId="0" xfId="0" applyNumberFormat="1" applyFont="1" applyAlignment="1">
      <alignment horizontal="center" vertical="center"/>
    </xf>
    <xf numFmtId="0" fontId="6" fillId="0" borderId="0" xfId="0" applyFont="1"/>
    <xf numFmtId="0" fontId="136" fillId="35" borderId="1" xfId="0" applyFont="1" applyFill="1" applyBorder="1" applyAlignment="1">
      <alignment horizontal="center" vertical="center"/>
    </xf>
    <xf numFmtId="164" fontId="161" fillId="0" borderId="1" xfId="3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31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61" fillId="15" borderId="0" xfId="0" applyFont="1" applyFill="1"/>
    <xf numFmtId="2" fontId="159" fillId="0" borderId="0" xfId="0" applyNumberFormat="1" applyFont="1"/>
    <xf numFmtId="2" fontId="190" fillId="0" borderId="0" xfId="0" applyNumberFormat="1" applyFont="1"/>
    <xf numFmtId="2" fontId="191" fillId="0" borderId="0" xfId="0" applyNumberFormat="1" applyFont="1"/>
    <xf numFmtId="2" fontId="192" fillId="0" borderId="0" xfId="0" applyNumberFormat="1" applyFont="1"/>
    <xf numFmtId="2" fontId="193" fillId="0" borderId="0" xfId="0" applyNumberFormat="1" applyFont="1" applyAlignment="1">
      <alignment horizontal="center"/>
    </xf>
    <xf numFmtId="2" fontId="194" fillId="0" borderId="0" xfId="0" applyNumberFormat="1" applyFont="1" applyAlignment="1">
      <alignment horizontal="right"/>
    </xf>
    <xf numFmtId="2" fontId="195" fillId="0" borderId="0" xfId="0" applyNumberFormat="1" applyFont="1" applyAlignment="1">
      <alignment horizontal="center"/>
    </xf>
    <xf numFmtId="2" fontId="196" fillId="0" borderId="0" xfId="0" applyNumberFormat="1" applyFont="1"/>
    <xf numFmtId="2" fontId="131" fillId="0" borderId="0" xfId="0" applyNumberFormat="1" applyFont="1"/>
    <xf numFmtId="2" fontId="192" fillId="0" borderId="0" xfId="0" applyNumberFormat="1" applyFont="1" applyAlignment="1">
      <alignment horizontal="left"/>
    </xf>
    <xf numFmtId="2" fontId="195" fillId="0" borderId="0" xfId="0" applyNumberFormat="1" applyFont="1" applyAlignment="1">
      <alignment horizontal="right"/>
    </xf>
    <xf numFmtId="2" fontId="197" fillId="0" borderId="0" xfId="0" applyNumberFormat="1" applyFont="1"/>
    <xf numFmtId="2" fontId="195" fillId="0" borderId="0" xfId="0" applyNumberFormat="1" applyFont="1"/>
    <xf numFmtId="2" fontId="159" fillId="0" borderId="1" xfId="0" applyNumberFormat="1" applyFont="1" applyBorder="1"/>
    <xf numFmtId="2" fontId="190" fillId="0" borderId="1" xfId="0" applyNumberFormat="1" applyFont="1" applyBorder="1"/>
    <xf numFmtId="2" fontId="198" fillId="0" borderId="1" xfId="0" applyNumberFormat="1" applyFont="1" applyBorder="1"/>
    <xf numFmtId="2" fontId="196" fillId="0" borderId="1" xfId="0" applyNumberFormat="1" applyFont="1" applyBorder="1"/>
    <xf numFmtId="2" fontId="195" fillId="0" borderId="1" xfId="0" applyNumberFormat="1" applyFont="1" applyBorder="1"/>
    <xf numFmtId="2" fontId="199" fillId="0" borderId="0" xfId="0" applyNumberFormat="1" applyFont="1"/>
    <xf numFmtId="2" fontId="200" fillId="0" borderId="0" xfId="0" applyNumberFormat="1" applyFont="1"/>
    <xf numFmtId="2" fontId="201" fillId="0" borderId="0" xfId="0" applyNumberFormat="1" applyFont="1"/>
    <xf numFmtId="2" fontId="202" fillId="0" borderId="0" xfId="0" applyNumberFormat="1" applyFont="1"/>
    <xf numFmtId="2" fontId="203" fillId="0" borderId="0" xfId="0" applyNumberFormat="1" applyFont="1"/>
    <xf numFmtId="2" fontId="204" fillId="0" borderId="0" xfId="0" applyNumberFormat="1" applyFont="1" applyAlignment="1">
      <alignment horizontal="center"/>
    </xf>
    <xf numFmtId="2" fontId="205" fillId="0" borderId="0" xfId="0" applyNumberFormat="1" applyFont="1" applyAlignment="1">
      <alignment horizontal="right"/>
    </xf>
    <xf numFmtId="2" fontId="206" fillId="0" borderId="0" xfId="0" applyNumberFormat="1" applyFont="1"/>
    <xf numFmtId="2" fontId="207" fillId="0" borderId="0" xfId="0" applyNumberFormat="1" applyFont="1" applyAlignment="1">
      <alignment horizontal="center"/>
    </xf>
    <xf numFmtId="2" fontId="208" fillId="0" borderId="1" xfId="0" applyNumberFormat="1" applyFont="1" applyBorder="1"/>
    <xf numFmtId="2" fontId="209" fillId="0" borderId="1" xfId="0" applyNumberFormat="1" applyFont="1" applyBorder="1" applyAlignment="1">
      <alignment horizontal="right" vertical="center"/>
    </xf>
    <xf numFmtId="2" fontId="210" fillId="0" borderId="0" xfId="0" applyNumberFormat="1" applyFont="1"/>
    <xf numFmtId="2" fontId="134" fillId="0" borderId="0" xfId="0" applyNumberFormat="1" applyFont="1"/>
    <xf numFmtId="2" fontId="199" fillId="0" borderId="25" xfId="0" applyNumberFormat="1" applyFont="1" applyBorder="1"/>
    <xf numFmtId="2" fontId="200" fillId="0" borderId="25" xfId="0" applyNumberFormat="1" applyFont="1" applyBorder="1"/>
    <xf numFmtId="2" fontId="202" fillId="0" borderId="25" xfId="0" applyNumberFormat="1" applyFont="1" applyBorder="1"/>
    <xf numFmtId="2" fontId="206" fillId="0" borderId="25" xfId="0" applyNumberFormat="1" applyFont="1" applyBorder="1"/>
    <xf numFmtId="2" fontId="204" fillId="0" borderId="25" xfId="0" applyNumberFormat="1" applyFont="1" applyBorder="1" applyAlignment="1">
      <alignment horizontal="center"/>
    </xf>
    <xf numFmtId="2" fontId="205" fillId="0" borderId="25" xfId="0" applyNumberFormat="1" applyFont="1" applyBorder="1" applyAlignment="1">
      <alignment horizontal="right"/>
    </xf>
    <xf numFmtId="2" fontId="203" fillId="0" borderId="25" xfId="0" applyNumberFormat="1" applyFont="1" applyBorder="1"/>
    <xf numFmtId="2" fontId="207" fillId="0" borderId="25" xfId="0" applyNumberFormat="1" applyFont="1" applyBorder="1" applyAlignment="1">
      <alignment horizontal="center"/>
    </xf>
    <xf numFmtId="2" fontId="204" fillId="0" borderId="25" xfId="0" applyNumberFormat="1" applyFont="1" applyBorder="1" applyAlignment="1">
      <alignment horizontal="right"/>
    </xf>
    <xf numFmtId="2" fontId="204" fillId="0" borderId="0" xfId="0" applyNumberFormat="1" applyFont="1" applyAlignment="1">
      <alignment horizontal="right"/>
    </xf>
    <xf numFmtId="2" fontId="199" fillId="0" borderId="1" xfId="0" applyNumberFormat="1" applyFont="1" applyBorder="1"/>
    <xf numFmtId="2" fontId="200" fillId="0" borderId="1" xfId="0" applyNumberFormat="1" applyFont="1" applyBorder="1"/>
    <xf numFmtId="2" fontId="202" fillId="0" borderId="1" xfId="0" applyNumberFormat="1" applyFont="1" applyBorder="1"/>
    <xf numFmtId="2" fontId="206" fillId="0" borderId="1" xfId="0" applyNumberFormat="1" applyFont="1" applyBorder="1"/>
    <xf numFmtId="2" fontId="204" fillId="0" borderId="1" xfId="0" applyNumberFormat="1" applyFont="1" applyBorder="1" applyAlignment="1">
      <alignment horizontal="right"/>
    </xf>
    <xf numFmtId="2" fontId="205" fillId="0" borderId="1" xfId="0" applyNumberFormat="1" applyFont="1" applyBorder="1" applyAlignment="1">
      <alignment horizontal="right"/>
    </xf>
    <xf numFmtId="2" fontId="199" fillId="0" borderId="35" xfId="0" applyNumberFormat="1" applyFont="1" applyBorder="1"/>
    <xf numFmtId="2" fontId="200" fillId="0" borderId="35" xfId="0" applyNumberFormat="1" applyFont="1" applyBorder="1"/>
    <xf numFmtId="2" fontId="202" fillId="0" borderId="35" xfId="0" applyNumberFormat="1" applyFont="1" applyBorder="1"/>
    <xf numFmtId="2" fontId="206" fillId="0" borderId="35" xfId="0" applyNumberFormat="1" applyFont="1" applyBorder="1"/>
    <xf numFmtId="2" fontId="204" fillId="0" borderId="35" xfId="0" applyNumberFormat="1" applyFont="1" applyBorder="1" applyAlignment="1">
      <alignment horizontal="right"/>
    </xf>
    <xf numFmtId="2" fontId="205" fillId="0" borderId="35" xfId="0" applyNumberFormat="1" applyFont="1" applyBorder="1" applyAlignment="1">
      <alignment horizontal="right"/>
    </xf>
    <xf numFmtId="2" fontId="191" fillId="0" borderId="1" xfId="0" applyNumberFormat="1" applyFont="1" applyBorder="1"/>
    <xf numFmtId="2" fontId="194" fillId="0" borderId="1" xfId="0" applyNumberFormat="1" applyFont="1" applyBorder="1" applyAlignment="1">
      <alignment horizontal="right"/>
    </xf>
    <xf numFmtId="2" fontId="197" fillId="0" borderId="1" xfId="0" applyNumberFormat="1" applyFont="1" applyBorder="1"/>
    <xf numFmtId="2" fontId="199" fillId="0" borderId="2" xfId="0" applyNumberFormat="1" applyFont="1" applyBorder="1"/>
    <xf numFmtId="2" fontId="190" fillId="0" borderId="2" xfId="0" applyNumberFormat="1" applyFont="1" applyBorder="1"/>
    <xf numFmtId="2" fontId="191" fillId="0" borderId="2" xfId="0" applyNumberFormat="1" applyFont="1" applyBorder="1"/>
    <xf numFmtId="2" fontId="195" fillId="0" borderId="2" xfId="0" applyNumberFormat="1" applyFont="1" applyBorder="1" applyAlignment="1">
      <alignment horizontal="right"/>
    </xf>
    <xf numFmtId="2" fontId="194" fillId="0" borderId="2" xfId="0" applyNumberFormat="1" applyFont="1" applyBorder="1" applyAlignment="1">
      <alignment horizontal="right"/>
    </xf>
    <xf numFmtId="2" fontId="211" fillId="0" borderId="0" xfId="0" applyNumberFormat="1" applyFont="1"/>
    <xf numFmtId="2" fontId="211" fillId="0" borderId="1" xfId="0" applyNumberFormat="1" applyFont="1" applyBorder="1"/>
    <xf numFmtId="2" fontId="204" fillId="0" borderId="0" xfId="0" applyNumberFormat="1" applyFont="1"/>
    <xf numFmtId="2" fontId="204" fillId="0" borderId="1" xfId="0" applyNumberFormat="1" applyFont="1" applyBorder="1"/>
    <xf numFmtId="2" fontId="206" fillId="0" borderId="2" xfId="0" applyNumberFormat="1" applyFont="1" applyBorder="1"/>
    <xf numFmtId="2" fontId="203" fillId="0" borderId="0" xfId="0" applyNumberFormat="1" applyFont="1" applyAlignment="1">
      <alignment horizontal="left"/>
    </xf>
    <xf numFmtId="0" fontId="212" fillId="0" borderId="1" xfId="0" applyFont="1" applyBorder="1" applyAlignment="1">
      <alignment horizontal="center" vertical="center"/>
    </xf>
    <xf numFmtId="0" fontId="212" fillId="0" borderId="0" xfId="0" applyFont="1"/>
    <xf numFmtId="0" fontId="138" fillId="23" borderId="11" xfId="0" applyFont="1" applyFill="1" applyBorder="1" applyAlignment="1">
      <alignment horizontal="center" vertical="center"/>
    </xf>
    <xf numFmtId="0" fontId="138" fillId="21" borderId="11" xfId="0" applyFont="1" applyFill="1" applyBorder="1" applyAlignment="1">
      <alignment horizontal="center" vertical="center"/>
    </xf>
    <xf numFmtId="0" fontId="201" fillId="17" borderId="10" xfId="0" applyFont="1" applyFill="1" applyBorder="1"/>
    <xf numFmtId="0" fontId="138" fillId="21" borderId="46" xfId="0" applyFont="1" applyFill="1" applyBorder="1" applyAlignment="1">
      <alignment horizontal="center" vertical="center"/>
    </xf>
    <xf numFmtId="0" fontId="138" fillId="23" borderId="46" xfId="0" applyFont="1" applyFill="1" applyBorder="1" applyAlignment="1">
      <alignment horizontal="center" vertical="center"/>
    </xf>
    <xf numFmtId="0" fontId="201" fillId="17" borderId="1" xfId="0" applyFont="1" applyFill="1" applyBorder="1" applyAlignment="1">
      <alignment horizontal="center"/>
    </xf>
    <xf numFmtId="0" fontId="201" fillId="17" borderId="1" xfId="0" applyFont="1" applyFill="1" applyBorder="1" applyAlignment="1">
      <alignment horizontal="center" vertical="center"/>
    </xf>
    <xf numFmtId="2" fontId="213" fillId="0" borderId="15" xfId="0" applyNumberFormat="1" applyFont="1" applyBorder="1"/>
    <xf numFmtId="2" fontId="214" fillId="0" borderId="15" xfId="0" applyNumberFormat="1" applyFont="1" applyBorder="1" applyAlignment="1">
      <alignment horizontal="right" vertical="center"/>
    </xf>
    <xf numFmtId="2" fontId="194" fillId="0" borderId="0" xfId="0" applyNumberFormat="1" applyFont="1"/>
    <xf numFmtId="2" fontId="0" fillId="0" borderId="0" xfId="0" applyNumberFormat="1"/>
    <xf numFmtId="2" fontId="201" fillId="0" borderId="25" xfId="0" applyNumberFormat="1" applyFont="1" applyBorder="1"/>
    <xf numFmtId="2" fontId="208" fillId="0" borderId="47" xfId="0" applyNumberFormat="1" applyFont="1" applyBorder="1" applyAlignment="1">
      <alignment horizontal="right"/>
    </xf>
    <xf numFmtId="2" fontId="215" fillId="0" borderId="47" xfId="0" applyNumberFormat="1" applyFont="1" applyBorder="1" applyAlignment="1">
      <alignment horizontal="right" vertical="center"/>
    </xf>
    <xf numFmtId="2" fontId="210" fillId="0" borderId="25" xfId="0" applyNumberFormat="1" applyFont="1" applyBorder="1"/>
    <xf numFmtId="2" fontId="134" fillId="0" borderId="25" xfId="0" applyNumberFormat="1" applyFont="1" applyBorder="1"/>
    <xf numFmtId="2" fontId="200" fillId="0" borderId="14" xfId="0" applyNumberFormat="1" applyFont="1" applyBorder="1"/>
    <xf numFmtId="2" fontId="216" fillId="0" borderId="2" xfId="0" applyNumberFormat="1" applyFont="1" applyBorder="1" applyAlignment="1">
      <alignment horizontal="center"/>
    </xf>
    <xf numFmtId="2" fontId="217" fillId="0" borderId="2" xfId="0" applyNumberFormat="1" applyFont="1" applyBorder="1" applyAlignment="1">
      <alignment horizontal="right" vertical="center"/>
    </xf>
    <xf numFmtId="2" fontId="163" fillId="0" borderId="0" xfId="0" applyNumberFormat="1" applyFont="1"/>
    <xf numFmtId="2" fontId="216" fillId="0" borderId="1" xfId="0" applyNumberFormat="1" applyFont="1" applyBorder="1"/>
    <xf numFmtId="2" fontId="214" fillId="0" borderId="1" xfId="0" applyNumberFormat="1" applyFont="1" applyBorder="1" applyAlignment="1">
      <alignment horizontal="right" vertical="center"/>
    </xf>
    <xf numFmtId="2" fontId="215" fillId="0" borderId="1" xfId="0" applyNumberFormat="1" applyFont="1" applyBorder="1" applyAlignment="1">
      <alignment horizontal="right" vertical="center"/>
    </xf>
    <xf numFmtId="2" fontId="216" fillId="0" borderId="1" xfId="0" applyNumberFormat="1" applyFont="1" applyBorder="1" applyAlignment="1">
      <alignment horizontal="center"/>
    </xf>
    <xf numFmtId="2" fontId="217" fillId="0" borderId="1" xfId="0" applyNumberFormat="1" applyFont="1" applyBorder="1" applyAlignment="1">
      <alignment horizontal="right" vertical="center"/>
    </xf>
    <xf numFmtId="2" fontId="213" fillId="0" borderId="1" xfId="0" applyNumberFormat="1" applyFont="1" applyBorder="1"/>
    <xf numFmtId="2" fontId="218" fillId="0" borderId="1" xfId="0" applyNumberFormat="1" applyFont="1" applyBorder="1"/>
    <xf numFmtId="2" fontId="138" fillId="0" borderId="0" xfId="0" applyNumberFormat="1" applyFont="1"/>
    <xf numFmtId="2" fontId="216" fillId="0" borderId="15" xfId="0" applyNumberFormat="1" applyFont="1" applyBorder="1"/>
    <xf numFmtId="2" fontId="209" fillId="0" borderId="15" xfId="0" applyNumberFormat="1" applyFont="1" applyBorder="1" applyAlignment="1">
      <alignment horizontal="right" vertical="center"/>
    </xf>
    <xf numFmtId="2" fontId="208" fillId="0" borderId="47" xfId="0" applyNumberFormat="1" applyFont="1" applyBorder="1"/>
    <xf numFmtId="2" fontId="209" fillId="0" borderId="47" xfId="0" applyNumberFormat="1" applyFont="1" applyBorder="1" applyAlignment="1">
      <alignment horizontal="right" vertical="center"/>
    </xf>
    <xf numFmtId="2" fontId="216" fillId="0" borderId="37" xfId="0" applyNumberFormat="1" applyFont="1" applyBorder="1"/>
    <xf numFmtId="2" fontId="214" fillId="0" borderId="37" xfId="0" applyNumberFormat="1" applyFont="1" applyBorder="1" applyAlignment="1">
      <alignment horizontal="right" vertical="center"/>
    </xf>
    <xf numFmtId="2" fontId="208" fillId="0" borderId="2" xfId="0" applyNumberFormat="1" applyFont="1" applyBorder="1" applyAlignment="1">
      <alignment horizontal="right"/>
    </xf>
    <xf numFmtId="2" fontId="215" fillId="0" borderId="2" xfId="0" applyNumberFormat="1" applyFont="1" applyBorder="1" applyAlignment="1">
      <alignment horizontal="right" vertical="center"/>
    </xf>
    <xf numFmtId="2" fontId="208" fillId="0" borderId="1" xfId="0" applyNumberFormat="1" applyFont="1" applyBorder="1" applyAlignment="1">
      <alignment horizontal="right"/>
    </xf>
    <xf numFmtId="2" fontId="208" fillId="0" borderId="15" xfId="0" applyNumberFormat="1" applyFont="1" applyBorder="1" applyAlignment="1">
      <alignment horizontal="right"/>
    </xf>
    <xf numFmtId="2" fontId="215" fillId="0" borderId="15" xfId="0" applyNumberFormat="1" applyFont="1" applyBorder="1" applyAlignment="1">
      <alignment horizontal="right" vertical="center"/>
    </xf>
    <xf numFmtId="2" fontId="208" fillId="0" borderId="37" xfId="0" applyNumberFormat="1" applyFont="1" applyBorder="1" applyAlignment="1">
      <alignment horizontal="right"/>
    </xf>
    <xf numFmtId="2" fontId="215" fillId="0" borderId="37" xfId="0" applyNumberFormat="1" applyFont="1" applyBorder="1" applyAlignment="1">
      <alignment horizontal="right" vertical="center"/>
    </xf>
    <xf numFmtId="2" fontId="209" fillId="0" borderId="37" xfId="0" applyNumberFormat="1" applyFont="1" applyBorder="1" applyAlignment="1">
      <alignment horizontal="right" vertical="center"/>
    </xf>
    <xf numFmtId="2" fontId="131" fillId="0" borderId="2" xfId="0" applyNumberFormat="1" applyFont="1" applyBorder="1"/>
    <xf numFmtId="2" fontId="131" fillId="0" borderId="2" xfId="0" applyNumberFormat="1" applyFont="1" applyBorder="1" applyAlignment="1">
      <alignment horizontal="right" vertical="center"/>
    </xf>
    <xf numFmtId="2" fontId="216" fillId="0" borderId="1" xfId="0" applyNumberFormat="1" applyFont="1" applyBorder="1" applyAlignment="1">
      <alignment horizontal="left"/>
    </xf>
    <xf numFmtId="2" fontId="218" fillId="0" borderId="1" xfId="0" applyNumberFormat="1" applyFont="1" applyBorder="1" applyAlignment="1">
      <alignment horizontal="right"/>
    </xf>
    <xf numFmtId="2" fontId="213" fillId="0" borderId="1" xfId="0" applyNumberFormat="1" applyFont="1" applyBorder="1" applyAlignment="1">
      <alignment horizontal="right"/>
    </xf>
    <xf numFmtId="2" fontId="218" fillId="0" borderId="15" xfId="0" applyNumberFormat="1" applyFont="1" applyBorder="1" applyAlignment="1">
      <alignment horizontal="right"/>
    </xf>
    <xf numFmtId="2" fontId="218" fillId="0" borderId="47" xfId="0" applyNumberFormat="1" applyFont="1" applyBorder="1"/>
    <xf numFmtId="2" fontId="218" fillId="0" borderId="37" xfId="0" applyNumberFormat="1" applyFont="1" applyBorder="1"/>
    <xf numFmtId="2" fontId="213" fillId="0" borderId="2" xfId="0" applyNumberFormat="1" applyFont="1" applyBorder="1"/>
    <xf numFmtId="2" fontId="214" fillId="0" borderId="2" xfId="0" applyNumberFormat="1" applyFont="1" applyBorder="1" applyAlignment="1">
      <alignment horizontal="right" vertical="center"/>
    </xf>
    <xf numFmtId="2" fontId="218" fillId="0" borderId="15" xfId="0" applyNumberFormat="1" applyFont="1" applyBorder="1"/>
    <xf numFmtId="2" fontId="199" fillId="0" borderId="48" xfId="0" applyNumberFormat="1" applyFont="1" applyBorder="1"/>
    <xf numFmtId="2" fontId="200" fillId="0" borderId="48" xfId="0" applyNumberFormat="1" applyFont="1" applyBorder="1"/>
    <xf numFmtId="2" fontId="202" fillId="0" borderId="48" xfId="0" applyNumberFormat="1" applyFont="1" applyBorder="1"/>
    <xf numFmtId="2" fontId="206" fillId="0" borderId="48" xfId="0" applyNumberFormat="1" applyFont="1" applyBorder="1"/>
    <xf numFmtId="2" fontId="201" fillId="0" borderId="48" xfId="0" applyNumberFormat="1" applyFont="1" applyBorder="1"/>
    <xf numFmtId="2" fontId="218" fillId="0" borderId="48" xfId="0" applyNumberFormat="1" applyFont="1" applyBorder="1"/>
    <xf numFmtId="2" fontId="209" fillId="0" borderId="48" xfId="0" applyNumberFormat="1" applyFont="1" applyBorder="1" applyAlignment="1">
      <alignment horizontal="right" vertical="center"/>
    </xf>
    <xf numFmtId="2" fontId="200" fillId="0" borderId="49" xfId="0" applyNumberFormat="1" applyFont="1" applyBorder="1"/>
    <xf numFmtId="2" fontId="201" fillId="0" borderId="1" xfId="0" applyNumberFormat="1" applyFont="1" applyBorder="1"/>
    <xf numFmtId="2" fontId="200" fillId="0" borderId="32" xfId="0" applyNumberFormat="1" applyFont="1" applyBorder="1"/>
    <xf numFmtId="2" fontId="201" fillId="0" borderId="15" xfId="0" applyNumberFormat="1" applyFont="1" applyBorder="1"/>
    <xf numFmtId="2" fontId="200" fillId="0" borderId="50" xfId="0" applyNumberFormat="1" applyFont="1" applyBorder="1"/>
    <xf numFmtId="2" fontId="218" fillId="0" borderId="35" xfId="0" applyNumberFormat="1" applyFont="1" applyBorder="1"/>
    <xf numFmtId="2" fontId="209" fillId="0" borderId="35" xfId="0" applyNumberFormat="1" applyFont="1" applyBorder="1" applyAlignment="1">
      <alignment horizontal="right" vertical="center"/>
    </xf>
    <xf numFmtId="2" fontId="210" fillId="0" borderId="35" xfId="0" applyNumberFormat="1" applyFont="1" applyBorder="1"/>
    <xf numFmtId="2" fontId="134" fillId="0" borderId="35" xfId="0" applyNumberFormat="1" applyFont="1" applyBorder="1"/>
    <xf numFmtId="2" fontId="200" fillId="0" borderId="36" xfId="0" applyNumberFormat="1" applyFont="1" applyBorder="1"/>
    <xf numFmtId="2" fontId="197" fillId="0" borderId="2" xfId="0" applyNumberFormat="1" applyFont="1" applyBorder="1"/>
    <xf numFmtId="2" fontId="134" fillId="0" borderId="2" xfId="0" applyNumberFormat="1" applyFont="1" applyBorder="1"/>
    <xf numFmtId="2" fontId="163" fillId="0" borderId="1" xfId="0" applyNumberFormat="1" applyFont="1" applyBorder="1"/>
    <xf numFmtId="2" fontId="210" fillId="0" borderId="1" xfId="0" applyNumberFormat="1" applyFont="1" applyBorder="1"/>
    <xf numFmtId="2" fontId="213" fillId="0" borderId="0" xfId="0" applyNumberFormat="1" applyFont="1"/>
    <xf numFmtId="2" fontId="214" fillId="0" borderId="0" xfId="0" applyNumberFormat="1" applyFont="1" applyAlignment="1">
      <alignment horizontal="right" vertical="center"/>
    </xf>
    <xf numFmtId="2" fontId="131" fillId="0" borderId="0" xfId="0" applyNumberFormat="1" applyFont="1" applyAlignment="1">
      <alignment horizontal="right"/>
    </xf>
    <xf numFmtId="2" fontId="201" fillId="0" borderId="51" xfId="0" applyNumberFormat="1" applyFont="1" applyBorder="1"/>
    <xf numFmtId="2" fontId="201" fillId="0" borderId="6" xfId="0" applyNumberFormat="1" applyFont="1" applyBorder="1"/>
    <xf numFmtId="2" fontId="201" fillId="0" borderId="52" xfId="0" applyNumberFormat="1" applyFont="1" applyBorder="1"/>
    <xf numFmtId="2" fontId="201" fillId="0" borderId="34" xfId="0" applyNumberFormat="1" applyFont="1" applyBorder="1"/>
    <xf numFmtId="2" fontId="131" fillId="0" borderId="7" xfId="0" applyNumberFormat="1" applyFont="1" applyBorder="1"/>
    <xf numFmtId="2" fontId="131" fillId="0" borderId="6" xfId="0" applyNumberFormat="1" applyFont="1" applyBorder="1"/>
    <xf numFmtId="0" fontId="201" fillId="17" borderId="47" xfId="0" applyFont="1" applyFill="1" applyBorder="1" applyAlignment="1">
      <alignment horizontal="center"/>
    </xf>
    <xf numFmtId="0" fontId="201" fillId="17" borderId="38" xfId="0" applyFont="1" applyFill="1" applyBorder="1" applyAlignment="1">
      <alignment horizontal="center" vertical="center"/>
    </xf>
    <xf numFmtId="0" fontId="0" fillId="0" borderId="15" xfId="0" applyBorder="1"/>
    <xf numFmtId="0" fontId="131" fillId="0" borderId="15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19" fillId="35" borderId="1" xfId="0" applyFont="1" applyFill="1" applyBorder="1" applyAlignment="1">
      <alignment horizontal="center"/>
    </xf>
    <xf numFmtId="0" fontId="17" fillId="0" borderId="6" xfId="0" applyFont="1" applyBorder="1" applyAlignment="1" applyProtection="1">
      <alignment horizontal="center"/>
      <protection locked="0"/>
    </xf>
    <xf numFmtId="0" fontId="182" fillId="0" borderId="1" xfId="0" applyFont="1" applyBorder="1"/>
    <xf numFmtId="1" fontId="182" fillId="0" borderId="1" xfId="0" applyNumberFormat="1" applyFont="1" applyBorder="1"/>
    <xf numFmtId="0" fontId="160" fillId="0" borderId="1" xfId="0" applyFont="1" applyBorder="1" applyAlignment="1">
      <alignment horizontal="center" vertical="center"/>
    </xf>
    <xf numFmtId="0" fontId="220" fillId="41" borderId="24" xfId="0" applyFont="1" applyFill="1" applyBorder="1"/>
    <xf numFmtId="0" fontId="162" fillId="0" borderId="0" xfId="0" applyFont="1" applyAlignment="1">
      <alignment horizontal="center" vertical="center"/>
    </xf>
    <xf numFmtId="0" fontId="182" fillId="0" borderId="2" xfId="0" applyFont="1" applyBorder="1"/>
    <xf numFmtId="165" fontId="131" fillId="0" borderId="1" xfId="0" applyNumberFormat="1" applyFont="1" applyBorder="1" applyAlignment="1">
      <alignment horizontal="center"/>
    </xf>
    <xf numFmtId="0" fontId="221" fillId="18" borderId="5" xfId="0" applyFont="1" applyFill="1" applyBorder="1" applyAlignment="1">
      <alignment horizontal="left" vertical="center"/>
    </xf>
    <xf numFmtId="0" fontId="222" fillId="18" borderId="5" xfId="0" applyFont="1" applyFill="1" applyBorder="1" applyAlignment="1">
      <alignment horizontal="left" vertical="center"/>
    </xf>
    <xf numFmtId="2" fontId="161" fillId="0" borderId="1" xfId="0" applyNumberFormat="1" applyFont="1" applyBorder="1" applyAlignment="1">
      <alignment horizontal="right" vertical="center"/>
    </xf>
    <xf numFmtId="2" fontId="223" fillId="41" borderId="6" xfId="0" applyNumberFormat="1" applyFont="1" applyFill="1" applyBorder="1" applyAlignment="1">
      <alignment horizontal="right" vertical="center"/>
    </xf>
    <xf numFmtId="2" fontId="224" fillId="18" borderId="6" xfId="0" applyNumberFormat="1" applyFont="1" applyFill="1" applyBorder="1" applyAlignment="1">
      <alignment horizontal="right" vertical="center"/>
    </xf>
    <xf numFmtId="2" fontId="136" fillId="0" borderId="1" xfId="3" applyNumberFormat="1" applyFont="1" applyBorder="1" applyAlignment="1">
      <alignment horizontal="right" vertical="center"/>
    </xf>
    <xf numFmtId="2" fontId="136" fillId="0" borderId="15" xfId="3" applyNumberFormat="1" applyFont="1" applyBorder="1" applyAlignment="1">
      <alignment horizontal="right" vertical="center"/>
    </xf>
    <xf numFmtId="2" fontId="225" fillId="41" borderId="6" xfId="0" applyNumberFormat="1" applyFont="1" applyFill="1" applyBorder="1" applyAlignment="1">
      <alignment horizontal="right" vertical="center"/>
    </xf>
    <xf numFmtId="2" fontId="136" fillId="0" borderId="2" xfId="0" applyNumberFormat="1" applyFont="1" applyBorder="1" applyAlignment="1">
      <alignment horizontal="right" vertical="center"/>
    </xf>
    <xf numFmtId="2" fontId="226" fillId="35" borderId="6" xfId="0" applyNumberFormat="1" applyFont="1" applyFill="1" applyBorder="1" applyAlignment="1">
      <alignment horizontal="right" vertical="center"/>
    </xf>
    <xf numFmtId="2" fontId="136" fillId="0" borderId="1" xfId="0" applyNumberFormat="1" applyFont="1" applyBorder="1" applyAlignment="1">
      <alignment horizontal="right" vertical="center"/>
    </xf>
    <xf numFmtId="2" fontId="224" fillId="18" borderId="14" xfId="0" applyNumberFormat="1" applyFont="1" applyFill="1" applyBorder="1" applyAlignment="1">
      <alignment horizontal="right" vertical="center"/>
    </xf>
    <xf numFmtId="0" fontId="4" fillId="14" borderId="11" xfId="0" applyFont="1" applyFill="1" applyBorder="1" applyAlignment="1">
      <alignment horizontal="center" vertical="center"/>
    </xf>
    <xf numFmtId="1" fontId="1" fillId="0" borderId="2" xfId="3" applyNumberFormat="1" applyFont="1" applyBorder="1" applyAlignment="1">
      <alignment horizontal="center" vertical="center"/>
    </xf>
    <xf numFmtId="1" fontId="1" fillId="0" borderId="1" xfId="3" applyNumberFormat="1" applyFont="1" applyBorder="1" applyAlignment="1">
      <alignment horizontal="center" vertical="center"/>
    </xf>
    <xf numFmtId="3" fontId="131" fillId="0" borderId="0" xfId="0" applyNumberFormat="1" applyFont="1"/>
    <xf numFmtId="3" fontId="131" fillId="0" borderId="7" xfId="0" applyNumberFormat="1" applyFont="1" applyBorder="1"/>
    <xf numFmtId="3" fontId="1" fillId="0" borderId="1" xfId="3" applyNumberFormat="1" applyFont="1" applyBorder="1" applyAlignment="1">
      <alignment horizontal="center" vertical="center"/>
    </xf>
    <xf numFmtId="0" fontId="227" fillId="0" borderId="0" xfId="0" applyFont="1" applyAlignment="1">
      <alignment vertical="center"/>
    </xf>
    <xf numFmtId="0" fontId="228" fillId="0" borderId="0" xfId="0" applyFont="1" applyAlignment="1">
      <alignment vertical="center"/>
    </xf>
    <xf numFmtId="0" fontId="4" fillId="42" borderId="33" xfId="0" applyFont="1" applyFill="1" applyBorder="1" applyAlignment="1">
      <alignment horizontal="center" vertical="center" wrapText="1"/>
    </xf>
    <xf numFmtId="0" fontId="7" fillId="18" borderId="1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7" fillId="28" borderId="0" xfId="0" applyFont="1" applyFill="1" applyAlignment="1">
      <alignment horizontal="center" vertical="center"/>
    </xf>
    <xf numFmtId="0" fontId="4" fillId="42" borderId="31" xfId="0" applyFont="1" applyFill="1" applyBorder="1" applyAlignment="1">
      <alignment horizontal="center" vertical="center" wrapText="1"/>
    </xf>
    <xf numFmtId="0" fontId="142" fillId="18" borderId="32" xfId="0" applyFont="1" applyFill="1" applyBorder="1" applyAlignment="1">
      <alignment horizontal="center" vertical="center"/>
    </xf>
    <xf numFmtId="0" fontId="142" fillId="7" borderId="32" xfId="0" applyFont="1" applyFill="1" applyBorder="1" applyAlignment="1">
      <alignment horizontal="center" vertical="center"/>
    </xf>
    <xf numFmtId="0" fontId="144" fillId="11" borderId="32" xfId="0" applyFont="1" applyFill="1" applyBorder="1" applyAlignment="1">
      <alignment horizontal="center" vertical="center"/>
    </xf>
    <xf numFmtId="0" fontId="146" fillId="11" borderId="53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144" fillId="11" borderId="49" xfId="0" applyFont="1" applyFill="1" applyBorder="1" applyAlignment="1">
      <alignment horizontal="center" vertical="center"/>
    </xf>
    <xf numFmtId="0" fontId="185" fillId="0" borderId="0" xfId="0" applyFont="1" applyAlignment="1">
      <alignment horizontal="center" wrapText="1"/>
    </xf>
    <xf numFmtId="2" fontId="131" fillId="0" borderId="52" xfId="0" applyNumberFormat="1" applyFont="1" applyBorder="1"/>
    <xf numFmtId="2" fontId="159" fillId="0" borderId="15" xfId="0" applyNumberFormat="1" applyFont="1" applyBorder="1"/>
    <xf numFmtId="0" fontId="229" fillId="26" borderId="0" xfId="0" applyFont="1" applyFill="1"/>
    <xf numFmtId="2" fontId="190" fillId="7" borderId="0" xfId="0" applyNumberFormat="1" applyFont="1" applyFill="1"/>
    <xf numFmtId="2" fontId="190" fillId="0" borderId="15" xfId="0" applyNumberFormat="1" applyFont="1" applyBorder="1"/>
    <xf numFmtId="2" fontId="198" fillId="9" borderId="0" xfId="0" applyNumberFormat="1" applyFont="1" applyFill="1"/>
    <xf numFmtId="2" fontId="198" fillId="0" borderId="15" xfId="0" applyNumberFormat="1" applyFont="1" applyBorder="1"/>
    <xf numFmtId="2" fontId="191" fillId="9" borderId="0" xfId="0" applyNumberFormat="1" applyFont="1" applyFill="1"/>
    <xf numFmtId="0" fontId="17" fillId="0" borderId="15" xfId="0" applyFont="1" applyBorder="1"/>
    <xf numFmtId="165" fontId="131" fillId="0" borderId="15" xfId="0" applyNumberFormat="1" applyFont="1" applyBorder="1" applyAlignment="1">
      <alignment horizontal="center"/>
    </xf>
    <xf numFmtId="165" fontId="131" fillId="0" borderId="15" xfId="0" applyNumberFormat="1" applyFont="1" applyBorder="1" applyAlignment="1">
      <alignment horizontal="right"/>
    </xf>
    <xf numFmtId="0" fontId="131" fillId="0" borderId="15" xfId="0" applyFont="1" applyBorder="1" applyAlignment="1">
      <alignment horizontal="center"/>
    </xf>
    <xf numFmtId="2" fontId="196" fillId="0" borderId="15" xfId="0" applyNumberFormat="1" applyFont="1" applyBorder="1"/>
    <xf numFmtId="0" fontId="6" fillId="30" borderId="0" xfId="0" applyFont="1" applyFill="1"/>
    <xf numFmtId="0" fontId="230" fillId="14" borderId="0" xfId="0" applyFont="1" applyFill="1"/>
    <xf numFmtId="2" fontId="159" fillId="14" borderId="0" xfId="0" applyNumberFormat="1" applyFont="1" applyFill="1"/>
    <xf numFmtId="2" fontId="190" fillId="14" borderId="0" xfId="0" applyNumberFormat="1" applyFont="1" applyFill="1"/>
    <xf numFmtId="2" fontId="191" fillId="14" borderId="0" xfId="0" applyNumberFormat="1" applyFont="1" applyFill="1"/>
    <xf numFmtId="2" fontId="196" fillId="14" borderId="0" xfId="0" applyNumberFormat="1" applyFont="1" applyFill="1"/>
    <xf numFmtId="2" fontId="195" fillId="0" borderId="15" xfId="0" applyNumberFormat="1" applyFont="1" applyBorder="1"/>
    <xf numFmtId="0" fontId="231" fillId="43" borderId="0" xfId="0" applyFont="1" applyFill="1"/>
    <xf numFmtId="0" fontId="232" fillId="7" borderId="0" xfId="0" applyFont="1" applyFill="1"/>
    <xf numFmtId="2" fontId="190" fillId="27" borderId="0" xfId="0" applyNumberFormat="1" applyFont="1" applyFill="1"/>
    <xf numFmtId="2" fontId="205" fillId="0" borderId="15" xfId="0" applyNumberFormat="1" applyFont="1" applyBorder="1" applyAlignment="1">
      <alignment horizontal="right"/>
    </xf>
    <xf numFmtId="2" fontId="197" fillId="0" borderId="15" xfId="0" applyNumberFormat="1" applyFont="1" applyBorder="1"/>
    <xf numFmtId="2" fontId="163" fillId="0" borderId="15" xfId="0" applyNumberFormat="1" applyFont="1" applyBorder="1"/>
    <xf numFmtId="0" fontId="233" fillId="10" borderId="0" xfId="0" applyFont="1" applyFill="1"/>
    <xf numFmtId="2" fontId="159" fillId="10" borderId="0" xfId="0" applyNumberFormat="1" applyFont="1" applyFill="1"/>
    <xf numFmtId="2" fontId="190" fillId="10" borderId="0" xfId="0" applyNumberFormat="1" applyFont="1" applyFill="1"/>
    <xf numFmtId="2" fontId="191" fillId="10" borderId="0" xfId="0" applyNumberFormat="1" applyFont="1" applyFill="1"/>
    <xf numFmtId="2" fontId="196" fillId="10" borderId="0" xfId="0" applyNumberFormat="1" applyFont="1" applyFill="1"/>
    <xf numFmtId="2" fontId="195" fillId="10" borderId="0" xfId="0" applyNumberFormat="1" applyFont="1" applyFill="1"/>
    <xf numFmtId="2" fontId="213" fillId="10" borderId="0" xfId="0" applyNumberFormat="1" applyFont="1" applyFill="1"/>
    <xf numFmtId="2" fontId="214" fillId="10" borderId="0" xfId="0" applyNumberFormat="1" applyFont="1" applyFill="1" applyAlignment="1">
      <alignment horizontal="right" vertical="center"/>
    </xf>
    <xf numFmtId="2" fontId="194" fillId="10" borderId="0" xfId="0" applyNumberFormat="1" applyFont="1" applyFill="1"/>
    <xf numFmtId="0" fontId="234" fillId="44" borderId="0" xfId="0" applyFont="1" applyFill="1"/>
    <xf numFmtId="2" fontId="201" fillId="44" borderId="0" xfId="0" applyNumberFormat="1" applyFont="1" applyFill="1" applyAlignment="1">
      <alignment horizontal="left"/>
    </xf>
    <xf numFmtId="2" fontId="159" fillId="44" borderId="0" xfId="0" applyNumberFormat="1" applyFont="1" applyFill="1"/>
    <xf numFmtId="2" fontId="190" fillId="44" borderId="0" xfId="0" applyNumberFormat="1" applyFont="1" applyFill="1"/>
    <xf numFmtId="2" fontId="191" fillId="44" borderId="0" xfId="0" applyNumberFormat="1" applyFont="1" applyFill="1"/>
    <xf numFmtId="2" fontId="196" fillId="44" borderId="0" xfId="0" applyNumberFormat="1" applyFont="1" applyFill="1"/>
    <xf numFmtId="2" fontId="195" fillId="44" borderId="0" xfId="0" applyNumberFormat="1" applyFont="1" applyFill="1"/>
    <xf numFmtId="2" fontId="213" fillId="44" borderId="0" xfId="0" applyNumberFormat="1" applyFont="1" applyFill="1"/>
    <xf numFmtId="2" fontId="214" fillId="44" borderId="0" xfId="0" applyNumberFormat="1" applyFont="1" applyFill="1" applyAlignment="1">
      <alignment horizontal="right" vertical="center"/>
    </xf>
    <xf numFmtId="2" fontId="194" fillId="44" borderId="0" xfId="0" applyNumberFormat="1" applyFont="1" applyFill="1"/>
    <xf numFmtId="2" fontId="197" fillId="44" borderId="0" xfId="0" applyNumberFormat="1" applyFont="1" applyFill="1"/>
    <xf numFmtId="0" fontId="235" fillId="11" borderId="0" xfId="0" applyFont="1" applyFill="1"/>
    <xf numFmtId="2" fontId="159" fillId="11" borderId="0" xfId="0" applyNumberFormat="1" applyFont="1" applyFill="1"/>
    <xf numFmtId="2" fontId="190" fillId="11" borderId="0" xfId="0" applyNumberFormat="1" applyFont="1" applyFill="1"/>
    <xf numFmtId="2" fontId="191" fillId="11" borderId="0" xfId="0" applyNumberFormat="1" applyFont="1" applyFill="1"/>
    <xf numFmtId="2" fontId="196" fillId="11" borderId="0" xfId="0" applyNumberFormat="1" applyFont="1" applyFill="1"/>
    <xf numFmtId="2" fontId="195" fillId="11" borderId="0" xfId="0" applyNumberFormat="1" applyFont="1" applyFill="1"/>
    <xf numFmtId="2" fontId="213" fillId="11" borderId="0" xfId="0" applyNumberFormat="1" applyFont="1" applyFill="1"/>
    <xf numFmtId="2" fontId="214" fillId="11" borderId="0" xfId="0" applyNumberFormat="1" applyFont="1" applyFill="1" applyAlignment="1">
      <alignment horizontal="right" vertical="center"/>
    </xf>
    <xf numFmtId="2" fontId="194" fillId="11" borderId="0" xfId="0" applyNumberFormat="1" applyFont="1" applyFill="1"/>
    <xf numFmtId="2" fontId="197" fillId="11" borderId="0" xfId="0" applyNumberFormat="1" applyFont="1" applyFill="1"/>
    <xf numFmtId="0" fontId="236" fillId="10" borderId="0" xfId="0" applyFont="1" applyFill="1"/>
    <xf numFmtId="0" fontId="236" fillId="44" borderId="0" xfId="0" applyFont="1" applyFill="1"/>
    <xf numFmtId="0" fontId="236" fillId="11" borderId="0" xfId="0" applyFont="1" applyFill="1"/>
    <xf numFmtId="0" fontId="236" fillId="27" borderId="0" xfId="0" applyFont="1" applyFill="1"/>
    <xf numFmtId="0" fontId="237" fillId="22" borderId="0" xfId="0" applyFont="1" applyFill="1"/>
    <xf numFmtId="0" fontId="238" fillId="9" borderId="0" xfId="0" applyFont="1" applyFill="1"/>
    <xf numFmtId="0" fontId="239" fillId="7" borderId="0" xfId="0" applyFont="1" applyFill="1"/>
    <xf numFmtId="0" fontId="236" fillId="30" borderId="0" xfId="0" applyFont="1" applyFill="1"/>
    <xf numFmtId="0" fontId="236" fillId="26" borderId="0" xfId="0" applyFont="1" applyFill="1"/>
    <xf numFmtId="0" fontId="236" fillId="7" borderId="0" xfId="0" applyFont="1" applyFill="1"/>
    <xf numFmtId="0" fontId="236" fillId="9" borderId="0" xfId="0" applyFont="1" applyFill="1"/>
    <xf numFmtId="0" fontId="236" fillId="43" borderId="0" xfId="0" applyFont="1" applyFill="1"/>
    <xf numFmtId="0" fontId="236" fillId="14" borderId="0" xfId="0" applyFont="1" applyFill="1"/>
    <xf numFmtId="0" fontId="236" fillId="22" borderId="0" xfId="0" applyFont="1" applyFill="1"/>
    <xf numFmtId="165" fontId="240" fillId="0" borderId="1" xfId="0" applyNumberFormat="1" applyFont="1" applyBorder="1" applyAlignment="1">
      <alignment horizontal="center"/>
    </xf>
    <xf numFmtId="0" fontId="162" fillId="0" borderId="5" xfId="0" applyFont="1" applyBorder="1" applyAlignment="1">
      <alignment horizontal="left" vertical="center"/>
    </xf>
    <xf numFmtId="0" fontId="49" fillId="45" borderId="1" xfId="0" applyFont="1" applyFill="1" applyBorder="1" applyAlignment="1">
      <alignment horizontal="left"/>
    </xf>
    <xf numFmtId="0" fontId="162" fillId="45" borderId="1" xfId="0" applyFont="1" applyFill="1" applyBorder="1" applyAlignment="1">
      <alignment horizontal="center" vertical="center"/>
    </xf>
    <xf numFmtId="165" fontId="240" fillId="45" borderId="1" xfId="0" applyNumberFormat="1" applyFont="1" applyFill="1" applyBorder="1" applyAlignment="1">
      <alignment horizontal="center"/>
    </xf>
    <xf numFmtId="0" fontId="241" fillId="0" borderId="0" xfId="0" applyFont="1" applyAlignment="1">
      <alignment horizontal="center"/>
    </xf>
    <xf numFmtId="1" fontId="146" fillId="0" borderId="0" xfId="0" applyNumberFormat="1" applyFont="1" applyAlignment="1">
      <alignment horizontal="center" vertical="center"/>
    </xf>
    <xf numFmtId="1" fontId="242" fillId="14" borderId="11" xfId="0" applyNumberFormat="1" applyFont="1" applyFill="1" applyBorder="1" applyAlignment="1">
      <alignment horizontal="center" vertical="center"/>
    </xf>
    <xf numFmtId="0" fontId="52" fillId="17" borderId="5" xfId="0" applyFont="1" applyFill="1" applyBorder="1" applyAlignment="1">
      <alignment horizontal="right" vertical="center"/>
    </xf>
    <xf numFmtId="0" fontId="52" fillId="17" borderId="6" xfId="0" applyFont="1" applyFill="1" applyBorder="1" applyAlignment="1">
      <alignment horizontal="right" vertical="center"/>
    </xf>
    <xf numFmtId="0" fontId="52" fillId="18" borderId="5" xfId="0" applyFont="1" applyFill="1" applyBorder="1" applyAlignment="1">
      <alignment horizontal="right" vertical="center"/>
    </xf>
    <xf numFmtId="0" fontId="52" fillId="18" borderId="6" xfId="0" applyFont="1" applyFill="1" applyBorder="1" applyAlignment="1">
      <alignment horizontal="right" vertical="center"/>
    </xf>
    <xf numFmtId="0" fontId="7" fillId="4" borderId="5" xfId="0" applyFont="1" applyFill="1" applyBorder="1" applyAlignment="1">
      <alignment horizontal="left" vertical="center"/>
    </xf>
    <xf numFmtId="0" fontId="7" fillId="4" borderId="6" xfId="0" applyFont="1" applyFill="1" applyBorder="1" applyAlignment="1">
      <alignment horizontal="left" vertical="center"/>
    </xf>
    <xf numFmtId="0" fontId="7" fillId="38" borderId="5" xfId="0" applyFont="1" applyFill="1" applyBorder="1" applyAlignment="1">
      <alignment horizontal="left" vertical="center"/>
    </xf>
    <xf numFmtId="0" fontId="7" fillId="38" borderId="6" xfId="0" applyFont="1" applyFill="1" applyBorder="1" applyAlignment="1">
      <alignment horizontal="left" vertical="center"/>
    </xf>
    <xf numFmtId="0" fontId="52" fillId="15" borderId="5" xfId="0" applyFont="1" applyFill="1" applyBorder="1" applyAlignment="1">
      <alignment horizontal="right" vertical="center"/>
    </xf>
    <xf numFmtId="0" fontId="52" fillId="15" borderId="6" xfId="0" applyFont="1" applyFill="1" applyBorder="1" applyAlignment="1">
      <alignment horizontal="right" vertical="center"/>
    </xf>
    <xf numFmtId="0" fontId="52" fillId="10" borderId="5" xfId="0" applyFont="1" applyFill="1" applyBorder="1" applyAlignment="1">
      <alignment horizontal="right" vertical="center"/>
    </xf>
    <xf numFmtId="0" fontId="52" fillId="10" borderId="6" xfId="0" applyFont="1" applyFill="1" applyBorder="1" applyAlignment="1">
      <alignment horizontal="right" vertical="center"/>
    </xf>
    <xf numFmtId="0" fontId="7" fillId="9" borderId="5" xfId="0" applyFont="1" applyFill="1" applyBorder="1" applyAlignment="1">
      <alignment horizontal="left" vertical="center"/>
    </xf>
    <xf numFmtId="0" fontId="7" fillId="9" borderId="6" xfId="0" applyFont="1" applyFill="1" applyBorder="1" applyAlignment="1">
      <alignment horizontal="left" vertical="center"/>
    </xf>
    <xf numFmtId="0" fontId="7" fillId="5" borderId="5" xfId="0" applyFont="1" applyFill="1" applyBorder="1" applyAlignment="1">
      <alignment horizontal="left" vertical="center"/>
    </xf>
    <xf numFmtId="0" fontId="7" fillId="5" borderId="6" xfId="0" applyFont="1" applyFill="1" applyBorder="1" applyAlignment="1">
      <alignment horizontal="left" vertical="center"/>
    </xf>
    <xf numFmtId="0" fontId="142" fillId="43" borderId="12" xfId="0" applyFont="1" applyFill="1" applyBorder="1" applyAlignment="1">
      <alignment horizontal="center" vertical="center"/>
    </xf>
    <xf numFmtId="0" fontId="142" fillId="6" borderId="12" xfId="0" applyFont="1" applyFill="1" applyBorder="1" applyAlignment="1">
      <alignment horizontal="center" vertical="center"/>
    </xf>
    <xf numFmtId="0" fontId="144" fillId="11" borderId="54" xfId="0" applyFont="1" applyFill="1" applyBorder="1" applyAlignment="1">
      <alignment horizontal="center" vertical="center"/>
    </xf>
    <xf numFmtId="0" fontId="243" fillId="10" borderId="25" xfId="0" applyFont="1" applyFill="1" applyBorder="1" applyAlignment="1">
      <alignment vertical="center" wrapText="1"/>
    </xf>
    <xf numFmtId="0" fontId="243" fillId="28" borderId="0" xfId="0" applyFont="1" applyFill="1" applyAlignment="1">
      <alignment vertical="center" wrapText="1"/>
    </xf>
    <xf numFmtId="0" fontId="138" fillId="4" borderId="5" xfId="0" applyFont="1" applyFill="1" applyBorder="1" applyAlignment="1">
      <alignment vertical="center"/>
    </xf>
    <xf numFmtId="0" fontId="138" fillId="5" borderId="5" xfId="0" applyFont="1" applyFill="1" applyBorder="1" applyAlignment="1">
      <alignment vertical="center"/>
    </xf>
    <xf numFmtId="0" fontId="244" fillId="0" borderId="0" xfId="0" applyFont="1" applyAlignment="1">
      <alignment horizontal="center" vertical="center"/>
    </xf>
    <xf numFmtId="49" fontId="0" fillId="0" borderId="0" xfId="0" applyNumberFormat="1" applyAlignment="1">
      <alignment horizontal="right"/>
    </xf>
    <xf numFmtId="0" fontId="243" fillId="10" borderId="11" xfId="0" applyFont="1" applyFill="1" applyBorder="1" applyAlignment="1">
      <alignment horizontal="center" vertical="center" wrapText="1"/>
    </xf>
    <xf numFmtId="0" fontId="56" fillId="0" borderId="1" xfId="0" applyFont="1" applyBorder="1" applyAlignment="1">
      <alignment horizontal="left" vertical="center"/>
    </xf>
    <xf numFmtId="0" fontId="0" fillId="0" borderId="83" xfId="0" applyBorder="1"/>
    <xf numFmtId="0" fontId="245" fillId="0" borderId="1" xfId="0" applyFont="1" applyBorder="1" applyAlignment="1">
      <alignment horizontal="left" vertical="center"/>
    </xf>
    <xf numFmtId="0" fontId="56" fillId="7" borderId="1" xfId="0" applyFont="1" applyFill="1" applyBorder="1" applyAlignment="1">
      <alignment horizontal="left" vertical="center"/>
    </xf>
    <xf numFmtId="164" fontId="17" fillId="7" borderId="1" xfId="3" applyNumberFormat="1" applyFont="1" applyFill="1" applyBorder="1" applyAlignment="1">
      <alignment horizontal="center" vertical="center"/>
    </xf>
    <xf numFmtId="0" fontId="158" fillId="0" borderId="0" xfId="0" applyFont="1" applyAlignment="1">
      <alignment horizontal="center" vertical="center"/>
    </xf>
    <xf numFmtId="0" fontId="246" fillId="0" borderId="1" xfId="0" applyFont="1" applyBorder="1" applyAlignment="1">
      <alignment horizontal="left" vertical="center"/>
    </xf>
    <xf numFmtId="164" fontId="246" fillId="0" borderId="1" xfId="3" applyNumberFormat="1" applyFont="1" applyBorder="1" applyAlignment="1">
      <alignment horizontal="center"/>
    </xf>
    <xf numFmtId="164" fontId="2" fillId="0" borderId="1" xfId="3" applyNumberFormat="1" applyFont="1" applyBorder="1" applyAlignment="1">
      <alignment horizontal="center"/>
    </xf>
    <xf numFmtId="0" fontId="60" fillId="0" borderId="1" xfId="0" applyFont="1" applyBorder="1"/>
    <xf numFmtId="0" fontId="60" fillId="0" borderId="1" xfId="0" applyFont="1" applyBorder="1" applyAlignment="1">
      <alignment wrapText="1"/>
    </xf>
    <xf numFmtId="0" fontId="17" fillId="0" borderId="6" xfId="0" applyFont="1" applyBorder="1" applyAlignment="1">
      <alignment horizontal="center"/>
    </xf>
    <xf numFmtId="2" fontId="1" fillId="28" borderId="12" xfId="0" applyNumberFormat="1" applyFont="1" applyFill="1" applyBorder="1" applyAlignment="1">
      <alignment horizontal="center"/>
    </xf>
    <xf numFmtId="2" fontId="1" fillId="15" borderId="12" xfId="0" applyNumberFormat="1" applyFont="1" applyFill="1" applyBorder="1" applyAlignment="1">
      <alignment horizontal="center"/>
    </xf>
    <xf numFmtId="0" fontId="60" fillId="0" borderId="5" xfId="0" applyFont="1" applyBorder="1"/>
    <xf numFmtId="1" fontId="158" fillId="0" borderId="0" xfId="0" applyNumberFormat="1" applyFont="1" applyAlignment="1">
      <alignment horizontal="center" vertical="center"/>
    </xf>
    <xf numFmtId="1" fontId="0" fillId="13" borderId="0" xfId="0" applyNumberFormat="1" applyFill="1" applyAlignment="1">
      <alignment horizontal="right"/>
    </xf>
    <xf numFmtId="1" fontId="182" fillId="15" borderId="0" xfId="0" applyNumberFormat="1" applyFont="1" applyFill="1"/>
    <xf numFmtId="1" fontId="0" fillId="15" borderId="0" xfId="0" applyNumberFormat="1" applyFill="1"/>
    <xf numFmtId="1" fontId="0" fillId="7" borderId="0" xfId="0" applyNumberFormat="1" applyFill="1"/>
    <xf numFmtId="1" fontId="161" fillId="0" borderId="0" xfId="0" applyNumberFormat="1" applyFont="1"/>
    <xf numFmtId="0" fontId="2" fillId="46" borderId="2" xfId="0" applyFont="1" applyFill="1" applyBorder="1" applyAlignment="1">
      <alignment horizontal="center" vertical="center"/>
    </xf>
    <xf numFmtId="0" fontId="17" fillId="46" borderId="1" xfId="0" applyFont="1" applyFill="1" applyBorder="1" applyAlignment="1">
      <alignment horizontal="left" vertical="center"/>
    </xf>
    <xf numFmtId="164" fontId="17" fillId="46" borderId="1" xfId="3" applyNumberFormat="1" applyFont="1" applyFill="1" applyBorder="1" applyAlignment="1">
      <alignment horizontal="center" vertical="center"/>
    </xf>
    <xf numFmtId="2" fontId="2" fillId="46" borderId="1" xfId="0" applyNumberFormat="1" applyFont="1" applyFill="1" applyBorder="1"/>
    <xf numFmtId="0" fontId="2" fillId="46" borderId="0" xfId="0" applyFont="1" applyFill="1"/>
    <xf numFmtId="0" fontId="131" fillId="46" borderId="1" xfId="0" applyFont="1" applyFill="1" applyBorder="1"/>
    <xf numFmtId="0" fontId="17" fillId="46" borderId="1" xfId="0" applyFont="1" applyFill="1" applyBorder="1" applyAlignment="1">
      <alignment horizontal="left"/>
    </xf>
    <xf numFmtId="0" fontId="17" fillId="46" borderId="1" xfId="0" applyFont="1" applyFill="1" applyBorder="1"/>
    <xf numFmtId="0" fontId="2" fillId="46" borderId="1" xfId="0" applyFont="1" applyFill="1" applyBorder="1" applyAlignment="1">
      <alignment horizontal="left" vertical="center"/>
    </xf>
    <xf numFmtId="0" fontId="56" fillId="46" borderId="1" xfId="0" applyFont="1" applyFill="1" applyBorder="1" applyAlignment="1">
      <alignment horizontal="left" vertical="center"/>
    </xf>
    <xf numFmtId="0" fontId="17" fillId="46" borderId="1" xfId="0" applyFont="1" applyFill="1" applyBorder="1" applyAlignment="1">
      <alignment horizontal="justify" vertical="top" wrapText="1"/>
    </xf>
    <xf numFmtId="0" fontId="0" fillId="46" borderId="0" xfId="0" applyFill="1"/>
    <xf numFmtId="164" fontId="2" fillId="46" borderId="1" xfId="3" applyNumberFormat="1" applyFont="1" applyFill="1" applyBorder="1" applyAlignment="1">
      <alignment horizontal="center"/>
    </xf>
    <xf numFmtId="0" fontId="17" fillId="46" borderId="5" xfId="0" applyFont="1" applyFill="1" applyBorder="1" applyAlignment="1">
      <alignment horizontal="left" vertical="center"/>
    </xf>
    <xf numFmtId="0" fontId="60" fillId="46" borderId="1" xfId="0" applyFont="1" applyFill="1" applyBorder="1"/>
    <xf numFmtId="0" fontId="131" fillId="46" borderId="1" xfId="0" applyFont="1" applyFill="1" applyBorder="1" applyAlignment="1">
      <alignment horizontal="center"/>
    </xf>
    <xf numFmtId="0" fontId="60" fillId="46" borderId="1" xfId="0" applyFont="1" applyFill="1" applyBorder="1" applyAlignment="1">
      <alignment wrapText="1"/>
    </xf>
    <xf numFmtId="0" fontId="17" fillId="46" borderId="6" xfId="0" applyFont="1" applyFill="1" applyBorder="1" applyAlignment="1">
      <alignment horizontal="center"/>
    </xf>
    <xf numFmtId="0" fontId="162" fillId="4" borderId="1" xfId="0" applyFont="1" applyFill="1" applyBorder="1" applyAlignment="1">
      <alignment horizontal="center" vertical="center"/>
    </xf>
    <xf numFmtId="0" fontId="17" fillId="4" borderId="1" xfId="0" applyFont="1" applyFill="1" applyBorder="1"/>
    <xf numFmtId="165" fontId="131" fillId="4" borderId="1" xfId="0" applyNumberFormat="1" applyFont="1" applyFill="1" applyBorder="1" applyAlignment="1">
      <alignment horizontal="center"/>
    </xf>
    <xf numFmtId="0" fontId="136" fillId="4" borderId="0" xfId="0" applyFont="1" applyFill="1"/>
    <xf numFmtId="0" fontId="0" fillId="4" borderId="0" xfId="0" applyFill="1"/>
    <xf numFmtId="0" fontId="17" fillId="4" borderId="5" xfId="0" applyFont="1" applyFill="1" applyBorder="1"/>
    <xf numFmtId="0" fontId="131" fillId="4" borderId="1" xfId="0" applyFont="1" applyFill="1" applyBorder="1"/>
    <xf numFmtId="0" fontId="17" fillId="4" borderId="1" xfId="0" applyFont="1" applyFill="1" applyBorder="1" applyAlignment="1">
      <alignment horizontal="left"/>
    </xf>
    <xf numFmtId="0" fontId="160" fillId="4" borderId="1" xfId="0" applyFont="1" applyFill="1" applyBorder="1" applyAlignment="1">
      <alignment horizontal="center" vertical="center"/>
    </xf>
    <xf numFmtId="0" fontId="19" fillId="4" borderId="1" xfId="0" applyFont="1" applyFill="1" applyBorder="1" applyAlignment="1">
      <alignment horizontal="left"/>
    </xf>
    <xf numFmtId="165" fontId="240" fillId="4" borderId="1" xfId="0" applyNumberFormat="1" applyFont="1" applyFill="1" applyBorder="1" applyAlignment="1">
      <alignment horizontal="center"/>
    </xf>
    <xf numFmtId="0" fontId="160" fillId="28" borderId="1" xfId="0" applyFont="1" applyFill="1" applyBorder="1" applyAlignment="1">
      <alignment horizontal="center" vertical="center"/>
    </xf>
    <xf numFmtId="0" fontId="17" fillId="28" borderId="1" xfId="0" applyFont="1" applyFill="1" applyBorder="1"/>
    <xf numFmtId="165" fontId="131" fillId="28" borderId="1" xfId="0" applyNumberFormat="1" applyFont="1" applyFill="1" applyBorder="1" applyAlignment="1">
      <alignment horizontal="center"/>
    </xf>
    <xf numFmtId="0" fontId="131" fillId="28" borderId="1" xfId="0" applyFont="1" applyFill="1" applyBorder="1"/>
    <xf numFmtId="0" fontId="17" fillId="28" borderId="1" xfId="0" applyFont="1" applyFill="1" applyBorder="1" applyAlignment="1">
      <alignment horizontal="left"/>
    </xf>
    <xf numFmtId="2" fontId="6" fillId="0" borderId="1" xfId="0" applyNumberFormat="1" applyFont="1" applyBorder="1" applyAlignment="1">
      <alignment horizontal="center"/>
    </xf>
    <xf numFmtId="2" fontId="6" fillId="4" borderId="1" xfId="0" applyNumberFormat="1" applyFont="1" applyFill="1" applyBorder="1" applyAlignment="1">
      <alignment horizontal="center"/>
    </xf>
    <xf numFmtId="2" fontId="6" fillId="28" borderId="1" xfId="0" applyNumberFormat="1" applyFont="1" applyFill="1" applyBorder="1" applyAlignment="1">
      <alignment horizontal="center"/>
    </xf>
    <xf numFmtId="2" fontId="19" fillId="4" borderId="1" xfId="0" applyNumberFormat="1" applyFont="1" applyFill="1" applyBorder="1" applyAlignment="1">
      <alignment horizontal="center"/>
    </xf>
    <xf numFmtId="2" fontId="19" fillId="45" borderId="1" xfId="0" applyNumberFormat="1" applyFont="1" applyFill="1" applyBorder="1" applyAlignment="1">
      <alignment horizontal="center"/>
    </xf>
    <xf numFmtId="0" fontId="161" fillId="0" borderId="0" xfId="0" applyFont="1" applyAlignment="1">
      <alignment horizontal="center" vertical="center"/>
    </xf>
    <xf numFmtId="0" fontId="161" fillId="0" borderId="0" xfId="0" applyFont="1" applyAlignment="1">
      <alignment horizontal="left" vertical="center"/>
    </xf>
    <xf numFmtId="164" fontId="161" fillId="0" borderId="0" xfId="3" applyNumberFormat="1" applyFont="1" applyAlignment="1">
      <alignment horizontal="center" vertical="center"/>
    </xf>
    <xf numFmtId="0" fontId="219" fillId="0" borderId="1" xfId="0" applyFont="1" applyBorder="1"/>
    <xf numFmtId="0" fontId="17" fillId="0" borderId="1" xfId="0" applyFont="1" applyBorder="1" applyAlignment="1">
      <alignment horizontal="center" vertical="center"/>
    </xf>
    <xf numFmtId="165" fontId="131" fillId="0" borderId="0" xfId="0" applyNumberFormat="1" applyFont="1" applyAlignment="1">
      <alignment horizontal="center"/>
    </xf>
    <xf numFmtId="2" fontId="136" fillId="0" borderId="0" xfId="0" applyNumberFormat="1" applyFont="1" applyAlignment="1">
      <alignment horizontal="right" vertical="center"/>
    </xf>
    <xf numFmtId="0" fontId="239" fillId="27" borderId="0" xfId="0" applyFont="1" applyFill="1"/>
    <xf numFmtId="2" fontId="148" fillId="15" borderId="1" xfId="0" applyNumberFormat="1" applyFont="1" applyFill="1" applyBorder="1"/>
    <xf numFmtId="2" fontId="133" fillId="15" borderId="1" xfId="0" applyNumberFormat="1" applyFont="1" applyFill="1" applyBorder="1"/>
    <xf numFmtId="165" fontId="17" fillId="0" borderId="1" xfId="0" applyNumberFormat="1" applyFont="1" applyBorder="1" applyAlignment="1">
      <alignment horizontal="center"/>
    </xf>
    <xf numFmtId="2" fontId="219" fillId="0" borderId="1" xfId="0" applyNumberFormat="1" applyFont="1" applyBorder="1" applyAlignment="1">
      <alignment horizontal="right" vertical="center"/>
    </xf>
    <xf numFmtId="0" fontId="0" fillId="47" borderId="0" xfId="0" applyFill="1"/>
    <xf numFmtId="1" fontId="142" fillId="7" borderId="2" xfId="0" applyNumberFormat="1" applyFont="1" applyFill="1" applyBorder="1" applyAlignment="1">
      <alignment horizontal="center" vertical="center"/>
    </xf>
    <xf numFmtId="0" fontId="174" fillId="0" borderId="0" xfId="0" applyFont="1"/>
    <xf numFmtId="0" fontId="174" fillId="8" borderId="0" xfId="0" applyFont="1" applyFill="1"/>
    <xf numFmtId="0" fontId="145" fillId="15" borderId="0" xfId="0" applyFont="1" applyFill="1" applyAlignment="1">
      <alignment horizontal="left" vertical="center"/>
    </xf>
    <xf numFmtId="0" fontId="1" fillId="15" borderId="0" xfId="0" applyFont="1" applyFill="1" applyAlignment="1">
      <alignment horizontal="left" vertical="center"/>
    </xf>
    <xf numFmtId="164" fontId="1" fillId="15" borderId="1" xfId="3" applyNumberFormat="1" applyFont="1" applyFill="1" applyBorder="1" applyAlignment="1">
      <alignment horizontal="center" vertical="center"/>
    </xf>
    <xf numFmtId="164" fontId="1" fillId="0" borderId="5" xfId="3" applyNumberFormat="1" applyFont="1" applyBorder="1" applyAlignment="1">
      <alignment horizontal="center" vertical="center"/>
    </xf>
    <xf numFmtId="0" fontId="2" fillId="21" borderId="1" xfId="0" applyFont="1" applyFill="1" applyBorder="1" applyAlignment="1">
      <alignment horizontal="left" vertical="center"/>
    </xf>
    <xf numFmtId="164" fontId="2" fillId="21" borderId="5" xfId="3" applyNumberFormat="1" applyFont="1" applyFill="1" applyBorder="1" applyAlignment="1">
      <alignment horizontal="center" vertical="center"/>
    </xf>
    <xf numFmtId="2" fontId="2" fillId="21" borderId="1" xfId="0" applyNumberFormat="1" applyFont="1" applyFill="1" applyBorder="1"/>
    <xf numFmtId="0" fontId="2" fillId="21" borderId="0" xfId="0" applyFont="1" applyFill="1"/>
    <xf numFmtId="0" fontId="1" fillId="21" borderId="1" xfId="0" applyFont="1" applyFill="1" applyBorder="1" applyAlignment="1">
      <alignment horizontal="left" vertical="center"/>
    </xf>
    <xf numFmtId="164" fontId="1" fillId="21" borderId="1" xfId="3" applyNumberFormat="1" applyFont="1" applyFill="1" applyBorder="1" applyAlignment="1">
      <alignment horizontal="center" vertical="center"/>
    </xf>
    <xf numFmtId="0" fontId="154" fillId="21" borderId="1" xfId="0" applyFont="1" applyFill="1" applyBorder="1" applyAlignment="1">
      <alignment horizontal="left" vertical="center"/>
    </xf>
    <xf numFmtId="0" fontId="153" fillId="21" borderId="1" xfId="0" applyFont="1" applyFill="1" applyBorder="1" applyAlignment="1">
      <alignment horizontal="left" vertical="center"/>
    </xf>
    <xf numFmtId="0" fontId="0" fillId="21" borderId="1" xfId="0" applyFill="1" applyBorder="1"/>
    <xf numFmtId="0" fontId="2" fillId="21" borderId="2" xfId="0" applyFont="1" applyFill="1" applyBorder="1" applyAlignment="1">
      <alignment horizontal="center" vertical="center"/>
    </xf>
    <xf numFmtId="164" fontId="17" fillId="21" borderId="1" xfId="3" applyNumberFormat="1" applyFont="1" applyFill="1" applyBorder="1" applyAlignment="1">
      <alignment horizontal="center" vertical="center"/>
    </xf>
    <xf numFmtId="2" fontId="2" fillId="21" borderId="2" xfId="0" applyNumberFormat="1" applyFont="1" applyFill="1" applyBorder="1"/>
    <xf numFmtId="0" fontId="161" fillId="21" borderId="1" xfId="0" applyFont="1" applyFill="1" applyBorder="1" applyAlignment="1">
      <alignment horizontal="left" vertical="center"/>
    </xf>
    <xf numFmtId="164" fontId="2" fillId="21" borderId="1" xfId="3" applyNumberFormat="1" applyFont="1" applyFill="1" applyBorder="1" applyAlignment="1">
      <alignment horizontal="center" vertical="center"/>
    </xf>
    <xf numFmtId="0" fontId="2" fillId="21" borderId="1" xfId="0" applyFont="1" applyFill="1" applyBorder="1"/>
    <xf numFmtId="0" fontId="136" fillId="21" borderId="0" xfId="0" applyFont="1" applyFill="1"/>
    <xf numFmtId="2" fontId="236" fillId="0" borderId="1" xfId="0" applyNumberFormat="1" applyFont="1" applyBorder="1"/>
    <xf numFmtId="2" fontId="247" fillId="21" borderId="1" xfId="0" applyNumberFormat="1" applyFont="1" applyFill="1" applyBorder="1"/>
    <xf numFmtId="0" fontId="150" fillId="48" borderId="0" xfId="0" applyFont="1" applyFill="1" applyAlignment="1">
      <alignment horizontal="center" vertical="center"/>
    </xf>
    <xf numFmtId="0" fontId="0" fillId="0" borderId="44" xfId="0" applyBorder="1" applyAlignment="1">
      <alignment horizontal="center"/>
    </xf>
    <xf numFmtId="1" fontId="142" fillId="0" borderId="0" xfId="0" applyNumberFormat="1" applyFont="1" applyAlignment="1">
      <alignment horizontal="center" vertical="center"/>
    </xf>
    <xf numFmtId="0" fontId="138" fillId="4" borderId="2" xfId="0" applyFont="1" applyFill="1" applyBorder="1" applyAlignment="1">
      <alignment horizontal="left" vertical="center"/>
    </xf>
    <xf numFmtId="0" fontId="4" fillId="14" borderId="1" xfId="0" applyFont="1" applyFill="1" applyBorder="1" applyAlignment="1">
      <alignment horizontal="center" vertical="center"/>
    </xf>
    <xf numFmtId="1" fontId="242" fillId="14" borderId="1" xfId="0" applyNumberFormat="1" applyFont="1" applyFill="1" applyBorder="1" applyAlignment="1">
      <alignment horizontal="center" vertical="center"/>
    </xf>
    <xf numFmtId="1" fontId="146" fillId="48" borderId="0" xfId="0" applyNumberFormat="1" applyFont="1" applyFill="1" applyAlignment="1">
      <alignment horizontal="center" vertical="center"/>
    </xf>
    <xf numFmtId="1" fontId="168" fillId="0" borderId="0" xfId="0" applyNumberFormat="1" applyFont="1" applyAlignment="1">
      <alignment horizontal="center"/>
    </xf>
    <xf numFmtId="164" fontId="2" fillId="21" borderId="4" xfId="3" applyNumberFormat="1" applyFont="1" applyFill="1" applyBorder="1" applyAlignment="1">
      <alignment horizontal="center" vertical="center"/>
    </xf>
    <xf numFmtId="2" fontId="2" fillId="0" borderId="15" xfId="0" applyNumberFormat="1" applyFont="1" applyBorder="1"/>
    <xf numFmtId="0" fontId="131" fillId="6" borderId="7" xfId="0" applyFont="1" applyFill="1" applyBorder="1"/>
    <xf numFmtId="0" fontId="143" fillId="0" borderId="0" xfId="0" applyFont="1"/>
    <xf numFmtId="0" fontId="131" fillId="6" borderId="15" xfId="0" applyFont="1" applyFill="1" applyBorder="1"/>
    <xf numFmtId="0" fontId="131" fillId="6" borderId="2" xfId="0" applyFont="1" applyFill="1" applyBorder="1"/>
    <xf numFmtId="0" fontId="2" fillId="7" borderId="2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left" vertical="center"/>
    </xf>
    <xf numFmtId="164" fontId="2" fillId="7" borderId="5" xfId="3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/>
    <xf numFmtId="0" fontId="0" fillId="10" borderId="0" xfId="0" applyFill="1"/>
    <xf numFmtId="0" fontId="186" fillId="41" borderId="24" xfId="0" applyFont="1" applyFill="1" applyBorder="1" applyAlignment="1">
      <alignment horizontal="center" vertical="center"/>
    </xf>
    <xf numFmtId="0" fontId="162" fillId="28" borderId="1" xfId="0" applyFont="1" applyFill="1" applyBorder="1" applyAlignment="1">
      <alignment horizontal="center" vertical="center"/>
    </xf>
    <xf numFmtId="0" fontId="17" fillId="28" borderId="6" xfId="0" applyFont="1" applyFill="1" applyBorder="1" applyAlignment="1" applyProtection="1">
      <alignment horizontal="center"/>
      <protection locked="0"/>
    </xf>
    <xf numFmtId="0" fontId="161" fillId="15" borderId="1" xfId="0" applyFont="1" applyFill="1" applyBorder="1" applyAlignment="1">
      <alignment horizontal="center" vertical="center"/>
    </xf>
    <xf numFmtId="164" fontId="161" fillId="15" borderId="1" xfId="3" applyNumberFormat="1" applyFont="1" applyFill="1" applyBorder="1" applyAlignment="1">
      <alignment horizontal="center" vertical="center"/>
    </xf>
    <xf numFmtId="0" fontId="182" fillId="28" borderId="1" xfId="0" applyFont="1" applyFill="1" applyBorder="1"/>
    <xf numFmtId="1" fontId="182" fillId="28" borderId="1" xfId="0" applyNumberFormat="1" applyFont="1" applyFill="1" applyBorder="1"/>
    <xf numFmtId="0" fontId="161" fillId="15" borderId="1" xfId="0" applyFont="1" applyFill="1" applyBorder="1"/>
    <xf numFmtId="0" fontId="2" fillId="49" borderId="2" xfId="0" applyFont="1" applyFill="1" applyBorder="1" applyAlignment="1">
      <alignment horizontal="center" vertical="center"/>
    </xf>
    <xf numFmtId="2" fontId="2" fillId="49" borderId="1" xfId="0" applyNumberFormat="1" applyFont="1" applyFill="1" applyBorder="1"/>
    <xf numFmtId="0" fontId="2" fillId="25" borderId="2" xfId="0" applyFont="1" applyFill="1" applyBorder="1" applyAlignment="1">
      <alignment horizontal="center" vertical="center"/>
    </xf>
    <xf numFmtId="0" fontId="2" fillId="25" borderId="1" xfId="0" applyFont="1" applyFill="1" applyBorder="1" applyAlignment="1">
      <alignment horizontal="left" vertical="center"/>
    </xf>
    <xf numFmtId="164" fontId="2" fillId="25" borderId="5" xfId="3" applyNumberFormat="1" applyFont="1" applyFill="1" applyBorder="1" applyAlignment="1">
      <alignment horizontal="center" vertical="center"/>
    </xf>
    <xf numFmtId="2" fontId="2" fillId="25" borderId="1" xfId="0" applyNumberFormat="1" applyFont="1" applyFill="1" applyBorder="1"/>
    <xf numFmtId="0" fontId="2" fillId="28" borderId="2" xfId="0" applyFont="1" applyFill="1" applyBorder="1" applyAlignment="1">
      <alignment horizontal="center" vertical="center"/>
    </xf>
    <xf numFmtId="0" fontId="161" fillId="28" borderId="1" xfId="0" applyFont="1" applyFill="1" applyBorder="1" applyAlignment="1">
      <alignment horizontal="left" vertical="center"/>
    </xf>
    <xf numFmtId="164" fontId="161" fillId="28" borderId="1" xfId="3" applyNumberFormat="1" applyFont="1" applyFill="1" applyBorder="1" applyAlignment="1">
      <alignment horizontal="center" vertical="center"/>
    </xf>
    <xf numFmtId="2" fontId="2" fillId="28" borderId="1" xfId="0" applyNumberFormat="1" applyFont="1" applyFill="1" applyBorder="1"/>
    <xf numFmtId="0" fontId="161" fillId="49" borderId="1" xfId="0" applyFont="1" applyFill="1" applyBorder="1" applyAlignment="1">
      <alignment horizontal="left" vertical="center"/>
    </xf>
    <xf numFmtId="164" fontId="161" fillId="49" borderId="1" xfId="3" applyNumberFormat="1" applyFont="1" applyFill="1" applyBorder="1" applyAlignment="1">
      <alignment horizontal="center" vertical="center"/>
    </xf>
    <xf numFmtId="0" fontId="2" fillId="21" borderId="2" xfId="0" applyFont="1" applyFill="1" applyBorder="1" applyAlignment="1">
      <alignment horizontal="left" vertical="center"/>
    </xf>
    <xf numFmtId="0" fontId="1" fillId="49" borderId="1" xfId="0" applyFont="1" applyFill="1" applyBorder="1" applyAlignment="1">
      <alignment horizontal="left" vertical="center"/>
    </xf>
    <xf numFmtId="164" fontId="2" fillId="49" borderId="1" xfId="3" applyNumberFormat="1" applyFont="1" applyFill="1" applyBorder="1" applyAlignment="1">
      <alignment horizontal="center" vertical="center"/>
    </xf>
    <xf numFmtId="0" fontId="2" fillId="49" borderId="0" xfId="0" applyFont="1" applyFill="1"/>
    <xf numFmtId="0" fontId="0" fillId="50" borderId="0" xfId="0" applyFill="1"/>
    <xf numFmtId="0" fontId="248" fillId="35" borderId="5" xfId="0" applyFont="1" applyFill="1" applyBorder="1" applyAlignment="1">
      <alignment vertical="center"/>
    </xf>
    <xf numFmtId="164" fontId="131" fillId="0" borderId="0" xfId="0" applyNumberFormat="1" applyFont="1"/>
    <xf numFmtId="0" fontId="249" fillId="7" borderId="55" xfId="0" applyFont="1" applyFill="1" applyBorder="1" applyAlignment="1">
      <alignment horizontal="center" vertical="center"/>
    </xf>
    <xf numFmtId="0" fontId="249" fillId="6" borderId="12" xfId="0" applyFont="1" applyFill="1" applyBorder="1" applyAlignment="1">
      <alignment horizontal="center" vertical="center"/>
    </xf>
    <xf numFmtId="0" fontId="142" fillId="50" borderId="0" xfId="0" applyFont="1" applyFill="1" applyAlignment="1">
      <alignment vertical="center"/>
    </xf>
    <xf numFmtId="2" fontId="2" fillId="21" borderId="1" xfId="0" applyNumberFormat="1" applyFont="1" applyFill="1" applyBorder="1" applyAlignment="1">
      <alignment horizontal="center"/>
    </xf>
    <xf numFmtId="164" fontId="250" fillId="0" borderId="0" xfId="3" applyNumberFormat="1" applyFont="1" applyAlignment="1">
      <alignment horizontal="center" vertical="center"/>
    </xf>
    <xf numFmtId="164" fontId="250" fillId="8" borderId="0" xfId="3" applyNumberFormat="1" applyFont="1" applyFill="1" applyAlignment="1">
      <alignment horizontal="center" vertical="center"/>
    </xf>
    <xf numFmtId="166" fontId="131" fillId="0" borderId="0" xfId="0" applyNumberFormat="1" applyFont="1"/>
    <xf numFmtId="0" fontId="131" fillId="15" borderId="1" xfId="0" applyFont="1" applyFill="1" applyBorder="1" applyProtection="1">
      <protection hidden="1"/>
    </xf>
    <xf numFmtId="0" fontId="0" fillId="15" borderId="0" xfId="0" applyFill="1" applyAlignment="1">
      <alignment horizontal="center"/>
    </xf>
    <xf numFmtId="0" fontId="0" fillId="0" borderId="5" xfId="0" applyBorder="1"/>
    <xf numFmtId="0" fontId="17" fillId="13" borderId="5" xfId="0" applyFont="1" applyFill="1" applyBorder="1" applyAlignment="1">
      <alignment horizontal="left"/>
    </xf>
    <xf numFmtId="0" fontId="162" fillId="0" borderId="5" xfId="0" applyFont="1" applyBorder="1"/>
    <xf numFmtId="0" fontId="181" fillId="0" borderId="5" xfId="0" applyFont="1" applyBorder="1" applyAlignment="1">
      <alignment horizontal="left" vertical="center"/>
    </xf>
    <xf numFmtId="0" fontId="162" fillId="15" borderId="5" xfId="0" applyFont="1" applyFill="1" applyBorder="1" applyAlignment="1">
      <alignment horizontal="left" vertical="center"/>
    </xf>
    <xf numFmtId="0" fontId="17" fillId="15" borderId="5" xfId="0" applyFont="1" applyFill="1" applyBorder="1" applyAlignment="1">
      <alignment horizontal="left" vertical="center"/>
    </xf>
    <xf numFmtId="0" fontId="161" fillId="0" borderId="5" xfId="0" applyFont="1" applyBorder="1" applyAlignment="1">
      <alignment horizontal="left" vertical="center"/>
    </xf>
    <xf numFmtId="0" fontId="56" fillId="0" borderId="5" xfId="0" applyFont="1" applyBorder="1" applyAlignment="1">
      <alignment horizontal="left" vertical="center"/>
    </xf>
    <xf numFmtId="0" fontId="245" fillId="0" borderId="5" xfId="0" applyFont="1" applyBorder="1" applyAlignment="1">
      <alignment horizontal="left" vertical="center"/>
    </xf>
    <xf numFmtId="0" fontId="56" fillId="7" borderId="5" xfId="0" applyFont="1" applyFill="1" applyBorder="1" applyAlignment="1">
      <alignment horizontal="left" vertical="center"/>
    </xf>
    <xf numFmtId="0" fontId="17" fillId="0" borderId="5" xfId="0" applyFont="1" applyBorder="1" applyAlignment="1">
      <alignment horizontal="justify" vertical="top" wrapText="1"/>
    </xf>
    <xf numFmtId="164" fontId="17" fillId="7" borderId="6" xfId="3" applyNumberFormat="1" applyFont="1" applyFill="1" applyBorder="1" applyAlignment="1">
      <alignment horizontal="center" vertical="center"/>
    </xf>
    <xf numFmtId="164" fontId="17" fillId="15" borderId="6" xfId="3" applyNumberFormat="1" applyFont="1" applyFill="1" applyBorder="1" applyAlignment="1">
      <alignment horizontal="center" vertical="center"/>
    </xf>
    <xf numFmtId="164" fontId="161" fillId="0" borderId="6" xfId="3" applyNumberFormat="1" applyFont="1" applyBorder="1" applyAlignment="1">
      <alignment horizontal="center"/>
    </xf>
    <xf numFmtId="49" fontId="144" fillId="0" borderId="0" xfId="0" applyNumberFormat="1" applyFont="1" applyAlignment="1">
      <alignment horizontal="center" vertical="center"/>
    </xf>
    <xf numFmtId="49" fontId="144" fillId="0" borderId="0" xfId="0" applyNumberFormat="1" applyFont="1" applyAlignment="1">
      <alignment horizontal="center" vertical="center" wrapText="1"/>
    </xf>
    <xf numFmtId="49" fontId="251" fillId="0" borderId="0" xfId="0" applyNumberFormat="1" applyFont="1" applyAlignment="1">
      <alignment vertical="center"/>
    </xf>
    <xf numFmtId="0" fontId="252" fillId="15" borderId="1" xfId="0" applyFont="1" applyFill="1" applyBorder="1" applyAlignment="1">
      <alignment horizontal="left" vertical="center"/>
    </xf>
    <xf numFmtId="164" fontId="253" fillId="0" borderId="1" xfId="3" applyNumberFormat="1" applyFont="1" applyBorder="1" applyAlignment="1">
      <alignment horizontal="center" vertical="center"/>
    </xf>
    <xf numFmtId="0" fontId="253" fillId="15" borderId="1" xfId="0" applyFont="1" applyFill="1" applyBorder="1" applyAlignment="1">
      <alignment horizontal="left" vertical="center"/>
    </xf>
    <xf numFmtId="0" fontId="254" fillId="0" borderId="5" xfId="0" applyFont="1" applyBorder="1"/>
    <xf numFmtId="0" fontId="253" fillId="0" borderId="1" xfId="0" applyFont="1" applyBorder="1" applyAlignment="1">
      <alignment horizontal="left" vertical="center"/>
    </xf>
    <xf numFmtId="0" fontId="253" fillId="13" borderId="1" xfId="0" applyFont="1" applyFill="1" applyBorder="1" applyAlignment="1">
      <alignment horizontal="left"/>
    </xf>
    <xf numFmtId="0" fontId="252" fillId="0" borderId="1" xfId="0" applyFont="1" applyBorder="1"/>
    <xf numFmtId="0" fontId="252" fillId="0" borderId="1" xfId="0" applyFont="1" applyBorder="1" applyAlignment="1">
      <alignment horizontal="left" vertical="center"/>
    </xf>
    <xf numFmtId="0" fontId="255" fillId="0" borderId="1" xfId="0" applyFont="1" applyBorder="1" applyAlignment="1">
      <alignment horizontal="left" vertical="center"/>
    </xf>
    <xf numFmtId="0" fontId="135" fillId="0" borderId="1" xfId="0" applyFont="1" applyBorder="1" applyAlignment="1">
      <alignment horizontal="left" vertical="center"/>
    </xf>
    <xf numFmtId="0" fontId="256" fillId="0" borderId="1" xfId="0" applyFont="1" applyBorder="1" applyAlignment="1">
      <alignment horizontal="left" vertical="center"/>
    </xf>
    <xf numFmtId="0" fontId="135" fillId="7" borderId="1" xfId="0" applyFont="1" applyFill="1" applyBorder="1" applyAlignment="1">
      <alignment horizontal="left" vertical="center"/>
    </xf>
    <xf numFmtId="164" fontId="253" fillId="7" borderId="1" xfId="3" applyNumberFormat="1" applyFont="1" applyFill="1" applyBorder="1" applyAlignment="1">
      <alignment horizontal="center" vertical="center"/>
    </xf>
    <xf numFmtId="0" fontId="253" fillId="0" borderId="1" xfId="0" applyFont="1" applyBorder="1"/>
    <xf numFmtId="0" fontId="253" fillId="0" borderId="1" xfId="0" applyFont="1" applyBorder="1" applyAlignment="1">
      <alignment horizontal="justify" vertical="top" wrapText="1"/>
    </xf>
    <xf numFmtId="43" fontId="253" fillId="0" borderId="1" xfId="3" applyFont="1" applyBorder="1" applyAlignment="1">
      <alignment horizontal="center" vertical="center"/>
    </xf>
    <xf numFmtId="164" fontId="253" fillId="15" borderId="1" xfId="3" applyNumberFormat="1" applyFont="1" applyFill="1" applyBorder="1" applyAlignment="1">
      <alignment horizontal="center" vertical="center"/>
    </xf>
    <xf numFmtId="0" fontId="254" fillId="0" borderId="1" xfId="0" applyFont="1" applyBorder="1"/>
    <xf numFmtId="0" fontId="257" fillId="0" borderId="1" xfId="0" applyFont="1" applyBorder="1" applyAlignment="1">
      <alignment horizontal="center"/>
    </xf>
    <xf numFmtId="49" fontId="251" fillId="28" borderId="0" xfId="0" applyNumberFormat="1" applyFont="1" applyFill="1" applyAlignment="1">
      <alignment vertical="center"/>
    </xf>
    <xf numFmtId="0" fontId="72" fillId="0" borderId="0" xfId="0" applyFont="1" applyAlignment="1">
      <alignment vertical="center"/>
    </xf>
    <xf numFmtId="49" fontId="251" fillId="41" borderId="84" xfId="0" applyNumberFormat="1" applyFont="1" applyFill="1" applyBorder="1" applyAlignment="1">
      <alignment horizontal="center" vertical="center"/>
    </xf>
    <xf numFmtId="49" fontId="251" fillId="41" borderId="85" xfId="0" applyNumberFormat="1" applyFont="1" applyFill="1" applyBorder="1" applyAlignment="1">
      <alignment horizontal="center" vertical="center" wrapText="1"/>
    </xf>
    <xf numFmtId="49" fontId="251" fillId="41" borderId="86" xfId="0" applyNumberFormat="1" applyFont="1" applyFill="1" applyBorder="1" applyAlignment="1">
      <alignment horizontal="center" vertical="center" wrapText="1"/>
    </xf>
    <xf numFmtId="1" fontId="258" fillId="42" borderId="87" xfId="0" applyNumberFormat="1" applyFont="1" applyFill="1" applyBorder="1" applyAlignment="1">
      <alignment horizontal="center" vertical="center"/>
    </xf>
    <xf numFmtId="1" fontId="258" fillId="25" borderId="87" xfId="0" applyNumberFormat="1" applyFont="1" applyFill="1" applyBorder="1" applyAlignment="1">
      <alignment horizontal="center" vertical="center"/>
    </xf>
    <xf numFmtId="1" fontId="258" fillId="42" borderId="88" xfId="0" applyNumberFormat="1" applyFont="1" applyFill="1" applyBorder="1" applyAlignment="1">
      <alignment horizontal="center" vertical="center"/>
    </xf>
    <xf numFmtId="1" fontId="258" fillId="25" borderId="88" xfId="0" applyNumberFormat="1" applyFont="1" applyFill="1" applyBorder="1" applyAlignment="1">
      <alignment horizontal="center" vertical="center"/>
    </xf>
    <xf numFmtId="1" fontId="251" fillId="41" borderId="85" xfId="0" applyNumberFormat="1" applyFont="1" applyFill="1" applyBorder="1" applyAlignment="1">
      <alignment horizontal="center" vertical="center"/>
    </xf>
    <xf numFmtId="1" fontId="251" fillId="41" borderId="85" xfId="0" applyNumberFormat="1" applyFont="1" applyFill="1" applyBorder="1" applyAlignment="1">
      <alignment horizontal="center" vertical="center" wrapText="1"/>
    </xf>
    <xf numFmtId="1" fontId="251" fillId="41" borderId="86" xfId="0" applyNumberFormat="1" applyFont="1" applyFill="1" applyBorder="1" applyAlignment="1">
      <alignment horizontal="center" vertical="center" wrapText="1"/>
    </xf>
    <xf numFmtId="0" fontId="142" fillId="18" borderId="30" xfId="0" applyFont="1" applyFill="1" applyBorder="1" applyAlignment="1">
      <alignment horizontal="center" vertical="center"/>
    </xf>
    <xf numFmtId="0" fontId="254" fillId="0" borderId="24" xfId="0" applyFont="1" applyBorder="1"/>
    <xf numFmtId="0" fontId="254" fillId="0" borderId="6" xfId="0" applyFont="1" applyBorder="1"/>
    <xf numFmtId="0" fontId="17" fillId="15" borderId="15" xfId="0" applyFont="1" applyFill="1" applyBorder="1" applyAlignment="1">
      <alignment horizontal="left" vertical="center"/>
    </xf>
    <xf numFmtId="0" fontId="161" fillId="0" borderId="2" xfId="0" applyFont="1" applyBorder="1" applyAlignment="1">
      <alignment horizontal="left" vertical="center"/>
    </xf>
    <xf numFmtId="0" fontId="2" fillId="46" borderId="1" xfId="0" applyFont="1" applyFill="1" applyBorder="1" applyAlignment="1">
      <alignment horizontal="center" vertical="center"/>
    </xf>
    <xf numFmtId="0" fontId="0" fillId="46" borderId="1" xfId="0" applyFill="1" applyBorder="1"/>
    <xf numFmtId="164" fontId="17" fillId="28" borderId="1" xfId="3" applyNumberFormat="1" applyFont="1" applyFill="1" applyBorder="1" applyAlignment="1">
      <alignment horizontal="center" vertical="center"/>
    </xf>
    <xf numFmtId="0" fontId="2" fillId="28" borderId="1" xfId="0" applyFont="1" applyFill="1" applyBorder="1" applyAlignment="1">
      <alignment horizontal="center" vertical="center"/>
    </xf>
    <xf numFmtId="0" fontId="0" fillId="28" borderId="1" xfId="0" applyFill="1" applyBorder="1"/>
    <xf numFmtId="0" fontId="0" fillId="51" borderId="0" xfId="0" applyFill="1"/>
    <xf numFmtId="0" fontId="161" fillId="26" borderId="0" xfId="0" applyFont="1" applyFill="1" applyAlignment="1">
      <alignment horizontal="center" vertical="center"/>
    </xf>
    <xf numFmtId="0" fontId="162" fillId="26" borderId="0" xfId="0" applyFont="1" applyFill="1" applyAlignment="1">
      <alignment horizontal="center" vertical="center"/>
    </xf>
    <xf numFmtId="0" fontId="161" fillId="26" borderId="0" xfId="0" applyFont="1" applyFill="1"/>
    <xf numFmtId="164" fontId="161" fillId="26" borderId="0" xfId="3" applyNumberFormat="1" applyFont="1" applyFill="1" applyAlignment="1">
      <alignment horizontal="center" vertical="center"/>
    </xf>
    <xf numFmtId="2" fontId="136" fillId="26" borderId="0" xfId="0" applyNumberFormat="1" applyFont="1" applyFill="1" applyAlignment="1">
      <alignment horizontal="right" vertical="center"/>
    </xf>
    <xf numFmtId="0" fontId="219" fillId="26" borderId="1" xfId="0" applyFont="1" applyFill="1" applyBorder="1"/>
    <xf numFmtId="0" fontId="259" fillId="26" borderId="0" xfId="0" applyFont="1" applyFill="1" applyAlignment="1">
      <alignment horizontal="left" vertical="center"/>
    </xf>
    <xf numFmtId="2" fontId="219" fillId="26" borderId="1" xfId="0" applyNumberFormat="1" applyFont="1" applyFill="1" applyBorder="1" applyAlignment="1">
      <alignment horizontal="right" vertical="center"/>
    </xf>
    <xf numFmtId="0" fontId="79" fillId="0" borderId="0" xfId="0" applyFont="1" applyAlignment="1">
      <alignment vertical="center"/>
    </xf>
    <xf numFmtId="0" fontId="201" fillId="0" borderId="0" xfId="0" applyFont="1" applyAlignment="1">
      <alignment vertical="center"/>
    </xf>
    <xf numFmtId="0" fontId="49" fillId="29" borderId="1" xfId="0" applyFont="1" applyFill="1" applyBorder="1" applyAlignment="1">
      <alignment horizontal="left"/>
    </xf>
    <xf numFmtId="165" fontId="240" fillId="29" borderId="1" xfId="0" applyNumberFormat="1" applyFont="1" applyFill="1" applyBorder="1" applyAlignment="1">
      <alignment horizontal="center"/>
    </xf>
    <xf numFmtId="2" fontId="219" fillId="29" borderId="1" xfId="0" applyNumberFormat="1" applyFont="1" applyFill="1" applyBorder="1" applyAlignment="1">
      <alignment horizontal="right" vertical="center"/>
    </xf>
    <xf numFmtId="1" fontId="168" fillId="0" borderId="0" xfId="0" applyNumberFormat="1" applyFont="1"/>
    <xf numFmtId="0" fontId="73" fillId="10" borderId="13" xfId="0" applyFont="1" applyFill="1" applyBorder="1" applyAlignment="1">
      <alignment vertical="center"/>
    </xf>
    <xf numFmtId="0" fontId="73" fillId="10" borderId="43" xfId="0" applyFont="1" applyFill="1" applyBorder="1" applyAlignment="1">
      <alignment vertical="center"/>
    </xf>
    <xf numFmtId="0" fontId="73" fillId="10" borderId="56" xfId="0" applyFont="1" applyFill="1" applyBorder="1" applyAlignment="1">
      <alignment vertical="center"/>
    </xf>
    <xf numFmtId="0" fontId="73" fillId="10" borderId="8" xfId="0" applyFont="1" applyFill="1" applyBorder="1" applyAlignment="1">
      <alignment vertical="center"/>
    </xf>
    <xf numFmtId="0" fontId="73" fillId="10" borderId="44" xfId="0" applyFont="1" applyFill="1" applyBorder="1" applyAlignment="1">
      <alignment vertical="center"/>
    </xf>
    <xf numFmtId="0" fontId="73" fillId="10" borderId="23" xfId="0" applyFont="1" applyFill="1" applyBorder="1" applyAlignment="1">
      <alignment vertical="center"/>
    </xf>
    <xf numFmtId="1" fontId="260" fillId="10" borderId="6" xfId="0" applyNumberFormat="1" applyFont="1" applyFill="1" applyBorder="1" applyAlignment="1">
      <alignment horizontal="center"/>
    </xf>
    <xf numFmtId="0" fontId="144" fillId="11" borderId="38" xfId="0" applyFont="1" applyFill="1" applyBorder="1" applyAlignment="1">
      <alignment horizontal="center" vertical="center"/>
    </xf>
    <xf numFmtId="0" fontId="4" fillId="42" borderId="29" xfId="0" applyFont="1" applyFill="1" applyBorder="1" applyAlignment="1">
      <alignment horizontal="center" vertical="center" wrapText="1"/>
    </xf>
    <xf numFmtId="0" fontId="7" fillId="18" borderId="2" xfId="0" applyFont="1" applyFill="1" applyBorder="1" applyAlignment="1">
      <alignment horizontal="center" vertical="center"/>
    </xf>
    <xf numFmtId="0" fontId="244" fillId="11" borderId="38" xfId="0" applyFont="1" applyFill="1" applyBorder="1" applyAlignment="1">
      <alignment horizontal="center" vertical="center"/>
    </xf>
    <xf numFmtId="1" fontId="261" fillId="42" borderId="1" xfId="0" applyNumberFormat="1" applyFont="1" applyFill="1" applyBorder="1" applyAlignment="1">
      <alignment horizontal="center" vertical="center"/>
    </xf>
    <xf numFmtId="0" fontId="0" fillId="0" borderId="52" xfId="0" applyBorder="1"/>
    <xf numFmtId="0" fontId="0" fillId="0" borderId="26" xfId="0" applyBorder="1"/>
    <xf numFmtId="0" fontId="262" fillId="51" borderId="57" xfId="0" applyFont="1" applyFill="1" applyBorder="1" applyAlignment="1">
      <alignment horizontal="center" vertical="center"/>
    </xf>
    <xf numFmtId="0" fontId="0" fillId="31" borderId="6" xfId="0" applyFill="1" applyBorder="1"/>
    <xf numFmtId="0" fontId="263" fillId="28" borderId="5" xfId="0" applyFont="1" applyFill="1" applyBorder="1"/>
    <xf numFmtId="2" fontId="178" fillId="28" borderId="6" xfId="0" applyNumberFormat="1" applyFont="1" applyFill="1" applyBorder="1"/>
    <xf numFmtId="0" fontId="263" fillId="28" borderId="0" xfId="0" applyFont="1" applyFill="1"/>
    <xf numFmtId="0" fontId="263" fillId="28" borderId="0" xfId="0" applyFont="1" applyFill="1" applyAlignment="1">
      <alignment horizontal="center"/>
    </xf>
    <xf numFmtId="2" fontId="178" fillId="28" borderId="0" xfId="0" applyNumberFormat="1" applyFont="1" applyFill="1"/>
    <xf numFmtId="0" fontId="263" fillId="28" borderId="5" xfId="0" applyFont="1" applyFill="1" applyBorder="1" applyAlignment="1">
      <alignment horizontal="center"/>
    </xf>
    <xf numFmtId="2" fontId="178" fillId="28" borderId="24" xfId="0" applyNumberFormat="1" applyFont="1" applyFill="1" applyBorder="1"/>
    <xf numFmtId="0" fontId="221" fillId="18" borderId="58" xfId="0" applyFont="1" applyFill="1" applyBorder="1" applyAlignment="1">
      <alignment horizontal="left" vertical="center"/>
    </xf>
    <xf numFmtId="0" fontId="221" fillId="18" borderId="4" xfId="0" applyFont="1" applyFill="1" applyBorder="1" applyAlignment="1">
      <alignment horizontal="left" vertical="center"/>
    </xf>
    <xf numFmtId="0" fontId="161" fillId="29" borderId="1" xfId="0" applyFont="1" applyFill="1" applyBorder="1" applyAlignment="1">
      <alignment horizontal="center" vertical="center"/>
    </xf>
    <xf numFmtId="0" fontId="0" fillId="15" borderId="11" xfId="0" applyFill="1" applyBorder="1"/>
    <xf numFmtId="0" fontId="136" fillId="0" borderId="1" xfId="0" applyFont="1" applyBorder="1"/>
    <xf numFmtId="0" fontId="136" fillId="0" borderId="1" xfId="0" applyFont="1" applyBorder="1" applyAlignment="1">
      <alignment horizontal="center"/>
    </xf>
    <xf numFmtId="0" fontId="2" fillId="0" borderId="5" xfId="0" applyFont="1" applyBorder="1"/>
    <xf numFmtId="0" fontId="2" fillId="0" borderId="1" xfId="0" applyFont="1" applyBorder="1" applyAlignment="1">
      <alignment wrapText="1"/>
    </xf>
    <xf numFmtId="0" fontId="2" fillId="0" borderId="6" xfId="0" applyFont="1" applyBorder="1" applyAlignment="1">
      <alignment horizontal="center" vertical="center"/>
    </xf>
    <xf numFmtId="0" fontId="248" fillId="0" borderId="5" xfId="0" applyFont="1" applyBorder="1" applyAlignment="1">
      <alignment vertical="center"/>
    </xf>
    <xf numFmtId="0" fontId="248" fillId="0" borderId="5" xfId="0" applyFont="1" applyBorder="1" applyAlignment="1">
      <alignment horizontal="center"/>
    </xf>
    <xf numFmtId="2" fontId="143" fillId="0" borderId="6" xfId="0" applyNumberFormat="1" applyFont="1" applyBorder="1" applyAlignment="1">
      <alignment horizontal="center"/>
    </xf>
    <xf numFmtId="0" fontId="2" fillId="52" borderId="0" xfId="0" applyFont="1" applyFill="1"/>
    <xf numFmtId="0" fontId="0" fillId="52" borderId="0" xfId="0" applyFill="1"/>
    <xf numFmtId="0" fontId="264" fillId="52" borderId="0" xfId="0" applyFont="1" applyFill="1" applyAlignment="1">
      <alignment horizontal="center" vertical="center" wrapText="1"/>
    </xf>
    <xf numFmtId="0" fontId="146" fillId="52" borderId="0" xfId="0" applyFont="1" applyFill="1" applyAlignment="1">
      <alignment horizontal="center" vertical="center"/>
    </xf>
    <xf numFmtId="0" fontId="152" fillId="52" borderId="0" xfId="0" applyFont="1" applyFill="1" applyAlignment="1">
      <alignment horizontal="center" vertical="center"/>
    </xf>
    <xf numFmtId="0" fontId="138" fillId="52" borderId="0" xfId="0" applyFont="1" applyFill="1" applyAlignment="1">
      <alignment horizontal="center" vertical="center"/>
    </xf>
    <xf numFmtId="0" fontId="131" fillId="52" borderId="0" xfId="0" applyFont="1" applyFill="1"/>
    <xf numFmtId="2" fontId="143" fillId="0" borderId="6" xfId="0" applyNumberFormat="1" applyFont="1" applyBorder="1" applyAlignment="1">
      <alignment horizontal="right" vertical="center"/>
    </xf>
    <xf numFmtId="0" fontId="2" fillId="52" borderId="43" xfId="0" applyFont="1" applyFill="1" applyBorder="1"/>
    <xf numFmtId="0" fontId="0" fillId="0" borderId="58" xfId="0" applyBorder="1"/>
    <xf numFmtId="0" fontId="136" fillId="35" borderId="2" xfId="0" applyFont="1" applyFill="1" applyBorder="1" applyAlignment="1">
      <alignment horizontal="center"/>
    </xf>
    <xf numFmtId="0" fontId="182" fillId="0" borderId="3" xfId="0" applyFont="1" applyBorder="1"/>
    <xf numFmtId="0" fontId="131" fillId="0" borderId="3" xfId="0" applyFont="1" applyBorder="1"/>
    <xf numFmtId="0" fontId="0" fillId="0" borderId="3" xfId="0" applyBorder="1" applyAlignment="1">
      <alignment horizontal="center" vertical="center"/>
    </xf>
    <xf numFmtId="2" fontId="136" fillId="0" borderId="26" xfId="0" applyNumberFormat="1" applyFont="1" applyBorder="1" applyAlignment="1">
      <alignment horizontal="right" vertical="center"/>
    </xf>
    <xf numFmtId="0" fontId="219" fillId="35" borderId="2" xfId="0" applyFont="1" applyFill="1" applyBorder="1" applyAlignment="1">
      <alignment horizontal="center"/>
    </xf>
    <xf numFmtId="0" fontId="136" fillId="35" borderId="2" xfId="0" applyFont="1" applyFill="1" applyBorder="1" applyAlignment="1">
      <alignment horizontal="center" vertical="center"/>
    </xf>
    <xf numFmtId="2" fontId="136" fillId="35" borderId="2" xfId="0" applyNumberFormat="1" applyFont="1" applyFill="1" applyBorder="1" applyAlignment="1">
      <alignment horizontal="center"/>
    </xf>
    <xf numFmtId="0" fontId="0" fillId="6" borderId="0" xfId="0" applyFill="1"/>
    <xf numFmtId="0" fontId="150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58" fillId="0" borderId="0" xfId="0" applyFont="1" applyAlignment="1" applyProtection="1">
      <alignment vertical="center"/>
      <protection locked="0"/>
    </xf>
    <xf numFmtId="0" fontId="139" fillId="0" borderId="0" xfId="0" applyFont="1" applyAlignment="1" applyProtection="1">
      <alignment vertical="center"/>
      <protection locked="0"/>
    </xf>
    <xf numFmtId="0" fontId="131" fillId="0" borderId="0" xfId="0" applyFont="1" applyAlignment="1" applyProtection="1">
      <alignment vertical="center"/>
      <protection locked="0"/>
    </xf>
    <xf numFmtId="0" fontId="158" fillId="0" borderId="0" xfId="0" applyFont="1" applyAlignment="1" applyProtection="1">
      <alignment horizontal="center" vertical="center"/>
      <protection locked="0"/>
    </xf>
    <xf numFmtId="0" fontId="265" fillId="0" borderId="0" xfId="0" applyFont="1" applyAlignment="1" applyProtection="1">
      <alignment vertical="center"/>
      <protection locked="0"/>
    </xf>
    <xf numFmtId="0" fontId="139" fillId="0" borderId="59" xfId="0" applyFont="1" applyBorder="1" applyProtection="1">
      <protection locked="0"/>
    </xf>
    <xf numFmtId="0" fontId="139" fillId="0" borderId="0" xfId="0" applyFont="1" applyProtection="1">
      <protection locked="0"/>
    </xf>
    <xf numFmtId="0" fontId="266" fillId="0" borderId="0" xfId="0" applyFont="1" applyAlignment="1" applyProtection="1">
      <alignment horizontal="center" vertical="center"/>
      <protection locked="0"/>
    </xf>
    <xf numFmtId="0" fontId="133" fillId="0" borderId="0" xfId="0" applyFont="1" applyAlignment="1" applyProtection="1">
      <alignment horizontal="center" vertical="center"/>
      <protection locked="0"/>
    </xf>
    <xf numFmtId="0" fontId="133" fillId="0" borderId="0" xfId="0" applyFont="1" applyAlignment="1" applyProtection="1">
      <alignment vertical="center"/>
      <protection locked="0"/>
    </xf>
    <xf numFmtId="0" fontId="4" fillId="12" borderId="9" xfId="0" applyFont="1" applyFill="1" applyBorder="1" applyAlignment="1" applyProtection="1">
      <alignment horizontal="center" vertical="center"/>
      <protection locked="0"/>
    </xf>
    <xf numFmtId="0" fontId="146" fillId="0" borderId="0" xfId="0" applyFont="1" applyAlignment="1" applyProtection="1">
      <alignment horizontal="center" vertical="center"/>
      <protection locked="0"/>
    </xf>
    <xf numFmtId="0" fontId="4" fillId="12" borderId="60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25" borderId="13" xfId="0" applyFont="1" applyFill="1" applyBorder="1" applyAlignment="1" applyProtection="1">
      <alignment horizontal="center" vertical="center"/>
      <protection locked="0"/>
    </xf>
    <xf numFmtId="0" fontId="4" fillId="14" borderId="11" xfId="0" applyFont="1" applyFill="1" applyBorder="1" applyAlignment="1" applyProtection="1">
      <alignment horizontal="center" vertical="center"/>
      <protection locked="0"/>
    </xf>
    <xf numFmtId="1" fontId="4" fillId="14" borderId="11" xfId="0" applyNumberFormat="1" applyFont="1" applyFill="1" applyBorder="1" applyAlignment="1" applyProtection="1">
      <alignment horizontal="center" vertical="center"/>
      <protection locked="0"/>
    </xf>
    <xf numFmtId="0" fontId="4" fillId="10" borderId="12" xfId="0" applyFont="1" applyFill="1" applyBorder="1" applyAlignment="1" applyProtection="1">
      <alignment horizontal="left" vertical="center"/>
      <protection locked="0"/>
    </xf>
    <xf numFmtId="0" fontId="4" fillId="10" borderId="12" xfId="0" applyFont="1" applyFill="1" applyBorder="1" applyAlignment="1" applyProtection="1">
      <alignment horizontal="center" vertical="center"/>
      <protection locked="0"/>
    </xf>
    <xf numFmtId="0" fontId="140" fillId="0" borderId="0" xfId="0" applyFont="1" applyAlignment="1" applyProtection="1">
      <alignment horizontal="center" vertical="center"/>
      <protection locked="0"/>
    </xf>
    <xf numFmtId="0" fontId="4" fillId="4" borderId="12" xfId="0" applyFont="1" applyFill="1" applyBorder="1" applyAlignment="1" applyProtection="1">
      <alignment horizontal="left" vertical="center"/>
      <protection locked="0"/>
    </xf>
    <xf numFmtId="0" fontId="4" fillId="4" borderId="26" xfId="0" applyFont="1" applyFill="1" applyBorder="1" applyAlignment="1" applyProtection="1">
      <alignment horizontal="center" vertical="center"/>
      <protection locked="0"/>
    </xf>
    <xf numFmtId="0" fontId="4" fillId="4" borderId="61" xfId="0" applyFont="1" applyFill="1" applyBorder="1" applyAlignment="1" applyProtection="1">
      <alignment horizontal="center" vertical="center"/>
      <protection locked="0"/>
    </xf>
    <xf numFmtId="0" fontId="5" fillId="4" borderId="12" xfId="0" applyFont="1" applyFill="1" applyBorder="1" applyAlignment="1" applyProtection="1">
      <alignment vertical="center"/>
      <protection locked="0"/>
    </xf>
    <xf numFmtId="0" fontId="267" fillId="0" borderId="0" xfId="0" applyFont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4" borderId="11" xfId="0" applyFont="1" applyFill="1" applyBorder="1" applyAlignment="1" applyProtection="1">
      <alignment horizontal="left" vertical="center"/>
      <protection locked="0"/>
    </xf>
    <xf numFmtId="0" fontId="149" fillId="0" borderId="0" xfId="0" applyFont="1" applyAlignment="1" applyProtection="1">
      <alignment horizontal="center" vertical="center"/>
      <protection locked="0"/>
    </xf>
    <xf numFmtId="0" fontId="4" fillId="10" borderId="26" xfId="0" applyFont="1" applyFill="1" applyBorder="1" applyAlignment="1" applyProtection="1">
      <alignment horizontal="center" vertical="center"/>
      <protection locked="0"/>
    </xf>
    <xf numFmtId="0" fontId="4" fillId="10" borderId="61" xfId="0" applyFont="1" applyFill="1" applyBorder="1" applyAlignment="1" applyProtection="1">
      <alignment horizontal="center" vertical="center"/>
      <protection locked="0"/>
    </xf>
    <xf numFmtId="0" fontId="268" fillId="4" borderId="13" xfId="0" applyFont="1" applyFill="1" applyBorder="1" applyAlignment="1" applyProtection="1">
      <alignment horizontal="center" vertical="center"/>
      <protection locked="0"/>
    </xf>
    <xf numFmtId="0" fontId="268" fillId="4" borderId="12" xfId="0" applyFont="1" applyFill="1" applyBorder="1" applyAlignment="1" applyProtection="1">
      <alignment horizontal="center" vertical="center"/>
      <protection locked="0"/>
    </xf>
    <xf numFmtId="0" fontId="150" fillId="0" borderId="0" xfId="0" applyFont="1" applyAlignment="1" applyProtection="1">
      <alignment horizontal="center" vertical="center"/>
      <protection locked="0"/>
    </xf>
    <xf numFmtId="0" fontId="4" fillId="4" borderId="12" xfId="0" applyFont="1" applyFill="1" applyBorder="1" applyAlignment="1" applyProtection="1">
      <alignment horizontal="center" vertical="center"/>
      <protection locked="0"/>
    </xf>
    <xf numFmtId="0" fontId="268" fillId="9" borderId="12" xfId="0" applyFont="1" applyFill="1" applyBorder="1" applyAlignment="1" applyProtection="1">
      <alignment horizontal="center" vertical="center"/>
      <protection locked="0"/>
    </xf>
    <xf numFmtId="0" fontId="151" fillId="9" borderId="12" xfId="0" applyFont="1" applyFill="1" applyBorder="1" applyAlignment="1" applyProtection="1">
      <alignment horizontal="center" vertical="center"/>
      <protection locked="0"/>
    </xf>
    <xf numFmtId="0" fontId="4" fillId="12" borderId="8" xfId="0" applyFont="1" applyFill="1" applyBorder="1" applyAlignment="1" applyProtection="1">
      <alignment horizontal="center" vertical="center"/>
      <protection locked="0"/>
    </xf>
    <xf numFmtId="0" fontId="4" fillId="12" borderId="8" xfId="0" applyFont="1" applyFill="1" applyBorder="1" applyAlignment="1" applyProtection="1">
      <alignment horizontal="center" vertical="center" wrapText="1"/>
      <protection locked="0"/>
    </xf>
    <xf numFmtId="0" fontId="4" fillId="12" borderId="62" xfId="0" applyFont="1" applyFill="1" applyBorder="1" applyAlignment="1" applyProtection="1">
      <alignment vertical="center" wrapText="1"/>
      <protection locked="0"/>
    </xf>
    <xf numFmtId="0" fontId="4" fillId="12" borderId="63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 wrapText="1"/>
      <protection locked="0"/>
    </xf>
    <xf numFmtId="0" fontId="4" fillId="25" borderId="8" xfId="0" applyFont="1" applyFill="1" applyBorder="1" applyAlignment="1" applyProtection="1">
      <alignment horizontal="center" vertical="center"/>
      <protection locked="0"/>
    </xf>
    <xf numFmtId="0" fontId="4" fillId="25" borderId="8" xfId="0" applyFont="1" applyFill="1" applyBorder="1" applyAlignment="1" applyProtection="1">
      <alignment horizontal="center" vertical="center" wrapText="1"/>
      <protection locked="0"/>
    </xf>
    <xf numFmtId="0" fontId="4" fillId="25" borderId="62" xfId="0" applyFont="1" applyFill="1" applyBorder="1" applyAlignment="1" applyProtection="1">
      <alignment vertical="center" wrapText="1"/>
      <protection locked="0"/>
    </xf>
    <xf numFmtId="0" fontId="138" fillId="4" borderId="1" xfId="0" applyFont="1" applyFill="1" applyBorder="1" applyAlignment="1" applyProtection="1">
      <alignment horizontal="left" vertical="center"/>
      <protection locked="0"/>
    </xf>
    <xf numFmtId="1" fontId="142" fillId="7" borderId="1" xfId="0" applyNumberFormat="1" applyFont="1" applyFill="1" applyBorder="1" applyAlignment="1" applyProtection="1">
      <alignment horizontal="center" vertical="center"/>
      <protection locked="0"/>
    </xf>
    <xf numFmtId="0" fontId="142" fillId="7" borderId="1" xfId="0" applyFont="1" applyFill="1" applyBorder="1" applyAlignment="1" applyProtection="1">
      <alignment horizontal="center" vertical="center"/>
      <protection locked="0"/>
    </xf>
    <xf numFmtId="0" fontId="142" fillId="23" borderId="1" xfId="0" applyFont="1" applyFill="1" applyBorder="1" applyAlignment="1" applyProtection="1">
      <alignment horizontal="center" vertical="center"/>
      <protection locked="0"/>
    </xf>
    <xf numFmtId="0" fontId="141" fillId="0" borderId="0" xfId="0" applyFont="1" applyAlignment="1" applyProtection="1">
      <alignment horizontal="center" vertical="center"/>
      <protection locked="0"/>
    </xf>
    <xf numFmtId="0" fontId="138" fillId="4" borderId="1" xfId="0" applyFont="1" applyFill="1" applyBorder="1" applyAlignment="1" applyProtection="1">
      <alignment vertical="center"/>
      <protection locked="0"/>
    </xf>
    <xf numFmtId="0" fontId="142" fillId="0" borderId="0" xfId="0" applyFont="1" applyAlignment="1" applyProtection="1">
      <alignment horizontal="center" vertical="center"/>
      <protection locked="0"/>
    </xf>
    <xf numFmtId="0" fontId="138" fillId="4" borderId="10" xfId="0" applyFont="1" applyFill="1" applyBorder="1" applyAlignment="1" applyProtection="1">
      <alignment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138" fillId="4" borderId="53" xfId="0" applyFont="1" applyFill="1" applyBorder="1" applyAlignment="1" applyProtection="1">
      <alignment vertical="center"/>
      <protection locked="0"/>
    </xf>
    <xf numFmtId="0" fontId="142" fillId="31" borderId="48" xfId="0" applyFont="1" applyFill="1" applyBorder="1" applyAlignment="1" applyProtection="1">
      <alignment horizontal="center" vertical="center"/>
      <protection locked="0"/>
    </xf>
    <xf numFmtId="0" fontId="142" fillId="6" borderId="49" xfId="0" applyFont="1" applyFill="1" applyBorder="1" applyAlignment="1" applyProtection="1">
      <alignment horizontal="center" vertical="center"/>
      <protection locked="0"/>
    </xf>
    <xf numFmtId="0" fontId="138" fillId="4" borderId="29" xfId="0" applyFont="1" applyFill="1" applyBorder="1" applyAlignment="1" applyProtection="1">
      <alignment vertical="center"/>
      <protection locked="0"/>
    </xf>
    <xf numFmtId="0" fontId="142" fillId="31" borderId="2" xfId="0" applyFont="1" applyFill="1" applyBorder="1" applyAlignment="1" applyProtection="1">
      <alignment horizontal="center" vertical="center"/>
      <protection locked="0"/>
    </xf>
    <xf numFmtId="0" fontId="142" fillId="6" borderId="30" xfId="0" applyFont="1" applyFill="1" applyBorder="1" applyAlignment="1" applyProtection="1">
      <alignment horizontal="center" vertical="center"/>
      <protection locked="0"/>
    </xf>
    <xf numFmtId="0" fontId="138" fillId="4" borderId="31" xfId="0" applyFont="1" applyFill="1" applyBorder="1" applyAlignment="1" applyProtection="1">
      <alignment vertical="center"/>
      <protection locked="0"/>
    </xf>
    <xf numFmtId="0" fontId="142" fillId="22" borderId="32" xfId="0" applyFont="1" applyFill="1" applyBorder="1" applyAlignment="1" applyProtection="1">
      <alignment horizontal="center" vertical="center"/>
      <protection locked="0"/>
    </xf>
    <xf numFmtId="0" fontId="138" fillId="5" borderId="1" xfId="0" applyFont="1" applyFill="1" applyBorder="1" applyAlignment="1" applyProtection="1">
      <alignment horizontal="left" vertical="center"/>
      <protection locked="0"/>
    </xf>
    <xf numFmtId="0" fontId="138" fillId="5" borderId="1" xfId="0" applyFont="1" applyFill="1" applyBorder="1" applyAlignment="1" applyProtection="1">
      <alignment vertical="center"/>
      <protection locked="0"/>
    </xf>
    <xf numFmtId="0" fontId="138" fillId="5" borderId="9" xfId="0" applyFont="1" applyFill="1" applyBorder="1" applyAlignment="1" applyProtection="1">
      <alignment vertical="center"/>
      <protection locked="0"/>
    </xf>
    <xf numFmtId="0" fontId="2" fillId="0" borderId="0" xfId="0" applyFont="1" applyAlignment="1" applyProtection="1">
      <alignment vertical="center"/>
      <protection locked="0"/>
    </xf>
    <xf numFmtId="0" fontId="138" fillId="5" borderId="31" xfId="0" applyFont="1" applyFill="1" applyBorder="1" applyAlignment="1" applyProtection="1">
      <alignment vertical="center"/>
      <protection locked="0"/>
    </xf>
    <xf numFmtId="0" fontId="142" fillId="31" borderId="1" xfId="0" applyFont="1" applyFill="1" applyBorder="1" applyAlignment="1" applyProtection="1">
      <alignment horizontal="center" vertical="center"/>
      <protection locked="0"/>
    </xf>
    <xf numFmtId="0" fontId="142" fillId="6" borderId="32" xfId="0" applyFont="1" applyFill="1" applyBorder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center" vertical="center"/>
      <protection locked="0"/>
    </xf>
    <xf numFmtId="0" fontId="20" fillId="4" borderId="1" xfId="0" applyFont="1" applyFill="1" applyBorder="1" applyAlignment="1" applyProtection="1">
      <alignment vertical="center"/>
      <protection locked="0"/>
    </xf>
    <xf numFmtId="0" fontId="142" fillId="23" borderId="1" xfId="0" applyFont="1" applyFill="1" applyBorder="1" applyAlignment="1" applyProtection="1">
      <alignment horizontal="center"/>
      <protection locked="0"/>
    </xf>
    <xf numFmtId="0" fontId="20" fillId="0" borderId="1" xfId="0" applyFont="1" applyBorder="1" applyAlignment="1" applyProtection="1">
      <alignment vertical="center"/>
      <protection locked="0"/>
    </xf>
    <xf numFmtId="0" fontId="138" fillId="4" borderId="13" xfId="0" applyFont="1" applyFill="1" applyBorder="1" applyAlignment="1" applyProtection="1">
      <alignment vertical="center"/>
      <protection locked="0"/>
    </xf>
    <xf numFmtId="0" fontId="138" fillId="5" borderId="10" xfId="0" applyFont="1" applyFill="1" applyBorder="1" applyAlignment="1" applyProtection="1">
      <alignment vertical="center"/>
      <protection locked="0"/>
    </xf>
    <xf numFmtId="0" fontId="2" fillId="0" borderId="25" xfId="0" applyFont="1" applyBorder="1" applyAlignment="1" applyProtection="1">
      <alignment vertical="center"/>
      <protection locked="0"/>
    </xf>
    <xf numFmtId="0" fontId="138" fillId="0" borderId="1" xfId="0" applyFont="1" applyBorder="1" applyAlignment="1" applyProtection="1">
      <alignment vertical="center"/>
      <protection locked="0"/>
    </xf>
    <xf numFmtId="0" fontId="138" fillId="4" borderId="8" xfId="0" applyFont="1" applyFill="1" applyBorder="1" applyAlignment="1" applyProtection="1">
      <alignment vertical="center"/>
      <protection locked="0"/>
    </xf>
    <xf numFmtId="0" fontId="227" fillId="0" borderId="0" xfId="0" applyFont="1" applyAlignment="1" applyProtection="1">
      <alignment vertical="center"/>
      <protection locked="0"/>
    </xf>
    <xf numFmtId="0" fontId="148" fillId="0" borderId="1" xfId="0" applyFont="1" applyBorder="1" applyAlignment="1" applyProtection="1">
      <alignment vertical="center"/>
      <protection locked="0"/>
    </xf>
    <xf numFmtId="0" fontId="138" fillId="6" borderId="1" xfId="0" applyFont="1" applyFill="1" applyBorder="1" applyAlignment="1" applyProtection="1">
      <alignment vertical="center"/>
      <protection locked="0"/>
    </xf>
    <xf numFmtId="44" fontId="142" fillId="23" borderId="1" xfId="1" applyFont="1" applyFill="1" applyBorder="1" applyAlignment="1" applyProtection="1">
      <alignment horizontal="center"/>
      <protection locked="0"/>
    </xf>
    <xf numFmtId="0" fontId="228" fillId="0" borderId="0" xfId="0" applyFont="1" applyAlignment="1" applyProtection="1">
      <alignment vertical="center"/>
      <protection locked="0"/>
    </xf>
    <xf numFmtId="0" fontId="138" fillId="6" borderId="15" xfId="0" applyFont="1" applyFill="1" applyBorder="1" applyAlignment="1" applyProtection="1">
      <alignment vertical="center"/>
      <protection locked="0"/>
    </xf>
    <xf numFmtId="44" fontId="142" fillId="23" borderId="15" xfId="1" applyFont="1" applyFill="1" applyBorder="1" applyAlignment="1" applyProtection="1">
      <alignment horizontal="center"/>
      <protection locked="0"/>
    </xf>
    <xf numFmtId="0" fontId="155" fillId="0" borderId="1" xfId="0" applyFont="1" applyBorder="1" applyAlignment="1" applyProtection="1">
      <alignment vertical="center"/>
      <protection locked="0"/>
    </xf>
    <xf numFmtId="0" fontId="143" fillId="0" borderId="0" xfId="0" applyFont="1" applyAlignment="1" applyProtection="1">
      <alignment vertical="center"/>
      <protection locked="0"/>
    </xf>
    <xf numFmtId="0" fontId="138" fillId="4" borderId="9" xfId="0" applyFont="1" applyFill="1" applyBorder="1" applyAlignment="1" applyProtection="1">
      <alignment vertical="center"/>
      <protection locked="0"/>
    </xf>
    <xf numFmtId="0" fontId="138" fillId="5" borderId="33" xfId="0" applyFont="1" applyFill="1" applyBorder="1" applyAlignment="1" applyProtection="1">
      <alignment vertical="center"/>
      <protection locked="0"/>
    </xf>
    <xf numFmtId="0" fontId="142" fillId="31" borderId="35" xfId="0" applyFont="1" applyFill="1" applyBorder="1" applyAlignment="1" applyProtection="1">
      <alignment horizontal="center" vertical="center"/>
      <protection locked="0"/>
    </xf>
    <xf numFmtId="0" fontId="142" fillId="6" borderId="36" xfId="0" applyFont="1" applyFill="1" applyBorder="1" applyAlignment="1" applyProtection="1">
      <alignment horizontal="center" vertical="center"/>
      <protection locked="0"/>
    </xf>
    <xf numFmtId="0" fontId="143" fillId="0" borderId="44" xfId="0" applyFont="1" applyBorder="1" applyAlignment="1" applyProtection="1">
      <alignment vertical="center"/>
      <protection locked="0"/>
    </xf>
    <xf numFmtId="0" fontId="142" fillId="0" borderId="44" xfId="0" applyFont="1" applyBorder="1" applyAlignment="1" applyProtection="1">
      <alignment horizontal="center" vertical="center"/>
      <protection locked="0"/>
    </xf>
    <xf numFmtId="0" fontId="142" fillId="7" borderId="35" xfId="0" applyFont="1" applyFill="1" applyBorder="1" applyAlignment="1" applyProtection="1">
      <alignment horizontal="center" vertical="center"/>
      <protection locked="0"/>
    </xf>
    <xf numFmtId="0" fontId="142" fillId="22" borderId="36" xfId="0" applyFont="1" applyFill="1" applyBorder="1" applyAlignment="1" applyProtection="1">
      <alignment horizontal="center" vertical="center"/>
      <protection locked="0"/>
    </xf>
    <xf numFmtId="0" fontId="138" fillId="5" borderId="13" xfId="0" applyFont="1" applyFill="1" applyBorder="1" applyAlignment="1" applyProtection="1">
      <alignment vertical="center"/>
      <protection locked="0"/>
    </xf>
    <xf numFmtId="0" fontId="142" fillId="23" borderId="15" xfId="0" applyFont="1" applyFill="1" applyBorder="1" applyAlignment="1" applyProtection="1">
      <alignment horizontal="center" vertical="center"/>
      <protection locked="0"/>
    </xf>
    <xf numFmtId="0" fontId="142" fillId="7" borderId="15" xfId="0" applyFont="1" applyFill="1" applyBorder="1" applyAlignment="1" applyProtection="1">
      <alignment horizontal="center" vertical="center"/>
      <protection locked="0"/>
    </xf>
    <xf numFmtId="0" fontId="138" fillId="5" borderId="15" xfId="0" applyFont="1" applyFill="1" applyBorder="1" applyAlignment="1" applyProtection="1">
      <alignment vertical="center"/>
      <protection locked="0"/>
    </xf>
    <xf numFmtId="0" fontId="138" fillId="15" borderId="89" xfId="0" applyFont="1" applyFill="1" applyBorder="1" applyAlignment="1" applyProtection="1">
      <alignment horizontal="center" vertical="center"/>
      <protection locked="0"/>
    </xf>
    <xf numFmtId="0" fontId="158" fillId="0" borderId="9" xfId="0" applyFont="1" applyBorder="1" applyAlignment="1" applyProtection="1">
      <alignment horizontal="center" vertical="center"/>
      <protection locked="0"/>
    </xf>
    <xf numFmtId="0" fontId="183" fillId="0" borderId="25" xfId="0" applyFont="1" applyBorder="1" applyProtection="1">
      <protection locked="0"/>
    </xf>
    <xf numFmtId="0" fontId="269" fillId="0" borderId="0" xfId="0" applyFont="1" applyAlignment="1" applyProtection="1">
      <alignment vertical="center"/>
      <protection locked="0"/>
    </xf>
    <xf numFmtId="0" fontId="144" fillId="11" borderId="11" xfId="0" applyFont="1" applyFill="1" applyBorder="1" applyAlignment="1" applyProtection="1">
      <alignment horizontal="center" vertical="center"/>
      <protection locked="0"/>
    </xf>
    <xf numFmtId="0" fontId="4" fillId="14" borderId="11" xfId="0" applyFont="1" applyFill="1" applyBorder="1" applyAlignment="1" applyProtection="1">
      <alignment horizontal="left" vertical="center"/>
      <protection locked="0"/>
    </xf>
    <xf numFmtId="0" fontId="144" fillId="11" borderId="12" xfId="0" applyFont="1" applyFill="1" applyBorder="1" applyAlignment="1" applyProtection="1">
      <alignment horizontal="center" vertical="center"/>
      <protection locked="0"/>
    </xf>
    <xf numFmtId="0" fontId="144" fillId="11" borderId="56" xfId="0" applyFont="1" applyFill="1" applyBorder="1" applyAlignment="1" applyProtection="1">
      <alignment horizontal="center" vertical="center"/>
      <protection locked="0"/>
    </xf>
    <xf numFmtId="0" fontId="144" fillId="0" borderId="0" xfId="0" applyFont="1" applyAlignment="1" applyProtection="1">
      <alignment horizontal="center" vertical="center"/>
      <protection locked="0"/>
    </xf>
    <xf numFmtId="0" fontId="144" fillId="11" borderId="8" xfId="0" applyFont="1" applyFill="1" applyBorder="1" applyAlignment="1" applyProtection="1">
      <alignment horizontal="center" vertical="center"/>
      <protection locked="0"/>
    </xf>
    <xf numFmtId="0" fontId="144" fillId="11" borderId="23" xfId="0" applyFont="1" applyFill="1" applyBorder="1" applyAlignment="1" applyProtection="1">
      <alignment horizontal="center" vertical="center"/>
      <protection locked="0"/>
    </xf>
    <xf numFmtId="0" fontId="144" fillId="11" borderId="44" xfId="0" applyFont="1" applyFill="1" applyBorder="1" applyAlignment="1" applyProtection="1">
      <alignment horizontal="center" vertical="center"/>
      <protection locked="0"/>
    </xf>
    <xf numFmtId="0" fontId="144" fillId="33" borderId="11" xfId="0" applyFont="1" applyFill="1" applyBorder="1" applyAlignment="1" applyProtection="1">
      <alignment horizontal="center" vertical="center"/>
      <protection locked="0"/>
    </xf>
    <xf numFmtId="0" fontId="144" fillId="33" borderId="25" xfId="0" applyFont="1" applyFill="1" applyBorder="1" applyAlignment="1" applyProtection="1">
      <alignment horizontal="center" vertical="center"/>
      <protection locked="0"/>
    </xf>
    <xf numFmtId="0" fontId="152" fillId="23" borderId="53" xfId="0" applyFont="1" applyFill="1" applyBorder="1" applyAlignment="1" applyProtection="1">
      <alignment horizontal="center" vertical="center"/>
      <protection locked="0"/>
    </xf>
    <xf numFmtId="0" fontId="152" fillId="27" borderId="49" xfId="0" applyFont="1" applyFill="1" applyBorder="1" applyAlignment="1" applyProtection="1">
      <alignment horizontal="center" vertical="center"/>
      <protection locked="0"/>
    </xf>
    <xf numFmtId="0" fontId="152" fillId="21" borderId="53" xfId="0" applyFont="1" applyFill="1" applyBorder="1" applyAlignment="1" applyProtection="1">
      <alignment horizontal="center" vertical="center"/>
      <protection locked="0"/>
    </xf>
    <xf numFmtId="0" fontId="152" fillId="53" borderId="49" xfId="0" applyFont="1" applyFill="1" applyBorder="1" applyAlignment="1" applyProtection="1">
      <alignment horizontal="center" vertical="center"/>
      <protection locked="0"/>
    </xf>
    <xf numFmtId="0" fontId="142" fillId="7" borderId="7" xfId="0" applyFont="1" applyFill="1" applyBorder="1" applyAlignment="1" applyProtection="1">
      <alignment horizontal="center" vertical="center"/>
      <protection locked="0"/>
    </xf>
    <xf numFmtId="0" fontId="142" fillId="23" borderId="2" xfId="0" applyFont="1" applyFill="1" applyBorder="1" applyAlignment="1" applyProtection="1">
      <alignment horizontal="center" vertical="center"/>
      <protection locked="0"/>
    </xf>
    <xf numFmtId="0" fontId="142" fillId="18" borderId="2" xfId="0" applyFont="1" applyFill="1" applyBorder="1" applyAlignment="1" applyProtection="1">
      <alignment horizontal="center" vertical="center"/>
      <protection locked="0"/>
    </xf>
    <xf numFmtId="0" fontId="138" fillId="5" borderId="2" xfId="0" applyFont="1" applyFill="1" applyBorder="1" applyAlignment="1" applyProtection="1">
      <alignment horizontal="left" vertical="center"/>
      <protection locked="0"/>
    </xf>
    <xf numFmtId="0" fontId="142" fillId="7" borderId="6" xfId="0" applyFont="1" applyFill="1" applyBorder="1" applyAlignment="1" applyProtection="1">
      <alignment horizontal="center" vertical="center"/>
      <protection locked="0"/>
    </xf>
    <xf numFmtId="0" fontId="142" fillId="18" borderId="1" xfId="0" applyFont="1" applyFill="1" applyBorder="1" applyAlignment="1" applyProtection="1">
      <alignment horizontal="center" vertical="center"/>
      <protection locked="0"/>
    </xf>
    <xf numFmtId="0" fontId="142" fillId="7" borderId="2" xfId="0" applyFont="1" applyFill="1" applyBorder="1" applyAlignment="1" applyProtection="1">
      <alignment horizontal="center" vertical="center"/>
      <protection locked="0"/>
    </xf>
    <xf numFmtId="0" fontId="138" fillId="17" borderId="10" xfId="0" applyFont="1" applyFill="1" applyBorder="1" applyAlignment="1" applyProtection="1">
      <alignment horizontal="right" vertical="center"/>
      <protection locked="0"/>
    </xf>
    <xf numFmtId="0" fontId="138" fillId="23" borderId="53" xfId="0" applyFont="1" applyFill="1" applyBorder="1" applyAlignment="1" applyProtection="1">
      <alignment horizontal="center" vertical="center"/>
      <protection locked="0"/>
    </xf>
    <xf numFmtId="0" fontId="138" fillId="27" borderId="49" xfId="0" applyFont="1" applyFill="1" applyBorder="1" applyAlignment="1" applyProtection="1">
      <alignment horizontal="center" vertical="center"/>
      <protection locked="0"/>
    </xf>
    <xf numFmtId="0" fontId="138" fillId="21" borderId="53" xfId="0" applyFont="1" applyFill="1" applyBorder="1" applyAlignment="1" applyProtection="1">
      <alignment horizontal="center" vertical="center"/>
      <protection locked="0"/>
    </xf>
    <xf numFmtId="0" fontId="138" fillId="53" borderId="49" xfId="0" applyFont="1" applyFill="1" applyBorder="1" applyAlignment="1" applyProtection="1">
      <alignment horizontal="center" vertical="center"/>
      <protection locked="0"/>
    </xf>
    <xf numFmtId="0" fontId="7" fillId="4" borderId="53" xfId="0" applyFont="1" applyFill="1" applyBorder="1" applyAlignment="1" applyProtection="1">
      <alignment horizontal="left"/>
      <protection locked="0"/>
    </xf>
    <xf numFmtId="0" fontId="138" fillId="16" borderId="1" xfId="0" applyFont="1" applyFill="1" applyBorder="1" applyAlignment="1" applyProtection="1">
      <alignment horizontal="left" vertical="center"/>
      <protection locked="0"/>
    </xf>
    <xf numFmtId="0" fontId="138" fillId="18" borderId="10" xfId="0" applyFont="1" applyFill="1" applyBorder="1" applyAlignment="1" applyProtection="1">
      <alignment horizontal="right" vertical="center"/>
      <protection locked="0"/>
    </xf>
    <xf numFmtId="0" fontId="138" fillId="23" borderId="31" xfId="0" applyFont="1" applyFill="1" applyBorder="1" applyAlignment="1" applyProtection="1">
      <alignment horizontal="center" vertical="center"/>
      <protection locked="0"/>
    </xf>
    <xf numFmtId="0" fontId="138" fillId="27" borderId="32" xfId="0" applyFont="1" applyFill="1" applyBorder="1" applyAlignment="1" applyProtection="1">
      <alignment horizontal="center" vertical="center"/>
      <protection locked="0"/>
    </xf>
    <xf numFmtId="0" fontId="138" fillId="21" borderId="31" xfId="0" applyFont="1" applyFill="1" applyBorder="1" applyAlignment="1" applyProtection="1">
      <alignment horizontal="center" vertical="center"/>
      <protection locked="0"/>
    </xf>
    <xf numFmtId="0" fontId="138" fillId="53" borderId="32" xfId="0" applyFont="1" applyFill="1" applyBorder="1" applyAlignment="1" applyProtection="1">
      <alignment horizontal="center" vertical="center"/>
      <protection locked="0"/>
    </xf>
    <xf numFmtId="0" fontId="7" fillId="38" borderId="31" xfId="0" applyFont="1" applyFill="1" applyBorder="1" applyAlignment="1" applyProtection="1">
      <alignment horizontal="left" vertical="center"/>
      <protection locked="0"/>
    </xf>
    <xf numFmtId="0" fontId="137" fillId="0" borderId="0" xfId="0" applyFont="1" applyAlignment="1" applyProtection="1">
      <alignment vertical="center"/>
      <protection locked="0"/>
    </xf>
    <xf numFmtId="0" fontId="7" fillId="4" borderId="31" xfId="0" applyFont="1" applyFill="1" applyBorder="1" applyAlignment="1" applyProtection="1">
      <alignment horizontal="left" vertical="center"/>
      <protection locked="0"/>
    </xf>
    <xf numFmtId="0" fontId="270" fillId="17" borderId="10" xfId="0" applyFont="1" applyFill="1" applyBorder="1" applyAlignment="1" applyProtection="1">
      <alignment horizontal="right" vertical="center"/>
      <protection locked="0"/>
    </xf>
    <xf numFmtId="9" fontId="142" fillId="7" borderId="6" xfId="0" applyNumberFormat="1" applyFont="1" applyFill="1" applyBorder="1" applyAlignment="1" applyProtection="1">
      <alignment horizontal="center" vertical="center"/>
      <protection locked="0"/>
    </xf>
    <xf numFmtId="0" fontId="270" fillId="18" borderId="10" xfId="0" applyFont="1" applyFill="1" applyBorder="1" applyAlignment="1" applyProtection="1">
      <alignment horizontal="right" vertical="center"/>
      <protection locked="0"/>
    </xf>
    <xf numFmtId="0" fontId="270" fillId="18" borderId="31" xfId="0" applyFont="1" applyFill="1" applyBorder="1" applyAlignment="1" applyProtection="1">
      <alignment horizontal="right" vertical="center"/>
      <protection locked="0"/>
    </xf>
    <xf numFmtId="0" fontId="157" fillId="17" borderId="10" xfId="0" applyFont="1" applyFill="1" applyBorder="1" applyAlignment="1" applyProtection="1">
      <alignment horizontal="center" vertical="center"/>
      <protection locked="0"/>
    </xf>
    <xf numFmtId="0" fontId="157" fillId="17" borderId="31" xfId="0" applyFont="1" applyFill="1" applyBorder="1" applyAlignment="1" applyProtection="1">
      <alignment horizontal="center" vertical="center"/>
      <protection locked="0"/>
    </xf>
    <xf numFmtId="0" fontId="138" fillId="23" borderId="33" xfId="0" applyFont="1" applyFill="1" applyBorder="1" applyAlignment="1" applyProtection="1">
      <alignment horizontal="center" vertical="center"/>
      <protection locked="0"/>
    </xf>
    <xf numFmtId="0" fontId="138" fillId="27" borderId="36" xfId="0" applyFont="1" applyFill="1" applyBorder="1" applyAlignment="1" applyProtection="1">
      <alignment horizontal="center" vertical="center"/>
      <protection locked="0"/>
    </xf>
    <xf numFmtId="0" fontId="138" fillId="21" borderId="33" xfId="0" applyFont="1" applyFill="1" applyBorder="1" applyAlignment="1" applyProtection="1">
      <alignment horizontal="center" vertical="center"/>
      <protection locked="0"/>
    </xf>
    <xf numFmtId="0" fontId="138" fillId="53" borderId="36" xfId="0" applyFont="1" applyFill="1" applyBorder="1" applyAlignment="1" applyProtection="1">
      <alignment horizontal="center" vertical="center"/>
      <protection locked="0"/>
    </xf>
    <xf numFmtId="0" fontId="157" fillId="17" borderId="33" xfId="0" applyFont="1" applyFill="1" applyBorder="1" applyAlignment="1" applyProtection="1">
      <alignment horizontal="center" vertical="center"/>
      <protection locked="0"/>
    </xf>
    <xf numFmtId="0" fontId="158" fillId="0" borderId="0" xfId="0" applyFont="1" applyAlignment="1">
      <alignment vertical="center"/>
    </xf>
    <xf numFmtId="0" fontId="271" fillId="0" borderId="0" xfId="0" applyFont="1" applyAlignment="1">
      <alignment vertical="center"/>
    </xf>
    <xf numFmtId="0" fontId="138" fillId="24" borderId="31" xfId="0" applyFont="1" applyFill="1" applyBorder="1" applyAlignment="1" applyProtection="1">
      <alignment horizontal="left" vertical="center"/>
      <protection locked="0"/>
    </xf>
    <xf numFmtId="0" fontId="272" fillId="0" borderId="0" xfId="0" applyFont="1" applyAlignment="1">
      <alignment vertical="center"/>
    </xf>
    <xf numFmtId="0" fontId="0" fillId="30" borderId="0" xfId="0" applyFill="1" applyProtection="1">
      <protection locked="0"/>
    </xf>
    <xf numFmtId="0" fontId="185" fillId="0" borderId="0" xfId="0" applyFont="1" applyAlignment="1" applyProtection="1">
      <alignment wrapText="1"/>
      <protection locked="0"/>
    </xf>
    <xf numFmtId="0" fontId="0" fillId="28" borderId="0" xfId="0" applyFill="1" applyProtection="1">
      <protection locked="0"/>
    </xf>
    <xf numFmtId="0" fontId="0" fillId="0" borderId="0" xfId="0" applyProtection="1">
      <protection locked="0"/>
    </xf>
    <xf numFmtId="0" fontId="146" fillId="28" borderId="0" xfId="0" applyFont="1" applyFill="1" applyAlignment="1" applyProtection="1">
      <alignment vertical="center"/>
      <protection locked="0"/>
    </xf>
    <xf numFmtId="0" fontId="146" fillId="0" borderId="0" xfId="0" applyFont="1" applyAlignment="1" applyProtection="1">
      <alignment vertical="center"/>
      <protection locked="0"/>
    </xf>
    <xf numFmtId="0" fontId="158" fillId="28" borderId="0" xfId="0" applyFont="1" applyFill="1" applyAlignment="1" applyProtection="1">
      <alignment vertical="center"/>
      <protection locked="0"/>
    </xf>
    <xf numFmtId="0" fontId="144" fillId="11" borderId="64" xfId="0" applyFont="1" applyFill="1" applyBorder="1" applyAlignment="1" applyProtection="1">
      <alignment horizontal="center" vertical="center"/>
      <protection locked="0"/>
    </xf>
    <xf numFmtId="0" fontId="144" fillId="11" borderId="15" xfId="0" applyFont="1" applyFill="1" applyBorder="1" applyAlignment="1" applyProtection="1">
      <alignment horizontal="center" vertical="center"/>
      <protection locked="0"/>
    </xf>
    <xf numFmtId="0" fontId="144" fillId="11" borderId="50" xfId="0" applyFont="1" applyFill="1" applyBorder="1" applyAlignment="1" applyProtection="1">
      <alignment horizontal="center" vertical="center"/>
      <protection locked="0"/>
    </xf>
    <xf numFmtId="0" fontId="140" fillId="28" borderId="0" xfId="0" applyFont="1" applyFill="1" applyAlignment="1" applyProtection="1">
      <alignment horizontal="center" vertical="center"/>
      <protection locked="0"/>
    </xf>
    <xf numFmtId="0" fontId="144" fillId="11" borderId="33" xfId="0" applyFont="1" applyFill="1" applyBorder="1" applyAlignment="1" applyProtection="1">
      <alignment horizontal="center" vertical="center"/>
      <protection locked="0"/>
    </xf>
    <xf numFmtId="0" fontId="144" fillId="11" borderId="35" xfId="0" applyFont="1" applyFill="1" applyBorder="1" applyAlignment="1" applyProtection="1">
      <alignment horizontal="center" vertical="center"/>
      <protection locked="0"/>
    </xf>
    <xf numFmtId="0" fontId="144" fillId="11" borderId="36" xfId="0" applyFont="1" applyFill="1" applyBorder="1" applyAlignment="1" applyProtection="1">
      <alignment horizontal="center" vertical="center"/>
      <protection locked="0"/>
    </xf>
    <xf numFmtId="0" fontId="144" fillId="11" borderId="63" xfId="0" applyFont="1" applyFill="1" applyBorder="1" applyAlignment="1" applyProtection="1">
      <alignment horizontal="center" vertical="center"/>
      <protection locked="0"/>
    </xf>
    <xf numFmtId="0" fontId="273" fillId="25" borderId="35" xfId="0" applyFont="1" applyFill="1" applyBorder="1" applyAlignment="1" applyProtection="1">
      <alignment horizontal="center" vertical="center"/>
      <protection locked="0"/>
    </xf>
    <xf numFmtId="0" fontId="274" fillId="25" borderId="35" xfId="0" applyFont="1" applyFill="1" applyBorder="1" applyAlignment="1" applyProtection="1">
      <alignment horizontal="center" vertical="center"/>
      <protection locked="0"/>
    </xf>
    <xf numFmtId="0" fontId="273" fillId="25" borderId="36" xfId="0" applyFont="1" applyFill="1" applyBorder="1" applyAlignment="1" applyProtection="1">
      <alignment horizontal="center" vertical="center"/>
      <protection locked="0"/>
    </xf>
    <xf numFmtId="0" fontId="144" fillId="11" borderId="1" xfId="0" applyFont="1" applyFill="1" applyBorder="1" applyAlignment="1" applyProtection="1">
      <alignment horizontal="center" vertical="center"/>
      <protection locked="0"/>
    </xf>
    <xf numFmtId="0" fontId="273" fillId="25" borderId="1" xfId="0" applyFont="1" applyFill="1" applyBorder="1" applyAlignment="1" applyProtection="1">
      <alignment horizontal="center" vertical="center"/>
      <protection locked="0"/>
    </xf>
    <xf numFmtId="0" fontId="275" fillId="25" borderId="1" xfId="0" applyFont="1" applyFill="1" applyBorder="1" applyAlignment="1" applyProtection="1">
      <alignment horizontal="center" vertical="center"/>
      <protection locked="0"/>
    </xf>
    <xf numFmtId="0" fontId="144" fillId="11" borderId="2" xfId="0" applyFont="1" applyFill="1" applyBorder="1" applyAlignment="1" applyProtection="1">
      <alignment horizontal="center" vertical="center"/>
      <protection locked="0"/>
    </xf>
    <xf numFmtId="0" fontId="20" fillId="4" borderId="31" xfId="0" applyFont="1" applyFill="1" applyBorder="1" applyAlignment="1" applyProtection="1">
      <alignment vertical="center"/>
      <protection locked="0"/>
    </xf>
    <xf numFmtId="0" fontId="142" fillId="23" borderId="32" xfId="0" applyFont="1" applyFill="1" applyBorder="1" applyAlignment="1" applyProtection="1">
      <alignment horizontal="center"/>
      <protection locked="0"/>
    </xf>
    <xf numFmtId="0" fontId="7" fillId="18" borderId="48" xfId="0" applyFont="1" applyFill="1" applyBorder="1" applyAlignment="1" applyProtection="1">
      <alignment horizontal="center" vertical="center"/>
      <protection locked="0"/>
    </xf>
    <xf numFmtId="0" fontId="142" fillId="18" borderId="48" xfId="0" applyFont="1" applyFill="1" applyBorder="1" applyAlignment="1" applyProtection="1">
      <alignment horizontal="center" vertical="center"/>
      <protection locked="0"/>
    </xf>
    <xf numFmtId="0" fontId="142" fillId="18" borderId="49" xfId="0" applyFont="1" applyFill="1" applyBorder="1" applyAlignment="1" applyProtection="1">
      <alignment horizontal="center" vertical="center"/>
      <protection locked="0"/>
    </xf>
    <xf numFmtId="0" fontId="141" fillId="28" borderId="0" xfId="0" applyFont="1" applyFill="1" applyAlignment="1" applyProtection="1">
      <alignment horizontal="center" vertical="center"/>
      <protection locked="0"/>
    </xf>
    <xf numFmtId="0" fontId="144" fillId="11" borderId="65" xfId="0" applyFont="1" applyFill="1" applyBorder="1" applyAlignment="1" applyProtection="1">
      <alignment horizontal="center" vertical="center"/>
      <protection locked="0"/>
    </xf>
    <xf numFmtId="0" fontId="144" fillId="11" borderId="62" xfId="0" applyFont="1" applyFill="1" applyBorder="1" applyAlignment="1" applyProtection="1">
      <alignment horizontal="center" vertical="center"/>
      <protection locked="0"/>
    </xf>
    <xf numFmtId="0" fontId="138" fillId="5" borderId="29" xfId="0" applyFont="1" applyFill="1" applyBorder="1" applyAlignment="1" applyProtection="1">
      <alignment horizontal="left" vertical="center"/>
      <protection locked="0"/>
    </xf>
    <xf numFmtId="0" fontId="142" fillId="18" borderId="30" xfId="0" applyFont="1" applyFill="1" applyBorder="1" applyAlignment="1" applyProtection="1">
      <alignment horizontal="center" vertical="center"/>
      <protection locked="0"/>
    </xf>
    <xf numFmtId="0" fontId="276" fillId="7" borderId="7" xfId="0" applyFont="1" applyFill="1" applyBorder="1" applyAlignment="1" applyProtection="1">
      <alignment horizontal="center" vertical="center"/>
      <protection locked="0"/>
    </xf>
    <xf numFmtId="0" fontId="276" fillId="12" borderId="7" xfId="0" applyFont="1" applyFill="1" applyBorder="1" applyAlignment="1" applyProtection="1">
      <alignment horizontal="center" vertical="center"/>
      <protection locked="0"/>
    </xf>
    <xf numFmtId="0" fontId="276" fillId="23" borderId="2" xfId="0" applyFont="1" applyFill="1" applyBorder="1" applyAlignment="1" applyProtection="1">
      <alignment horizontal="center" vertical="center"/>
      <protection locked="0"/>
    </xf>
    <xf numFmtId="0" fontId="276" fillId="18" borderId="2" xfId="0" applyFont="1" applyFill="1" applyBorder="1" applyAlignment="1" applyProtection="1">
      <alignment horizontal="center" vertical="center"/>
      <protection locked="0"/>
    </xf>
    <xf numFmtId="0" fontId="142" fillId="12" borderId="7" xfId="0" applyFont="1" applyFill="1" applyBorder="1" applyAlignment="1" applyProtection="1">
      <alignment horizontal="center" vertical="center"/>
      <protection locked="0"/>
    </xf>
    <xf numFmtId="0" fontId="142" fillId="7" borderId="45" xfId="0" applyFont="1" applyFill="1" applyBorder="1" applyAlignment="1" applyProtection="1">
      <alignment horizontal="center" vertical="center"/>
      <protection locked="0"/>
    </xf>
    <xf numFmtId="0" fontId="20" fillId="0" borderId="31" xfId="0" applyFont="1" applyBorder="1" applyAlignment="1" applyProtection="1">
      <alignment vertical="center"/>
      <protection locked="0"/>
    </xf>
    <xf numFmtId="0" fontId="7" fillId="23" borderId="1" xfId="0" applyFont="1" applyFill="1" applyBorder="1" applyAlignment="1" applyProtection="1">
      <alignment horizontal="center" vertical="center"/>
      <protection locked="0"/>
    </xf>
    <xf numFmtId="0" fontId="142" fillId="23" borderId="32" xfId="0" applyFont="1" applyFill="1" applyBorder="1" applyAlignment="1" applyProtection="1">
      <alignment horizontal="center" vertical="center"/>
      <protection locked="0"/>
    </xf>
    <xf numFmtId="0" fontId="142" fillId="23" borderId="30" xfId="0" applyFont="1" applyFill="1" applyBorder="1" applyAlignment="1" applyProtection="1">
      <alignment horizontal="center" vertical="center"/>
      <protection locked="0"/>
    </xf>
    <xf numFmtId="0" fontId="138" fillId="16" borderId="31" xfId="0" applyFont="1" applyFill="1" applyBorder="1" applyAlignment="1" applyProtection="1">
      <alignment horizontal="left" vertical="center"/>
      <protection locked="0"/>
    </xf>
    <xf numFmtId="0" fontId="142" fillId="18" borderId="32" xfId="0" applyFont="1" applyFill="1" applyBorder="1" applyAlignment="1" applyProtection="1">
      <alignment horizontal="center" vertical="center"/>
      <protection locked="0"/>
    </xf>
    <xf numFmtId="0" fontId="276" fillId="7" borderId="6" xfId="0" applyFont="1" applyFill="1" applyBorder="1" applyAlignment="1" applyProtection="1">
      <alignment horizontal="center" vertical="center"/>
      <protection locked="0"/>
    </xf>
    <xf numFmtId="0" fontId="276" fillId="12" borderId="6" xfId="0" applyFont="1" applyFill="1" applyBorder="1" applyAlignment="1" applyProtection="1">
      <alignment horizontal="center" vertical="center"/>
      <protection locked="0"/>
    </xf>
    <xf numFmtId="0" fontId="276" fillId="23" borderId="1" xfId="0" applyFont="1" applyFill="1" applyBorder="1" applyAlignment="1" applyProtection="1">
      <alignment horizontal="center" vertical="center"/>
      <protection locked="0"/>
    </xf>
    <xf numFmtId="0" fontId="276" fillId="18" borderId="1" xfId="0" applyFont="1" applyFill="1" applyBorder="1" applyAlignment="1" applyProtection="1">
      <alignment horizontal="center" vertical="center"/>
      <protection locked="0"/>
    </xf>
    <xf numFmtId="0" fontId="142" fillId="12" borderId="6" xfId="0" applyFont="1" applyFill="1" applyBorder="1" applyAlignment="1" applyProtection="1">
      <alignment horizontal="center" vertical="center"/>
      <protection locked="0"/>
    </xf>
    <xf numFmtId="0" fontId="142" fillId="7" borderId="66" xfId="0" applyFont="1" applyFill="1" applyBorder="1" applyAlignment="1" applyProtection="1">
      <alignment horizontal="center" vertical="center"/>
      <protection locked="0"/>
    </xf>
    <xf numFmtId="0" fontId="7" fillId="7" borderId="35" xfId="0" applyFont="1" applyFill="1" applyBorder="1" applyAlignment="1" applyProtection="1">
      <alignment horizontal="center" vertical="center"/>
      <protection locked="0"/>
    </xf>
    <xf numFmtId="0" fontId="142" fillId="7" borderId="36" xfId="0" applyFont="1" applyFill="1" applyBorder="1" applyAlignment="1" applyProtection="1">
      <alignment horizontal="center" vertical="center"/>
      <protection locked="0"/>
    </xf>
    <xf numFmtId="0" fontId="138" fillId="5" borderId="31" xfId="0" applyFont="1" applyFill="1" applyBorder="1" applyAlignment="1" applyProtection="1">
      <alignment horizontal="left" vertical="center"/>
      <protection locked="0"/>
    </xf>
    <xf numFmtId="0" fontId="138" fillId="0" borderId="31" xfId="0" applyFont="1" applyBorder="1" applyAlignment="1" applyProtection="1">
      <alignment vertical="center"/>
      <protection locked="0"/>
    </xf>
    <xf numFmtId="0" fontId="5" fillId="28" borderId="0" xfId="0" applyFont="1" applyFill="1" applyAlignment="1" applyProtection="1">
      <alignment vertical="center" wrapText="1"/>
      <protection locked="0"/>
    </xf>
    <xf numFmtId="0" fontId="7" fillId="28" borderId="0" xfId="0" applyFont="1" applyFill="1" applyAlignment="1" applyProtection="1">
      <alignment vertical="center"/>
      <protection locked="0"/>
    </xf>
    <xf numFmtId="0" fontId="142" fillId="28" borderId="0" xfId="0" applyFont="1" applyFill="1" applyAlignment="1" applyProtection="1">
      <alignment horizontal="center" vertical="center"/>
      <protection locked="0"/>
    </xf>
    <xf numFmtId="0" fontId="138" fillId="16" borderId="33" xfId="0" applyFont="1" applyFill="1" applyBorder="1" applyAlignment="1" applyProtection="1">
      <alignment horizontal="left" vertical="center"/>
      <protection locked="0"/>
    </xf>
    <xf numFmtId="0" fontId="142" fillId="23" borderId="36" xfId="0" applyFont="1" applyFill="1" applyBorder="1" applyAlignment="1" applyProtection="1">
      <alignment horizontal="center" vertical="center"/>
      <protection locked="0"/>
    </xf>
    <xf numFmtId="0" fontId="138" fillId="0" borderId="0" xfId="0" applyFont="1" applyAlignment="1" applyProtection="1">
      <alignment horizontal="center" vertical="center"/>
      <protection locked="0"/>
    </xf>
    <xf numFmtId="0" fontId="277" fillId="28" borderId="0" xfId="0" applyFont="1" applyFill="1" applyAlignment="1" applyProtection="1">
      <alignment vertical="center" textRotation="90" wrapText="1"/>
      <protection locked="0"/>
    </xf>
    <xf numFmtId="0" fontId="142" fillId="0" borderId="0" xfId="0" applyFont="1" applyAlignment="1" applyProtection="1">
      <alignment horizontal="center"/>
      <protection locked="0"/>
    </xf>
    <xf numFmtId="49" fontId="251" fillId="0" borderId="0" xfId="0" applyNumberFormat="1" applyFont="1" applyAlignment="1" applyProtection="1">
      <alignment vertical="center"/>
      <protection locked="0"/>
    </xf>
    <xf numFmtId="0" fontId="4" fillId="15" borderId="13" xfId="0" applyFont="1" applyFill="1" applyBorder="1" applyAlignment="1" applyProtection="1">
      <alignment vertical="center"/>
      <protection locked="0"/>
    </xf>
    <xf numFmtId="0" fontId="142" fillId="15" borderId="56" xfId="0" applyFont="1" applyFill="1" applyBorder="1" applyAlignment="1" applyProtection="1">
      <alignment horizontal="center"/>
      <protection locked="0"/>
    </xf>
    <xf numFmtId="0" fontId="4" fillId="15" borderId="9" xfId="0" applyFont="1" applyFill="1" applyBorder="1" applyAlignment="1" applyProtection="1">
      <alignment vertical="center"/>
      <protection locked="0"/>
    </xf>
    <xf numFmtId="0" fontId="142" fillId="15" borderId="59" xfId="0" applyFont="1" applyFill="1" applyBorder="1" applyAlignment="1" applyProtection="1">
      <alignment horizontal="center"/>
      <protection locked="0"/>
    </xf>
    <xf numFmtId="0" fontId="4" fillId="15" borderId="8" xfId="0" applyFont="1" applyFill="1" applyBorder="1" applyAlignment="1" applyProtection="1">
      <alignment vertical="center"/>
      <protection locked="0"/>
    </xf>
    <xf numFmtId="0" fontId="142" fillId="15" borderId="23" xfId="0" applyFont="1" applyFill="1" applyBorder="1" applyAlignment="1" applyProtection="1">
      <alignment horizontal="center"/>
      <protection locked="0"/>
    </xf>
    <xf numFmtId="0" fontId="142" fillId="23" borderId="35" xfId="0" applyFont="1" applyFill="1" applyBorder="1" applyAlignment="1" applyProtection="1">
      <alignment horizontal="center" vertical="center"/>
      <protection locked="0"/>
    </xf>
    <xf numFmtId="0" fontId="142" fillId="18" borderId="36" xfId="0" applyFont="1" applyFill="1" applyBorder="1" applyAlignment="1" applyProtection="1">
      <alignment horizontal="center" vertical="center"/>
      <protection locked="0"/>
    </xf>
    <xf numFmtId="0" fontId="276" fillId="7" borderId="1" xfId="0" applyFont="1" applyFill="1" applyBorder="1" applyAlignment="1" applyProtection="1">
      <alignment horizontal="center" vertical="center"/>
      <protection locked="0"/>
    </xf>
    <xf numFmtId="0" fontId="276" fillId="12" borderId="1" xfId="0" applyFont="1" applyFill="1" applyBorder="1" applyAlignment="1" applyProtection="1">
      <alignment horizontal="center" vertical="center"/>
      <protection locked="0"/>
    </xf>
    <xf numFmtId="0" fontId="142" fillId="12" borderId="1" xfId="0" applyFont="1" applyFill="1" applyBorder="1" applyAlignment="1" applyProtection="1">
      <alignment horizontal="center" vertical="center"/>
      <protection locked="0"/>
    </xf>
    <xf numFmtId="0" fontId="0" fillId="40" borderId="0" xfId="0" applyFill="1" applyProtection="1">
      <protection locked="0"/>
    </xf>
    <xf numFmtId="0" fontId="0" fillId="0" borderId="0" xfId="0" applyAlignment="1" applyProtection="1">
      <alignment wrapText="1"/>
      <protection locked="0"/>
    </xf>
    <xf numFmtId="0" fontId="0" fillId="0" borderId="90" xfId="0" applyBorder="1" applyProtection="1">
      <protection locked="0"/>
    </xf>
    <xf numFmtId="0" fontId="278" fillId="0" borderId="0" xfId="0" applyFont="1" applyAlignment="1" applyProtection="1">
      <alignment horizontal="center" vertical="center"/>
      <protection locked="0"/>
    </xf>
    <xf numFmtId="0" fontId="0" fillId="0" borderId="44" xfId="0" applyBorder="1" applyAlignment="1" applyProtection="1">
      <alignment wrapText="1"/>
      <protection locked="0"/>
    </xf>
    <xf numFmtId="0" fontId="146" fillId="0" borderId="59" xfId="0" applyFont="1" applyBorder="1" applyAlignment="1" applyProtection="1">
      <alignment horizontal="center" vertical="center"/>
      <protection locked="0"/>
    </xf>
    <xf numFmtId="0" fontId="137" fillId="0" borderId="7" xfId="0" applyFont="1" applyBorder="1" applyAlignment="1" applyProtection="1">
      <alignment vertical="center"/>
      <protection locked="0"/>
    </xf>
    <xf numFmtId="0" fontId="137" fillId="0" borderId="30" xfId="0" applyFont="1" applyBorder="1" applyAlignment="1" applyProtection="1">
      <alignment vertical="center"/>
      <protection locked="0"/>
    </xf>
    <xf numFmtId="0" fontId="144" fillId="54" borderId="46" xfId="0" applyFont="1" applyFill="1" applyBorder="1" applyAlignment="1" applyProtection="1">
      <alignment horizontal="center" vertical="center"/>
      <protection locked="0"/>
    </xf>
    <xf numFmtId="0" fontId="58" fillId="4" borderId="6" xfId="0" applyFont="1" applyFill="1" applyBorder="1" applyAlignment="1" applyProtection="1">
      <alignment vertical="center"/>
      <protection locked="0"/>
    </xf>
    <xf numFmtId="0" fontId="142" fillId="7" borderId="53" xfId="0" applyFont="1" applyFill="1" applyBorder="1" applyAlignment="1" applyProtection="1">
      <alignment horizontal="center" vertical="center"/>
      <protection locked="0"/>
    </xf>
    <xf numFmtId="0" fontId="142" fillId="7" borderId="51" xfId="0" applyFont="1" applyFill="1" applyBorder="1" applyAlignment="1" applyProtection="1">
      <alignment horizontal="center" vertical="center"/>
      <protection locked="0"/>
    </xf>
    <xf numFmtId="0" fontId="142" fillId="7" borderId="54" xfId="0" applyFont="1" applyFill="1" applyBorder="1" applyAlignment="1" applyProtection="1">
      <alignment horizontal="center" vertical="center"/>
      <protection locked="0"/>
    </xf>
    <xf numFmtId="0" fontId="142" fillId="23" borderId="51" xfId="0" applyFont="1" applyFill="1" applyBorder="1" applyAlignment="1" applyProtection="1">
      <alignment horizontal="center" vertical="center"/>
      <protection locked="0"/>
    </xf>
    <xf numFmtId="0" fontId="142" fillId="23" borderId="48" xfId="0" applyFont="1" applyFill="1" applyBorder="1" applyAlignment="1" applyProtection="1">
      <alignment horizontal="center" vertical="center"/>
      <protection locked="0"/>
    </xf>
    <xf numFmtId="0" fontId="142" fillId="23" borderId="67" xfId="0" applyFont="1" applyFill="1" applyBorder="1" applyAlignment="1" applyProtection="1">
      <alignment horizontal="center" vertical="center"/>
      <protection locked="0"/>
    </xf>
    <xf numFmtId="0" fontId="142" fillId="18" borderId="53" xfId="0" applyFont="1" applyFill="1" applyBorder="1" applyAlignment="1" applyProtection="1">
      <alignment horizontal="center" vertical="center"/>
      <protection locked="0"/>
    </xf>
    <xf numFmtId="0" fontId="138" fillId="5" borderId="27" xfId="0" applyFont="1" applyFill="1" applyBorder="1" applyAlignment="1" applyProtection="1">
      <alignment horizontal="left" vertical="center"/>
      <protection locked="0"/>
    </xf>
    <xf numFmtId="0" fontId="138" fillId="5" borderId="68" xfId="0" applyFont="1" applyFill="1" applyBorder="1" applyAlignment="1" applyProtection="1">
      <alignment horizontal="left" vertical="center"/>
      <protection locked="0"/>
    </xf>
    <xf numFmtId="0" fontId="58" fillId="0" borderId="6" xfId="0" applyFont="1" applyBorder="1" applyAlignment="1" applyProtection="1">
      <alignment vertical="center"/>
      <protection locked="0"/>
    </xf>
    <xf numFmtId="0" fontId="142" fillId="7" borderId="31" xfId="0" applyFont="1" applyFill="1" applyBorder="1" applyAlignment="1" applyProtection="1">
      <alignment horizontal="center" vertical="center"/>
      <protection locked="0"/>
    </xf>
    <xf numFmtId="0" fontId="142" fillId="23" borderId="7" xfId="0" applyFont="1" applyFill="1" applyBorder="1" applyAlignment="1" applyProtection="1">
      <alignment horizontal="center" vertical="center"/>
      <protection locked="0"/>
    </xf>
    <xf numFmtId="0" fontId="142" fillId="23" borderId="4" xfId="0" applyFont="1" applyFill="1" applyBorder="1" applyAlignment="1" applyProtection="1">
      <alignment horizontal="center" vertical="center"/>
      <protection locked="0"/>
    </xf>
    <xf numFmtId="0" fontId="142" fillId="18" borderId="31" xfId="0" applyFont="1" applyFill="1" applyBorder="1" applyAlignment="1" applyProtection="1">
      <alignment horizontal="center" vertical="center"/>
      <protection locked="0"/>
    </xf>
    <xf numFmtId="0" fontId="138" fillId="16" borderId="40" xfId="0" applyFont="1" applyFill="1" applyBorder="1" applyAlignment="1" applyProtection="1">
      <alignment horizontal="left" vertical="center"/>
      <protection locked="0"/>
    </xf>
    <xf numFmtId="0" fontId="138" fillId="16" borderId="39" xfId="0" applyFont="1" applyFill="1" applyBorder="1" applyAlignment="1" applyProtection="1">
      <alignment horizontal="left" vertical="center"/>
      <protection locked="0"/>
    </xf>
    <xf numFmtId="0" fontId="138" fillId="5" borderId="40" xfId="0" applyFont="1" applyFill="1" applyBorder="1" applyAlignment="1" applyProtection="1">
      <alignment horizontal="left" vertical="center"/>
      <protection locked="0"/>
    </xf>
    <xf numFmtId="0" fontId="138" fillId="5" borderId="39" xfId="0" applyFont="1" applyFill="1" applyBorder="1" applyAlignment="1" applyProtection="1">
      <alignment horizontal="left" vertical="center"/>
      <protection locked="0"/>
    </xf>
    <xf numFmtId="0" fontId="20" fillId="0" borderId="6" xfId="0" applyFont="1" applyBorder="1" applyAlignment="1" applyProtection="1">
      <alignment vertical="center"/>
      <protection locked="0"/>
    </xf>
    <xf numFmtId="0" fontId="138" fillId="4" borderId="6" xfId="0" applyFont="1" applyFill="1" applyBorder="1" applyAlignment="1" applyProtection="1">
      <alignment vertical="center"/>
      <protection locked="0"/>
    </xf>
    <xf numFmtId="0" fontId="138" fillId="0" borderId="6" xfId="0" applyFont="1" applyBorder="1" applyAlignment="1" applyProtection="1">
      <alignment vertical="center"/>
      <protection locked="0"/>
    </xf>
    <xf numFmtId="0" fontId="138" fillId="4" borderId="52" xfId="0" applyFont="1" applyFill="1" applyBorder="1" applyAlignment="1" applyProtection="1">
      <alignment vertical="center"/>
      <protection locked="0"/>
    </xf>
    <xf numFmtId="0" fontId="148" fillId="40" borderId="0" xfId="0" applyFont="1" applyFill="1" applyAlignment="1" applyProtection="1">
      <alignment vertical="center"/>
      <protection locked="0"/>
    </xf>
    <xf numFmtId="0" fontId="142" fillId="40" borderId="66" xfId="0" applyFont="1" applyFill="1" applyBorder="1" applyAlignment="1" applyProtection="1">
      <alignment horizontal="center"/>
      <protection locked="0"/>
    </xf>
    <xf numFmtId="0" fontId="138" fillId="30" borderId="0" xfId="0" applyFont="1" applyFill="1" applyAlignment="1" applyProtection="1">
      <alignment vertical="center"/>
      <protection locked="0"/>
    </xf>
    <xf numFmtId="0" fontId="142" fillId="30" borderId="66" xfId="0" applyFont="1" applyFill="1" applyBorder="1" applyAlignment="1" applyProtection="1">
      <alignment horizontal="center"/>
      <protection locked="0"/>
    </xf>
    <xf numFmtId="0" fontId="138" fillId="40" borderId="0" xfId="0" applyFont="1" applyFill="1" applyAlignment="1" applyProtection="1">
      <alignment vertical="center"/>
      <protection locked="0"/>
    </xf>
    <xf numFmtId="0" fontId="138" fillId="16" borderId="42" xfId="0" applyFont="1" applyFill="1" applyBorder="1" applyAlignment="1" applyProtection="1">
      <alignment horizontal="left" vertical="center"/>
      <protection locked="0"/>
    </xf>
    <xf numFmtId="0" fontId="138" fillId="16" borderId="41" xfId="0" applyFont="1" applyFill="1" applyBorder="1" applyAlignment="1" applyProtection="1">
      <alignment horizontal="left" vertical="center"/>
      <protection locked="0"/>
    </xf>
    <xf numFmtId="0" fontId="138" fillId="16" borderId="15" xfId="0" applyFont="1" applyFill="1" applyBorder="1" applyAlignment="1" applyProtection="1">
      <alignment horizontal="left" vertical="center"/>
      <protection locked="0"/>
    </xf>
    <xf numFmtId="0" fontId="142" fillId="7" borderId="52" xfId="0" applyFont="1" applyFill="1" applyBorder="1" applyAlignment="1" applyProtection="1">
      <alignment horizontal="center" vertical="center"/>
      <protection locked="0"/>
    </xf>
    <xf numFmtId="0" fontId="142" fillId="18" borderId="15" xfId="0" applyFont="1" applyFill="1" applyBorder="1" applyAlignment="1" applyProtection="1">
      <alignment horizontal="center" vertical="center"/>
      <protection locked="0"/>
    </xf>
    <xf numFmtId="2" fontId="136" fillId="35" borderId="1" xfId="0" applyNumberFormat="1" applyFont="1" applyFill="1" applyBorder="1" applyAlignment="1">
      <alignment horizontal="right"/>
    </xf>
    <xf numFmtId="0" fontId="131" fillId="7" borderId="6" xfId="0" applyFont="1" applyFill="1" applyBorder="1" applyAlignment="1">
      <alignment horizontal="center"/>
    </xf>
    <xf numFmtId="0" fontId="131" fillId="0" borderId="6" xfId="0" applyFont="1" applyBorder="1" applyAlignment="1">
      <alignment horizontal="center"/>
    </xf>
    <xf numFmtId="1" fontId="0" fillId="15" borderId="1" xfId="0" applyNumberFormat="1" applyFill="1" applyBorder="1" applyAlignment="1">
      <alignment horizontal="right"/>
    </xf>
    <xf numFmtId="164" fontId="17" fillId="46" borderId="6" xfId="3" applyNumberFormat="1" applyFont="1" applyFill="1" applyBorder="1" applyAlignment="1">
      <alignment horizontal="center" vertical="center"/>
    </xf>
    <xf numFmtId="0" fontId="161" fillId="46" borderId="1" xfId="0" applyFont="1" applyFill="1" applyBorder="1" applyAlignment="1">
      <alignment horizontal="left" vertical="center"/>
    </xf>
    <xf numFmtId="164" fontId="161" fillId="46" borderId="1" xfId="3" applyNumberFormat="1" applyFont="1" applyFill="1" applyBorder="1" applyAlignment="1">
      <alignment horizontal="center" vertical="center"/>
    </xf>
    <xf numFmtId="1" fontId="131" fillId="0" borderId="1" xfId="0" applyNumberFormat="1" applyFont="1" applyBorder="1"/>
    <xf numFmtId="0" fontId="131" fillId="0" borderId="1" xfId="0" applyFont="1" applyBorder="1" applyAlignment="1">
      <alignment horizontal="right"/>
    </xf>
    <xf numFmtId="0" fontId="131" fillId="0" borderId="0" xfId="0" applyFont="1" applyAlignment="1">
      <alignment horizontal="right"/>
    </xf>
    <xf numFmtId="0" fontId="131" fillId="0" borderId="1" xfId="0" applyFont="1" applyBorder="1" applyProtection="1">
      <protection hidden="1"/>
    </xf>
    <xf numFmtId="0" fontId="158" fillId="0" borderId="58" xfId="0" applyFont="1" applyBorder="1"/>
    <xf numFmtId="0" fontId="0" fillId="0" borderId="55" xfId="0" applyBorder="1"/>
    <xf numFmtId="0" fontId="0" fillId="0" borderId="4" xfId="0" applyBorder="1"/>
    <xf numFmtId="0" fontId="158" fillId="0" borderId="15" xfId="0" applyFont="1" applyBorder="1"/>
    <xf numFmtId="0" fontId="0" fillId="0" borderId="37" xfId="0" applyBorder="1"/>
    <xf numFmtId="0" fontId="17" fillId="0" borderId="0" xfId="0" applyFont="1" applyAlignment="1">
      <alignment horizontal="left" vertical="center"/>
    </xf>
    <xf numFmtId="0" fontId="147" fillId="0" borderId="1" xfId="0" applyFont="1" applyBorder="1"/>
    <xf numFmtId="0" fontId="2" fillId="46" borderId="1" xfId="0" applyFont="1" applyFill="1" applyBorder="1"/>
    <xf numFmtId="164" fontId="2" fillId="46" borderId="1" xfId="3" applyNumberFormat="1" applyFont="1" applyFill="1" applyBorder="1" applyAlignment="1">
      <alignment horizontal="center" vertical="center"/>
    </xf>
    <xf numFmtId="0" fontId="153" fillId="0" borderId="1" xfId="0" applyFont="1" applyBorder="1"/>
    <xf numFmtId="1" fontId="136" fillId="0" borderId="0" xfId="0" applyNumberFormat="1" applyFont="1"/>
    <xf numFmtId="1" fontId="136" fillId="0" borderId="1" xfId="0" applyNumberFormat="1" applyFont="1" applyBorder="1"/>
    <xf numFmtId="0" fontId="161" fillId="0" borderId="0" xfId="0" applyFont="1" applyAlignment="1">
      <alignment textRotation="180"/>
    </xf>
    <xf numFmtId="0" fontId="2" fillId="16" borderId="2" xfId="0" applyFont="1" applyFill="1" applyBorder="1" applyAlignment="1">
      <alignment horizontal="center" vertical="center"/>
    </xf>
    <xf numFmtId="0" fontId="17" fillId="16" borderId="1" xfId="0" applyFont="1" applyFill="1" applyBorder="1" applyAlignment="1">
      <alignment horizontal="left" vertical="center"/>
    </xf>
    <xf numFmtId="164" fontId="17" fillId="16" borderId="1" xfId="3" applyNumberFormat="1" applyFont="1" applyFill="1" applyBorder="1" applyAlignment="1">
      <alignment horizontal="center" vertical="center"/>
    </xf>
    <xf numFmtId="2" fontId="2" fillId="16" borderId="1" xfId="0" applyNumberFormat="1" applyFont="1" applyFill="1" applyBorder="1"/>
    <xf numFmtId="0" fontId="131" fillId="0" borderId="0" xfId="0" applyFont="1" applyAlignment="1">
      <alignment horizontal="center"/>
    </xf>
    <xf numFmtId="0" fontId="2" fillId="35" borderId="2" xfId="0" applyFont="1" applyFill="1" applyBorder="1" applyAlignment="1">
      <alignment horizontal="center" vertical="center"/>
    </xf>
    <xf numFmtId="0" fontId="17" fillId="35" borderId="1" xfId="0" applyFont="1" applyFill="1" applyBorder="1" applyAlignment="1">
      <alignment horizontal="left" vertical="center"/>
    </xf>
    <xf numFmtId="164" fontId="17" fillId="35" borderId="1" xfId="3" applyNumberFormat="1" applyFont="1" applyFill="1" applyBorder="1" applyAlignment="1">
      <alignment horizontal="center" vertical="center"/>
    </xf>
    <xf numFmtId="2" fontId="2" fillId="35" borderId="1" xfId="0" applyNumberFormat="1" applyFont="1" applyFill="1" applyBorder="1"/>
    <xf numFmtId="0" fontId="2" fillId="49" borderId="1" xfId="0" applyFont="1" applyFill="1" applyBorder="1" applyAlignment="1">
      <alignment horizontal="left" vertical="center"/>
    </xf>
    <xf numFmtId="164" fontId="2" fillId="49" borderId="5" xfId="3" applyNumberFormat="1" applyFont="1" applyFill="1" applyBorder="1" applyAlignment="1">
      <alignment horizontal="center" vertical="center"/>
    </xf>
    <xf numFmtId="0" fontId="138" fillId="8" borderId="39" xfId="0" applyFont="1" applyFill="1" applyBorder="1" applyAlignment="1">
      <alignment horizontal="center" vertical="center"/>
    </xf>
    <xf numFmtId="0" fontId="0" fillId="52" borderId="69" xfId="0" applyFill="1" applyBorder="1"/>
    <xf numFmtId="0" fontId="138" fillId="52" borderId="69" xfId="0" applyFont="1" applyFill="1" applyBorder="1" applyAlignment="1">
      <alignment vertical="center"/>
    </xf>
    <xf numFmtId="0" fontId="142" fillId="52" borderId="69" xfId="0" applyFont="1" applyFill="1" applyBorder="1" applyAlignment="1">
      <alignment horizontal="center"/>
    </xf>
    <xf numFmtId="0" fontId="139" fillId="52" borderId="69" xfId="0" applyFont="1" applyFill="1" applyBorder="1" applyAlignment="1">
      <alignment vertical="center"/>
    </xf>
    <xf numFmtId="0" fontId="2" fillId="52" borderId="69" xfId="0" applyFont="1" applyFill="1" applyBorder="1"/>
    <xf numFmtId="0" fontId="7" fillId="38" borderId="40" xfId="0" applyFont="1" applyFill="1" applyBorder="1" applyAlignment="1">
      <alignment horizontal="left" vertical="center"/>
    </xf>
    <xf numFmtId="0" fontId="7" fillId="4" borderId="40" xfId="0" applyFont="1" applyFill="1" applyBorder="1" applyAlignment="1">
      <alignment horizontal="left" vertical="center"/>
    </xf>
    <xf numFmtId="0" fontId="7" fillId="38" borderId="42" xfId="0" applyFont="1" applyFill="1" applyBorder="1" applyAlignment="1">
      <alignment horizontal="left" vertical="center"/>
    </xf>
    <xf numFmtId="0" fontId="142" fillId="32" borderId="33" xfId="0" applyFont="1" applyFill="1" applyBorder="1" applyAlignment="1">
      <alignment horizontal="center" vertical="center"/>
    </xf>
    <xf numFmtId="0" fontId="142" fillId="32" borderId="36" xfId="0" applyFont="1" applyFill="1" applyBorder="1" applyAlignment="1">
      <alignment horizontal="center" vertical="center"/>
    </xf>
    <xf numFmtId="0" fontId="10" fillId="4" borderId="28" xfId="0" applyFont="1" applyFill="1" applyBorder="1" applyAlignment="1">
      <alignment horizontal="left" vertical="center"/>
    </xf>
    <xf numFmtId="2" fontId="201" fillId="0" borderId="7" xfId="0" applyNumberFormat="1" applyFont="1" applyBorder="1"/>
    <xf numFmtId="2" fontId="200" fillId="0" borderId="2" xfId="0" applyNumberFormat="1" applyFont="1" applyBorder="1"/>
    <xf numFmtId="2" fontId="202" fillId="0" borderId="2" xfId="0" applyNumberFormat="1" applyFont="1" applyBorder="1"/>
    <xf numFmtId="2" fontId="218" fillId="0" borderId="2" xfId="0" applyNumberFormat="1" applyFont="1" applyBorder="1"/>
    <xf numFmtId="2" fontId="209" fillId="0" borderId="2" xfId="0" applyNumberFormat="1" applyFont="1" applyBorder="1" applyAlignment="1">
      <alignment horizontal="right" vertical="center"/>
    </xf>
    <xf numFmtId="0" fontId="17" fillId="18" borderId="5" xfId="0" applyFont="1" applyFill="1" applyBorder="1"/>
    <xf numFmtId="165" fontId="131" fillId="18" borderId="1" xfId="0" applyNumberFormat="1" applyFont="1" applyFill="1" applyBorder="1" applyAlignment="1">
      <alignment horizontal="center"/>
    </xf>
    <xf numFmtId="165" fontId="131" fillId="18" borderId="1" xfId="0" applyNumberFormat="1" applyFont="1" applyFill="1" applyBorder="1" applyAlignment="1">
      <alignment horizontal="right"/>
    </xf>
    <xf numFmtId="0" fontId="131" fillId="18" borderId="1" xfId="0" applyFont="1" applyFill="1" applyBorder="1" applyAlignment="1">
      <alignment horizontal="center"/>
    </xf>
    <xf numFmtId="2" fontId="201" fillId="18" borderId="0" xfId="0" applyNumberFormat="1" applyFont="1" applyFill="1"/>
    <xf numFmtId="2" fontId="199" fillId="18" borderId="25" xfId="0" applyNumberFormat="1" applyFont="1" applyFill="1" applyBorder="1"/>
    <xf numFmtId="2" fontId="200" fillId="18" borderId="0" xfId="0" applyNumberFormat="1" applyFont="1" applyFill="1"/>
    <xf numFmtId="2" fontId="200" fillId="18" borderId="25" xfId="0" applyNumberFormat="1" applyFont="1" applyFill="1" applyBorder="1"/>
    <xf numFmtId="2" fontId="208" fillId="18" borderId="37" xfId="0" applyNumberFormat="1" applyFont="1" applyFill="1" applyBorder="1"/>
    <xf numFmtId="2" fontId="209" fillId="18" borderId="37" xfId="0" applyNumberFormat="1" applyFont="1" applyFill="1" applyBorder="1" applyAlignment="1">
      <alignment horizontal="right" vertical="center"/>
    </xf>
    <xf numFmtId="2" fontId="210" fillId="18" borderId="0" xfId="0" applyNumberFormat="1" applyFont="1" applyFill="1"/>
    <xf numFmtId="2" fontId="200" fillId="18" borderId="14" xfId="0" applyNumberFormat="1" applyFont="1" applyFill="1" applyBorder="1"/>
    <xf numFmtId="0" fontId="0" fillId="18" borderId="0" xfId="0" applyFill="1"/>
    <xf numFmtId="0" fontId="49" fillId="18" borderId="1" xfId="0" applyFont="1" applyFill="1" applyBorder="1" applyAlignment="1">
      <alignment horizontal="left"/>
    </xf>
    <xf numFmtId="165" fontId="240" fillId="18" borderId="1" xfId="0" applyNumberFormat="1" applyFont="1" applyFill="1" applyBorder="1" applyAlignment="1">
      <alignment horizontal="center"/>
    </xf>
    <xf numFmtId="2" fontId="201" fillId="18" borderId="6" xfId="0" applyNumberFormat="1" applyFont="1" applyFill="1" applyBorder="1"/>
    <xf numFmtId="2" fontId="199" fillId="18" borderId="1" xfId="0" applyNumberFormat="1" applyFont="1" applyFill="1" applyBorder="1"/>
    <xf numFmtId="2" fontId="200" fillId="18" borderId="1" xfId="0" applyNumberFormat="1" applyFont="1" applyFill="1" applyBorder="1"/>
    <xf numFmtId="2" fontId="202" fillId="18" borderId="1" xfId="0" applyNumberFormat="1" applyFont="1" applyFill="1" applyBorder="1"/>
    <xf numFmtId="2" fontId="206" fillId="18" borderId="1" xfId="0" applyNumberFormat="1" applyFont="1" applyFill="1" applyBorder="1"/>
    <xf numFmtId="2" fontId="201" fillId="18" borderId="1" xfId="0" applyNumberFormat="1" applyFont="1" applyFill="1" applyBorder="1"/>
    <xf numFmtId="2" fontId="218" fillId="18" borderId="1" xfId="0" applyNumberFormat="1" applyFont="1" applyFill="1" applyBorder="1"/>
    <xf numFmtId="2" fontId="209" fillId="18" borderId="1" xfId="0" applyNumberFormat="1" applyFont="1" applyFill="1" applyBorder="1" applyAlignment="1">
      <alignment horizontal="right" vertical="center"/>
    </xf>
    <xf numFmtId="2" fontId="200" fillId="18" borderId="32" xfId="0" applyNumberFormat="1" applyFont="1" applyFill="1" applyBorder="1"/>
    <xf numFmtId="0" fontId="17" fillId="55" borderId="1" xfId="0" applyFont="1" applyFill="1" applyBorder="1"/>
    <xf numFmtId="165" fontId="131" fillId="55" borderId="1" xfId="0" applyNumberFormat="1" applyFont="1" applyFill="1" applyBorder="1" applyAlignment="1">
      <alignment horizontal="center"/>
    </xf>
    <xf numFmtId="165" fontId="131" fillId="55" borderId="1" xfId="0" applyNumberFormat="1" applyFont="1" applyFill="1" applyBorder="1" applyAlignment="1">
      <alignment horizontal="right"/>
    </xf>
    <xf numFmtId="0" fontId="131" fillId="55" borderId="1" xfId="0" applyFont="1" applyFill="1" applyBorder="1" applyAlignment="1">
      <alignment horizontal="center"/>
    </xf>
    <xf numFmtId="2" fontId="131" fillId="55" borderId="0" xfId="0" applyNumberFormat="1" applyFont="1" applyFill="1"/>
    <xf numFmtId="2" fontId="159" fillId="55" borderId="0" xfId="0" applyNumberFormat="1" applyFont="1" applyFill="1"/>
    <xf numFmtId="2" fontId="190" fillId="55" borderId="0" xfId="0" applyNumberFormat="1" applyFont="1" applyFill="1"/>
    <xf numFmtId="2" fontId="191" fillId="55" borderId="0" xfId="0" applyNumberFormat="1" applyFont="1" applyFill="1"/>
    <xf numFmtId="2" fontId="192" fillId="55" borderId="0" xfId="0" applyNumberFormat="1" applyFont="1" applyFill="1" applyAlignment="1">
      <alignment horizontal="left"/>
    </xf>
    <xf numFmtId="2" fontId="195" fillId="55" borderId="0" xfId="0" applyNumberFormat="1" applyFont="1" applyFill="1" applyAlignment="1">
      <alignment horizontal="center"/>
    </xf>
    <xf numFmtId="2" fontId="213" fillId="55" borderId="1" xfId="0" applyNumberFormat="1" applyFont="1" applyFill="1" applyBorder="1"/>
    <xf numFmtId="2" fontId="214" fillId="55" borderId="1" xfId="0" applyNumberFormat="1" applyFont="1" applyFill="1" applyBorder="1" applyAlignment="1">
      <alignment horizontal="right" vertical="center"/>
    </xf>
    <xf numFmtId="2" fontId="194" fillId="55" borderId="0" xfId="0" applyNumberFormat="1" applyFont="1" applyFill="1" applyAlignment="1">
      <alignment horizontal="right"/>
    </xf>
    <xf numFmtId="2" fontId="197" fillId="55" borderId="0" xfId="0" applyNumberFormat="1" applyFont="1" applyFill="1"/>
    <xf numFmtId="2" fontId="134" fillId="55" borderId="0" xfId="0" applyNumberFormat="1" applyFont="1" applyFill="1"/>
    <xf numFmtId="0" fontId="0" fillId="55" borderId="0" xfId="0" applyFill="1"/>
    <xf numFmtId="2" fontId="203" fillId="55" borderId="0" xfId="0" applyNumberFormat="1" applyFont="1" applyFill="1" applyAlignment="1">
      <alignment horizontal="right"/>
    </xf>
    <xf numFmtId="2" fontId="163" fillId="55" borderId="0" xfId="0" applyNumberFormat="1" applyFont="1" applyFill="1"/>
    <xf numFmtId="2" fontId="203" fillId="55" borderId="0" xfId="0" applyNumberFormat="1" applyFont="1" applyFill="1" applyAlignment="1">
      <alignment horizontal="left"/>
    </xf>
    <xf numFmtId="2" fontId="200" fillId="55" borderId="0" xfId="0" applyNumberFormat="1" applyFont="1" applyFill="1"/>
    <xf numFmtId="2" fontId="199" fillId="55" borderId="0" xfId="0" applyNumberFormat="1" applyFont="1" applyFill="1"/>
    <xf numFmtId="2" fontId="195" fillId="55" borderId="0" xfId="0" applyNumberFormat="1" applyFont="1" applyFill="1" applyAlignment="1">
      <alignment horizontal="right"/>
    </xf>
    <xf numFmtId="2" fontId="213" fillId="55" borderId="1" xfId="0" applyNumberFormat="1" applyFont="1" applyFill="1" applyBorder="1" applyAlignment="1">
      <alignment horizontal="right"/>
    </xf>
    <xf numFmtId="2" fontId="204" fillId="55" borderId="0" xfId="0" applyNumberFormat="1" applyFont="1" applyFill="1" applyAlignment="1">
      <alignment horizontal="right"/>
    </xf>
    <xf numFmtId="2" fontId="202" fillId="55" borderId="0" xfId="0" applyNumberFormat="1" applyFont="1" applyFill="1"/>
    <xf numFmtId="2" fontId="201" fillId="55" borderId="0" xfId="0" applyNumberFormat="1" applyFont="1" applyFill="1"/>
    <xf numFmtId="165" fontId="159" fillId="55" borderId="1" xfId="0" applyNumberFormat="1" applyFont="1" applyFill="1" applyBorder="1" applyAlignment="1">
      <alignment horizontal="right"/>
    </xf>
    <xf numFmtId="2" fontId="209" fillId="55" borderId="1" xfId="0" applyNumberFormat="1" applyFont="1" applyFill="1" applyBorder="1" applyAlignment="1">
      <alignment horizontal="right" vertical="center"/>
    </xf>
    <xf numFmtId="2" fontId="210" fillId="55" borderId="0" xfId="0" applyNumberFormat="1" applyFont="1" applyFill="1"/>
    <xf numFmtId="2" fontId="218" fillId="55" borderId="1" xfId="0" applyNumberFormat="1" applyFont="1" applyFill="1" applyBorder="1" applyAlignment="1">
      <alignment horizontal="right"/>
    </xf>
    <xf numFmtId="2" fontId="205" fillId="55" borderId="0" xfId="0" applyNumberFormat="1" applyFont="1" applyFill="1" applyAlignment="1">
      <alignment horizontal="right"/>
    </xf>
    <xf numFmtId="0" fontId="138" fillId="8" borderId="70" xfId="0" applyFont="1" applyFill="1" applyBorder="1" applyAlignment="1">
      <alignment horizontal="center" vertical="center"/>
    </xf>
    <xf numFmtId="0" fontId="138" fillId="8" borderId="30" xfId="0" applyFont="1" applyFill="1" applyBorder="1" applyAlignment="1">
      <alignment horizontal="center" vertical="center"/>
    </xf>
    <xf numFmtId="0" fontId="138" fillId="8" borderId="32" xfId="0" applyFont="1" applyFill="1" applyBorder="1" applyAlignment="1">
      <alignment horizontal="center" vertical="center"/>
    </xf>
    <xf numFmtId="0" fontId="138" fillId="8" borderId="41" xfId="0" applyFont="1" applyFill="1" applyBorder="1" applyAlignment="1">
      <alignment horizontal="center" vertical="center"/>
    </xf>
    <xf numFmtId="0" fontId="138" fillId="8" borderId="36" xfId="0" applyFont="1" applyFill="1" applyBorder="1" applyAlignment="1">
      <alignment horizontal="center" vertical="center"/>
    </xf>
    <xf numFmtId="0" fontId="138" fillId="27" borderId="70" xfId="0" applyFont="1" applyFill="1" applyBorder="1" applyAlignment="1">
      <alignment horizontal="center" vertical="center"/>
    </xf>
    <xf numFmtId="0" fontId="138" fillId="27" borderId="39" xfId="0" applyFont="1" applyFill="1" applyBorder="1" applyAlignment="1">
      <alignment horizontal="center" vertical="center"/>
    </xf>
    <xf numFmtId="0" fontId="138" fillId="27" borderId="41" xfId="0" applyFont="1" applyFill="1" applyBorder="1" applyAlignment="1">
      <alignment horizontal="center" vertical="center"/>
    </xf>
    <xf numFmtId="0" fontId="138" fillId="32" borderId="33" xfId="0" applyFont="1" applyFill="1" applyBorder="1" applyAlignment="1">
      <alignment horizontal="center" vertical="center"/>
    </xf>
    <xf numFmtId="0" fontId="138" fillId="32" borderId="36" xfId="0" applyFont="1" applyFill="1" applyBorder="1" applyAlignment="1">
      <alignment horizontal="center" vertical="center"/>
    </xf>
    <xf numFmtId="0" fontId="161" fillId="45" borderId="1" xfId="0" applyFont="1" applyFill="1" applyBorder="1" applyAlignment="1">
      <alignment horizontal="center" vertical="center"/>
    </xf>
    <xf numFmtId="0" fontId="17" fillId="45" borderId="1" xfId="0" applyFont="1" applyFill="1" applyBorder="1" applyAlignment="1">
      <alignment horizontal="left"/>
    </xf>
    <xf numFmtId="2" fontId="161" fillId="45" borderId="1" xfId="0" applyNumberFormat="1" applyFont="1" applyFill="1" applyBorder="1" applyAlignment="1">
      <alignment horizontal="right" vertical="center"/>
    </xf>
    <xf numFmtId="0" fontId="17" fillId="15" borderId="1" xfId="0" applyFont="1" applyFill="1" applyBorder="1"/>
    <xf numFmtId="165" fontId="131" fillId="15" borderId="1" xfId="0" applyNumberFormat="1" applyFont="1" applyFill="1" applyBorder="1" applyAlignment="1">
      <alignment horizontal="center"/>
    </xf>
    <xf numFmtId="165" fontId="159" fillId="15" borderId="1" xfId="0" applyNumberFormat="1" applyFont="1" applyFill="1" applyBorder="1" applyAlignment="1">
      <alignment horizontal="right"/>
    </xf>
    <xf numFmtId="0" fontId="131" fillId="15" borderId="1" xfId="0" applyFont="1" applyFill="1" applyBorder="1" applyAlignment="1">
      <alignment horizontal="center"/>
    </xf>
    <xf numFmtId="2" fontId="131" fillId="15" borderId="0" xfId="0" applyNumberFormat="1" applyFont="1" applyFill="1"/>
    <xf numFmtId="2" fontId="159" fillId="15" borderId="0" xfId="0" applyNumberFormat="1" applyFont="1" applyFill="1"/>
    <xf numFmtId="2" fontId="190" fillId="15" borderId="0" xfId="0" applyNumberFormat="1" applyFont="1" applyFill="1"/>
    <xf numFmtId="2" fontId="191" fillId="15" borderId="0" xfId="0" applyNumberFormat="1" applyFont="1" applyFill="1"/>
    <xf numFmtId="2" fontId="192" fillId="15" borderId="0" xfId="0" applyNumberFormat="1" applyFont="1" applyFill="1" applyAlignment="1">
      <alignment horizontal="left"/>
    </xf>
    <xf numFmtId="2" fontId="195" fillId="15" borderId="0" xfId="0" applyNumberFormat="1" applyFont="1" applyFill="1" applyAlignment="1">
      <alignment horizontal="right"/>
    </xf>
    <xf numFmtId="2" fontId="213" fillId="15" borderId="1" xfId="0" applyNumberFormat="1" applyFont="1" applyFill="1" applyBorder="1" applyAlignment="1">
      <alignment horizontal="right"/>
    </xf>
    <xf numFmtId="2" fontId="214" fillId="15" borderId="1" xfId="0" applyNumberFormat="1" applyFont="1" applyFill="1" applyBorder="1" applyAlignment="1">
      <alignment horizontal="right" vertical="center"/>
    </xf>
    <xf numFmtId="2" fontId="194" fillId="15" borderId="0" xfId="0" applyNumberFormat="1" applyFont="1" applyFill="1" applyAlignment="1">
      <alignment horizontal="right"/>
    </xf>
    <xf numFmtId="2" fontId="210" fillId="15" borderId="0" xfId="0" applyNumberFormat="1" applyFont="1" applyFill="1"/>
    <xf numFmtId="2" fontId="163" fillId="15" borderId="0" xfId="0" applyNumberFormat="1" applyFont="1" applyFill="1"/>
    <xf numFmtId="0" fontId="212" fillId="0" borderId="0" xfId="0" applyFont="1" applyAlignment="1">
      <alignment horizontal="center" vertical="center"/>
    </xf>
    <xf numFmtId="0" fontId="212" fillId="0" borderId="0" xfId="0" applyFont="1" applyAlignment="1">
      <alignment horizontal="left" vertical="center"/>
    </xf>
    <xf numFmtId="164" fontId="212" fillId="0" borderId="0" xfId="3" applyNumberFormat="1" applyFont="1" applyAlignment="1">
      <alignment horizontal="center" vertical="center"/>
    </xf>
    <xf numFmtId="2" fontId="212" fillId="0" borderId="0" xfId="0" applyNumberFormat="1" applyFont="1" applyAlignment="1">
      <alignment horizontal="right" vertical="center"/>
    </xf>
    <xf numFmtId="0" fontId="160" fillId="0" borderId="0" xfId="0" applyFont="1" applyAlignment="1">
      <alignment horizontal="center" vertical="center"/>
    </xf>
    <xf numFmtId="2" fontId="212" fillId="0" borderId="0" xfId="0" applyNumberFormat="1" applyFont="1" applyAlignment="1">
      <alignment horizontal="right"/>
    </xf>
    <xf numFmtId="164" fontId="212" fillId="0" borderId="1" xfId="3" applyNumberFormat="1" applyFont="1" applyBorder="1" applyAlignment="1">
      <alignment horizontal="center" vertical="center"/>
    </xf>
    <xf numFmtId="2" fontId="160" fillId="0" borderId="1" xfId="0" applyNumberFormat="1" applyFont="1" applyBorder="1" applyAlignment="1">
      <alignment horizontal="right" vertical="center"/>
    </xf>
    <xf numFmtId="164" fontId="160" fillId="0" borderId="1" xfId="3" applyNumberFormat="1" applyFont="1" applyBorder="1" applyAlignment="1">
      <alignment horizontal="center" vertical="center"/>
    </xf>
    <xf numFmtId="2" fontId="160" fillId="0" borderId="1" xfId="0" applyNumberFormat="1" applyFont="1" applyBorder="1" applyAlignment="1">
      <alignment horizontal="right"/>
    </xf>
    <xf numFmtId="0" fontId="279" fillId="0" borderId="0" xfId="0" applyFont="1" applyAlignment="1">
      <alignment horizontal="left"/>
    </xf>
    <xf numFmtId="165" fontId="279" fillId="0" borderId="0" xfId="0" applyNumberFormat="1" applyFont="1" applyAlignment="1">
      <alignment horizontal="center"/>
    </xf>
    <xf numFmtId="0" fontId="160" fillId="45" borderId="1" xfId="0" applyFont="1" applyFill="1" applyBorder="1" applyAlignment="1">
      <alignment horizontal="center" vertical="center"/>
    </xf>
    <xf numFmtId="165" fontId="279" fillId="45" borderId="1" xfId="0" applyNumberFormat="1" applyFont="1" applyFill="1" applyBorder="1" applyAlignment="1">
      <alignment horizontal="center"/>
    </xf>
    <xf numFmtId="2" fontId="160" fillId="45" borderId="1" xfId="0" applyNumberFormat="1" applyFont="1" applyFill="1" applyBorder="1" applyAlignment="1">
      <alignment horizontal="right" vertical="center"/>
    </xf>
    <xf numFmtId="0" fontId="280" fillId="0" borderId="0" xfId="0" applyFont="1" applyAlignment="1">
      <alignment horizontal="left" vertical="center"/>
    </xf>
    <xf numFmtId="0" fontId="212" fillId="0" borderId="0" xfId="0" applyFont="1" applyAlignment="1">
      <alignment horizontal="center"/>
    </xf>
    <xf numFmtId="2" fontId="17" fillId="0" borderId="1" xfId="0" applyNumberFormat="1" applyFont="1" applyBorder="1" applyAlignment="1">
      <alignment horizontal="center" vertical="center"/>
    </xf>
    <xf numFmtId="165" fontId="49" fillId="0" borderId="1" xfId="0" applyNumberFormat="1" applyFont="1" applyBorder="1" applyAlignment="1">
      <alignment horizontal="center"/>
    </xf>
    <xf numFmtId="0" fontId="0" fillId="0" borderId="91" xfId="0" applyBorder="1"/>
    <xf numFmtId="0" fontId="178" fillId="11" borderId="92" xfId="0" applyFont="1" applyFill="1" applyBorder="1" applyAlignment="1">
      <alignment horizontal="center" vertical="center"/>
    </xf>
    <xf numFmtId="0" fontId="281" fillId="11" borderId="93" xfId="0" applyFont="1" applyFill="1" applyBorder="1" applyAlignment="1">
      <alignment horizontal="center" vertical="center"/>
    </xf>
    <xf numFmtId="0" fontId="16" fillId="16" borderId="94" xfId="0" applyFont="1" applyFill="1" applyBorder="1" applyAlignment="1">
      <alignment horizontal="center" vertical="center"/>
    </xf>
    <xf numFmtId="0" fontId="141" fillId="7" borderId="95" xfId="0" applyFont="1" applyFill="1" applyBorder="1" applyAlignment="1">
      <alignment horizontal="center" vertical="center"/>
    </xf>
    <xf numFmtId="0" fontId="141" fillId="23" borderId="96" xfId="0" applyFont="1" applyFill="1" applyBorder="1" applyAlignment="1">
      <alignment horizontal="center" vertical="center"/>
    </xf>
    <xf numFmtId="0" fontId="141" fillId="18" borderId="96" xfId="0" applyFont="1" applyFill="1" applyBorder="1" applyAlignment="1">
      <alignment horizontal="center" vertical="center"/>
    </xf>
    <xf numFmtId="0" fontId="141" fillId="6" borderId="97" xfId="0" applyFont="1" applyFill="1" applyBorder="1" applyAlignment="1">
      <alignment horizontal="center" vertical="center"/>
    </xf>
    <xf numFmtId="0" fontId="0" fillId="0" borderId="1" xfId="0" applyBorder="1" applyAlignment="1">
      <alignment horizontal="right"/>
    </xf>
    <xf numFmtId="0" fontId="138" fillId="15" borderId="1" xfId="0" applyFont="1" applyFill="1" applyBorder="1" applyAlignment="1" applyProtection="1">
      <alignment vertical="center"/>
      <protection locked="0"/>
    </xf>
    <xf numFmtId="0" fontId="161" fillId="0" borderId="1" xfId="0" applyFont="1" applyBorder="1" applyAlignment="1">
      <alignment horizontal="right" vertical="center"/>
    </xf>
    <xf numFmtId="0" fontId="136" fillId="0" borderId="1" xfId="0" applyFont="1" applyBorder="1" applyAlignment="1">
      <alignment horizontal="right"/>
    </xf>
    <xf numFmtId="0" fontId="4" fillId="25" borderId="8" xfId="0" applyFont="1" applyFill="1" applyBorder="1" applyAlignment="1" applyProtection="1">
      <alignment horizontal="center" vertical="center"/>
      <protection locked="0"/>
    </xf>
    <xf numFmtId="0" fontId="4" fillId="25" borderId="44" xfId="0" applyFont="1" applyFill="1" applyBorder="1" applyAlignment="1" applyProtection="1">
      <alignment horizontal="center" vertical="center"/>
      <protection locked="0"/>
    </xf>
    <xf numFmtId="0" fontId="4" fillId="25" borderId="23" xfId="0" applyFont="1" applyFill="1" applyBorder="1" applyAlignment="1" applyProtection="1">
      <alignment horizontal="center" vertical="center"/>
      <protection locked="0"/>
    </xf>
    <xf numFmtId="0" fontId="4" fillId="12" borderId="13" xfId="0" applyFont="1" applyFill="1" applyBorder="1" applyAlignment="1" applyProtection="1">
      <alignment horizontal="center" vertical="center" wrapText="1"/>
      <protection locked="0"/>
    </xf>
    <xf numFmtId="0" fontId="4" fillId="12" borderId="56" xfId="0" applyFont="1" applyFill="1" applyBorder="1" applyAlignment="1" applyProtection="1">
      <alignment horizontal="center" vertical="center" wrapText="1"/>
      <protection locked="0"/>
    </xf>
    <xf numFmtId="0" fontId="4" fillId="12" borderId="43" xfId="0" applyFont="1" applyFill="1" applyBorder="1" applyAlignment="1" applyProtection="1">
      <alignment horizontal="center" vertical="center" wrapText="1"/>
      <protection locked="0"/>
    </xf>
    <xf numFmtId="0" fontId="4" fillId="12" borderId="8" xfId="0" applyFont="1" applyFill="1" applyBorder="1" applyAlignment="1" applyProtection="1">
      <alignment horizontal="center" vertical="center" wrapText="1"/>
      <protection locked="0"/>
    </xf>
    <xf numFmtId="0" fontId="4" fillId="12" borderId="44" xfId="0" applyFont="1" applyFill="1" applyBorder="1" applyAlignment="1" applyProtection="1">
      <alignment horizontal="center" vertical="center" wrapText="1"/>
      <protection locked="0"/>
    </xf>
    <xf numFmtId="0" fontId="4" fillId="12" borderId="23" xfId="0" applyFont="1" applyFill="1" applyBorder="1" applyAlignment="1" applyProtection="1">
      <alignment horizontal="center" vertical="center" wrapText="1"/>
      <protection locked="0"/>
    </xf>
    <xf numFmtId="0" fontId="4" fillId="25" borderId="13" xfId="0" applyFont="1" applyFill="1" applyBorder="1" applyAlignment="1" applyProtection="1">
      <alignment horizontal="center" vertical="center"/>
      <protection locked="0"/>
    </xf>
    <xf numFmtId="0" fontId="4" fillId="25" borderId="43" xfId="0" applyFont="1" applyFill="1" applyBorder="1" applyAlignment="1" applyProtection="1">
      <alignment horizontal="center" vertical="center"/>
      <protection locked="0"/>
    </xf>
    <xf numFmtId="0" fontId="4" fillId="25" borderId="56" xfId="0" applyFont="1" applyFill="1" applyBorder="1" applyAlignment="1" applyProtection="1">
      <alignment horizontal="center" vertical="center"/>
      <protection locked="0"/>
    </xf>
    <xf numFmtId="0" fontId="4" fillId="25" borderId="13" xfId="0" applyFont="1" applyFill="1" applyBorder="1" applyAlignment="1" applyProtection="1">
      <alignment horizontal="center" vertical="center" wrapText="1"/>
      <protection locked="0"/>
    </xf>
    <xf numFmtId="0" fontId="4" fillId="25" borderId="56" xfId="0" applyFont="1" applyFill="1" applyBorder="1" applyAlignment="1" applyProtection="1">
      <alignment horizontal="center" vertical="center" wrapText="1"/>
      <protection locked="0"/>
    </xf>
    <xf numFmtId="0" fontId="149" fillId="4" borderId="10" xfId="0" applyFont="1" applyFill="1" applyBorder="1" applyAlignment="1" applyProtection="1">
      <alignment horizontal="center" vertical="center"/>
      <protection locked="0"/>
    </xf>
    <xf numFmtId="0" fontId="149" fillId="4" borderId="25" xfId="0" applyFont="1" applyFill="1" applyBorder="1" applyAlignment="1" applyProtection="1">
      <alignment horizontal="center" vertical="center"/>
      <protection locked="0"/>
    </xf>
    <xf numFmtId="0" fontId="149" fillId="4" borderId="14" xfId="0" applyFont="1" applyFill="1" applyBorder="1" applyAlignment="1" applyProtection="1">
      <alignment horizontal="center" vertical="center"/>
      <protection locked="0"/>
    </xf>
    <xf numFmtId="0" fontId="133" fillId="32" borderId="13" xfId="0" applyFont="1" applyFill="1" applyBorder="1" applyAlignment="1" applyProtection="1">
      <alignment horizontal="center" vertical="center"/>
      <protection locked="0"/>
    </xf>
    <xf numFmtId="0" fontId="133" fillId="32" borderId="56" xfId="0" applyFont="1" applyFill="1" applyBorder="1" applyAlignment="1" applyProtection="1">
      <alignment horizontal="center" vertical="center"/>
      <protection locked="0"/>
    </xf>
    <xf numFmtId="0" fontId="4" fillId="32" borderId="9" xfId="0" applyFont="1" applyFill="1" applyBorder="1" applyAlignment="1" applyProtection="1">
      <alignment horizontal="center" vertical="center"/>
      <protection locked="0"/>
    </xf>
    <xf numFmtId="0" fontId="4" fillId="32" borderId="59" xfId="0" applyFont="1" applyFill="1" applyBorder="1" applyAlignment="1" applyProtection="1">
      <alignment horizontal="center" vertical="center"/>
      <protection locked="0"/>
    </xf>
    <xf numFmtId="0" fontId="133" fillId="10" borderId="10" xfId="0" applyFont="1" applyFill="1" applyBorder="1" applyAlignment="1" applyProtection="1">
      <alignment horizontal="center" vertical="center"/>
      <protection locked="0"/>
    </xf>
    <xf numFmtId="0" fontId="133" fillId="10" borderId="25" xfId="0" applyFont="1" applyFill="1" applyBorder="1" applyAlignment="1" applyProtection="1">
      <alignment horizontal="center" vertical="center"/>
      <protection locked="0"/>
    </xf>
    <xf numFmtId="0" fontId="133" fillId="10" borderId="14" xfId="0" applyFont="1" applyFill="1" applyBorder="1" applyAlignment="1" applyProtection="1">
      <alignment horizontal="center" vertical="center"/>
      <protection locked="0"/>
    </xf>
    <xf numFmtId="0" fontId="4" fillId="32" borderId="70" xfId="0" applyFont="1" applyFill="1" applyBorder="1" applyAlignment="1" applyProtection="1">
      <alignment horizontal="center" vertical="center"/>
      <protection locked="0"/>
    </xf>
    <xf numFmtId="0" fontId="4" fillId="32" borderId="45" xfId="0" applyFont="1" applyFill="1" applyBorder="1" applyAlignment="1" applyProtection="1">
      <alignment horizontal="center" vertical="center"/>
      <protection locked="0"/>
    </xf>
    <xf numFmtId="0" fontId="150" fillId="9" borderId="10" xfId="0" applyFont="1" applyFill="1" applyBorder="1" applyAlignment="1" applyProtection="1">
      <alignment horizontal="center" vertical="center"/>
      <protection locked="0"/>
    </xf>
    <xf numFmtId="0" fontId="150" fillId="9" borderId="25" xfId="0" applyFont="1" applyFill="1" applyBorder="1" applyAlignment="1" applyProtection="1">
      <alignment horizontal="center" vertical="center"/>
      <protection locked="0"/>
    </xf>
    <xf numFmtId="0" fontId="150" fillId="9" borderId="14" xfId="0" applyFont="1" applyFill="1" applyBorder="1" applyAlignment="1" applyProtection="1">
      <alignment horizontal="center" vertical="center"/>
      <protection locked="0"/>
    </xf>
    <xf numFmtId="0" fontId="149" fillId="32" borderId="13" xfId="0" applyFont="1" applyFill="1" applyBorder="1" applyAlignment="1" applyProtection="1">
      <alignment horizontal="center" vertical="center"/>
      <protection locked="0"/>
    </xf>
    <xf numFmtId="0" fontId="149" fillId="32" borderId="56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33" fillId="4" borderId="10" xfId="0" applyFont="1" applyFill="1" applyBorder="1" applyAlignment="1" applyProtection="1">
      <alignment horizontal="center" vertical="center"/>
      <protection locked="0"/>
    </xf>
    <xf numFmtId="0" fontId="133" fillId="4" borderId="25" xfId="0" applyFont="1" applyFill="1" applyBorder="1" applyAlignment="1" applyProtection="1">
      <alignment horizontal="center" vertical="center"/>
      <protection locked="0"/>
    </xf>
    <xf numFmtId="0" fontId="133" fillId="4" borderId="14" xfId="0" applyFont="1" applyFill="1" applyBorder="1" applyAlignment="1" applyProtection="1">
      <alignment horizontal="center" vertical="center"/>
      <protection locked="0"/>
    </xf>
    <xf numFmtId="0" fontId="268" fillId="32" borderId="70" xfId="0" applyFont="1" applyFill="1" applyBorder="1" applyAlignment="1" applyProtection="1">
      <alignment horizontal="center" vertical="center"/>
      <protection locked="0"/>
    </xf>
    <xf numFmtId="0" fontId="268" fillId="32" borderId="45" xfId="0" applyFont="1" applyFill="1" applyBorder="1" applyAlignment="1" applyProtection="1">
      <alignment horizontal="center" vertical="center"/>
      <protection locked="0"/>
    </xf>
    <xf numFmtId="0" fontId="149" fillId="9" borderId="10" xfId="0" applyFont="1" applyFill="1" applyBorder="1" applyAlignment="1" applyProtection="1">
      <alignment horizontal="center" vertical="center"/>
      <protection locked="0"/>
    </xf>
    <xf numFmtId="0" fontId="149" fillId="9" borderId="25" xfId="0" applyFont="1" applyFill="1" applyBorder="1" applyAlignment="1" applyProtection="1">
      <alignment horizontal="center" vertical="center"/>
      <protection locked="0"/>
    </xf>
    <xf numFmtId="0" fontId="149" fillId="9" borderId="14" xfId="0" applyFont="1" applyFill="1" applyBorder="1" applyAlignment="1" applyProtection="1">
      <alignment horizontal="center" vertical="center"/>
      <protection locked="0"/>
    </xf>
    <xf numFmtId="0" fontId="284" fillId="57" borderId="10" xfId="0" applyFont="1" applyFill="1" applyBorder="1" applyAlignment="1">
      <alignment horizontal="center" vertical="center"/>
    </xf>
    <xf numFmtId="0" fontId="284" fillId="57" borderId="25" xfId="0" applyFont="1" applyFill="1" applyBorder="1" applyAlignment="1">
      <alignment horizontal="center" vertical="center"/>
    </xf>
    <xf numFmtId="0" fontId="284" fillId="57" borderId="14" xfId="0" applyFont="1" applyFill="1" applyBorder="1" applyAlignment="1">
      <alignment horizontal="center" vertical="center"/>
    </xf>
    <xf numFmtId="0" fontId="183" fillId="0" borderId="0" xfId="0" applyFont="1" applyAlignment="1" applyProtection="1">
      <alignment horizontal="center"/>
      <protection locked="0"/>
    </xf>
    <xf numFmtId="0" fontId="184" fillId="56" borderId="13" xfId="0" applyFont="1" applyFill="1" applyBorder="1" applyAlignment="1" applyProtection="1">
      <alignment horizontal="center"/>
      <protection locked="0"/>
    </xf>
    <xf numFmtId="0" fontId="184" fillId="56" borderId="56" xfId="0" applyFont="1" applyFill="1" applyBorder="1" applyAlignment="1" applyProtection="1">
      <alignment horizontal="center"/>
      <protection locked="0"/>
    </xf>
    <xf numFmtId="1" fontId="133" fillId="14" borderId="10" xfId="0" applyNumberFormat="1" applyFont="1" applyFill="1" applyBorder="1" applyAlignment="1" applyProtection="1">
      <alignment horizontal="center" vertical="center"/>
      <protection locked="0"/>
    </xf>
    <xf numFmtId="1" fontId="133" fillId="14" borderId="14" xfId="0" applyNumberFormat="1" applyFont="1" applyFill="1" applyBorder="1" applyAlignment="1" applyProtection="1">
      <alignment horizontal="center" vertical="center"/>
      <protection locked="0"/>
    </xf>
    <xf numFmtId="0" fontId="283" fillId="10" borderId="13" xfId="0" applyFont="1" applyFill="1" applyBorder="1" applyAlignment="1" applyProtection="1">
      <alignment horizontal="center" vertical="center"/>
      <protection locked="0"/>
    </xf>
    <xf numFmtId="0" fontId="283" fillId="10" borderId="56" xfId="0" applyFont="1" applyFill="1" applyBorder="1" applyAlignment="1" applyProtection="1">
      <alignment horizontal="center" vertical="center"/>
      <protection locked="0"/>
    </xf>
    <xf numFmtId="0" fontId="283" fillId="10" borderId="8" xfId="0" applyFont="1" applyFill="1" applyBorder="1" applyAlignment="1" applyProtection="1">
      <alignment horizontal="center" vertical="center"/>
      <protection locked="0"/>
    </xf>
    <xf numFmtId="0" fontId="283" fillId="10" borderId="23" xfId="0" applyFont="1" applyFill="1" applyBorder="1" applyAlignment="1" applyProtection="1">
      <alignment horizontal="center" vertical="center"/>
      <protection locked="0"/>
    </xf>
    <xf numFmtId="0" fontId="67" fillId="15" borderId="10" xfId="0" applyFont="1" applyFill="1" applyBorder="1" applyAlignment="1" applyProtection="1">
      <alignment horizontal="center"/>
      <protection locked="0"/>
    </xf>
    <xf numFmtId="0" fontId="67" fillId="15" borderId="43" xfId="0" applyFont="1" applyFill="1" applyBorder="1" applyAlignment="1" applyProtection="1">
      <alignment horizontal="center"/>
      <protection locked="0"/>
    </xf>
    <xf numFmtId="0" fontId="67" fillId="15" borderId="25" xfId="0" applyFont="1" applyFill="1" applyBorder="1" applyAlignment="1" applyProtection="1">
      <alignment horizontal="center"/>
      <protection locked="0"/>
    </xf>
    <xf numFmtId="0" fontId="67" fillId="15" borderId="56" xfId="0" applyFont="1" applyFill="1" applyBorder="1" applyAlignment="1" applyProtection="1">
      <alignment horizontal="center"/>
      <protection locked="0"/>
    </xf>
    <xf numFmtId="0" fontId="282" fillId="52" borderId="13" xfId="0" applyFont="1" applyFill="1" applyBorder="1" applyAlignment="1" applyProtection="1">
      <alignment horizontal="center"/>
      <protection locked="0"/>
    </xf>
    <xf numFmtId="0" fontId="282" fillId="52" borderId="43" xfId="0" applyFont="1" applyFill="1" applyBorder="1" applyAlignment="1" applyProtection="1">
      <alignment horizontal="center"/>
      <protection locked="0"/>
    </xf>
    <xf numFmtId="0" fontId="282" fillId="52" borderId="71" xfId="0" applyFont="1" applyFill="1" applyBorder="1" applyAlignment="1" applyProtection="1">
      <alignment horizontal="center"/>
      <protection locked="0"/>
    </xf>
    <xf numFmtId="0" fontId="282" fillId="52" borderId="56" xfId="0" applyFont="1" applyFill="1" applyBorder="1" applyAlignment="1" applyProtection="1">
      <alignment horizontal="center"/>
      <protection locked="0"/>
    </xf>
    <xf numFmtId="0" fontId="0" fillId="30" borderId="0" xfId="0" applyFill="1" applyAlignment="1">
      <alignment horizontal="center"/>
    </xf>
    <xf numFmtId="0" fontId="158" fillId="0" borderId="59" xfId="0" applyFont="1" applyBorder="1" applyAlignment="1" applyProtection="1">
      <alignment horizontal="center" vertical="center"/>
      <protection locked="0"/>
    </xf>
    <xf numFmtId="0" fontId="165" fillId="56" borderId="8" xfId="0" applyFont="1" applyFill="1" applyBorder="1" applyAlignment="1" applyProtection="1">
      <alignment horizontal="center"/>
      <protection locked="0"/>
    </xf>
    <xf numFmtId="0" fontId="165" fillId="56" borderId="23" xfId="0" applyFont="1" applyFill="1" applyBorder="1" applyAlignment="1" applyProtection="1">
      <alignment horizontal="center"/>
      <protection locked="0"/>
    </xf>
    <xf numFmtId="0" fontId="137" fillId="26" borderId="9" xfId="0" applyFont="1" applyFill="1" applyBorder="1" applyAlignment="1" applyProtection="1">
      <alignment horizontal="left"/>
      <protection locked="0"/>
    </xf>
    <xf numFmtId="0" fontId="137" fillId="26" borderId="59" xfId="0" applyFont="1" applyFill="1" applyBorder="1" applyAlignment="1" applyProtection="1">
      <alignment horizontal="left"/>
      <protection locked="0"/>
    </xf>
    <xf numFmtId="0" fontId="137" fillId="26" borderId="8" xfId="0" applyFont="1" applyFill="1" applyBorder="1" applyAlignment="1" applyProtection="1">
      <alignment horizontal="left"/>
      <protection locked="0"/>
    </xf>
    <xf numFmtId="0" fontId="137" fillId="26" borderId="23" xfId="0" applyFont="1" applyFill="1" applyBorder="1" applyAlignment="1" applyProtection="1">
      <alignment horizontal="left"/>
      <protection locked="0"/>
    </xf>
    <xf numFmtId="0" fontId="80" fillId="37" borderId="12" xfId="0" applyFont="1" applyFill="1" applyBorder="1" applyAlignment="1">
      <alignment horizontal="center" vertical="center" wrapText="1"/>
    </xf>
    <xf numFmtId="0" fontId="80" fillId="37" borderId="72" xfId="0" applyFont="1" applyFill="1" applyBorder="1" applyAlignment="1">
      <alignment horizontal="center" vertical="center" wrapText="1"/>
    </xf>
    <xf numFmtId="0" fontId="80" fillId="37" borderId="46" xfId="0" applyFont="1" applyFill="1" applyBorder="1" applyAlignment="1">
      <alignment horizontal="center" vertical="center" wrapText="1"/>
    </xf>
    <xf numFmtId="0" fontId="165" fillId="56" borderId="9" xfId="0" applyFont="1" applyFill="1" applyBorder="1" applyAlignment="1" applyProtection="1">
      <alignment horizontal="center"/>
      <protection locked="0"/>
    </xf>
    <xf numFmtId="0" fontId="165" fillId="56" borderId="59" xfId="0" applyFont="1" applyFill="1" applyBorder="1" applyAlignment="1" applyProtection="1">
      <alignment horizontal="center"/>
      <protection locked="0"/>
    </xf>
    <xf numFmtId="0" fontId="67" fillId="15" borderId="14" xfId="0" applyFont="1" applyFill="1" applyBorder="1" applyAlignment="1" applyProtection="1">
      <alignment horizontal="center"/>
      <protection locked="0"/>
    </xf>
    <xf numFmtId="0" fontId="158" fillId="0" borderId="0" xfId="0" applyFont="1" applyAlignment="1" applyProtection="1">
      <alignment horizontal="center" vertical="center"/>
      <protection locked="0"/>
    </xf>
    <xf numFmtId="0" fontId="146" fillId="6" borderId="10" xfId="0" applyFont="1" applyFill="1" applyBorder="1" applyAlignment="1" applyProtection="1">
      <alignment horizontal="center" vertical="center"/>
      <protection locked="0"/>
    </xf>
    <xf numFmtId="0" fontId="146" fillId="6" borderId="25" xfId="0" applyFont="1" applyFill="1" applyBorder="1" applyAlignment="1" applyProtection="1">
      <alignment horizontal="center" vertical="center"/>
      <protection locked="0"/>
    </xf>
    <xf numFmtId="0" fontId="146" fillId="6" borderId="14" xfId="0" applyFont="1" applyFill="1" applyBorder="1" applyAlignment="1" applyProtection="1">
      <alignment horizontal="center" vertical="center"/>
      <protection locked="0"/>
    </xf>
    <xf numFmtId="0" fontId="138" fillId="32" borderId="53" xfId="0" applyFont="1" applyFill="1" applyBorder="1" applyAlignment="1">
      <alignment horizontal="center" vertical="center"/>
    </xf>
    <xf numFmtId="0" fontId="138" fillId="32" borderId="49" xfId="0" applyFont="1" applyFill="1" applyBorder="1" applyAlignment="1">
      <alignment horizontal="center" vertical="center"/>
    </xf>
    <xf numFmtId="0" fontId="144" fillId="58" borderId="12" xfId="0" applyFont="1" applyFill="1" applyBorder="1" applyAlignment="1" applyProtection="1">
      <alignment horizontal="center" vertical="center"/>
      <protection locked="0"/>
    </xf>
    <xf numFmtId="0" fontId="144" fillId="58" borderId="46" xfId="0" applyFont="1" applyFill="1" applyBorder="1" applyAlignment="1" applyProtection="1">
      <alignment horizontal="center" vertical="center"/>
      <protection locked="0"/>
    </xf>
    <xf numFmtId="0" fontId="146" fillId="9" borderId="10" xfId="0" applyFont="1" applyFill="1" applyBorder="1" applyAlignment="1" applyProtection="1">
      <alignment horizontal="center" vertical="center"/>
      <protection locked="0"/>
    </xf>
    <xf numFmtId="0" fontId="146" fillId="9" borderId="14" xfId="0" applyFont="1" applyFill="1" applyBorder="1" applyAlignment="1" applyProtection="1">
      <alignment horizontal="center" vertical="center"/>
      <protection locked="0"/>
    </xf>
    <xf numFmtId="0" fontId="146" fillId="43" borderId="10" xfId="0" applyFont="1" applyFill="1" applyBorder="1" applyAlignment="1" applyProtection="1">
      <alignment horizontal="center" vertical="center"/>
      <protection locked="0"/>
    </xf>
    <xf numFmtId="0" fontId="146" fillId="43" borderId="25" xfId="0" applyFont="1" applyFill="1" applyBorder="1" applyAlignment="1" applyProtection="1">
      <alignment horizontal="center" vertical="center"/>
      <protection locked="0"/>
    </xf>
    <xf numFmtId="0" fontId="146" fillId="43" borderId="14" xfId="0" applyFont="1" applyFill="1" applyBorder="1" applyAlignment="1" applyProtection="1">
      <alignment horizontal="center" vertical="center"/>
      <protection locked="0"/>
    </xf>
    <xf numFmtId="0" fontId="146" fillId="11" borderId="10" xfId="0" applyFont="1" applyFill="1" applyBorder="1" applyAlignment="1" applyProtection="1">
      <alignment horizontal="center" vertical="center"/>
      <protection locked="0"/>
    </xf>
    <xf numFmtId="0" fontId="146" fillId="11" borderId="25" xfId="0" applyFont="1" applyFill="1" applyBorder="1" applyAlignment="1" applyProtection="1">
      <alignment horizontal="center" vertical="center"/>
      <protection locked="0"/>
    </xf>
    <xf numFmtId="0" fontId="146" fillId="11" borderId="14" xfId="0" applyFont="1" applyFill="1" applyBorder="1" applyAlignment="1" applyProtection="1">
      <alignment horizontal="center" vertical="center"/>
      <protection locked="0"/>
    </xf>
    <xf numFmtId="0" fontId="146" fillId="33" borderId="75" xfId="0" applyFont="1" applyFill="1" applyBorder="1" applyAlignment="1" applyProtection="1">
      <alignment horizontal="center" vertical="center"/>
      <protection locked="0"/>
    </xf>
    <xf numFmtId="0" fontId="146" fillId="33" borderId="47" xfId="0" applyFont="1" applyFill="1" applyBorder="1" applyAlignment="1" applyProtection="1">
      <alignment horizontal="center" vertical="center"/>
      <protection locked="0"/>
    </xf>
    <xf numFmtId="0" fontId="146" fillId="33" borderId="38" xfId="0" applyFont="1" applyFill="1" applyBorder="1" applyAlignment="1" applyProtection="1">
      <alignment horizontal="center" vertical="center"/>
      <protection locked="0"/>
    </xf>
    <xf numFmtId="0" fontId="146" fillId="9" borderId="12" xfId="0" applyFont="1" applyFill="1" applyBorder="1" applyAlignment="1" applyProtection="1">
      <alignment horizontal="center" vertical="center"/>
      <protection locked="0"/>
    </xf>
    <xf numFmtId="0" fontId="146" fillId="9" borderId="46" xfId="0" applyFont="1" applyFill="1" applyBorder="1" applyAlignment="1" applyProtection="1">
      <alignment horizontal="center" vertical="center"/>
      <protection locked="0"/>
    </xf>
    <xf numFmtId="0" fontId="146" fillId="11" borderId="75" xfId="0" applyFont="1" applyFill="1" applyBorder="1" applyAlignment="1" applyProtection="1">
      <alignment horizontal="center" vertical="center"/>
      <protection locked="0"/>
    </xf>
    <xf numFmtId="0" fontId="146" fillId="11" borderId="47" xfId="0" applyFont="1" applyFill="1" applyBorder="1" applyAlignment="1" applyProtection="1">
      <alignment horizontal="center" vertical="center"/>
      <protection locked="0"/>
    </xf>
    <xf numFmtId="0" fontId="146" fillId="11" borderId="38" xfId="0" applyFont="1" applyFill="1" applyBorder="1" applyAlignment="1" applyProtection="1">
      <alignment horizontal="center" vertical="center"/>
      <protection locked="0"/>
    </xf>
    <xf numFmtId="0" fontId="158" fillId="0" borderId="9" xfId="0" applyFont="1" applyBorder="1" applyAlignment="1" applyProtection="1">
      <alignment horizontal="center" vertical="center"/>
      <protection locked="0"/>
    </xf>
    <xf numFmtId="0" fontId="0" fillId="52" borderId="0" xfId="0" applyFill="1" applyAlignment="1">
      <alignment horizontal="center"/>
    </xf>
    <xf numFmtId="0" fontId="137" fillId="26" borderId="73" xfId="0" applyFont="1" applyFill="1" applyBorder="1" applyAlignment="1" applyProtection="1">
      <alignment horizontal="center"/>
      <protection locked="0"/>
    </xf>
    <xf numFmtId="0" fontId="137" fillId="26" borderId="74" xfId="0" applyFont="1" applyFill="1" applyBorder="1" applyAlignment="1" applyProtection="1">
      <alignment horizontal="center"/>
      <protection locked="0"/>
    </xf>
    <xf numFmtId="0" fontId="137" fillId="26" borderId="8" xfId="0" applyFont="1" applyFill="1" applyBorder="1" applyAlignment="1" applyProtection="1">
      <alignment horizontal="center"/>
      <protection locked="0"/>
    </xf>
    <xf numFmtId="0" fontId="137" fillId="26" borderId="23" xfId="0" applyFont="1" applyFill="1" applyBorder="1" applyAlignment="1" applyProtection="1">
      <alignment horizontal="center"/>
      <protection locked="0"/>
    </xf>
    <xf numFmtId="0" fontId="288" fillId="0" borderId="98" xfId="0" applyFont="1" applyBorder="1" applyAlignment="1" applyProtection="1">
      <alignment horizontal="center" vertical="center"/>
      <protection locked="0"/>
    </xf>
    <xf numFmtId="0" fontId="288" fillId="0" borderId="99" xfId="0" applyFont="1" applyBorder="1" applyAlignment="1" applyProtection="1">
      <alignment horizontal="center" vertical="center"/>
      <protection locked="0"/>
    </xf>
    <xf numFmtId="0" fontId="288" fillId="0" borderId="100" xfId="0" applyFont="1" applyBorder="1" applyAlignment="1" applyProtection="1">
      <alignment horizontal="center" vertical="center"/>
      <protection locked="0"/>
    </xf>
    <xf numFmtId="0" fontId="146" fillId="11" borderId="13" xfId="0" applyFont="1" applyFill="1" applyBorder="1" applyAlignment="1" applyProtection="1">
      <alignment horizontal="center" vertical="center"/>
      <protection locked="0"/>
    </xf>
    <xf numFmtId="0" fontId="146" fillId="11" borderId="8" xfId="0" applyFont="1" applyFill="1" applyBorder="1" applyAlignment="1" applyProtection="1">
      <alignment horizontal="center"/>
      <protection locked="0"/>
    </xf>
    <xf numFmtId="0" fontId="146" fillId="11" borderId="44" xfId="0" applyFont="1" applyFill="1" applyBorder="1" applyAlignment="1" applyProtection="1">
      <alignment horizontal="center"/>
      <protection locked="0"/>
    </xf>
    <xf numFmtId="0" fontId="146" fillId="11" borderId="23" xfId="0" applyFont="1" applyFill="1" applyBorder="1" applyAlignment="1" applyProtection="1">
      <alignment horizontal="center"/>
      <protection locked="0"/>
    </xf>
    <xf numFmtId="0" fontId="158" fillId="0" borderId="0" xfId="0" applyFont="1" applyAlignment="1">
      <alignment horizontal="left" vertical="center" wrapText="1"/>
    </xf>
    <xf numFmtId="0" fontId="285" fillId="56" borderId="13" xfId="0" applyFont="1" applyFill="1" applyBorder="1" applyAlignment="1" applyProtection="1">
      <alignment horizontal="center" wrapText="1"/>
      <protection locked="0"/>
    </xf>
    <xf numFmtId="0" fontId="286" fillId="56" borderId="56" xfId="0" applyFont="1" applyFill="1" applyBorder="1" applyAlignment="1" applyProtection="1">
      <alignment horizontal="center" wrapText="1"/>
      <protection locked="0"/>
    </xf>
    <xf numFmtId="0" fontId="286" fillId="56" borderId="8" xfId="0" applyFont="1" applyFill="1" applyBorder="1" applyAlignment="1" applyProtection="1">
      <alignment horizontal="center" wrapText="1"/>
      <protection locked="0"/>
    </xf>
    <xf numFmtId="0" fontId="286" fillId="56" borderId="23" xfId="0" applyFont="1" applyFill="1" applyBorder="1" applyAlignment="1" applyProtection="1">
      <alignment horizontal="center" wrapText="1"/>
      <protection locked="0"/>
    </xf>
    <xf numFmtId="0" fontId="158" fillId="10" borderId="58" xfId="0" applyFont="1" applyFill="1" applyBorder="1" applyAlignment="1" applyProtection="1">
      <alignment horizontal="center" vertical="center" wrapText="1"/>
      <protection locked="0"/>
    </xf>
    <xf numFmtId="0" fontId="158" fillId="10" borderId="52" xfId="0" applyFont="1" applyFill="1" applyBorder="1" applyAlignment="1" applyProtection="1">
      <alignment horizontal="center" vertical="center" wrapText="1"/>
      <protection locked="0"/>
    </xf>
    <xf numFmtId="0" fontId="158" fillId="10" borderId="4" xfId="0" applyFont="1" applyFill="1" applyBorder="1" applyAlignment="1" applyProtection="1">
      <alignment horizontal="center" vertical="center" wrapText="1"/>
      <protection locked="0"/>
    </xf>
    <xf numFmtId="0" fontId="158" fillId="10" borderId="7" xfId="0" applyFont="1" applyFill="1" applyBorder="1" applyAlignment="1" applyProtection="1">
      <alignment horizontal="center" vertical="center" wrapText="1"/>
      <protection locked="0"/>
    </xf>
    <xf numFmtId="0" fontId="287" fillId="31" borderId="58" xfId="0" applyFont="1" applyFill="1" applyBorder="1" applyAlignment="1" applyProtection="1">
      <alignment horizontal="center" vertical="center" wrapText="1"/>
      <protection locked="0"/>
    </xf>
    <xf numFmtId="0" fontId="287" fillId="31" borderId="52" xfId="0" applyFont="1" applyFill="1" applyBorder="1" applyAlignment="1" applyProtection="1">
      <alignment horizontal="center" vertical="center" wrapText="1"/>
      <protection locked="0"/>
    </xf>
    <xf numFmtId="0" fontId="287" fillId="31" borderId="4" xfId="0" applyFont="1" applyFill="1" applyBorder="1" applyAlignment="1" applyProtection="1">
      <alignment horizontal="center" vertical="center" wrapText="1"/>
      <protection locked="0"/>
    </xf>
    <xf numFmtId="0" fontId="287" fillId="31" borderId="7" xfId="0" applyFont="1" applyFill="1" applyBorder="1" applyAlignment="1" applyProtection="1">
      <alignment horizontal="center" vertical="center" wrapText="1"/>
      <protection locked="0"/>
    </xf>
    <xf numFmtId="0" fontId="138" fillId="0" borderId="5" xfId="0" applyFont="1" applyBorder="1" applyAlignment="1" applyProtection="1">
      <alignment horizontal="center" vertical="center"/>
      <protection locked="0"/>
    </xf>
    <xf numFmtId="0" fontId="138" fillId="0" borderId="6" xfId="0" applyFont="1" applyBorder="1" applyAlignment="1" applyProtection="1">
      <alignment horizontal="center" vertical="center"/>
      <protection locked="0"/>
    </xf>
    <xf numFmtId="0" fontId="148" fillId="0" borderId="5" xfId="0" applyFont="1" applyBorder="1" applyAlignment="1" applyProtection="1">
      <alignment horizontal="center" vertical="center"/>
      <protection locked="0"/>
    </xf>
    <xf numFmtId="0" fontId="148" fillId="0" borderId="6" xfId="0" applyFont="1" applyBorder="1" applyAlignment="1" applyProtection="1">
      <alignment horizontal="center" vertical="center"/>
      <protection locked="0"/>
    </xf>
    <xf numFmtId="0" fontId="150" fillId="52" borderId="0" xfId="0" applyFont="1" applyFill="1" applyAlignment="1">
      <alignment horizontal="center"/>
    </xf>
    <xf numFmtId="0" fontId="289" fillId="31" borderId="58" xfId="0" applyFont="1" applyFill="1" applyBorder="1" applyAlignment="1" applyProtection="1">
      <alignment horizontal="center" vertical="center" wrapText="1"/>
      <protection locked="0"/>
    </xf>
    <xf numFmtId="0" fontId="289" fillId="31" borderId="52" xfId="0" applyFont="1" applyFill="1" applyBorder="1" applyAlignment="1" applyProtection="1">
      <alignment horizontal="center" vertical="center" wrapText="1"/>
      <protection locked="0"/>
    </xf>
    <xf numFmtId="0" fontId="289" fillId="31" borderId="4" xfId="0" applyFont="1" applyFill="1" applyBorder="1" applyAlignment="1" applyProtection="1">
      <alignment horizontal="center" vertical="center" wrapText="1"/>
      <protection locked="0"/>
    </xf>
    <xf numFmtId="0" fontId="289" fillId="31" borderId="7" xfId="0" applyFont="1" applyFill="1" applyBorder="1" applyAlignment="1" applyProtection="1">
      <alignment horizontal="center" vertical="center" wrapText="1"/>
      <protection locked="0"/>
    </xf>
    <xf numFmtId="0" fontId="146" fillId="11" borderId="10" xfId="0" applyFont="1" applyFill="1" applyBorder="1" applyAlignment="1" applyProtection="1">
      <alignment horizontal="center"/>
      <protection locked="0"/>
    </xf>
    <xf numFmtId="0" fontId="146" fillId="11" borderId="25" xfId="0" applyFont="1" applyFill="1" applyBorder="1" applyAlignment="1" applyProtection="1">
      <alignment horizontal="center"/>
      <protection locked="0"/>
    </xf>
    <xf numFmtId="0" fontId="146" fillId="11" borderId="14" xfId="0" applyFont="1" applyFill="1" applyBorder="1" applyAlignment="1" applyProtection="1">
      <alignment horizontal="center"/>
      <protection locked="0"/>
    </xf>
    <xf numFmtId="0" fontId="61" fillId="56" borderId="13" xfId="0" applyFont="1" applyFill="1" applyBorder="1" applyAlignment="1" applyProtection="1">
      <alignment horizontal="center" wrapText="1"/>
      <protection locked="0"/>
    </xf>
    <xf numFmtId="0" fontId="285" fillId="56" borderId="56" xfId="0" applyFont="1" applyFill="1" applyBorder="1" applyAlignment="1" applyProtection="1">
      <alignment horizontal="center" wrapText="1"/>
      <protection locked="0"/>
    </xf>
    <xf numFmtId="0" fontId="285" fillId="56" borderId="8" xfId="0" applyFont="1" applyFill="1" applyBorder="1" applyAlignment="1" applyProtection="1">
      <alignment horizontal="center" wrapText="1"/>
      <protection locked="0"/>
    </xf>
    <xf numFmtId="0" fontId="285" fillId="56" borderId="23" xfId="0" applyFont="1" applyFill="1" applyBorder="1" applyAlignment="1" applyProtection="1">
      <alignment horizontal="center" wrapText="1"/>
      <protection locked="0"/>
    </xf>
    <xf numFmtId="0" fontId="20" fillId="0" borderId="5" xfId="0" applyFont="1" applyBorder="1" applyAlignment="1">
      <alignment horizontal="left"/>
    </xf>
    <xf numFmtId="0" fontId="20" fillId="0" borderId="24" xfId="0" applyFont="1" applyBorder="1" applyAlignment="1">
      <alignment horizontal="left"/>
    </xf>
    <xf numFmtId="0" fontId="20" fillId="0" borderId="6" xfId="0" applyFont="1" applyBorder="1" applyAlignment="1">
      <alignment horizontal="left"/>
    </xf>
    <xf numFmtId="0" fontId="20" fillId="4" borderId="5" xfId="0" applyFont="1" applyFill="1" applyBorder="1" applyAlignment="1">
      <alignment horizontal="left"/>
    </xf>
    <xf numFmtId="0" fontId="20" fillId="4" borderId="24" xfId="0" applyFont="1" applyFill="1" applyBorder="1" applyAlignment="1">
      <alignment horizontal="left"/>
    </xf>
    <xf numFmtId="0" fontId="20" fillId="4" borderId="6" xfId="0" applyFont="1" applyFill="1" applyBorder="1" applyAlignment="1">
      <alignment horizontal="left"/>
    </xf>
    <xf numFmtId="0" fontId="146" fillId="6" borderId="10" xfId="0" applyFont="1" applyFill="1" applyBorder="1" applyAlignment="1">
      <alignment horizontal="right" vertical="center"/>
    </xf>
    <xf numFmtId="0" fontId="146" fillId="6" borderId="25" xfId="0" applyFont="1" applyFill="1" applyBorder="1" applyAlignment="1">
      <alignment horizontal="right" vertical="center"/>
    </xf>
    <xf numFmtId="0" fontId="146" fillId="6" borderId="14" xfId="0" applyFont="1" applyFill="1" applyBorder="1" applyAlignment="1">
      <alignment horizontal="right" vertical="center"/>
    </xf>
    <xf numFmtId="0" fontId="146" fillId="43" borderId="10" xfId="0" applyFont="1" applyFill="1" applyBorder="1" applyAlignment="1">
      <alignment horizontal="right" vertical="center"/>
    </xf>
    <xf numFmtId="0" fontId="146" fillId="43" borderId="25" xfId="0" applyFont="1" applyFill="1" applyBorder="1" applyAlignment="1">
      <alignment horizontal="right" vertical="center"/>
    </xf>
    <xf numFmtId="0" fontId="146" fillId="43" borderId="14" xfId="0" applyFont="1" applyFill="1" applyBorder="1" applyAlignment="1">
      <alignment horizontal="right" vertical="center"/>
    </xf>
    <xf numFmtId="0" fontId="0" fillId="9" borderId="10" xfId="0" applyFill="1" applyBorder="1" applyAlignment="1">
      <alignment horizontal="center"/>
    </xf>
    <xf numFmtId="0" fontId="0" fillId="9" borderId="25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183" fillId="0" borderId="25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2" fillId="0" borderId="56" xfId="0" applyFont="1" applyBorder="1" applyAlignment="1">
      <alignment horizontal="center"/>
    </xf>
    <xf numFmtId="0" fontId="137" fillId="0" borderId="73" xfId="0" applyFont="1" applyBorder="1" applyAlignment="1">
      <alignment horizontal="left"/>
    </xf>
    <xf numFmtId="0" fontId="137" fillId="0" borderId="74" xfId="0" applyFont="1" applyBorder="1" applyAlignment="1">
      <alignment horizontal="left"/>
    </xf>
    <xf numFmtId="0" fontId="137" fillId="0" borderId="8" xfId="0" applyFont="1" applyBorder="1" applyAlignment="1">
      <alignment horizontal="left"/>
    </xf>
    <xf numFmtId="0" fontId="137" fillId="0" borderId="23" xfId="0" applyFont="1" applyBorder="1" applyAlignment="1">
      <alignment horizontal="left"/>
    </xf>
    <xf numFmtId="0" fontId="241" fillId="0" borderId="0" xfId="0" applyFont="1" applyAlignment="1">
      <alignment horizontal="center"/>
    </xf>
    <xf numFmtId="0" fontId="150" fillId="48" borderId="10" xfId="0" applyFont="1" applyFill="1" applyBorder="1" applyAlignment="1">
      <alignment horizontal="center" vertical="center"/>
    </xf>
    <xf numFmtId="0" fontId="150" fillId="48" borderId="25" xfId="0" applyFont="1" applyFill="1" applyBorder="1" applyAlignment="1">
      <alignment horizontal="center" vertical="center"/>
    </xf>
    <xf numFmtId="0" fontId="150" fillId="48" borderId="14" xfId="0" applyFont="1" applyFill="1" applyBorder="1" applyAlignment="1">
      <alignment horizontal="center" vertical="center"/>
    </xf>
    <xf numFmtId="0" fontId="146" fillId="33" borderId="10" xfId="0" applyFont="1" applyFill="1" applyBorder="1" applyAlignment="1">
      <alignment horizontal="center" vertical="center"/>
    </xf>
    <xf numFmtId="0" fontId="146" fillId="33" borderId="25" xfId="0" applyFont="1" applyFill="1" applyBorder="1" applyAlignment="1">
      <alignment horizontal="center" vertical="center"/>
    </xf>
    <xf numFmtId="0" fontId="146" fillId="33" borderId="14" xfId="0" applyFont="1" applyFill="1" applyBorder="1" applyAlignment="1">
      <alignment horizontal="center" vertical="center"/>
    </xf>
    <xf numFmtId="0" fontId="144" fillId="11" borderId="10" xfId="0" applyFont="1" applyFill="1" applyBorder="1" applyAlignment="1">
      <alignment horizontal="center" vertical="center"/>
    </xf>
    <xf numFmtId="0" fontId="144" fillId="11" borderId="14" xfId="0" applyFont="1" applyFill="1" applyBorder="1" applyAlignment="1">
      <alignment horizontal="center" vertical="center"/>
    </xf>
    <xf numFmtId="0" fontId="146" fillId="11" borderId="10" xfId="0" applyFont="1" applyFill="1" applyBorder="1" applyAlignment="1">
      <alignment horizontal="center" vertical="center"/>
    </xf>
    <xf numFmtId="0" fontId="146" fillId="11" borderId="25" xfId="0" applyFont="1" applyFill="1" applyBorder="1" applyAlignment="1">
      <alignment horizontal="center" vertical="center"/>
    </xf>
    <xf numFmtId="0" fontId="146" fillId="11" borderId="10" xfId="0" applyFont="1" applyFill="1" applyBorder="1" applyAlignment="1">
      <alignment horizontal="left" vertical="center"/>
    </xf>
    <xf numFmtId="0" fontId="146" fillId="11" borderId="25" xfId="0" applyFont="1" applyFill="1" applyBorder="1" applyAlignment="1">
      <alignment horizontal="left" vertical="center"/>
    </xf>
    <xf numFmtId="0" fontId="146" fillId="11" borderId="14" xfId="0" applyFont="1" applyFill="1" applyBorder="1" applyAlignment="1">
      <alignment horizontal="left" vertical="center"/>
    </xf>
    <xf numFmtId="0" fontId="133" fillId="4" borderId="10" xfId="0" applyFont="1" applyFill="1" applyBorder="1" applyAlignment="1">
      <alignment horizontal="center" vertical="center"/>
    </xf>
    <xf numFmtId="0" fontId="133" fillId="4" borderId="25" xfId="0" applyFont="1" applyFill="1" applyBorder="1" applyAlignment="1">
      <alignment horizontal="center" vertical="center"/>
    </xf>
    <xf numFmtId="0" fontId="149" fillId="9" borderId="10" xfId="0" applyFont="1" applyFill="1" applyBorder="1" applyAlignment="1">
      <alignment horizontal="center" vertical="center"/>
    </xf>
    <xf numFmtId="0" fontId="149" fillId="9" borderId="25" xfId="0" applyFont="1" applyFill="1" applyBorder="1" applyAlignment="1">
      <alignment horizontal="center" vertical="center"/>
    </xf>
    <xf numFmtId="0" fontId="149" fillId="9" borderId="56" xfId="0" applyFont="1" applyFill="1" applyBorder="1" applyAlignment="1">
      <alignment horizontal="center" vertical="center"/>
    </xf>
    <xf numFmtId="0" fontId="20" fillId="4" borderId="5" xfId="0" applyFont="1" applyFill="1" applyBorder="1" applyAlignment="1">
      <alignment horizontal="left" vertical="center"/>
    </xf>
    <xf numFmtId="0" fontId="20" fillId="4" borderId="24" xfId="0" applyFont="1" applyFill="1" applyBorder="1" applyAlignment="1">
      <alignment horizontal="left" vertical="center"/>
    </xf>
    <xf numFmtId="0" fontId="20" fillId="4" borderId="6" xfId="0" applyFont="1" applyFill="1" applyBorder="1" applyAlignment="1">
      <alignment horizontal="left" vertical="center"/>
    </xf>
    <xf numFmtId="0" fontId="20" fillId="0" borderId="5" xfId="0" applyFont="1" applyBorder="1" applyAlignment="1">
      <alignment horizontal="left" vertical="center"/>
    </xf>
    <xf numFmtId="0" fontId="20" fillId="0" borderId="24" xfId="0" applyFont="1" applyBorder="1" applyAlignment="1">
      <alignment horizontal="left" vertical="center"/>
    </xf>
    <xf numFmtId="0" fontId="20" fillId="0" borderId="6" xfId="0" applyFont="1" applyBorder="1" applyAlignment="1">
      <alignment horizontal="left" vertical="center"/>
    </xf>
    <xf numFmtId="0" fontId="149" fillId="9" borderId="14" xfId="0" applyFont="1" applyFill="1" applyBorder="1" applyAlignment="1">
      <alignment horizontal="center" vertical="center"/>
    </xf>
    <xf numFmtId="0" fontId="149" fillId="32" borderId="10" xfId="0" applyFont="1" applyFill="1" applyBorder="1" applyAlignment="1">
      <alignment horizontal="right" vertical="center"/>
    </xf>
    <xf numFmtId="0" fontId="149" fillId="32" borderId="14" xfId="0" applyFont="1" applyFill="1" applyBorder="1" applyAlignment="1">
      <alignment horizontal="right" vertical="center"/>
    </xf>
    <xf numFmtId="0" fontId="133" fillId="32" borderId="10" xfId="0" applyFont="1" applyFill="1" applyBorder="1" applyAlignment="1">
      <alignment horizontal="center" vertical="center"/>
    </xf>
    <xf numFmtId="0" fontId="133" fillId="32" borderId="25" xfId="0" applyFont="1" applyFill="1" applyBorder="1" applyAlignment="1">
      <alignment horizontal="center" vertical="center"/>
    </xf>
    <xf numFmtId="0" fontId="47" fillId="0" borderId="0" xfId="0" applyFont="1" applyAlignment="1">
      <alignment horizontal="left" vertical="center"/>
    </xf>
    <xf numFmtId="0" fontId="146" fillId="0" borderId="0" xfId="0" applyFont="1" applyAlignment="1">
      <alignment horizontal="center" vertical="center"/>
    </xf>
    <xf numFmtId="0" fontId="290" fillId="0" borderId="10" xfId="0" applyFont="1" applyBorder="1" applyAlignment="1">
      <alignment horizontal="center"/>
    </xf>
    <xf numFmtId="0" fontId="290" fillId="0" borderId="25" xfId="0" applyFont="1" applyBorder="1" applyAlignment="1">
      <alignment horizontal="center"/>
    </xf>
    <xf numFmtId="0" fontId="290" fillId="0" borderId="14" xfId="0" applyFont="1" applyBorder="1" applyAlignment="1">
      <alignment horizontal="center"/>
    </xf>
    <xf numFmtId="2" fontId="131" fillId="30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2" fontId="0" fillId="11" borderId="0" xfId="0" applyNumberFormat="1" applyFill="1" applyAlignment="1">
      <alignment horizontal="center"/>
    </xf>
    <xf numFmtId="0" fontId="239" fillId="27" borderId="0" xfId="0" applyFont="1" applyFill="1" applyAlignment="1">
      <alignment horizontal="center"/>
    </xf>
    <xf numFmtId="2" fontId="159" fillId="26" borderId="0" xfId="0" applyNumberFormat="1" applyFont="1" applyFill="1" applyAlignment="1">
      <alignment horizontal="center"/>
    </xf>
    <xf numFmtId="2" fontId="196" fillId="43" borderId="0" xfId="0" applyNumberFormat="1" applyFont="1" applyFill="1" applyAlignment="1">
      <alignment horizontal="center"/>
    </xf>
    <xf numFmtId="2" fontId="195" fillId="14" borderId="0" xfId="0" applyNumberFormat="1" applyFont="1" applyFill="1" applyAlignment="1">
      <alignment horizontal="center"/>
    </xf>
    <xf numFmtId="2" fontId="213" fillId="22" borderId="0" xfId="0" applyNumberFormat="1" applyFont="1" applyFill="1" applyAlignment="1">
      <alignment horizontal="center"/>
    </xf>
    <xf numFmtId="2" fontId="214" fillId="7" borderId="0" xfId="0" applyNumberFormat="1" applyFont="1" applyFill="1" applyAlignment="1">
      <alignment horizontal="center" vertical="center"/>
    </xf>
    <xf numFmtId="0" fontId="259" fillId="18" borderId="10" xfId="0" applyFont="1" applyFill="1" applyBorder="1" applyAlignment="1">
      <alignment horizontal="left" vertical="center"/>
    </xf>
    <xf numFmtId="0" fontId="259" fillId="18" borderId="25" xfId="0" applyFont="1" applyFill="1" applyBorder="1" applyAlignment="1">
      <alignment horizontal="left" vertical="center"/>
    </xf>
    <xf numFmtId="0" fontId="259" fillId="18" borderId="10" xfId="0" applyFont="1" applyFill="1" applyBorder="1" applyAlignment="1">
      <alignment horizontal="center" vertical="center" wrapText="1"/>
    </xf>
    <xf numFmtId="0" fontId="259" fillId="18" borderId="25" xfId="0" applyFont="1" applyFill="1" applyBorder="1" applyAlignment="1">
      <alignment horizontal="center" vertical="center" wrapText="1"/>
    </xf>
    <xf numFmtId="0" fontId="259" fillId="18" borderId="10" xfId="0" applyFont="1" applyFill="1" applyBorder="1" applyAlignment="1">
      <alignment horizontal="left" vertical="center" wrapText="1"/>
    </xf>
    <xf numFmtId="0" fontId="259" fillId="18" borderId="25" xfId="0" applyFont="1" applyFill="1" applyBorder="1" applyAlignment="1">
      <alignment horizontal="left" vertical="center" wrapText="1"/>
    </xf>
    <xf numFmtId="0" fontId="263" fillId="0" borderId="24" xfId="0" applyFont="1" applyBorder="1" applyAlignment="1">
      <alignment horizontal="center"/>
    </xf>
    <xf numFmtId="0" fontId="222" fillId="18" borderId="24" xfId="0" applyFont="1" applyFill="1" applyBorder="1" applyAlignment="1">
      <alignment horizontal="center" vertical="center"/>
    </xf>
    <xf numFmtId="0" fontId="263" fillId="0" borderId="24" xfId="0" applyFont="1" applyBorder="1" applyAlignment="1">
      <alignment horizontal="center" vertical="center"/>
    </xf>
    <xf numFmtId="0" fontId="186" fillId="41" borderId="5" xfId="0" applyFont="1" applyFill="1" applyBorder="1" applyAlignment="1">
      <alignment horizontal="center" vertical="center"/>
    </xf>
    <xf numFmtId="0" fontId="186" fillId="41" borderId="24" xfId="0" applyFont="1" applyFill="1" applyBorder="1" applyAlignment="1">
      <alignment horizontal="center" vertical="center"/>
    </xf>
    <xf numFmtId="0" fontId="263" fillId="28" borderId="5" xfId="0" applyFont="1" applyFill="1" applyBorder="1" applyAlignment="1">
      <alignment horizontal="center"/>
    </xf>
    <xf numFmtId="0" fontId="263" fillId="28" borderId="24" xfId="0" applyFont="1" applyFill="1" applyBorder="1" applyAlignment="1">
      <alignment horizontal="center"/>
    </xf>
    <xf numFmtId="0" fontId="263" fillId="28" borderId="6" xfId="0" applyFont="1" applyFill="1" applyBorder="1" applyAlignment="1">
      <alignment horizontal="center"/>
    </xf>
    <xf numFmtId="0" fontId="263" fillId="0" borderId="4" xfId="0" applyFont="1" applyBorder="1" applyAlignment="1">
      <alignment horizontal="center" vertical="center"/>
    </xf>
    <xf numFmtId="0" fontId="263" fillId="0" borderId="69" xfId="0" applyFont="1" applyBorder="1" applyAlignment="1">
      <alignment horizontal="center" vertical="center"/>
    </xf>
    <xf numFmtId="0" fontId="263" fillId="0" borderId="7" xfId="0" applyFont="1" applyBorder="1" applyAlignment="1">
      <alignment horizontal="center" vertical="center"/>
    </xf>
    <xf numFmtId="0" fontId="263" fillId="0" borderId="5" xfId="0" applyFont="1" applyBorder="1" applyAlignment="1">
      <alignment horizontal="center" vertical="center"/>
    </xf>
    <xf numFmtId="0" fontId="263" fillId="0" borderId="6" xfId="0" applyFont="1" applyBorder="1" applyAlignment="1">
      <alignment horizontal="center" vertical="center"/>
    </xf>
    <xf numFmtId="0" fontId="222" fillId="18" borderId="3" xfId="0" applyFont="1" applyFill="1" applyBorder="1" applyAlignment="1">
      <alignment horizontal="center" vertical="center"/>
    </xf>
    <xf numFmtId="2" fontId="174" fillId="27" borderId="0" xfId="0" applyNumberFormat="1" applyFont="1" applyFill="1" applyAlignment="1">
      <alignment horizontal="center" vertical="top"/>
    </xf>
    <xf numFmtId="2" fontId="199" fillId="15" borderId="1" xfId="0" applyNumberFormat="1" applyFont="1" applyFill="1" applyBorder="1" applyAlignment="1">
      <alignment horizontal="center"/>
    </xf>
    <xf numFmtId="2" fontId="174" fillId="26" borderId="0" xfId="0" applyNumberFormat="1" applyFont="1" applyFill="1" applyAlignment="1">
      <alignment horizontal="center" vertical="top"/>
    </xf>
    <xf numFmtId="2" fontId="174" fillId="30" borderId="0" xfId="0" applyNumberFormat="1" applyFont="1" applyFill="1" applyAlignment="1">
      <alignment horizontal="center" vertical="top"/>
    </xf>
    <xf numFmtId="2" fontId="174" fillId="7" borderId="0" xfId="0" applyNumberFormat="1" applyFont="1" applyFill="1" applyAlignment="1">
      <alignment horizontal="center" vertical="top"/>
    </xf>
    <xf numFmtId="2" fontId="291" fillId="9" borderId="0" xfId="0" applyNumberFormat="1" applyFont="1" applyFill="1" applyAlignment="1">
      <alignment horizontal="center" vertical="top"/>
    </xf>
    <xf numFmtId="2" fontId="174" fillId="11" borderId="0" xfId="0" applyNumberFormat="1" applyFont="1" applyFill="1" applyAlignment="1">
      <alignment horizontal="center" vertical="top"/>
    </xf>
    <xf numFmtId="2" fontId="174" fillId="43" borderId="0" xfId="0" applyNumberFormat="1" applyFont="1" applyFill="1" applyAlignment="1">
      <alignment horizontal="center" vertical="top"/>
    </xf>
    <xf numFmtId="2" fontId="174" fillId="14" borderId="0" xfId="0" applyNumberFormat="1" applyFont="1" applyFill="1" applyAlignment="1">
      <alignment horizontal="center" vertical="top"/>
    </xf>
    <xf numFmtId="2" fontId="174" fillId="22" borderId="0" xfId="0" applyNumberFormat="1" applyFont="1" applyFill="1" applyAlignment="1">
      <alignment horizontal="center" vertical="top"/>
    </xf>
    <xf numFmtId="2" fontId="174" fillId="10" borderId="0" xfId="0" applyNumberFormat="1" applyFont="1" applyFill="1" applyAlignment="1">
      <alignment horizontal="center" vertical="top"/>
    </xf>
    <xf numFmtId="2" fontId="174" fillId="44" borderId="0" xfId="0" applyNumberFormat="1" applyFont="1" applyFill="1" applyAlignment="1">
      <alignment horizontal="center" vertical="top"/>
    </xf>
    <xf numFmtId="0" fontId="138" fillId="8" borderId="39" xfId="0" applyFont="1" applyFill="1" applyBorder="1" applyAlignment="1">
      <alignment horizontal="center" vertical="center"/>
    </xf>
    <xf numFmtId="0" fontId="138" fillId="8" borderId="66" xfId="0" applyFont="1" applyFill="1" applyBorder="1" applyAlignment="1">
      <alignment horizontal="center" vertical="center"/>
    </xf>
    <xf numFmtId="0" fontId="138" fillId="27" borderId="5" xfId="0" applyFont="1" applyFill="1" applyBorder="1" applyAlignment="1">
      <alignment horizontal="center" vertical="center"/>
    </xf>
    <xf numFmtId="0" fontId="138" fillId="27" borderId="66" xfId="0" applyFont="1" applyFill="1" applyBorder="1" applyAlignment="1">
      <alignment horizontal="center" vertical="center"/>
    </xf>
    <xf numFmtId="0" fontId="138" fillId="59" borderId="5" xfId="0" applyFont="1" applyFill="1" applyBorder="1" applyAlignment="1">
      <alignment horizontal="center" vertical="center"/>
    </xf>
    <xf numFmtId="0" fontId="138" fillId="59" borderId="66" xfId="0" applyFont="1" applyFill="1" applyBorder="1" applyAlignment="1">
      <alignment horizontal="center" vertical="center"/>
    </xf>
    <xf numFmtId="0" fontId="139" fillId="0" borderId="0" xfId="0" applyFont="1" applyAlignment="1">
      <alignment horizontal="center" vertical="center"/>
    </xf>
    <xf numFmtId="0" fontId="144" fillId="32" borderId="12" xfId="0" applyFont="1" applyFill="1" applyBorder="1" applyAlignment="1">
      <alignment horizontal="center" vertical="center"/>
    </xf>
    <xf numFmtId="0" fontId="144" fillId="32" borderId="46" xfId="0" applyFont="1" applyFill="1" applyBorder="1" applyAlignment="1">
      <alignment horizontal="center" vertical="center"/>
    </xf>
    <xf numFmtId="0" fontId="283" fillId="0" borderId="0" xfId="0" applyFont="1" applyAlignment="1">
      <alignment horizontal="center" vertical="center"/>
    </xf>
    <xf numFmtId="0" fontId="138" fillId="27" borderId="67" xfId="0" applyFont="1" applyFill="1" applyBorder="1" applyAlignment="1">
      <alignment horizontal="center" vertical="center"/>
    </xf>
    <xf numFmtId="0" fontId="138" fillId="27" borderId="54" xfId="0" applyFont="1" applyFill="1" applyBorder="1" applyAlignment="1">
      <alignment horizontal="center" vertical="center"/>
    </xf>
    <xf numFmtId="0" fontId="293" fillId="10" borderId="13" xfId="0" applyFont="1" applyFill="1" applyBorder="1" applyAlignment="1">
      <alignment horizontal="center" vertical="center" wrapText="1"/>
    </xf>
    <xf numFmtId="0" fontId="293" fillId="10" borderId="43" xfId="0" applyFont="1" applyFill="1" applyBorder="1" applyAlignment="1">
      <alignment horizontal="center" vertical="center" wrapText="1"/>
    </xf>
    <xf numFmtId="0" fontId="293" fillId="10" borderId="56" xfId="0" applyFont="1" applyFill="1" applyBorder="1" applyAlignment="1">
      <alignment horizontal="center" vertical="center" wrapText="1"/>
    </xf>
    <xf numFmtId="0" fontId="293" fillId="10" borderId="9" xfId="0" applyFont="1" applyFill="1" applyBorder="1" applyAlignment="1">
      <alignment horizontal="center" vertical="center" wrapText="1"/>
    </xf>
    <xf numFmtId="0" fontId="293" fillId="10" borderId="0" xfId="0" applyFont="1" applyFill="1" applyAlignment="1">
      <alignment horizontal="center" vertical="center" wrapText="1"/>
    </xf>
    <xf numFmtId="0" fontId="293" fillId="10" borderId="59" xfId="0" applyFont="1" applyFill="1" applyBorder="1" applyAlignment="1">
      <alignment horizontal="center" vertical="center" wrapText="1"/>
    </xf>
    <xf numFmtId="0" fontId="293" fillId="10" borderId="8" xfId="0" applyFont="1" applyFill="1" applyBorder="1" applyAlignment="1">
      <alignment horizontal="center" vertical="center" wrapText="1"/>
    </xf>
    <xf numFmtId="0" fontId="293" fillId="10" borderId="44" xfId="0" applyFont="1" applyFill="1" applyBorder="1" applyAlignment="1">
      <alignment horizontal="center" vertical="center" wrapText="1"/>
    </xf>
    <xf numFmtId="0" fontId="293" fillId="10" borderId="23" xfId="0" applyFont="1" applyFill="1" applyBorder="1" applyAlignment="1">
      <alignment horizontal="center" vertical="center" wrapText="1"/>
    </xf>
    <xf numFmtId="0" fontId="146" fillId="9" borderId="13" xfId="0" applyFont="1" applyFill="1" applyBorder="1" applyAlignment="1">
      <alignment horizontal="center" vertical="center"/>
    </xf>
    <xf numFmtId="0" fontId="146" fillId="9" borderId="56" xfId="0" applyFont="1" applyFill="1" applyBorder="1" applyAlignment="1">
      <alignment horizontal="center" vertical="center"/>
    </xf>
    <xf numFmtId="0" fontId="146" fillId="9" borderId="8" xfId="0" applyFont="1" applyFill="1" applyBorder="1" applyAlignment="1">
      <alignment horizontal="center" vertical="center"/>
    </xf>
    <xf numFmtId="0" fontId="146" fillId="9" borderId="23" xfId="0" applyFont="1" applyFill="1" applyBorder="1" applyAlignment="1">
      <alignment horizontal="center" vertical="center"/>
    </xf>
    <xf numFmtId="0" fontId="138" fillId="59" borderId="67" xfId="0" applyFont="1" applyFill="1" applyBorder="1" applyAlignment="1">
      <alignment horizontal="center" vertical="center"/>
    </xf>
    <xf numFmtId="0" fontId="138" fillId="59" borderId="54" xfId="0" applyFont="1" applyFill="1" applyBorder="1" applyAlignment="1">
      <alignment horizontal="center" vertical="center"/>
    </xf>
    <xf numFmtId="0" fontId="294" fillId="60" borderId="13" xfId="0" applyFont="1" applyFill="1" applyBorder="1" applyAlignment="1">
      <alignment horizontal="center" vertical="center" wrapText="1"/>
    </xf>
    <xf numFmtId="0" fontId="294" fillId="60" borderId="43" xfId="0" applyFont="1" applyFill="1" applyBorder="1" applyAlignment="1">
      <alignment horizontal="center" vertical="center" wrapText="1"/>
    </xf>
    <xf numFmtId="0" fontId="294" fillId="60" borderId="56" xfId="0" applyFont="1" applyFill="1" applyBorder="1" applyAlignment="1">
      <alignment horizontal="center" vertical="center" wrapText="1"/>
    </xf>
    <xf numFmtId="0" fontId="294" fillId="60" borderId="9" xfId="0" applyFont="1" applyFill="1" applyBorder="1" applyAlignment="1">
      <alignment horizontal="center" vertical="center" wrapText="1"/>
    </xf>
    <xf numFmtId="0" fontId="294" fillId="60" borderId="0" xfId="0" applyFont="1" applyFill="1" applyAlignment="1">
      <alignment horizontal="center" vertical="center" wrapText="1"/>
    </xf>
    <xf numFmtId="0" fontId="294" fillId="60" borderId="59" xfId="0" applyFont="1" applyFill="1" applyBorder="1" applyAlignment="1">
      <alignment horizontal="center" vertical="center" wrapText="1"/>
    </xf>
    <xf numFmtId="0" fontId="294" fillId="60" borderId="8" xfId="0" applyFont="1" applyFill="1" applyBorder="1" applyAlignment="1">
      <alignment horizontal="center" vertical="center" wrapText="1"/>
    </xf>
    <xf numFmtId="0" fontId="294" fillId="60" borderId="44" xfId="0" applyFont="1" applyFill="1" applyBorder="1" applyAlignment="1">
      <alignment horizontal="center" vertical="center" wrapText="1"/>
    </xf>
    <xf numFmtId="0" fontId="294" fillId="60" borderId="23" xfId="0" applyFont="1" applyFill="1" applyBorder="1" applyAlignment="1">
      <alignment horizontal="center" vertical="center" wrapText="1"/>
    </xf>
    <xf numFmtId="0" fontId="138" fillId="8" borderId="27" xfId="0" applyFont="1" applyFill="1" applyBorder="1" applyAlignment="1">
      <alignment horizontal="center" vertical="center"/>
    </xf>
    <xf numFmtId="0" fontId="138" fillId="8" borderId="54" xfId="0" applyFont="1" applyFill="1" applyBorder="1" applyAlignment="1">
      <alignment horizontal="center" vertical="center"/>
    </xf>
    <xf numFmtId="0" fontId="292" fillId="32" borderId="13" xfId="0" applyFont="1" applyFill="1" applyBorder="1" applyAlignment="1">
      <alignment horizontal="center" vertical="center" wrapText="1"/>
    </xf>
    <xf numFmtId="0" fontId="292" fillId="32" borderId="43" xfId="0" applyFont="1" applyFill="1" applyBorder="1" applyAlignment="1">
      <alignment horizontal="center" vertical="center" wrapText="1"/>
    </xf>
    <xf numFmtId="0" fontId="292" fillId="32" borderId="56" xfId="0" applyFont="1" applyFill="1" applyBorder="1" applyAlignment="1">
      <alignment horizontal="center" vertical="center" wrapText="1"/>
    </xf>
    <xf numFmtId="0" fontId="292" fillId="32" borderId="8" xfId="0" applyFont="1" applyFill="1" applyBorder="1" applyAlignment="1">
      <alignment horizontal="center" vertical="center" wrapText="1"/>
    </xf>
    <xf numFmtId="0" fontId="292" fillId="32" borderId="44" xfId="0" applyFont="1" applyFill="1" applyBorder="1" applyAlignment="1">
      <alignment horizontal="center" vertical="center" wrapText="1"/>
    </xf>
    <xf numFmtId="0" fontId="292" fillId="32" borderId="23" xfId="0" applyFont="1" applyFill="1" applyBorder="1" applyAlignment="1">
      <alignment horizontal="center" vertical="center" wrapText="1"/>
    </xf>
    <xf numFmtId="0" fontId="146" fillId="9" borderId="12" xfId="0" applyFont="1" applyFill="1" applyBorder="1" applyAlignment="1">
      <alignment horizontal="center" vertical="center"/>
    </xf>
    <xf numFmtId="0" fontId="146" fillId="9" borderId="46" xfId="0" applyFont="1" applyFill="1" applyBorder="1" applyAlignment="1">
      <alignment horizontal="center" vertical="center"/>
    </xf>
    <xf numFmtId="0" fontId="264" fillId="10" borderId="13" xfId="0" applyFont="1" applyFill="1" applyBorder="1" applyAlignment="1">
      <alignment horizontal="center" vertical="center" wrapText="1"/>
    </xf>
    <xf numFmtId="0" fontId="264" fillId="10" borderId="43" xfId="0" applyFont="1" applyFill="1" applyBorder="1" applyAlignment="1">
      <alignment horizontal="center" vertical="center" wrapText="1"/>
    </xf>
    <xf numFmtId="0" fontId="264" fillId="10" borderId="56" xfId="0" applyFont="1" applyFill="1" applyBorder="1" applyAlignment="1">
      <alignment horizontal="center" vertical="center" wrapText="1"/>
    </xf>
    <xf numFmtId="0" fontId="264" fillId="10" borderId="9" xfId="0" applyFont="1" applyFill="1" applyBorder="1" applyAlignment="1">
      <alignment horizontal="center" vertical="center" wrapText="1"/>
    </xf>
    <xf numFmtId="0" fontId="264" fillId="10" borderId="0" xfId="0" applyFont="1" applyFill="1" applyAlignment="1">
      <alignment horizontal="center" vertical="center" wrapText="1"/>
    </xf>
    <xf numFmtId="0" fontId="264" fillId="10" borderId="59" xfId="0" applyFont="1" applyFill="1" applyBorder="1" applyAlignment="1">
      <alignment horizontal="center" vertical="center" wrapText="1"/>
    </xf>
    <xf numFmtId="0" fontId="264" fillId="10" borderId="8" xfId="0" applyFont="1" applyFill="1" applyBorder="1" applyAlignment="1">
      <alignment horizontal="center" vertical="center" wrapText="1"/>
    </xf>
    <xf numFmtId="0" fontId="264" fillId="22" borderId="0" xfId="0" applyFont="1" applyFill="1" applyAlignment="1">
      <alignment horizontal="center" vertical="center" wrapText="1"/>
    </xf>
    <xf numFmtId="0" fontId="264" fillId="22" borderId="44" xfId="0" applyFont="1" applyFill="1" applyBorder="1" applyAlignment="1">
      <alignment horizontal="center" vertical="center" wrapText="1"/>
    </xf>
    <xf numFmtId="0" fontId="5" fillId="7" borderId="64" xfId="0" applyFont="1" applyFill="1" applyBorder="1" applyAlignment="1" applyProtection="1">
      <alignment horizontal="center" vertical="center" wrapText="1"/>
      <protection locked="0"/>
    </xf>
    <xf numFmtId="0" fontId="5" fillId="7" borderId="63" xfId="0" applyFont="1" applyFill="1" applyBorder="1" applyAlignment="1" applyProtection="1">
      <alignment horizontal="center" vertical="center" wrapText="1"/>
      <protection locked="0"/>
    </xf>
    <xf numFmtId="2" fontId="296" fillId="54" borderId="13" xfId="0" applyNumberFormat="1" applyFont="1" applyFill="1" applyBorder="1" applyAlignment="1" applyProtection="1">
      <alignment horizontal="center" vertical="center" wrapText="1"/>
      <protection locked="0"/>
    </xf>
    <xf numFmtId="2" fontId="296" fillId="54" borderId="43" xfId="0" applyNumberFormat="1" applyFont="1" applyFill="1" applyBorder="1" applyAlignment="1" applyProtection="1">
      <alignment horizontal="center" vertical="center" wrapText="1"/>
      <protection locked="0"/>
    </xf>
    <xf numFmtId="2" fontId="296" fillId="54" borderId="56" xfId="0" applyNumberFormat="1" applyFont="1" applyFill="1" applyBorder="1" applyAlignment="1" applyProtection="1">
      <alignment horizontal="center" vertical="center" wrapText="1"/>
      <protection locked="0"/>
    </xf>
    <xf numFmtId="0" fontId="295" fillId="54" borderId="12" xfId="0" applyFont="1" applyFill="1" applyBorder="1" applyAlignment="1" applyProtection="1">
      <alignment horizontal="center" vertical="center" wrapText="1"/>
      <protection locked="0"/>
    </xf>
    <xf numFmtId="0" fontId="295" fillId="54" borderId="72" xfId="0" applyFont="1" applyFill="1" applyBorder="1" applyAlignment="1" applyProtection="1">
      <alignment horizontal="center" vertical="center" wrapText="1"/>
      <protection locked="0"/>
    </xf>
    <xf numFmtId="0" fontId="295" fillId="54" borderId="46" xfId="0" applyFont="1" applyFill="1" applyBorder="1" applyAlignment="1" applyProtection="1">
      <alignment horizontal="center" vertical="center" wrapText="1"/>
      <protection locked="0"/>
    </xf>
    <xf numFmtId="2" fontId="5" fillId="18" borderId="32" xfId="0" applyNumberFormat="1" applyFont="1" applyFill="1" applyBorder="1" applyAlignment="1" applyProtection="1">
      <alignment horizontal="center" vertical="center" wrapText="1"/>
      <protection locked="0"/>
    </xf>
    <xf numFmtId="2" fontId="5" fillId="18" borderId="36" xfId="0" applyNumberFormat="1" applyFont="1" applyFill="1" applyBorder="1" applyAlignment="1" applyProtection="1">
      <alignment horizontal="center" vertical="center" wrapText="1"/>
      <protection locked="0"/>
    </xf>
    <xf numFmtId="0" fontId="137" fillId="40" borderId="0" xfId="0" applyFont="1" applyFill="1" applyAlignment="1" applyProtection="1">
      <alignment horizontal="center" vertical="center"/>
      <protection locked="0"/>
    </xf>
    <xf numFmtId="2" fontId="296" fillId="54" borderId="27" xfId="0" applyNumberFormat="1" applyFont="1" applyFill="1" applyBorder="1" applyAlignment="1" applyProtection="1">
      <alignment horizontal="center" vertical="center" wrapText="1"/>
      <protection locked="0"/>
    </xf>
    <xf numFmtId="2" fontId="296" fillId="54" borderId="71" xfId="0" applyNumberFormat="1" applyFont="1" applyFill="1" applyBorder="1" applyAlignment="1" applyProtection="1">
      <alignment horizontal="center" vertical="center" wrapText="1"/>
      <protection locked="0"/>
    </xf>
    <xf numFmtId="2" fontId="296" fillId="54" borderId="54" xfId="0" applyNumberFormat="1" applyFont="1" applyFill="1" applyBorder="1" applyAlignment="1" applyProtection="1">
      <alignment horizontal="center" vertical="center" wrapText="1"/>
      <protection locked="0"/>
    </xf>
    <xf numFmtId="2" fontId="298" fillId="54" borderId="39" xfId="0" applyNumberFormat="1" applyFont="1" applyFill="1" applyBorder="1" applyAlignment="1" applyProtection="1">
      <alignment horizontal="center" vertical="center" wrapText="1"/>
      <protection locked="0"/>
    </xf>
    <xf numFmtId="2" fontId="298" fillId="54" borderId="24" xfId="0" applyNumberFormat="1" applyFont="1" applyFill="1" applyBorder="1" applyAlignment="1" applyProtection="1">
      <alignment horizontal="center" vertical="center" wrapText="1"/>
      <protection locked="0"/>
    </xf>
    <xf numFmtId="2" fontId="298" fillId="54" borderId="66" xfId="0" applyNumberFormat="1" applyFont="1" applyFill="1" applyBorder="1" applyAlignment="1" applyProtection="1">
      <alignment horizontal="center" vertical="center" wrapText="1"/>
      <protection locked="0"/>
    </xf>
    <xf numFmtId="2" fontId="5" fillId="18" borderId="1" xfId="0" applyNumberFormat="1" applyFont="1" applyFill="1" applyBorder="1" applyAlignment="1" applyProtection="1">
      <alignment horizontal="center" vertical="center" wrapText="1"/>
      <protection locked="0"/>
    </xf>
    <xf numFmtId="2" fontId="5" fillId="18" borderId="35" xfId="0" applyNumberFormat="1" applyFont="1" applyFill="1" applyBorder="1" applyAlignment="1" applyProtection="1">
      <alignment horizontal="center" vertical="center" wrapText="1"/>
      <protection locked="0"/>
    </xf>
    <xf numFmtId="2" fontId="298" fillId="54" borderId="70" xfId="0" applyNumberFormat="1" applyFont="1" applyFill="1" applyBorder="1" applyAlignment="1" applyProtection="1">
      <alignment horizontal="center" vertical="center" wrapText="1"/>
      <protection locked="0"/>
    </xf>
    <xf numFmtId="2" fontId="298" fillId="54" borderId="69" xfId="0" applyNumberFormat="1" applyFont="1" applyFill="1" applyBorder="1" applyAlignment="1" applyProtection="1">
      <alignment horizontal="center" vertical="center" wrapText="1"/>
      <protection locked="0"/>
    </xf>
    <xf numFmtId="2" fontId="298" fillId="54" borderId="45" xfId="0" applyNumberFormat="1" applyFont="1" applyFill="1" applyBorder="1" applyAlignment="1" applyProtection="1">
      <alignment horizontal="center" vertical="center" wrapText="1"/>
      <protection locked="0"/>
    </xf>
    <xf numFmtId="0" fontId="137" fillId="26" borderId="6" xfId="0" applyFont="1" applyFill="1" applyBorder="1" applyAlignment="1" applyProtection="1">
      <alignment horizontal="center" vertical="center"/>
      <protection locked="0"/>
    </xf>
    <xf numFmtId="0" fontId="137" fillId="26" borderId="32" xfId="0" applyFont="1" applyFill="1" applyBorder="1" applyAlignment="1" applyProtection="1">
      <alignment horizontal="center" vertical="center"/>
      <protection locked="0"/>
    </xf>
    <xf numFmtId="0" fontId="137" fillId="26" borderId="34" xfId="0" applyFont="1" applyFill="1" applyBorder="1" applyAlignment="1" applyProtection="1">
      <alignment horizontal="center" vertical="center"/>
      <protection locked="0"/>
    </xf>
    <xf numFmtId="0" fontId="137" fillId="26" borderId="36" xfId="0" applyFont="1" applyFill="1" applyBorder="1" applyAlignment="1" applyProtection="1">
      <alignment horizontal="center" vertical="center"/>
      <protection locked="0"/>
    </xf>
    <xf numFmtId="2" fontId="297" fillId="23" borderId="31" xfId="0" applyNumberFormat="1" applyFont="1" applyFill="1" applyBorder="1" applyAlignment="1" applyProtection="1">
      <alignment horizontal="center" vertical="center" wrapText="1"/>
      <protection locked="0"/>
    </xf>
    <xf numFmtId="2" fontId="297" fillId="23" borderId="33" xfId="0" applyNumberFormat="1" applyFont="1" applyFill="1" applyBorder="1" applyAlignment="1" applyProtection="1">
      <alignment horizontal="center" vertical="center" wrapText="1"/>
      <protection locked="0"/>
    </xf>
    <xf numFmtId="2" fontId="297" fillId="23" borderId="1" xfId="0" applyNumberFormat="1" applyFont="1" applyFill="1" applyBorder="1" applyAlignment="1" applyProtection="1">
      <alignment horizontal="center" vertical="center" wrapText="1"/>
      <protection locked="0"/>
    </xf>
    <xf numFmtId="2" fontId="297" fillId="23" borderId="35" xfId="0" applyNumberFormat="1" applyFont="1" applyFill="1" applyBorder="1" applyAlignment="1" applyProtection="1">
      <alignment horizontal="center" vertical="center" wrapText="1"/>
      <protection locked="0"/>
    </xf>
    <xf numFmtId="2" fontId="297" fillId="23" borderId="32" xfId="0" applyNumberFormat="1" applyFont="1" applyFill="1" applyBorder="1" applyAlignment="1" applyProtection="1">
      <alignment horizontal="center" vertical="center" wrapText="1"/>
      <protection locked="0"/>
    </xf>
    <xf numFmtId="2" fontId="297" fillId="23" borderId="36" xfId="0" applyNumberFormat="1" applyFont="1" applyFill="1" applyBorder="1" applyAlignment="1" applyProtection="1">
      <alignment horizontal="center" vertical="center" wrapText="1"/>
      <protection locked="0"/>
    </xf>
    <xf numFmtId="2" fontId="5" fillId="18" borderId="31" xfId="0" applyNumberFormat="1" applyFont="1" applyFill="1" applyBorder="1" applyAlignment="1" applyProtection="1">
      <alignment horizontal="center" vertical="center" wrapText="1"/>
      <protection locked="0"/>
    </xf>
    <xf numFmtId="2" fontId="5" fillId="18" borderId="33" xfId="0" applyNumberFormat="1" applyFont="1" applyFill="1" applyBorder="1" applyAlignment="1" applyProtection="1">
      <alignment horizontal="center" vertical="center" wrapText="1"/>
      <protection locked="0"/>
    </xf>
    <xf numFmtId="2" fontId="298" fillId="54" borderId="43" xfId="0" applyNumberFormat="1" applyFont="1" applyFill="1" applyBorder="1" applyAlignment="1" applyProtection="1">
      <alignment horizontal="center" vertical="center" wrapText="1"/>
      <protection locked="0"/>
    </xf>
    <xf numFmtId="2" fontId="298" fillId="54" borderId="56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43" xfId="0" applyBorder="1" applyAlignment="1">
      <alignment horizontal="center"/>
    </xf>
    <xf numFmtId="0" fontId="0" fillId="0" borderId="56" xfId="0" applyBorder="1" applyAlignment="1">
      <alignment horizontal="center"/>
    </xf>
    <xf numFmtId="0" fontId="25" fillId="56" borderId="43" xfId="0" applyFont="1" applyFill="1" applyBorder="1" applyAlignment="1" applyProtection="1">
      <alignment horizontal="center" vertical="center" wrapText="1"/>
      <protection locked="0"/>
    </xf>
    <xf numFmtId="0" fontId="25" fillId="56" borderId="56" xfId="0" applyFont="1" applyFill="1" applyBorder="1" applyAlignment="1" applyProtection="1">
      <alignment horizontal="center" vertical="center" wrapText="1"/>
      <protection locked="0"/>
    </xf>
    <xf numFmtId="0" fontId="25" fillId="56" borderId="0" xfId="0" applyFont="1" applyFill="1" applyAlignment="1" applyProtection="1">
      <alignment horizontal="center" vertical="center" wrapText="1"/>
      <protection locked="0"/>
    </xf>
    <xf numFmtId="0" fontId="25" fillId="56" borderId="59" xfId="0" applyFont="1" applyFill="1" applyBorder="1" applyAlignment="1" applyProtection="1">
      <alignment horizontal="center" vertical="center" wrapText="1"/>
      <protection locked="0"/>
    </xf>
    <xf numFmtId="0" fontId="5" fillId="7" borderId="78" xfId="0" applyFont="1" applyFill="1" applyBorder="1" applyAlignment="1" applyProtection="1">
      <alignment horizontal="center" vertical="center" wrapText="1"/>
      <protection locked="0"/>
    </xf>
    <xf numFmtId="0" fontId="5" fillId="7" borderId="46" xfId="0" applyFont="1" applyFill="1" applyBorder="1" applyAlignment="1" applyProtection="1">
      <alignment horizontal="center" vertical="center" wrapText="1"/>
      <protection locked="0"/>
    </xf>
    <xf numFmtId="2" fontId="298" fillId="54" borderId="9" xfId="0" applyNumberFormat="1" applyFont="1" applyFill="1" applyBorder="1" applyAlignment="1" applyProtection="1">
      <alignment horizontal="center" vertical="center" wrapText="1"/>
      <protection locked="0"/>
    </xf>
    <xf numFmtId="2" fontId="298" fillId="54" borderId="0" xfId="0" applyNumberFormat="1" applyFont="1" applyFill="1" applyAlignment="1" applyProtection="1">
      <alignment horizontal="center" vertical="center" wrapText="1"/>
      <protection locked="0"/>
    </xf>
    <xf numFmtId="2" fontId="298" fillId="54" borderId="59" xfId="0" applyNumberFormat="1" applyFont="1" applyFill="1" applyBorder="1" applyAlignment="1" applyProtection="1">
      <alignment horizontal="center" vertical="center" wrapText="1"/>
      <protection locked="0"/>
    </xf>
    <xf numFmtId="0" fontId="144" fillId="11" borderId="10" xfId="0" applyFont="1" applyFill="1" applyBorder="1" applyAlignment="1" applyProtection="1">
      <alignment horizontal="center" vertical="center"/>
      <protection locked="0"/>
    </xf>
    <xf numFmtId="0" fontId="144" fillId="11" borderId="25" xfId="0" applyFont="1" applyFill="1" applyBorder="1" applyAlignment="1" applyProtection="1">
      <alignment horizontal="center" vertical="center"/>
      <protection locked="0"/>
    </xf>
    <xf numFmtId="0" fontId="144" fillId="11" borderId="14" xfId="0" applyFont="1" applyFill="1" applyBorder="1" applyAlignment="1" applyProtection="1">
      <alignment horizontal="center" vertical="center"/>
      <protection locked="0"/>
    </xf>
    <xf numFmtId="0" fontId="146" fillId="11" borderId="43" xfId="0" applyFont="1" applyFill="1" applyBorder="1" applyAlignment="1" applyProtection="1">
      <alignment horizontal="center" vertical="center"/>
      <protection locked="0"/>
    </xf>
    <xf numFmtId="0" fontId="146" fillId="11" borderId="56" xfId="0" applyFont="1" applyFill="1" applyBorder="1" applyAlignment="1" applyProtection="1">
      <alignment horizontal="center" vertical="center"/>
      <protection locked="0"/>
    </xf>
    <xf numFmtId="0" fontId="57" fillId="0" borderId="0" xfId="0" applyFont="1" applyAlignment="1">
      <alignment horizontal="left" vertical="center"/>
    </xf>
    <xf numFmtId="0" fontId="146" fillId="11" borderId="76" xfId="0" applyFont="1" applyFill="1" applyBorder="1" applyAlignment="1" applyProtection="1">
      <alignment horizontal="center" vertical="center"/>
      <protection locked="0"/>
    </xf>
    <xf numFmtId="0" fontId="146" fillId="11" borderId="44" xfId="0" applyFont="1" applyFill="1" applyBorder="1" applyAlignment="1" applyProtection="1">
      <alignment horizontal="center" vertical="center"/>
      <protection locked="0"/>
    </xf>
    <xf numFmtId="0" fontId="146" fillId="11" borderId="77" xfId="0" applyFont="1" applyFill="1" applyBorder="1" applyAlignment="1" applyProtection="1">
      <alignment horizontal="center" vertical="center"/>
      <protection locked="0"/>
    </xf>
    <xf numFmtId="0" fontId="144" fillId="11" borderId="102" xfId="0" applyFont="1" applyFill="1" applyBorder="1" applyAlignment="1" applyProtection="1">
      <alignment horizontal="center" vertical="center"/>
      <protection locked="0"/>
    </xf>
    <xf numFmtId="0" fontId="144" fillId="11" borderId="103" xfId="0" applyFont="1" applyFill="1" applyBorder="1" applyAlignment="1" applyProtection="1">
      <alignment horizontal="center" vertical="center"/>
      <protection locked="0"/>
    </xf>
    <xf numFmtId="0" fontId="299" fillId="15" borderId="13" xfId="0" applyFont="1" applyFill="1" applyBorder="1" applyAlignment="1" applyProtection="1">
      <alignment horizontal="center" vertical="center"/>
      <protection locked="0"/>
    </xf>
    <xf numFmtId="0" fontId="299" fillId="15" borderId="43" xfId="0" applyFont="1" applyFill="1" applyBorder="1" applyAlignment="1" applyProtection="1">
      <alignment horizontal="center" vertical="center"/>
      <protection locked="0"/>
    </xf>
    <xf numFmtId="0" fontId="299" fillId="15" borderId="56" xfId="0" applyFont="1" applyFill="1" applyBorder="1" applyAlignment="1" applyProtection="1">
      <alignment horizontal="center" vertical="center"/>
      <protection locked="0"/>
    </xf>
    <xf numFmtId="0" fontId="299" fillId="15" borderId="9" xfId="0" applyFont="1" applyFill="1" applyBorder="1" applyAlignment="1" applyProtection="1">
      <alignment horizontal="center" vertical="center"/>
      <protection locked="0"/>
    </xf>
    <xf numFmtId="0" fontId="299" fillId="15" borderId="0" xfId="0" applyFont="1" applyFill="1" applyAlignment="1" applyProtection="1">
      <alignment horizontal="center" vertical="center"/>
      <protection locked="0"/>
    </xf>
    <xf numFmtId="0" fontId="299" fillId="15" borderId="59" xfId="0" applyFont="1" applyFill="1" applyBorder="1" applyAlignment="1" applyProtection="1">
      <alignment horizontal="center" vertical="center"/>
      <protection locked="0"/>
    </xf>
    <xf numFmtId="0" fontId="299" fillId="15" borderId="8" xfId="0" applyFont="1" applyFill="1" applyBorder="1" applyAlignment="1" applyProtection="1">
      <alignment horizontal="center" vertical="center"/>
      <protection locked="0"/>
    </xf>
    <xf numFmtId="0" fontId="299" fillId="15" borderId="44" xfId="0" applyFont="1" applyFill="1" applyBorder="1" applyAlignment="1" applyProtection="1">
      <alignment horizontal="center" vertical="center"/>
      <protection locked="0"/>
    </xf>
    <xf numFmtId="0" fontId="299" fillId="15" borderId="23" xfId="0" applyFont="1" applyFill="1" applyBorder="1" applyAlignment="1" applyProtection="1">
      <alignment horizontal="center" vertical="center"/>
      <protection locked="0"/>
    </xf>
    <xf numFmtId="0" fontId="144" fillId="11" borderId="101" xfId="0" applyFont="1" applyFill="1" applyBorder="1" applyAlignment="1" applyProtection="1">
      <alignment horizontal="center" vertical="center"/>
      <protection locked="0"/>
    </xf>
    <xf numFmtId="0" fontId="144" fillId="11" borderId="43" xfId="0" applyFont="1" applyFill="1" applyBorder="1" applyAlignment="1" applyProtection="1">
      <alignment horizontal="center" vertical="center"/>
      <protection locked="0"/>
    </xf>
    <xf numFmtId="0" fontId="144" fillId="11" borderId="56" xfId="0" applyFont="1" applyFill="1" applyBorder="1" applyAlignment="1" applyProtection="1">
      <alignment horizontal="center" vertical="center"/>
      <protection locked="0"/>
    </xf>
    <xf numFmtId="0" fontId="0" fillId="30" borderId="13" xfId="0" applyFill="1" applyBorder="1" applyAlignment="1" applyProtection="1">
      <alignment horizontal="center"/>
      <protection locked="0"/>
    </xf>
    <xf numFmtId="0" fontId="0" fillId="30" borderId="43" xfId="0" applyFill="1" applyBorder="1" applyAlignment="1" applyProtection="1">
      <alignment horizontal="center"/>
      <protection locked="0"/>
    </xf>
    <xf numFmtId="0" fontId="0" fillId="30" borderId="56" xfId="0" applyFill="1" applyBorder="1" applyAlignment="1" applyProtection="1">
      <alignment horizontal="center"/>
      <protection locked="0"/>
    </xf>
    <xf numFmtId="0" fontId="0" fillId="30" borderId="9" xfId="0" applyFill="1" applyBorder="1" applyAlignment="1" applyProtection="1">
      <alignment horizontal="center"/>
      <protection locked="0"/>
    </xf>
    <xf numFmtId="0" fontId="0" fillId="30" borderId="0" xfId="0" applyFill="1" applyAlignment="1" applyProtection="1">
      <alignment horizontal="center"/>
      <protection locked="0"/>
    </xf>
    <xf numFmtId="0" fontId="0" fillId="30" borderId="59" xfId="0" applyFill="1" applyBorder="1" applyAlignment="1" applyProtection="1">
      <alignment horizontal="center"/>
      <protection locked="0"/>
    </xf>
    <xf numFmtId="0" fontId="0" fillId="30" borderId="8" xfId="0" applyFill="1" applyBorder="1" applyAlignment="1" applyProtection="1">
      <alignment horizontal="center"/>
      <protection locked="0"/>
    </xf>
    <xf numFmtId="0" fontId="0" fillId="30" borderId="44" xfId="0" applyFill="1" applyBorder="1" applyAlignment="1" applyProtection="1">
      <alignment horizontal="center"/>
      <protection locked="0"/>
    </xf>
    <xf numFmtId="0" fontId="0" fillId="30" borderId="23" xfId="0" applyFill="1" applyBorder="1" applyAlignment="1" applyProtection="1">
      <alignment horizontal="center"/>
      <protection locked="0"/>
    </xf>
    <xf numFmtId="0" fontId="137" fillId="26" borderId="13" xfId="0" applyFont="1" applyFill="1" applyBorder="1" applyAlignment="1" applyProtection="1">
      <alignment horizontal="center" vertical="center"/>
      <protection locked="0"/>
    </xf>
    <xf numFmtId="0" fontId="137" fillId="26" borderId="56" xfId="0" applyFont="1" applyFill="1" applyBorder="1" applyAlignment="1" applyProtection="1">
      <alignment horizontal="center" vertical="center"/>
      <protection locked="0"/>
    </xf>
    <xf numFmtId="0" fontId="137" fillId="26" borderId="9" xfId="0" applyFont="1" applyFill="1" applyBorder="1" applyAlignment="1" applyProtection="1">
      <alignment horizontal="center" vertical="center"/>
      <protection locked="0"/>
    </xf>
    <xf numFmtId="0" fontId="137" fillId="26" borderId="59" xfId="0" applyFont="1" applyFill="1" applyBorder="1" applyAlignment="1" applyProtection="1">
      <alignment horizontal="center" vertical="center"/>
      <protection locked="0"/>
    </xf>
    <xf numFmtId="0" fontId="5" fillId="5" borderId="53" xfId="0" applyFont="1" applyFill="1" applyBorder="1" applyAlignment="1" applyProtection="1">
      <alignment horizontal="center" vertical="center" wrapText="1"/>
      <protection locked="0"/>
    </xf>
    <xf numFmtId="0" fontId="5" fillId="5" borderId="31" xfId="0" applyFont="1" applyFill="1" applyBorder="1" applyAlignment="1" applyProtection="1">
      <alignment horizontal="center" vertical="center" wrapText="1"/>
      <protection locked="0"/>
    </xf>
    <xf numFmtId="0" fontId="5" fillId="5" borderId="33" xfId="0" applyFont="1" applyFill="1" applyBorder="1" applyAlignment="1" applyProtection="1">
      <alignment horizontal="center" vertical="center" wrapText="1"/>
      <protection locked="0"/>
    </xf>
    <xf numFmtId="0" fontId="306" fillId="61" borderId="13" xfId="0" applyFont="1" applyFill="1" applyBorder="1" applyAlignment="1" applyProtection="1">
      <alignment horizontal="center" vertical="center"/>
      <protection locked="0"/>
    </xf>
    <xf numFmtId="0" fontId="307" fillId="61" borderId="56" xfId="0" applyFont="1" applyFill="1" applyBorder="1" applyAlignment="1" applyProtection="1">
      <alignment horizontal="center" vertical="center"/>
      <protection locked="0"/>
    </xf>
    <xf numFmtId="0" fontId="142" fillId="0" borderId="73" xfId="0" applyFont="1" applyBorder="1" applyAlignment="1" applyProtection="1">
      <alignment horizontal="center"/>
      <protection locked="0"/>
    </xf>
    <xf numFmtId="0" fontId="142" fillId="0" borderId="74" xfId="0" applyFont="1" applyBorder="1" applyAlignment="1" applyProtection="1">
      <alignment horizontal="center"/>
      <protection locked="0"/>
    </xf>
    <xf numFmtId="0" fontId="142" fillId="0" borderId="9" xfId="0" applyFont="1" applyBorder="1" applyAlignment="1" applyProtection="1">
      <alignment horizontal="center"/>
      <protection locked="0"/>
    </xf>
    <xf numFmtId="0" fontId="142" fillId="0" borderId="59" xfId="0" applyFont="1" applyBorder="1" applyAlignment="1" applyProtection="1">
      <alignment horizontal="center"/>
      <protection locked="0"/>
    </xf>
    <xf numFmtId="0" fontId="142" fillId="0" borderId="8" xfId="0" applyFont="1" applyBorder="1" applyAlignment="1" applyProtection="1">
      <alignment horizontal="center"/>
      <protection locked="0"/>
    </xf>
    <xf numFmtId="0" fontId="142" fillId="0" borderId="23" xfId="0" applyFont="1" applyBorder="1" applyAlignment="1" applyProtection="1">
      <alignment horizontal="center"/>
      <protection locked="0"/>
    </xf>
    <xf numFmtId="0" fontId="5" fillId="4" borderId="13" xfId="0" applyFont="1" applyFill="1" applyBorder="1" applyAlignment="1" applyProtection="1">
      <alignment horizontal="center" vertical="center" wrapText="1"/>
      <protection locked="0"/>
    </xf>
    <xf numFmtId="0" fontId="5" fillId="4" borderId="43" xfId="0" applyFont="1" applyFill="1" applyBorder="1" applyAlignment="1" applyProtection="1">
      <alignment horizontal="center" vertical="center" wrapText="1"/>
      <protection locked="0"/>
    </xf>
    <xf numFmtId="0" fontId="5" fillId="4" borderId="56" xfId="0" applyFont="1" applyFill="1" applyBorder="1" applyAlignment="1" applyProtection="1">
      <alignment horizontal="center" vertical="center" wrapText="1"/>
      <protection locked="0"/>
    </xf>
    <xf numFmtId="0" fontId="5" fillId="4" borderId="9" xfId="0" applyFont="1" applyFill="1" applyBorder="1" applyAlignment="1" applyProtection="1">
      <alignment horizontal="center" vertical="center" wrapText="1"/>
      <protection locked="0"/>
    </xf>
    <xf numFmtId="0" fontId="5" fillId="4" borderId="0" xfId="0" applyFont="1" applyFill="1" applyAlignment="1" applyProtection="1">
      <alignment horizontal="center" vertical="center" wrapText="1"/>
      <protection locked="0"/>
    </xf>
    <xf numFmtId="0" fontId="5" fillId="4" borderId="59" xfId="0" applyFont="1" applyFill="1" applyBorder="1" applyAlignment="1" applyProtection="1">
      <alignment horizontal="center" vertical="center" wrapText="1"/>
      <protection locked="0"/>
    </xf>
    <xf numFmtId="0" fontId="133" fillId="4" borderId="9" xfId="0" applyFont="1" applyFill="1" applyBorder="1" applyAlignment="1" applyProtection="1">
      <alignment horizontal="left" vertical="top" wrapText="1"/>
      <protection locked="0"/>
    </xf>
    <xf numFmtId="0" fontId="133" fillId="4" borderId="0" xfId="0" applyFont="1" applyFill="1" applyAlignment="1" applyProtection="1">
      <alignment horizontal="left" vertical="top" wrapText="1"/>
      <protection locked="0"/>
    </xf>
    <xf numFmtId="0" fontId="133" fillId="4" borderId="59" xfId="0" applyFont="1" applyFill="1" applyBorder="1" applyAlignment="1" applyProtection="1">
      <alignment horizontal="left" vertical="top" wrapText="1"/>
      <protection locked="0"/>
    </xf>
    <xf numFmtId="0" fontId="133" fillId="4" borderId="9" xfId="0" applyFont="1" applyFill="1" applyBorder="1" applyAlignment="1" applyProtection="1">
      <alignment horizontal="center" vertical="top" wrapText="1"/>
      <protection locked="0"/>
    </xf>
    <xf numFmtId="0" fontId="133" fillId="4" borderId="0" xfId="0" applyFont="1" applyFill="1" applyAlignment="1" applyProtection="1">
      <alignment horizontal="center" vertical="top" wrapText="1"/>
      <protection locked="0"/>
    </xf>
    <xf numFmtId="0" fontId="133" fillId="4" borderId="59" xfId="0" applyFont="1" applyFill="1" applyBorder="1" applyAlignment="1" applyProtection="1">
      <alignment horizontal="center" vertical="top" wrapText="1"/>
      <protection locked="0"/>
    </xf>
    <xf numFmtId="0" fontId="133" fillId="4" borderId="8" xfId="0" applyFont="1" applyFill="1" applyBorder="1" applyAlignment="1" applyProtection="1">
      <alignment horizontal="center" vertical="top" wrapText="1"/>
      <protection locked="0"/>
    </xf>
    <xf numFmtId="0" fontId="133" fillId="4" borderId="44" xfId="0" applyFont="1" applyFill="1" applyBorder="1" applyAlignment="1" applyProtection="1">
      <alignment horizontal="center" vertical="top" wrapText="1"/>
      <protection locked="0"/>
    </xf>
    <xf numFmtId="0" fontId="133" fillId="4" borderId="23" xfId="0" applyFont="1" applyFill="1" applyBorder="1" applyAlignment="1" applyProtection="1">
      <alignment horizontal="center" vertical="top" wrapText="1"/>
      <protection locked="0"/>
    </xf>
    <xf numFmtId="0" fontId="75" fillId="56" borderId="13" xfId="0" applyFont="1" applyFill="1" applyBorder="1" applyAlignment="1" applyProtection="1">
      <alignment horizontal="center" vertical="center" wrapText="1"/>
      <protection locked="0"/>
    </xf>
    <xf numFmtId="0" fontId="75" fillId="56" borderId="56" xfId="0" applyFont="1" applyFill="1" applyBorder="1" applyAlignment="1" applyProtection="1">
      <alignment horizontal="center" vertical="center" wrapText="1"/>
      <protection locked="0"/>
    </xf>
    <xf numFmtId="0" fontId="75" fillId="56" borderId="9" xfId="0" applyFont="1" applyFill="1" applyBorder="1" applyAlignment="1" applyProtection="1">
      <alignment horizontal="center" vertical="center" wrapText="1"/>
      <protection locked="0"/>
    </xf>
    <xf numFmtId="0" fontId="75" fillId="56" borderId="59" xfId="0" applyFont="1" applyFill="1" applyBorder="1" applyAlignment="1" applyProtection="1">
      <alignment horizontal="center" vertical="center" wrapText="1"/>
      <protection locked="0"/>
    </xf>
    <xf numFmtId="0" fontId="305" fillId="11" borderId="13" xfId="0" applyFont="1" applyFill="1" applyBorder="1" applyAlignment="1" applyProtection="1">
      <alignment horizontal="center" vertical="center"/>
      <protection locked="0"/>
    </xf>
    <xf numFmtId="0" fontId="305" fillId="11" borderId="43" xfId="0" applyFont="1" applyFill="1" applyBorder="1" applyAlignment="1" applyProtection="1">
      <alignment horizontal="center" vertical="center"/>
      <protection locked="0"/>
    </xf>
    <xf numFmtId="0" fontId="305" fillId="11" borderId="56" xfId="0" applyFont="1" applyFill="1" applyBorder="1" applyAlignment="1" applyProtection="1">
      <alignment horizontal="center" vertical="center"/>
      <protection locked="0"/>
    </xf>
    <xf numFmtId="0" fontId="305" fillId="0" borderId="0" xfId="0" applyFont="1" applyAlignment="1" applyProtection="1">
      <alignment horizontal="center" vertical="center"/>
      <protection locked="0"/>
    </xf>
    <xf numFmtId="0" fontId="5" fillId="42" borderId="31" xfId="0" applyFont="1" applyFill="1" applyBorder="1" applyAlignment="1" applyProtection="1">
      <alignment horizontal="center" vertical="center" wrapText="1"/>
      <protection locked="0"/>
    </xf>
    <xf numFmtId="0" fontId="5" fillId="42" borderId="33" xfId="0" applyFont="1" applyFill="1" applyBorder="1" applyAlignment="1" applyProtection="1">
      <alignment horizontal="center" vertical="center" wrapText="1"/>
      <protection locked="0"/>
    </xf>
    <xf numFmtId="0" fontId="304" fillId="56" borderId="70" xfId="0" applyFont="1" applyFill="1" applyBorder="1" applyAlignment="1" applyProtection="1">
      <alignment horizontal="center" vertical="center" wrapText="1"/>
      <protection locked="0"/>
    </xf>
    <xf numFmtId="0" fontId="304" fillId="56" borderId="45" xfId="0" applyFont="1" applyFill="1" applyBorder="1" applyAlignment="1" applyProtection="1">
      <alignment horizontal="center" vertical="center" wrapText="1"/>
      <protection locked="0"/>
    </xf>
    <xf numFmtId="0" fontId="151" fillId="10" borderId="13" xfId="0" applyFont="1" applyFill="1" applyBorder="1" applyAlignment="1" applyProtection="1">
      <alignment horizontal="center" wrapText="1"/>
      <protection locked="0"/>
    </xf>
    <xf numFmtId="0" fontId="151" fillId="10" borderId="56" xfId="0" applyFont="1" applyFill="1" applyBorder="1" applyAlignment="1" applyProtection="1">
      <alignment horizontal="center" wrapText="1"/>
      <protection locked="0"/>
    </xf>
    <xf numFmtId="0" fontId="151" fillId="10" borderId="9" xfId="0" applyFont="1" applyFill="1" applyBorder="1" applyAlignment="1" applyProtection="1">
      <alignment horizontal="center" wrapText="1"/>
      <protection locked="0"/>
    </xf>
    <xf numFmtId="0" fontId="151" fillId="10" borderId="59" xfId="0" applyFont="1" applyFill="1" applyBorder="1" applyAlignment="1" applyProtection="1">
      <alignment horizontal="center" wrapText="1"/>
      <protection locked="0"/>
    </xf>
    <xf numFmtId="0" fontId="151" fillId="10" borderId="8" xfId="0" applyFont="1" applyFill="1" applyBorder="1" applyAlignment="1" applyProtection="1">
      <alignment horizontal="center" wrapText="1"/>
      <protection locked="0"/>
    </xf>
    <xf numFmtId="0" fontId="151" fillId="10" borderId="23" xfId="0" applyFont="1" applyFill="1" applyBorder="1" applyAlignment="1" applyProtection="1">
      <alignment horizontal="center" wrapText="1"/>
      <protection locked="0"/>
    </xf>
    <xf numFmtId="0" fontId="138" fillId="0" borderId="0" xfId="0" applyFont="1" applyAlignment="1">
      <alignment horizontal="center" vertical="center"/>
    </xf>
    <xf numFmtId="49" fontId="300" fillId="0" borderId="0" xfId="0" applyNumberFormat="1" applyFont="1" applyAlignment="1">
      <alignment horizontal="left" vertical="center" wrapText="1"/>
    </xf>
    <xf numFmtId="0" fontId="301" fillId="11" borderId="8" xfId="0" applyFont="1" applyFill="1" applyBorder="1" applyAlignment="1" applyProtection="1">
      <alignment horizontal="center" vertical="center"/>
      <protection locked="0"/>
    </xf>
    <xf numFmtId="0" fontId="301" fillId="11" borderId="44" xfId="0" applyFont="1" applyFill="1" applyBorder="1" applyAlignment="1" applyProtection="1">
      <alignment horizontal="center" vertical="center"/>
      <protection locked="0"/>
    </xf>
    <xf numFmtId="0" fontId="301" fillId="11" borderId="23" xfId="0" applyFont="1" applyFill="1" applyBorder="1" applyAlignment="1" applyProtection="1">
      <alignment horizontal="center" vertical="center"/>
      <protection locked="0"/>
    </xf>
    <xf numFmtId="49" fontId="302" fillId="4" borderId="9" xfId="0" applyNumberFormat="1" applyFont="1" applyFill="1" applyBorder="1" applyAlignment="1" applyProtection="1">
      <alignment horizontal="left" vertical="center" wrapText="1"/>
      <protection locked="0"/>
    </xf>
    <xf numFmtId="49" fontId="302" fillId="4" borderId="0" xfId="0" applyNumberFormat="1" applyFont="1" applyFill="1" applyAlignment="1" applyProtection="1">
      <alignment horizontal="left" vertical="center" wrapText="1"/>
      <protection locked="0"/>
    </xf>
    <xf numFmtId="49" fontId="302" fillId="4" borderId="59" xfId="0" applyNumberFormat="1" applyFont="1" applyFill="1" applyBorder="1" applyAlignment="1" applyProtection="1">
      <alignment horizontal="left" vertical="center" wrapText="1"/>
      <protection locked="0"/>
    </xf>
    <xf numFmtId="49" fontId="302" fillId="4" borderId="8" xfId="0" applyNumberFormat="1" applyFont="1" applyFill="1" applyBorder="1" applyAlignment="1" applyProtection="1">
      <alignment horizontal="left" vertical="center" wrapText="1"/>
      <protection locked="0"/>
    </xf>
    <xf numFmtId="49" fontId="302" fillId="4" borderId="44" xfId="0" applyNumberFormat="1" applyFont="1" applyFill="1" applyBorder="1" applyAlignment="1" applyProtection="1">
      <alignment horizontal="left" vertical="center" wrapText="1"/>
      <protection locked="0"/>
    </xf>
    <xf numFmtId="49" fontId="302" fillId="4" borderId="23" xfId="0" applyNumberFormat="1" applyFont="1" applyFill="1" applyBorder="1" applyAlignment="1" applyProtection="1">
      <alignment horizontal="left" vertical="center" wrapText="1"/>
      <protection locked="0"/>
    </xf>
    <xf numFmtId="49" fontId="303" fillId="4" borderId="9" xfId="0" applyNumberFormat="1" applyFont="1" applyFill="1" applyBorder="1" applyAlignment="1" applyProtection="1">
      <alignment horizontal="left" vertical="center" wrapText="1"/>
      <protection locked="0"/>
    </xf>
    <xf numFmtId="49" fontId="303" fillId="4" borderId="0" xfId="0" applyNumberFormat="1" applyFont="1" applyFill="1" applyAlignment="1" applyProtection="1">
      <alignment horizontal="left" vertical="center" wrapText="1"/>
      <protection locked="0"/>
    </xf>
    <xf numFmtId="49" fontId="303" fillId="4" borderId="59" xfId="0" applyNumberFormat="1" applyFont="1" applyFill="1" applyBorder="1" applyAlignment="1" applyProtection="1">
      <alignment horizontal="left" vertical="center" wrapText="1"/>
      <protection locked="0"/>
    </xf>
    <xf numFmtId="49" fontId="302" fillId="4" borderId="13" xfId="0" applyNumberFormat="1" applyFont="1" applyFill="1" applyBorder="1" applyAlignment="1" applyProtection="1">
      <alignment horizontal="center" vertical="center" wrapText="1"/>
      <protection locked="0"/>
    </xf>
    <xf numFmtId="49" fontId="302" fillId="4" borderId="43" xfId="0" applyNumberFormat="1" applyFont="1" applyFill="1" applyBorder="1" applyAlignment="1" applyProtection="1">
      <alignment horizontal="center" vertical="center" wrapText="1"/>
      <protection locked="0"/>
    </xf>
    <xf numFmtId="49" fontId="302" fillId="4" borderId="56" xfId="0" applyNumberFormat="1" applyFont="1" applyFill="1" applyBorder="1" applyAlignment="1" applyProtection="1">
      <alignment horizontal="center" vertical="center" wrapText="1"/>
      <protection locked="0"/>
    </xf>
    <xf numFmtId="49" fontId="302" fillId="4" borderId="9" xfId="0" applyNumberFormat="1" applyFont="1" applyFill="1" applyBorder="1" applyAlignment="1" applyProtection="1">
      <alignment horizontal="center" vertical="center" wrapText="1"/>
      <protection locked="0"/>
    </xf>
    <xf numFmtId="49" fontId="302" fillId="4" borderId="0" xfId="0" applyNumberFormat="1" applyFont="1" applyFill="1" applyAlignment="1" applyProtection="1">
      <alignment horizontal="center" vertical="center" wrapText="1"/>
      <protection locked="0"/>
    </xf>
    <xf numFmtId="49" fontId="302" fillId="4" borderId="59" xfId="0" applyNumberFormat="1" applyFont="1" applyFill="1" applyBorder="1" applyAlignment="1" applyProtection="1">
      <alignment horizontal="center" vertical="center" wrapText="1"/>
      <protection locked="0"/>
    </xf>
    <xf numFmtId="0" fontId="178" fillId="31" borderId="58" xfId="0" applyFont="1" applyFill="1" applyBorder="1" applyAlignment="1">
      <alignment horizontal="center" vertical="center"/>
    </xf>
    <xf numFmtId="0" fontId="178" fillId="31" borderId="3" xfId="0" applyFont="1" applyFill="1" applyBorder="1" applyAlignment="1">
      <alignment horizontal="center" vertical="center"/>
    </xf>
    <xf numFmtId="0" fontId="178" fillId="31" borderId="52" xfId="0" applyFont="1" applyFill="1" applyBorder="1" applyAlignment="1">
      <alignment horizontal="center" vertical="center"/>
    </xf>
    <xf numFmtId="0" fontId="178" fillId="60" borderId="58" xfId="0" applyFont="1" applyFill="1" applyBorder="1" applyAlignment="1">
      <alignment horizontal="center" vertical="center"/>
    </xf>
    <xf numFmtId="0" fontId="178" fillId="60" borderId="3" xfId="0" applyFont="1" applyFill="1" applyBorder="1" applyAlignment="1">
      <alignment horizontal="center" vertical="center"/>
    </xf>
    <xf numFmtId="0" fontId="178" fillId="60" borderId="52" xfId="0" applyFont="1" applyFill="1" applyBorder="1" applyAlignment="1">
      <alignment horizontal="center" vertical="center"/>
    </xf>
    <xf numFmtId="0" fontId="5" fillId="17" borderId="44" xfId="0" applyFont="1" applyFill="1" applyBorder="1" applyAlignment="1">
      <alignment horizontal="center" vertical="center"/>
    </xf>
    <xf numFmtId="0" fontId="5" fillId="17" borderId="23" xfId="0" applyFont="1" applyFill="1" applyBorder="1" applyAlignment="1">
      <alignment horizontal="center" vertical="center"/>
    </xf>
    <xf numFmtId="0" fontId="229" fillId="0" borderId="0" xfId="0" applyFont="1" applyAlignment="1">
      <alignment horizontal="center" vertical="center"/>
    </xf>
    <xf numFmtId="0" fontId="254" fillId="0" borderId="5" xfId="0" applyFont="1" applyBorder="1" applyAlignment="1">
      <alignment horizontal="left" wrapText="1"/>
    </xf>
    <xf numFmtId="0" fontId="254" fillId="0" borderId="24" xfId="0" applyFont="1" applyBorder="1" applyAlignment="1">
      <alignment horizontal="left" wrapText="1"/>
    </xf>
    <xf numFmtId="0" fontId="254" fillId="0" borderId="6" xfId="0" applyFont="1" applyBorder="1" applyAlignment="1">
      <alignment horizontal="left" wrapText="1"/>
    </xf>
    <xf numFmtId="49" fontId="251" fillId="5" borderId="104" xfId="0" applyNumberFormat="1" applyFont="1" applyFill="1" applyBorder="1" applyAlignment="1">
      <alignment horizontal="left" vertical="center"/>
    </xf>
    <xf numFmtId="49" fontId="251" fillId="5" borderId="105" xfId="0" applyNumberFormat="1" applyFont="1" applyFill="1" applyBorder="1" applyAlignment="1">
      <alignment horizontal="left" vertical="center"/>
    </xf>
    <xf numFmtId="49" fontId="251" fillId="5" borderId="106" xfId="0" applyNumberFormat="1" applyFont="1" applyFill="1" applyBorder="1" applyAlignment="1">
      <alignment horizontal="left" vertical="center"/>
    </xf>
    <xf numFmtId="49" fontId="251" fillId="12" borderId="104" xfId="0" applyNumberFormat="1" applyFont="1" applyFill="1" applyBorder="1" applyAlignment="1">
      <alignment horizontal="left" vertical="center"/>
    </xf>
    <xf numFmtId="49" fontId="251" fillId="12" borderId="105" xfId="0" applyNumberFormat="1" applyFont="1" applyFill="1" applyBorder="1" applyAlignment="1">
      <alignment horizontal="left" vertical="center"/>
    </xf>
    <xf numFmtId="49" fontId="251" fillId="12" borderId="106" xfId="0" applyNumberFormat="1" applyFont="1" applyFill="1" applyBorder="1" applyAlignment="1">
      <alignment horizontal="left" vertical="center"/>
    </xf>
    <xf numFmtId="49" fontId="251" fillId="12" borderId="107" xfId="0" applyNumberFormat="1" applyFont="1" applyFill="1" applyBorder="1" applyAlignment="1">
      <alignment horizontal="left" vertical="center"/>
    </xf>
    <xf numFmtId="49" fontId="251" fillId="12" borderId="108" xfId="0" applyNumberFormat="1" applyFont="1" applyFill="1" applyBorder="1" applyAlignment="1">
      <alignment horizontal="left" vertical="center"/>
    </xf>
    <xf numFmtId="49" fontId="251" fillId="12" borderId="109" xfId="0" applyNumberFormat="1" applyFont="1" applyFill="1" applyBorder="1" applyAlignment="1">
      <alignment horizontal="left" vertical="center"/>
    </xf>
    <xf numFmtId="49" fontId="251" fillId="5" borderId="115" xfId="0" applyNumberFormat="1" applyFont="1" applyFill="1" applyBorder="1" applyAlignment="1">
      <alignment horizontal="left" vertical="center"/>
    </xf>
    <xf numFmtId="49" fontId="251" fillId="5" borderId="116" xfId="0" applyNumberFormat="1" applyFont="1" applyFill="1" applyBorder="1" applyAlignment="1">
      <alignment horizontal="left" vertical="center"/>
    </xf>
    <xf numFmtId="49" fontId="251" fillId="5" borderId="117" xfId="0" applyNumberFormat="1" applyFont="1" applyFill="1" applyBorder="1" applyAlignment="1">
      <alignment horizontal="left" vertical="center"/>
    </xf>
    <xf numFmtId="49" fontId="251" fillId="5" borderId="104" xfId="0" applyNumberFormat="1" applyFont="1" applyFill="1" applyBorder="1" applyAlignment="1">
      <alignment vertical="top"/>
    </xf>
    <xf numFmtId="49" fontId="251" fillId="5" borderId="105" xfId="0" applyNumberFormat="1" applyFont="1" applyFill="1" applyBorder="1" applyAlignment="1">
      <alignment vertical="top"/>
    </xf>
    <xf numFmtId="49" fontId="251" fillId="5" borderId="106" xfId="0" applyNumberFormat="1" applyFont="1" applyFill="1" applyBorder="1" applyAlignment="1">
      <alignment vertical="top"/>
    </xf>
    <xf numFmtId="0" fontId="73" fillId="10" borderId="13" xfId="0" applyFont="1" applyFill="1" applyBorder="1" applyAlignment="1">
      <alignment horizontal="center" vertical="center"/>
    </xf>
    <xf numFmtId="0" fontId="73" fillId="10" borderId="43" xfId="0" applyFont="1" applyFill="1" applyBorder="1" applyAlignment="1">
      <alignment horizontal="center" vertical="center"/>
    </xf>
    <xf numFmtId="0" fontId="73" fillId="10" borderId="56" xfId="0" applyFont="1" applyFill="1" applyBorder="1" applyAlignment="1">
      <alignment horizontal="center" vertical="center"/>
    </xf>
    <xf numFmtId="0" fontId="73" fillId="10" borderId="8" xfId="0" applyFont="1" applyFill="1" applyBorder="1" applyAlignment="1">
      <alignment horizontal="center" vertical="center"/>
    </xf>
    <xf numFmtId="0" fontId="73" fillId="10" borderId="44" xfId="0" applyFont="1" applyFill="1" applyBorder="1" applyAlignment="1">
      <alignment horizontal="center" vertical="center"/>
    </xf>
    <xf numFmtId="0" fontId="73" fillId="10" borderId="23" xfId="0" applyFont="1" applyFill="1" applyBorder="1" applyAlignment="1">
      <alignment horizontal="center" vertical="center"/>
    </xf>
    <xf numFmtId="49" fontId="251" fillId="12" borderId="104" xfId="0" applyNumberFormat="1" applyFont="1" applyFill="1" applyBorder="1" applyAlignment="1">
      <alignment vertical="top"/>
    </xf>
    <xf numFmtId="49" fontId="251" fillId="12" borderId="105" xfId="0" applyNumberFormat="1" applyFont="1" applyFill="1" applyBorder="1" applyAlignment="1">
      <alignment vertical="top"/>
    </xf>
    <xf numFmtId="49" fontId="251" fillId="12" borderId="106" xfId="0" applyNumberFormat="1" applyFont="1" applyFill="1" applyBorder="1" applyAlignment="1">
      <alignment vertical="top"/>
    </xf>
    <xf numFmtId="49" fontId="251" fillId="28" borderId="110" xfId="0" applyNumberFormat="1" applyFont="1" applyFill="1" applyBorder="1" applyAlignment="1">
      <alignment horizontal="center" vertical="center"/>
    </xf>
    <xf numFmtId="49" fontId="251" fillId="28" borderId="111" xfId="0" applyNumberFormat="1" applyFont="1" applyFill="1" applyBorder="1" applyAlignment="1">
      <alignment horizontal="center" vertical="center"/>
    </xf>
    <xf numFmtId="49" fontId="251" fillId="12" borderId="112" xfId="0" applyNumberFormat="1" applyFont="1" applyFill="1" applyBorder="1" applyAlignment="1">
      <alignment horizontal="left" vertical="center"/>
    </xf>
    <xf numFmtId="49" fontId="251" fillId="12" borderId="113" xfId="0" applyNumberFormat="1" applyFont="1" applyFill="1" applyBorder="1" applyAlignment="1">
      <alignment horizontal="left" vertical="center"/>
    </xf>
    <xf numFmtId="49" fontId="251" fillId="12" borderId="114" xfId="0" applyNumberFormat="1" applyFont="1" applyFill="1" applyBorder="1" applyAlignment="1">
      <alignment horizontal="left" vertical="center"/>
    </xf>
    <xf numFmtId="0" fontId="308" fillId="17" borderId="43" xfId="0" applyFont="1" applyFill="1" applyBorder="1" applyAlignment="1">
      <alignment horizontal="center" vertical="center"/>
    </xf>
    <xf numFmtId="0" fontId="308" fillId="17" borderId="56" xfId="0" applyFont="1" applyFill="1" applyBorder="1" applyAlignment="1">
      <alignment horizontal="center" vertical="center"/>
    </xf>
    <xf numFmtId="0" fontId="308" fillId="17" borderId="44" xfId="0" applyFont="1" applyFill="1" applyBorder="1" applyAlignment="1">
      <alignment horizontal="center" vertical="center"/>
    </xf>
    <xf numFmtId="0" fontId="308" fillId="17" borderId="23" xfId="0" applyFont="1" applyFill="1" applyBorder="1" applyAlignment="1">
      <alignment horizontal="center" vertical="center"/>
    </xf>
    <xf numFmtId="0" fontId="38" fillId="26" borderId="5" xfId="0" applyFont="1" applyFill="1" applyBorder="1" applyAlignment="1">
      <alignment horizontal="center" vertical="center"/>
    </xf>
    <xf numFmtId="0" fontId="38" fillId="26" borderId="24" xfId="0" applyFont="1" applyFill="1" applyBorder="1" applyAlignment="1">
      <alignment horizontal="center" vertical="center"/>
    </xf>
    <xf numFmtId="0" fontId="38" fillId="26" borderId="6" xfId="0" applyFont="1" applyFill="1" applyBorder="1" applyAlignment="1">
      <alignment horizontal="center" vertical="center"/>
    </xf>
    <xf numFmtId="49" fontId="251" fillId="5" borderId="1" xfId="0" applyNumberFormat="1" applyFont="1" applyFill="1" applyBorder="1" applyAlignment="1">
      <alignment vertical="top"/>
    </xf>
    <xf numFmtId="49" fontId="251" fillId="5" borderId="1" xfId="0" applyNumberFormat="1" applyFont="1" applyFill="1" applyBorder="1" applyAlignment="1">
      <alignment horizontal="left" vertical="center"/>
    </xf>
    <xf numFmtId="49" fontId="251" fillId="12" borderId="1" xfId="0" applyNumberFormat="1" applyFont="1" applyFill="1" applyBorder="1" applyAlignment="1">
      <alignment vertical="top"/>
    </xf>
    <xf numFmtId="49" fontId="251" fillId="12" borderId="1" xfId="0" applyNumberFormat="1" applyFont="1" applyFill="1" applyBorder="1" applyAlignment="1">
      <alignment horizontal="left" vertical="center"/>
    </xf>
    <xf numFmtId="0" fontId="4" fillId="10" borderId="5" xfId="0" applyFont="1" applyFill="1" applyBorder="1" applyAlignment="1">
      <alignment horizontal="right" vertical="center"/>
    </xf>
    <xf numFmtId="0" fontId="4" fillId="10" borderId="24" xfId="0" applyFont="1" applyFill="1" applyBorder="1" applyAlignment="1">
      <alignment horizontal="right" vertical="center"/>
    </xf>
    <xf numFmtId="0" fontId="4" fillId="10" borderId="6" xfId="0" applyFont="1" applyFill="1" applyBorder="1" applyAlignment="1">
      <alignment horizontal="right" vertical="center"/>
    </xf>
    <xf numFmtId="0" fontId="146" fillId="11" borderId="14" xfId="0" applyFont="1" applyFill="1" applyBorder="1" applyAlignment="1">
      <alignment horizontal="center" vertical="center"/>
    </xf>
    <xf numFmtId="0" fontId="45" fillId="0" borderId="1" xfId="0" applyFont="1" applyBorder="1" applyAlignment="1">
      <alignment horizontal="left" vertical="center"/>
    </xf>
    <xf numFmtId="0" fontId="146" fillId="33" borderId="10" xfId="0" applyFont="1" applyFill="1" applyBorder="1" applyAlignment="1">
      <alignment horizontal="left" vertical="center"/>
    </xf>
    <xf numFmtId="0" fontId="146" fillId="33" borderId="25" xfId="0" applyFont="1" applyFill="1" applyBorder="1" applyAlignment="1">
      <alignment horizontal="left" vertical="center"/>
    </xf>
    <xf numFmtId="0" fontId="146" fillId="33" borderId="14" xfId="0" applyFont="1" applyFill="1" applyBorder="1" applyAlignment="1">
      <alignment horizontal="left" vertical="center"/>
    </xf>
    <xf numFmtId="0" fontId="45" fillId="4" borderId="1" xfId="0" applyFont="1" applyFill="1" applyBorder="1" applyAlignment="1">
      <alignment horizontal="left" vertical="center"/>
    </xf>
    <xf numFmtId="0" fontId="0" fillId="9" borderId="0" xfId="0" applyFill="1" applyAlignment="1">
      <alignment horizontal="center"/>
    </xf>
    <xf numFmtId="0" fontId="144" fillId="11" borderId="25" xfId="0" applyFont="1" applyFill="1" applyBorder="1" applyAlignment="1">
      <alignment horizontal="center" vertical="center"/>
    </xf>
    <xf numFmtId="0" fontId="5" fillId="28" borderId="0" xfId="0" applyFont="1" applyFill="1" applyAlignment="1">
      <alignment horizontal="center" vertical="center" wrapText="1"/>
    </xf>
    <xf numFmtId="0" fontId="243" fillId="10" borderId="10" xfId="0" applyFont="1" applyFill="1" applyBorder="1" applyAlignment="1">
      <alignment horizontal="center" vertical="center" wrapText="1"/>
    </xf>
    <xf numFmtId="0" fontId="243" fillId="10" borderId="14" xfId="0" applyFont="1" applyFill="1" applyBorder="1" applyAlignment="1">
      <alignment horizontal="center" vertical="center" wrapText="1"/>
    </xf>
    <xf numFmtId="0" fontId="144" fillId="11" borderId="10" xfId="0" applyFont="1" applyFill="1" applyBorder="1" applyAlignment="1">
      <alignment horizontal="center"/>
    </xf>
    <xf numFmtId="0" fontId="144" fillId="11" borderId="25" xfId="0" applyFont="1" applyFill="1" applyBorder="1" applyAlignment="1">
      <alignment horizontal="center"/>
    </xf>
    <xf numFmtId="0" fontId="144" fillId="11" borderId="14" xfId="0" applyFont="1" applyFill="1" applyBorder="1" applyAlignment="1">
      <alignment horizontal="center"/>
    </xf>
    <xf numFmtId="0" fontId="144" fillId="11" borderId="75" xfId="0" applyFont="1" applyFill="1" applyBorder="1" applyAlignment="1">
      <alignment horizontal="center" vertical="center"/>
    </xf>
    <xf numFmtId="0" fontId="144" fillId="11" borderId="79" xfId="0" applyFont="1" applyFill="1" applyBorder="1" applyAlignment="1">
      <alignment horizontal="center" vertical="center"/>
    </xf>
    <xf numFmtId="0" fontId="16" fillId="0" borderId="80" xfId="0" applyFont="1" applyBorder="1" applyAlignment="1">
      <alignment horizontal="center" vertical="center"/>
    </xf>
    <xf numFmtId="0" fontId="16" fillId="0" borderId="81" xfId="0" applyFont="1" applyBorder="1" applyAlignment="1">
      <alignment horizontal="center" vertical="center"/>
    </xf>
    <xf numFmtId="0" fontId="16" fillId="0" borderId="82" xfId="0" applyFont="1" applyBorder="1" applyAlignment="1">
      <alignment horizontal="center" vertical="center"/>
    </xf>
    <xf numFmtId="0" fontId="1" fillId="0" borderId="81" xfId="0" applyFont="1" applyBorder="1" applyAlignment="1">
      <alignment horizontal="center" vertical="center"/>
    </xf>
    <xf numFmtId="0" fontId="1" fillId="0" borderId="82" xfId="0" applyFont="1" applyBorder="1" applyAlignment="1">
      <alignment horizontal="center" vertical="center"/>
    </xf>
    <xf numFmtId="0" fontId="309" fillId="0" borderId="80" xfId="0" applyFont="1" applyBorder="1" applyAlignment="1">
      <alignment horizontal="center" vertical="center"/>
    </xf>
    <xf numFmtId="0" fontId="145" fillId="0" borderId="81" xfId="0" applyFont="1" applyBorder="1" applyAlignment="1">
      <alignment horizontal="center" vertical="center"/>
    </xf>
    <xf numFmtId="0" fontId="145" fillId="0" borderId="82" xfId="0" applyFont="1" applyBorder="1" applyAlignment="1">
      <alignment horizontal="center" vertical="center"/>
    </xf>
    <xf numFmtId="0" fontId="310" fillId="31" borderId="13" xfId="0" applyFont="1" applyFill="1" applyBorder="1" applyAlignment="1">
      <alignment horizontal="center" vertical="center"/>
    </xf>
    <xf numFmtId="0" fontId="310" fillId="31" borderId="43" xfId="0" applyFont="1" applyFill="1" applyBorder="1" applyAlignment="1">
      <alignment horizontal="center" vertical="center"/>
    </xf>
    <xf numFmtId="0" fontId="310" fillId="31" borderId="56" xfId="0" applyFont="1" applyFill="1" applyBorder="1" applyAlignment="1">
      <alignment horizontal="center" vertical="center"/>
    </xf>
    <xf numFmtId="0" fontId="310" fillId="31" borderId="9" xfId="0" applyFont="1" applyFill="1" applyBorder="1" applyAlignment="1">
      <alignment horizontal="center" vertical="center"/>
    </xf>
    <xf numFmtId="0" fontId="310" fillId="31" borderId="0" xfId="0" applyFont="1" applyFill="1" applyAlignment="1">
      <alignment horizontal="center" vertical="center"/>
    </xf>
    <xf numFmtId="0" fontId="310" fillId="31" borderId="59" xfId="0" applyFont="1" applyFill="1" applyBorder="1" applyAlignment="1">
      <alignment horizontal="center" vertical="center"/>
    </xf>
    <xf numFmtId="0" fontId="310" fillId="31" borderId="8" xfId="0" applyFont="1" applyFill="1" applyBorder="1" applyAlignment="1">
      <alignment horizontal="center" vertical="center"/>
    </xf>
    <xf numFmtId="0" fontId="310" fillId="31" borderId="44" xfId="0" applyFont="1" applyFill="1" applyBorder="1" applyAlignment="1">
      <alignment horizontal="center" vertical="center"/>
    </xf>
    <xf numFmtId="0" fontId="310" fillId="31" borderId="23" xfId="0" applyFont="1" applyFill="1" applyBorder="1" applyAlignment="1">
      <alignment horizontal="center" vertical="center"/>
    </xf>
    <xf numFmtId="0" fontId="314" fillId="0" borderId="0" xfId="0" applyFont="1" applyAlignment="1">
      <alignment horizontal="center" vertical="center"/>
    </xf>
    <xf numFmtId="0" fontId="24" fillId="62" borderId="10" xfId="0" applyFont="1" applyFill="1" applyBorder="1" applyAlignment="1">
      <alignment horizontal="center" vertical="center"/>
    </xf>
    <xf numFmtId="0" fontId="24" fillId="62" borderId="25" xfId="0" applyFont="1" applyFill="1" applyBorder="1" applyAlignment="1">
      <alignment horizontal="center" vertical="center"/>
    </xf>
    <xf numFmtId="0" fontId="24" fillId="62" borderId="14" xfId="0" applyFont="1" applyFill="1" applyBorder="1" applyAlignment="1">
      <alignment horizontal="center" vertical="center"/>
    </xf>
    <xf numFmtId="0" fontId="178" fillId="11" borderId="68" xfId="0" applyFont="1" applyFill="1" applyBorder="1" applyAlignment="1">
      <alignment horizontal="center" vertical="center"/>
    </xf>
    <xf numFmtId="0" fontId="178" fillId="11" borderId="42" xfId="0" applyFont="1" applyFill="1" applyBorder="1" applyAlignment="1">
      <alignment horizontal="center" vertical="center"/>
    </xf>
    <xf numFmtId="0" fontId="144" fillId="11" borderId="63" xfId="0" applyFont="1" applyFill="1" applyBorder="1" applyAlignment="1">
      <alignment horizontal="center"/>
    </xf>
    <xf numFmtId="0" fontId="144" fillId="11" borderId="65" xfId="0" applyFont="1" applyFill="1" applyBorder="1" applyAlignment="1">
      <alignment horizontal="center"/>
    </xf>
    <xf numFmtId="0" fontId="144" fillId="11" borderId="62" xfId="0" applyFont="1" applyFill="1" applyBorder="1" applyAlignment="1">
      <alignment horizontal="center"/>
    </xf>
    <xf numFmtId="0" fontId="311" fillId="7" borderId="13" xfId="0" applyFont="1" applyFill="1" applyBorder="1" applyAlignment="1">
      <alignment vertical="center"/>
    </xf>
    <xf numFmtId="0" fontId="311" fillId="7" borderId="43" xfId="0" applyFont="1" applyFill="1" applyBorder="1" applyAlignment="1">
      <alignment vertical="center"/>
    </xf>
    <xf numFmtId="0" fontId="311" fillId="7" borderId="9" xfId="0" applyFont="1" applyFill="1" applyBorder="1" applyAlignment="1">
      <alignment vertical="center"/>
    </xf>
    <xf numFmtId="0" fontId="311" fillId="7" borderId="0" xfId="0" applyFont="1" applyFill="1" applyAlignment="1">
      <alignment vertical="center"/>
    </xf>
    <xf numFmtId="0" fontId="311" fillId="7" borderId="8" xfId="0" applyFont="1" applyFill="1" applyBorder="1" applyAlignment="1">
      <alignment vertical="center"/>
    </xf>
    <xf numFmtId="0" fontId="311" fillId="7" borderId="44" xfId="0" applyFont="1" applyFill="1" applyBorder="1" applyAlignment="1">
      <alignment vertical="center"/>
    </xf>
    <xf numFmtId="0" fontId="312" fillId="7" borderId="25" xfId="0" applyFont="1" applyFill="1" applyBorder="1" applyAlignment="1">
      <alignment horizontal="left" vertical="center"/>
    </xf>
    <xf numFmtId="0" fontId="179" fillId="0" borderId="44" xfId="0" applyFont="1" applyBorder="1" applyAlignment="1">
      <alignment horizontal="center"/>
    </xf>
    <xf numFmtId="0" fontId="313" fillId="45" borderId="10" xfId="0" applyFont="1" applyFill="1" applyBorder="1" applyAlignment="1">
      <alignment horizontal="center"/>
    </xf>
    <xf numFmtId="0" fontId="313" fillId="45" borderId="25" xfId="0" applyFont="1" applyFill="1" applyBorder="1" applyAlignment="1">
      <alignment horizontal="center"/>
    </xf>
    <xf numFmtId="0" fontId="313" fillId="45" borderId="14" xfId="0" applyFont="1" applyFill="1" applyBorder="1" applyAlignment="1">
      <alignment horizontal="center"/>
    </xf>
    <xf numFmtId="0" fontId="5" fillId="28" borderId="118" xfId="0" applyFont="1" applyFill="1" applyBorder="1" applyAlignment="1">
      <alignment horizontal="left" vertical="center" wrapText="1"/>
    </xf>
    <xf numFmtId="0" fontId="5" fillId="28" borderId="119" xfId="0" applyFont="1" applyFill="1" applyBorder="1" applyAlignment="1">
      <alignment horizontal="left" vertical="center" wrapText="1"/>
    </xf>
    <xf numFmtId="0" fontId="5" fillId="28" borderId="120" xfId="0" applyFont="1" applyFill="1" applyBorder="1" applyAlignment="1">
      <alignment horizontal="left" vertical="center" wrapText="1"/>
    </xf>
    <xf numFmtId="0" fontId="5" fillId="28" borderId="121" xfId="0" applyFont="1" applyFill="1" applyBorder="1" applyAlignment="1">
      <alignment horizontal="left" vertical="center" wrapText="1"/>
    </xf>
    <xf numFmtId="0" fontId="5" fillId="28" borderId="122" xfId="0" applyFont="1" applyFill="1" applyBorder="1" applyAlignment="1">
      <alignment horizontal="left" vertical="center" wrapText="1"/>
    </xf>
    <xf numFmtId="0" fontId="5" fillId="28" borderId="123" xfId="0" applyFont="1" applyFill="1" applyBorder="1" applyAlignment="1">
      <alignment horizontal="left" vertical="center" wrapText="1"/>
    </xf>
    <xf numFmtId="0" fontId="0" fillId="0" borderId="119" xfId="0" applyBorder="1" applyAlignment="1">
      <alignment horizontal="center"/>
    </xf>
    <xf numFmtId="0" fontId="315" fillId="0" borderId="0" xfId="0" applyFont="1" applyAlignment="1">
      <alignment horizontal="center" vertical="center" wrapText="1"/>
    </xf>
    <xf numFmtId="0" fontId="0" fillId="28" borderId="0" xfId="0" applyFill="1" applyAlignment="1">
      <alignment horizontal="center"/>
    </xf>
    <xf numFmtId="0" fontId="316" fillId="25" borderId="118" xfId="0" applyFont="1" applyFill="1" applyBorder="1" applyAlignment="1">
      <alignment horizontal="center" vertical="center"/>
    </xf>
    <xf numFmtId="0" fontId="316" fillId="25" borderId="119" xfId="0" applyFont="1" applyFill="1" applyBorder="1" applyAlignment="1">
      <alignment horizontal="center" vertical="center"/>
    </xf>
    <xf numFmtId="0" fontId="316" fillId="25" borderId="120" xfId="0" applyFont="1" applyFill="1" applyBorder="1" applyAlignment="1">
      <alignment horizontal="center" vertical="center"/>
    </xf>
    <xf numFmtId="0" fontId="316" fillId="25" borderId="124" xfId="0" applyFont="1" applyFill="1" applyBorder="1" applyAlignment="1">
      <alignment horizontal="center" vertical="center"/>
    </xf>
    <xf numFmtId="0" fontId="316" fillId="25" borderId="0" xfId="0" applyFont="1" applyFill="1" applyAlignment="1">
      <alignment horizontal="center" vertical="center"/>
    </xf>
    <xf numFmtId="0" fontId="316" fillId="25" borderId="125" xfId="0" applyFont="1" applyFill="1" applyBorder="1" applyAlignment="1">
      <alignment horizontal="center" vertical="center"/>
    </xf>
    <xf numFmtId="0" fontId="316" fillId="25" borderId="121" xfId="0" applyFont="1" applyFill="1" applyBorder="1" applyAlignment="1">
      <alignment horizontal="center" vertical="center"/>
    </xf>
    <xf numFmtId="0" fontId="316" fillId="25" borderId="122" xfId="0" applyFont="1" applyFill="1" applyBorder="1" applyAlignment="1">
      <alignment horizontal="center" vertical="center"/>
    </xf>
    <xf numFmtId="0" fontId="316" fillId="25" borderId="123" xfId="0" applyFont="1" applyFill="1" applyBorder="1" applyAlignment="1">
      <alignment horizontal="center" vertical="center"/>
    </xf>
    <xf numFmtId="0" fontId="315" fillId="0" borderId="12" xfId="0" applyFont="1" applyBorder="1" applyAlignment="1">
      <alignment horizontal="center" vertical="center" wrapText="1"/>
    </xf>
    <xf numFmtId="0" fontId="315" fillId="0" borderId="72" xfId="0" applyFont="1" applyBorder="1" applyAlignment="1">
      <alignment horizontal="center" vertical="center" wrapText="1"/>
    </xf>
    <xf numFmtId="0" fontId="315" fillId="0" borderId="46" xfId="0" applyFont="1" applyBorder="1" applyAlignment="1">
      <alignment horizontal="center" vertical="center" wrapText="1"/>
    </xf>
    <xf numFmtId="0" fontId="317" fillId="11" borderId="70" xfId="0" applyFont="1" applyFill="1" applyBorder="1" applyAlignment="1">
      <alignment horizontal="center" vertical="center"/>
    </xf>
    <xf numFmtId="0" fontId="317" fillId="11" borderId="69" xfId="0" applyFont="1" applyFill="1" applyBorder="1" applyAlignment="1">
      <alignment horizontal="center" vertical="center"/>
    </xf>
    <xf numFmtId="0" fontId="317" fillId="11" borderId="45" xfId="0" applyFont="1" applyFill="1" applyBorder="1" applyAlignment="1">
      <alignment horizontal="center" vertical="center"/>
    </xf>
    <xf numFmtId="0" fontId="318" fillId="25" borderId="126" xfId="0" applyFont="1" applyFill="1" applyBorder="1" applyAlignment="1">
      <alignment horizontal="center" vertical="center"/>
    </xf>
    <xf numFmtId="0" fontId="319" fillId="25" borderId="43" xfId="0" applyFont="1" applyFill="1" applyBorder="1" applyAlignment="1">
      <alignment horizontal="center" vertical="center"/>
    </xf>
    <xf numFmtId="0" fontId="319" fillId="25" borderId="127" xfId="0" applyFont="1" applyFill="1" applyBorder="1" applyAlignment="1">
      <alignment horizontal="center" vertical="center"/>
    </xf>
    <xf numFmtId="0" fontId="319" fillId="25" borderId="91" xfId="0" applyFont="1" applyFill="1" applyBorder="1" applyAlignment="1">
      <alignment horizontal="center" vertical="center"/>
    </xf>
    <xf numFmtId="0" fontId="319" fillId="25" borderId="0" xfId="0" applyFont="1" applyFill="1" applyAlignment="1">
      <alignment horizontal="center" vertical="center"/>
    </xf>
    <xf numFmtId="0" fontId="319" fillId="25" borderId="128" xfId="0" applyFont="1" applyFill="1" applyBorder="1" applyAlignment="1">
      <alignment horizontal="center" vertical="center"/>
    </xf>
    <xf numFmtId="0" fontId="178" fillId="11" borderId="129" xfId="0" applyFont="1" applyFill="1" applyBorder="1" applyAlignment="1">
      <alignment horizontal="center" vertical="center"/>
    </xf>
    <xf numFmtId="0" fontId="178" fillId="11" borderId="130" xfId="0" applyFont="1" applyFill="1" applyBorder="1" applyAlignment="1">
      <alignment horizontal="center" vertical="center"/>
    </xf>
    <xf numFmtId="0" fontId="178" fillId="11" borderId="131" xfId="0" applyFont="1" applyFill="1" applyBorder="1" applyAlignment="1">
      <alignment horizontal="center" vertical="center"/>
    </xf>
    <xf numFmtId="0" fontId="141" fillId="0" borderId="0" xfId="0" applyFont="1" applyAlignment="1">
      <alignment horizontal="center" vertical="center"/>
    </xf>
    <xf numFmtId="0" fontId="320" fillId="50" borderId="0" xfId="0" applyFont="1" applyFill="1" applyAlignment="1">
      <alignment horizontal="center"/>
    </xf>
    <xf numFmtId="0" fontId="142" fillId="50" borderId="0" xfId="0" applyFont="1" applyFill="1" applyAlignment="1">
      <alignment horizontal="center" vertical="center"/>
    </xf>
    <xf numFmtId="0" fontId="244" fillId="50" borderId="72" xfId="0" applyFont="1" applyFill="1" applyBorder="1" applyAlignment="1">
      <alignment horizontal="center" vertical="center" wrapText="1"/>
    </xf>
    <xf numFmtId="0" fontId="244" fillId="50" borderId="59" xfId="0" applyFont="1" applyFill="1" applyBorder="1" applyAlignment="1">
      <alignment horizontal="center" vertical="center" wrapText="1"/>
    </xf>
    <xf numFmtId="0" fontId="244" fillId="63" borderId="72" xfId="0" applyFont="1" applyFill="1" applyBorder="1" applyAlignment="1">
      <alignment horizontal="center" vertical="center" wrapText="1"/>
    </xf>
    <xf numFmtId="0" fontId="244" fillId="63" borderId="46" xfId="0" applyFont="1" applyFill="1" applyBorder="1" applyAlignment="1">
      <alignment horizontal="center" vertical="center" wrapText="1"/>
    </xf>
    <xf numFmtId="0" fontId="244" fillId="64" borderId="9" xfId="0" applyFont="1" applyFill="1" applyBorder="1" applyAlignment="1">
      <alignment horizontal="center" vertical="center" wrapText="1"/>
    </xf>
    <xf numFmtId="0" fontId="244" fillId="64" borderId="59" xfId="0" applyFont="1" applyFill="1" applyBorder="1" applyAlignment="1">
      <alignment horizontal="center" vertical="center" wrapText="1"/>
    </xf>
    <xf numFmtId="0" fontId="244" fillId="64" borderId="8" xfId="0" applyFont="1" applyFill="1" applyBorder="1" applyAlignment="1">
      <alignment horizontal="center" vertical="center" wrapText="1"/>
    </xf>
    <xf numFmtId="0" fontId="244" fillId="64" borderId="23" xfId="0" applyFont="1" applyFill="1" applyBorder="1" applyAlignment="1">
      <alignment horizontal="center" vertical="center" wrapText="1"/>
    </xf>
    <xf numFmtId="0" fontId="321" fillId="38" borderId="9" xfId="0" applyFont="1" applyFill="1" applyBorder="1" applyAlignment="1">
      <alignment horizontal="left" vertical="top" wrapText="1"/>
    </xf>
    <xf numFmtId="0" fontId="321" fillId="38" borderId="59" xfId="0" applyFont="1" applyFill="1" applyBorder="1" applyAlignment="1">
      <alignment horizontal="left" vertical="top" wrapText="1"/>
    </xf>
    <xf numFmtId="0" fontId="321" fillId="38" borderId="8" xfId="0" applyFont="1" applyFill="1" applyBorder="1" applyAlignment="1">
      <alignment horizontal="left" vertical="top" wrapText="1"/>
    </xf>
    <xf numFmtId="0" fontId="321" fillId="38" borderId="23" xfId="0" applyFont="1" applyFill="1" applyBorder="1" applyAlignment="1">
      <alignment horizontal="left" vertical="top" wrapText="1"/>
    </xf>
    <xf numFmtId="0" fontId="0" fillId="50" borderId="0" xfId="0" applyFill="1" applyAlignment="1">
      <alignment horizontal="center"/>
    </xf>
    <xf numFmtId="0" fontId="322" fillId="25" borderId="10" xfId="0" applyFont="1" applyFill="1" applyBorder="1" applyAlignment="1">
      <alignment horizontal="center" vertical="center"/>
    </xf>
    <xf numFmtId="0" fontId="322" fillId="25" borderId="25" xfId="0" applyFont="1" applyFill="1" applyBorder="1" applyAlignment="1">
      <alignment horizontal="center" vertical="center"/>
    </xf>
    <xf numFmtId="0" fontId="322" fillId="25" borderId="14" xfId="0" applyFont="1" applyFill="1" applyBorder="1" applyAlignment="1">
      <alignment horizontal="center" vertical="center"/>
    </xf>
    <xf numFmtId="0" fontId="323" fillId="7" borderId="13" xfId="0" applyFont="1" applyFill="1" applyBorder="1" applyAlignment="1">
      <alignment horizontal="center" vertical="center"/>
    </xf>
    <xf numFmtId="0" fontId="323" fillId="7" borderId="8" xfId="0" applyFont="1" applyFill="1" applyBorder="1" applyAlignment="1">
      <alignment horizontal="center" vertical="center"/>
    </xf>
    <xf numFmtId="0" fontId="323" fillId="6" borderId="12" xfId="0" applyFont="1" applyFill="1" applyBorder="1" applyAlignment="1">
      <alignment horizontal="center" vertical="center"/>
    </xf>
    <xf numFmtId="0" fontId="323" fillId="6" borderId="46" xfId="0" applyFont="1" applyFill="1" applyBorder="1" applyAlignment="1">
      <alignment horizontal="center" vertical="center"/>
    </xf>
    <xf numFmtId="0" fontId="323" fillId="51" borderId="12" xfId="0" applyFont="1" applyFill="1" applyBorder="1" applyAlignment="1">
      <alignment horizontal="center" vertical="center"/>
    </xf>
    <xf numFmtId="0" fontId="323" fillId="51" borderId="46" xfId="0" applyFont="1" applyFill="1" applyBorder="1" applyAlignment="1">
      <alignment horizontal="center" vertical="center"/>
    </xf>
  </cellXfs>
  <cellStyles count="4">
    <cellStyle name="Moeda" xfId="1" builtinId="4"/>
    <cellStyle name="Normal" xfId="0" builtinId="0"/>
    <cellStyle name="Normal 4" xfId="2" xr:uid="{6FFCE3A8-0A6F-4487-B4E0-560114D5558F}"/>
    <cellStyle name="Vírgula" xfId="3" builtinId="3"/>
  </cellStyles>
  <dxfs count="11"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/>
</file>

<file path=xl/ctrlProps/ctrlProp62.xml><?xml version="1.0" encoding="utf-8"?>
<formControlPr xmlns="http://schemas.microsoft.com/office/spreadsheetml/2009/9/main" objectType="Button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/>
</file>

<file path=xl/ctrlProps/ctrlProp69.xml><?xml version="1.0" encoding="utf-8"?>
<formControlPr xmlns="http://schemas.microsoft.com/office/spreadsheetml/2009/9/main" objectType="Button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/>
</file>

<file path=xl/ctrlProps/ctrlProp81.xml><?xml version="1.0" encoding="utf-8"?>
<formControlPr xmlns="http://schemas.microsoft.com/office/spreadsheetml/2009/9/main" objectType="Button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/>
</file>

<file path=xl/ctrlProps/ctrlProp117.xml><?xml version="1.0" encoding="utf-8"?>
<formControlPr xmlns="http://schemas.microsoft.com/office/spreadsheetml/2009/9/main" objectType="Button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4200525</xdr:colOff>
      <xdr:row>432</xdr:row>
      <xdr:rowOff>38100</xdr:rowOff>
    </xdr:from>
    <xdr:to>
      <xdr:col>2</xdr:col>
      <xdr:colOff>0</xdr:colOff>
      <xdr:row>432</xdr:row>
      <xdr:rowOff>161925</xdr:rowOff>
    </xdr:to>
    <xdr:sp macro="" textlink="">
      <xdr:nvSpPr>
        <xdr:cNvPr id="1046" name="Seta para a direita 59">
          <a:extLst>
            <a:ext uri="{FF2B5EF4-FFF2-40B4-BE49-F238E27FC236}">
              <a16:creationId xmlns:a16="http://schemas.microsoft.com/office/drawing/2014/main" id="{F7E6F701-B06D-FB61-A95C-49BEB0916DAC}"/>
            </a:ext>
          </a:extLst>
        </xdr:cNvPr>
        <xdr:cNvSpPr>
          <a:spLocks noChangeArrowheads="1"/>
        </xdr:cNvSpPr>
      </xdr:nvSpPr>
      <xdr:spPr bwMode="auto">
        <a:xfrm rot="5400000">
          <a:off x="4605337" y="82529363"/>
          <a:ext cx="123825" cy="0"/>
        </a:xfrm>
        <a:prstGeom prst="rightArrow">
          <a:avLst>
            <a:gd name="adj1" fmla="val 50000"/>
            <a:gd name="adj2" fmla="val -2147483648"/>
          </a:avLst>
        </a:prstGeom>
        <a:solidFill>
          <a:srgbClr val="00000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4200525</xdr:colOff>
      <xdr:row>433</xdr:row>
      <xdr:rowOff>38100</xdr:rowOff>
    </xdr:from>
    <xdr:to>
      <xdr:col>2</xdr:col>
      <xdr:colOff>0</xdr:colOff>
      <xdr:row>433</xdr:row>
      <xdr:rowOff>161925</xdr:rowOff>
    </xdr:to>
    <xdr:sp macro="" textlink="">
      <xdr:nvSpPr>
        <xdr:cNvPr id="1047" name="Seta para a direita 60">
          <a:extLst>
            <a:ext uri="{FF2B5EF4-FFF2-40B4-BE49-F238E27FC236}">
              <a16:creationId xmlns:a16="http://schemas.microsoft.com/office/drawing/2014/main" id="{AEF774EB-1488-ECAC-F146-605A259A0D5F}"/>
            </a:ext>
          </a:extLst>
        </xdr:cNvPr>
        <xdr:cNvSpPr>
          <a:spLocks noChangeArrowheads="1"/>
        </xdr:cNvSpPr>
      </xdr:nvSpPr>
      <xdr:spPr bwMode="auto">
        <a:xfrm rot="5400000">
          <a:off x="4605337" y="82719863"/>
          <a:ext cx="123825" cy="0"/>
        </a:xfrm>
        <a:prstGeom prst="rightArrow">
          <a:avLst>
            <a:gd name="adj1" fmla="val 50000"/>
            <a:gd name="adj2" fmla="val -2147483648"/>
          </a:avLst>
        </a:prstGeom>
        <a:solidFill>
          <a:srgbClr val="00000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4200525</xdr:colOff>
      <xdr:row>434</xdr:row>
      <xdr:rowOff>28575</xdr:rowOff>
    </xdr:from>
    <xdr:to>
      <xdr:col>2</xdr:col>
      <xdr:colOff>0</xdr:colOff>
      <xdr:row>434</xdr:row>
      <xdr:rowOff>152400</xdr:rowOff>
    </xdr:to>
    <xdr:sp macro="" textlink="">
      <xdr:nvSpPr>
        <xdr:cNvPr id="1048" name="Seta para a direita 61">
          <a:extLst>
            <a:ext uri="{FF2B5EF4-FFF2-40B4-BE49-F238E27FC236}">
              <a16:creationId xmlns:a16="http://schemas.microsoft.com/office/drawing/2014/main" id="{411625A0-2576-7795-2C22-913B541C6283}"/>
            </a:ext>
          </a:extLst>
        </xdr:cNvPr>
        <xdr:cNvSpPr>
          <a:spLocks noChangeArrowheads="1"/>
        </xdr:cNvSpPr>
      </xdr:nvSpPr>
      <xdr:spPr bwMode="auto">
        <a:xfrm rot="5400000">
          <a:off x="4605337" y="82900838"/>
          <a:ext cx="123825" cy="0"/>
        </a:xfrm>
        <a:prstGeom prst="rightArrow">
          <a:avLst>
            <a:gd name="adj1" fmla="val 50000"/>
            <a:gd name="adj2" fmla="val -2147483648"/>
          </a:avLst>
        </a:prstGeom>
        <a:solidFill>
          <a:srgbClr val="00000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4200525</xdr:colOff>
      <xdr:row>435</xdr:row>
      <xdr:rowOff>28575</xdr:rowOff>
    </xdr:from>
    <xdr:to>
      <xdr:col>2</xdr:col>
      <xdr:colOff>0</xdr:colOff>
      <xdr:row>435</xdr:row>
      <xdr:rowOff>152400</xdr:rowOff>
    </xdr:to>
    <xdr:sp macro="" textlink="">
      <xdr:nvSpPr>
        <xdr:cNvPr id="1049" name="Seta para a direita 62">
          <a:extLst>
            <a:ext uri="{FF2B5EF4-FFF2-40B4-BE49-F238E27FC236}">
              <a16:creationId xmlns:a16="http://schemas.microsoft.com/office/drawing/2014/main" id="{79828809-D5B5-1D23-8BA9-4E5448F47963}"/>
            </a:ext>
          </a:extLst>
        </xdr:cNvPr>
        <xdr:cNvSpPr>
          <a:spLocks noChangeArrowheads="1"/>
        </xdr:cNvSpPr>
      </xdr:nvSpPr>
      <xdr:spPr bwMode="auto">
        <a:xfrm rot="5400000">
          <a:off x="4605337" y="83091338"/>
          <a:ext cx="123825" cy="0"/>
        </a:xfrm>
        <a:prstGeom prst="rightArrow">
          <a:avLst>
            <a:gd name="adj1" fmla="val 50000"/>
            <a:gd name="adj2" fmla="val -2147483648"/>
          </a:avLst>
        </a:prstGeom>
        <a:solidFill>
          <a:srgbClr val="00000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4200525</xdr:colOff>
      <xdr:row>436</xdr:row>
      <xdr:rowOff>38100</xdr:rowOff>
    </xdr:from>
    <xdr:to>
      <xdr:col>2</xdr:col>
      <xdr:colOff>0</xdr:colOff>
      <xdr:row>436</xdr:row>
      <xdr:rowOff>161925</xdr:rowOff>
    </xdr:to>
    <xdr:sp macro="" textlink="">
      <xdr:nvSpPr>
        <xdr:cNvPr id="1050" name="Seta para a direita 63">
          <a:extLst>
            <a:ext uri="{FF2B5EF4-FFF2-40B4-BE49-F238E27FC236}">
              <a16:creationId xmlns:a16="http://schemas.microsoft.com/office/drawing/2014/main" id="{1960EC76-995A-9C51-71E5-CB558F2B3274}"/>
            </a:ext>
          </a:extLst>
        </xdr:cNvPr>
        <xdr:cNvSpPr>
          <a:spLocks noChangeArrowheads="1"/>
        </xdr:cNvSpPr>
      </xdr:nvSpPr>
      <xdr:spPr bwMode="auto">
        <a:xfrm rot="5400000">
          <a:off x="4605337" y="83291363"/>
          <a:ext cx="123825" cy="0"/>
        </a:xfrm>
        <a:prstGeom prst="rightArrow">
          <a:avLst>
            <a:gd name="adj1" fmla="val 50000"/>
            <a:gd name="adj2" fmla="val -2147483648"/>
          </a:avLst>
        </a:prstGeom>
        <a:solidFill>
          <a:srgbClr val="00000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4200525</xdr:colOff>
      <xdr:row>437</xdr:row>
      <xdr:rowOff>38100</xdr:rowOff>
    </xdr:from>
    <xdr:to>
      <xdr:col>2</xdr:col>
      <xdr:colOff>0</xdr:colOff>
      <xdr:row>437</xdr:row>
      <xdr:rowOff>161925</xdr:rowOff>
    </xdr:to>
    <xdr:sp macro="" textlink="">
      <xdr:nvSpPr>
        <xdr:cNvPr id="1051" name="Seta para a direita 64">
          <a:extLst>
            <a:ext uri="{FF2B5EF4-FFF2-40B4-BE49-F238E27FC236}">
              <a16:creationId xmlns:a16="http://schemas.microsoft.com/office/drawing/2014/main" id="{FD742012-E5AC-99EE-F490-587D7DDC9946}"/>
            </a:ext>
          </a:extLst>
        </xdr:cNvPr>
        <xdr:cNvSpPr>
          <a:spLocks noChangeArrowheads="1"/>
        </xdr:cNvSpPr>
      </xdr:nvSpPr>
      <xdr:spPr bwMode="auto">
        <a:xfrm rot="5400000">
          <a:off x="4605337" y="83481863"/>
          <a:ext cx="123825" cy="0"/>
        </a:xfrm>
        <a:prstGeom prst="rightArrow">
          <a:avLst>
            <a:gd name="adj1" fmla="val 50000"/>
            <a:gd name="adj2" fmla="val -2147483648"/>
          </a:avLst>
        </a:prstGeom>
        <a:solidFill>
          <a:srgbClr val="00000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38100</xdr:rowOff>
        </xdr:from>
        <xdr:to>
          <xdr:col>0</xdr:col>
          <xdr:colOff>762000</xdr:colOff>
          <xdr:row>3</xdr:row>
          <xdr:rowOff>95250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288C8102-D826-3A93-DBF1-918D4B23BA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sng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VOLTA</a:t>
              </a:r>
            </a:p>
            <a:p>
              <a:pPr algn="ctr" rtl="0">
                <a:defRPr sz="1000"/>
              </a:pPr>
              <a:r>
                <a:rPr lang="pt-BR" sz="1200" b="1" i="0" u="sng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AO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7</xdr:row>
          <xdr:rowOff>57150</xdr:rowOff>
        </xdr:from>
        <xdr:to>
          <xdr:col>0</xdr:col>
          <xdr:colOff>762000</xdr:colOff>
          <xdr:row>9</xdr:row>
          <xdr:rowOff>38100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5BDBE6FF-66B0-EC23-6ED0-7DFC7BE48B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FF"/>
                  </a:solidFill>
                  <a:latin typeface="Bodoni MT Poster Compressed"/>
                </a:rPr>
                <a:t>Mono 34.5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9</xdr:row>
          <xdr:rowOff>85725</xdr:rowOff>
        </xdr:from>
        <xdr:to>
          <xdr:col>0</xdr:col>
          <xdr:colOff>762000</xdr:colOff>
          <xdr:row>11</xdr:row>
          <xdr:rowOff>47625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DDCB0C94-22F7-A7A2-5109-C1A375BC25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FF"/>
                  </a:solidFill>
                  <a:latin typeface="Bodoni MT Poster Compressed"/>
                </a:rPr>
                <a:t>Trif.  13.8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3</xdr:row>
          <xdr:rowOff>142875</xdr:rowOff>
        </xdr:from>
        <xdr:to>
          <xdr:col>0</xdr:col>
          <xdr:colOff>752475</xdr:colOff>
          <xdr:row>5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FCBEC292-6F93-C1CB-25B5-90D0BBC247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Bodoni MT Poster Compressed"/>
                </a:rPr>
                <a:t>MATERIAIS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5</xdr:row>
          <xdr:rowOff>114300</xdr:rowOff>
        </xdr:from>
        <xdr:to>
          <xdr:col>0</xdr:col>
          <xdr:colOff>762000</xdr:colOff>
          <xdr:row>7</xdr:row>
          <xdr:rowOff>19050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ED90A508-1552-2114-BE00-6F65132E1D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Bodoni MT Poster Compressed"/>
                </a:rPr>
                <a:t>EXTRAS EXTRAS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11</xdr:row>
          <xdr:rowOff>85725</xdr:rowOff>
        </xdr:from>
        <xdr:to>
          <xdr:col>0</xdr:col>
          <xdr:colOff>752475</xdr:colOff>
          <xdr:row>13</xdr:row>
          <xdr:rowOff>47625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241CF785-FC2B-1E2E-99F3-DCDA3B1D05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0" anchor="t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FF"/>
                  </a:solidFill>
                  <a:latin typeface="Bodoni MT Poster Compressed"/>
                </a:rPr>
                <a:t>Trif. 34.5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13</xdr:row>
          <xdr:rowOff>95250</xdr:rowOff>
        </xdr:from>
        <xdr:to>
          <xdr:col>0</xdr:col>
          <xdr:colOff>390525</xdr:colOff>
          <xdr:row>21</xdr:row>
          <xdr:rowOff>47625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330F6DAD-B1A8-B3B8-C34C-8A2AFE2FF4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2004" rIns="36576" bIns="0" anchor="ctr" upright="1"/>
            <a:lstStyle/>
            <a:p>
              <a:pPr algn="r" rtl="0">
                <a:defRPr sz="1000"/>
              </a:pPr>
              <a:r>
                <a:rPr lang="pt-BR" sz="1600" b="1" i="0" u="none" strike="noStrike" baseline="0">
                  <a:solidFill>
                    <a:srgbClr val="0000FF"/>
                  </a:solidFill>
                  <a:latin typeface="Arial Narrow"/>
                </a:rPr>
                <a:t>Estruturas 13.8KV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466725</xdr:colOff>
          <xdr:row>13</xdr:row>
          <xdr:rowOff>95250</xdr:rowOff>
        </xdr:from>
        <xdr:to>
          <xdr:col>0</xdr:col>
          <xdr:colOff>762000</xdr:colOff>
          <xdr:row>21</xdr:row>
          <xdr:rowOff>47625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9752F48E-DFD4-2C9E-4BA0-5B19F2617F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2004" rIns="36576" bIns="0" anchor="ctr" upright="1"/>
            <a:lstStyle/>
            <a:p>
              <a:pPr algn="r" rtl="0">
                <a:defRPr sz="1000"/>
              </a:pPr>
              <a:r>
                <a:rPr lang="pt-BR" sz="1600" b="1" i="0" u="none" strike="noStrike" baseline="0">
                  <a:solidFill>
                    <a:srgbClr val="0000FF"/>
                  </a:solidFill>
                  <a:latin typeface="Arial Narrow"/>
                </a:rPr>
                <a:t>Estruturas 34.5kv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4200525</xdr:colOff>
      <xdr:row>432</xdr:row>
      <xdr:rowOff>38100</xdr:rowOff>
    </xdr:from>
    <xdr:to>
      <xdr:col>2</xdr:col>
      <xdr:colOff>0</xdr:colOff>
      <xdr:row>432</xdr:row>
      <xdr:rowOff>161925</xdr:rowOff>
    </xdr:to>
    <xdr:sp macro="" textlink="">
      <xdr:nvSpPr>
        <xdr:cNvPr id="4115" name="Seta para a direita 59">
          <a:extLst>
            <a:ext uri="{FF2B5EF4-FFF2-40B4-BE49-F238E27FC236}">
              <a16:creationId xmlns:a16="http://schemas.microsoft.com/office/drawing/2014/main" id="{B9E444C7-96B1-CEF1-AFE2-3DCC84A91150}"/>
            </a:ext>
          </a:extLst>
        </xdr:cNvPr>
        <xdr:cNvSpPr>
          <a:spLocks noChangeArrowheads="1"/>
        </xdr:cNvSpPr>
      </xdr:nvSpPr>
      <xdr:spPr bwMode="auto">
        <a:xfrm rot="5400000">
          <a:off x="4605337" y="82491263"/>
          <a:ext cx="123825" cy="0"/>
        </a:xfrm>
        <a:prstGeom prst="rightArrow">
          <a:avLst>
            <a:gd name="adj1" fmla="val 50000"/>
            <a:gd name="adj2" fmla="val -2147483648"/>
          </a:avLst>
        </a:prstGeom>
        <a:solidFill>
          <a:srgbClr val="00000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4200525</xdr:colOff>
      <xdr:row>433</xdr:row>
      <xdr:rowOff>38100</xdr:rowOff>
    </xdr:from>
    <xdr:to>
      <xdr:col>2</xdr:col>
      <xdr:colOff>0</xdr:colOff>
      <xdr:row>433</xdr:row>
      <xdr:rowOff>161925</xdr:rowOff>
    </xdr:to>
    <xdr:sp macro="" textlink="">
      <xdr:nvSpPr>
        <xdr:cNvPr id="4116" name="Seta para a direita 60">
          <a:extLst>
            <a:ext uri="{FF2B5EF4-FFF2-40B4-BE49-F238E27FC236}">
              <a16:creationId xmlns:a16="http://schemas.microsoft.com/office/drawing/2014/main" id="{C5F3321F-7614-ED2D-3B1E-43FB83D69671}"/>
            </a:ext>
          </a:extLst>
        </xdr:cNvPr>
        <xdr:cNvSpPr>
          <a:spLocks noChangeArrowheads="1"/>
        </xdr:cNvSpPr>
      </xdr:nvSpPr>
      <xdr:spPr bwMode="auto">
        <a:xfrm rot="5400000">
          <a:off x="4605337" y="82681763"/>
          <a:ext cx="123825" cy="0"/>
        </a:xfrm>
        <a:prstGeom prst="rightArrow">
          <a:avLst>
            <a:gd name="adj1" fmla="val 50000"/>
            <a:gd name="adj2" fmla="val -2147483648"/>
          </a:avLst>
        </a:prstGeom>
        <a:solidFill>
          <a:srgbClr val="00000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4200525</xdr:colOff>
      <xdr:row>434</xdr:row>
      <xdr:rowOff>28575</xdr:rowOff>
    </xdr:from>
    <xdr:to>
      <xdr:col>2</xdr:col>
      <xdr:colOff>0</xdr:colOff>
      <xdr:row>434</xdr:row>
      <xdr:rowOff>152400</xdr:rowOff>
    </xdr:to>
    <xdr:sp macro="" textlink="">
      <xdr:nvSpPr>
        <xdr:cNvPr id="4117" name="Seta para a direita 61">
          <a:extLst>
            <a:ext uri="{FF2B5EF4-FFF2-40B4-BE49-F238E27FC236}">
              <a16:creationId xmlns:a16="http://schemas.microsoft.com/office/drawing/2014/main" id="{A5409524-7DB5-F623-9EEA-AFC7B1A98B17}"/>
            </a:ext>
          </a:extLst>
        </xdr:cNvPr>
        <xdr:cNvSpPr>
          <a:spLocks noChangeArrowheads="1"/>
        </xdr:cNvSpPr>
      </xdr:nvSpPr>
      <xdr:spPr bwMode="auto">
        <a:xfrm rot="5400000">
          <a:off x="4605337" y="82862738"/>
          <a:ext cx="123825" cy="0"/>
        </a:xfrm>
        <a:prstGeom prst="rightArrow">
          <a:avLst>
            <a:gd name="adj1" fmla="val 50000"/>
            <a:gd name="adj2" fmla="val -2147483648"/>
          </a:avLst>
        </a:prstGeom>
        <a:solidFill>
          <a:srgbClr val="00000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4200525</xdr:colOff>
      <xdr:row>435</xdr:row>
      <xdr:rowOff>28575</xdr:rowOff>
    </xdr:from>
    <xdr:to>
      <xdr:col>2</xdr:col>
      <xdr:colOff>0</xdr:colOff>
      <xdr:row>435</xdr:row>
      <xdr:rowOff>152400</xdr:rowOff>
    </xdr:to>
    <xdr:sp macro="" textlink="">
      <xdr:nvSpPr>
        <xdr:cNvPr id="4118" name="Seta para a direita 62">
          <a:extLst>
            <a:ext uri="{FF2B5EF4-FFF2-40B4-BE49-F238E27FC236}">
              <a16:creationId xmlns:a16="http://schemas.microsoft.com/office/drawing/2014/main" id="{604FE82D-3161-E5ED-182B-27844844EC47}"/>
            </a:ext>
          </a:extLst>
        </xdr:cNvPr>
        <xdr:cNvSpPr>
          <a:spLocks noChangeArrowheads="1"/>
        </xdr:cNvSpPr>
      </xdr:nvSpPr>
      <xdr:spPr bwMode="auto">
        <a:xfrm rot="5400000">
          <a:off x="4605337" y="83053238"/>
          <a:ext cx="123825" cy="0"/>
        </a:xfrm>
        <a:prstGeom prst="rightArrow">
          <a:avLst>
            <a:gd name="adj1" fmla="val 50000"/>
            <a:gd name="adj2" fmla="val -2147483648"/>
          </a:avLst>
        </a:prstGeom>
        <a:solidFill>
          <a:srgbClr val="00000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4200525</xdr:colOff>
      <xdr:row>436</xdr:row>
      <xdr:rowOff>38100</xdr:rowOff>
    </xdr:from>
    <xdr:to>
      <xdr:col>2</xdr:col>
      <xdr:colOff>0</xdr:colOff>
      <xdr:row>436</xdr:row>
      <xdr:rowOff>161925</xdr:rowOff>
    </xdr:to>
    <xdr:sp macro="" textlink="">
      <xdr:nvSpPr>
        <xdr:cNvPr id="4119" name="Seta para a direita 63">
          <a:extLst>
            <a:ext uri="{FF2B5EF4-FFF2-40B4-BE49-F238E27FC236}">
              <a16:creationId xmlns:a16="http://schemas.microsoft.com/office/drawing/2014/main" id="{62351036-64B5-C0BC-1D14-0A367AD62125}"/>
            </a:ext>
          </a:extLst>
        </xdr:cNvPr>
        <xdr:cNvSpPr>
          <a:spLocks noChangeArrowheads="1"/>
        </xdr:cNvSpPr>
      </xdr:nvSpPr>
      <xdr:spPr bwMode="auto">
        <a:xfrm rot="5400000">
          <a:off x="4605337" y="83253263"/>
          <a:ext cx="123825" cy="0"/>
        </a:xfrm>
        <a:prstGeom prst="rightArrow">
          <a:avLst>
            <a:gd name="adj1" fmla="val 50000"/>
            <a:gd name="adj2" fmla="val -2147483648"/>
          </a:avLst>
        </a:prstGeom>
        <a:solidFill>
          <a:srgbClr val="00000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4200525</xdr:colOff>
      <xdr:row>437</xdr:row>
      <xdr:rowOff>38100</xdr:rowOff>
    </xdr:from>
    <xdr:to>
      <xdr:col>2</xdr:col>
      <xdr:colOff>0</xdr:colOff>
      <xdr:row>437</xdr:row>
      <xdr:rowOff>161925</xdr:rowOff>
    </xdr:to>
    <xdr:sp macro="" textlink="">
      <xdr:nvSpPr>
        <xdr:cNvPr id="4120" name="Seta para a direita 64">
          <a:extLst>
            <a:ext uri="{FF2B5EF4-FFF2-40B4-BE49-F238E27FC236}">
              <a16:creationId xmlns:a16="http://schemas.microsoft.com/office/drawing/2014/main" id="{4AD726BA-9734-D1FF-FB2E-6C57D616CEBB}"/>
            </a:ext>
          </a:extLst>
        </xdr:cNvPr>
        <xdr:cNvSpPr>
          <a:spLocks noChangeArrowheads="1"/>
        </xdr:cNvSpPr>
      </xdr:nvSpPr>
      <xdr:spPr bwMode="auto">
        <a:xfrm rot="5400000">
          <a:off x="4605337" y="83443763"/>
          <a:ext cx="123825" cy="0"/>
        </a:xfrm>
        <a:prstGeom prst="rightArrow">
          <a:avLst>
            <a:gd name="adj1" fmla="val 50000"/>
            <a:gd name="adj2" fmla="val -2147483648"/>
          </a:avLst>
        </a:prstGeom>
        <a:solidFill>
          <a:srgbClr val="00000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9525</xdr:rowOff>
        </xdr:from>
        <xdr:to>
          <xdr:col>0</xdr:col>
          <xdr:colOff>762000</xdr:colOff>
          <xdr:row>3</xdr:row>
          <xdr:rowOff>114300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F7D6907D-E832-5EA1-7C36-5D9388469B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sng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VOLTA</a:t>
              </a:r>
            </a:p>
            <a:p>
              <a:pPr algn="ctr" rtl="0">
                <a:defRPr sz="1000"/>
              </a:pPr>
              <a:r>
                <a:rPr lang="pt-BR" sz="1200" b="1" i="0" u="sng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AO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11</xdr:row>
          <xdr:rowOff>95250</xdr:rowOff>
        </xdr:from>
        <xdr:to>
          <xdr:col>0</xdr:col>
          <xdr:colOff>762000</xdr:colOff>
          <xdr:row>13</xdr:row>
          <xdr:rowOff>57150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7082A21-F36B-C697-A293-27F30AA82E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FF"/>
                  </a:solidFill>
                  <a:latin typeface="Bodoni MT Poster Compressed"/>
                </a:rPr>
                <a:t>Trif.  13.8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</xdr:row>
          <xdr:rowOff>161925</xdr:rowOff>
        </xdr:from>
        <xdr:to>
          <xdr:col>0</xdr:col>
          <xdr:colOff>752475</xdr:colOff>
          <xdr:row>5</xdr:row>
          <xdr:rowOff>76200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C38BE7DA-1463-659A-AEFA-7E5F23FBA9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Bodoni MT Poster Compressed"/>
                </a:rPr>
                <a:t>MATERIAIS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5</xdr:row>
          <xdr:rowOff>123825</xdr:rowOff>
        </xdr:from>
        <xdr:to>
          <xdr:col>0</xdr:col>
          <xdr:colOff>752475</xdr:colOff>
          <xdr:row>7</xdr:row>
          <xdr:rowOff>9525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64633BE4-B24D-2994-ECFE-1B609A1850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Bodoni MT Poster Compressed"/>
                </a:rPr>
                <a:t>EXTRAS EXTRAS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13</xdr:row>
          <xdr:rowOff>95250</xdr:rowOff>
        </xdr:from>
        <xdr:to>
          <xdr:col>0</xdr:col>
          <xdr:colOff>752475</xdr:colOff>
          <xdr:row>15</xdr:row>
          <xdr:rowOff>57150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85A5E899-96A4-F8C1-4FC3-5BD3FC2C89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0" anchor="t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FF"/>
                  </a:solidFill>
                  <a:latin typeface="Bodoni MT Poster Compressed"/>
                </a:rPr>
                <a:t>Trif. 34.5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15</xdr:row>
          <xdr:rowOff>104775</xdr:rowOff>
        </xdr:from>
        <xdr:to>
          <xdr:col>0</xdr:col>
          <xdr:colOff>361950</xdr:colOff>
          <xdr:row>23</xdr:row>
          <xdr:rowOff>161925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6515E43E-0F82-73D3-D47B-5AB37F39C7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2004" rIns="36576" bIns="0" anchor="ctr" upright="1"/>
            <a:lstStyle/>
            <a:p>
              <a:pPr algn="r" rtl="0">
                <a:defRPr sz="1000"/>
              </a:pPr>
              <a:r>
                <a:rPr lang="pt-BR" sz="1600" b="1" i="0" u="none" strike="noStrike" baseline="0">
                  <a:solidFill>
                    <a:srgbClr val="0000FF"/>
                  </a:solidFill>
                  <a:latin typeface="Arial Narrow"/>
                </a:rPr>
                <a:t>Estruturas 13.8KV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15</xdr:row>
          <xdr:rowOff>104775</xdr:rowOff>
        </xdr:from>
        <xdr:to>
          <xdr:col>0</xdr:col>
          <xdr:colOff>762000</xdr:colOff>
          <xdr:row>23</xdr:row>
          <xdr:rowOff>161925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4FCA872A-26F0-E7B7-9EA5-9614DCB556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2004" rIns="36576" bIns="0" anchor="ctr" upright="1"/>
            <a:lstStyle/>
            <a:p>
              <a:pPr algn="r" rtl="0">
                <a:defRPr sz="1000"/>
              </a:pPr>
              <a:r>
                <a:rPr lang="pt-BR" sz="1600" b="1" i="0" u="none" strike="noStrike" baseline="0">
                  <a:solidFill>
                    <a:srgbClr val="0000FF"/>
                  </a:solidFill>
                  <a:latin typeface="Arial Narrow"/>
                </a:rPr>
                <a:t>Estruturas 34.5kv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7</xdr:row>
          <xdr:rowOff>57150</xdr:rowOff>
        </xdr:from>
        <xdr:to>
          <xdr:col>0</xdr:col>
          <xdr:colOff>762000</xdr:colOff>
          <xdr:row>11</xdr:row>
          <xdr:rowOff>57150</xdr:rowOff>
        </xdr:to>
        <xdr:sp macro="" textlink="">
          <xdr:nvSpPr>
            <xdr:cNvPr id="4114" name="Button 18" descr="Mono 13.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E9FAE15B-322B-2E4D-2A9F-0B3EDC9376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FF"/>
                  </a:solidFill>
                  <a:latin typeface="Agency FB"/>
                </a:rPr>
                <a:t>Mono</a:t>
              </a:r>
            </a:p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FF"/>
                  </a:solidFill>
                  <a:latin typeface="Agency FB"/>
                </a:rPr>
                <a:t>13.8</a:t>
              </a:r>
            </a:p>
            <a:p>
              <a:pPr algn="ctr" rtl="0">
                <a:defRPr sz="1000"/>
              </a:pPr>
              <a:endParaRPr lang="pt-BR" sz="2200" b="0" i="0" u="none" strike="noStrike" baseline="0">
                <a:solidFill>
                  <a:srgbClr val="0000FF"/>
                </a:solidFill>
                <a:latin typeface="Agency FB"/>
              </a:endParaRPr>
            </a:p>
          </xdr:txBody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4200525</xdr:colOff>
      <xdr:row>432</xdr:row>
      <xdr:rowOff>38100</xdr:rowOff>
    </xdr:from>
    <xdr:to>
      <xdr:col>2</xdr:col>
      <xdr:colOff>0</xdr:colOff>
      <xdr:row>432</xdr:row>
      <xdr:rowOff>161925</xdr:rowOff>
    </xdr:to>
    <xdr:sp macro="" textlink="">
      <xdr:nvSpPr>
        <xdr:cNvPr id="8343" name="Seta para a direita 59">
          <a:extLst>
            <a:ext uri="{FF2B5EF4-FFF2-40B4-BE49-F238E27FC236}">
              <a16:creationId xmlns:a16="http://schemas.microsoft.com/office/drawing/2014/main" id="{056BDE32-C874-1CAA-896B-A24D2B99EEDC}"/>
            </a:ext>
          </a:extLst>
        </xdr:cNvPr>
        <xdr:cNvSpPr>
          <a:spLocks noChangeArrowheads="1"/>
        </xdr:cNvSpPr>
      </xdr:nvSpPr>
      <xdr:spPr bwMode="auto">
        <a:xfrm rot="5400000">
          <a:off x="4224337" y="82519838"/>
          <a:ext cx="123825" cy="0"/>
        </a:xfrm>
        <a:prstGeom prst="rightArrow">
          <a:avLst>
            <a:gd name="adj1" fmla="val 50000"/>
            <a:gd name="adj2" fmla="val -2147483648"/>
          </a:avLst>
        </a:prstGeom>
        <a:solidFill>
          <a:srgbClr val="00000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4200525</xdr:colOff>
      <xdr:row>433</xdr:row>
      <xdr:rowOff>38100</xdr:rowOff>
    </xdr:from>
    <xdr:to>
      <xdr:col>2</xdr:col>
      <xdr:colOff>0</xdr:colOff>
      <xdr:row>433</xdr:row>
      <xdr:rowOff>161925</xdr:rowOff>
    </xdr:to>
    <xdr:sp macro="" textlink="">
      <xdr:nvSpPr>
        <xdr:cNvPr id="8344" name="Seta para a direita 60">
          <a:extLst>
            <a:ext uri="{FF2B5EF4-FFF2-40B4-BE49-F238E27FC236}">
              <a16:creationId xmlns:a16="http://schemas.microsoft.com/office/drawing/2014/main" id="{A77F2C4F-5FFD-086B-6200-F383F0862BDD}"/>
            </a:ext>
          </a:extLst>
        </xdr:cNvPr>
        <xdr:cNvSpPr>
          <a:spLocks noChangeArrowheads="1"/>
        </xdr:cNvSpPr>
      </xdr:nvSpPr>
      <xdr:spPr bwMode="auto">
        <a:xfrm rot="5400000">
          <a:off x="4224337" y="82710338"/>
          <a:ext cx="123825" cy="0"/>
        </a:xfrm>
        <a:prstGeom prst="rightArrow">
          <a:avLst>
            <a:gd name="adj1" fmla="val 50000"/>
            <a:gd name="adj2" fmla="val -2147483648"/>
          </a:avLst>
        </a:prstGeom>
        <a:solidFill>
          <a:srgbClr val="00000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4200525</xdr:colOff>
      <xdr:row>434</xdr:row>
      <xdr:rowOff>28575</xdr:rowOff>
    </xdr:from>
    <xdr:to>
      <xdr:col>2</xdr:col>
      <xdr:colOff>0</xdr:colOff>
      <xdr:row>434</xdr:row>
      <xdr:rowOff>152400</xdr:rowOff>
    </xdr:to>
    <xdr:sp macro="" textlink="">
      <xdr:nvSpPr>
        <xdr:cNvPr id="8345" name="Seta para a direita 61">
          <a:extLst>
            <a:ext uri="{FF2B5EF4-FFF2-40B4-BE49-F238E27FC236}">
              <a16:creationId xmlns:a16="http://schemas.microsoft.com/office/drawing/2014/main" id="{00022594-1634-166C-DC63-30BDDDF12435}"/>
            </a:ext>
          </a:extLst>
        </xdr:cNvPr>
        <xdr:cNvSpPr>
          <a:spLocks noChangeArrowheads="1"/>
        </xdr:cNvSpPr>
      </xdr:nvSpPr>
      <xdr:spPr bwMode="auto">
        <a:xfrm rot="5400000">
          <a:off x="4224337" y="82891313"/>
          <a:ext cx="123825" cy="0"/>
        </a:xfrm>
        <a:prstGeom prst="rightArrow">
          <a:avLst>
            <a:gd name="adj1" fmla="val 50000"/>
            <a:gd name="adj2" fmla="val -2147483648"/>
          </a:avLst>
        </a:prstGeom>
        <a:solidFill>
          <a:srgbClr val="00000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4200525</xdr:colOff>
      <xdr:row>435</xdr:row>
      <xdr:rowOff>28575</xdr:rowOff>
    </xdr:from>
    <xdr:to>
      <xdr:col>2</xdr:col>
      <xdr:colOff>0</xdr:colOff>
      <xdr:row>435</xdr:row>
      <xdr:rowOff>152400</xdr:rowOff>
    </xdr:to>
    <xdr:sp macro="" textlink="">
      <xdr:nvSpPr>
        <xdr:cNvPr id="8346" name="Seta para a direita 62">
          <a:extLst>
            <a:ext uri="{FF2B5EF4-FFF2-40B4-BE49-F238E27FC236}">
              <a16:creationId xmlns:a16="http://schemas.microsoft.com/office/drawing/2014/main" id="{BF5F1C92-142A-CE83-341E-14F8E4323372}"/>
            </a:ext>
          </a:extLst>
        </xdr:cNvPr>
        <xdr:cNvSpPr>
          <a:spLocks noChangeArrowheads="1"/>
        </xdr:cNvSpPr>
      </xdr:nvSpPr>
      <xdr:spPr bwMode="auto">
        <a:xfrm rot="5400000">
          <a:off x="4224337" y="83081813"/>
          <a:ext cx="123825" cy="0"/>
        </a:xfrm>
        <a:prstGeom prst="rightArrow">
          <a:avLst>
            <a:gd name="adj1" fmla="val 50000"/>
            <a:gd name="adj2" fmla="val -2147483648"/>
          </a:avLst>
        </a:prstGeom>
        <a:solidFill>
          <a:srgbClr val="00000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4200525</xdr:colOff>
      <xdr:row>436</xdr:row>
      <xdr:rowOff>38100</xdr:rowOff>
    </xdr:from>
    <xdr:to>
      <xdr:col>2</xdr:col>
      <xdr:colOff>0</xdr:colOff>
      <xdr:row>436</xdr:row>
      <xdr:rowOff>161925</xdr:rowOff>
    </xdr:to>
    <xdr:sp macro="" textlink="">
      <xdr:nvSpPr>
        <xdr:cNvPr id="8347" name="Seta para a direita 63">
          <a:extLst>
            <a:ext uri="{FF2B5EF4-FFF2-40B4-BE49-F238E27FC236}">
              <a16:creationId xmlns:a16="http://schemas.microsoft.com/office/drawing/2014/main" id="{EEEBC825-6B98-F04F-62AE-C3CD58146B82}"/>
            </a:ext>
          </a:extLst>
        </xdr:cNvPr>
        <xdr:cNvSpPr>
          <a:spLocks noChangeArrowheads="1"/>
        </xdr:cNvSpPr>
      </xdr:nvSpPr>
      <xdr:spPr bwMode="auto">
        <a:xfrm rot="5400000">
          <a:off x="4224337" y="83281838"/>
          <a:ext cx="123825" cy="0"/>
        </a:xfrm>
        <a:prstGeom prst="rightArrow">
          <a:avLst>
            <a:gd name="adj1" fmla="val 50000"/>
            <a:gd name="adj2" fmla="val -2147483648"/>
          </a:avLst>
        </a:prstGeom>
        <a:solidFill>
          <a:srgbClr val="00000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4200525</xdr:colOff>
      <xdr:row>437</xdr:row>
      <xdr:rowOff>38100</xdr:rowOff>
    </xdr:from>
    <xdr:to>
      <xdr:col>2</xdr:col>
      <xdr:colOff>0</xdr:colOff>
      <xdr:row>437</xdr:row>
      <xdr:rowOff>161925</xdr:rowOff>
    </xdr:to>
    <xdr:sp macro="" textlink="">
      <xdr:nvSpPr>
        <xdr:cNvPr id="8348" name="Seta para a direita 64">
          <a:extLst>
            <a:ext uri="{FF2B5EF4-FFF2-40B4-BE49-F238E27FC236}">
              <a16:creationId xmlns:a16="http://schemas.microsoft.com/office/drawing/2014/main" id="{5D96D867-875B-6403-2B87-24A45100C411}"/>
            </a:ext>
          </a:extLst>
        </xdr:cNvPr>
        <xdr:cNvSpPr>
          <a:spLocks noChangeArrowheads="1"/>
        </xdr:cNvSpPr>
      </xdr:nvSpPr>
      <xdr:spPr bwMode="auto">
        <a:xfrm rot="5400000">
          <a:off x="4224337" y="83472338"/>
          <a:ext cx="123825" cy="0"/>
        </a:xfrm>
        <a:prstGeom prst="rightArrow">
          <a:avLst>
            <a:gd name="adj1" fmla="val 50000"/>
            <a:gd name="adj2" fmla="val -2147483648"/>
          </a:avLst>
        </a:prstGeom>
        <a:solidFill>
          <a:srgbClr val="00000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11</xdr:row>
          <xdr:rowOff>85725</xdr:rowOff>
        </xdr:from>
        <xdr:to>
          <xdr:col>0</xdr:col>
          <xdr:colOff>771525</xdr:colOff>
          <xdr:row>13</xdr:row>
          <xdr:rowOff>47625</xdr:rowOff>
        </xdr:to>
        <xdr:sp macro="" textlink="">
          <xdr:nvSpPr>
            <xdr:cNvPr id="8213" name="Button 2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246AAAB1-8522-7592-EC43-D53023269A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0" anchor="t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FF"/>
                  </a:solidFill>
                  <a:latin typeface="Bodoni MT Poster Compressed"/>
                </a:rPr>
                <a:t>Trif. 34.5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13</xdr:row>
          <xdr:rowOff>133350</xdr:rowOff>
        </xdr:from>
        <xdr:to>
          <xdr:col>0</xdr:col>
          <xdr:colOff>361950</xdr:colOff>
          <xdr:row>22</xdr:row>
          <xdr:rowOff>28575</xdr:rowOff>
        </xdr:to>
        <xdr:sp macro="" textlink="">
          <xdr:nvSpPr>
            <xdr:cNvPr id="8217" name="Button 25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A40895D3-32EF-247E-4788-E8AEA6838A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2004" rIns="36576" bIns="0" anchor="ctr" upright="1"/>
            <a:lstStyle/>
            <a:p>
              <a:pPr algn="r" rtl="0">
                <a:defRPr sz="1000"/>
              </a:pPr>
              <a:r>
                <a:rPr lang="pt-BR" sz="1600" b="1" i="0" u="none" strike="noStrike" baseline="0">
                  <a:solidFill>
                    <a:srgbClr val="0000FF"/>
                  </a:solidFill>
                  <a:latin typeface="Arial Narrow"/>
                </a:rPr>
                <a:t>Estruturas 13.8KV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13</xdr:row>
          <xdr:rowOff>114300</xdr:rowOff>
        </xdr:from>
        <xdr:to>
          <xdr:col>0</xdr:col>
          <xdr:colOff>771525</xdr:colOff>
          <xdr:row>22</xdr:row>
          <xdr:rowOff>19050</xdr:rowOff>
        </xdr:to>
        <xdr:sp macro="" textlink="">
          <xdr:nvSpPr>
            <xdr:cNvPr id="8218" name="Button 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2AB32B71-9B50-B0A4-DACC-6AD0E18C7C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2004" rIns="36576" bIns="0" anchor="ctr" upright="1"/>
            <a:lstStyle/>
            <a:p>
              <a:pPr algn="r" rtl="0">
                <a:defRPr sz="1000"/>
              </a:pPr>
              <a:r>
                <a:rPr lang="pt-BR" sz="1600" b="1" i="0" u="none" strike="noStrike" baseline="0">
                  <a:solidFill>
                    <a:srgbClr val="0000FF"/>
                  </a:solidFill>
                  <a:latin typeface="Arial Narrow"/>
                </a:rPr>
                <a:t>Estruturas 34.5kv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0</xdr:rowOff>
        </xdr:from>
        <xdr:to>
          <xdr:col>0</xdr:col>
          <xdr:colOff>771525</xdr:colOff>
          <xdr:row>3</xdr:row>
          <xdr:rowOff>142875</xdr:rowOff>
        </xdr:to>
        <xdr:sp macro="" textlink="">
          <xdr:nvSpPr>
            <xdr:cNvPr id="8338" name="Button 146" hidden="1">
              <a:extLst>
                <a:ext uri="{63B3BB69-23CF-44E3-9099-C40C66FF867C}">
                  <a14:compatExt spid="_x0000_s8338"/>
                </a:ext>
                <a:ext uri="{FF2B5EF4-FFF2-40B4-BE49-F238E27FC236}">
                  <a16:creationId xmlns:a16="http://schemas.microsoft.com/office/drawing/2014/main" id="{5664C2D6-85BB-BE70-F83C-8F109D97F3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sng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VOLTA</a:t>
              </a:r>
            </a:p>
            <a:p>
              <a:pPr algn="ctr" rtl="0">
                <a:defRPr sz="1000"/>
              </a:pPr>
              <a:r>
                <a:rPr lang="pt-BR" sz="1200" b="1" i="0" u="sng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AO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9</xdr:row>
          <xdr:rowOff>47625</xdr:rowOff>
        </xdr:from>
        <xdr:to>
          <xdr:col>0</xdr:col>
          <xdr:colOff>762000</xdr:colOff>
          <xdr:row>11</xdr:row>
          <xdr:rowOff>28575</xdr:rowOff>
        </xdr:to>
        <xdr:sp macro="" textlink="">
          <xdr:nvSpPr>
            <xdr:cNvPr id="8339" name="Button 147" hidden="1">
              <a:extLst>
                <a:ext uri="{63B3BB69-23CF-44E3-9099-C40C66FF867C}">
                  <a14:compatExt spid="_x0000_s8339"/>
                </a:ext>
                <a:ext uri="{FF2B5EF4-FFF2-40B4-BE49-F238E27FC236}">
                  <a16:creationId xmlns:a16="http://schemas.microsoft.com/office/drawing/2014/main" id="{20BE0A1C-CB99-66F3-0AE3-8D55575196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FF"/>
                  </a:solidFill>
                  <a:latin typeface="Bodoni MT Poster Compressed"/>
                </a:rPr>
                <a:t>Mono 34.5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</xdr:row>
          <xdr:rowOff>180975</xdr:rowOff>
        </xdr:from>
        <xdr:to>
          <xdr:col>0</xdr:col>
          <xdr:colOff>771525</xdr:colOff>
          <xdr:row>5</xdr:row>
          <xdr:rowOff>95250</xdr:rowOff>
        </xdr:to>
        <xdr:sp macro="" textlink="">
          <xdr:nvSpPr>
            <xdr:cNvPr id="8340" name="Button 148" hidden="1">
              <a:extLst>
                <a:ext uri="{63B3BB69-23CF-44E3-9099-C40C66FF867C}">
                  <a14:compatExt spid="_x0000_s8340"/>
                </a:ext>
                <a:ext uri="{FF2B5EF4-FFF2-40B4-BE49-F238E27FC236}">
                  <a16:creationId xmlns:a16="http://schemas.microsoft.com/office/drawing/2014/main" id="{A58C2777-C274-52DE-5CE3-621154426B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Bodoni MT Poster Compressed"/>
                </a:rPr>
                <a:t>MATERIAIS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5</xdr:row>
          <xdr:rowOff>142875</xdr:rowOff>
        </xdr:from>
        <xdr:to>
          <xdr:col>0</xdr:col>
          <xdr:colOff>771525</xdr:colOff>
          <xdr:row>7</xdr:row>
          <xdr:rowOff>47625</xdr:rowOff>
        </xdr:to>
        <xdr:sp macro="" textlink="">
          <xdr:nvSpPr>
            <xdr:cNvPr id="8341" name="Button 149" hidden="1">
              <a:extLst>
                <a:ext uri="{63B3BB69-23CF-44E3-9099-C40C66FF867C}">
                  <a14:compatExt spid="_x0000_s8341"/>
                </a:ext>
                <a:ext uri="{FF2B5EF4-FFF2-40B4-BE49-F238E27FC236}">
                  <a16:creationId xmlns:a16="http://schemas.microsoft.com/office/drawing/2014/main" id="{E4D1DFA3-D7D6-D79E-65C1-2877864997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Bodoni MT Poster Compressed"/>
                </a:rPr>
                <a:t>EXTRAS EXTRAS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7</xdr:row>
          <xdr:rowOff>76200</xdr:rowOff>
        </xdr:from>
        <xdr:to>
          <xdr:col>0</xdr:col>
          <xdr:colOff>771525</xdr:colOff>
          <xdr:row>9</xdr:row>
          <xdr:rowOff>9525</xdr:rowOff>
        </xdr:to>
        <xdr:sp macro="" textlink="">
          <xdr:nvSpPr>
            <xdr:cNvPr id="8342" name="Button 150" hidden="1">
              <a:extLst>
                <a:ext uri="{63B3BB69-23CF-44E3-9099-C40C66FF867C}">
                  <a14:compatExt spid="_x0000_s8342"/>
                </a:ext>
                <a:ext uri="{FF2B5EF4-FFF2-40B4-BE49-F238E27FC236}">
                  <a16:creationId xmlns:a16="http://schemas.microsoft.com/office/drawing/2014/main" id="{0A00CD19-B5EB-9BAC-6FC0-CAB860693A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FF"/>
                  </a:solidFill>
                  <a:latin typeface="Bodoni MT Poster Compressed"/>
                </a:rPr>
                <a:t>Mono 13,8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8</xdr:col>
      <xdr:colOff>52916</xdr:colOff>
      <xdr:row>0</xdr:row>
      <xdr:rowOff>31750</xdr:rowOff>
    </xdr:from>
    <xdr:to>
      <xdr:col>17</xdr:col>
      <xdr:colOff>359833</xdr:colOff>
      <xdr:row>1</xdr:row>
      <xdr:rowOff>246591</xdr:rowOff>
    </xdr:to>
    <xdr:sp macro="" textlink="">
      <xdr:nvSpPr>
        <xdr:cNvPr id="21" name="Seta para a direita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 rot="10800000" flipV="1">
          <a:off x="7154333" y="31750"/>
          <a:ext cx="4064000" cy="267758"/>
        </a:xfrm>
        <a:prstGeom prst="rightArrow">
          <a:avLst>
            <a:gd name="adj1" fmla="val 50000"/>
            <a:gd name="adj2" fmla="val 239286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l"/>
          <a:r>
            <a:rPr lang="pt-BR" sz="1000" b="0">
              <a:solidFill>
                <a:schemeClr val="tx1"/>
              </a:solidFill>
              <a:latin typeface="Agency FB" pitchFamily="34" charset="0"/>
            </a:rPr>
            <a:t>CASO HAJA CFU AVULSA E NÃO SEJA ORÇADO OS</a:t>
          </a:r>
          <a:r>
            <a:rPr lang="pt-BR" sz="1000" b="0" baseline="0">
              <a:solidFill>
                <a:schemeClr val="tx1"/>
              </a:solidFill>
              <a:latin typeface="Agency FB" pitchFamily="34" charset="0"/>
            </a:rPr>
            <a:t> KVAS QUE ELA ATENDERÁ, </a:t>
          </a:r>
          <a:r>
            <a:rPr lang="pt-BR" sz="1000" b="0">
              <a:solidFill>
                <a:schemeClr val="tx1"/>
              </a:solidFill>
              <a:latin typeface="Agency FB" pitchFamily="34" charset="0"/>
            </a:rPr>
            <a:t>DIGITE AQUI</a:t>
          </a:r>
          <a:r>
            <a:rPr lang="pt-BR" sz="1000" b="0" baseline="0">
              <a:solidFill>
                <a:schemeClr val="tx1"/>
              </a:solidFill>
              <a:latin typeface="Agency FB" pitchFamily="34" charset="0"/>
            </a:rPr>
            <a:t> </a:t>
          </a:r>
          <a:endParaRPr lang="pt-BR" sz="1000" b="0">
            <a:solidFill>
              <a:schemeClr val="tx1"/>
            </a:solidFill>
            <a:latin typeface="Agency FB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4210050</xdr:colOff>
      <xdr:row>432</xdr:row>
      <xdr:rowOff>38100</xdr:rowOff>
    </xdr:from>
    <xdr:to>
      <xdr:col>2</xdr:col>
      <xdr:colOff>0</xdr:colOff>
      <xdr:row>432</xdr:row>
      <xdr:rowOff>161925</xdr:rowOff>
    </xdr:to>
    <xdr:sp macro="" textlink="">
      <xdr:nvSpPr>
        <xdr:cNvPr id="12301" name="Seta para a direita 59">
          <a:extLst>
            <a:ext uri="{FF2B5EF4-FFF2-40B4-BE49-F238E27FC236}">
              <a16:creationId xmlns:a16="http://schemas.microsoft.com/office/drawing/2014/main" id="{41B5BE45-C7D2-EE97-34D7-34E8138F7E98}"/>
            </a:ext>
          </a:extLst>
        </xdr:cNvPr>
        <xdr:cNvSpPr>
          <a:spLocks noChangeArrowheads="1"/>
        </xdr:cNvSpPr>
      </xdr:nvSpPr>
      <xdr:spPr bwMode="auto">
        <a:xfrm rot="5400000">
          <a:off x="4148137" y="81453038"/>
          <a:ext cx="123825" cy="0"/>
        </a:xfrm>
        <a:prstGeom prst="rightArrow">
          <a:avLst>
            <a:gd name="adj1" fmla="val 50000"/>
            <a:gd name="adj2" fmla="val -2147483648"/>
          </a:avLst>
        </a:prstGeom>
        <a:solidFill>
          <a:srgbClr val="00000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4210050</xdr:colOff>
      <xdr:row>433</xdr:row>
      <xdr:rowOff>38100</xdr:rowOff>
    </xdr:from>
    <xdr:to>
      <xdr:col>2</xdr:col>
      <xdr:colOff>0</xdr:colOff>
      <xdr:row>433</xdr:row>
      <xdr:rowOff>161925</xdr:rowOff>
    </xdr:to>
    <xdr:sp macro="" textlink="">
      <xdr:nvSpPr>
        <xdr:cNvPr id="12302" name="Seta para a direita 60">
          <a:extLst>
            <a:ext uri="{FF2B5EF4-FFF2-40B4-BE49-F238E27FC236}">
              <a16:creationId xmlns:a16="http://schemas.microsoft.com/office/drawing/2014/main" id="{A0430100-CCBC-80F3-36D8-CFA0E202F402}"/>
            </a:ext>
          </a:extLst>
        </xdr:cNvPr>
        <xdr:cNvSpPr>
          <a:spLocks noChangeArrowheads="1"/>
        </xdr:cNvSpPr>
      </xdr:nvSpPr>
      <xdr:spPr bwMode="auto">
        <a:xfrm rot="5400000">
          <a:off x="4148137" y="81643538"/>
          <a:ext cx="123825" cy="0"/>
        </a:xfrm>
        <a:prstGeom prst="rightArrow">
          <a:avLst>
            <a:gd name="adj1" fmla="val 50000"/>
            <a:gd name="adj2" fmla="val -2147483648"/>
          </a:avLst>
        </a:prstGeom>
        <a:solidFill>
          <a:srgbClr val="00000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4210050</xdr:colOff>
      <xdr:row>434</xdr:row>
      <xdr:rowOff>28575</xdr:rowOff>
    </xdr:from>
    <xdr:to>
      <xdr:col>2</xdr:col>
      <xdr:colOff>0</xdr:colOff>
      <xdr:row>434</xdr:row>
      <xdr:rowOff>152400</xdr:rowOff>
    </xdr:to>
    <xdr:sp macro="" textlink="">
      <xdr:nvSpPr>
        <xdr:cNvPr id="12303" name="Seta para a direita 61">
          <a:extLst>
            <a:ext uri="{FF2B5EF4-FFF2-40B4-BE49-F238E27FC236}">
              <a16:creationId xmlns:a16="http://schemas.microsoft.com/office/drawing/2014/main" id="{7B954103-5210-A433-B4C7-CD12743FA2BD}"/>
            </a:ext>
          </a:extLst>
        </xdr:cNvPr>
        <xdr:cNvSpPr>
          <a:spLocks noChangeArrowheads="1"/>
        </xdr:cNvSpPr>
      </xdr:nvSpPr>
      <xdr:spPr bwMode="auto">
        <a:xfrm rot="5400000">
          <a:off x="4148137" y="81824513"/>
          <a:ext cx="123825" cy="0"/>
        </a:xfrm>
        <a:prstGeom prst="rightArrow">
          <a:avLst>
            <a:gd name="adj1" fmla="val 50000"/>
            <a:gd name="adj2" fmla="val -2147483648"/>
          </a:avLst>
        </a:prstGeom>
        <a:solidFill>
          <a:srgbClr val="00000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4210050</xdr:colOff>
      <xdr:row>435</xdr:row>
      <xdr:rowOff>28575</xdr:rowOff>
    </xdr:from>
    <xdr:to>
      <xdr:col>2</xdr:col>
      <xdr:colOff>0</xdr:colOff>
      <xdr:row>435</xdr:row>
      <xdr:rowOff>152400</xdr:rowOff>
    </xdr:to>
    <xdr:sp macro="" textlink="">
      <xdr:nvSpPr>
        <xdr:cNvPr id="12304" name="Seta para a direita 62">
          <a:extLst>
            <a:ext uri="{FF2B5EF4-FFF2-40B4-BE49-F238E27FC236}">
              <a16:creationId xmlns:a16="http://schemas.microsoft.com/office/drawing/2014/main" id="{AF4C76AC-4951-897B-390E-758EC49F3E76}"/>
            </a:ext>
          </a:extLst>
        </xdr:cNvPr>
        <xdr:cNvSpPr>
          <a:spLocks noChangeArrowheads="1"/>
        </xdr:cNvSpPr>
      </xdr:nvSpPr>
      <xdr:spPr bwMode="auto">
        <a:xfrm rot="5400000">
          <a:off x="4148137" y="82015013"/>
          <a:ext cx="123825" cy="0"/>
        </a:xfrm>
        <a:prstGeom prst="rightArrow">
          <a:avLst>
            <a:gd name="adj1" fmla="val 50000"/>
            <a:gd name="adj2" fmla="val -2147483648"/>
          </a:avLst>
        </a:prstGeom>
        <a:solidFill>
          <a:srgbClr val="00000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4210050</xdr:colOff>
      <xdr:row>436</xdr:row>
      <xdr:rowOff>38100</xdr:rowOff>
    </xdr:from>
    <xdr:to>
      <xdr:col>2</xdr:col>
      <xdr:colOff>0</xdr:colOff>
      <xdr:row>436</xdr:row>
      <xdr:rowOff>161925</xdr:rowOff>
    </xdr:to>
    <xdr:sp macro="" textlink="">
      <xdr:nvSpPr>
        <xdr:cNvPr id="12305" name="Seta para a direita 63">
          <a:extLst>
            <a:ext uri="{FF2B5EF4-FFF2-40B4-BE49-F238E27FC236}">
              <a16:creationId xmlns:a16="http://schemas.microsoft.com/office/drawing/2014/main" id="{4515F140-7A43-109C-658B-76FFBB3E7B34}"/>
            </a:ext>
          </a:extLst>
        </xdr:cNvPr>
        <xdr:cNvSpPr>
          <a:spLocks noChangeArrowheads="1"/>
        </xdr:cNvSpPr>
      </xdr:nvSpPr>
      <xdr:spPr bwMode="auto">
        <a:xfrm rot="5400000">
          <a:off x="4148137" y="82215038"/>
          <a:ext cx="123825" cy="0"/>
        </a:xfrm>
        <a:prstGeom prst="rightArrow">
          <a:avLst>
            <a:gd name="adj1" fmla="val 50000"/>
            <a:gd name="adj2" fmla="val -2147483648"/>
          </a:avLst>
        </a:prstGeom>
        <a:solidFill>
          <a:srgbClr val="00000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4210050</xdr:colOff>
      <xdr:row>437</xdr:row>
      <xdr:rowOff>38100</xdr:rowOff>
    </xdr:from>
    <xdr:to>
      <xdr:col>2</xdr:col>
      <xdr:colOff>0</xdr:colOff>
      <xdr:row>437</xdr:row>
      <xdr:rowOff>161925</xdr:rowOff>
    </xdr:to>
    <xdr:sp macro="" textlink="">
      <xdr:nvSpPr>
        <xdr:cNvPr id="12306" name="Seta para a direita 64">
          <a:extLst>
            <a:ext uri="{FF2B5EF4-FFF2-40B4-BE49-F238E27FC236}">
              <a16:creationId xmlns:a16="http://schemas.microsoft.com/office/drawing/2014/main" id="{3DFEFE30-FC7A-8114-BB66-017223E672AE}"/>
            </a:ext>
          </a:extLst>
        </xdr:cNvPr>
        <xdr:cNvSpPr>
          <a:spLocks noChangeArrowheads="1"/>
        </xdr:cNvSpPr>
      </xdr:nvSpPr>
      <xdr:spPr bwMode="auto">
        <a:xfrm rot="5400000">
          <a:off x="4148137" y="82405538"/>
          <a:ext cx="123825" cy="0"/>
        </a:xfrm>
        <a:prstGeom prst="rightArrow">
          <a:avLst>
            <a:gd name="adj1" fmla="val 50000"/>
            <a:gd name="adj2" fmla="val -2147483648"/>
          </a:avLst>
        </a:prstGeom>
        <a:solidFill>
          <a:srgbClr val="00000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47625</xdr:rowOff>
        </xdr:from>
        <xdr:to>
          <xdr:col>0</xdr:col>
          <xdr:colOff>771525</xdr:colOff>
          <xdr:row>3</xdr:row>
          <xdr:rowOff>123825</xdr:rowOff>
        </xdr:to>
        <xdr:sp macro="" textlink="">
          <xdr:nvSpPr>
            <xdr:cNvPr id="12288" name="Button 1024" hidden="1">
              <a:extLst>
                <a:ext uri="{63B3BB69-23CF-44E3-9099-C40C66FF867C}">
                  <a14:compatExt spid="_x0000_s12288"/>
                </a:ext>
                <a:ext uri="{FF2B5EF4-FFF2-40B4-BE49-F238E27FC236}">
                  <a16:creationId xmlns:a16="http://schemas.microsoft.com/office/drawing/2014/main" id="{5A92AA04-5BD9-C5AD-B2FB-891D04F990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sng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VOLTA</a:t>
              </a:r>
            </a:p>
            <a:p>
              <a:pPr algn="ctr" rtl="0">
                <a:defRPr sz="1000"/>
              </a:pPr>
              <a:r>
                <a:rPr lang="pt-BR" sz="1200" b="1" i="0" u="sng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AO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8</xdr:row>
          <xdr:rowOff>171450</xdr:rowOff>
        </xdr:from>
        <xdr:to>
          <xdr:col>0</xdr:col>
          <xdr:colOff>762000</xdr:colOff>
          <xdr:row>10</xdr:row>
          <xdr:rowOff>152400</xdr:rowOff>
        </xdr:to>
        <xdr:sp macro="" textlink="">
          <xdr:nvSpPr>
            <xdr:cNvPr id="12289" name="Button 1025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E588DBF-4FB3-FB08-783B-C0B35EB31B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FF"/>
                  </a:solidFill>
                  <a:latin typeface="Bodoni MT Poster Compressed"/>
                </a:rPr>
                <a:t>Mono 34.5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10</xdr:row>
          <xdr:rowOff>180975</xdr:rowOff>
        </xdr:from>
        <xdr:to>
          <xdr:col>0</xdr:col>
          <xdr:colOff>752475</xdr:colOff>
          <xdr:row>12</xdr:row>
          <xdr:rowOff>142875</xdr:rowOff>
        </xdr:to>
        <xdr:sp macro="" textlink="">
          <xdr:nvSpPr>
            <xdr:cNvPr id="12290" name="Button 1026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BB052436-633C-2FA9-20D2-F39929953A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FF"/>
                  </a:solidFill>
                  <a:latin typeface="Bodoni MT Poster Compressed"/>
                </a:rPr>
                <a:t>Trif.  13.8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</xdr:row>
          <xdr:rowOff>152400</xdr:rowOff>
        </xdr:from>
        <xdr:to>
          <xdr:col>0</xdr:col>
          <xdr:colOff>771525</xdr:colOff>
          <xdr:row>5</xdr:row>
          <xdr:rowOff>66675</xdr:rowOff>
        </xdr:to>
        <xdr:sp macro="" textlink="">
          <xdr:nvSpPr>
            <xdr:cNvPr id="12292" name="Button 1028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3E9E90F4-51FD-5466-7F6B-BBEF326781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Bodoni MT Poster Compressed"/>
                </a:rPr>
                <a:t>MATERIAIS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5</xdr:row>
          <xdr:rowOff>95250</xdr:rowOff>
        </xdr:from>
        <xdr:to>
          <xdr:col>0</xdr:col>
          <xdr:colOff>771525</xdr:colOff>
          <xdr:row>7</xdr:row>
          <xdr:rowOff>0</xdr:rowOff>
        </xdr:to>
        <xdr:sp macro="" textlink="">
          <xdr:nvSpPr>
            <xdr:cNvPr id="12293" name="Button 1029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A576579E-6D20-ACAB-0B86-9E84861DD7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Bodoni MT Poster Compressed"/>
                </a:rPr>
                <a:t>EXTRAS EXTRAS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13</xdr:row>
          <xdr:rowOff>57150</xdr:rowOff>
        </xdr:from>
        <xdr:to>
          <xdr:col>0</xdr:col>
          <xdr:colOff>381000</xdr:colOff>
          <xdr:row>21</xdr:row>
          <xdr:rowOff>123825</xdr:rowOff>
        </xdr:to>
        <xdr:sp macro="" textlink="">
          <xdr:nvSpPr>
            <xdr:cNvPr id="12298" name="Button 1034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B64FDF47-5EAF-BE95-C61D-B0BABA1785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2004" rIns="36576" bIns="0" anchor="ctr" upright="1"/>
            <a:lstStyle/>
            <a:p>
              <a:pPr algn="r" rtl="0">
                <a:defRPr sz="1000"/>
              </a:pPr>
              <a:r>
                <a:rPr lang="pt-BR" sz="1600" b="1" i="0" u="none" strike="noStrike" baseline="0">
                  <a:solidFill>
                    <a:srgbClr val="0000FF"/>
                  </a:solidFill>
                  <a:latin typeface="Arial Narrow"/>
                </a:rPr>
                <a:t>Estruturas 13.8KV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13</xdr:row>
          <xdr:rowOff>57150</xdr:rowOff>
        </xdr:from>
        <xdr:to>
          <xdr:col>0</xdr:col>
          <xdr:colOff>742950</xdr:colOff>
          <xdr:row>21</xdr:row>
          <xdr:rowOff>123825</xdr:rowOff>
        </xdr:to>
        <xdr:sp macro="" textlink="">
          <xdr:nvSpPr>
            <xdr:cNvPr id="12299" name="Button 1035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1172D6CA-2480-0537-9BAC-5A3C49719D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2004" rIns="36576" bIns="0" anchor="ctr" upright="1"/>
            <a:lstStyle/>
            <a:p>
              <a:pPr algn="r" rtl="0">
                <a:defRPr sz="1000"/>
              </a:pPr>
              <a:r>
                <a:rPr lang="pt-BR" sz="1600" b="1" i="0" u="none" strike="noStrike" baseline="0">
                  <a:solidFill>
                    <a:srgbClr val="0000FF"/>
                  </a:solidFill>
                  <a:latin typeface="Arial Narrow"/>
                </a:rPr>
                <a:t>Estruturas 34.5kv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7</xdr:row>
          <xdr:rowOff>19050</xdr:rowOff>
        </xdr:from>
        <xdr:to>
          <xdr:col>0</xdr:col>
          <xdr:colOff>771525</xdr:colOff>
          <xdr:row>8</xdr:row>
          <xdr:rowOff>142875</xdr:rowOff>
        </xdr:to>
        <xdr:sp macro="" textlink="">
          <xdr:nvSpPr>
            <xdr:cNvPr id="12300" name="Button 1036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1EB1286-E46A-5DBD-5967-F869A33621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FF"/>
                  </a:solidFill>
                  <a:latin typeface="Bodoni MT Poster Compressed"/>
                </a:rPr>
                <a:t>Mono 13,8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9</xdr:col>
      <xdr:colOff>0</xdr:colOff>
      <xdr:row>1</xdr:row>
      <xdr:rowOff>0</xdr:rowOff>
    </xdr:from>
    <xdr:to>
      <xdr:col>17</xdr:col>
      <xdr:colOff>105833</xdr:colOff>
      <xdr:row>1</xdr:row>
      <xdr:rowOff>267758</xdr:rowOff>
    </xdr:to>
    <xdr:sp macro="" textlink="">
      <xdr:nvSpPr>
        <xdr:cNvPr id="17" name="Seta para a direita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 rot="10800000" flipV="1">
          <a:off x="7344833" y="52917"/>
          <a:ext cx="4064000" cy="267758"/>
        </a:xfrm>
        <a:prstGeom prst="rightArrow">
          <a:avLst>
            <a:gd name="adj1" fmla="val 50000"/>
            <a:gd name="adj2" fmla="val 239286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l"/>
          <a:r>
            <a:rPr lang="pt-BR" sz="1000" b="0">
              <a:solidFill>
                <a:schemeClr val="tx1"/>
              </a:solidFill>
              <a:latin typeface="Agency FB" pitchFamily="34" charset="0"/>
            </a:rPr>
            <a:t>CASO HAJA CFU AVULSA E NÃO SEJA ORÇADO OS</a:t>
          </a:r>
          <a:r>
            <a:rPr lang="pt-BR" sz="1000" b="0" baseline="0">
              <a:solidFill>
                <a:schemeClr val="tx1"/>
              </a:solidFill>
              <a:latin typeface="Agency FB" pitchFamily="34" charset="0"/>
            </a:rPr>
            <a:t> KVAS QUE ELA ATENDERÁ, </a:t>
          </a:r>
          <a:r>
            <a:rPr lang="pt-BR" sz="1000" b="0">
              <a:solidFill>
                <a:schemeClr val="tx1"/>
              </a:solidFill>
              <a:latin typeface="Agency FB" pitchFamily="34" charset="0"/>
            </a:rPr>
            <a:t>DIGITE AQUI</a:t>
          </a:r>
          <a:r>
            <a:rPr lang="pt-BR" sz="1000" b="0" baseline="0">
              <a:solidFill>
                <a:schemeClr val="tx1"/>
              </a:solidFill>
              <a:latin typeface="Agency FB" pitchFamily="34" charset="0"/>
            </a:rPr>
            <a:t> </a:t>
          </a:r>
          <a:endParaRPr lang="pt-BR" sz="1000" b="0">
            <a:solidFill>
              <a:schemeClr val="tx1"/>
            </a:solidFill>
            <a:latin typeface="Agency FB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142873</xdr:colOff>
      <xdr:row>1</xdr:row>
      <xdr:rowOff>133351</xdr:rowOff>
    </xdr:from>
    <xdr:to>
      <xdr:col>9</xdr:col>
      <xdr:colOff>353810</xdr:colOff>
      <xdr:row>2</xdr:row>
      <xdr:rowOff>28575</xdr:rowOff>
    </xdr:to>
    <xdr:sp macro="" textlink="">
      <xdr:nvSpPr>
        <xdr:cNvPr id="3" name="Seta para a direita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 rot="10800000" flipV="1">
          <a:off x="3143248" y="742951"/>
          <a:ext cx="2039737" cy="257174"/>
        </a:xfrm>
        <a:prstGeom prst="rightArrow">
          <a:avLst>
            <a:gd name="adj1" fmla="val 50000"/>
            <a:gd name="adj2" fmla="val 239286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000" b="1">
              <a:solidFill>
                <a:schemeClr val="tx1"/>
              </a:solidFill>
            </a:rPr>
            <a:t>         FILTRE AS ESTRUTURAS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38100</xdr:rowOff>
        </xdr:from>
        <xdr:to>
          <xdr:col>3</xdr:col>
          <xdr:colOff>38100</xdr:colOff>
          <xdr:row>0</xdr:row>
          <xdr:rowOff>533400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EECBC73-87ED-303C-C8F7-6AD733F789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sng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VOLTA</a:t>
              </a:r>
            </a:p>
            <a:p>
              <a:pPr algn="ctr" rtl="0">
                <a:defRPr sz="1000"/>
              </a:pPr>
              <a:r>
                <a:rPr lang="pt-BR" sz="1200" b="1" i="0" u="sng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AO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219075</xdr:colOff>
          <xdr:row>0</xdr:row>
          <xdr:rowOff>104775</xdr:rowOff>
        </xdr:from>
        <xdr:to>
          <xdr:col>7</xdr:col>
          <xdr:colOff>323850</xdr:colOff>
          <xdr:row>0</xdr:row>
          <xdr:rowOff>466725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887E199C-831B-447D-B637-884349A3BD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FF"/>
                  </a:solidFill>
                  <a:latin typeface="Bodoni MT Poster Compressed"/>
                </a:rPr>
                <a:t>Mono 34.5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371475</xdr:colOff>
          <xdr:row>0</xdr:row>
          <xdr:rowOff>104775</xdr:rowOff>
        </xdr:from>
        <xdr:to>
          <xdr:col>8</xdr:col>
          <xdr:colOff>466725</xdr:colOff>
          <xdr:row>0</xdr:row>
          <xdr:rowOff>466725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176F4D1-B136-A725-07B1-69412A7A72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FF"/>
                  </a:solidFill>
                  <a:latin typeface="Bodoni MT Poster Compressed"/>
                </a:rPr>
                <a:t>Trif.  13.8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0</xdr:row>
          <xdr:rowOff>104775</xdr:rowOff>
        </xdr:from>
        <xdr:to>
          <xdr:col>3</xdr:col>
          <xdr:colOff>733425</xdr:colOff>
          <xdr:row>0</xdr:row>
          <xdr:rowOff>466725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1CBC69B2-21E7-82E4-2218-400AAF34D1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Bodoni MT Poster Compressed"/>
                </a:rPr>
                <a:t>MATERIAIS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781050</xdr:colOff>
          <xdr:row>0</xdr:row>
          <xdr:rowOff>104775</xdr:rowOff>
        </xdr:from>
        <xdr:to>
          <xdr:col>4</xdr:col>
          <xdr:colOff>638175</xdr:colOff>
          <xdr:row>0</xdr:row>
          <xdr:rowOff>466725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BBAE0FCA-E665-087B-2812-96E8127B87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Bodoni MT Poster Compressed"/>
                </a:rPr>
                <a:t>EXTRAS EXTRAS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704850</xdr:colOff>
          <xdr:row>0</xdr:row>
          <xdr:rowOff>104775</xdr:rowOff>
        </xdr:from>
        <xdr:to>
          <xdr:col>6</xdr:col>
          <xdr:colOff>171450</xdr:colOff>
          <xdr:row>0</xdr:row>
          <xdr:rowOff>466725</xdr:rowOff>
        </xdr:to>
        <xdr:sp macro="" textlink="">
          <xdr:nvSpPr>
            <xdr:cNvPr id="14342" name="Button 6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A8BD80D9-DF2D-F7A6-FCE0-AB5297E180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FF"/>
                  </a:solidFill>
                  <a:latin typeface="Bodoni MT Poster Compressed"/>
                </a:rPr>
                <a:t>Mono 13.8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0</xdr:row>
          <xdr:rowOff>104775</xdr:rowOff>
        </xdr:from>
        <xdr:to>
          <xdr:col>10</xdr:col>
          <xdr:colOff>95250</xdr:colOff>
          <xdr:row>0</xdr:row>
          <xdr:rowOff>466725</xdr:rowOff>
        </xdr:to>
        <xdr:sp macro="" textlink="">
          <xdr:nvSpPr>
            <xdr:cNvPr id="14343" name="Button 7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140E7B6B-585F-9A32-04CD-823C354AD4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0" anchor="t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FF"/>
                  </a:solidFill>
                  <a:latin typeface="Bodoni MT Poster Compressed"/>
                </a:rPr>
                <a:t>Trif. 34.5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142875</xdr:colOff>
          <xdr:row>0</xdr:row>
          <xdr:rowOff>104775</xdr:rowOff>
        </xdr:from>
        <xdr:to>
          <xdr:col>13</xdr:col>
          <xdr:colOff>114300</xdr:colOff>
          <xdr:row>0</xdr:row>
          <xdr:rowOff>466725</xdr:rowOff>
        </xdr:to>
        <xdr:sp macro="" textlink="">
          <xdr:nvSpPr>
            <xdr:cNvPr id="14357" name="Button 21" hidden="1">
              <a:extLst>
                <a:ext uri="{63B3BB69-23CF-44E3-9099-C40C66FF867C}">
                  <a14:compatExt spid="_x0000_s14357"/>
                </a:ext>
                <a:ext uri="{FF2B5EF4-FFF2-40B4-BE49-F238E27FC236}">
                  <a16:creationId xmlns:a16="http://schemas.microsoft.com/office/drawing/2014/main" id="{F97987D9-B01B-16E6-D210-AD2DD4A1A1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0" anchor="t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FF0000"/>
                  </a:solidFill>
                  <a:latin typeface="Bodoni MT Poster Compressed"/>
                </a:rPr>
                <a:t>Estruturas 13.8kv e BT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38100</xdr:rowOff>
        </xdr:from>
        <xdr:to>
          <xdr:col>7</xdr:col>
          <xdr:colOff>85725</xdr:colOff>
          <xdr:row>17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320BEBEB-6069-20FC-3100-D8B0573E23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1" i="0" u="none" strike="noStrike" baseline="0">
                  <a:solidFill>
                    <a:srgbClr val="0000FF"/>
                  </a:solidFill>
                  <a:latin typeface="Arial Narrow"/>
                </a:rPr>
                <a:t>VOLTAR</a:t>
              </a:r>
            </a:p>
            <a:p>
              <a:pPr algn="ctr" rtl="0">
                <a:defRPr sz="1000"/>
              </a:pPr>
              <a:r>
                <a:rPr lang="pt-BR" sz="2200" b="1" i="0" u="none" strike="noStrike" baseline="0">
                  <a:solidFill>
                    <a:srgbClr val="0000FF"/>
                  </a:solidFill>
                  <a:latin typeface="Arial Narrow"/>
                </a:rPr>
                <a:t>AO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14</xdr:row>
          <xdr:rowOff>152400</xdr:rowOff>
        </xdr:from>
        <xdr:to>
          <xdr:col>8</xdr:col>
          <xdr:colOff>361950</xdr:colOff>
          <xdr:row>15</xdr:row>
          <xdr:rowOff>219075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8985217-8A4E-BECF-BB88-4FA62ED630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FF"/>
                  </a:solidFill>
                  <a:latin typeface="Arial Narrow"/>
                </a:rPr>
                <a:t>EXTRAS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0</xdr:row>
          <xdr:rowOff>38100</xdr:rowOff>
        </xdr:from>
        <xdr:to>
          <xdr:col>9</xdr:col>
          <xdr:colOff>342900</xdr:colOff>
          <xdr:row>14</xdr:row>
          <xdr:rowOff>133350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A933F4AD-3A83-7E4F-54EC-E5A3768A63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FF"/>
                  </a:solidFill>
                  <a:latin typeface="Bodoni MT Poster Compressed"/>
                </a:rPr>
                <a:t>Mono 34.5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0</xdr:row>
          <xdr:rowOff>38100</xdr:rowOff>
        </xdr:from>
        <xdr:to>
          <xdr:col>10</xdr:col>
          <xdr:colOff>514350</xdr:colOff>
          <xdr:row>14</xdr:row>
          <xdr:rowOff>133350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C1A3026C-FB83-2FFD-C4EC-26C3B911EC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FF"/>
                  </a:solidFill>
                  <a:latin typeface="Bodoni MT Poster Compressed"/>
                </a:rPr>
                <a:t>Trif.  13.8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0</xdr:row>
          <xdr:rowOff>38100</xdr:rowOff>
        </xdr:from>
        <xdr:to>
          <xdr:col>12</xdr:col>
          <xdr:colOff>161925</xdr:colOff>
          <xdr:row>14</xdr:row>
          <xdr:rowOff>133350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A5D65B8E-4300-C926-E01E-1B75F80685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0" anchor="t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FF"/>
                  </a:solidFill>
                  <a:latin typeface="Bodoni MT Poster Compressed"/>
                </a:rPr>
                <a:t>Trif. 34.5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390525</xdr:colOff>
          <xdr:row>14</xdr:row>
          <xdr:rowOff>152400</xdr:rowOff>
        </xdr:from>
        <xdr:to>
          <xdr:col>10</xdr:col>
          <xdr:colOff>285750</xdr:colOff>
          <xdr:row>15</xdr:row>
          <xdr:rowOff>219075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E710944A-CB76-B748-FE61-0BDF94A12C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FF"/>
                  </a:solidFill>
                  <a:latin typeface="Arial Narrow"/>
                </a:rPr>
                <a:t>COMPACTA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304800</xdr:colOff>
          <xdr:row>14</xdr:row>
          <xdr:rowOff>152400</xdr:rowOff>
        </xdr:from>
        <xdr:to>
          <xdr:col>12</xdr:col>
          <xdr:colOff>161925</xdr:colOff>
          <xdr:row>15</xdr:row>
          <xdr:rowOff>219075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4AF9774D-F198-9D28-2E20-A66B07CC22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FF"/>
                  </a:solidFill>
                  <a:latin typeface="Arial Narrow"/>
                </a:rPr>
                <a:t>REDE BT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16</xdr:row>
          <xdr:rowOff>0</xdr:rowOff>
        </xdr:from>
        <xdr:to>
          <xdr:col>9</xdr:col>
          <xdr:colOff>381000</xdr:colOff>
          <xdr:row>17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DB4C3826-6998-E1F7-166D-C3D70A336B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FF"/>
                  </a:solidFill>
                  <a:latin typeface="Arial Narrow"/>
                </a:rPr>
                <a:t>Estruturas 13.8KV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16</xdr:row>
          <xdr:rowOff>0</xdr:rowOff>
        </xdr:from>
        <xdr:to>
          <xdr:col>12</xdr:col>
          <xdr:colOff>161925</xdr:colOff>
          <xdr:row>17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EC74B92B-9852-7134-11B2-FE55A84164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FF"/>
                  </a:solidFill>
                  <a:latin typeface="Arial Narrow"/>
                </a:rPr>
                <a:t>Estruturas 34.5kv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0</xdr:row>
          <xdr:rowOff>47625</xdr:rowOff>
        </xdr:from>
        <xdr:to>
          <xdr:col>8</xdr:col>
          <xdr:colOff>219075</xdr:colOff>
          <xdr:row>14</xdr:row>
          <xdr:rowOff>133350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8A790557-C05C-91AE-20B7-8E14A2AE03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FF"/>
                  </a:solidFill>
                  <a:latin typeface="Bodoni MT Poster Compressed"/>
                </a:rPr>
                <a:t>Mono 13,8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19050</xdr:rowOff>
        </xdr:from>
        <xdr:to>
          <xdr:col>0</xdr:col>
          <xdr:colOff>828675</xdr:colOff>
          <xdr:row>4</xdr:row>
          <xdr:rowOff>66675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4DDC8F3E-2C99-895E-D368-3437CB7C0E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sng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VOLTA</a:t>
              </a:r>
            </a:p>
            <a:p>
              <a:pPr algn="ctr" rtl="0">
                <a:defRPr sz="1000"/>
              </a:pPr>
              <a:r>
                <a:rPr lang="pt-BR" sz="1200" b="1" i="0" u="sng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AO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4</xdr:row>
          <xdr:rowOff>95250</xdr:rowOff>
        </xdr:from>
        <xdr:to>
          <xdr:col>0</xdr:col>
          <xdr:colOff>828675</xdr:colOff>
          <xdr:row>5</xdr:row>
          <xdr:rowOff>123825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83399549-392E-5875-09DD-7F03ED52E8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Bodoni MT Poster Compressed"/>
                </a:rPr>
                <a:t>MATERIAIS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5</xdr:row>
          <xdr:rowOff>161925</xdr:rowOff>
        </xdr:from>
        <xdr:to>
          <xdr:col>0</xdr:col>
          <xdr:colOff>828675</xdr:colOff>
          <xdr:row>7</xdr:row>
          <xdr:rowOff>19050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E64A884A-249F-CE6B-4237-A6AA0BB1FA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Bodoni MT Poster Compressed"/>
                </a:rPr>
                <a:t>EXTRAS EXTRAS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7</xdr:row>
          <xdr:rowOff>76200</xdr:rowOff>
        </xdr:from>
        <xdr:to>
          <xdr:col>0</xdr:col>
          <xdr:colOff>428625</xdr:colOff>
          <xdr:row>14</xdr:row>
          <xdr:rowOff>171450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A6366389-559C-34BF-1258-92D9E45E40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FF"/>
                  </a:solidFill>
                  <a:latin typeface="Arial Narrow"/>
                </a:rPr>
                <a:t>REDE COMPACTA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476250</xdr:colOff>
          <xdr:row>7</xdr:row>
          <xdr:rowOff>66675</xdr:rowOff>
        </xdr:from>
        <xdr:to>
          <xdr:col>0</xdr:col>
          <xdr:colOff>828675</xdr:colOff>
          <xdr:row>14</xdr:row>
          <xdr:rowOff>171450</xdr:rowOff>
        </xdr:to>
        <xdr:sp macro="" textlink="">
          <xdr:nvSpPr>
            <xdr:cNvPr id="21513" name="Button 9" hidden="1">
              <a:extLst>
                <a:ext uri="{63B3BB69-23CF-44E3-9099-C40C66FF867C}">
                  <a14:compatExt spid="_x0000_s21513"/>
                </a:ext>
                <a:ext uri="{FF2B5EF4-FFF2-40B4-BE49-F238E27FC236}">
                  <a16:creationId xmlns:a16="http://schemas.microsoft.com/office/drawing/2014/main" id="{8585563A-3D4C-A86A-A4B7-79DE3B8D54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FF"/>
                  </a:solidFill>
                  <a:latin typeface="Arial Narrow"/>
                </a:rPr>
                <a:t>BT  ISOLADA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9525</xdr:rowOff>
        </xdr:from>
        <xdr:to>
          <xdr:col>0</xdr:col>
          <xdr:colOff>771525</xdr:colOff>
          <xdr:row>2</xdr:row>
          <xdr:rowOff>200025</xdr:rowOff>
        </xdr:to>
        <xdr:sp macro="" textlink="">
          <xdr:nvSpPr>
            <xdr:cNvPr id="21329" name="Button 2897" hidden="1">
              <a:extLst>
                <a:ext uri="{63B3BB69-23CF-44E3-9099-C40C66FF867C}">
                  <a14:compatExt spid="_x0000_s21329"/>
                </a:ext>
                <a:ext uri="{FF2B5EF4-FFF2-40B4-BE49-F238E27FC236}">
                  <a16:creationId xmlns:a16="http://schemas.microsoft.com/office/drawing/2014/main" id="{6F1DB2F7-F453-3A82-7847-E3D9933BD9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sng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VOLTA</a:t>
              </a:r>
            </a:p>
            <a:p>
              <a:pPr algn="ctr" rtl="0">
                <a:defRPr sz="1000"/>
              </a:pPr>
              <a:r>
                <a:rPr lang="pt-BR" sz="1200" b="1" i="0" u="sng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AO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4</xdr:row>
          <xdr:rowOff>104775</xdr:rowOff>
        </xdr:from>
        <xdr:to>
          <xdr:col>0</xdr:col>
          <xdr:colOff>771525</xdr:colOff>
          <xdr:row>5</xdr:row>
          <xdr:rowOff>114300</xdr:rowOff>
        </xdr:to>
        <xdr:sp macro="" textlink="">
          <xdr:nvSpPr>
            <xdr:cNvPr id="21336" name="Button 2904" hidden="1">
              <a:extLst>
                <a:ext uri="{63B3BB69-23CF-44E3-9099-C40C66FF867C}">
                  <a14:compatExt spid="_x0000_s21336"/>
                </a:ext>
                <a:ext uri="{FF2B5EF4-FFF2-40B4-BE49-F238E27FC236}">
                  <a16:creationId xmlns:a16="http://schemas.microsoft.com/office/drawing/2014/main" id="{CCBC9478-6B77-D92D-D147-DA8764CE03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FF"/>
                  </a:solidFill>
                  <a:latin typeface="Bodoni MT Poster Compressed"/>
                </a:rPr>
                <a:t>BT  ISOLADA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5</xdr:row>
          <xdr:rowOff>171450</xdr:rowOff>
        </xdr:from>
        <xdr:to>
          <xdr:col>0</xdr:col>
          <xdr:colOff>771525</xdr:colOff>
          <xdr:row>10</xdr:row>
          <xdr:rowOff>161925</xdr:rowOff>
        </xdr:to>
        <xdr:sp macro="" textlink="">
          <xdr:nvSpPr>
            <xdr:cNvPr id="21339" name="Button 2907" descr="TRAFOS DA COMPACTA e BT  " hidden="1">
              <a:extLst>
                <a:ext uri="{63B3BB69-23CF-44E3-9099-C40C66FF867C}">
                  <a14:compatExt spid="_x0000_s21339"/>
                </a:ext>
                <a:ext uri="{FF2B5EF4-FFF2-40B4-BE49-F238E27FC236}">
                  <a16:creationId xmlns:a16="http://schemas.microsoft.com/office/drawing/2014/main" id="{1582F78E-50A8-3F77-CE43-578EF3853C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FF"/>
                  </a:solidFill>
                  <a:latin typeface="Agency FB"/>
                </a:rPr>
                <a:t>TRAFOS PARA A COMPACTA e BT 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11</xdr:row>
          <xdr:rowOff>19050</xdr:rowOff>
        </xdr:from>
        <xdr:to>
          <xdr:col>0</xdr:col>
          <xdr:colOff>771525</xdr:colOff>
          <xdr:row>16</xdr:row>
          <xdr:rowOff>9525</xdr:rowOff>
        </xdr:to>
        <xdr:sp macro="" textlink="">
          <xdr:nvSpPr>
            <xdr:cNvPr id="21340" name="Button 2908" hidden="1">
              <a:extLst>
                <a:ext uri="{63B3BB69-23CF-44E3-9099-C40C66FF867C}">
                  <a14:compatExt spid="_x0000_s21340"/>
                </a:ext>
                <a:ext uri="{FF2B5EF4-FFF2-40B4-BE49-F238E27FC236}">
                  <a16:creationId xmlns:a16="http://schemas.microsoft.com/office/drawing/2014/main" id="{8CB36E61-6EA5-2C2D-8DA1-205FEED2C0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EXTRAS</a:t>
              </a:r>
              <a:endParaRPr lang="pt-BR" sz="1200" b="1" i="0" u="none" strike="noStrike" baseline="0">
                <a:solidFill>
                  <a:srgbClr val="000080"/>
                </a:solidFill>
                <a:latin typeface="Cambria"/>
                <a:ea typeface="Cambria"/>
              </a:endParaRPr>
            </a:p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P/ COMPACTA e BT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</xdr:row>
          <xdr:rowOff>28575</xdr:rowOff>
        </xdr:from>
        <xdr:to>
          <xdr:col>0</xdr:col>
          <xdr:colOff>781050</xdr:colOff>
          <xdr:row>4</xdr:row>
          <xdr:rowOff>66675</xdr:rowOff>
        </xdr:to>
        <xdr:sp macro="" textlink="">
          <xdr:nvSpPr>
            <xdr:cNvPr id="21341" name="Button 2909" hidden="1">
              <a:extLst>
                <a:ext uri="{63B3BB69-23CF-44E3-9099-C40C66FF867C}">
                  <a14:compatExt spid="_x0000_s21341"/>
                </a:ext>
                <a:ext uri="{FF2B5EF4-FFF2-40B4-BE49-F238E27FC236}">
                  <a16:creationId xmlns:a16="http://schemas.microsoft.com/office/drawing/2014/main" id="{B74D7E63-2A38-1EE9-7CAF-1FD56250FE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MATERIAIS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18</xdr:row>
          <xdr:rowOff>28575</xdr:rowOff>
        </xdr:from>
        <xdr:to>
          <xdr:col>2</xdr:col>
          <xdr:colOff>581025</xdr:colOff>
          <xdr:row>19</xdr:row>
          <xdr:rowOff>152400</xdr:rowOff>
        </xdr:to>
        <xdr:sp macro="" textlink="">
          <xdr:nvSpPr>
            <xdr:cNvPr id="21342" name="Button 2910" hidden="1">
              <a:extLst>
                <a:ext uri="{63B3BB69-23CF-44E3-9099-C40C66FF867C}">
                  <a14:compatExt spid="_x0000_s21342"/>
                </a:ext>
                <a:ext uri="{FF2B5EF4-FFF2-40B4-BE49-F238E27FC236}">
                  <a16:creationId xmlns:a16="http://schemas.microsoft.com/office/drawing/2014/main" id="{7BBC4C10-ED18-A0F7-48EE-4EE114AF75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0000" tIns="46800" rIns="90000" bIns="46800" anchor="ctr" upright="1"/>
            <a:lstStyle/>
            <a:p>
              <a:pPr algn="ctr" rtl="0">
                <a:defRPr sz="1000"/>
              </a:pPr>
              <a:r>
                <a:rPr lang="pt-BR" sz="1600" b="0" i="0" u="sng" strike="noStrike" baseline="0">
                  <a:solidFill>
                    <a:srgbClr val="0000FF"/>
                  </a:solidFill>
                  <a:latin typeface="Franklin Gothic Demi"/>
                </a:rPr>
                <a:t>ILUMINAÇÃO PÚBLICA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16</xdr:row>
          <xdr:rowOff>38100</xdr:rowOff>
        </xdr:from>
        <xdr:to>
          <xdr:col>0</xdr:col>
          <xdr:colOff>771525</xdr:colOff>
          <xdr:row>17</xdr:row>
          <xdr:rowOff>161925</xdr:rowOff>
        </xdr:to>
        <xdr:sp macro="" textlink="">
          <xdr:nvSpPr>
            <xdr:cNvPr id="21344" name="Button 2912" hidden="1">
              <a:extLst>
                <a:ext uri="{63B3BB69-23CF-44E3-9099-C40C66FF867C}">
                  <a14:compatExt spid="_x0000_s21344"/>
                </a:ext>
                <a:ext uri="{FF2B5EF4-FFF2-40B4-BE49-F238E27FC236}">
                  <a16:creationId xmlns:a16="http://schemas.microsoft.com/office/drawing/2014/main" id="{7126E797-C995-E49B-544D-EDA1B211A0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0000" tIns="46800" rIns="90000" bIns="46800" anchor="ctr" upright="1"/>
            <a:lstStyle/>
            <a:p>
              <a:pPr algn="ctr" rtl="0">
                <a:defRPr sz="1000"/>
              </a:pPr>
              <a:r>
                <a:rPr lang="pt-BR" sz="1600" b="0" i="0" u="sng" strike="noStrike" baseline="0">
                  <a:solidFill>
                    <a:srgbClr val="0000FF"/>
                  </a:solidFill>
                  <a:latin typeface="Franklin Gothic Demi"/>
                </a:rPr>
                <a:t>IP</a:t>
              </a:r>
            </a:p>
            <a:p>
              <a:pPr algn="ctr" rtl="0">
                <a:defRPr sz="1000"/>
              </a:pPr>
              <a:endParaRPr lang="pt-BR" sz="1600" b="0" i="0" u="sng" strike="noStrike" baseline="0">
                <a:solidFill>
                  <a:srgbClr val="0000FF"/>
                </a:solidFill>
                <a:latin typeface="Franklin Gothic Dem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</xdr:row>
          <xdr:rowOff>0</xdr:rowOff>
        </xdr:from>
        <xdr:to>
          <xdr:col>0</xdr:col>
          <xdr:colOff>742950</xdr:colOff>
          <xdr:row>4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AB0F1DCC-00C8-DF28-D414-147A015F00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0" i="0" u="sng" strike="noStrike" baseline="0">
                  <a:solidFill>
                    <a:srgbClr val="FF0000"/>
                  </a:solidFill>
                  <a:latin typeface="Cambria"/>
                  <a:ea typeface="Cambria"/>
                </a:rPr>
                <a:t>VOLTAR</a:t>
              </a:r>
            </a:p>
            <a:p>
              <a:pPr algn="ctr" rtl="0">
                <a:defRPr sz="1000"/>
              </a:pPr>
              <a:r>
                <a:rPr lang="pt-BR" sz="1200" b="0" i="0" u="sng" strike="noStrike" baseline="0">
                  <a:solidFill>
                    <a:srgbClr val="FF0000"/>
                  </a:solidFill>
                  <a:latin typeface="Cambria"/>
                  <a:ea typeface="Cambria"/>
                </a:rPr>
                <a:t>AO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7</xdr:row>
          <xdr:rowOff>104775</xdr:rowOff>
        </xdr:from>
        <xdr:to>
          <xdr:col>0</xdr:col>
          <xdr:colOff>704850</xdr:colOff>
          <xdr:row>8</xdr:row>
          <xdr:rowOff>180975</xdr:rowOff>
        </xdr:to>
        <xdr:sp macro="" textlink="">
          <xdr:nvSpPr>
            <xdr:cNvPr id="16394" name="Button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934094EF-965B-1CB7-7D81-188CC9AE40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FF"/>
                  </a:solidFill>
                  <a:latin typeface="Agency FB"/>
                </a:rPr>
                <a:t>COMPACTA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4</xdr:row>
          <xdr:rowOff>38100</xdr:rowOff>
        </xdr:from>
        <xdr:to>
          <xdr:col>0</xdr:col>
          <xdr:colOff>714375</xdr:colOff>
          <xdr:row>5</xdr:row>
          <xdr:rowOff>95250</xdr:rowOff>
        </xdr:to>
        <xdr:sp macro="" textlink="">
          <xdr:nvSpPr>
            <xdr:cNvPr id="16798" name="Button 414" hidden="1">
              <a:extLst>
                <a:ext uri="{63B3BB69-23CF-44E3-9099-C40C66FF867C}">
                  <a14:compatExt spid="_x0000_s16798"/>
                </a:ext>
                <a:ext uri="{FF2B5EF4-FFF2-40B4-BE49-F238E27FC236}">
                  <a16:creationId xmlns:a16="http://schemas.microsoft.com/office/drawing/2014/main" id="{88DB400D-74BD-AC09-C189-BFB1EE85FA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gency FB"/>
                </a:rPr>
                <a:t>MATERIAIS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5</xdr:row>
          <xdr:rowOff>142875</xdr:rowOff>
        </xdr:from>
        <xdr:to>
          <xdr:col>0</xdr:col>
          <xdr:colOff>714375</xdr:colOff>
          <xdr:row>7</xdr:row>
          <xdr:rowOff>57150</xdr:rowOff>
        </xdr:to>
        <xdr:sp macro="" textlink="">
          <xdr:nvSpPr>
            <xdr:cNvPr id="16799" name="Button 415" hidden="1">
              <a:extLst>
                <a:ext uri="{63B3BB69-23CF-44E3-9099-C40C66FF867C}">
                  <a14:compatExt spid="_x0000_s16799"/>
                </a:ext>
                <a:ext uri="{FF2B5EF4-FFF2-40B4-BE49-F238E27FC236}">
                  <a16:creationId xmlns:a16="http://schemas.microsoft.com/office/drawing/2014/main" id="{46AEFEEE-901F-03A4-A568-01E73DBF98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EXTRAS EXTRAS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14</xdr:row>
          <xdr:rowOff>76200</xdr:rowOff>
        </xdr:from>
        <xdr:to>
          <xdr:col>0</xdr:col>
          <xdr:colOff>704850</xdr:colOff>
          <xdr:row>19</xdr:row>
          <xdr:rowOff>38100</xdr:rowOff>
        </xdr:to>
        <xdr:sp macro="" textlink="">
          <xdr:nvSpPr>
            <xdr:cNvPr id="16804" name="Button 420" hidden="1">
              <a:extLst>
                <a:ext uri="{63B3BB69-23CF-44E3-9099-C40C66FF867C}">
                  <a14:compatExt spid="_x0000_s16804"/>
                </a:ext>
                <a:ext uri="{FF2B5EF4-FFF2-40B4-BE49-F238E27FC236}">
                  <a16:creationId xmlns:a16="http://schemas.microsoft.com/office/drawing/2014/main" id="{B0D619F5-D7FF-A31E-6650-D57C74A105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EXTRAS</a:t>
              </a:r>
              <a:endParaRPr lang="pt-BR" sz="1200" b="1" i="0" u="none" strike="noStrike" baseline="0">
                <a:solidFill>
                  <a:srgbClr val="000080"/>
                </a:solidFill>
                <a:latin typeface="Cambria"/>
                <a:ea typeface="Cambria"/>
              </a:endParaRPr>
            </a:p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P/ COMPACTA  e BT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9</xdr:row>
          <xdr:rowOff>28575</xdr:rowOff>
        </xdr:from>
        <xdr:to>
          <xdr:col>0</xdr:col>
          <xdr:colOff>723900</xdr:colOff>
          <xdr:row>14</xdr:row>
          <xdr:rowOff>9525</xdr:rowOff>
        </xdr:to>
        <xdr:sp macro="" textlink="">
          <xdr:nvSpPr>
            <xdr:cNvPr id="16805" name="Button 421" hidden="1">
              <a:extLst>
                <a:ext uri="{63B3BB69-23CF-44E3-9099-C40C66FF867C}">
                  <a14:compatExt spid="_x0000_s16805"/>
                </a:ext>
                <a:ext uri="{FF2B5EF4-FFF2-40B4-BE49-F238E27FC236}">
                  <a16:creationId xmlns:a16="http://schemas.microsoft.com/office/drawing/2014/main" id="{071AEA65-8A30-6BCA-B1C2-60DFCD784E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FF"/>
                  </a:solidFill>
                  <a:latin typeface="Agency FB"/>
                </a:rPr>
                <a:t>INSERIR </a:t>
              </a:r>
            </a:p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FF"/>
                  </a:solidFill>
                  <a:latin typeface="Agency FB"/>
                </a:rPr>
                <a:t>TRAFOS DA COMPACTA e BT 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12</xdr:row>
          <xdr:rowOff>66675</xdr:rowOff>
        </xdr:from>
        <xdr:to>
          <xdr:col>2</xdr:col>
          <xdr:colOff>685800</xdr:colOff>
          <xdr:row>14</xdr:row>
          <xdr:rowOff>180975</xdr:rowOff>
        </xdr:to>
        <xdr:sp macro="" textlink="">
          <xdr:nvSpPr>
            <xdr:cNvPr id="16807" name="Button 423" hidden="1">
              <a:extLst>
                <a:ext uri="{63B3BB69-23CF-44E3-9099-C40C66FF867C}">
                  <a14:compatExt spid="_x0000_s16807"/>
                </a:ext>
                <a:ext uri="{FF2B5EF4-FFF2-40B4-BE49-F238E27FC236}">
                  <a16:creationId xmlns:a16="http://schemas.microsoft.com/office/drawing/2014/main" id="{0C7B3F69-7999-3FBB-C8CE-6BBFA3C334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0000" tIns="46800" rIns="90000" bIns="46800" anchor="ctr" upright="1"/>
            <a:lstStyle/>
            <a:p>
              <a:pPr algn="ctr" rtl="0">
                <a:defRPr sz="1000"/>
              </a:pPr>
              <a:r>
                <a:rPr lang="pt-BR" sz="1600" b="0" i="0" u="sng" strike="noStrike" baseline="0">
                  <a:solidFill>
                    <a:srgbClr val="0000FF"/>
                  </a:solidFill>
                  <a:latin typeface="Franklin Gothic Demi"/>
                </a:rPr>
                <a:t>ILUMINAÇÃO PÚBLICA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19</xdr:row>
          <xdr:rowOff>133350</xdr:rowOff>
        </xdr:from>
        <xdr:to>
          <xdr:col>0</xdr:col>
          <xdr:colOff>742950</xdr:colOff>
          <xdr:row>21</xdr:row>
          <xdr:rowOff>142875</xdr:rowOff>
        </xdr:to>
        <xdr:sp macro="" textlink="">
          <xdr:nvSpPr>
            <xdr:cNvPr id="16810" name="Button 426" hidden="1">
              <a:extLst>
                <a:ext uri="{63B3BB69-23CF-44E3-9099-C40C66FF867C}">
                  <a14:compatExt spid="_x0000_s16810"/>
                </a:ext>
                <a:ext uri="{FF2B5EF4-FFF2-40B4-BE49-F238E27FC236}">
                  <a16:creationId xmlns:a16="http://schemas.microsoft.com/office/drawing/2014/main" id="{927AB047-9C2E-0CEA-1E9D-AB0D468F24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FF"/>
                  </a:solidFill>
                  <a:latin typeface="Agency FB"/>
                </a:rPr>
                <a:t>ILUM. PUB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57150</xdr:rowOff>
        </xdr:from>
        <xdr:to>
          <xdr:col>7</xdr:col>
          <xdr:colOff>66675</xdr:colOff>
          <xdr:row>3</xdr:row>
          <xdr:rowOff>114300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5E56E46-5ED1-4028-C79F-2775BE1370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VOLTAR</a:t>
              </a:r>
            </a:p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AO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1</xdr:row>
          <xdr:rowOff>228600</xdr:rowOff>
        </xdr:from>
        <xdr:to>
          <xdr:col>8</xdr:col>
          <xdr:colOff>285750</xdr:colOff>
          <xdr:row>3</xdr:row>
          <xdr:rowOff>104775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A3DC7D24-DF87-ED17-5933-A5E26F1ED4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Bodoni MT Poster Compressed"/>
                </a:rPr>
                <a:t>MATERIAIS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228600</xdr:colOff>
          <xdr:row>1</xdr:row>
          <xdr:rowOff>238125</xdr:rowOff>
        </xdr:from>
        <xdr:to>
          <xdr:col>14</xdr:col>
          <xdr:colOff>9525</xdr:colOff>
          <xdr:row>3</xdr:row>
          <xdr:rowOff>104775</xdr:rowOff>
        </xdr:to>
        <xdr:sp macro="" textlink="">
          <xdr:nvSpPr>
            <xdr:cNvPr id="33799" name="Button 7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DB35A62F-4255-A8BE-EB2D-88796DF0DE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0" anchor="t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Agency FB"/>
                </a:rPr>
                <a:t>Total Estruturas 13.8kv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1</xdr:row>
          <xdr:rowOff>238125</xdr:rowOff>
        </xdr:from>
        <xdr:to>
          <xdr:col>11</xdr:col>
          <xdr:colOff>180975</xdr:colOff>
          <xdr:row>3</xdr:row>
          <xdr:rowOff>104775</xdr:rowOff>
        </xdr:to>
        <xdr:sp macro="" textlink="">
          <xdr:nvSpPr>
            <xdr:cNvPr id="33800" name="Button 8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67E90D28-1B3D-5869-99C9-A4425C9316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0" anchor="t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Agency FB"/>
                </a:rPr>
                <a:t>Total Estruturas  34.5kv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0</xdr:row>
          <xdr:rowOff>47625</xdr:rowOff>
        </xdr:from>
        <xdr:to>
          <xdr:col>10</xdr:col>
          <xdr:colOff>85725</xdr:colOff>
          <xdr:row>1</xdr:row>
          <xdr:rowOff>123825</xdr:rowOff>
        </xdr:to>
        <xdr:sp macro="" textlink="">
          <xdr:nvSpPr>
            <xdr:cNvPr id="33801" name="Button 9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AD312321-4106-69C8-6EF8-BADDEDAEBA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FF"/>
                  </a:solidFill>
                  <a:latin typeface="Arial Narrow"/>
                </a:rPr>
                <a:t>REDE COMPACTA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0</xdr:row>
          <xdr:rowOff>47625</xdr:rowOff>
        </xdr:from>
        <xdr:to>
          <xdr:col>12</xdr:col>
          <xdr:colOff>419100</xdr:colOff>
          <xdr:row>1</xdr:row>
          <xdr:rowOff>133350</xdr:rowOff>
        </xdr:to>
        <xdr:sp macro="" textlink="">
          <xdr:nvSpPr>
            <xdr:cNvPr id="33802" name="Button 10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B8DEBA7D-E9A2-8993-45E9-9215C1FA2F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FF"/>
                  </a:solidFill>
                  <a:latin typeface="Arial Narrow"/>
                </a:rPr>
                <a:t>BT  ISOLADA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19050</xdr:rowOff>
        </xdr:from>
        <xdr:to>
          <xdr:col>0</xdr:col>
          <xdr:colOff>1190625</xdr:colOff>
          <xdr:row>4</xdr:row>
          <xdr:rowOff>19050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14DF1AE9-2E52-16FE-0C1E-A786976662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0" i="0" u="sng" strike="noStrike" baseline="0">
                  <a:solidFill>
                    <a:srgbClr val="FF0000"/>
                  </a:solidFill>
                  <a:latin typeface="Cambria"/>
                  <a:ea typeface="Cambria"/>
                </a:rPr>
                <a:t>VOLTAR</a:t>
              </a:r>
            </a:p>
            <a:p>
              <a:pPr algn="ctr" rtl="0">
                <a:defRPr sz="1000"/>
              </a:pPr>
              <a:r>
                <a:rPr lang="pt-BR" sz="1200" b="0" i="0" u="sng" strike="noStrike" baseline="0">
                  <a:solidFill>
                    <a:srgbClr val="FF0000"/>
                  </a:solidFill>
                  <a:latin typeface="Cambria"/>
                  <a:ea typeface="Cambria"/>
                </a:rPr>
                <a:t>AO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8</xdr:row>
          <xdr:rowOff>19050</xdr:rowOff>
        </xdr:from>
        <xdr:to>
          <xdr:col>0</xdr:col>
          <xdr:colOff>1162050</xdr:colOff>
          <xdr:row>9</xdr:row>
          <xdr:rowOff>47625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E68D2677-002B-C4E5-844D-E48B2AB093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0" anchor="t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FF"/>
                  </a:solidFill>
                  <a:latin typeface="Agency FB"/>
                </a:rPr>
                <a:t>REDE COMPACTA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4</xdr:row>
          <xdr:rowOff>47625</xdr:rowOff>
        </xdr:from>
        <xdr:to>
          <xdr:col>0</xdr:col>
          <xdr:colOff>1171575</xdr:colOff>
          <xdr:row>6</xdr:row>
          <xdr:rowOff>104775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1A029F67-93E5-D9D9-0DDB-B827D4AE97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Agency FB"/>
                </a:rPr>
                <a:t>MATERIAIS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12</xdr:row>
          <xdr:rowOff>190500</xdr:rowOff>
        </xdr:from>
        <xdr:to>
          <xdr:col>0</xdr:col>
          <xdr:colOff>1152525</xdr:colOff>
          <xdr:row>14</xdr:row>
          <xdr:rowOff>133350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3E802ED-94E2-B699-BEF5-8CD2FBE5EF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EXTRAS P/</a:t>
              </a:r>
              <a:r>
                <a:rPr lang="pt-BR" sz="12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 </a:t>
              </a:r>
              <a:r>
                <a:rPr lang="pt-BR" sz="10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COMPACTA e BT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9</xdr:row>
          <xdr:rowOff>104775</xdr:rowOff>
        </xdr:from>
        <xdr:to>
          <xdr:col>0</xdr:col>
          <xdr:colOff>1162050</xdr:colOff>
          <xdr:row>12</xdr:row>
          <xdr:rowOff>114300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DCD3AAA7-B9A7-A580-0C1F-2D45B68D97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FF"/>
                  </a:solidFill>
                  <a:latin typeface="Agency FB"/>
                </a:rPr>
                <a:t>INSERIR </a:t>
              </a:r>
            </a:p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FF"/>
                  </a:solidFill>
                  <a:latin typeface="Agency FB"/>
                </a:rPr>
                <a:t>TRAFOS DA COMPACTA e BT 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6</xdr:row>
          <xdr:rowOff>142875</xdr:rowOff>
        </xdr:from>
        <xdr:to>
          <xdr:col>0</xdr:col>
          <xdr:colOff>1162050</xdr:colOff>
          <xdr:row>7</xdr:row>
          <xdr:rowOff>219075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5FAAB3D3-15C1-C779-848B-A6F373E517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0" anchor="t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FF"/>
                  </a:solidFill>
                  <a:latin typeface="Bodoni MT Poster Compressed"/>
                </a:rPr>
                <a:t>BT  ISOLADA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200025</xdr:rowOff>
        </xdr:from>
        <xdr:to>
          <xdr:col>0</xdr:col>
          <xdr:colOff>1152525</xdr:colOff>
          <xdr:row>15</xdr:row>
          <xdr:rowOff>228600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3CE8ACF0-B725-4DB7-2FF6-BA9F474AC3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Trif. 13.8kv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16</xdr:row>
          <xdr:rowOff>19050</xdr:rowOff>
        </xdr:from>
        <xdr:to>
          <xdr:col>0</xdr:col>
          <xdr:colOff>1152525</xdr:colOff>
          <xdr:row>17</xdr:row>
          <xdr:rowOff>95250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7A8A8C70-EEEB-3FED-957D-855B4F2AA1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Trif. 34.5kv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0</xdr:row>
          <xdr:rowOff>47625</xdr:rowOff>
        </xdr:from>
        <xdr:to>
          <xdr:col>7</xdr:col>
          <xdr:colOff>85725</xdr:colOff>
          <xdr:row>2</xdr:row>
          <xdr:rowOff>161925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196C5B67-F820-499E-607E-C9F0291172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VOLTAR</a:t>
              </a:r>
            </a:p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AO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0</xdr:row>
          <xdr:rowOff>47625</xdr:rowOff>
        </xdr:from>
        <xdr:to>
          <xdr:col>9</xdr:col>
          <xdr:colOff>419100</xdr:colOff>
          <xdr:row>1</xdr:row>
          <xdr:rowOff>123825</xdr:rowOff>
        </xdr:to>
        <xdr:sp macro="" textlink="">
          <xdr:nvSpPr>
            <xdr:cNvPr id="7187" name="Button 19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26869E01-8C07-FAC2-7E68-CBE5574ABC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FF"/>
                  </a:solidFill>
                  <a:latin typeface="Bodoni MT Poster Compressed"/>
                </a:rPr>
                <a:t>Mono 34.5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447675</xdr:colOff>
          <xdr:row>0</xdr:row>
          <xdr:rowOff>47625</xdr:rowOff>
        </xdr:from>
        <xdr:to>
          <xdr:col>11</xdr:col>
          <xdr:colOff>9525</xdr:colOff>
          <xdr:row>1</xdr:row>
          <xdr:rowOff>123825</xdr:rowOff>
        </xdr:to>
        <xdr:sp macro="" textlink="">
          <xdr:nvSpPr>
            <xdr:cNvPr id="7188" name="Button 20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BA3BF020-EF02-590E-72A9-7F007766B1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FF"/>
                  </a:solidFill>
                  <a:latin typeface="Bodoni MT Poster Compressed"/>
                </a:rPr>
                <a:t>Trif.  13.8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142875</xdr:colOff>
          <xdr:row>1</xdr:row>
          <xdr:rowOff>190500</xdr:rowOff>
        </xdr:from>
        <xdr:to>
          <xdr:col>8</xdr:col>
          <xdr:colOff>323850</xdr:colOff>
          <xdr:row>3</xdr:row>
          <xdr:rowOff>85725</xdr:rowOff>
        </xdr:to>
        <xdr:sp macro="" textlink="">
          <xdr:nvSpPr>
            <xdr:cNvPr id="7189" name="Button 21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9E9EDC97-E8DA-5AA0-83C8-27A1E91060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Bodoni MT Poster Compressed"/>
                </a:rPr>
                <a:t>MATERIAIS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0</xdr:row>
          <xdr:rowOff>47625</xdr:rowOff>
        </xdr:from>
        <xdr:to>
          <xdr:col>8</xdr:col>
          <xdr:colOff>266700</xdr:colOff>
          <xdr:row>1</xdr:row>
          <xdr:rowOff>123825</xdr:rowOff>
        </xdr:to>
        <xdr:sp macro="" textlink="">
          <xdr:nvSpPr>
            <xdr:cNvPr id="7191" name="Button 23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10A4AA97-FB5E-6E24-163B-61EE4C78D1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FF"/>
                  </a:solidFill>
                  <a:latin typeface="Bodoni MT Poster Compressed"/>
                </a:rPr>
                <a:t>Mono 13.8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47625</xdr:rowOff>
        </xdr:from>
        <xdr:to>
          <xdr:col>12</xdr:col>
          <xdr:colOff>161925</xdr:colOff>
          <xdr:row>1</xdr:row>
          <xdr:rowOff>123825</xdr:rowOff>
        </xdr:to>
        <xdr:sp macro="" textlink="">
          <xdr:nvSpPr>
            <xdr:cNvPr id="7192" name="Button 24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11521116-BC51-2FE1-97FE-80E7AECA78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0" anchor="t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FF"/>
                  </a:solidFill>
                  <a:latin typeface="Bodoni MT Poster Compressed"/>
                </a:rPr>
                <a:t>Trif. 34.5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171450</xdr:colOff>
          <xdr:row>1</xdr:row>
          <xdr:rowOff>200025</xdr:rowOff>
        </xdr:from>
        <xdr:to>
          <xdr:col>13</xdr:col>
          <xdr:colOff>323850</xdr:colOff>
          <xdr:row>3</xdr:row>
          <xdr:rowOff>66675</xdr:rowOff>
        </xdr:to>
        <xdr:sp macro="" textlink="">
          <xdr:nvSpPr>
            <xdr:cNvPr id="7193" name="Button 25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BFF183FB-D0BE-47E4-9EC6-243A115978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0" anchor="t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Agency FB"/>
                </a:rPr>
                <a:t>Total Estruturas 13.8kv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361950</xdr:colOff>
          <xdr:row>1</xdr:row>
          <xdr:rowOff>200025</xdr:rowOff>
        </xdr:from>
        <xdr:to>
          <xdr:col>11</xdr:col>
          <xdr:colOff>104775</xdr:colOff>
          <xdr:row>3</xdr:row>
          <xdr:rowOff>66675</xdr:rowOff>
        </xdr:to>
        <xdr:sp macro="" textlink="">
          <xdr:nvSpPr>
            <xdr:cNvPr id="7194" name="Button 26" hidden="1">
              <a:extLst>
                <a:ext uri="{63B3BB69-23CF-44E3-9099-C40C66FF867C}">
                  <a14:compatExt spid="_x0000_s7194"/>
                </a:ext>
                <a:ext uri="{FF2B5EF4-FFF2-40B4-BE49-F238E27FC236}">
                  <a16:creationId xmlns:a16="http://schemas.microsoft.com/office/drawing/2014/main" id="{FA8BE7F8-EC55-504B-1C53-71A566FD6E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0" anchor="t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Agency FB"/>
                </a:rPr>
                <a:t>Total Estruturas  34.5kv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114300</xdr:colOff>
      <xdr:row>1</xdr:row>
      <xdr:rowOff>142875</xdr:rowOff>
    </xdr:from>
    <xdr:to>
      <xdr:col>9</xdr:col>
      <xdr:colOff>325193</xdr:colOff>
      <xdr:row>2</xdr:row>
      <xdr:rowOff>28876</xdr:rowOff>
    </xdr:to>
    <xdr:sp macro="" textlink="">
      <xdr:nvSpPr>
        <xdr:cNvPr id="4" name="Seta para a direita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 rot="10800000" flipV="1">
          <a:off x="3839633" y="756708"/>
          <a:ext cx="2052393" cy="8881835"/>
        </a:xfrm>
        <a:prstGeom prst="rightArrow">
          <a:avLst>
            <a:gd name="adj1" fmla="val 50000"/>
            <a:gd name="adj2" fmla="val 239286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000" b="1">
              <a:solidFill>
                <a:schemeClr val="tx1"/>
              </a:solidFill>
            </a:rPr>
            <a:t>         FILTRE AS ESTRUTURAS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66675</xdr:rowOff>
        </xdr:from>
        <xdr:to>
          <xdr:col>0</xdr:col>
          <xdr:colOff>866775</xdr:colOff>
          <xdr:row>0</xdr:row>
          <xdr:rowOff>552450</xdr:rowOff>
        </xdr:to>
        <xdr:sp macro="" textlink="">
          <xdr:nvSpPr>
            <xdr:cNvPr id="13323" name="Button 11" hidden="1">
              <a:extLst>
                <a:ext uri="{63B3BB69-23CF-44E3-9099-C40C66FF867C}">
                  <a14:compatExt spid="_x0000_s13323"/>
                </a:ext>
                <a:ext uri="{FF2B5EF4-FFF2-40B4-BE49-F238E27FC236}">
                  <a16:creationId xmlns:a16="http://schemas.microsoft.com/office/drawing/2014/main" id="{270AA015-FF4E-4C2E-1391-9EC1807B25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sng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VOLTA</a:t>
              </a:r>
            </a:p>
            <a:p>
              <a:pPr algn="ctr" rtl="0">
                <a:defRPr sz="1000"/>
              </a:pPr>
              <a:r>
                <a:rPr lang="pt-BR" sz="1200" b="1" i="0" u="sng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AO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114300</xdr:rowOff>
        </xdr:from>
        <xdr:to>
          <xdr:col>6</xdr:col>
          <xdr:colOff>352425</xdr:colOff>
          <xdr:row>0</xdr:row>
          <xdr:rowOff>476250</xdr:rowOff>
        </xdr:to>
        <xdr:sp macro="" textlink="">
          <xdr:nvSpPr>
            <xdr:cNvPr id="13324" name="Button 12" hidden="1">
              <a:extLst>
                <a:ext uri="{63B3BB69-23CF-44E3-9099-C40C66FF867C}">
                  <a14:compatExt spid="_x0000_s13324"/>
                </a:ext>
                <a:ext uri="{FF2B5EF4-FFF2-40B4-BE49-F238E27FC236}">
                  <a16:creationId xmlns:a16="http://schemas.microsoft.com/office/drawing/2014/main" id="{ADF56DF0-47A7-A797-4E57-9F5A82E8CF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FF"/>
                  </a:solidFill>
                  <a:latin typeface="Bodoni MT Poster Compressed"/>
                </a:rPr>
                <a:t>Mono 34.5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400050</xdr:colOff>
          <xdr:row>0</xdr:row>
          <xdr:rowOff>114300</xdr:rowOff>
        </xdr:from>
        <xdr:to>
          <xdr:col>7</xdr:col>
          <xdr:colOff>504825</xdr:colOff>
          <xdr:row>0</xdr:row>
          <xdr:rowOff>476250</xdr:rowOff>
        </xdr:to>
        <xdr:sp macro="" textlink="">
          <xdr:nvSpPr>
            <xdr:cNvPr id="13325" name="Button 13" hidden="1">
              <a:extLst>
                <a:ext uri="{63B3BB69-23CF-44E3-9099-C40C66FF867C}">
                  <a14:compatExt spid="_x0000_s13325"/>
                </a:ext>
                <a:ext uri="{FF2B5EF4-FFF2-40B4-BE49-F238E27FC236}">
                  <a16:creationId xmlns:a16="http://schemas.microsoft.com/office/drawing/2014/main" id="{34D2E73F-3FC1-8C99-CDD8-720BD0EFC2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FF"/>
                  </a:solidFill>
                  <a:latin typeface="Bodoni MT Poster Compressed"/>
                </a:rPr>
                <a:t>Trif.  13.8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904875</xdr:colOff>
          <xdr:row>0</xdr:row>
          <xdr:rowOff>114300</xdr:rowOff>
        </xdr:from>
        <xdr:to>
          <xdr:col>3</xdr:col>
          <xdr:colOff>228600</xdr:colOff>
          <xdr:row>0</xdr:row>
          <xdr:rowOff>476250</xdr:rowOff>
        </xdr:to>
        <xdr:sp macro="" textlink="">
          <xdr:nvSpPr>
            <xdr:cNvPr id="13326" name="Button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DCBA7675-F158-FC76-3CC9-4700E9B445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Bodoni MT Poster Compressed"/>
                </a:rPr>
                <a:t>MATERIAIS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0</xdr:row>
          <xdr:rowOff>114300</xdr:rowOff>
        </xdr:from>
        <xdr:to>
          <xdr:col>4</xdr:col>
          <xdr:colOff>133350</xdr:colOff>
          <xdr:row>0</xdr:row>
          <xdr:rowOff>476250</xdr:rowOff>
        </xdr:to>
        <xdr:sp macro="" textlink="">
          <xdr:nvSpPr>
            <xdr:cNvPr id="13327" name="Button 15" hidden="1">
              <a:extLst>
                <a:ext uri="{63B3BB69-23CF-44E3-9099-C40C66FF867C}">
                  <a14:compatExt spid="_x0000_s13327"/>
                </a:ext>
                <a:ext uri="{FF2B5EF4-FFF2-40B4-BE49-F238E27FC236}">
                  <a16:creationId xmlns:a16="http://schemas.microsoft.com/office/drawing/2014/main" id="{9FF1D9B7-5DEA-E938-BB76-BE404C2E77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Bodoni MT Poster Compressed"/>
                </a:rPr>
                <a:t>EXTRAS EXTRAS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200025</xdr:colOff>
          <xdr:row>0</xdr:row>
          <xdr:rowOff>123825</xdr:rowOff>
        </xdr:from>
        <xdr:to>
          <xdr:col>5</xdr:col>
          <xdr:colOff>114300</xdr:colOff>
          <xdr:row>0</xdr:row>
          <xdr:rowOff>485775</xdr:rowOff>
        </xdr:to>
        <xdr:sp macro="" textlink="">
          <xdr:nvSpPr>
            <xdr:cNvPr id="13328" name="Button 16" hidden="1">
              <a:extLst>
                <a:ext uri="{63B3BB69-23CF-44E3-9099-C40C66FF867C}">
                  <a14:compatExt spid="_x0000_s13328"/>
                </a:ext>
                <a:ext uri="{FF2B5EF4-FFF2-40B4-BE49-F238E27FC236}">
                  <a16:creationId xmlns:a16="http://schemas.microsoft.com/office/drawing/2014/main" id="{E52FDEC0-D26C-EB47-BE6F-ACD48A2469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FF"/>
                  </a:solidFill>
                  <a:latin typeface="Bodoni MT Poster Compressed"/>
                </a:rPr>
                <a:t>Mono 13.8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0</xdr:row>
          <xdr:rowOff>114300</xdr:rowOff>
        </xdr:from>
        <xdr:to>
          <xdr:col>9</xdr:col>
          <xdr:colOff>123825</xdr:colOff>
          <xdr:row>0</xdr:row>
          <xdr:rowOff>476250</xdr:rowOff>
        </xdr:to>
        <xdr:sp macro="" textlink="">
          <xdr:nvSpPr>
            <xdr:cNvPr id="13329" name="Button 17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360ACDA6-07FD-138D-74FE-FF9A907C55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0" anchor="t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FF"/>
                  </a:solidFill>
                  <a:latin typeface="Bodoni MT Poster Compressed"/>
                </a:rPr>
                <a:t>Trif. 34.5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180975</xdr:colOff>
          <xdr:row>0</xdr:row>
          <xdr:rowOff>123825</xdr:rowOff>
        </xdr:from>
        <xdr:to>
          <xdr:col>12</xdr:col>
          <xdr:colOff>190500</xdr:colOff>
          <xdr:row>0</xdr:row>
          <xdr:rowOff>485775</xdr:rowOff>
        </xdr:to>
        <xdr:sp macro="" textlink="">
          <xdr:nvSpPr>
            <xdr:cNvPr id="13339" name="Button 2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id="{59A0091F-D7AC-727A-C6B8-A8E91910A4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0" anchor="t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FF0000"/>
                  </a:solidFill>
                  <a:latin typeface="Bodoni MT Poster Compressed"/>
                </a:rPr>
                <a:t> Estruturas  34.5kv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4</xdr:row>
          <xdr:rowOff>47625</xdr:rowOff>
        </xdr:from>
        <xdr:to>
          <xdr:col>3</xdr:col>
          <xdr:colOff>390525</xdr:colOff>
          <xdr:row>9</xdr:row>
          <xdr:rowOff>152400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D4BB11E9-486F-191C-1E75-34A18E2711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Monofásica 13.8kv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10</xdr:row>
          <xdr:rowOff>19050</xdr:rowOff>
        </xdr:from>
        <xdr:to>
          <xdr:col>3</xdr:col>
          <xdr:colOff>371475</xdr:colOff>
          <xdr:row>15</xdr:row>
          <xdr:rowOff>85725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1FCF607B-DEFF-F2AD-20CA-AEB1B989EB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Monofásica 34.5kv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447675</xdr:colOff>
          <xdr:row>4</xdr:row>
          <xdr:rowOff>47625</xdr:rowOff>
        </xdr:from>
        <xdr:to>
          <xdr:col>6</xdr:col>
          <xdr:colOff>133350</xdr:colOff>
          <xdr:row>9</xdr:row>
          <xdr:rowOff>152400</xdr:rowOff>
        </xdr:to>
        <xdr:sp macro="" textlink="">
          <xdr:nvSpPr>
            <xdr:cNvPr id="11274" name="Button 10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7272A4ED-64DA-7A6A-821C-D9187F98B1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pt-BR" sz="24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T</a:t>
              </a:r>
              <a:r>
                <a:rPr lang="pt-BR" sz="20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rifásica</a:t>
              </a:r>
              <a:r>
                <a:rPr lang="pt-BR" sz="24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 13.8kv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10</xdr:row>
          <xdr:rowOff>19050</xdr:rowOff>
        </xdr:from>
        <xdr:to>
          <xdr:col>6</xdr:col>
          <xdr:colOff>133350</xdr:colOff>
          <xdr:row>15</xdr:row>
          <xdr:rowOff>76200</xdr:rowOff>
        </xdr:to>
        <xdr:sp macro="" textlink="">
          <xdr:nvSpPr>
            <xdr:cNvPr id="11275" name="Button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926EF057-098E-E054-27F2-04008CC166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pt-BR" sz="24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T</a:t>
              </a:r>
              <a:r>
                <a:rPr lang="pt-BR" sz="20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rifásica</a:t>
              </a:r>
              <a:r>
                <a:rPr lang="pt-BR" sz="24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 34.5kv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6</xdr:row>
          <xdr:rowOff>76200</xdr:rowOff>
        </xdr:from>
        <xdr:to>
          <xdr:col>11</xdr:col>
          <xdr:colOff>495300</xdr:colOff>
          <xdr:row>14</xdr:row>
          <xdr:rowOff>85725</xdr:rowOff>
        </xdr:to>
        <xdr:sp macro="" textlink="">
          <xdr:nvSpPr>
            <xdr:cNvPr id="11276" name="Button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2B1B55AC-62F5-1F80-095D-465F706CEA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400" b="1" i="0" u="none" strike="noStrike" baseline="0">
                  <a:solidFill>
                    <a:srgbClr val="000000"/>
                  </a:solidFill>
                  <a:latin typeface="Agency FB"/>
                </a:rPr>
                <a:t>RELAÇÃO DOS </a:t>
              </a:r>
            </a:p>
            <a:p>
              <a:pPr algn="ctr" rtl="0">
                <a:defRPr sz="1000"/>
              </a:pPr>
              <a:r>
                <a:rPr lang="pt-BR" sz="2400" b="1" i="0" u="none" strike="noStrike" baseline="0">
                  <a:solidFill>
                    <a:srgbClr val="000000"/>
                  </a:solidFill>
                  <a:latin typeface="Agency FB"/>
                </a:rPr>
                <a:t>MATERIAIS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6</xdr:row>
          <xdr:rowOff>66675</xdr:rowOff>
        </xdr:from>
        <xdr:to>
          <xdr:col>9</xdr:col>
          <xdr:colOff>180975</xdr:colOff>
          <xdr:row>10</xdr:row>
          <xdr:rowOff>104775</xdr:rowOff>
        </xdr:to>
        <xdr:sp macro="" textlink="">
          <xdr:nvSpPr>
            <xdr:cNvPr id="11277" name="Button 13" hidden="1">
              <a:extLst>
                <a:ext uri="{63B3BB69-23CF-44E3-9099-C40C66FF867C}">
                  <a14:compatExt spid="_x0000_s11277"/>
                </a:ext>
                <a:ext uri="{FF2B5EF4-FFF2-40B4-BE49-F238E27FC236}">
                  <a16:creationId xmlns:a16="http://schemas.microsoft.com/office/drawing/2014/main" id="{30DBADA5-3074-5703-40C4-86CC399087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pt-BR" sz="2800" b="0" i="0" u="none" strike="noStrike" baseline="0">
                  <a:solidFill>
                    <a:srgbClr val="000000"/>
                  </a:solidFill>
                  <a:latin typeface="Algerian"/>
                </a:rPr>
                <a:t>EXTRAS</a:t>
              </a:r>
            </a:p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gency FB"/>
                </a:rPr>
                <a:t>PARA MONO E TRIFASICA CABO NÚ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14</xdr:row>
          <xdr:rowOff>133350</xdr:rowOff>
        </xdr:from>
        <xdr:to>
          <xdr:col>9</xdr:col>
          <xdr:colOff>171450</xdr:colOff>
          <xdr:row>16</xdr:row>
          <xdr:rowOff>114300</xdr:rowOff>
        </xdr:to>
        <xdr:sp macro="" textlink="">
          <xdr:nvSpPr>
            <xdr:cNvPr id="11278" name="Button 14" hidden="1">
              <a:extLst>
                <a:ext uri="{63B3BB69-23CF-44E3-9099-C40C66FF867C}">
                  <a14:compatExt spid="_x0000_s11278"/>
                </a:ext>
                <a:ext uri="{FF2B5EF4-FFF2-40B4-BE49-F238E27FC236}">
                  <a16:creationId xmlns:a16="http://schemas.microsoft.com/office/drawing/2014/main" id="{16EA8F6D-5864-A2A6-653C-34219CC12C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0" anchor="t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FF"/>
                  </a:solidFill>
                  <a:latin typeface="Bodoni MT Poster Compressed"/>
                </a:rPr>
                <a:t>Total das Estruturas 13.8kv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14</xdr:row>
          <xdr:rowOff>142875</xdr:rowOff>
        </xdr:from>
        <xdr:to>
          <xdr:col>11</xdr:col>
          <xdr:colOff>495300</xdr:colOff>
          <xdr:row>16</xdr:row>
          <xdr:rowOff>123825</xdr:rowOff>
        </xdr:to>
        <xdr:sp macro="" textlink="">
          <xdr:nvSpPr>
            <xdr:cNvPr id="11279" name="Button 15" hidden="1">
              <a:extLst>
                <a:ext uri="{63B3BB69-23CF-44E3-9099-C40C66FF867C}">
                  <a14:compatExt spid="_x0000_s11279"/>
                </a:ext>
                <a:ext uri="{FF2B5EF4-FFF2-40B4-BE49-F238E27FC236}">
                  <a16:creationId xmlns:a16="http://schemas.microsoft.com/office/drawing/2014/main" id="{09FE1711-38F9-5E5C-F853-68F2B66403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0" anchor="t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FF"/>
                  </a:solidFill>
                  <a:latin typeface="Bodoni MT Poster Compressed"/>
                </a:rPr>
                <a:t>Total das Estruturas 34.5kv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4</xdr:row>
          <xdr:rowOff>47625</xdr:rowOff>
        </xdr:from>
        <xdr:to>
          <xdr:col>9</xdr:col>
          <xdr:colOff>171450</xdr:colOff>
          <xdr:row>6</xdr:row>
          <xdr:rowOff>28575</xdr:rowOff>
        </xdr:to>
        <xdr:sp macro="" textlink="">
          <xdr:nvSpPr>
            <xdr:cNvPr id="11282" name="Button 18" hidden="1">
              <a:extLst>
                <a:ext uri="{63B3BB69-23CF-44E3-9099-C40C66FF867C}">
                  <a14:compatExt spid="_x0000_s11282"/>
                </a:ext>
                <a:ext uri="{FF2B5EF4-FFF2-40B4-BE49-F238E27FC236}">
                  <a16:creationId xmlns:a16="http://schemas.microsoft.com/office/drawing/2014/main" id="{7F8FDF4E-4D9F-1E01-705C-79F3822E37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FF"/>
                  </a:solidFill>
                  <a:latin typeface="Arial Narrow"/>
                </a:rPr>
                <a:t>REDE COMPACTA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4</xdr:row>
          <xdr:rowOff>47625</xdr:rowOff>
        </xdr:from>
        <xdr:to>
          <xdr:col>11</xdr:col>
          <xdr:colOff>495300</xdr:colOff>
          <xdr:row>6</xdr:row>
          <xdr:rowOff>28575</xdr:rowOff>
        </xdr:to>
        <xdr:sp macro="" textlink="">
          <xdr:nvSpPr>
            <xdr:cNvPr id="11283" name="Button 19" hidden="1">
              <a:extLst>
                <a:ext uri="{63B3BB69-23CF-44E3-9099-C40C66FF867C}">
                  <a14:compatExt spid="_x0000_s11283"/>
                </a:ext>
                <a:ext uri="{FF2B5EF4-FFF2-40B4-BE49-F238E27FC236}">
                  <a16:creationId xmlns:a16="http://schemas.microsoft.com/office/drawing/2014/main" id="{0396FFE5-918A-C3B2-585F-E29CC4044C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FF"/>
                  </a:solidFill>
                  <a:latin typeface="Arial Narrow"/>
                </a:rPr>
                <a:t>BT  ISOLADA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15</xdr:row>
          <xdr:rowOff>133350</xdr:rowOff>
        </xdr:from>
        <xdr:to>
          <xdr:col>3</xdr:col>
          <xdr:colOff>361950</xdr:colOff>
          <xdr:row>22</xdr:row>
          <xdr:rowOff>19050</xdr:rowOff>
        </xdr:to>
        <xdr:sp macro="" textlink="">
          <xdr:nvSpPr>
            <xdr:cNvPr id="11285" name="Button 21" hidden="1">
              <a:extLst>
                <a:ext uri="{63B3BB69-23CF-44E3-9099-C40C66FF867C}">
                  <a14:compatExt spid="_x0000_s11285"/>
                </a:ext>
                <a:ext uri="{FF2B5EF4-FFF2-40B4-BE49-F238E27FC236}">
                  <a16:creationId xmlns:a16="http://schemas.microsoft.com/office/drawing/2014/main" id="{911FD476-6121-9396-EE77-BD8706C1A3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RELIGADOR TIPO "ESV" COOPER POWER - NTD-RE 006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180975</xdr:colOff>
          <xdr:row>2</xdr:row>
          <xdr:rowOff>95250</xdr:rowOff>
        </xdr:from>
        <xdr:to>
          <xdr:col>9</xdr:col>
          <xdr:colOff>66675</xdr:colOff>
          <xdr:row>3</xdr:row>
          <xdr:rowOff>180975</xdr:rowOff>
        </xdr:to>
        <xdr:sp macro="" textlink="">
          <xdr:nvSpPr>
            <xdr:cNvPr id="11289" name="Button 25" hidden="1">
              <a:extLst>
                <a:ext uri="{63B3BB69-23CF-44E3-9099-C40C66FF867C}">
                  <a14:compatExt spid="_x0000_s11289"/>
                </a:ext>
                <a:ext uri="{FF2B5EF4-FFF2-40B4-BE49-F238E27FC236}">
                  <a16:creationId xmlns:a16="http://schemas.microsoft.com/office/drawing/2014/main" id="{175AABE3-62CA-EBE8-E9B5-3AD3B1FF86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FF0000"/>
                  </a:solidFill>
                  <a:latin typeface="Cambria"/>
                  <a:ea typeface="Cambria"/>
                </a:rPr>
                <a:t>CLIQUE NA OPÇÃO DESEJADA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16</xdr:row>
          <xdr:rowOff>161925</xdr:rowOff>
        </xdr:from>
        <xdr:to>
          <xdr:col>11</xdr:col>
          <xdr:colOff>495300</xdr:colOff>
          <xdr:row>22</xdr:row>
          <xdr:rowOff>38100</xdr:rowOff>
        </xdr:to>
        <xdr:sp macro="" textlink="">
          <xdr:nvSpPr>
            <xdr:cNvPr id="11290" name="Button 26" hidden="1">
              <a:extLst>
                <a:ext uri="{63B3BB69-23CF-44E3-9099-C40C66FF867C}">
                  <a14:compatExt spid="_x0000_s11290"/>
                </a:ext>
                <a:ext uri="{FF2B5EF4-FFF2-40B4-BE49-F238E27FC236}">
                  <a16:creationId xmlns:a16="http://schemas.microsoft.com/office/drawing/2014/main" id="{3FFEF12B-FEF8-EC1D-3A96-6E6EFE39DE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800" b="1" i="0" u="none" strike="noStrike" baseline="0">
                  <a:solidFill>
                    <a:srgbClr val="0000FF"/>
                  </a:solidFill>
                  <a:latin typeface="Agency FB"/>
                </a:rPr>
                <a:t>T</a:t>
              </a:r>
              <a:r>
                <a:rPr lang="pt-BR" sz="1600" b="1" i="0" u="none" strike="noStrike" baseline="0">
                  <a:solidFill>
                    <a:srgbClr val="0000FF"/>
                  </a:solidFill>
                  <a:latin typeface="Agency FB"/>
                </a:rPr>
                <a:t>RAFOS P/ REDES COMPACTAS e BTs</a:t>
              </a:r>
            </a:p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FF"/>
                  </a:solidFill>
                  <a:latin typeface="Agency FB"/>
                </a:rPr>
                <a:t>ISOLADAS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447675</xdr:colOff>
          <xdr:row>15</xdr:row>
          <xdr:rowOff>142875</xdr:rowOff>
        </xdr:from>
        <xdr:to>
          <xdr:col>6</xdr:col>
          <xdr:colOff>123825</xdr:colOff>
          <xdr:row>22</xdr:row>
          <xdr:rowOff>19050</xdr:rowOff>
        </xdr:to>
        <xdr:sp macro="" textlink="">
          <xdr:nvSpPr>
            <xdr:cNvPr id="11291" name="Button 27" hidden="1">
              <a:extLst>
                <a:ext uri="{63B3BB69-23CF-44E3-9099-C40C66FF867C}">
                  <a14:compatExt spid="_x0000_s11291"/>
                </a:ext>
                <a:ext uri="{FF2B5EF4-FFF2-40B4-BE49-F238E27FC236}">
                  <a16:creationId xmlns:a16="http://schemas.microsoft.com/office/drawing/2014/main" id="{AC5993C6-947C-1599-7D57-CA0B9054E9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RELIGADOR TIPO "NOVA" COOPER POWER SYSTEMS  NTD-RE 002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10</xdr:row>
          <xdr:rowOff>142875</xdr:rowOff>
        </xdr:from>
        <xdr:to>
          <xdr:col>9</xdr:col>
          <xdr:colOff>180975</xdr:colOff>
          <xdr:row>14</xdr:row>
          <xdr:rowOff>85725</xdr:rowOff>
        </xdr:to>
        <xdr:sp macro="" textlink="">
          <xdr:nvSpPr>
            <xdr:cNvPr id="11295" name="Button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D6D147EF-6322-A4A2-0C96-218887903D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pt-BR" sz="2800" b="0" i="0" u="none" strike="noStrike" baseline="0">
                  <a:solidFill>
                    <a:srgbClr val="800000"/>
                  </a:solidFill>
                  <a:latin typeface="Cambria"/>
                  <a:ea typeface="Cambria"/>
                </a:rPr>
                <a:t>EXTRAS</a:t>
              </a:r>
            </a:p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800000"/>
                  </a:solidFill>
                  <a:latin typeface="Agency FB"/>
                </a:rPr>
                <a:t>PARA COMPACTA e BT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19</xdr:row>
          <xdr:rowOff>38100</xdr:rowOff>
        </xdr:from>
        <xdr:to>
          <xdr:col>9</xdr:col>
          <xdr:colOff>171450</xdr:colOff>
          <xdr:row>22</xdr:row>
          <xdr:rowOff>38100</xdr:rowOff>
        </xdr:to>
        <xdr:sp macro="" textlink="">
          <xdr:nvSpPr>
            <xdr:cNvPr id="11296" name="Button 32" hidden="1">
              <a:extLst>
                <a:ext uri="{63B3BB69-23CF-44E3-9099-C40C66FF867C}">
                  <a14:compatExt spid="_x0000_s11296"/>
                </a:ext>
                <a:ext uri="{FF2B5EF4-FFF2-40B4-BE49-F238E27FC236}">
                  <a16:creationId xmlns:a16="http://schemas.microsoft.com/office/drawing/2014/main" id="{AAFF6310-5D42-DF5E-A4DE-AC75A3B71A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2400" b="0" i="0" u="none" strike="noStrike" baseline="0">
                  <a:solidFill>
                    <a:srgbClr val="800080"/>
                  </a:solidFill>
                  <a:latin typeface="Bodoni MT Poster Compressed"/>
                </a:rPr>
                <a:t>SE </a:t>
              </a:r>
              <a:r>
                <a:rPr lang="pt-BR" sz="1600" b="0" i="0" u="none" strike="noStrike" baseline="0">
                  <a:solidFill>
                    <a:srgbClr val="800080"/>
                  </a:solidFill>
                  <a:latin typeface="Bodoni MT Poster Compressed"/>
                </a:rPr>
                <a:t> AO TEMPO  34.5kv - NDU 002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16</xdr:row>
          <xdr:rowOff>161925</xdr:rowOff>
        </xdr:from>
        <xdr:to>
          <xdr:col>9</xdr:col>
          <xdr:colOff>161925</xdr:colOff>
          <xdr:row>19</xdr:row>
          <xdr:rowOff>0</xdr:rowOff>
        </xdr:to>
        <xdr:sp macro="" textlink="">
          <xdr:nvSpPr>
            <xdr:cNvPr id="11297" name="Button 33" hidden="1">
              <a:extLst>
                <a:ext uri="{63B3BB69-23CF-44E3-9099-C40C66FF867C}">
                  <a14:compatExt spid="_x0000_s11297"/>
                </a:ext>
                <a:ext uri="{FF2B5EF4-FFF2-40B4-BE49-F238E27FC236}">
                  <a16:creationId xmlns:a16="http://schemas.microsoft.com/office/drawing/2014/main" id="{82321D76-1C2B-2DA8-486D-2EDC4D5877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FF"/>
                  </a:solidFill>
                  <a:latin typeface="Bodoni MT Poster Compressed"/>
                </a:rPr>
                <a:t>MEDIÇÃO EM MT 34.5 KV - NTE 014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22</xdr:row>
          <xdr:rowOff>95250</xdr:rowOff>
        </xdr:from>
        <xdr:to>
          <xdr:col>3</xdr:col>
          <xdr:colOff>371475</xdr:colOff>
          <xdr:row>25</xdr:row>
          <xdr:rowOff>47625</xdr:rowOff>
        </xdr:to>
        <xdr:sp macro="" textlink="">
          <xdr:nvSpPr>
            <xdr:cNvPr id="11298" name="Button 34" hidden="1">
              <a:extLst>
                <a:ext uri="{63B3BB69-23CF-44E3-9099-C40C66FF867C}">
                  <a14:compatExt spid="_x0000_s11298"/>
                </a:ext>
                <a:ext uri="{FF2B5EF4-FFF2-40B4-BE49-F238E27FC236}">
                  <a16:creationId xmlns:a16="http://schemas.microsoft.com/office/drawing/2014/main" id="{1B55198C-68C3-14D6-833C-3C08D3CDB4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300" b="1" i="0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REGULADORES DE TENSÃO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428625</xdr:colOff>
          <xdr:row>22</xdr:row>
          <xdr:rowOff>95250</xdr:rowOff>
        </xdr:from>
        <xdr:to>
          <xdr:col>8</xdr:col>
          <xdr:colOff>47625</xdr:colOff>
          <xdr:row>25</xdr:row>
          <xdr:rowOff>38100</xdr:rowOff>
        </xdr:to>
        <xdr:sp macro="" textlink="">
          <xdr:nvSpPr>
            <xdr:cNvPr id="11299" name="Button 35" hidden="1">
              <a:extLst>
                <a:ext uri="{63B3BB69-23CF-44E3-9099-C40C66FF867C}">
                  <a14:compatExt spid="_x0000_s11299"/>
                </a:ext>
                <a:ext uri="{FF2B5EF4-FFF2-40B4-BE49-F238E27FC236}">
                  <a16:creationId xmlns:a16="http://schemas.microsoft.com/office/drawing/2014/main" id="{22B47C84-C6F9-3920-A782-C32E83E194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0000" tIns="46800" rIns="90000" bIns="46800" anchor="ctr" upright="1"/>
            <a:lstStyle/>
            <a:p>
              <a:pPr algn="ctr" rtl="0">
                <a:defRPr sz="1000"/>
              </a:pPr>
              <a:r>
                <a:rPr lang="pt-BR" sz="1600" b="0" i="0" u="sng" strike="noStrike" baseline="0">
                  <a:solidFill>
                    <a:srgbClr val="0000FF"/>
                  </a:solidFill>
                  <a:latin typeface="Franklin Gothic Demi"/>
                </a:rPr>
                <a:t>ILUMINAÇÃO PÚBLICA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24</xdr:row>
          <xdr:rowOff>9525</xdr:rowOff>
        </xdr:from>
        <xdr:to>
          <xdr:col>0</xdr:col>
          <xdr:colOff>304800</xdr:colOff>
          <xdr:row>26</xdr:row>
          <xdr:rowOff>0</xdr:rowOff>
        </xdr:to>
        <xdr:sp macro="" textlink="">
          <xdr:nvSpPr>
            <xdr:cNvPr id="11300" name="Button 36" hidden="1">
              <a:extLst>
                <a:ext uri="{63B3BB69-23CF-44E3-9099-C40C66FF867C}">
                  <a14:compatExt spid="_x0000_s11300"/>
                </a:ext>
                <a:ext uri="{FF2B5EF4-FFF2-40B4-BE49-F238E27FC236}">
                  <a16:creationId xmlns:a16="http://schemas.microsoft.com/office/drawing/2014/main" id="{FFDC86BC-9A65-FE25-02E6-B9079302A5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pt-BR"/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571500</xdr:colOff>
      <xdr:row>6</xdr:row>
      <xdr:rowOff>95250</xdr:rowOff>
    </xdr:from>
    <xdr:to>
      <xdr:col>8</xdr:col>
      <xdr:colOff>85725</xdr:colOff>
      <xdr:row>6</xdr:row>
      <xdr:rowOff>219076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CxnSpPr/>
      </xdr:nvCxnSpPr>
      <xdr:spPr>
        <a:xfrm flipV="1">
          <a:off x="8620125" y="1104900"/>
          <a:ext cx="152400" cy="114301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600075</xdr:colOff>
      <xdr:row>7</xdr:row>
      <xdr:rowOff>114300</xdr:rowOff>
    </xdr:from>
    <xdr:to>
      <xdr:col>8</xdr:col>
      <xdr:colOff>95250</xdr:colOff>
      <xdr:row>7</xdr:row>
      <xdr:rowOff>114301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CxnSpPr/>
      </xdr:nvCxnSpPr>
      <xdr:spPr>
        <a:xfrm flipV="1">
          <a:off x="8648700" y="1352550"/>
          <a:ext cx="133350" cy="1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552450</xdr:colOff>
      <xdr:row>8</xdr:row>
      <xdr:rowOff>57151</xdr:rowOff>
    </xdr:from>
    <xdr:to>
      <xdr:col>8</xdr:col>
      <xdr:colOff>95250</xdr:colOff>
      <xdr:row>8</xdr:row>
      <xdr:rowOff>142875</xdr:rowOff>
    </xdr:to>
    <xdr:cxnSp macro="">
      <xdr:nvCxnSpPr>
        <xdr:cNvPr id="4" name="Conector de seta reta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CxnSpPr/>
      </xdr:nvCxnSpPr>
      <xdr:spPr>
        <a:xfrm>
          <a:off x="8601075" y="1533526"/>
          <a:ext cx="180975" cy="76199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133350</xdr:rowOff>
        </xdr:from>
        <xdr:to>
          <xdr:col>1</xdr:col>
          <xdr:colOff>1162050</xdr:colOff>
          <xdr:row>5</xdr:row>
          <xdr:rowOff>171450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1F2828E-F8FC-41AD-E223-394A9154AB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VOLTAR</a:t>
              </a:r>
            </a:p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AO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7</xdr:row>
          <xdr:rowOff>133350</xdr:rowOff>
        </xdr:from>
        <xdr:to>
          <xdr:col>1</xdr:col>
          <xdr:colOff>1152525</xdr:colOff>
          <xdr:row>11</xdr:row>
          <xdr:rowOff>266700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6F88F5A5-1D60-C5BF-917A-3325696EEA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400" b="1" i="0" u="none" strike="noStrike" baseline="0">
                  <a:solidFill>
                    <a:srgbClr val="000000"/>
                  </a:solidFill>
                  <a:latin typeface="Agency FB"/>
                </a:rPr>
                <a:t>RELAÇÃO DOS </a:t>
              </a:r>
            </a:p>
            <a:p>
              <a:pPr algn="ctr" rtl="0">
                <a:defRPr sz="1000"/>
              </a:pPr>
              <a:r>
                <a:rPr lang="pt-BR" sz="2400" b="1" i="0" u="none" strike="noStrike" baseline="0">
                  <a:solidFill>
                    <a:srgbClr val="000000"/>
                  </a:solidFill>
                  <a:latin typeface="Agency FB"/>
                </a:rPr>
                <a:t>MATERIAIS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1</xdr:row>
          <xdr:rowOff>57150</xdr:rowOff>
        </xdr:from>
        <xdr:to>
          <xdr:col>5</xdr:col>
          <xdr:colOff>104775</xdr:colOff>
          <xdr:row>4</xdr:row>
          <xdr:rowOff>85725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6CF5030E-0E5E-FF22-F858-CA9D600ED4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VOLTAR</a:t>
              </a:r>
            </a:p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AO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180975</xdr:rowOff>
        </xdr:from>
        <xdr:to>
          <xdr:col>5</xdr:col>
          <xdr:colOff>104775</xdr:colOff>
          <xdr:row>10</xdr:row>
          <xdr:rowOff>9525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657165B7-988A-1164-E527-DB55B95450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400" b="1" i="0" u="none" strike="noStrike" baseline="0">
                  <a:solidFill>
                    <a:srgbClr val="000000"/>
                  </a:solidFill>
                  <a:latin typeface="Agency FB"/>
                </a:rPr>
                <a:t>RELAÇÃO DOS </a:t>
              </a:r>
            </a:p>
            <a:p>
              <a:pPr algn="ctr" rtl="0">
                <a:defRPr sz="1000"/>
              </a:pPr>
              <a:r>
                <a:rPr lang="pt-BR" sz="2400" b="1" i="0" u="none" strike="noStrike" baseline="0">
                  <a:solidFill>
                    <a:srgbClr val="000000"/>
                  </a:solidFill>
                  <a:latin typeface="Agency FB"/>
                </a:rPr>
                <a:t>MATERIAIS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10</xdr:row>
          <xdr:rowOff>85725</xdr:rowOff>
        </xdr:from>
        <xdr:to>
          <xdr:col>5</xdr:col>
          <xdr:colOff>161925</xdr:colOff>
          <xdr:row>15</xdr:row>
          <xdr:rowOff>76200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5A5440F7-5EDE-1186-A49E-47EE7C2557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RELIGADOR TIPO "ESV" COOPER POWER - NTD-RE 006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1</xdr:row>
          <xdr:rowOff>47625</xdr:rowOff>
        </xdr:from>
        <xdr:to>
          <xdr:col>5</xdr:col>
          <xdr:colOff>95250</xdr:colOff>
          <xdr:row>4</xdr:row>
          <xdr:rowOff>238125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A6365025-7401-D28D-FE36-E0763772C3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VOLTAR</a:t>
              </a:r>
            </a:p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AO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4</xdr:row>
          <xdr:rowOff>342900</xdr:rowOff>
        </xdr:from>
        <xdr:to>
          <xdr:col>5</xdr:col>
          <xdr:colOff>85725</xdr:colOff>
          <xdr:row>10</xdr:row>
          <xdr:rowOff>161925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75D7141-63A7-605F-2192-40A573AD05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400" b="1" i="0" u="none" strike="noStrike" baseline="0">
                  <a:solidFill>
                    <a:srgbClr val="000000"/>
                  </a:solidFill>
                  <a:latin typeface="Agency FB"/>
                </a:rPr>
                <a:t>RELAÇÃO DOS </a:t>
              </a:r>
            </a:p>
            <a:p>
              <a:pPr algn="ctr" rtl="0">
                <a:defRPr sz="1000"/>
              </a:pPr>
              <a:r>
                <a:rPr lang="pt-BR" sz="2400" b="1" i="0" u="none" strike="noStrike" baseline="0">
                  <a:solidFill>
                    <a:srgbClr val="000000"/>
                  </a:solidFill>
                  <a:latin typeface="Agency FB"/>
                </a:rPr>
                <a:t>MATERIAIS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11</xdr:row>
          <xdr:rowOff>57150</xdr:rowOff>
        </xdr:from>
        <xdr:to>
          <xdr:col>5</xdr:col>
          <xdr:colOff>161925</xdr:colOff>
          <xdr:row>16</xdr:row>
          <xdr:rowOff>47625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7FD6BF46-4129-691B-45B0-32EC8B57DF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RELIGADOR TIPO "NOVA" COOPER POWER SYSTEMS  NTD-RE 002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85725</xdr:rowOff>
        </xdr:from>
        <xdr:to>
          <xdr:col>11</xdr:col>
          <xdr:colOff>219075</xdr:colOff>
          <xdr:row>19</xdr:row>
          <xdr:rowOff>0</xdr:rowOff>
        </xdr:to>
        <xdr:sp macro="" textlink="">
          <xdr:nvSpPr>
            <xdr:cNvPr id="22539" name="Button 11" descr="FECHAMENTO DE OBRA&#10;              LPT" hidden="1">
              <a:extLst>
                <a:ext uri="{63B3BB69-23CF-44E3-9099-C40C66FF867C}">
                  <a14:compatExt spid="_x0000_s22539"/>
                </a:ext>
                <a:ext uri="{FF2B5EF4-FFF2-40B4-BE49-F238E27FC236}">
                  <a16:creationId xmlns:a16="http://schemas.microsoft.com/office/drawing/2014/main" id="{C7C9B1DC-8501-0EB0-BF13-74594A3334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36000" rIns="90000" bIns="406800" anchor="ctr" upright="1"/>
            <a:lstStyle/>
            <a:p>
              <a:pPr algn="ctr" rtl="0">
                <a:defRPr sz="1000"/>
              </a:pPr>
              <a:r>
                <a:rPr lang="pt-BR" sz="2200" b="1" i="0" u="none" strike="noStrike" baseline="0">
                  <a:solidFill>
                    <a:srgbClr val="800000"/>
                  </a:solidFill>
                  <a:latin typeface="Bodoni MT Condensed"/>
                </a:rPr>
                <a:t>PLANILHA GERADORA DE RELAÇÃO DOS MATERIAIS DE ESTRUTURAS</a:t>
              </a:r>
            </a:p>
            <a:p>
              <a:pPr algn="ctr" rtl="0">
                <a:defRPr sz="1000"/>
              </a:pPr>
              <a:r>
                <a:rPr lang="pt-BR" sz="2200" b="1" i="0" u="none" strike="noStrike" baseline="0">
                  <a:solidFill>
                    <a:srgbClr val="800000"/>
                  </a:solidFill>
                  <a:latin typeface="Bodoni MT Condensed"/>
                </a:rPr>
                <a:t>DE REDES DE ENERGIA ELÉTRICA PADRÃO MATO GROSSO</a:t>
              </a:r>
            </a:p>
            <a:p>
              <a:pPr algn="ctr" rtl="0">
                <a:defRPr sz="1000"/>
              </a:pPr>
              <a:r>
                <a:rPr lang="pt-BR" sz="8000" b="0" i="0" u="none" strike="noStrike" baseline="0">
                  <a:solidFill>
                    <a:srgbClr val="0000FF"/>
                  </a:solidFill>
                  <a:latin typeface="DARLING"/>
                </a:rPr>
                <a:t>PGRME</a:t>
              </a:r>
              <a:endParaRPr lang="pt-BR" sz="3100" b="0" i="0" u="none" strike="noStrike" baseline="0">
                <a:solidFill>
                  <a:srgbClr val="333333"/>
                </a:solidFill>
                <a:latin typeface="Bodoni MT Poster Compressed"/>
              </a:endParaRPr>
            </a:p>
            <a:p>
              <a:pPr algn="ctr" rtl="0">
                <a:defRPr sz="1000"/>
              </a:pPr>
              <a:endParaRPr lang="pt-BR" sz="3100" b="0" i="0" u="none" strike="noStrike" baseline="0">
                <a:solidFill>
                  <a:srgbClr val="333333"/>
                </a:solidFill>
                <a:latin typeface="Bodoni MT Poster Compressed"/>
              </a:endParaRPr>
            </a:p>
            <a:p>
              <a:pPr algn="ctr" rtl="0">
                <a:defRPr sz="1000"/>
              </a:pPr>
              <a:r>
                <a:rPr lang="pt-BR" sz="2500" b="1" i="0" u="none" strike="noStrike" baseline="0">
                  <a:solidFill>
                    <a:srgbClr val="333333"/>
                  </a:solidFill>
                  <a:latin typeface="Bodoni MT Poster Compressed"/>
                </a:rPr>
                <a:t>Clique aqui para iniciar salvando o arquivo com o nome da obra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561975</xdr:colOff>
          <xdr:row>17</xdr:row>
          <xdr:rowOff>19050</xdr:rowOff>
        </xdr:from>
        <xdr:to>
          <xdr:col>11</xdr:col>
          <xdr:colOff>219075</xdr:colOff>
          <xdr:row>19</xdr:row>
          <xdr:rowOff>0</xdr:rowOff>
        </xdr:to>
        <xdr:sp macro="" textlink="">
          <xdr:nvSpPr>
            <xdr:cNvPr id="22540" name="Button 12" hidden="1">
              <a:extLst>
                <a:ext uri="{63B3BB69-23CF-44E3-9099-C40C66FF867C}">
                  <a14:compatExt spid="_x0000_s22540"/>
                </a:ext>
                <a:ext uri="{FF2B5EF4-FFF2-40B4-BE49-F238E27FC236}">
                  <a16:creationId xmlns:a16="http://schemas.microsoft.com/office/drawing/2014/main" id="{03B06C2C-A9C8-C91C-DC93-359DC4F539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pt-BR"/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133350</xdr:colOff>
      <xdr:row>5</xdr:row>
      <xdr:rowOff>180975</xdr:rowOff>
    </xdr:from>
    <xdr:to>
      <xdr:col>10</xdr:col>
      <xdr:colOff>352425</xdr:colOff>
      <xdr:row>11</xdr:row>
      <xdr:rowOff>104775</xdr:rowOff>
    </xdr:to>
    <xdr:pic macro="[0]!Macro1">
      <xdr:nvPicPr>
        <xdr:cNvPr id="22541" name="Imagem 3">
          <a:extLst>
            <a:ext uri="{FF2B5EF4-FFF2-40B4-BE49-F238E27FC236}">
              <a16:creationId xmlns:a16="http://schemas.microsoft.com/office/drawing/2014/main" id="{69851E29-1C6B-1FED-F601-F44FE52EB9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050" y="1200150"/>
          <a:ext cx="5705475" cy="1200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47625</xdr:rowOff>
        </xdr:from>
        <xdr:to>
          <xdr:col>1</xdr:col>
          <xdr:colOff>581025</xdr:colOff>
          <xdr:row>6</xdr:row>
          <xdr:rowOff>57150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18A78EF4-FA63-FB38-1881-807D750279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VOLTAR</a:t>
              </a:r>
            </a:p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AO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6</xdr:row>
          <xdr:rowOff>180975</xdr:rowOff>
        </xdr:from>
        <xdr:to>
          <xdr:col>2</xdr:col>
          <xdr:colOff>9525</xdr:colOff>
          <xdr:row>12</xdr:row>
          <xdr:rowOff>161925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7BEFA922-8D26-DED2-3BAE-0575C53C02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2000" b="1" i="0" u="none" strike="noStrike" baseline="0">
                  <a:solidFill>
                    <a:srgbClr val="000000"/>
                  </a:solidFill>
                  <a:latin typeface="Agency FB"/>
                </a:rPr>
                <a:t>RELAÇÃO DOS </a:t>
              </a:r>
            </a:p>
            <a:p>
              <a:pPr algn="ctr" rtl="0">
                <a:defRPr sz="1000"/>
              </a:pPr>
              <a:r>
                <a:rPr lang="pt-BR" sz="2000" b="1" i="0" u="none" strike="noStrike" baseline="0">
                  <a:solidFill>
                    <a:srgbClr val="000000"/>
                  </a:solidFill>
                  <a:latin typeface="Agency FB"/>
                </a:rPr>
                <a:t>MATERIAIS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28570</xdr:colOff>
      <xdr:row>5</xdr:row>
      <xdr:rowOff>76200</xdr:rowOff>
    </xdr:from>
    <xdr:to>
      <xdr:col>5</xdr:col>
      <xdr:colOff>4400549</xdr:colOff>
      <xdr:row>6</xdr:row>
      <xdr:rowOff>123825</xdr:rowOff>
    </xdr:to>
    <xdr:sp macro="" textlink="">
      <xdr:nvSpPr>
        <xdr:cNvPr id="2" name="Seta para a direita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 rot="10800000" flipV="1">
          <a:off x="3876670" y="1295400"/>
          <a:ext cx="4400554" cy="419100"/>
        </a:xfrm>
        <a:prstGeom prst="rightArrow">
          <a:avLst>
            <a:gd name="adj1" fmla="val 50000"/>
            <a:gd name="adj2" fmla="val 242637"/>
          </a:avLst>
        </a:prstGeom>
        <a:solidFill>
          <a:srgbClr val="00B0F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000" b="1">
              <a:solidFill>
                <a:schemeClr val="tx1"/>
              </a:solidFill>
            </a:rPr>
            <a:t>INSIRA A </a:t>
          </a:r>
          <a:r>
            <a:rPr lang="pt-BR" sz="1000" b="1" baseline="0">
              <a:solidFill>
                <a:schemeClr val="tx1"/>
              </a:solidFill>
            </a:rPr>
            <a:t>QUANTIDADE NO SEU RESPECTIVO MODELO </a:t>
          </a:r>
          <a:endParaRPr lang="pt-BR" sz="10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1</xdr:row>
          <xdr:rowOff>0</xdr:rowOff>
        </xdr:from>
        <xdr:to>
          <xdr:col>0</xdr:col>
          <xdr:colOff>1285875</xdr:colOff>
          <xdr:row>2</xdr:row>
          <xdr:rowOff>171450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CDE4F730-0B67-F48B-4D1B-C4A9AA8AE3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VOLTAR</a:t>
              </a:r>
            </a:p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AO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3</xdr:row>
          <xdr:rowOff>57150</xdr:rowOff>
        </xdr:from>
        <xdr:to>
          <xdr:col>0</xdr:col>
          <xdr:colOff>1276350</xdr:colOff>
          <xdr:row>7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4B9FCE48-A1DA-5B4C-3D30-AC508533E3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800" b="1" i="0" u="none" strike="noStrike" baseline="0">
                  <a:solidFill>
                    <a:srgbClr val="000000"/>
                  </a:solidFill>
                  <a:latin typeface="Agency FB"/>
                </a:rPr>
                <a:t>RELAÇÃO DOS </a:t>
              </a:r>
            </a:p>
            <a:p>
              <a:pPr algn="ctr" rtl="0">
                <a:defRPr sz="1000"/>
              </a:pPr>
              <a:r>
                <a:rPr lang="pt-BR" sz="1800" b="1" i="0" u="none" strike="noStrike" baseline="0">
                  <a:solidFill>
                    <a:srgbClr val="000000"/>
                  </a:solidFill>
                  <a:latin typeface="Agency FB"/>
                </a:rPr>
                <a:t>MATERIAIS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7</xdr:row>
          <xdr:rowOff>142875</xdr:rowOff>
        </xdr:from>
        <xdr:to>
          <xdr:col>2</xdr:col>
          <xdr:colOff>304800</xdr:colOff>
          <xdr:row>9</xdr:row>
          <xdr:rowOff>76200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BD75ED26-A398-63B9-F0EB-7B17D205C3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FF0000"/>
                  </a:solidFill>
                  <a:latin typeface="Cambria"/>
                  <a:ea typeface="Cambria"/>
                </a:rPr>
                <a:t>Volta ao Menu Principal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F&#243;rmulas\rodebra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Users\SEVEN\AppData\Local\Temp\Rar$DIa0.433\F&#243;rmul%20Or&#231;amento%20de%20Redes%2013.8Kv,%2034.5Kv,%20Compacta%20e%20B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ono 13,8kv"/>
      <sheetName val="Mono 34,5kv"/>
      <sheetName val="Trifásico 13,8kv "/>
      <sheetName val="Trifásico 34,5kv"/>
      <sheetName val="Transformadores"/>
      <sheetName val="Estruturas 34,5kv"/>
      <sheetName val="Compcta"/>
      <sheetName val="BT-SI"/>
      <sheetName val="EXTRAS (2)"/>
      <sheetName val="ILUMINAÇÃO PUBLICA"/>
      <sheetName val="EXTRAS"/>
      <sheetName val="Estruturas 13,8kv"/>
      <sheetName val="Materiais e Valores"/>
      <sheetName val="Materiais de Medições compacta"/>
      <sheetName val="Materiais de Medições"/>
      <sheetName val="MEDIDÇÕES TRIFÁSICAS"/>
      <sheetName val="Menu"/>
      <sheetName val="MEDIÇÃO AT 34.5KV"/>
      <sheetName val="RELIGADOR NOVA C.P.S"/>
      <sheetName val="RELIGADOR 13.8 e 34.5KV"/>
      <sheetName val="Plan1"/>
      <sheetName val="Subestação 34,5kv"/>
      <sheetName val="REGULADORES"/>
    </sheetNames>
    <sheetDataSet>
      <sheetData sheetId="0"/>
      <sheetData sheetId="1"/>
      <sheetData sheetId="2"/>
      <sheetData sheetId="3"/>
      <sheetData sheetId="4"/>
      <sheetData sheetId="5"/>
      <sheetData sheetId="6">
        <row r="7">
          <cell r="BI7"/>
          <cell r="BJ7"/>
          <cell r="BK7"/>
          <cell r="BL7"/>
          <cell r="BM7"/>
          <cell r="BN7"/>
          <cell r="BO7"/>
          <cell r="BP7"/>
          <cell r="BQ7"/>
          <cell r="BT7"/>
          <cell r="BU7"/>
          <cell r="BV7"/>
          <cell r="BW7"/>
          <cell r="BX7"/>
          <cell r="BY7"/>
          <cell r="BZ7"/>
          <cell r="CA7"/>
          <cell r="CB7"/>
          <cell r="DS7"/>
          <cell r="DT7"/>
          <cell r="DU7"/>
          <cell r="DX7"/>
          <cell r="DY7"/>
          <cell r="DZ7"/>
          <cell r="EM7"/>
          <cell r="EN7"/>
          <cell r="EO7"/>
        </row>
        <row r="8">
          <cell r="BI8"/>
          <cell r="BJ8"/>
          <cell r="BK8"/>
          <cell r="BL8"/>
          <cell r="BM8"/>
          <cell r="BN8"/>
          <cell r="BO8"/>
          <cell r="BP8"/>
          <cell r="BQ8"/>
          <cell r="BT8"/>
          <cell r="BU8"/>
          <cell r="BV8"/>
          <cell r="BW8"/>
          <cell r="BX8"/>
          <cell r="BY8"/>
          <cell r="BZ8"/>
          <cell r="CA8"/>
          <cell r="CB8"/>
          <cell r="DS8"/>
          <cell r="DT8"/>
          <cell r="DU8"/>
          <cell r="DX8"/>
          <cell r="DY8"/>
          <cell r="DZ8"/>
          <cell r="EM8"/>
          <cell r="EN8"/>
          <cell r="EO8"/>
        </row>
        <row r="9">
          <cell r="BI9"/>
          <cell r="BJ9"/>
          <cell r="BK9"/>
          <cell r="BL9"/>
          <cell r="BM9"/>
          <cell r="BN9"/>
          <cell r="BO9"/>
          <cell r="BP9"/>
          <cell r="BQ9"/>
          <cell r="BT9"/>
          <cell r="BU9"/>
          <cell r="BV9"/>
          <cell r="BW9"/>
          <cell r="BX9"/>
          <cell r="BY9"/>
          <cell r="BZ9"/>
          <cell r="CA9"/>
          <cell r="CB9"/>
          <cell r="DS9"/>
          <cell r="DT9"/>
          <cell r="DU9"/>
          <cell r="DX9"/>
          <cell r="DY9"/>
          <cell r="DZ9"/>
          <cell r="EM9"/>
          <cell r="EN9"/>
          <cell r="EO9"/>
        </row>
        <row r="10">
          <cell r="BI10"/>
          <cell r="BJ10"/>
          <cell r="BK10"/>
          <cell r="BL10"/>
          <cell r="BM10"/>
          <cell r="BN10"/>
          <cell r="BO10"/>
          <cell r="BP10"/>
          <cell r="BQ10"/>
          <cell r="BT10"/>
          <cell r="BU10"/>
          <cell r="BV10"/>
          <cell r="BW10"/>
          <cell r="BX10"/>
          <cell r="BY10"/>
          <cell r="BZ10"/>
          <cell r="CA10"/>
          <cell r="CB10"/>
          <cell r="DS10"/>
          <cell r="DT10"/>
          <cell r="DU10"/>
          <cell r="DX10"/>
          <cell r="DY10"/>
          <cell r="DZ10"/>
          <cell r="EM10"/>
          <cell r="EN10"/>
          <cell r="EO10"/>
        </row>
        <row r="11">
          <cell r="BI11"/>
          <cell r="BJ11"/>
          <cell r="BK11"/>
          <cell r="BL11"/>
          <cell r="BM11"/>
          <cell r="BN11"/>
          <cell r="BO11"/>
          <cell r="BP11"/>
          <cell r="BQ11"/>
          <cell r="BT11"/>
          <cell r="BU11"/>
          <cell r="BV11"/>
          <cell r="BW11"/>
          <cell r="BX11"/>
          <cell r="BY11"/>
          <cell r="BZ11"/>
          <cell r="CA11"/>
          <cell r="CB11"/>
          <cell r="DS11"/>
          <cell r="DT11"/>
          <cell r="DU11"/>
          <cell r="DX11"/>
          <cell r="DY11"/>
          <cell r="DZ11"/>
          <cell r="EM11"/>
          <cell r="EN11"/>
          <cell r="EO11"/>
        </row>
        <row r="12">
          <cell r="BI12"/>
          <cell r="BJ12"/>
          <cell r="BK12"/>
          <cell r="BL12"/>
          <cell r="BM12"/>
          <cell r="BN12"/>
          <cell r="BO12"/>
          <cell r="BP12"/>
          <cell r="BQ12"/>
          <cell r="BT12"/>
          <cell r="BU12"/>
          <cell r="BV12"/>
          <cell r="BW12"/>
          <cell r="BX12"/>
          <cell r="BY12"/>
          <cell r="BZ12"/>
          <cell r="CA12"/>
          <cell r="CB12"/>
          <cell r="DS12"/>
          <cell r="DT12"/>
          <cell r="DU12"/>
          <cell r="DX12"/>
          <cell r="DY12"/>
          <cell r="DZ12"/>
          <cell r="EM12"/>
          <cell r="EN12"/>
          <cell r="EO12"/>
        </row>
        <row r="13">
          <cell r="BI13"/>
          <cell r="BJ13"/>
          <cell r="BK13"/>
          <cell r="BL13"/>
          <cell r="BM13"/>
          <cell r="BN13"/>
          <cell r="BO13"/>
          <cell r="BP13"/>
          <cell r="BQ13"/>
          <cell r="BT13"/>
          <cell r="BU13"/>
          <cell r="BV13"/>
          <cell r="BW13"/>
          <cell r="BX13"/>
          <cell r="BY13"/>
          <cell r="BZ13"/>
          <cell r="CA13"/>
          <cell r="CB13"/>
          <cell r="DS13"/>
          <cell r="DT13"/>
          <cell r="DU13"/>
          <cell r="DX13"/>
          <cell r="DY13"/>
          <cell r="DZ13"/>
          <cell r="EM13"/>
          <cell r="EN13"/>
          <cell r="EO13"/>
        </row>
        <row r="14">
          <cell r="BI14"/>
          <cell r="BJ14"/>
          <cell r="BK14"/>
          <cell r="BL14"/>
          <cell r="BM14"/>
          <cell r="BN14"/>
          <cell r="BO14"/>
          <cell r="BP14"/>
          <cell r="BQ14"/>
          <cell r="BT14"/>
          <cell r="BU14"/>
          <cell r="BV14"/>
          <cell r="BW14"/>
          <cell r="BX14"/>
          <cell r="BY14"/>
          <cell r="BZ14"/>
          <cell r="CA14"/>
          <cell r="CB14"/>
          <cell r="DS14"/>
          <cell r="DT14"/>
          <cell r="DU14"/>
          <cell r="DX14"/>
          <cell r="DY14"/>
          <cell r="DZ14"/>
          <cell r="EM14"/>
          <cell r="EN14"/>
          <cell r="EO14"/>
        </row>
        <row r="15">
          <cell r="BI15"/>
          <cell r="BJ15"/>
          <cell r="BK15"/>
          <cell r="BL15"/>
          <cell r="BM15"/>
          <cell r="BN15"/>
          <cell r="BO15"/>
          <cell r="BP15"/>
          <cell r="BQ15"/>
          <cell r="BT15"/>
          <cell r="BU15"/>
          <cell r="BV15"/>
          <cell r="BW15"/>
          <cell r="BX15"/>
          <cell r="BY15"/>
          <cell r="BZ15"/>
          <cell r="CA15"/>
          <cell r="CB15"/>
          <cell r="DS15"/>
          <cell r="DT15"/>
          <cell r="DU15"/>
          <cell r="DX15"/>
          <cell r="DY15"/>
          <cell r="DZ15"/>
          <cell r="EM15"/>
          <cell r="EN15"/>
          <cell r="EO15"/>
        </row>
        <row r="16">
          <cell r="BI16"/>
          <cell r="BJ16"/>
          <cell r="BK16"/>
          <cell r="BL16"/>
          <cell r="BM16"/>
          <cell r="BN16"/>
          <cell r="BO16"/>
          <cell r="BP16"/>
          <cell r="BQ16"/>
          <cell r="BT16"/>
          <cell r="BU16"/>
          <cell r="BV16"/>
          <cell r="BW16"/>
          <cell r="BX16"/>
          <cell r="BY16"/>
          <cell r="BZ16"/>
          <cell r="CA16"/>
          <cell r="CB16"/>
          <cell r="DS16"/>
          <cell r="DT16"/>
          <cell r="DU16"/>
          <cell r="DX16"/>
          <cell r="DY16"/>
          <cell r="DZ16"/>
          <cell r="EM16"/>
          <cell r="EN16"/>
          <cell r="EO16"/>
        </row>
        <row r="17">
          <cell r="BI17"/>
          <cell r="BJ17"/>
          <cell r="BK17"/>
          <cell r="BL17"/>
          <cell r="BM17"/>
          <cell r="BN17"/>
          <cell r="BO17"/>
          <cell r="BP17"/>
          <cell r="BQ17"/>
          <cell r="BT17"/>
          <cell r="BU17"/>
          <cell r="BV17"/>
          <cell r="BW17"/>
          <cell r="BX17"/>
          <cell r="BY17"/>
          <cell r="BZ17"/>
          <cell r="CA17"/>
          <cell r="CB17"/>
          <cell r="DS17"/>
          <cell r="DT17"/>
          <cell r="DU17"/>
          <cell r="DX17"/>
          <cell r="DY17"/>
          <cell r="DZ17"/>
          <cell r="EM17"/>
          <cell r="EN17"/>
          <cell r="EO17"/>
        </row>
        <row r="18">
          <cell r="BI18"/>
          <cell r="BJ18"/>
          <cell r="BK18"/>
          <cell r="BL18"/>
          <cell r="BM18"/>
          <cell r="BN18"/>
          <cell r="BO18"/>
          <cell r="BP18"/>
          <cell r="BQ18"/>
          <cell r="BT18"/>
          <cell r="BU18"/>
          <cell r="BV18"/>
          <cell r="BW18"/>
          <cell r="BX18"/>
          <cell r="BY18"/>
          <cell r="BZ18"/>
          <cell r="CA18"/>
          <cell r="CB18"/>
          <cell r="DS18"/>
          <cell r="DT18"/>
          <cell r="DU18"/>
          <cell r="DX18"/>
          <cell r="DY18"/>
          <cell r="DZ18"/>
          <cell r="EM18"/>
          <cell r="EN18"/>
          <cell r="EO18"/>
        </row>
        <row r="19">
          <cell r="BI19"/>
          <cell r="BJ19"/>
          <cell r="BK19"/>
          <cell r="BL19"/>
          <cell r="BM19"/>
          <cell r="BN19"/>
          <cell r="BO19"/>
          <cell r="BP19"/>
          <cell r="BQ19"/>
          <cell r="BT19"/>
          <cell r="BU19"/>
          <cell r="BV19"/>
          <cell r="BW19"/>
          <cell r="BX19"/>
          <cell r="BY19"/>
          <cell r="BZ19"/>
          <cell r="CA19"/>
          <cell r="CB19"/>
          <cell r="DS19"/>
          <cell r="DT19"/>
          <cell r="DU19"/>
          <cell r="DX19"/>
          <cell r="DY19"/>
          <cell r="DZ19"/>
          <cell r="EM19"/>
          <cell r="EN19"/>
          <cell r="EO19"/>
        </row>
        <row r="20">
          <cell r="BI20"/>
          <cell r="BJ20"/>
          <cell r="BK20"/>
          <cell r="BL20"/>
          <cell r="BM20"/>
          <cell r="BN20"/>
          <cell r="BO20"/>
          <cell r="BP20"/>
          <cell r="BQ20"/>
          <cell r="BT20"/>
          <cell r="BU20"/>
          <cell r="BV20"/>
          <cell r="BW20"/>
          <cell r="BX20"/>
          <cell r="BY20"/>
          <cell r="BZ20"/>
          <cell r="CA20"/>
          <cell r="CB20"/>
          <cell r="DS20"/>
          <cell r="DT20"/>
          <cell r="DU20"/>
          <cell r="DX20"/>
          <cell r="DY20"/>
          <cell r="DZ20"/>
          <cell r="EM20"/>
          <cell r="EN20"/>
          <cell r="EO20"/>
        </row>
        <row r="21">
          <cell r="BI21"/>
          <cell r="BJ21"/>
          <cell r="BK21"/>
          <cell r="BL21"/>
          <cell r="BM21"/>
          <cell r="BN21"/>
          <cell r="BO21"/>
          <cell r="BP21"/>
          <cell r="BQ21"/>
          <cell r="BT21"/>
          <cell r="BU21"/>
          <cell r="BV21"/>
          <cell r="BW21"/>
          <cell r="BX21"/>
          <cell r="BY21"/>
          <cell r="BZ21"/>
          <cell r="CA21"/>
          <cell r="CB21"/>
          <cell r="DS21"/>
          <cell r="DT21"/>
          <cell r="DU21"/>
          <cell r="DX21"/>
          <cell r="DY21"/>
          <cell r="DZ21"/>
          <cell r="EM21"/>
          <cell r="EN21"/>
          <cell r="EO21"/>
        </row>
        <row r="22">
          <cell r="BI22"/>
          <cell r="BJ22"/>
          <cell r="BK22"/>
          <cell r="BL22"/>
          <cell r="BM22"/>
          <cell r="BN22"/>
          <cell r="BO22"/>
          <cell r="BP22"/>
          <cell r="BQ22"/>
          <cell r="BT22"/>
          <cell r="BU22"/>
          <cell r="BV22"/>
          <cell r="BW22"/>
          <cell r="BX22"/>
          <cell r="BY22"/>
          <cell r="BZ22"/>
          <cell r="CA22"/>
          <cell r="CB22"/>
          <cell r="DS22"/>
          <cell r="DT22"/>
          <cell r="DU22"/>
          <cell r="DX22"/>
          <cell r="DY22"/>
          <cell r="DZ22"/>
          <cell r="EM22"/>
          <cell r="EN22"/>
          <cell r="EO22"/>
        </row>
        <row r="23">
          <cell r="BI23"/>
          <cell r="BJ23"/>
          <cell r="BK23"/>
          <cell r="BL23"/>
          <cell r="BM23"/>
          <cell r="BN23"/>
          <cell r="BO23"/>
          <cell r="BP23"/>
          <cell r="BQ23"/>
          <cell r="BT23"/>
          <cell r="BU23"/>
          <cell r="BV23"/>
          <cell r="BW23"/>
          <cell r="BX23"/>
          <cell r="BY23"/>
          <cell r="BZ23"/>
          <cell r="CA23"/>
          <cell r="CB23"/>
          <cell r="DS23"/>
          <cell r="DT23"/>
          <cell r="DU23"/>
          <cell r="DX23"/>
          <cell r="DY23"/>
          <cell r="DZ23"/>
          <cell r="EM23"/>
          <cell r="EN23"/>
          <cell r="EO23"/>
        </row>
        <row r="24">
          <cell r="BI24"/>
          <cell r="BJ24"/>
          <cell r="BK24"/>
          <cell r="BL24"/>
          <cell r="BM24"/>
          <cell r="BN24"/>
          <cell r="BO24"/>
          <cell r="BP24"/>
          <cell r="BQ24"/>
          <cell r="BT24"/>
          <cell r="BU24"/>
          <cell r="BV24"/>
          <cell r="BW24"/>
          <cell r="BX24"/>
          <cell r="BY24"/>
          <cell r="BZ24"/>
          <cell r="CA24"/>
          <cell r="CB24"/>
          <cell r="DS24"/>
          <cell r="DT24"/>
          <cell r="DU24"/>
          <cell r="DX24"/>
          <cell r="DY24"/>
          <cell r="DZ24"/>
          <cell r="EM24"/>
          <cell r="EN24"/>
          <cell r="EO24"/>
        </row>
        <row r="25">
          <cell r="BI25"/>
          <cell r="BJ25"/>
          <cell r="BK25"/>
          <cell r="BL25"/>
          <cell r="BM25"/>
          <cell r="BN25"/>
          <cell r="BO25"/>
          <cell r="BP25"/>
          <cell r="BQ25"/>
          <cell r="BT25"/>
          <cell r="BU25"/>
          <cell r="BV25"/>
          <cell r="BW25"/>
          <cell r="BX25"/>
          <cell r="BY25"/>
          <cell r="BZ25"/>
          <cell r="CA25"/>
          <cell r="CB25"/>
          <cell r="DS25"/>
          <cell r="DT25"/>
          <cell r="DU25"/>
          <cell r="DX25"/>
          <cell r="DY25"/>
          <cell r="DZ25"/>
          <cell r="EM25"/>
          <cell r="EN25"/>
          <cell r="EO25"/>
        </row>
        <row r="26">
          <cell r="BI26"/>
          <cell r="BJ26"/>
          <cell r="BK26"/>
          <cell r="BL26"/>
          <cell r="BM26"/>
          <cell r="BN26"/>
          <cell r="BO26"/>
          <cell r="BP26"/>
          <cell r="BQ26"/>
          <cell r="BT26"/>
          <cell r="BU26"/>
          <cell r="BV26"/>
          <cell r="BW26"/>
          <cell r="BX26"/>
          <cell r="BY26"/>
          <cell r="BZ26"/>
          <cell r="CA26"/>
          <cell r="CB26"/>
          <cell r="DS26"/>
          <cell r="DT26"/>
          <cell r="DU26"/>
          <cell r="DX26"/>
          <cell r="DY26"/>
          <cell r="DZ26"/>
          <cell r="EM26"/>
          <cell r="EN26"/>
          <cell r="EO26"/>
        </row>
        <row r="27">
          <cell r="BI27"/>
          <cell r="BJ27"/>
          <cell r="BK27"/>
          <cell r="BL27"/>
          <cell r="BM27"/>
          <cell r="BN27"/>
          <cell r="BO27"/>
          <cell r="BP27"/>
          <cell r="BQ27"/>
          <cell r="BT27"/>
          <cell r="BU27"/>
          <cell r="BV27"/>
          <cell r="BW27"/>
          <cell r="BX27"/>
          <cell r="BY27"/>
          <cell r="BZ27"/>
          <cell r="CA27"/>
          <cell r="CB27"/>
          <cell r="DS27"/>
          <cell r="DT27"/>
          <cell r="DU27"/>
          <cell r="DX27"/>
          <cell r="DY27"/>
          <cell r="DZ27"/>
          <cell r="EM27"/>
          <cell r="EN27"/>
          <cell r="EO27"/>
        </row>
        <row r="28">
          <cell r="BI28"/>
          <cell r="BJ28"/>
          <cell r="BK28"/>
          <cell r="BL28"/>
          <cell r="BM28"/>
          <cell r="BN28"/>
          <cell r="BO28"/>
          <cell r="BP28"/>
          <cell r="BQ28"/>
          <cell r="BT28"/>
          <cell r="BU28"/>
          <cell r="BV28"/>
          <cell r="BW28"/>
          <cell r="BX28"/>
          <cell r="BY28"/>
          <cell r="BZ28"/>
          <cell r="CA28"/>
          <cell r="CB28"/>
          <cell r="DS28"/>
          <cell r="DT28"/>
          <cell r="DU28"/>
          <cell r="DX28"/>
          <cell r="DY28"/>
          <cell r="DZ28"/>
          <cell r="EM28"/>
          <cell r="EN28"/>
          <cell r="EO28"/>
        </row>
        <row r="72">
          <cell r="FF72">
            <v>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ono 13,8kv"/>
      <sheetName val="Trifásico 13,8kv "/>
      <sheetName val="Mono 34,5kv"/>
      <sheetName val="Trifásico 34,5kv"/>
      <sheetName val="Estruturas 34,5kv"/>
      <sheetName val="Estruturas 13,8kv"/>
      <sheetName val="EXTRAS"/>
      <sheetName val="Materiais e Valores"/>
      <sheetName val="Transformadores"/>
      <sheetName val="Materiais de Medições compacta"/>
      <sheetName val="Materiais de Medições"/>
      <sheetName val="MEDIDÇÕES TRIFÁSICAS"/>
      <sheetName val="Menu"/>
      <sheetName val="Compcta"/>
      <sheetName val="BT-SI"/>
      <sheetName val="MEDIÇÃO AT 34.5KV"/>
      <sheetName val="RELIGADOR NOVA C.P.S"/>
      <sheetName val="RELIGADOR 13.8 e 34.5KV"/>
      <sheetName val="Plan1"/>
      <sheetName val="Fórmul Orçamento de Redes 13"/>
    </sheetNames>
    <definedNames>
      <definedName name="MEDIÇÃO_345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7.xml"/><Relationship Id="rId11" Type="http://schemas.openxmlformats.org/officeDocument/2006/relationships/ctrlProp" Target="../ctrlProps/ctrlProp32.xml"/><Relationship Id="rId5" Type="http://schemas.openxmlformats.org/officeDocument/2006/relationships/ctrlProp" Target="../ctrlProps/ctrlProp26.xml"/><Relationship Id="rId10" Type="http://schemas.openxmlformats.org/officeDocument/2006/relationships/ctrlProp" Target="../ctrlProps/ctrlProp31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3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5.xml"/><Relationship Id="rId11" Type="http://schemas.openxmlformats.org/officeDocument/2006/relationships/ctrlProp" Target="../ctrlProps/ctrlProp40.xml"/><Relationship Id="rId5" Type="http://schemas.openxmlformats.org/officeDocument/2006/relationships/ctrlProp" Target="../ctrlProps/ctrlProp34.xml"/><Relationship Id="rId10" Type="http://schemas.openxmlformats.org/officeDocument/2006/relationships/ctrlProp" Target="../ctrlProps/ctrlProp39.xml"/><Relationship Id="rId4" Type="http://schemas.openxmlformats.org/officeDocument/2006/relationships/ctrlProp" Target="../ctrlProps/ctrlProp33.xml"/><Relationship Id="rId9" Type="http://schemas.openxmlformats.org/officeDocument/2006/relationships/ctrlProp" Target="../ctrlProps/ctrlProp3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13" Type="http://schemas.openxmlformats.org/officeDocument/2006/relationships/ctrlProp" Target="../ctrlProps/ctrlProp50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44.xml"/><Relationship Id="rId12" Type="http://schemas.openxmlformats.org/officeDocument/2006/relationships/ctrlProp" Target="../ctrlProps/ctrlProp4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43.xml"/><Relationship Id="rId11" Type="http://schemas.openxmlformats.org/officeDocument/2006/relationships/ctrlProp" Target="../ctrlProps/ctrlProp48.xml"/><Relationship Id="rId5" Type="http://schemas.openxmlformats.org/officeDocument/2006/relationships/ctrlProp" Target="../ctrlProps/ctrlProp42.xml"/><Relationship Id="rId10" Type="http://schemas.openxmlformats.org/officeDocument/2006/relationships/ctrlProp" Target="../ctrlProps/ctrlProp47.xml"/><Relationship Id="rId4" Type="http://schemas.openxmlformats.org/officeDocument/2006/relationships/ctrlProp" Target="../ctrlProps/ctrlProp41.xml"/><Relationship Id="rId9" Type="http://schemas.openxmlformats.org/officeDocument/2006/relationships/ctrlProp" Target="../ctrlProps/ctrlProp4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5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53.xml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0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5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8.xml"/><Relationship Id="rId5" Type="http://schemas.openxmlformats.org/officeDocument/2006/relationships/ctrlProp" Target="../ctrlProps/ctrlProp57.xml"/><Relationship Id="rId10" Type="http://schemas.openxmlformats.org/officeDocument/2006/relationships/ctrlProp" Target="../ctrlProps/ctrlProp62.xml"/><Relationship Id="rId4" Type="http://schemas.openxmlformats.org/officeDocument/2006/relationships/ctrlProp" Target="../ctrlProps/ctrlProp56.xml"/><Relationship Id="rId9" Type="http://schemas.openxmlformats.org/officeDocument/2006/relationships/ctrlProp" Target="../ctrlProps/ctrlProp61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7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6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65.xml"/><Relationship Id="rId11" Type="http://schemas.openxmlformats.org/officeDocument/2006/relationships/ctrlProp" Target="../ctrlProps/ctrlProp70.xml"/><Relationship Id="rId5" Type="http://schemas.openxmlformats.org/officeDocument/2006/relationships/ctrlProp" Target="../ctrlProps/ctrlProp64.xml"/><Relationship Id="rId10" Type="http://schemas.openxmlformats.org/officeDocument/2006/relationships/ctrlProp" Target="../ctrlProps/ctrlProp69.xml"/><Relationship Id="rId4" Type="http://schemas.openxmlformats.org/officeDocument/2006/relationships/ctrlProp" Target="../ctrlProps/ctrlProp63.xml"/><Relationship Id="rId9" Type="http://schemas.openxmlformats.org/officeDocument/2006/relationships/ctrlProp" Target="../ctrlProps/ctrlProp68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5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7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73.xml"/><Relationship Id="rId5" Type="http://schemas.openxmlformats.org/officeDocument/2006/relationships/ctrlProp" Target="../ctrlProps/ctrlProp72.xml"/><Relationship Id="rId4" Type="http://schemas.openxmlformats.org/officeDocument/2006/relationships/ctrlProp" Target="../ctrlProps/ctrlProp71.xml"/><Relationship Id="rId9" Type="http://schemas.openxmlformats.org/officeDocument/2006/relationships/ctrlProp" Target="../ctrlProps/ctrlProp7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1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80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79.xml"/><Relationship Id="rId11" Type="http://schemas.openxmlformats.org/officeDocument/2006/relationships/ctrlProp" Target="../ctrlProps/ctrlProp84.xml"/><Relationship Id="rId5" Type="http://schemas.openxmlformats.org/officeDocument/2006/relationships/ctrlProp" Target="../ctrlProps/ctrlProp78.xml"/><Relationship Id="rId10" Type="http://schemas.openxmlformats.org/officeDocument/2006/relationships/ctrlProp" Target="../ctrlProps/ctrlProp83.xml"/><Relationship Id="rId4" Type="http://schemas.openxmlformats.org/officeDocument/2006/relationships/ctrlProp" Target="../ctrlProps/ctrlProp77.xml"/><Relationship Id="rId9" Type="http://schemas.openxmlformats.org/officeDocument/2006/relationships/ctrlProp" Target="../ctrlProps/ctrlProp8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87.xml"/><Relationship Id="rId11" Type="http://schemas.openxmlformats.org/officeDocument/2006/relationships/ctrlProp" Target="../ctrlProps/ctrlProp92.xml"/><Relationship Id="rId5" Type="http://schemas.openxmlformats.org/officeDocument/2006/relationships/ctrlProp" Target="../ctrlProps/ctrlProp86.xml"/><Relationship Id="rId10" Type="http://schemas.openxmlformats.org/officeDocument/2006/relationships/ctrlProp" Target="../ctrlProps/ctrlProp91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9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95.xml"/><Relationship Id="rId11" Type="http://schemas.openxmlformats.org/officeDocument/2006/relationships/ctrlProp" Target="../ctrlProps/ctrlProp100.xml"/><Relationship Id="rId5" Type="http://schemas.openxmlformats.org/officeDocument/2006/relationships/ctrlProp" Target="../ctrlProps/ctrlProp94.xml"/><Relationship Id="rId10" Type="http://schemas.openxmlformats.org/officeDocument/2006/relationships/ctrlProp" Target="../ctrlProps/ctrlProp99.xml"/><Relationship Id="rId4" Type="http://schemas.openxmlformats.org/officeDocument/2006/relationships/ctrlProp" Target="../ctrlProps/ctrlProp93.xml"/><Relationship Id="rId9" Type="http://schemas.openxmlformats.org/officeDocument/2006/relationships/ctrlProp" Target="../ctrlProps/ctrlProp9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5.xml"/><Relationship Id="rId13" Type="http://schemas.openxmlformats.org/officeDocument/2006/relationships/ctrlProp" Target="../ctrlProps/ctrlProp110.xml"/><Relationship Id="rId18" Type="http://schemas.openxmlformats.org/officeDocument/2006/relationships/ctrlProp" Target="../ctrlProps/ctrlProp115.xml"/><Relationship Id="rId3" Type="http://schemas.openxmlformats.org/officeDocument/2006/relationships/vmlDrawing" Target="../drawings/vmlDrawing14.vml"/><Relationship Id="rId21" Type="http://schemas.openxmlformats.org/officeDocument/2006/relationships/ctrlProp" Target="../ctrlProps/ctrlProp118.xml"/><Relationship Id="rId7" Type="http://schemas.openxmlformats.org/officeDocument/2006/relationships/ctrlProp" Target="../ctrlProps/ctrlProp104.xml"/><Relationship Id="rId12" Type="http://schemas.openxmlformats.org/officeDocument/2006/relationships/ctrlProp" Target="../ctrlProps/ctrlProp109.xml"/><Relationship Id="rId17" Type="http://schemas.openxmlformats.org/officeDocument/2006/relationships/ctrlProp" Target="../ctrlProps/ctrlProp114.xml"/><Relationship Id="rId2" Type="http://schemas.openxmlformats.org/officeDocument/2006/relationships/drawing" Target="../drawings/drawing14.xml"/><Relationship Id="rId16" Type="http://schemas.openxmlformats.org/officeDocument/2006/relationships/ctrlProp" Target="../ctrlProps/ctrlProp113.xml"/><Relationship Id="rId20" Type="http://schemas.openxmlformats.org/officeDocument/2006/relationships/ctrlProp" Target="../ctrlProps/ctrlProp117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03.xml"/><Relationship Id="rId11" Type="http://schemas.openxmlformats.org/officeDocument/2006/relationships/ctrlProp" Target="../ctrlProps/ctrlProp108.xml"/><Relationship Id="rId5" Type="http://schemas.openxmlformats.org/officeDocument/2006/relationships/ctrlProp" Target="../ctrlProps/ctrlProp102.xml"/><Relationship Id="rId15" Type="http://schemas.openxmlformats.org/officeDocument/2006/relationships/ctrlProp" Target="../ctrlProps/ctrlProp112.xml"/><Relationship Id="rId23" Type="http://schemas.openxmlformats.org/officeDocument/2006/relationships/ctrlProp" Target="../ctrlProps/ctrlProp120.xml"/><Relationship Id="rId10" Type="http://schemas.openxmlformats.org/officeDocument/2006/relationships/ctrlProp" Target="../ctrlProps/ctrlProp107.xml"/><Relationship Id="rId19" Type="http://schemas.openxmlformats.org/officeDocument/2006/relationships/ctrlProp" Target="../ctrlProps/ctrlProp116.xml"/><Relationship Id="rId4" Type="http://schemas.openxmlformats.org/officeDocument/2006/relationships/ctrlProp" Target="../ctrlProps/ctrlProp101.xml"/><Relationship Id="rId9" Type="http://schemas.openxmlformats.org/officeDocument/2006/relationships/ctrlProp" Target="../ctrlProps/ctrlProp106.xml"/><Relationship Id="rId14" Type="http://schemas.openxmlformats.org/officeDocument/2006/relationships/ctrlProp" Target="../ctrlProps/ctrlProp111.xml"/><Relationship Id="rId22" Type="http://schemas.openxmlformats.org/officeDocument/2006/relationships/ctrlProp" Target="../ctrlProps/ctrlProp11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Relationship Id="rId5" Type="http://schemas.openxmlformats.org/officeDocument/2006/relationships/ctrlProp" Target="../ctrlProps/ctrlProp122.xml"/><Relationship Id="rId4" Type="http://schemas.openxmlformats.org/officeDocument/2006/relationships/ctrlProp" Target="../ctrlProps/ctrlProp12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125.xml"/><Relationship Id="rId5" Type="http://schemas.openxmlformats.org/officeDocument/2006/relationships/ctrlProp" Target="../ctrlProps/ctrlProp124.xml"/><Relationship Id="rId4" Type="http://schemas.openxmlformats.org/officeDocument/2006/relationships/ctrlProp" Target="../ctrlProps/ctrlProp12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128.xml"/><Relationship Id="rId5" Type="http://schemas.openxmlformats.org/officeDocument/2006/relationships/ctrlProp" Target="../ctrlProps/ctrlProp127.xml"/><Relationship Id="rId4" Type="http://schemas.openxmlformats.org/officeDocument/2006/relationships/ctrlProp" Target="../ctrlProps/ctrlProp126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Relationship Id="rId5" Type="http://schemas.openxmlformats.org/officeDocument/2006/relationships/ctrlProp" Target="../ctrlProps/ctrlProp130.xml"/><Relationship Id="rId4" Type="http://schemas.openxmlformats.org/officeDocument/2006/relationships/ctrlProp" Target="../ctrlProps/ctrlProp12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Relationship Id="rId5" Type="http://schemas.openxmlformats.org/officeDocument/2006/relationships/ctrlProp" Target="../ctrlProps/ctrlProp132.xml"/><Relationship Id="rId4" Type="http://schemas.openxmlformats.org/officeDocument/2006/relationships/ctrlProp" Target="../ctrlProps/ctrlProp13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135.xml"/><Relationship Id="rId5" Type="http://schemas.openxmlformats.org/officeDocument/2006/relationships/ctrlProp" Target="../ctrlProps/ctrlProp134.xml"/><Relationship Id="rId4" Type="http://schemas.openxmlformats.org/officeDocument/2006/relationships/ctrlProp" Target="../ctrlProps/ctrlProp13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21077-0519-4A1F-8BF0-D491791D608F}">
  <sheetPr codeName="Plan1">
    <pageSetUpPr fitToPage="1"/>
  </sheetPr>
  <dimension ref="A1:DX465"/>
  <sheetViews>
    <sheetView showGridLines="0" zoomScale="80" zoomScaleNormal="80" workbookViewId="0">
      <pane xSplit="3" ySplit="19" topLeftCell="D20" activePane="bottomRight" state="frozen"/>
      <selection pane="topRight" activeCell="D1" sqref="D1"/>
      <selection pane="bottomLeft" activeCell="A20" sqref="A20"/>
      <selection pane="bottomRight" activeCell="B2" sqref="B2:C3"/>
    </sheetView>
  </sheetViews>
  <sheetFormatPr defaultRowHeight="15"/>
  <cols>
    <col min="1" max="1" width="11.7109375" customWidth="1"/>
    <col min="2" max="2" width="58.28515625" customWidth="1"/>
    <col min="3" max="3" width="8.7109375" customWidth="1"/>
    <col min="4" max="4" width="1.7109375" customWidth="1"/>
    <col min="5" max="5" width="12.28515625" customWidth="1"/>
    <col min="6" max="6" width="7.42578125" customWidth="1"/>
    <col min="7" max="7" width="1.7109375" customWidth="1"/>
    <col min="8" max="8" width="12.28515625" customWidth="1"/>
    <col min="9" max="9" width="7.28515625" customWidth="1"/>
    <col min="10" max="10" width="1.7109375" customWidth="1"/>
    <col min="11" max="11" width="12.28515625" customWidth="1"/>
    <col min="12" max="13" width="6.7109375" customWidth="1"/>
    <col min="14" max="14" width="1.7109375" customWidth="1"/>
    <col min="15" max="15" width="12.28515625" customWidth="1"/>
    <col min="16" max="17" width="6.7109375" customWidth="1"/>
    <col min="18" max="18" width="1.7109375" customWidth="1"/>
    <col min="19" max="19" width="12.28515625" customWidth="1"/>
    <col min="20" max="21" width="6.7109375" customWidth="1"/>
    <col min="22" max="22" width="1.7109375" customWidth="1"/>
    <col min="23" max="23" width="12.28515625" customWidth="1"/>
    <col min="24" max="25" width="6.7109375" customWidth="1"/>
    <col min="26" max="26" width="1.7109375" customWidth="1"/>
    <col min="27" max="27" width="12.28515625" customWidth="1"/>
    <col min="28" max="28" width="6.7109375" customWidth="1"/>
    <col min="29" max="29" width="1.7109375" customWidth="1"/>
    <col min="30" max="30" width="12.28515625" customWidth="1"/>
    <col min="31" max="32" width="6.7109375" customWidth="1"/>
    <col min="33" max="33" width="1.7109375" customWidth="1"/>
    <col min="34" max="34" width="12.28515625" customWidth="1"/>
    <col min="35" max="35" width="6.7109375" customWidth="1"/>
    <col min="36" max="36" width="1.7109375" customWidth="1"/>
    <col min="37" max="37" width="12.28515625" customWidth="1"/>
    <col min="38" max="39" width="6.7109375" customWidth="1"/>
    <col min="40" max="40" width="1.7109375" customWidth="1"/>
    <col min="41" max="41" width="12.28515625" customWidth="1"/>
    <col min="42" max="42" width="6.7109375" customWidth="1"/>
    <col min="43" max="43" width="1.7109375" customWidth="1"/>
    <col min="44" max="44" width="12.28515625" customWidth="1"/>
    <col min="45" max="46" width="6.7109375" customWidth="1"/>
    <col min="47" max="47" width="1.7109375" customWidth="1"/>
    <col min="48" max="48" width="12.28515625" customWidth="1"/>
    <col min="49" max="49" width="6.7109375" customWidth="1"/>
    <col min="50" max="50" width="1.7109375" customWidth="1"/>
    <col min="51" max="51" width="12.28515625" customWidth="1"/>
    <col min="52" max="53" width="6.7109375" customWidth="1"/>
    <col min="54" max="54" width="1.7109375" customWidth="1"/>
    <col min="55" max="55" width="12.28515625" customWidth="1"/>
    <col min="56" max="56" width="6.7109375" customWidth="1"/>
    <col min="57" max="57" width="1.7109375" customWidth="1"/>
    <col min="58" max="58" width="12.28515625" customWidth="1"/>
    <col min="59" max="60" width="6.7109375" customWidth="1"/>
    <col min="61" max="61" width="1.7109375" customWidth="1"/>
    <col min="62" max="62" width="12.28515625" customWidth="1"/>
    <col min="63" max="63" width="6.7109375" customWidth="1"/>
    <col min="64" max="64" width="1.7109375" customWidth="1"/>
    <col min="65" max="65" width="12.28515625" customWidth="1"/>
    <col min="66" max="67" width="6.7109375" customWidth="1"/>
    <col min="68" max="68" width="1.7109375" customWidth="1"/>
    <col min="69" max="69" width="12.28515625" customWidth="1"/>
    <col min="70" max="70" width="6.7109375" customWidth="1"/>
    <col min="71" max="71" width="1.7109375" customWidth="1"/>
    <col min="72" max="72" width="12.28515625" customWidth="1"/>
    <col min="73" max="74" width="6.7109375" customWidth="1"/>
    <col min="75" max="75" width="1.7109375" customWidth="1"/>
    <col min="76" max="76" width="12.28515625" customWidth="1"/>
    <col min="77" max="77" width="6.7109375" customWidth="1"/>
    <col min="78" max="78" width="1.7109375" customWidth="1"/>
    <col min="79" max="79" width="12.28515625" customWidth="1"/>
    <col min="80" max="81" width="6.7109375" customWidth="1"/>
    <col min="82" max="82" width="1.7109375" customWidth="1"/>
    <col min="83" max="83" width="12.28515625" customWidth="1"/>
    <col min="84" max="85" width="6.7109375" customWidth="1"/>
    <col min="86" max="86" width="1.7109375" customWidth="1"/>
    <col min="87" max="87" width="12.28515625" customWidth="1"/>
    <col min="88" max="89" width="6.7109375" customWidth="1"/>
    <col min="90" max="90" width="1.7109375" customWidth="1"/>
    <col min="91" max="91" width="12.28515625" customWidth="1"/>
    <col min="92" max="93" width="6.7109375" customWidth="1"/>
    <col min="94" max="94" width="1.5703125" customWidth="1"/>
    <col min="95" max="95" width="12.28515625" customWidth="1"/>
    <col min="96" max="97" width="6.7109375" customWidth="1"/>
    <col min="98" max="98" width="1.7109375" customWidth="1"/>
    <col min="99" max="99" width="12.28515625" customWidth="1"/>
    <col min="100" max="101" width="6.7109375" customWidth="1"/>
    <col min="102" max="102" width="1.7109375" customWidth="1"/>
    <col min="103" max="103" width="12.28515625" customWidth="1"/>
    <col min="104" max="105" width="6.7109375" customWidth="1"/>
    <col min="106" max="106" width="1.7109375" customWidth="1"/>
    <col min="107" max="107" width="12.28515625" customWidth="1"/>
    <col min="108" max="109" width="6.7109375" customWidth="1"/>
    <col min="110" max="110" width="1.7109375" customWidth="1"/>
    <col min="111" max="111" width="12.28515625" customWidth="1"/>
    <col min="112" max="113" width="6.7109375" customWidth="1"/>
    <col min="114" max="114" width="1.7109375" customWidth="1"/>
    <col min="115" max="115" width="12.28515625" customWidth="1"/>
    <col min="116" max="117" width="6.7109375" customWidth="1"/>
    <col min="118" max="118" width="1.7109375" customWidth="1"/>
    <col min="119" max="119" width="13.5703125" customWidth="1"/>
    <col min="120" max="121" width="6.7109375" customWidth="1"/>
    <col min="122" max="122" width="6.7109375" hidden="1" customWidth="1"/>
    <col min="123" max="123" width="13.140625" hidden="1" customWidth="1"/>
    <col min="124" max="125" width="5.85546875" customWidth="1"/>
    <col min="126" max="129" width="9.140625" customWidth="1"/>
  </cols>
  <sheetData>
    <row r="1" spans="1:125" ht="3.95" customHeight="1" thickBot="1">
      <c r="A1" s="1559"/>
    </row>
    <row r="2" spans="1:125" ht="22.5" customHeight="1" thickBot="1">
      <c r="A2" s="1559"/>
      <c r="B2" s="1547" t="s">
        <v>364</v>
      </c>
      <c r="C2" s="1548"/>
      <c r="D2" s="1061"/>
      <c r="E2" s="1061"/>
      <c r="F2" s="1061"/>
      <c r="G2" s="1061"/>
      <c r="H2" s="1061"/>
      <c r="I2" s="1061"/>
      <c r="J2" s="1061"/>
      <c r="K2" s="1062"/>
      <c r="L2" s="1062"/>
      <c r="M2" s="1062"/>
      <c r="N2" s="1063"/>
      <c r="O2" s="1064"/>
      <c r="P2" s="1064"/>
      <c r="Q2" s="1064"/>
      <c r="R2" s="1064"/>
      <c r="S2" s="1065"/>
      <c r="T2" s="1065"/>
      <c r="U2" s="1065"/>
      <c r="V2" s="1065"/>
      <c r="W2" s="1066"/>
      <c r="X2" s="1066"/>
      <c r="Y2" s="1066"/>
      <c r="Z2" s="1066"/>
      <c r="AA2" s="1066"/>
      <c r="AB2" s="1066"/>
      <c r="AC2" s="1064"/>
      <c r="AD2" s="1064"/>
      <c r="AE2" s="1067"/>
      <c r="AF2" s="1067"/>
      <c r="AG2" s="1065"/>
      <c r="AH2" s="1065"/>
      <c r="AI2" s="1065"/>
      <c r="AJ2" s="1065"/>
      <c r="AK2" s="1065"/>
      <c r="AL2" s="1062"/>
      <c r="AM2" s="1062"/>
      <c r="AN2" s="1062"/>
      <c r="AO2" s="1062"/>
      <c r="AP2" s="1062"/>
      <c r="AQ2" s="1530"/>
      <c r="AR2" s="1062"/>
      <c r="AS2" s="1065"/>
      <c r="AT2" s="1065"/>
      <c r="AU2" s="1068"/>
      <c r="AV2" s="1068"/>
      <c r="AW2" s="1068"/>
      <c r="AX2" s="1068"/>
      <c r="AY2" s="1068"/>
      <c r="AZ2" s="1068"/>
      <c r="BA2" s="1068"/>
      <c r="BB2" s="1068"/>
      <c r="BC2" s="1068"/>
      <c r="BD2" s="1068"/>
      <c r="BE2" s="1068"/>
      <c r="BF2" s="1068"/>
      <c r="BG2" s="1068"/>
      <c r="BH2" s="1068"/>
      <c r="BI2" s="1068"/>
      <c r="BJ2" s="1068"/>
      <c r="BK2" s="1068"/>
      <c r="BL2" s="1068"/>
      <c r="BM2" s="1067"/>
      <c r="BN2" s="1067"/>
      <c r="BO2" s="1067"/>
      <c r="BP2" s="1067"/>
      <c r="BQ2" s="1067"/>
      <c r="BR2" s="1067"/>
      <c r="BS2" s="1065"/>
      <c r="BT2" s="1065"/>
      <c r="BU2" s="1065"/>
      <c r="BV2" s="1065"/>
      <c r="BW2" s="1065"/>
      <c r="BX2" s="1065"/>
      <c r="BY2" s="1065"/>
      <c r="BZ2" s="1065"/>
      <c r="CA2" s="1065"/>
      <c r="CB2" s="1065"/>
      <c r="CC2" s="1065"/>
      <c r="CD2" s="1065"/>
      <c r="CE2" s="1551" t="s">
        <v>478</v>
      </c>
      <c r="CF2" s="1552"/>
      <c r="CG2" s="1552"/>
      <c r="CH2" s="1553"/>
      <c r="CI2" s="1553"/>
      <c r="CJ2" s="1553"/>
      <c r="CK2" s="1553"/>
      <c r="CL2" s="1553"/>
      <c r="CM2" s="1553"/>
      <c r="CN2" s="1553"/>
      <c r="CO2" s="1553"/>
      <c r="CP2" s="1553"/>
      <c r="CQ2" s="1553"/>
      <c r="CR2" s="1553"/>
      <c r="CS2" s="1553"/>
      <c r="CT2" s="1553"/>
      <c r="CU2" s="1552"/>
      <c r="CV2" s="1552"/>
      <c r="CW2" s="1554"/>
      <c r="CX2" s="1065"/>
      <c r="CY2" s="1555" t="s">
        <v>479</v>
      </c>
      <c r="CZ2" s="1556"/>
      <c r="DA2" s="1556"/>
      <c r="DB2" s="1557"/>
      <c r="DC2" s="1556"/>
      <c r="DD2" s="1556"/>
      <c r="DE2" s="1556"/>
      <c r="DF2" s="1557"/>
      <c r="DG2" s="1556"/>
      <c r="DH2" s="1556"/>
      <c r="DI2" s="1556"/>
      <c r="DJ2" s="1557"/>
      <c r="DK2" s="1556"/>
      <c r="DL2" s="1556"/>
      <c r="DM2" s="1556"/>
      <c r="DN2" s="1556"/>
      <c r="DO2" s="1556"/>
      <c r="DP2" s="1556"/>
      <c r="DQ2" s="1558"/>
      <c r="DR2" s="19"/>
      <c r="DS2" s="19"/>
    </row>
    <row r="3" spans="1:125" ht="19.5" customHeight="1" thickBot="1">
      <c r="A3" s="1559"/>
      <c r="B3" s="1549"/>
      <c r="C3" s="1550"/>
      <c r="D3" s="1069"/>
      <c r="E3" s="1545" t="s">
        <v>1471</v>
      </c>
      <c r="F3" s="1546"/>
      <c r="G3" s="1070"/>
      <c r="H3" s="1545" t="s">
        <v>1250</v>
      </c>
      <c r="I3" s="1546"/>
      <c r="J3" s="1070"/>
      <c r="K3" s="1520" t="s">
        <v>136</v>
      </c>
      <c r="L3" s="1521"/>
      <c r="M3" s="1522"/>
      <c r="N3" s="1064"/>
      <c r="O3" s="1531" t="s">
        <v>135</v>
      </c>
      <c r="P3" s="1532"/>
      <c r="Q3" s="1533"/>
      <c r="R3" s="1064"/>
      <c r="S3" s="1531" t="s">
        <v>360</v>
      </c>
      <c r="T3" s="1532"/>
      <c r="U3" s="1533"/>
      <c r="V3" s="1071"/>
      <c r="W3" s="1520" t="s">
        <v>138</v>
      </c>
      <c r="X3" s="1521"/>
      <c r="Y3" s="1522"/>
      <c r="Z3" s="1072"/>
      <c r="AA3" s="1516" t="s">
        <v>138</v>
      </c>
      <c r="AB3" s="1517"/>
      <c r="AC3" s="1560"/>
      <c r="AD3" s="1531" t="s">
        <v>139</v>
      </c>
      <c r="AE3" s="1532"/>
      <c r="AF3" s="1533"/>
      <c r="AG3" s="1064"/>
      <c r="AH3" s="1516" t="s">
        <v>142</v>
      </c>
      <c r="AI3" s="1517"/>
      <c r="AJ3" s="1073"/>
      <c r="AK3" s="1520" t="s">
        <v>130</v>
      </c>
      <c r="AL3" s="1521"/>
      <c r="AM3" s="1522"/>
      <c r="AN3" s="1064"/>
      <c r="AO3" s="1516" t="s">
        <v>130</v>
      </c>
      <c r="AP3" s="1517"/>
      <c r="AQ3" s="1530"/>
      <c r="AR3" s="1513" t="s">
        <v>94</v>
      </c>
      <c r="AS3" s="1514"/>
      <c r="AT3" s="1515"/>
      <c r="AU3" s="1064"/>
      <c r="AV3" s="1516" t="s">
        <v>94</v>
      </c>
      <c r="AW3" s="1517"/>
      <c r="AX3" s="1064"/>
      <c r="AY3" s="1531" t="s">
        <v>129</v>
      </c>
      <c r="AZ3" s="1532"/>
      <c r="BA3" s="1533"/>
      <c r="BB3" s="1064"/>
      <c r="BC3" s="1516" t="s">
        <v>129</v>
      </c>
      <c r="BD3" s="1517"/>
      <c r="BE3" s="1064"/>
      <c r="BF3" s="1513" t="s">
        <v>97</v>
      </c>
      <c r="BG3" s="1514"/>
      <c r="BH3" s="1515"/>
      <c r="BI3" s="1064"/>
      <c r="BJ3" s="1528" t="s">
        <v>97</v>
      </c>
      <c r="BK3" s="1529"/>
      <c r="BL3" s="1064"/>
      <c r="BM3" s="1513" t="s">
        <v>143</v>
      </c>
      <c r="BN3" s="1514"/>
      <c r="BO3" s="1515"/>
      <c r="BP3" s="1064"/>
      <c r="BQ3" s="1528" t="s">
        <v>143</v>
      </c>
      <c r="BR3" s="1529"/>
      <c r="BS3" s="1064"/>
      <c r="BT3" s="1536" t="s">
        <v>131</v>
      </c>
      <c r="BU3" s="1537"/>
      <c r="BV3" s="1538"/>
      <c r="BW3" s="1064"/>
      <c r="BX3" s="1528" t="s">
        <v>131</v>
      </c>
      <c r="BY3" s="1529"/>
      <c r="BZ3" s="1064"/>
      <c r="CA3" s="1525" t="s">
        <v>146</v>
      </c>
      <c r="CB3" s="1526"/>
      <c r="CC3" s="1527"/>
      <c r="CD3" s="1064"/>
      <c r="CE3" s="1074" t="s">
        <v>1487</v>
      </c>
      <c r="CF3" s="1502" t="s">
        <v>1490</v>
      </c>
      <c r="CG3" s="1503"/>
      <c r="CH3" s="1075"/>
      <c r="CI3" s="1076" t="s">
        <v>1491</v>
      </c>
      <c r="CJ3" s="1502" t="s">
        <v>1490</v>
      </c>
      <c r="CK3" s="1503"/>
      <c r="CL3" s="1075"/>
      <c r="CM3" s="1076" t="s">
        <v>1492</v>
      </c>
      <c r="CN3" s="1502" t="s">
        <v>1490</v>
      </c>
      <c r="CO3" s="1503"/>
      <c r="CP3" s="1077"/>
      <c r="CQ3" s="1076" t="s">
        <v>1493</v>
      </c>
      <c r="CR3" s="1502" t="s">
        <v>1490</v>
      </c>
      <c r="CS3" s="1503"/>
      <c r="CT3" s="1075"/>
      <c r="CU3" s="1502" t="s">
        <v>1563</v>
      </c>
      <c r="CV3" s="1504"/>
      <c r="CW3" s="1503"/>
      <c r="CX3" s="1064"/>
      <c r="CY3" s="1078" t="s">
        <v>1487</v>
      </c>
      <c r="CZ3" s="1511" t="s">
        <v>1490</v>
      </c>
      <c r="DA3" s="1512"/>
      <c r="DB3" s="1075"/>
      <c r="DC3" s="1078" t="s">
        <v>1491</v>
      </c>
      <c r="DD3" s="1511" t="s">
        <v>1490</v>
      </c>
      <c r="DE3" s="1512"/>
      <c r="DF3" s="1075"/>
      <c r="DG3" s="1078" t="s">
        <v>1492</v>
      </c>
      <c r="DH3" s="1511" t="s">
        <v>1490</v>
      </c>
      <c r="DI3" s="1512"/>
      <c r="DJ3" s="1075"/>
      <c r="DK3" s="1078" t="s">
        <v>1493</v>
      </c>
      <c r="DL3" s="1511" t="s">
        <v>1490</v>
      </c>
      <c r="DM3" s="1512"/>
      <c r="DN3" s="1075"/>
      <c r="DO3" s="1508" t="s">
        <v>1563</v>
      </c>
      <c r="DP3" s="1509"/>
      <c r="DQ3" s="1510"/>
      <c r="DR3" s="14"/>
      <c r="DS3" s="467"/>
      <c r="DT3" s="467"/>
      <c r="DU3" s="467"/>
    </row>
    <row r="4" spans="1:125" ht="17.100000000000001" customHeight="1" thickBot="1">
      <c r="A4" s="1559"/>
      <c r="B4" s="1542"/>
      <c r="C4" s="1542"/>
      <c r="D4" s="1069"/>
      <c r="E4" s="1079" t="s">
        <v>206</v>
      </c>
      <c r="F4" s="1080" t="s">
        <v>1251</v>
      </c>
      <c r="G4" s="1069"/>
      <c r="H4" s="1079" t="s">
        <v>206</v>
      </c>
      <c r="I4" s="1080" t="s">
        <v>1251</v>
      </c>
      <c r="J4" s="1069"/>
      <c r="K4" s="1081" t="s">
        <v>137</v>
      </c>
      <c r="L4" s="1082" t="s">
        <v>95</v>
      </c>
      <c r="M4" s="1082" t="s">
        <v>96</v>
      </c>
      <c r="N4" s="1083"/>
      <c r="O4" s="1084" t="s">
        <v>137</v>
      </c>
      <c r="P4" s="1085" t="s">
        <v>95</v>
      </c>
      <c r="Q4" s="1086" t="s">
        <v>96</v>
      </c>
      <c r="R4" s="1072"/>
      <c r="S4" s="1084" t="s">
        <v>137</v>
      </c>
      <c r="T4" s="1087" t="s">
        <v>95</v>
      </c>
      <c r="U4" s="1087" t="s">
        <v>96</v>
      </c>
      <c r="V4" s="1088"/>
      <c r="W4" s="1082" t="s">
        <v>137</v>
      </c>
      <c r="X4" s="1082" t="s">
        <v>95</v>
      </c>
      <c r="Y4" s="1082" t="s">
        <v>96</v>
      </c>
      <c r="Z4" s="1089"/>
      <c r="AA4" s="1523" t="s">
        <v>52</v>
      </c>
      <c r="AB4" s="1524"/>
      <c r="AC4" s="1560"/>
      <c r="AD4" s="1090" t="s">
        <v>137</v>
      </c>
      <c r="AE4" s="1085" t="s">
        <v>95</v>
      </c>
      <c r="AF4" s="1086" t="s">
        <v>96</v>
      </c>
      <c r="AG4" s="1091"/>
      <c r="AH4" s="1518" t="s">
        <v>52</v>
      </c>
      <c r="AI4" s="1519"/>
      <c r="AJ4" s="1091"/>
      <c r="AK4" s="1082" t="s">
        <v>137</v>
      </c>
      <c r="AL4" s="1092" t="s">
        <v>95</v>
      </c>
      <c r="AM4" s="1093" t="s">
        <v>96</v>
      </c>
      <c r="AN4" s="1091"/>
      <c r="AO4" s="1523" t="s">
        <v>52</v>
      </c>
      <c r="AP4" s="1524"/>
      <c r="AQ4" s="1530"/>
      <c r="AR4" s="1094" t="s">
        <v>137</v>
      </c>
      <c r="AS4" s="1095" t="s">
        <v>95</v>
      </c>
      <c r="AT4" s="1095" t="s">
        <v>96</v>
      </c>
      <c r="AU4" s="1096"/>
      <c r="AV4" s="1523" t="s">
        <v>52</v>
      </c>
      <c r="AW4" s="1524"/>
      <c r="AX4" s="1096"/>
      <c r="AY4" s="1097" t="s">
        <v>137</v>
      </c>
      <c r="AZ4" s="1097" t="s">
        <v>95</v>
      </c>
      <c r="BA4" s="1097" t="s">
        <v>96</v>
      </c>
      <c r="BB4" s="1096"/>
      <c r="BC4" s="1523" t="s">
        <v>52</v>
      </c>
      <c r="BD4" s="1524"/>
      <c r="BE4" s="1096"/>
      <c r="BF4" s="1095" t="s">
        <v>137</v>
      </c>
      <c r="BG4" s="1095" t="s">
        <v>95</v>
      </c>
      <c r="BH4" s="1095" t="s">
        <v>96</v>
      </c>
      <c r="BI4" s="1096"/>
      <c r="BJ4" s="1534" t="s">
        <v>52</v>
      </c>
      <c r="BK4" s="1535"/>
      <c r="BL4" s="1096"/>
      <c r="BM4" s="1095" t="s">
        <v>137</v>
      </c>
      <c r="BN4" s="1095" t="s">
        <v>95</v>
      </c>
      <c r="BO4" s="1095" t="s">
        <v>96</v>
      </c>
      <c r="BP4" s="1091"/>
      <c r="BQ4" s="1534" t="s">
        <v>52</v>
      </c>
      <c r="BR4" s="1535"/>
      <c r="BS4" s="1096"/>
      <c r="BT4" s="1098" t="s">
        <v>137</v>
      </c>
      <c r="BU4" s="1098" t="s">
        <v>95</v>
      </c>
      <c r="BV4" s="1098" t="s">
        <v>96</v>
      </c>
      <c r="BW4" s="1096"/>
      <c r="BX4" s="1534" t="s">
        <v>52</v>
      </c>
      <c r="BY4" s="1535"/>
      <c r="BZ4" s="1096"/>
      <c r="CA4" s="1098" t="s">
        <v>137</v>
      </c>
      <c r="CB4" s="1099" t="s">
        <v>95</v>
      </c>
      <c r="CC4" s="1099" t="s">
        <v>96</v>
      </c>
      <c r="CD4" s="1096"/>
      <c r="CE4" s="1100" t="s">
        <v>1486</v>
      </c>
      <c r="CF4" s="1101" t="s">
        <v>1488</v>
      </c>
      <c r="CG4" s="1102" t="s">
        <v>1489</v>
      </c>
      <c r="CH4" s="1091"/>
      <c r="CI4" s="1103" t="s">
        <v>1486</v>
      </c>
      <c r="CJ4" s="1101" t="s">
        <v>1488</v>
      </c>
      <c r="CK4" s="1102" t="s">
        <v>1489</v>
      </c>
      <c r="CL4" s="1096"/>
      <c r="CM4" s="1103" t="s">
        <v>1486</v>
      </c>
      <c r="CN4" s="1101" t="s">
        <v>1488</v>
      </c>
      <c r="CO4" s="1102" t="s">
        <v>1489</v>
      </c>
      <c r="CP4" s="1104"/>
      <c r="CQ4" s="1103" t="s">
        <v>1486</v>
      </c>
      <c r="CR4" s="1101" t="s">
        <v>1488</v>
      </c>
      <c r="CS4" s="1102" t="s">
        <v>1489</v>
      </c>
      <c r="CT4" s="1091"/>
      <c r="CU4" s="1505" t="s">
        <v>1564</v>
      </c>
      <c r="CV4" s="1506"/>
      <c r="CW4" s="1507"/>
      <c r="CX4" s="1096"/>
      <c r="CY4" s="1105" t="s">
        <v>1507</v>
      </c>
      <c r="CZ4" s="1106" t="s">
        <v>1488</v>
      </c>
      <c r="DA4" s="1107" t="s">
        <v>1489</v>
      </c>
      <c r="DB4" s="1091"/>
      <c r="DC4" s="1105" t="s">
        <v>1507</v>
      </c>
      <c r="DD4" s="1106" t="s">
        <v>1488</v>
      </c>
      <c r="DE4" s="1107" t="s">
        <v>1489</v>
      </c>
      <c r="DF4" s="1096"/>
      <c r="DG4" s="1105" t="s">
        <v>1507</v>
      </c>
      <c r="DH4" s="1106" t="s">
        <v>1488</v>
      </c>
      <c r="DI4" s="1107" t="s">
        <v>1489</v>
      </c>
      <c r="DJ4" s="1091"/>
      <c r="DK4" s="1105" t="s">
        <v>1507</v>
      </c>
      <c r="DL4" s="1106" t="s">
        <v>1488</v>
      </c>
      <c r="DM4" s="1107" t="s">
        <v>1489</v>
      </c>
      <c r="DN4" s="1091"/>
      <c r="DO4" s="1499" t="s">
        <v>1564</v>
      </c>
      <c r="DP4" s="1500"/>
      <c r="DQ4" s="1501"/>
      <c r="DR4" s="15"/>
      <c r="DS4" s="468"/>
      <c r="DT4" s="468"/>
      <c r="DU4" s="468"/>
    </row>
    <row r="5" spans="1:125" s="6" customFormat="1" ht="15" customHeight="1" thickBot="1">
      <c r="A5" s="1559"/>
      <c r="B5" s="1543" t="s">
        <v>385</v>
      </c>
      <c r="C5" s="1544"/>
      <c r="D5" s="1069"/>
      <c r="E5" s="1108" t="s">
        <v>74</v>
      </c>
      <c r="F5" s="1109"/>
      <c r="G5" s="1070"/>
      <c r="H5" s="1108" t="s">
        <v>74</v>
      </c>
      <c r="I5" s="1109"/>
      <c r="J5" s="1070"/>
      <c r="K5" s="1108" t="s">
        <v>74</v>
      </c>
      <c r="L5" s="1110"/>
      <c r="M5" s="1111"/>
      <c r="N5" s="1112"/>
      <c r="O5" s="1113" t="s">
        <v>74</v>
      </c>
      <c r="P5" s="1110"/>
      <c r="Q5" s="1111"/>
      <c r="R5" s="1114"/>
      <c r="S5" s="1113" t="s">
        <v>74</v>
      </c>
      <c r="T5" s="1110"/>
      <c r="U5" s="1111"/>
      <c r="V5" s="1112"/>
      <c r="W5" s="1113" t="s">
        <v>74</v>
      </c>
      <c r="X5" s="1110"/>
      <c r="Y5" s="1111"/>
      <c r="Z5" s="1114"/>
      <c r="AA5" s="1113" t="s">
        <v>74</v>
      </c>
      <c r="AB5" s="1111"/>
      <c r="AC5" s="1560"/>
      <c r="AD5" s="1115" t="s">
        <v>74</v>
      </c>
      <c r="AE5" s="1110"/>
      <c r="AF5" s="1111"/>
      <c r="AG5" s="1116"/>
      <c r="AH5" s="1115" t="s">
        <v>74</v>
      </c>
      <c r="AI5" s="1111"/>
      <c r="AJ5" s="1116"/>
      <c r="AK5" s="1113" t="s">
        <v>74</v>
      </c>
      <c r="AL5" s="1110"/>
      <c r="AM5" s="1111"/>
      <c r="AN5" s="1116"/>
      <c r="AO5" s="1113" t="s">
        <v>74</v>
      </c>
      <c r="AP5" s="1111"/>
      <c r="AQ5" s="1530"/>
      <c r="AR5" s="1113" t="s">
        <v>74</v>
      </c>
      <c r="AS5" s="1110"/>
      <c r="AT5" s="1111"/>
      <c r="AU5" s="1116"/>
      <c r="AV5" s="1113" t="s">
        <v>74</v>
      </c>
      <c r="AW5" s="1111"/>
      <c r="AX5" s="1116"/>
      <c r="AY5" s="1113" t="s">
        <v>74</v>
      </c>
      <c r="AZ5" s="1110"/>
      <c r="BA5" s="1111"/>
      <c r="BB5" s="1116"/>
      <c r="BC5" s="1113" t="s">
        <v>74</v>
      </c>
      <c r="BD5" s="1111"/>
      <c r="BE5" s="1116"/>
      <c r="BF5" s="1113" t="s">
        <v>74</v>
      </c>
      <c r="BG5" s="1110"/>
      <c r="BH5" s="1111"/>
      <c r="BI5" s="1116"/>
      <c r="BJ5" s="1113" t="s">
        <v>74</v>
      </c>
      <c r="BK5" s="1111"/>
      <c r="BL5" s="1116"/>
      <c r="BM5" s="1113" t="s">
        <v>74</v>
      </c>
      <c r="BN5" s="1110"/>
      <c r="BO5" s="1111"/>
      <c r="BP5" s="1116"/>
      <c r="BQ5" s="1113" t="s">
        <v>74</v>
      </c>
      <c r="BR5" s="1111"/>
      <c r="BS5" s="1116"/>
      <c r="BT5" s="1113" t="s">
        <v>74</v>
      </c>
      <c r="BU5" s="1110"/>
      <c r="BV5" s="1111"/>
      <c r="BW5" s="1116"/>
      <c r="BX5" s="1113" t="s">
        <v>74</v>
      </c>
      <c r="BY5" s="1111"/>
      <c r="BZ5" s="1116"/>
      <c r="CA5" s="1113" t="s">
        <v>74</v>
      </c>
      <c r="CB5" s="1110"/>
      <c r="CC5" s="1111"/>
      <c r="CD5" s="1116"/>
      <c r="CE5" s="1117" t="s">
        <v>74</v>
      </c>
      <c r="CF5" s="1118"/>
      <c r="CG5" s="1119"/>
      <c r="CH5" s="1116"/>
      <c r="CI5" s="1120" t="s">
        <v>74</v>
      </c>
      <c r="CJ5" s="1121"/>
      <c r="CK5" s="1122"/>
      <c r="CL5" s="1116"/>
      <c r="CM5" s="1120" t="s">
        <v>74</v>
      </c>
      <c r="CN5" s="1121"/>
      <c r="CO5" s="1122"/>
      <c r="CP5" s="1114"/>
      <c r="CQ5" s="1120" t="s">
        <v>74</v>
      </c>
      <c r="CR5" s="1121"/>
      <c r="CS5" s="1122"/>
      <c r="CT5" s="1116"/>
      <c r="CU5" s="1120" t="s">
        <v>74</v>
      </c>
      <c r="CV5" s="1121"/>
      <c r="CW5" s="1122"/>
      <c r="CX5" s="1116"/>
      <c r="CY5" s="1123" t="s">
        <v>74</v>
      </c>
      <c r="CZ5" s="1110"/>
      <c r="DA5" s="1124"/>
      <c r="DB5" s="1116"/>
      <c r="DC5" s="1123" t="s">
        <v>74</v>
      </c>
      <c r="DD5" s="1110"/>
      <c r="DE5" s="1124"/>
      <c r="DF5" s="1116"/>
      <c r="DG5" s="1123" t="s">
        <v>74</v>
      </c>
      <c r="DH5" s="1110"/>
      <c r="DI5" s="1124"/>
      <c r="DJ5" s="1116"/>
      <c r="DK5" s="1123" t="s">
        <v>74</v>
      </c>
      <c r="DL5" s="1110"/>
      <c r="DM5" s="1124"/>
      <c r="DN5" s="1116"/>
      <c r="DO5" s="1123" t="s">
        <v>74</v>
      </c>
      <c r="DP5" s="1110"/>
      <c r="DQ5" s="1124"/>
      <c r="DR5" s="6">
        <f>SUM(CZ5:CZ26,DA5:DA26,CF5:CF26,CG5:CG26)*5+SUM(DD5:DD26,DE5:DE26,CJ5:CJ26,CK5:CK26)*10+SUM(DH5:DH26,DI5:DI26,CN5:CN26,CO5:CO26)*15+SUM(DP5:DP26,DQ5:DQ26,CV5:CV26,CW5:CW26)*37.5+SUM(CR5:CS26,DL5:DM26)*25</f>
        <v>0</v>
      </c>
      <c r="DS5" s="469"/>
      <c r="DT5" s="470"/>
      <c r="DU5" s="470"/>
    </row>
    <row r="6" spans="1:125" s="8" customFormat="1" ht="15" customHeight="1" thickBot="1">
      <c r="A6" s="1559"/>
      <c r="B6" s="1561" t="s">
        <v>384</v>
      </c>
      <c r="C6" s="1562"/>
      <c r="D6" s="1069"/>
      <c r="E6" s="1125" t="s">
        <v>75</v>
      </c>
      <c r="F6" s="1109"/>
      <c r="G6" s="1070"/>
      <c r="H6" s="1125" t="s">
        <v>75</v>
      </c>
      <c r="I6" s="1109"/>
      <c r="J6" s="1070"/>
      <c r="K6" s="1125" t="s">
        <v>75</v>
      </c>
      <c r="L6" s="1110"/>
      <c r="M6" s="1111"/>
      <c r="N6" s="1112"/>
      <c r="O6" s="1126" t="s">
        <v>75</v>
      </c>
      <c r="P6" s="1110"/>
      <c r="Q6" s="1111"/>
      <c r="R6" s="1114"/>
      <c r="S6" s="1126" t="s">
        <v>75</v>
      </c>
      <c r="T6" s="1110"/>
      <c r="U6" s="1111"/>
      <c r="V6" s="1112"/>
      <c r="W6" s="1126" t="s">
        <v>75</v>
      </c>
      <c r="X6" s="1110"/>
      <c r="Y6" s="1111"/>
      <c r="Z6" s="1114"/>
      <c r="AA6" s="1126" t="s">
        <v>75</v>
      </c>
      <c r="AB6" s="1111"/>
      <c r="AC6" s="1560"/>
      <c r="AD6" s="1127" t="s">
        <v>75</v>
      </c>
      <c r="AE6" s="1110"/>
      <c r="AF6" s="1111"/>
      <c r="AG6" s="1128"/>
      <c r="AH6" s="1127" t="s">
        <v>75</v>
      </c>
      <c r="AI6" s="1111"/>
      <c r="AJ6" s="1128"/>
      <c r="AK6" s="1126" t="s">
        <v>75</v>
      </c>
      <c r="AL6" s="1110"/>
      <c r="AM6" s="1111"/>
      <c r="AN6" s="1128"/>
      <c r="AO6" s="1126" t="s">
        <v>75</v>
      </c>
      <c r="AP6" s="1111"/>
      <c r="AQ6" s="1530"/>
      <c r="AR6" s="1126" t="s">
        <v>75</v>
      </c>
      <c r="AS6" s="1110"/>
      <c r="AT6" s="1111"/>
      <c r="AU6" s="1128"/>
      <c r="AV6" s="1126" t="s">
        <v>75</v>
      </c>
      <c r="AW6" s="1111"/>
      <c r="AX6" s="1128"/>
      <c r="AY6" s="1126" t="s">
        <v>75</v>
      </c>
      <c r="AZ6" s="1110"/>
      <c r="BA6" s="1111"/>
      <c r="BB6" s="1128"/>
      <c r="BC6" s="1126" t="s">
        <v>75</v>
      </c>
      <c r="BD6" s="1111"/>
      <c r="BE6" s="1128"/>
      <c r="BF6" s="1126" t="s">
        <v>75</v>
      </c>
      <c r="BG6" s="1110"/>
      <c r="BH6" s="1111"/>
      <c r="BI6" s="1128"/>
      <c r="BJ6" s="1126" t="s">
        <v>75</v>
      </c>
      <c r="BK6" s="1111"/>
      <c r="BL6" s="1128"/>
      <c r="BM6" s="1126" t="s">
        <v>75</v>
      </c>
      <c r="BN6" s="1110"/>
      <c r="BO6" s="1111"/>
      <c r="BP6" s="1128"/>
      <c r="BQ6" s="1126" t="s">
        <v>75</v>
      </c>
      <c r="BR6" s="1111"/>
      <c r="BS6" s="1128"/>
      <c r="BT6" s="1126" t="s">
        <v>75</v>
      </c>
      <c r="BU6" s="1110"/>
      <c r="BV6" s="1111"/>
      <c r="BW6" s="1128"/>
      <c r="BX6" s="1126" t="s">
        <v>75</v>
      </c>
      <c r="BY6" s="1111"/>
      <c r="BZ6" s="1128"/>
      <c r="CA6" s="1126" t="s">
        <v>75</v>
      </c>
      <c r="CB6" s="1110"/>
      <c r="CC6" s="1111"/>
      <c r="CD6" s="1128"/>
      <c r="CE6" s="1129" t="s">
        <v>75</v>
      </c>
      <c r="CF6" s="1130"/>
      <c r="CG6" s="1131"/>
      <c r="CH6" s="1128"/>
      <c r="CI6" s="1129" t="s">
        <v>75</v>
      </c>
      <c r="CJ6" s="1130"/>
      <c r="CK6" s="1131"/>
      <c r="CL6" s="1128"/>
      <c r="CM6" s="1129" t="s">
        <v>75</v>
      </c>
      <c r="CN6" s="1130"/>
      <c r="CO6" s="1131"/>
      <c r="CP6" s="1114"/>
      <c r="CQ6" s="1129" t="s">
        <v>75</v>
      </c>
      <c r="CR6" s="1130"/>
      <c r="CS6" s="1131"/>
      <c r="CT6" s="1128"/>
      <c r="CU6" s="1129" t="s">
        <v>75</v>
      </c>
      <c r="CV6" s="1130"/>
      <c r="CW6" s="1131"/>
      <c r="CX6" s="1128"/>
      <c r="CY6" s="1129" t="s">
        <v>75</v>
      </c>
      <c r="CZ6" s="1110"/>
      <c r="DA6" s="1124"/>
      <c r="DB6" s="1128"/>
      <c r="DC6" s="1129" t="s">
        <v>75</v>
      </c>
      <c r="DD6" s="1110"/>
      <c r="DE6" s="1124"/>
      <c r="DF6" s="1128"/>
      <c r="DG6" s="1129" t="s">
        <v>75</v>
      </c>
      <c r="DH6" s="1110"/>
      <c r="DI6" s="1124"/>
      <c r="DJ6" s="1128"/>
      <c r="DK6" s="1129" t="s">
        <v>75</v>
      </c>
      <c r="DL6" s="1110"/>
      <c r="DM6" s="1124"/>
      <c r="DN6" s="1128"/>
      <c r="DO6" s="1129" t="s">
        <v>75</v>
      </c>
      <c r="DP6" s="1110"/>
      <c r="DQ6" s="1124"/>
      <c r="DR6" s="8">
        <f>SUM(CZ5:CZ26,DL5:DM26,CR5:CS26,DA5:DA26,CF5:CF26,CG5:CG26,DD5:DD26,DE5:DE26,CJ5:CJ26,CK5:CK26,DH5:DH26,DI5:DI26,CN5:CN26,CO5:CO26,DP5:DP26,DQ5:DQ26,CV5:CV26,CW5:CW26)*1</f>
        <v>0</v>
      </c>
      <c r="DS6" s="469"/>
      <c r="DT6" s="470"/>
      <c r="DU6" s="470"/>
    </row>
    <row r="7" spans="1:125" s="8" customFormat="1" ht="15" customHeight="1" thickBot="1">
      <c r="A7" s="1559"/>
      <c r="B7" s="1132" t="s">
        <v>297</v>
      </c>
      <c r="C7" s="1132" t="s">
        <v>1470</v>
      </c>
      <c r="D7" s="1069"/>
      <c r="E7" s="1108" t="s">
        <v>76</v>
      </c>
      <c r="F7" s="1109"/>
      <c r="G7" s="1070"/>
      <c r="H7" s="1108" t="s">
        <v>76</v>
      </c>
      <c r="I7" s="1109"/>
      <c r="J7" s="1070"/>
      <c r="K7" s="1108" t="s">
        <v>76</v>
      </c>
      <c r="L7" s="1110"/>
      <c r="M7" s="1111"/>
      <c r="N7" s="1112"/>
      <c r="O7" s="1113" t="s">
        <v>76</v>
      </c>
      <c r="P7" s="1110"/>
      <c r="Q7" s="1111"/>
      <c r="R7" s="1114"/>
      <c r="S7" s="1113" t="s">
        <v>76</v>
      </c>
      <c r="T7" s="1110"/>
      <c r="U7" s="1111"/>
      <c r="V7" s="1112"/>
      <c r="W7" s="1113" t="s">
        <v>76</v>
      </c>
      <c r="X7" s="1110"/>
      <c r="Y7" s="1111"/>
      <c r="Z7" s="1114"/>
      <c r="AA7" s="1113" t="s">
        <v>76</v>
      </c>
      <c r="AB7" s="1111"/>
      <c r="AC7" s="1560"/>
      <c r="AD7" s="1115" t="s">
        <v>76</v>
      </c>
      <c r="AE7" s="1110"/>
      <c r="AF7" s="1111"/>
      <c r="AG7" s="1128"/>
      <c r="AH7" s="1115" t="s">
        <v>76</v>
      </c>
      <c r="AI7" s="1111"/>
      <c r="AJ7" s="1128"/>
      <c r="AK7" s="1113" t="s">
        <v>76</v>
      </c>
      <c r="AL7" s="1110"/>
      <c r="AM7" s="1111"/>
      <c r="AN7" s="1128"/>
      <c r="AO7" s="1113" t="s">
        <v>76</v>
      </c>
      <c r="AP7" s="1111"/>
      <c r="AQ7" s="1530"/>
      <c r="AR7" s="1113" t="s">
        <v>76</v>
      </c>
      <c r="AS7" s="1110"/>
      <c r="AT7" s="1111"/>
      <c r="AU7" s="1128"/>
      <c r="AV7" s="1113" t="s">
        <v>76</v>
      </c>
      <c r="AW7" s="1111"/>
      <c r="AX7" s="1128"/>
      <c r="AY7" s="1113" t="s">
        <v>76</v>
      </c>
      <c r="AZ7" s="1110"/>
      <c r="BA7" s="1111"/>
      <c r="BB7" s="1128"/>
      <c r="BC7" s="1113" t="s">
        <v>76</v>
      </c>
      <c r="BD7" s="1111"/>
      <c r="BE7" s="1128"/>
      <c r="BF7" s="1113" t="s">
        <v>76</v>
      </c>
      <c r="BG7" s="1110"/>
      <c r="BH7" s="1111"/>
      <c r="BI7" s="1128"/>
      <c r="BJ7" s="1113" t="s">
        <v>76</v>
      </c>
      <c r="BK7" s="1111"/>
      <c r="BL7" s="1128"/>
      <c r="BM7" s="1113" t="s">
        <v>76</v>
      </c>
      <c r="BN7" s="1110"/>
      <c r="BO7" s="1111"/>
      <c r="BP7" s="1128"/>
      <c r="BQ7" s="1113" t="s">
        <v>76</v>
      </c>
      <c r="BR7" s="1111"/>
      <c r="BS7" s="1128"/>
      <c r="BT7" s="1113" t="s">
        <v>76</v>
      </c>
      <c r="BU7" s="1110"/>
      <c r="BV7" s="1111"/>
      <c r="BW7" s="1128"/>
      <c r="BX7" s="1113" t="s">
        <v>76</v>
      </c>
      <c r="BY7" s="1111"/>
      <c r="BZ7" s="1128"/>
      <c r="CA7" s="1113" t="s">
        <v>76</v>
      </c>
      <c r="CB7" s="1110"/>
      <c r="CC7" s="1111"/>
      <c r="CD7" s="1128"/>
      <c r="CE7" s="1123" t="s">
        <v>76</v>
      </c>
      <c r="CF7" s="1130"/>
      <c r="CG7" s="1131"/>
      <c r="CH7" s="1128"/>
      <c r="CI7" s="1123" t="s">
        <v>76</v>
      </c>
      <c r="CJ7" s="1130"/>
      <c r="CK7" s="1131"/>
      <c r="CL7" s="1128"/>
      <c r="CM7" s="1123" t="s">
        <v>76</v>
      </c>
      <c r="CN7" s="1130"/>
      <c r="CO7" s="1131"/>
      <c r="CP7" s="1114"/>
      <c r="CQ7" s="1123" t="s">
        <v>76</v>
      </c>
      <c r="CR7" s="1130"/>
      <c r="CS7" s="1131"/>
      <c r="CT7" s="1128"/>
      <c r="CU7" s="1123" t="s">
        <v>76</v>
      </c>
      <c r="CV7" s="1130"/>
      <c r="CW7" s="1131"/>
      <c r="CX7" s="1128"/>
      <c r="CY7" s="1123" t="s">
        <v>76</v>
      </c>
      <c r="CZ7" s="1110"/>
      <c r="DA7" s="1124"/>
      <c r="DB7" s="1128"/>
      <c r="DC7" s="1123" t="s">
        <v>76</v>
      </c>
      <c r="DD7" s="1110"/>
      <c r="DE7" s="1124"/>
      <c r="DF7" s="1128"/>
      <c r="DG7" s="1123" t="s">
        <v>76</v>
      </c>
      <c r="DH7" s="1110"/>
      <c r="DI7" s="1124"/>
      <c r="DJ7" s="1128"/>
      <c r="DK7" s="1123" t="s">
        <v>76</v>
      </c>
      <c r="DL7" s="1110"/>
      <c r="DM7" s="1124"/>
      <c r="DN7" s="1128"/>
      <c r="DO7" s="1123" t="s">
        <v>76</v>
      </c>
      <c r="DP7" s="1110"/>
      <c r="DQ7" s="1124"/>
      <c r="DR7" s="31"/>
      <c r="DS7" s="469"/>
      <c r="DT7" s="470"/>
      <c r="DU7" s="470"/>
    </row>
    <row r="8" spans="1:125" s="8" customFormat="1" ht="15" customHeight="1" thickBot="1">
      <c r="A8" s="1559"/>
      <c r="B8" s="1133" t="s">
        <v>520</v>
      </c>
      <c r="C8" s="1134">
        <v>0</v>
      </c>
      <c r="D8" s="1069"/>
      <c r="E8" s="1125" t="s">
        <v>77</v>
      </c>
      <c r="F8" s="1109"/>
      <c r="G8" s="1070"/>
      <c r="H8" s="1125" t="s">
        <v>77</v>
      </c>
      <c r="I8" s="1109"/>
      <c r="J8" s="1070"/>
      <c r="K8" s="1125" t="s">
        <v>77</v>
      </c>
      <c r="L8" s="1110"/>
      <c r="M8" s="1111"/>
      <c r="N8" s="1112"/>
      <c r="O8" s="1126" t="s">
        <v>77</v>
      </c>
      <c r="P8" s="1110"/>
      <c r="Q8" s="1111"/>
      <c r="R8" s="1114"/>
      <c r="S8" s="1126" t="s">
        <v>77</v>
      </c>
      <c r="T8" s="1110"/>
      <c r="U8" s="1111"/>
      <c r="V8" s="1112"/>
      <c r="W8" s="1126" t="s">
        <v>77</v>
      </c>
      <c r="X8" s="1110"/>
      <c r="Y8" s="1111"/>
      <c r="Z8" s="1114"/>
      <c r="AA8" s="1126" t="s">
        <v>77</v>
      </c>
      <c r="AB8" s="1111"/>
      <c r="AC8" s="1560"/>
      <c r="AD8" s="1127" t="s">
        <v>77</v>
      </c>
      <c r="AE8" s="1110"/>
      <c r="AF8" s="1111"/>
      <c r="AG8" s="1128"/>
      <c r="AH8" s="1127" t="s">
        <v>77</v>
      </c>
      <c r="AI8" s="1111"/>
      <c r="AJ8" s="1128"/>
      <c r="AK8" s="1126" t="s">
        <v>77</v>
      </c>
      <c r="AL8" s="1110"/>
      <c r="AM8" s="1111"/>
      <c r="AN8" s="1128"/>
      <c r="AO8" s="1126" t="s">
        <v>77</v>
      </c>
      <c r="AP8" s="1111"/>
      <c r="AQ8" s="1530"/>
      <c r="AR8" s="1126" t="s">
        <v>77</v>
      </c>
      <c r="AS8" s="1110"/>
      <c r="AT8" s="1111"/>
      <c r="AU8" s="1128"/>
      <c r="AV8" s="1126" t="s">
        <v>77</v>
      </c>
      <c r="AW8" s="1111"/>
      <c r="AX8" s="1128"/>
      <c r="AY8" s="1126" t="s">
        <v>77</v>
      </c>
      <c r="AZ8" s="1110"/>
      <c r="BA8" s="1111"/>
      <c r="BB8" s="1128"/>
      <c r="BC8" s="1126" t="s">
        <v>77</v>
      </c>
      <c r="BD8" s="1111"/>
      <c r="BE8" s="1128"/>
      <c r="BF8" s="1126" t="s">
        <v>77</v>
      </c>
      <c r="BG8" s="1110"/>
      <c r="BH8" s="1111"/>
      <c r="BI8" s="1128"/>
      <c r="BJ8" s="1126" t="s">
        <v>77</v>
      </c>
      <c r="BK8" s="1111"/>
      <c r="BL8" s="1128"/>
      <c r="BM8" s="1126" t="s">
        <v>77</v>
      </c>
      <c r="BN8" s="1110"/>
      <c r="BO8" s="1111"/>
      <c r="BP8" s="1128"/>
      <c r="BQ8" s="1126" t="s">
        <v>77</v>
      </c>
      <c r="BR8" s="1111"/>
      <c r="BS8" s="1128"/>
      <c r="BT8" s="1126" t="s">
        <v>77</v>
      </c>
      <c r="BU8" s="1110"/>
      <c r="BV8" s="1111"/>
      <c r="BW8" s="1128"/>
      <c r="BX8" s="1126" t="s">
        <v>77</v>
      </c>
      <c r="BY8" s="1111"/>
      <c r="BZ8" s="1128"/>
      <c r="CA8" s="1126" t="s">
        <v>77</v>
      </c>
      <c r="CB8" s="1110"/>
      <c r="CC8" s="1111"/>
      <c r="CD8" s="1128"/>
      <c r="CE8" s="1129" t="s">
        <v>77</v>
      </c>
      <c r="CF8" s="1130"/>
      <c r="CG8" s="1131"/>
      <c r="CH8" s="1128"/>
      <c r="CI8" s="1129" t="s">
        <v>77</v>
      </c>
      <c r="CJ8" s="1130"/>
      <c r="CK8" s="1131"/>
      <c r="CL8" s="1128"/>
      <c r="CM8" s="1129" t="s">
        <v>77</v>
      </c>
      <c r="CN8" s="1130"/>
      <c r="CO8" s="1131"/>
      <c r="CP8" s="1114"/>
      <c r="CQ8" s="1129" t="s">
        <v>77</v>
      </c>
      <c r="CR8" s="1130"/>
      <c r="CS8" s="1131"/>
      <c r="CT8" s="1128"/>
      <c r="CU8" s="1129" t="s">
        <v>77</v>
      </c>
      <c r="CV8" s="1130"/>
      <c r="CW8" s="1131"/>
      <c r="CX8" s="1128"/>
      <c r="CY8" s="1129" t="s">
        <v>77</v>
      </c>
      <c r="CZ8" s="1110"/>
      <c r="DA8" s="1124"/>
      <c r="DB8" s="1128"/>
      <c r="DC8" s="1129" t="s">
        <v>77</v>
      </c>
      <c r="DD8" s="1110"/>
      <c r="DE8" s="1124"/>
      <c r="DF8" s="1128"/>
      <c r="DG8" s="1129" t="s">
        <v>77</v>
      </c>
      <c r="DH8" s="1110"/>
      <c r="DI8" s="1124"/>
      <c r="DJ8" s="1128"/>
      <c r="DK8" s="1129" t="s">
        <v>77</v>
      </c>
      <c r="DL8" s="1110"/>
      <c r="DM8" s="1124"/>
      <c r="DN8" s="1128"/>
      <c r="DO8" s="1129" t="s">
        <v>77</v>
      </c>
      <c r="DP8" s="1110"/>
      <c r="DQ8" s="1124"/>
      <c r="DR8" s="31"/>
      <c r="DS8" s="469"/>
      <c r="DT8" s="470"/>
      <c r="DU8" s="470"/>
    </row>
    <row r="9" spans="1:125" s="8" customFormat="1" ht="15" customHeight="1" thickBot="1">
      <c r="A9" s="1559"/>
      <c r="B9" s="1135" t="s">
        <v>521</v>
      </c>
      <c r="C9" s="1134">
        <v>0</v>
      </c>
      <c r="D9" s="1069"/>
      <c r="E9" s="1108" t="s">
        <v>100</v>
      </c>
      <c r="F9" s="1109"/>
      <c r="G9" s="1070"/>
      <c r="H9" s="1108" t="s">
        <v>100</v>
      </c>
      <c r="I9" s="1109"/>
      <c r="J9" s="1070"/>
      <c r="K9" s="1108" t="s">
        <v>100</v>
      </c>
      <c r="L9" s="1110"/>
      <c r="M9" s="1111"/>
      <c r="N9" s="1112"/>
      <c r="O9" s="1113" t="s">
        <v>100</v>
      </c>
      <c r="P9" s="1110"/>
      <c r="Q9" s="1111"/>
      <c r="R9" s="1114"/>
      <c r="S9" s="1113" t="s">
        <v>100</v>
      </c>
      <c r="T9" s="1110"/>
      <c r="U9" s="1111"/>
      <c r="V9" s="1112"/>
      <c r="W9" s="1113" t="s">
        <v>100</v>
      </c>
      <c r="X9" s="1110"/>
      <c r="Y9" s="1111"/>
      <c r="Z9" s="1114"/>
      <c r="AA9" s="1113" t="s">
        <v>100</v>
      </c>
      <c r="AB9" s="1111"/>
      <c r="AC9" s="1560"/>
      <c r="AD9" s="1115" t="s">
        <v>100</v>
      </c>
      <c r="AE9" s="1110"/>
      <c r="AF9" s="1111"/>
      <c r="AG9" s="1128"/>
      <c r="AH9" s="1115" t="s">
        <v>100</v>
      </c>
      <c r="AI9" s="1111"/>
      <c r="AJ9" s="1128"/>
      <c r="AK9" s="1113" t="s">
        <v>100</v>
      </c>
      <c r="AL9" s="1110"/>
      <c r="AM9" s="1111"/>
      <c r="AN9" s="1128"/>
      <c r="AO9" s="1113" t="s">
        <v>100</v>
      </c>
      <c r="AP9" s="1111"/>
      <c r="AQ9" s="1530"/>
      <c r="AR9" s="1113" t="s">
        <v>100</v>
      </c>
      <c r="AS9" s="1110"/>
      <c r="AT9" s="1111"/>
      <c r="AU9" s="1128"/>
      <c r="AV9" s="1113" t="s">
        <v>100</v>
      </c>
      <c r="AW9" s="1111"/>
      <c r="AX9" s="1128"/>
      <c r="AY9" s="1113" t="s">
        <v>100</v>
      </c>
      <c r="AZ9" s="1110"/>
      <c r="BA9" s="1111"/>
      <c r="BB9" s="1128"/>
      <c r="BC9" s="1113" t="s">
        <v>100</v>
      </c>
      <c r="BD9" s="1111"/>
      <c r="BE9" s="1128"/>
      <c r="BF9" s="1113" t="s">
        <v>100</v>
      </c>
      <c r="BG9" s="1110"/>
      <c r="BH9" s="1111"/>
      <c r="BI9" s="1128"/>
      <c r="BJ9" s="1113" t="s">
        <v>100</v>
      </c>
      <c r="BK9" s="1111"/>
      <c r="BL9" s="1128"/>
      <c r="BM9" s="1113" t="s">
        <v>100</v>
      </c>
      <c r="BN9" s="1110"/>
      <c r="BO9" s="1111"/>
      <c r="BP9" s="1128"/>
      <c r="BQ9" s="1113" t="s">
        <v>100</v>
      </c>
      <c r="BR9" s="1111"/>
      <c r="BS9" s="1128"/>
      <c r="BT9" s="1113" t="s">
        <v>100</v>
      </c>
      <c r="BU9" s="1110"/>
      <c r="BV9" s="1111"/>
      <c r="BW9" s="1128"/>
      <c r="BX9" s="1113" t="s">
        <v>100</v>
      </c>
      <c r="BY9" s="1111"/>
      <c r="BZ9" s="1128"/>
      <c r="CA9" s="1113" t="s">
        <v>100</v>
      </c>
      <c r="CB9" s="1110"/>
      <c r="CC9" s="1111"/>
      <c r="CD9" s="1128"/>
      <c r="CE9" s="1123" t="s">
        <v>100</v>
      </c>
      <c r="CF9" s="1130"/>
      <c r="CG9" s="1131"/>
      <c r="CH9" s="1128"/>
      <c r="CI9" s="1123" t="s">
        <v>100</v>
      </c>
      <c r="CJ9" s="1130"/>
      <c r="CK9" s="1131"/>
      <c r="CL9" s="1128"/>
      <c r="CM9" s="1123" t="s">
        <v>100</v>
      </c>
      <c r="CN9" s="1130"/>
      <c r="CO9" s="1131"/>
      <c r="CP9" s="1114"/>
      <c r="CQ9" s="1123" t="s">
        <v>100</v>
      </c>
      <c r="CR9" s="1130"/>
      <c r="CS9" s="1131"/>
      <c r="CT9" s="1128"/>
      <c r="CU9" s="1123" t="s">
        <v>100</v>
      </c>
      <c r="CV9" s="1130"/>
      <c r="CW9" s="1131"/>
      <c r="CX9" s="1128"/>
      <c r="CY9" s="1123" t="s">
        <v>100</v>
      </c>
      <c r="CZ9" s="1110"/>
      <c r="DA9" s="1124"/>
      <c r="DB9" s="1128"/>
      <c r="DC9" s="1123" t="s">
        <v>100</v>
      </c>
      <c r="DD9" s="1110"/>
      <c r="DE9" s="1124"/>
      <c r="DF9" s="1128"/>
      <c r="DG9" s="1123" t="s">
        <v>100</v>
      </c>
      <c r="DH9" s="1110"/>
      <c r="DI9" s="1124"/>
      <c r="DJ9" s="1128"/>
      <c r="DK9" s="1123" t="s">
        <v>100</v>
      </c>
      <c r="DL9" s="1110"/>
      <c r="DM9" s="1124"/>
      <c r="DN9" s="1128"/>
      <c r="DO9" s="1123" t="s">
        <v>100</v>
      </c>
      <c r="DP9" s="1110"/>
      <c r="DQ9" s="1124"/>
      <c r="DR9" s="31"/>
      <c r="DS9" s="471"/>
      <c r="DT9" s="470"/>
      <c r="DU9" s="470"/>
    </row>
    <row r="10" spans="1:125" s="8" customFormat="1" ht="15" customHeight="1" thickBot="1">
      <c r="A10" s="1559"/>
      <c r="B10" s="1133" t="s">
        <v>522</v>
      </c>
      <c r="C10" s="1134">
        <v>0</v>
      </c>
      <c r="D10" s="1069"/>
      <c r="E10" s="1125" t="s">
        <v>78</v>
      </c>
      <c r="F10" s="1109"/>
      <c r="G10" s="1070"/>
      <c r="H10" s="1125" t="s">
        <v>78</v>
      </c>
      <c r="I10" s="1109"/>
      <c r="J10" s="1070"/>
      <c r="K10" s="1125" t="s">
        <v>78</v>
      </c>
      <c r="L10" s="1110"/>
      <c r="M10" s="1111"/>
      <c r="N10" s="1112"/>
      <c r="O10" s="1126" t="s">
        <v>78</v>
      </c>
      <c r="P10" s="1110"/>
      <c r="Q10" s="1111"/>
      <c r="R10" s="1114"/>
      <c r="S10" s="1126" t="s">
        <v>78</v>
      </c>
      <c r="T10" s="1110"/>
      <c r="U10" s="1111"/>
      <c r="V10" s="1112"/>
      <c r="W10" s="1126" t="s">
        <v>78</v>
      </c>
      <c r="X10" s="1110"/>
      <c r="Y10" s="1111"/>
      <c r="Z10" s="1114"/>
      <c r="AA10" s="1126" t="s">
        <v>78</v>
      </c>
      <c r="AB10" s="1111"/>
      <c r="AC10" s="1560"/>
      <c r="AD10" s="1127" t="s">
        <v>78</v>
      </c>
      <c r="AE10" s="1110"/>
      <c r="AF10" s="1111"/>
      <c r="AG10" s="1128"/>
      <c r="AH10" s="1127" t="s">
        <v>78</v>
      </c>
      <c r="AI10" s="1111"/>
      <c r="AJ10" s="1128"/>
      <c r="AK10" s="1126" t="s">
        <v>78</v>
      </c>
      <c r="AL10" s="1110"/>
      <c r="AM10" s="1111"/>
      <c r="AN10" s="1128"/>
      <c r="AO10" s="1126" t="s">
        <v>78</v>
      </c>
      <c r="AP10" s="1111"/>
      <c r="AQ10" s="1530"/>
      <c r="AR10" s="1126" t="s">
        <v>78</v>
      </c>
      <c r="AS10" s="1110"/>
      <c r="AT10" s="1111"/>
      <c r="AU10" s="1128"/>
      <c r="AV10" s="1126" t="s">
        <v>78</v>
      </c>
      <c r="AW10" s="1111"/>
      <c r="AX10" s="1128"/>
      <c r="AY10" s="1126" t="s">
        <v>78</v>
      </c>
      <c r="AZ10" s="1110"/>
      <c r="BA10" s="1111"/>
      <c r="BB10" s="1128"/>
      <c r="BC10" s="1126" t="s">
        <v>78</v>
      </c>
      <c r="BD10" s="1111"/>
      <c r="BE10" s="1128"/>
      <c r="BF10" s="1126" t="s">
        <v>78</v>
      </c>
      <c r="BG10" s="1110"/>
      <c r="BH10" s="1111"/>
      <c r="BI10" s="1128"/>
      <c r="BJ10" s="1126" t="s">
        <v>78</v>
      </c>
      <c r="BK10" s="1111"/>
      <c r="BL10" s="1128"/>
      <c r="BM10" s="1126" t="s">
        <v>78</v>
      </c>
      <c r="BN10" s="1110"/>
      <c r="BO10" s="1111"/>
      <c r="BP10" s="1128"/>
      <c r="BQ10" s="1126" t="s">
        <v>78</v>
      </c>
      <c r="BR10" s="1111"/>
      <c r="BS10" s="1128"/>
      <c r="BT10" s="1126" t="s">
        <v>78</v>
      </c>
      <c r="BU10" s="1110"/>
      <c r="BV10" s="1111"/>
      <c r="BW10" s="1128"/>
      <c r="BX10" s="1126" t="s">
        <v>78</v>
      </c>
      <c r="BY10" s="1111"/>
      <c r="BZ10" s="1128"/>
      <c r="CA10" s="1126" t="s">
        <v>78</v>
      </c>
      <c r="CB10" s="1110"/>
      <c r="CC10" s="1111"/>
      <c r="CD10" s="1128"/>
      <c r="CE10" s="1129" t="s">
        <v>78</v>
      </c>
      <c r="CF10" s="1130"/>
      <c r="CG10" s="1131"/>
      <c r="CH10" s="1128"/>
      <c r="CI10" s="1129" t="s">
        <v>78</v>
      </c>
      <c r="CJ10" s="1130"/>
      <c r="CK10" s="1131"/>
      <c r="CL10" s="1128"/>
      <c r="CM10" s="1129" t="s">
        <v>78</v>
      </c>
      <c r="CN10" s="1130"/>
      <c r="CO10" s="1131"/>
      <c r="CP10" s="1114"/>
      <c r="CQ10" s="1129" t="s">
        <v>78</v>
      </c>
      <c r="CR10" s="1130"/>
      <c r="CS10" s="1131"/>
      <c r="CT10" s="1128"/>
      <c r="CU10" s="1129" t="s">
        <v>78</v>
      </c>
      <c r="CV10" s="1130"/>
      <c r="CW10" s="1131"/>
      <c r="CX10" s="1128"/>
      <c r="CY10" s="1129" t="s">
        <v>78</v>
      </c>
      <c r="CZ10" s="1110"/>
      <c r="DA10" s="1124"/>
      <c r="DB10" s="1128"/>
      <c r="DC10" s="1129" t="s">
        <v>78</v>
      </c>
      <c r="DD10" s="1110"/>
      <c r="DE10" s="1124"/>
      <c r="DF10" s="1128"/>
      <c r="DG10" s="1129" t="s">
        <v>78</v>
      </c>
      <c r="DH10" s="1110"/>
      <c r="DI10" s="1124"/>
      <c r="DJ10" s="1128"/>
      <c r="DK10" s="1129" t="s">
        <v>78</v>
      </c>
      <c r="DL10" s="1110"/>
      <c r="DM10" s="1124"/>
      <c r="DN10" s="1128"/>
      <c r="DO10" s="1129" t="s">
        <v>78</v>
      </c>
      <c r="DP10" s="1110"/>
      <c r="DQ10" s="1124"/>
      <c r="DR10" s="31"/>
      <c r="DS10" s="471"/>
      <c r="DT10" s="470"/>
      <c r="DU10" s="470"/>
    </row>
    <row r="11" spans="1:125" s="8" customFormat="1" ht="15" customHeight="1" thickBot="1">
      <c r="A11" s="1559"/>
      <c r="B11" s="1135" t="s">
        <v>523</v>
      </c>
      <c r="C11" s="1134">
        <v>0</v>
      </c>
      <c r="D11" s="1069"/>
      <c r="E11" s="1108" t="s">
        <v>79</v>
      </c>
      <c r="F11" s="1109"/>
      <c r="G11" s="1070"/>
      <c r="H11" s="1108" t="s">
        <v>79</v>
      </c>
      <c r="I11" s="1109"/>
      <c r="J11" s="1070"/>
      <c r="K11" s="1108" t="s">
        <v>79</v>
      </c>
      <c r="L11" s="1110"/>
      <c r="M11" s="1111"/>
      <c r="N11" s="1112"/>
      <c r="O11" s="1113" t="s">
        <v>79</v>
      </c>
      <c r="P11" s="1110"/>
      <c r="Q11" s="1111"/>
      <c r="R11" s="1114"/>
      <c r="S11" s="1113" t="s">
        <v>79</v>
      </c>
      <c r="T11" s="1110"/>
      <c r="U11" s="1111"/>
      <c r="V11" s="1112"/>
      <c r="W11" s="1113" t="s">
        <v>79</v>
      </c>
      <c r="X11" s="1110"/>
      <c r="Y11" s="1111"/>
      <c r="Z11" s="1114"/>
      <c r="AA11" s="1113" t="s">
        <v>79</v>
      </c>
      <c r="AB11" s="1111"/>
      <c r="AC11" s="1560"/>
      <c r="AD11" s="1136" t="s">
        <v>79</v>
      </c>
      <c r="AE11" s="1110"/>
      <c r="AF11" s="1111"/>
      <c r="AG11" s="1128"/>
      <c r="AH11" s="1136" t="s">
        <v>79</v>
      </c>
      <c r="AI11" s="1111"/>
      <c r="AJ11" s="1128"/>
      <c r="AK11" s="1113" t="s">
        <v>79</v>
      </c>
      <c r="AL11" s="1110"/>
      <c r="AM11" s="1111"/>
      <c r="AN11" s="1128"/>
      <c r="AO11" s="1113" t="s">
        <v>79</v>
      </c>
      <c r="AP11" s="1111"/>
      <c r="AQ11" s="1530"/>
      <c r="AR11" s="1113" t="s">
        <v>79</v>
      </c>
      <c r="AS11" s="1110"/>
      <c r="AT11" s="1111"/>
      <c r="AU11" s="1128"/>
      <c r="AV11" s="1113" t="s">
        <v>79</v>
      </c>
      <c r="AW11" s="1111"/>
      <c r="AX11" s="1128"/>
      <c r="AY11" s="1113" t="s">
        <v>79</v>
      </c>
      <c r="AZ11" s="1110"/>
      <c r="BA11" s="1111"/>
      <c r="BB11" s="1128"/>
      <c r="BC11" s="1113" t="s">
        <v>79</v>
      </c>
      <c r="BD11" s="1111"/>
      <c r="BE11" s="1128"/>
      <c r="BF11" s="1113" t="s">
        <v>79</v>
      </c>
      <c r="BG11" s="1110"/>
      <c r="BH11" s="1111"/>
      <c r="BI11" s="1128"/>
      <c r="BJ11" s="1113" t="s">
        <v>79</v>
      </c>
      <c r="BK11" s="1111"/>
      <c r="BL11" s="1128"/>
      <c r="BM11" s="1113" t="s">
        <v>79</v>
      </c>
      <c r="BN11" s="1110"/>
      <c r="BO11" s="1111"/>
      <c r="BP11" s="1128"/>
      <c r="BQ11" s="1113" t="s">
        <v>79</v>
      </c>
      <c r="BR11" s="1111"/>
      <c r="BS11" s="1128"/>
      <c r="BT11" s="1113" t="s">
        <v>79</v>
      </c>
      <c r="BU11" s="1110"/>
      <c r="BV11" s="1111"/>
      <c r="BW11" s="1128"/>
      <c r="BX11" s="1113" t="s">
        <v>79</v>
      </c>
      <c r="BY11" s="1111"/>
      <c r="BZ11" s="1128"/>
      <c r="CA11" s="1113" t="s">
        <v>79</v>
      </c>
      <c r="CB11" s="1110"/>
      <c r="CC11" s="1111"/>
      <c r="CD11" s="1128"/>
      <c r="CE11" s="1123" t="s">
        <v>79</v>
      </c>
      <c r="CF11" s="1130"/>
      <c r="CG11" s="1131"/>
      <c r="CH11" s="1128"/>
      <c r="CI11" s="1123" t="s">
        <v>79</v>
      </c>
      <c r="CJ11" s="1130"/>
      <c r="CK11" s="1131"/>
      <c r="CL11" s="1128"/>
      <c r="CM11" s="1123" t="s">
        <v>79</v>
      </c>
      <c r="CN11" s="1130"/>
      <c r="CO11" s="1131"/>
      <c r="CP11" s="1114"/>
      <c r="CQ11" s="1123" t="s">
        <v>79</v>
      </c>
      <c r="CR11" s="1130"/>
      <c r="CS11" s="1131"/>
      <c r="CT11" s="1128"/>
      <c r="CU11" s="1123" t="s">
        <v>79</v>
      </c>
      <c r="CV11" s="1130"/>
      <c r="CW11" s="1131"/>
      <c r="CX11" s="1128"/>
      <c r="CY11" s="1123" t="s">
        <v>79</v>
      </c>
      <c r="CZ11" s="1110"/>
      <c r="DA11" s="1124"/>
      <c r="DB11" s="1128"/>
      <c r="DC11" s="1123" t="s">
        <v>79</v>
      </c>
      <c r="DD11" s="1110"/>
      <c r="DE11" s="1124"/>
      <c r="DF11" s="1128"/>
      <c r="DG11" s="1123" t="s">
        <v>79</v>
      </c>
      <c r="DH11" s="1110"/>
      <c r="DI11" s="1124"/>
      <c r="DJ11" s="1128"/>
      <c r="DK11" s="1123" t="s">
        <v>79</v>
      </c>
      <c r="DL11" s="1110"/>
      <c r="DM11" s="1124"/>
      <c r="DN11" s="1128"/>
      <c r="DO11" s="1123" t="s">
        <v>79</v>
      </c>
      <c r="DP11" s="1110"/>
      <c r="DQ11" s="1124"/>
      <c r="DR11" s="31"/>
      <c r="DS11" s="471"/>
      <c r="DT11" s="470"/>
      <c r="DU11" s="470"/>
    </row>
    <row r="12" spans="1:125" s="8" customFormat="1" ht="15" customHeight="1" thickBot="1">
      <c r="A12" s="1559"/>
      <c r="B12" s="1113" t="s">
        <v>1804</v>
      </c>
      <c r="C12" s="1134">
        <v>0</v>
      </c>
      <c r="D12" s="1069"/>
      <c r="E12" s="1125" t="s">
        <v>80</v>
      </c>
      <c r="F12" s="1109"/>
      <c r="G12" s="1070"/>
      <c r="H12" s="1125" t="s">
        <v>80</v>
      </c>
      <c r="I12" s="1109"/>
      <c r="J12" s="1070"/>
      <c r="K12" s="1125" t="s">
        <v>80</v>
      </c>
      <c r="L12" s="1110"/>
      <c r="M12" s="1111"/>
      <c r="N12" s="1112"/>
      <c r="O12" s="1126" t="s">
        <v>80</v>
      </c>
      <c r="P12" s="1110"/>
      <c r="Q12" s="1111"/>
      <c r="R12" s="1114"/>
      <c r="S12" s="1126" t="s">
        <v>80</v>
      </c>
      <c r="T12" s="1110"/>
      <c r="U12" s="1111"/>
      <c r="V12" s="1112"/>
      <c r="W12" s="1126" t="s">
        <v>80</v>
      </c>
      <c r="X12" s="1110"/>
      <c r="Y12" s="1111"/>
      <c r="Z12" s="1114"/>
      <c r="AA12" s="1126" t="s">
        <v>80</v>
      </c>
      <c r="AB12" s="1111"/>
      <c r="AC12" s="1560"/>
      <c r="AD12" s="1137" t="s">
        <v>80</v>
      </c>
      <c r="AE12" s="1110"/>
      <c r="AF12" s="1111"/>
      <c r="AG12" s="1128"/>
      <c r="AH12" s="1137" t="s">
        <v>80</v>
      </c>
      <c r="AI12" s="1111"/>
      <c r="AJ12" s="1128"/>
      <c r="AK12" s="1126" t="s">
        <v>80</v>
      </c>
      <c r="AL12" s="1110"/>
      <c r="AM12" s="1111"/>
      <c r="AN12" s="1128"/>
      <c r="AO12" s="1126" t="s">
        <v>80</v>
      </c>
      <c r="AP12" s="1111"/>
      <c r="AQ12" s="1530"/>
      <c r="AR12" s="1126" t="s">
        <v>80</v>
      </c>
      <c r="AS12" s="1110"/>
      <c r="AT12" s="1111"/>
      <c r="AU12" s="1138"/>
      <c r="AV12" s="1126" t="s">
        <v>80</v>
      </c>
      <c r="AW12" s="1111"/>
      <c r="AX12" s="1138"/>
      <c r="AY12" s="1126" t="s">
        <v>80</v>
      </c>
      <c r="AZ12" s="1110"/>
      <c r="BA12" s="1111"/>
      <c r="BB12" s="1138"/>
      <c r="BC12" s="1126" t="s">
        <v>80</v>
      </c>
      <c r="BD12" s="1111"/>
      <c r="BE12" s="1138"/>
      <c r="BF12" s="1126" t="s">
        <v>80</v>
      </c>
      <c r="BG12" s="1110"/>
      <c r="BH12" s="1111"/>
      <c r="BI12" s="1128"/>
      <c r="BJ12" s="1126" t="s">
        <v>80</v>
      </c>
      <c r="BK12" s="1111"/>
      <c r="BL12" s="1128"/>
      <c r="BM12" s="1126" t="s">
        <v>80</v>
      </c>
      <c r="BN12" s="1110"/>
      <c r="BO12" s="1111"/>
      <c r="BP12" s="1128"/>
      <c r="BQ12" s="1126" t="s">
        <v>80</v>
      </c>
      <c r="BR12" s="1111"/>
      <c r="BS12" s="1128"/>
      <c r="BT12" s="1126" t="s">
        <v>80</v>
      </c>
      <c r="BU12" s="1110"/>
      <c r="BV12" s="1111"/>
      <c r="BW12" s="1128"/>
      <c r="BX12" s="1126" t="s">
        <v>80</v>
      </c>
      <c r="BY12" s="1111"/>
      <c r="BZ12" s="1128"/>
      <c r="CA12" s="1126" t="s">
        <v>80</v>
      </c>
      <c r="CB12" s="1110"/>
      <c r="CC12" s="1111"/>
      <c r="CD12" s="1128"/>
      <c r="CE12" s="1129" t="s">
        <v>80</v>
      </c>
      <c r="CF12" s="1130"/>
      <c r="CG12" s="1131"/>
      <c r="CH12" s="1128"/>
      <c r="CI12" s="1129" t="s">
        <v>80</v>
      </c>
      <c r="CJ12" s="1130"/>
      <c r="CK12" s="1131"/>
      <c r="CL12" s="1128"/>
      <c r="CM12" s="1129" t="s">
        <v>80</v>
      </c>
      <c r="CN12" s="1130"/>
      <c r="CO12" s="1131"/>
      <c r="CP12" s="1114"/>
      <c r="CQ12" s="1129" t="s">
        <v>80</v>
      </c>
      <c r="CR12" s="1130"/>
      <c r="CS12" s="1131"/>
      <c r="CT12" s="1128"/>
      <c r="CU12" s="1129" t="s">
        <v>80</v>
      </c>
      <c r="CV12" s="1130"/>
      <c r="CW12" s="1131"/>
      <c r="CX12" s="1128"/>
      <c r="CY12" s="1129" t="s">
        <v>80</v>
      </c>
      <c r="CZ12" s="1110"/>
      <c r="DA12" s="1124"/>
      <c r="DB12" s="1128"/>
      <c r="DC12" s="1129" t="s">
        <v>80</v>
      </c>
      <c r="DD12" s="1110"/>
      <c r="DE12" s="1124"/>
      <c r="DF12" s="1128"/>
      <c r="DG12" s="1129" t="s">
        <v>80</v>
      </c>
      <c r="DH12" s="1110"/>
      <c r="DI12" s="1124"/>
      <c r="DJ12" s="1128"/>
      <c r="DK12" s="1129" t="s">
        <v>80</v>
      </c>
      <c r="DL12" s="1110"/>
      <c r="DM12" s="1124"/>
      <c r="DN12" s="1128"/>
      <c r="DO12" s="1129" t="s">
        <v>80</v>
      </c>
      <c r="DP12" s="1110"/>
      <c r="DQ12" s="1124"/>
      <c r="DR12" s="31"/>
      <c r="DT12" s="38"/>
      <c r="DU12" s="38"/>
    </row>
    <row r="13" spans="1:125" s="8" customFormat="1" ht="15" customHeight="1" thickBot="1">
      <c r="A13" s="1559"/>
      <c r="B13" s="1496" t="s">
        <v>1803</v>
      </c>
      <c r="C13" s="1134">
        <v>0</v>
      </c>
      <c r="D13" s="1069"/>
      <c r="E13" s="1108" t="s">
        <v>81</v>
      </c>
      <c r="F13" s="1109"/>
      <c r="G13" s="1070"/>
      <c r="H13" s="1108" t="s">
        <v>81</v>
      </c>
      <c r="I13" s="1109"/>
      <c r="J13" s="1070"/>
      <c r="K13" s="1108" t="s">
        <v>81</v>
      </c>
      <c r="L13" s="1110"/>
      <c r="M13" s="1111"/>
      <c r="N13" s="1112"/>
      <c r="O13" s="1113" t="s">
        <v>81</v>
      </c>
      <c r="P13" s="1110"/>
      <c r="Q13" s="1111"/>
      <c r="R13" s="1114"/>
      <c r="S13" s="1113" t="s">
        <v>81</v>
      </c>
      <c r="T13" s="1110"/>
      <c r="U13" s="1111"/>
      <c r="V13" s="1112"/>
      <c r="W13" s="1113" t="s">
        <v>81</v>
      </c>
      <c r="X13" s="1110"/>
      <c r="Y13" s="1111"/>
      <c r="Z13" s="1114"/>
      <c r="AA13" s="1113" t="s">
        <v>81</v>
      </c>
      <c r="AB13" s="1111"/>
      <c r="AC13" s="1560"/>
      <c r="AD13" s="1140" t="s">
        <v>81</v>
      </c>
      <c r="AE13" s="1110"/>
      <c r="AF13" s="1111"/>
      <c r="AG13" s="1128"/>
      <c r="AH13" s="1140" t="s">
        <v>81</v>
      </c>
      <c r="AI13" s="1111"/>
      <c r="AJ13" s="1128"/>
      <c r="AK13" s="1113" t="s">
        <v>81</v>
      </c>
      <c r="AL13" s="1110"/>
      <c r="AM13" s="1111"/>
      <c r="AN13" s="1128"/>
      <c r="AO13" s="1113" t="s">
        <v>81</v>
      </c>
      <c r="AP13" s="1111"/>
      <c r="AQ13" s="1530"/>
      <c r="AR13" s="1113" t="s">
        <v>81</v>
      </c>
      <c r="AS13" s="1110"/>
      <c r="AT13" s="1111"/>
      <c r="AU13" s="1128"/>
      <c r="AV13" s="1113" t="s">
        <v>81</v>
      </c>
      <c r="AW13" s="1111"/>
      <c r="AX13" s="1128"/>
      <c r="AY13" s="1113" t="s">
        <v>81</v>
      </c>
      <c r="AZ13" s="1110"/>
      <c r="BA13" s="1111"/>
      <c r="BB13" s="1128"/>
      <c r="BC13" s="1113" t="s">
        <v>81</v>
      </c>
      <c r="BD13" s="1111"/>
      <c r="BE13" s="1128"/>
      <c r="BF13" s="1113" t="s">
        <v>81</v>
      </c>
      <c r="BG13" s="1110"/>
      <c r="BH13" s="1111"/>
      <c r="BI13" s="1128"/>
      <c r="BJ13" s="1113" t="s">
        <v>81</v>
      </c>
      <c r="BK13" s="1111"/>
      <c r="BL13" s="1128"/>
      <c r="BM13" s="1113" t="s">
        <v>81</v>
      </c>
      <c r="BN13" s="1110"/>
      <c r="BO13" s="1111"/>
      <c r="BP13" s="1128"/>
      <c r="BQ13" s="1113" t="s">
        <v>81</v>
      </c>
      <c r="BR13" s="1111"/>
      <c r="BS13" s="1128"/>
      <c r="BT13" s="1113" t="s">
        <v>81</v>
      </c>
      <c r="BU13" s="1110"/>
      <c r="BV13" s="1111"/>
      <c r="BW13" s="1128"/>
      <c r="BX13" s="1113" t="s">
        <v>81</v>
      </c>
      <c r="BY13" s="1111"/>
      <c r="BZ13" s="1128"/>
      <c r="CA13" s="1113" t="s">
        <v>81</v>
      </c>
      <c r="CB13" s="1110"/>
      <c r="CC13" s="1111"/>
      <c r="CD13" s="1128"/>
      <c r="CE13" s="1123" t="s">
        <v>81</v>
      </c>
      <c r="CF13" s="1130"/>
      <c r="CG13" s="1131"/>
      <c r="CH13" s="1128"/>
      <c r="CI13" s="1123" t="s">
        <v>81</v>
      </c>
      <c r="CJ13" s="1130"/>
      <c r="CK13" s="1131"/>
      <c r="CL13" s="1128"/>
      <c r="CM13" s="1123" t="s">
        <v>81</v>
      </c>
      <c r="CN13" s="1130"/>
      <c r="CO13" s="1131"/>
      <c r="CP13" s="1114"/>
      <c r="CQ13" s="1123" t="s">
        <v>81</v>
      </c>
      <c r="CR13" s="1130"/>
      <c r="CS13" s="1131"/>
      <c r="CT13" s="1128"/>
      <c r="CU13" s="1123" t="s">
        <v>81</v>
      </c>
      <c r="CV13" s="1130"/>
      <c r="CW13" s="1131"/>
      <c r="CX13" s="1128"/>
      <c r="CY13" s="1123" t="s">
        <v>81</v>
      </c>
      <c r="CZ13" s="1110"/>
      <c r="DA13" s="1124"/>
      <c r="DB13" s="1128"/>
      <c r="DC13" s="1123" t="s">
        <v>81</v>
      </c>
      <c r="DD13" s="1110"/>
      <c r="DE13" s="1124"/>
      <c r="DF13" s="1128"/>
      <c r="DG13" s="1123" t="s">
        <v>81</v>
      </c>
      <c r="DH13" s="1110"/>
      <c r="DI13" s="1124"/>
      <c r="DJ13" s="1128"/>
      <c r="DK13" s="1123" t="s">
        <v>81</v>
      </c>
      <c r="DL13" s="1110"/>
      <c r="DM13" s="1124"/>
      <c r="DN13" s="1128"/>
      <c r="DO13" s="1123" t="s">
        <v>81</v>
      </c>
      <c r="DP13" s="1110"/>
      <c r="DQ13" s="1124"/>
      <c r="DR13" s="31"/>
      <c r="DT13" s="38"/>
      <c r="DU13" s="38"/>
    </row>
    <row r="14" spans="1:125" s="8" customFormat="1" ht="15" customHeight="1" thickBot="1">
      <c r="A14" s="1559"/>
      <c r="B14" s="1113" t="s">
        <v>178</v>
      </c>
      <c r="C14" s="1134">
        <v>0</v>
      </c>
      <c r="D14" s="1069"/>
      <c r="E14" s="1125" t="s">
        <v>82</v>
      </c>
      <c r="F14" s="1109"/>
      <c r="G14" s="1070"/>
      <c r="H14" s="1125" t="s">
        <v>82</v>
      </c>
      <c r="I14" s="1109"/>
      <c r="J14" s="1070"/>
      <c r="K14" s="1125" t="s">
        <v>82</v>
      </c>
      <c r="L14" s="1110"/>
      <c r="M14" s="1111"/>
      <c r="N14" s="1112"/>
      <c r="O14" s="1126" t="s">
        <v>82</v>
      </c>
      <c r="P14" s="1110"/>
      <c r="Q14" s="1111"/>
      <c r="R14" s="1114"/>
      <c r="S14" s="1126" t="s">
        <v>82</v>
      </c>
      <c r="T14" s="1110"/>
      <c r="U14" s="1111"/>
      <c r="V14" s="1112"/>
      <c r="W14" s="1126" t="s">
        <v>82</v>
      </c>
      <c r="X14" s="1110"/>
      <c r="Y14" s="1111"/>
      <c r="Z14" s="1114"/>
      <c r="AA14" s="1126" t="s">
        <v>82</v>
      </c>
      <c r="AB14" s="1111"/>
      <c r="AC14" s="1560"/>
      <c r="AD14" s="1137" t="s">
        <v>82</v>
      </c>
      <c r="AE14" s="1110"/>
      <c r="AF14" s="1111"/>
      <c r="AG14" s="1128"/>
      <c r="AH14" s="1137" t="s">
        <v>82</v>
      </c>
      <c r="AI14" s="1111"/>
      <c r="AJ14" s="1128"/>
      <c r="AK14" s="1126" t="s">
        <v>82</v>
      </c>
      <c r="AL14" s="1110"/>
      <c r="AM14" s="1111"/>
      <c r="AN14" s="1128"/>
      <c r="AO14" s="1126" t="s">
        <v>82</v>
      </c>
      <c r="AP14" s="1111"/>
      <c r="AQ14" s="1530"/>
      <c r="AR14" s="1126" t="s">
        <v>82</v>
      </c>
      <c r="AS14" s="1110"/>
      <c r="AT14" s="1111"/>
      <c r="AU14" s="1128"/>
      <c r="AV14" s="1126" t="s">
        <v>82</v>
      </c>
      <c r="AW14" s="1111"/>
      <c r="AX14" s="1128"/>
      <c r="AY14" s="1126" t="s">
        <v>82</v>
      </c>
      <c r="AZ14" s="1110"/>
      <c r="BA14" s="1111"/>
      <c r="BB14" s="1128"/>
      <c r="BC14" s="1126" t="s">
        <v>82</v>
      </c>
      <c r="BD14" s="1111"/>
      <c r="BE14" s="1128"/>
      <c r="BF14" s="1126" t="s">
        <v>82</v>
      </c>
      <c r="BG14" s="1110"/>
      <c r="BH14" s="1111"/>
      <c r="BI14" s="1128"/>
      <c r="BJ14" s="1126" t="s">
        <v>82</v>
      </c>
      <c r="BK14" s="1111"/>
      <c r="BL14" s="1128"/>
      <c r="BM14" s="1126" t="s">
        <v>82</v>
      </c>
      <c r="BN14" s="1110"/>
      <c r="BO14" s="1111"/>
      <c r="BP14" s="1128"/>
      <c r="BQ14" s="1126" t="s">
        <v>82</v>
      </c>
      <c r="BR14" s="1111"/>
      <c r="BS14" s="1128"/>
      <c r="BT14" s="1126" t="s">
        <v>82</v>
      </c>
      <c r="BU14" s="1110"/>
      <c r="BV14" s="1111"/>
      <c r="BW14" s="1128"/>
      <c r="BX14" s="1126" t="s">
        <v>82</v>
      </c>
      <c r="BY14" s="1111"/>
      <c r="BZ14" s="1128"/>
      <c r="CA14" s="1126" t="s">
        <v>82</v>
      </c>
      <c r="CB14" s="1110"/>
      <c r="CC14" s="1111"/>
      <c r="CD14" s="1128"/>
      <c r="CE14" s="1129" t="s">
        <v>82</v>
      </c>
      <c r="CF14" s="1130"/>
      <c r="CG14" s="1131"/>
      <c r="CH14" s="1128"/>
      <c r="CI14" s="1129" t="s">
        <v>82</v>
      </c>
      <c r="CJ14" s="1130"/>
      <c r="CK14" s="1131"/>
      <c r="CL14" s="1128"/>
      <c r="CM14" s="1129" t="s">
        <v>82</v>
      </c>
      <c r="CN14" s="1130"/>
      <c r="CO14" s="1131"/>
      <c r="CP14" s="1114"/>
      <c r="CQ14" s="1129" t="s">
        <v>82</v>
      </c>
      <c r="CR14" s="1130"/>
      <c r="CS14" s="1131"/>
      <c r="CT14" s="1128"/>
      <c r="CU14" s="1129" t="s">
        <v>82</v>
      </c>
      <c r="CV14" s="1130"/>
      <c r="CW14" s="1131"/>
      <c r="CX14" s="1128"/>
      <c r="CY14" s="1129" t="s">
        <v>82</v>
      </c>
      <c r="CZ14" s="1110"/>
      <c r="DA14" s="1124"/>
      <c r="DB14" s="1128"/>
      <c r="DC14" s="1129" t="s">
        <v>82</v>
      </c>
      <c r="DD14" s="1110"/>
      <c r="DE14" s="1124"/>
      <c r="DF14" s="1128"/>
      <c r="DG14" s="1129" t="s">
        <v>82</v>
      </c>
      <c r="DH14" s="1110"/>
      <c r="DI14" s="1124"/>
      <c r="DJ14" s="1128"/>
      <c r="DK14" s="1129" t="s">
        <v>82</v>
      </c>
      <c r="DL14" s="1110"/>
      <c r="DM14" s="1124"/>
      <c r="DN14" s="1128"/>
      <c r="DO14" s="1129" t="s">
        <v>82</v>
      </c>
      <c r="DP14" s="1110"/>
      <c r="DQ14" s="1124"/>
      <c r="DR14" s="31"/>
      <c r="DT14" s="38"/>
      <c r="DU14" s="38"/>
    </row>
    <row r="15" spans="1:125" s="8" customFormat="1" ht="15" customHeight="1" thickBot="1">
      <c r="A15" s="1559"/>
      <c r="B15" s="1139" t="s">
        <v>358</v>
      </c>
      <c r="C15" s="1134">
        <v>0</v>
      </c>
      <c r="D15" s="1069"/>
      <c r="E15" s="1108" t="s">
        <v>83</v>
      </c>
      <c r="F15" s="1109"/>
      <c r="G15" s="1070"/>
      <c r="H15" s="1108" t="s">
        <v>83</v>
      </c>
      <c r="I15" s="1109"/>
      <c r="J15" s="1070"/>
      <c r="K15" s="1108" t="s">
        <v>83</v>
      </c>
      <c r="L15" s="1110"/>
      <c r="M15" s="1111"/>
      <c r="N15" s="1112"/>
      <c r="O15" s="1113" t="s">
        <v>83</v>
      </c>
      <c r="P15" s="1110"/>
      <c r="Q15" s="1111"/>
      <c r="R15" s="1114"/>
      <c r="S15" s="1113" t="s">
        <v>83</v>
      </c>
      <c r="T15" s="1110"/>
      <c r="U15" s="1111"/>
      <c r="V15" s="1112"/>
      <c r="W15" s="1113" t="s">
        <v>83</v>
      </c>
      <c r="X15" s="1110"/>
      <c r="Y15" s="1111"/>
      <c r="Z15" s="1114"/>
      <c r="AA15" s="1113" t="s">
        <v>83</v>
      </c>
      <c r="AB15" s="1111"/>
      <c r="AC15" s="1560"/>
      <c r="AD15" s="1115" t="s">
        <v>83</v>
      </c>
      <c r="AE15" s="1110"/>
      <c r="AF15" s="1111"/>
      <c r="AG15" s="1128"/>
      <c r="AH15" s="1115" t="s">
        <v>83</v>
      </c>
      <c r="AI15" s="1111"/>
      <c r="AJ15" s="1128"/>
      <c r="AK15" s="1113" t="s">
        <v>83</v>
      </c>
      <c r="AL15" s="1110"/>
      <c r="AM15" s="1111"/>
      <c r="AN15" s="1128"/>
      <c r="AO15" s="1113" t="s">
        <v>83</v>
      </c>
      <c r="AP15" s="1111"/>
      <c r="AQ15" s="1530"/>
      <c r="AR15" s="1113" t="s">
        <v>83</v>
      </c>
      <c r="AS15" s="1110"/>
      <c r="AT15" s="1111"/>
      <c r="AU15" s="1128"/>
      <c r="AV15" s="1113" t="s">
        <v>83</v>
      </c>
      <c r="AW15" s="1111"/>
      <c r="AX15" s="1128"/>
      <c r="AY15" s="1113" t="s">
        <v>83</v>
      </c>
      <c r="AZ15" s="1110"/>
      <c r="BA15" s="1111"/>
      <c r="BB15" s="1128"/>
      <c r="BC15" s="1113" t="s">
        <v>83</v>
      </c>
      <c r="BD15" s="1111"/>
      <c r="BE15" s="1128"/>
      <c r="BF15" s="1113" t="s">
        <v>83</v>
      </c>
      <c r="BG15" s="1110"/>
      <c r="BH15" s="1111"/>
      <c r="BI15" s="1128"/>
      <c r="BJ15" s="1113" t="s">
        <v>83</v>
      </c>
      <c r="BK15" s="1111"/>
      <c r="BL15" s="1128"/>
      <c r="BM15" s="1113" t="s">
        <v>83</v>
      </c>
      <c r="BN15" s="1110"/>
      <c r="BO15" s="1111"/>
      <c r="BP15" s="1128"/>
      <c r="BQ15" s="1113" t="s">
        <v>83</v>
      </c>
      <c r="BR15" s="1111"/>
      <c r="BS15" s="1128"/>
      <c r="BT15" s="1113" t="s">
        <v>83</v>
      </c>
      <c r="BU15" s="1110"/>
      <c r="BV15" s="1111"/>
      <c r="BW15" s="1128"/>
      <c r="BX15" s="1113" t="s">
        <v>83</v>
      </c>
      <c r="BY15" s="1111"/>
      <c r="BZ15" s="1128"/>
      <c r="CA15" s="1113" t="s">
        <v>83</v>
      </c>
      <c r="CB15" s="1110"/>
      <c r="CC15" s="1111"/>
      <c r="CD15" s="1128"/>
      <c r="CE15" s="1123" t="s">
        <v>83</v>
      </c>
      <c r="CF15" s="1130"/>
      <c r="CG15" s="1131"/>
      <c r="CH15" s="1128"/>
      <c r="CI15" s="1123" t="s">
        <v>83</v>
      </c>
      <c r="CJ15" s="1130"/>
      <c r="CK15" s="1131"/>
      <c r="CL15" s="1128"/>
      <c r="CM15" s="1123" t="s">
        <v>83</v>
      </c>
      <c r="CN15" s="1130"/>
      <c r="CO15" s="1131"/>
      <c r="CP15" s="1114"/>
      <c r="CQ15" s="1123" t="s">
        <v>83</v>
      </c>
      <c r="CR15" s="1130"/>
      <c r="CS15" s="1131"/>
      <c r="CT15" s="1128"/>
      <c r="CU15" s="1123" t="s">
        <v>83</v>
      </c>
      <c r="CV15" s="1130"/>
      <c r="CW15" s="1131"/>
      <c r="CX15" s="1128"/>
      <c r="CY15" s="1123" t="s">
        <v>83</v>
      </c>
      <c r="CZ15" s="1110"/>
      <c r="DA15" s="1124"/>
      <c r="DB15" s="1128"/>
      <c r="DC15" s="1123" t="s">
        <v>83</v>
      </c>
      <c r="DD15" s="1110"/>
      <c r="DE15" s="1124"/>
      <c r="DF15" s="1128"/>
      <c r="DG15" s="1123" t="s">
        <v>83</v>
      </c>
      <c r="DH15" s="1110"/>
      <c r="DI15" s="1124"/>
      <c r="DJ15" s="1128"/>
      <c r="DK15" s="1123" t="s">
        <v>83</v>
      </c>
      <c r="DL15" s="1110"/>
      <c r="DM15" s="1124"/>
      <c r="DN15" s="1128"/>
      <c r="DO15" s="1123" t="s">
        <v>83</v>
      </c>
      <c r="DP15" s="1110"/>
      <c r="DQ15" s="1124"/>
      <c r="DR15" s="31"/>
      <c r="DT15" s="38"/>
      <c r="DU15" s="38"/>
    </row>
    <row r="16" spans="1:125" s="8" customFormat="1" ht="15" customHeight="1" thickBot="1">
      <c r="A16" s="1559"/>
      <c r="B16" s="1113" t="s">
        <v>179</v>
      </c>
      <c r="C16" s="1134">
        <v>0</v>
      </c>
      <c r="D16" s="1069"/>
      <c r="E16" s="1125" t="s">
        <v>85</v>
      </c>
      <c r="F16" s="1109"/>
      <c r="G16" s="1070"/>
      <c r="H16" s="1125" t="s">
        <v>85</v>
      </c>
      <c r="I16" s="1109"/>
      <c r="J16" s="1070"/>
      <c r="K16" s="1125" t="s">
        <v>85</v>
      </c>
      <c r="L16" s="1110"/>
      <c r="M16" s="1111"/>
      <c r="N16" s="1112"/>
      <c r="O16" s="1126" t="s">
        <v>85</v>
      </c>
      <c r="P16" s="1110"/>
      <c r="Q16" s="1111"/>
      <c r="R16" s="1114"/>
      <c r="S16" s="1126" t="s">
        <v>85</v>
      </c>
      <c r="T16" s="1110"/>
      <c r="U16" s="1111"/>
      <c r="V16" s="1112"/>
      <c r="W16" s="1126" t="s">
        <v>85</v>
      </c>
      <c r="X16" s="1110"/>
      <c r="Y16" s="1111"/>
      <c r="Z16" s="1114"/>
      <c r="AA16" s="1126" t="s">
        <v>85</v>
      </c>
      <c r="AB16" s="1111"/>
      <c r="AC16" s="1560"/>
      <c r="AD16" s="1137" t="s">
        <v>85</v>
      </c>
      <c r="AE16" s="1110"/>
      <c r="AF16" s="1111"/>
      <c r="AG16" s="1128"/>
      <c r="AH16" s="1137" t="s">
        <v>85</v>
      </c>
      <c r="AI16" s="1111"/>
      <c r="AJ16" s="1128"/>
      <c r="AK16" s="1126" t="s">
        <v>85</v>
      </c>
      <c r="AL16" s="1110"/>
      <c r="AM16" s="1111"/>
      <c r="AN16" s="1128"/>
      <c r="AO16" s="1126" t="s">
        <v>85</v>
      </c>
      <c r="AP16" s="1111"/>
      <c r="AQ16" s="1530"/>
      <c r="AR16" s="1126" t="s">
        <v>85</v>
      </c>
      <c r="AS16" s="1110"/>
      <c r="AT16" s="1111"/>
      <c r="AU16" s="1128"/>
      <c r="AV16" s="1126" t="s">
        <v>85</v>
      </c>
      <c r="AW16" s="1111"/>
      <c r="AX16" s="1128"/>
      <c r="AY16" s="1126" t="s">
        <v>85</v>
      </c>
      <c r="AZ16" s="1110"/>
      <c r="BA16" s="1111"/>
      <c r="BB16" s="1128"/>
      <c r="BC16" s="1126" t="s">
        <v>85</v>
      </c>
      <c r="BD16" s="1111"/>
      <c r="BE16" s="1128"/>
      <c r="BF16" s="1126" t="s">
        <v>85</v>
      </c>
      <c r="BG16" s="1110"/>
      <c r="BH16" s="1111"/>
      <c r="BI16" s="1128"/>
      <c r="BJ16" s="1126" t="s">
        <v>85</v>
      </c>
      <c r="BK16" s="1111"/>
      <c r="BL16" s="1128"/>
      <c r="BM16" s="1126" t="s">
        <v>85</v>
      </c>
      <c r="BN16" s="1110"/>
      <c r="BO16" s="1111"/>
      <c r="BP16" s="1128"/>
      <c r="BQ16" s="1126" t="s">
        <v>85</v>
      </c>
      <c r="BR16" s="1111"/>
      <c r="BS16" s="1128"/>
      <c r="BT16" s="1126" t="s">
        <v>85</v>
      </c>
      <c r="BU16" s="1110"/>
      <c r="BV16" s="1111"/>
      <c r="BW16" s="1128"/>
      <c r="BX16" s="1126" t="s">
        <v>85</v>
      </c>
      <c r="BY16" s="1111"/>
      <c r="BZ16" s="1128"/>
      <c r="CA16" s="1126" t="s">
        <v>85</v>
      </c>
      <c r="CB16" s="1110"/>
      <c r="CC16" s="1111"/>
      <c r="CD16" s="1128"/>
      <c r="CE16" s="1129" t="s">
        <v>85</v>
      </c>
      <c r="CF16" s="1130"/>
      <c r="CG16" s="1131"/>
      <c r="CH16" s="1141"/>
      <c r="CI16" s="1129" t="s">
        <v>85</v>
      </c>
      <c r="CJ16" s="1130"/>
      <c r="CK16" s="1131"/>
      <c r="CL16" s="1141"/>
      <c r="CM16" s="1129" t="s">
        <v>85</v>
      </c>
      <c r="CN16" s="1130"/>
      <c r="CO16" s="1131"/>
      <c r="CP16" s="1114"/>
      <c r="CQ16" s="1129" t="s">
        <v>85</v>
      </c>
      <c r="CR16" s="1130"/>
      <c r="CS16" s="1131"/>
      <c r="CT16" s="1141"/>
      <c r="CU16" s="1129" t="s">
        <v>85</v>
      </c>
      <c r="CV16" s="1130"/>
      <c r="CW16" s="1131"/>
      <c r="CX16" s="1128"/>
      <c r="CY16" s="1129" t="s">
        <v>85</v>
      </c>
      <c r="CZ16" s="1110"/>
      <c r="DA16" s="1124"/>
      <c r="DB16" s="1141"/>
      <c r="DC16" s="1129" t="s">
        <v>85</v>
      </c>
      <c r="DD16" s="1110"/>
      <c r="DE16" s="1124"/>
      <c r="DF16" s="1141"/>
      <c r="DG16" s="1129" t="s">
        <v>85</v>
      </c>
      <c r="DH16" s="1110"/>
      <c r="DI16" s="1124"/>
      <c r="DJ16" s="1141"/>
      <c r="DK16" s="1129" t="s">
        <v>85</v>
      </c>
      <c r="DL16" s="1110"/>
      <c r="DM16" s="1124"/>
      <c r="DN16" s="1141"/>
      <c r="DO16" s="1129" t="s">
        <v>85</v>
      </c>
      <c r="DP16" s="1110"/>
      <c r="DQ16" s="1124"/>
      <c r="DR16" s="662"/>
    </row>
    <row r="17" spans="1:122" s="8" customFormat="1" ht="15" customHeight="1" thickBot="1">
      <c r="A17" s="1559"/>
      <c r="B17" s="1139"/>
      <c r="C17" s="1134">
        <v>0</v>
      </c>
      <c r="D17" s="1069"/>
      <c r="E17" s="1108" t="s">
        <v>84</v>
      </c>
      <c r="F17" s="1109"/>
      <c r="G17" s="1070"/>
      <c r="H17" s="1108" t="s">
        <v>84</v>
      </c>
      <c r="I17" s="1109"/>
      <c r="J17" s="1070"/>
      <c r="K17" s="1108" t="s">
        <v>84</v>
      </c>
      <c r="L17" s="1110"/>
      <c r="M17" s="1111"/>
      <c r="N17" s="1112"/>
      <c r="O17" s="1113" t="s">
        <v>84</v>
      </c>
      <c r="P17" s="1110"/>
      <c r="Q17" s="1111"/>
      <c r="R17" s="1114"/>
      <c r="S17" s="1113" t="s">
        <v>84</v>
      </c>
      <c r="T17" s="1110"/>
      <c r="U17" s="1111"/>
      <c r="V17" s="1112"/>
      <c r="W17" s="1113" t="s">
        <v>84</v>
      </c>
      <c r="X17" s="1110"/>
      <c r="Y17" s="1111"/>
      <c r="Z17" s="1114"/>
      <c r="AA17" s="1113" t="s">
        <v>84</v>
      </c>
      <c r="AB17" s="1111"/>
      <c r="AC17" s="1560"/>
      <c r="AD17" s="1115" t="s">
        <v>84</v>
      </c>
      <c r="AE17" s="1110"/>
      <c r="AF17" s="1111"/>
      <c r="AG17" s="1128"/>
      <c r="AH17" s="1115" t="s">
        <v>84</v>
      </c>
      <c r="AI17" s="1111"/>
      <c r="AJ17" s="1128"/>
      <c r="AK17" s="1113" t="s">
        <v>84</v>
      </c>
      <c r="AL17" s="1110"/>
      <c r="AM17" s="1111"/>
      <c r="AN17" s="1128"/>
      <c r="AO17" s="1113" t="s">
        <v>84</v>
      </c>
      <c r="AP17" s="1111"/>
      <c r="AQ17" s="1530"/>
      <c r="AR17" s="1113" t="s">
        <v>84</v>
      </c>
      <c r="AS17" s="1110"/>
      <c r="AT17" s="1111"/>
      <c r="AU17" s="1128"/>
      <c r="AV17" s="1113" t="s">
        <v>84</v>
      </c>
      <c r="AW17" s="1111"/>
      <c r="AX17" s="1128"/>
      <c r="AY17" s="1113" t="s">
        <v>84</v>
      </c>
      <c r="AZ17" s="1110"/>
      <c r="BA17" s="1111"/>
      <c r="BB17" s="1128"/>
      <c r="BC17" s="1113" t="s">
        <v>84</v>
      </c>
      <c r="BD17" s="1111"/>
      <c r="BE17" s="1128"/>
      <c r="BF17" s="1113" t="s">
        <v>84</v>
      </c>
      <c r="BG17" s="1110"/>
      <c r="BH17" s="1111"/>
      <c r="BI17" s="1128"/>
      <c r="BJ17" s="1113" t="s">
        <v>84</v>
      </c>
      <c r="BK17" s="1111"/>
      <c r="BL17" s="1128"/>
      <c r="BM17" s="1113" t="s">
        <v>84</v>
      </c>
      <c r="BN17" s="1110"/>
      <c r="BO17" s="1111"/>
      <c r="BP17" s="1128"/>
      <c r="BQ17" s="1113" t="s">
        <v>84</v>
      </c>
      <c r="BR17" s="1111"/>
      <c r="BS17" s="1128"/>
      <c r="BT17" s="1113" t="s">
        <v>84</v>
      </c>
      <c r="BU17" s="1110"/>
      <c r="BV17" s="1111"/>
      <c r="BW17" s="1128"/>
      <c r="BX17" s="1113" t="s">
        <v>84</v>
      </c>
      <c r="BY17" s="1111"/>
      <c r="BZ17" s="1128"/>
      <c r="CA17" s="1113" t="s">
        <v>84</v>
      </c>
      <c r="CB17" s="1110"/>
      <c r="CC17" s="1111"/>
      <c r="CD17" s="1128"/>
      <c r="CE17" s="1123" t="s">
        <v>84</v>
      </c>
      <c r="CF17" s="1130"/>
      <c r="CG17" s="1131"/>
      <c r="CH17" s="1141"/>
      <c r="CI17" s="1123" t="s">
        <v>84</v>
      </c>
      <c r="CJ17" s="1130"/>
      <c r="CK17" s="1131"/>
      <c r="CL17" s="1141"/>
      <c r="CM17" s="1123" t="s">
        <v>84</v>
      </c>
      <c r="CN17" s="1130"/>
      <c r="CO17" s="1131"/>
      <c r="CP17" s="1114"/>
      <c r="CQ17" s="1123" t="s">
        <v>84</v>
      </c>
      <c r="CR17" s="1130"/>
      <c r="CS17" s="1131"/>
      <c r="CT17" s="1141"/>
      <c r="CU17" s="1123" t="s">
        <v>84</v>
      </c>
      <c r="CV17" s="1130"/>
      <c r="CW17" s="1131"/>
      <c r="CX17" s="1128"/>
      <c r="CY17" s="1123" t="s">
        <v>84</v>
      </c>
      <c r="CZ17" s="1110"/>
      <c r="DA17" s="1124"/>
      <c r="DB17" s="1141"/>
      <c r="DC17" s="1123" t="s">
        <v>84</v>
      </c>
      <c r="DD17" s="1110"/>
      <c r="DE17" s="1124"/>
      <c r="DF17" s="1141"/>
      <c r="DG17" s="1123" t="s">
        <v>84</v>
      </c>
      <c r="DH17" s="1110"/>
      <c r="DI17" s="1124"/>
      <c r="DJ17" s="1141"/>
      <c r="DK17" s="1123" t="s">
        <v>84</v>
      </c>
      <c r="DL17" s="1110"/>
      <c r="DM17" s="1124"/>
      <c r="DN17" s="1141"/>
      <c r="DO17" s="1123" t="s">
        <v>84</v>
      </c>
      <c r="DP17" s="1110"/>
      <c r="DQ17" s="1124"/>
      <c r="DR17" s="662"/>
    </row>
    <row r="18" spans="1:122" s="8" customFormat="1" ht="15" customHeight="1" thickBot="1">
      <c r="A18" s="1559"/>
      <c r="B18" s="1113" t="s">
        <v>180</v>
      </c>
      <c r="C18" s="1134">
        <v>0</v>
      </c>
      <c r="D18" s="1069"/>
      <c r="E18" s="1125" t="s">
        <v>86</v>
      </c>
      <c r="F18" s="1109"/>
      <c r="G18" s="1070"/>
      <c r="H18" s="1125" t="s">
        <v>86</v>
      </c>
      <c r="I18" s="1109"/>
      <c r="J18" s="1070"/>
      <c r="K18" s="1125" t="s">
        <v>86</v>
      </c>
      <c r="L18" s="1110"/>
      <c r="M18" s="1111"/>
      <c r="N18" s="1112"/>
      <c r="O18" s="1126" t="s">
        <v>86</v>
      </c>
      <c r="P18" s="1110"/>
      <c r="Q18" s="1111"/>
      <c r="R18" s="1114"/>
      <c r="S18" s="1126" t="s">
        <v>86</v>
      </c>
      <c r="T18" s="1110"/>
      <c r="U18" s="1111"/>
      <c r="V18" s="1112"/>
      <c r="W18" s="1126" t="s">
        <v>86</v>
      </c>
      <c r="X18" s="1110"/>
      <c r="Y18" s="1111"/>
      <c r="Z18" s="1114"/>
      <c r="AA18" s="1126" t="s">
        <v>86</v>
      </c>
      <c r="AB18" s="1111"/>
      <c r="AC18" s="1560"/>
      <c r="AD18" s="1137" t="s">
        <v>86</v>
      </c>
      <c r="AE18" s="1110"/>
      <c r="AF18" s="1111"/>
      <c r="AG18" s="1128"/>
      <c r="AH18" s="1137" t="s">
        <v>86</v>
      </c>
      <c r="AI18" s="1111"/>
      <c r="AJ18" s="1128"/>
      <c r="AK18" s="1126" t="s">
        <v>86</v>
      </c>
      <c r="AL18" s="1110"/>
      <c r="AM18" s="1111"/>
      <c r="AN18" s="1128"/>
      <c r="AO18" s="1126" t="s">
        <v>86</v>
      </c>
      <c r="AP18" s="1111"/>
      <c r="AQ18" s="1530"/>
      <c r="AR18" s="1126" t="s">
        <v>86</v>
      </c>
      <c r="AS18" s="1110"/>
      <c r="AT18" s="1111"/>
      <c r="AU18" s="1128"/>
      <c r="AV18" s="1126" t="s">
        <v>86</v>
      </c>
      <c r="AW18" s="1111"/>
      <c r="AX18" s="1128"/>
      <c r="AY18" s="1126" t="s">
        <v>86</v>
      </c>
      <c r="AZ18" s="1110"/>
      <c r="BA18" s="1111"/>
      <c r="BB18" s="1128"/>
      <c r="BC18" s="1126" t="s">
        <v>86</v>
      </c>
      <c r="BD18" s="1111"/>
      <c r="BE18" s="1128"/>
      <c r="BF18" s="1126" t="s">
        <v>86</v>
      </c>
      <c r="BG18" s="1110"/>
      <c r="BH18" s="1111"/>
      <c r="BI18" s="1128"/>
      <c r="BJ18" s="1126" t="s">
        <v>86</v>
      </c>
      <c r="BK18" s="1111"/>
      <c r="BL18" s="1128"/>
      <c r="BM18" s="1126" t="s">
        <v>86</v>
      </c>
      <c r="BN18" s="1110"/>
      <c r="BO18" s="1111"/>
      <c r="BP18" s="1128"/>
      <c r="BQ18" s="1126" t="s">
        <v>86</v>
      </c>
      <c r="BR18" s="1111"/>
      <c r="BS18" s="1128"/>
      <c r="BT18" s="1126" t="s">
        <v>86</v>
      </c>
      <c r="BU18" s="1110"/>
      <c r="BV18" s="1111"/>
      <c r="BW18" s="1128"/>
      <c r="BX18" s="1126" t="s">
        <v>86</v>
      </c>
      <c r="BY18" s="1111"/>
      <c r="BZ18" s="1128"/>
      <c r="CA18" s="1126" t="s">
        <v>86</v>
      </c>
      <c r="CB18" s="1110"/>
      <c r="CC18" s="1111"/>
      <c r="CD18" s="1128"/>
      <c r="CE18" s="1129" t="s">
        <v>86</v>
      </c>
      <c r="CF18" s="1130"/>
      <c r="CG18" s="1131"/>
      <c r="CH18" s="1141"/>
      <c r="CI18" s="1129" t="s">
        <v>86</v>
      </c>
      <c r="CJ18" s="1130"/>
      <c r="CK18" s="1131"/>
      <c r="CL18" s="1141"/>
      <c r="CM18" s="1129" t="s">
        <v>86</v>
      </c>
      <c r="CN18" s="1130"/>
      <c r="CO18" s="1131"/>
      <c r="CP18" s="1114"/>
      <c r="CQ18" s="1129" t="s">
        <v>86</v>
      </c>
      <c r="CR18" s="1130"/>
      <c r="CS18" s="1131"/>
      <c r="CT18" s="1141"/>
      <c r="CU18" s="1129" t="s">
        <v>86</v>
      </c>
      <c r="CV18" s="1130"/>
      <c r="CW18" s="1131"/>
      <c r="CX18" s="1128"/>
      <c r="CY18" s="1129" t="s">
        <v>86</v>
      </c>
      <c r="CZ18" s="1110"/>
      <c r="DA18" s="1124"/>
      <c r="DB18" s="1141"/>
      <c r="DC18" s="1129" t="s">
        <v>86</v>
      </c>
      <c r="DD18" s="1110"/>
      <c r="DE18" s="1124"/>
      <c r="DF18" s="1141"/>
      <c r="DG18" s="1129" t="s">
        <v>86</v>
      </c>
      <c r="DH18" s="1110"/>
      <c r="DI18" s="1124"/>
      <c r="DJ18" s="1141"/>
      <c r="DK18" s="1129" t="s">
        <v>86</v>
      </c>
      <c r="DL18" s="1110"/>
      <c r="DM18" s="1124"/>
      <c r="DN18" s="1141"/>
      <c r="DO18" s="1129" t="s">
        <v>86</v>
      </c>
      <c r="DP18" s="1110"/>
      <c r="DQ18" s="1124"/>
      <c r="DR18" s="662"/>
    </row>
    <row r="19" spans="1:122" s="8" customFormat="1" ht="15" customHeight="1" thickBot="1">
      <c r="A19" s="1559"/>
      <c r="B19" s="1142"/>
      <c r="C19" s="1134">
        <v>0</v>
      </c>
      <c r="D19" s="1069"/>
      <c r="E19" s="1108" t="s">
        <v>87</v>
      </c>
      <c r="F19" s="1109"/>
      <c r="G19" s="1070"/>
      <c r="H19" s="1108" t="s">
        <v>87</v>
      </c>
      <c r="I19" s="1109"/>
      <c r="J19" s="1070"/>
      <c r="K19" s="1108" t="s">
        <v>87</v>
      </c>
      <c r="L19" s="1110"/>
      <c r="M19" s="1111"/>
      <c r="N19" s="1112"/>
      <c r="O19" s="1113" t="s">
        <v>87</v>
      </c>
      <c r="P19" s="1110"/>
      <c r="Q19" s="1111"/>
      <c r="R19" s="1114"/>
      <c r="S19" s="1113" t="s">
        <v>87</v>
      </c>
      <c r="T19" s="1110"/>
      <c r="U19" s="1111"/>
      <c r="V19" s="1112"/>
      <c r="W19" s="1113" t="s">
        <v>87</v>
      </c>
      <c r="X19" s="1110"/>
      <c r="Y19" s="1111"/>
      <c r="Z19" s="1114"/>
      <c r="AA19" s="1113" t="s">
        <v>87</v>
      </c>
      <c r="AB19" s="1111"/>
      <c r="AC19" s="1560"/>
      <c r="AD19" s="1115" t="s">
        <v>87</v>
      </c>
      <c r="AE19" s="1110"/>
      <c r="AF19" s="1111"/>
      <c r="AG19" s="1128"/>
      <c r="AH19" s="1115" t="s">
        <v>87</v>
      </c>
      <c r="AI19" s="1111"/>
      <c r="AJ19" s="1128"/>
      <c r="AK19" s="1113" t="s">
        <v>87</v>
      </c>
      <c r="AL19" s="1110"/>
      <c r="AM19" s="1111"/>
      <c r="AN19" s="1128"/>
      <c r="AO19" s="1113" t="s">
        <v>87</v>
      </c>
      <c r="AP19" s="1111"/>
      <c r="AQ19" s="1530"/>
      <c r="AR19" s="1113" t="s">
        <v>87</v>
      </c>
      <c r="AS19" s="1110"/>
      <c r="AT19" s="1111"/>
      <c r="AU19" s="1128"/>
      <c r="AV19" s="1113" t="s">
        <v>87</v>
      </c>
      <c r="AW19" s="1111"/>
      <c r="AX19" s="1128"/>
      <c r="AY19" s="1113" t="s">
        <v>87</v>
      </c>
      <c r="AZ19" s="1110"/>
      <c r="BA19" s="1111"/>
      <c r="BB19" s="1128"/>
      <c r="BC19" s="1113" t="s">
        <v>87</v>
      </c>
      <c r="BD19" s="1111"/>
      <c r="BE19" s="1128"/>
      <c r="BF19" s="1113" t="s">
        <v>87</v>
      </c>
      <c r="BG19" s="1110"/>
      <c r="BH19" s="1111"/>
      <c r="BI19" s="1128"/>
      <c r="BJ19" s="1113" t="s">
        <v>87</v>
      </c>
      <c r="BK19" s="1111"/>
      <c r="BL19" s="1128"/>
      <c r="BM19" s="1113" t="s">
        <v>87</v>
      </c>
      <c r="BN19" s="1110"/>
      <c r="BO19" s="1111"/>
      <c r="BP19" s="1128"/>
      <c r="BQ19" s="1113" t="s">
        <v>87</v>
      </c>
      <c r="BR19" s="1111"/>
      <c r="BS19" s="1128"/>
      <c r="BT19" s="1113" t="s">
        <v>87</v>
      </c>
      <c r="BU19" s="1110"/>
      <c r="BV19" s="1111"/>
      <c r="BW19" s="1128"/>
      <c r="BX19" s="1113" t="s">
        <v>87</v>
      </c>
      <c r="BY19" s="1111"/>
      <c r="BZ19" s="1128"/>
      <c r="CA19" s="1113" t="s">
        <v>87</v>
      </c>
      <c r="CB19" s="1110"/>
      <c r="CC19" s="1111"/>
      <c r="CD19" s="1128"/>
      <c r="CE19" s="1123" t="s">
        <v>87</v>
      </c>
      <c r="CF19" s="1130"/>
      <c r="CG19" s="1131"/>
      <c r="CH19" s="1141"/>
      <c r="CI19" s="1123" t="s">
        <v>87</v>
      </c>
      <c r="CJ19" s="1130"/>
      <c r="CK19" s="1131"/>
      <c r="CL19" s="1141"/>
      <c r="CM19" s="1123" t="s">
        <v>87</v>
      </c>
      <c r="CN19" s="1130"/>
      <c r="CO19" s="1131"/>
      <c r="CP19" s="1114"/>
      <c r="CQ19" s="1123" t="s">
        <v>87</v>
      </c>
      <c r="CR19" s="1130"/>
      <c r="CS19" s="1131"/>
      <c r="CT19" s="1141"/>
      <c r="CU19" s="1123" t="s">
        <v>87</v>
      </c>
      <c r="CV19" s="1130"/>
      <c r="CW19" s="1131"/>
      <c r="CX19" s="1128"/>
      <c r="CY19" s="1123" t="s">
        <v>87</v>
      </c>
      <c r="CZ19" s="1110"/>
      <c r="DA19" s="1124"/>
      <c r="DB19" s="1141"/>
      <c r="DC19" s="1123" t="s">
        <v>87</v>
      </c>
      <c r="DD19" s="1110"/>
      <c r="DE19" s="1124"/>
      <c r="DF19" s="1141"/>
      <c r="DG19" s="1123" t="s">
        <v>87</v>
      </c>
      <c r="DH19" s="1110"/>
      <c r="DI19" s="1124"/>
      <c r="DJ19" s="1141"/>
      <c r="DK19" s="1123" t="s">
        <v>87</v>
      </c>
      <c r="DL19" s="1110"/>
      <c r="DM19" s="1124"/>
      <c r="DN19" s="1141"/>
      <c r="DO19" s="1123" t="s">
        <v>87</v>
      </c>
      <c r="DP19" s="1110"/>
      <c r="DQ19" s="1124"/>
      <c r="DR19" s="662"/>
    </row>
    <row r="20" spans="1:122" s="8" customFormat="1" ht="15" customHeight="1" thickBot="1">
      <c r="A20" s="1559"/>
      <c r="B20" s="1143" t="s">
        <v>181</v>
      </c>
      <c r="C20" s="1144">
        <v>0</v>
      </c>
      <c r="D20" s="1069"/>
      <c r="E20" s="1125" t="s">
        <v>101</v>
      </c>
      <c r="F20" s="1109"/>
      <c r="G20" s="1070"/>
      <c r="H20" s="1125" t="s">
        <v>101</v>
      </c>
      <c r="I20" s="1109"/>
      <c r="J20" s="1070"/>
      <c r="K20" s="1125" t="s">
        <v>101</v>
      </c>
      <c r="L20" s="1110"/>
      <c r="M20" s="1111"/>
      <c r="N20" s="1112"/>
      <c r="O20" s="1126" t="s">
        <v>101</v>
      </c>
      <c r="P20" s="1110"/>
      <c r="Q20" s="1111"/>
      <c r="R20" s="1114"/>
      <c r="S20" s="1126" t="s">
        <v>101</v>
      </c>
      <c r="T20" s="1110"/>
      <c r="U20" s="1111"/>
      <c r="V20" s="1112"/>
      <c r="W20" s="1126" t="s">
        <v>101</v>
      </c>
      <c r="X20" s="1110"/>
      <c r="Y20" s="1111"/>
      <c r="Z20" s="1114"/>
      <c r="AA20" s="1126" t="s">
        <v>101</v>
      </c>
      <c r="AB20" s="1111"/>
      <c r="AC20" s="1560"/>
      <c r="AD20" s="1137" t="s">
        <v>101</v>
      </c>
      <c r="AE20" s="1110"/>
      <c r="AF20" s="1111"/>
      <c r="AG20" s="1128"/>
      <c r="AH20" s="1137" t="s">
        <v>101</v>
      </c>
      <c r="AI20" s="1111"/>
      <c r="AJ20" s="1128"/>
      <c r="AK20" s="1126" t="s">
        <v>101</v>
      </c>
      <c r="AL20" s="1110"/>
      <c r="AM20" s="1111"/>
      <c r="AN20" s="1128"/>
      <c r="AO20" s="1126" t="s">
        <v>101</v>
      </c>
      <c r="AP20" s="1111"/>
      <c r="AQ20" s="1530"/>
      <c r="AR20" s="1126" t="s">
        <v>101</v>
      </c>
      <c r="AS20" s="1110"/>
      <c r="AT20" s="1111"/>
      <c r="AU20" s="1128"/>
      <c r="AV20" s="1126" t="s">
        <v>101</v>
      </c>
      <c r="AW20" s="1111"/>
      <c r="AX20" s="1128"/>
      <c r="AY20" s="1126" t="s">
        <v>101</v>
      </c>
      <c r="AZ20" s="1110"/>
      <c r="BA20" s="1111"/>
      <c r="BB20" s="1128"/>
      <c r="BC20" s="1126" t="s">
        <v>101</v>
      </c>
      <c r="BD20" s="1111"/>
      <c r="BE20" s="1128"/>
      <c r="BF20" s="1126" t="s">
        <v>101</v>
      </c>
      <c r="BG20" s="1110"/>
      <c r="BH20" s="1111"/>
      <c r="BI20" s="1128"/>
      <c r="BJ20" s="1126" t="s">
        <v>101</v>
      </c>
      <c r="BK20" s="1111"/>
      <c r="BL20" s="1128"/>
      <c r="BM20" s="1126" t="s">
        <v>101</v>
      </c>
      <c r="BN20" s="1110"/>
      <c r="BO20" s="1111"/>
      <c r="BP20" s="1128"/>
      <c r="BQ20" s="1126" t="s">
        <v>101</v>
      </c>
      <c r="BR20" s="1111"/>
      <c r="BS20" s="1128"/>
      <c r="BT20" s="1126" t="s">
        <v>101</v>
      </c>
      <c r="BU20" s="1110"/>
      <c r="BV20" s="1111"/>
      <c r="BW20" s="1128"/>
      <c r="BX20" s="1126" t="s">
        <v>101</v>
      </c>
      <c r="BY20" s="1111"/>
      <c r="BZ20" s="1128"/>
      <c r="CA20" s="1126" t="s">
        <v>101</v>
      </c>
      <c r="CB20" s="1110"/>
      <c r="CC20" s="1111"/>
      <c r="CD20" s="1128"/>
      <c r="CE20" s="1129" t="s">
        <v>101</v>
      </c>
      <c r="CF20" s="1130"/>
      <c r="CG20" s="1131"/>
      <c r="CH20" s="1145"/>
      <c r="CI20" s="1129" t="s">
        <v>101</v>
      </c>
      <c r="CJ20" s="1130"/>
      <c r="CK20" s="1131"/>
      <c r="CL20" s="1145"/>
      <c r="CM20" s="1129" t="s">
        <v>101</v>
      </c>
      <c r="CN20" s="1130"/>
      <c r="CO20" s="1131"/>
      <c r="CP20" s="1114"/>
      <c r="CQ20" s="1129" t="s">
        <v>101</v>
      </c>
      <c r="CR20" s="1130"/>
      <c r="CS20" s="1131"/>
      <c r="CT20" s="1145"/>
      <c r="CU20" s="1129" t="s">
        <v>101</v>
      </c>
      <c r="CV20" s="1130"/>
      <c r="CW20" s="1131"/>
      <c r="CX20" s="1128"/>
      <c r="CY20" s="1129" t="s">
        <v>101</v>
      </c>
      <c r="CZ20" s="1110"/>
      <c r="DA20" s="1124"/>
      <c r="DB20" s="1145"/>
      <c r="DC20" s="1129" t="s">
        <v>101</v>
      </c>
      <c r="DD20" s="1110"/>
      <c r="DE20" s="1124"/>
      <c r="DF20" s="1145"/>
      <c r="DG20" s="1129" t="s">
        <v>101</v>
      </c>
      <c r="DH20" s="1110"/>
      <c r="DI20" s="1124"/>
      <c r="DJ20" s="1145"/>
      <c r="DK20" s="1129" t="s">
        <v>101</v>
      </c>
      <c r="DL20" s="1110"/>
      <c r="DM20" s="1124"/>
      <c r="DN20" s="1145"/>
      <c r="DO20" s="1129" t="s">
        <v>101</v>
      </c>
      <c r="DP20" s="1110"/>
      <c r="DQ20" s="1124"/>
      <c r="DR20" s="663"/>
    </row>
    <row r="21" spans="1:122" s="8" customFormat="1" ht="15" customHeight="1" thickBot="1">
      <c r="A21" s="1559"/>
      <c r="B21" s="1143" t="s">
        <v>182</v>
      </c>
      <c r="C21" s="1144">
        <v>0</v>
      </c>
      <c r="D21" s="1069"/>
      <c r="E21" s="1108" t="s">
        <v>88</v>
      </c>
      <c r="F21" s="1109"/>
      <c r="G21" s="1070"/>
      <c r="H21" s="1108" t="s">
        <v>88</v>
      </c>
      <c r="I21" s="1109"/>
      <c r="J21" s="1070"/>
      <c r="K21" s="1108" t="s">
        <v>88</v>
      </c>
      <c r="L21" s="1110"/>
      <c r="M21" s="1111"/>
      <c r="N21" s="1112"/>
      <c r="O21" s="1113" t="s">
        <v>88</v>
      </c>
      <c r="P21" s="1110"/>
      <c r="Q21" s="1111"/>
      <c r="R21" s="1114"/>
      <c r="S21" s="1113" t="s">
        <v>88</v>
      </c>
      <c r="T21" s="1110"/>
      <c r="U21" s="1111"/>
      <c r="V21" s="1112"/>
      <c r="W21" s="1113" t="s">
        <v>88</v>
      </c>
      <c r="X21" s="1110"/>
      <c r="Y21" s="1111"/>
      <c r="Z21" s="1114"/>
      <c r="AA21" s="1113" t="s">
        <v>88</v>
      </c>
      <c r="AB21" s="1111"/>
      <c r="AC21" s="1560"/>
      <c r="AD21" s="1115" t="s">
        <v>88</v>
      </c>
      <c r="AE21" s="1110"/>
      <c r="AF21" s="1111"/>
      <c r="AG21" s="1128"/>
      <c r="AH21" s="1115" t="s">
        <v>88</v>
      </c>
      <c r="AI21" s="1111"/>
      <c r="AJ21" s="1128"/>
      <c r="AK21" s="1113" t="s">
        <v>88</v>
      </c>
      <c r="AL21" s="1110"/>
      <c r="AM21" s="1111"/>
      <c r="AN21" s="1128"/>
      <c r="AO21" s="1113" t="s">
        <v>88</v>
      </c>
      <c r="AP21" s="1111"/>
      <c r="AQ21" s="1530"/>
      <c r="AR21" s="1113" t="s">
        <v>88</v>
      </c>
      <c r="AS21" s="1110"/>
      <c r="AT21" s="1111"/>
      <c r="AU21" s="1128"/>
      <c r="AV21" s="1113" t="s">
        <v>88</v>
      </c>
      <c r="AW21" s="1111"/>
      <c r="AX21" s="1128"/>
      <c r="AY21" s="1113" t="s">
        <v>88</v>
      </c>
      <c r="AZ21" s="1110"/>
      <c r="BA21" s="1111"/>
      <c r="BB21" s="1128"/>
      <c r="BC21" s="1113" t="s">
        <v>88</v>
      </c>
      <c r="BD21" s="1111"/>
      <c r="BE21" s="1128"/>
      <c r="BF21" s="1113" t="s">
        <v>88</v>
      </c>
      <c r="BG21" s="1110"/>
      <c r="BH21" s="1111"/>
      <c r="BI21" s="1128"/>
      <c r="BJ21" s="1113" t="s">
        <v>88</v>
      </c>
      <c r="BK21" s="1111"/>
      <c r="BL21" s="1128"/>
      <c r="BM21" s="1113" t="s">
        <v>88</v>
      </c>
      <c r="BN21" s="1110"/>
      <c r="BO21" s="1111"/>
      <c r="BP21" s="1128"/>
      <c r="BQ21" s="1113" t="s">
        <v>88</v>
      </c>
      <c r="BR21" s="1111"/>
      <c r="BS21" s="1128"/>
      <c r="BT21" s="1113" t="s">
        <v>88</v>
      </c>
      <c r="BU21" s="1110"/>
      <c r="BV21" s="1111"/>
      <c r="BW21" s="1128"/>
      <c r="BX21" s="1113" t="s">
        <v>88</v>
      </c>
      <c r="BY21" s="1111"/>
      <c r="BZ21" s="1128"/>
      <c r="CA21" s="1113" t="s">
        <v>88</v>
      </c>
      <c r="CB21" s="1110"/>
      <c r="CC21" s="1111"/>
      <c r="CD21" s="1128"/>
      <c r="CE21" s="1123" t="s">
        <v>88</v>
      </c>
      <c r="CF21" s="1130"/>
      <c r="CG21" s="1131"/>
      <c r="CH21" s="1145"/>
      <c r="CI21" s="1123" t="s">
        <v>88</v>
      </c>
      <c r="CJ21" s="1130"/>
      <c r="CK21" s="1131"/>
      <c r="CL21" s="1145"/>
      <c r="CM21" s="1123" t="s">
        <v>88</v>
      </c>
      <c r="CN21" s="1130"/>
      <c r="CO21" s="1131"/>
      <c r="CP21" s="1114"/>
      <c r="CQ21" s="1123" t="s">
        <v>88</v>
      </c>
      <c r="CR21" s="1130"/>
      <c r="CS21" s="1131"/>
      <c r="CT21" s="1145"/>
      <c r="CU21" s="1123" t="s">
        <v>88</v>
      </c>
      <c r="CV21" s="1130"/>
      <c r="CW21" s="1131"/>
      <c r="CX21" s="1128"/>
      <c r="CY21" s="1123" t="s">
        <v>88</v>
      </c>
      <c r="CZ21" s="1110"/>
      <c r="DA21" s="1124"/>
      <c r="DB21" s="1145"/>
      <c r="DC21" s="1123" t="s">
        <v>88</v>
      </c>
      <c r="DD21" s="1110"/>
      <c r="DE21" s="1124"/>
      <c r="DF21" s="1145"/>
      <c r="DG21" s="1123" t="s">
        <v>88</v>
      </c>
      <c r="DH21" s="1110"/>
      <c r="DI21" s="1124"/>
      <c r="DJ21" s="1145"/>
      <c r="DK21" s="1123" t="s">
        <v>88</v>
      </c>
      <c r="DL21" s="1110"/>
      <c r="DM21" s="1124"/>
      <c r="DN21" s="1145"/>
      <c r="DO21" s="1123" t="s">
        <v>88</v>
      </c>
      <c r="DP21" s="1110"/>
      <c r="DQ21" s="1124"/>
      <c r="DR21" s="663"/>
    </row>
    <row r="22" spans="1:122" s="8" customFormat="1" ht="15" customHeight="1" thickBot="1">
      <c r="A22" s="1559"/>
      <c r="B22" s="1146" t="s">
        <v>183</v>
      </c>
      <c r="C22" s="1147">
        <v>0</v>
      </c>
      <c r="D22" s="1069"/>
      <c r="E22" s="1125" t="s">
        <v>89</v>
      </c>
      <c r="F22" s="1109"/>
      <c r="G22" s="1070"/>
      <c r="H22" s="1125" t="s">
        <v>89</v>
      </c>
      <c r="I22" s="1109"/>
      <c r="J22" s="1070"/>
      <c r="K22" s="1125" t="s">
        <v>89</v>
      </c>
      <c r="L22" s="1110"/>
      <c r="M22" s="1111"/>
      <c r="N22" s="1112"/>
      <c r="O22" s="1126" t="s">
        <v>89</v>
      </c>
      <c r="P22" s="1110"/>
      <c r="Q22" s="1111"/>
      <c r="R22" s="1114"/>
      <c r="S22" s="1126" t="s">
        <v>89</v>
      </c>
      <c r="T22" s="1110"/>
      <c r="U22" s="1111"/>
      <c r="V22" s="1112"/>
      <c r="W22" s="1126" t="s">
        <v>89</v>
      </c>
      <c r="X22" s="1110"/>
      <c r="Y22" s="1111"/>
      <c r="Z22" s="1114"/>
      <c r="AA22" s="1126" t="s">
        <v>89</v>
      </c>
      <c r="AB22" s="1111"/>
      <c r="AC22" s="1560"/>
      <c r="AD22" s="1127" t="s">
        <v>89</v>
      </c>
      <c r="AE22" s="1110"/>
      <c r="AF22" s="1111"/>
      <c r="AG22" s="1128"/>
      <c r="AH22" s="1127" t="s">
        <v>89</v>
      </c>
      <c r="AI22" s="1111"/>
      <c r="AJ22" s="1128"/>
      <c r="AK22" s="1126" t="s">
        <v>89</v>
      </c>
      <c r="AL22" s="1110"/>
      <c r="AM22" s="1111"/>
      <c r="AN22" s="1128"/>
      <c r="AO22" s="1126" t="s">
        <v>89</v>
      </c>
      <c r="AP22" s="1111"/>
      <c r="AQ22" s="1530"/>
      <c r="AR22" s="1126" t="s">
        <v>89</v>
      </c>
      <c r="AS22" s="1110"/>
      <c r="AT22" s="1111"/>
      <c r="AU22" s="1128"/>
      <c r="AV22" s="1126" t="s">
        <v>89</v>
      </c>
      <c r="AW22" s="1111"/>
      <c r="AX22" s="1128"/>
      <c r="AY22" s="1126" t="s">
        <v>89</v>
      </c>
      <c r="AZ22" s="1110"/>
      <c r="BA22" s="1111"/>
      <c r="BB22" s="1128"/>
      <c r="BC22" s="1126" t="s">
        <v>89</v>
      </c>
      <c r="BD22" s="1111"/>
      <c r="BE22" s="1128"/>
      <c r="BF22" s="1126" t="s">
        <v>89</v>
      </c>
      <c r="BG22" s="1110"/>
      <c r="BH22" s="1111"/>
      <c r="BI22" s="1128"/>
      <c r="BJ22" s="1126" t="s">
        <v>89</v>
      </c>
      <c r="BK22" s="1111"/>
      <c r="BL22" s="1128"/>
      <c r="BM22" s="1126" t="s">
        <v>89</v>
      </c>
      <c r="BN22" s="1110"/>
      <c r="BO22" s="1111"/>
      <c r="BP22" s="1128"/>
      <c r="BQ22" s="1126" t="s">
        <v>89</v>
      </c>
      <c r="BR22" s="1111"/>
      <c r="BS22" s="1128"/>
      <c r="BT22" s="1126" t="s">
        <v>89</v>
      </c>
      <c r="BU22" s="1110"/>
      <c r="BV22" s="1111"/>
      <c r="BW22" s="1128"/>
      <c r="BX22" s="1126" t="s">
        <v>89</v>
      </c>
      <c r="BY22" s="1111"/>
      <c r="BZ22" s="1128"/>
      <c r="CA22" s="1126" t="s">
        <v>89</v>
      </c>
      <c r="CB22" s="1110"/>
      <c r="CC22" s="1111"/>
      <c r="CD22" s="1128"/>
      <c r="CE22" s="1129" t="s">
        <v>89</v>
      </c>
      <c r="CF22" s="1130"/>
      <c r="CG22" s="1131"/>
      <c r="CH22" s="1145"/>
      <c r="CI22" s="1129" t="s">
        <v>89</v>
      </c>
      <c r="CJ22" s="1130"/>
      <c r="CK22" s="1131"/>
      <c r="CL22" s="1145"/>
      <c r="CM22" s="1129" t="s">
        <v>89</v>
      </c>
      <c r="CN22" s="1130"/>
      <c r="CO22" s="1131"/>
      <c r="CP22" s="1114"/>
      <c r="CQ22" s="1129" t="s">
        <v>89</v>
      </c>
      <c r="CR22" s="1130"/>
      <c r="CS22" s="1131"/>
      <c r="CT22" s="1145"/>
      <c r="CU22" s="1129" t="s">
        <v>89</v>
      </c>
      <c r="CV22" s="1130"/>
      <c r="CW22" s="1131"/>
      <c r="CX22" s="1128"/>
      <c r="CY22" s="1129" t="s">
        <v>89</v>
      </c>
      <c r="CZ22" s="1110"/>
      <c r="DA22" s="1124"/>
      <c r="DB22" s="1145"/>
      <c r="DC22" s="1129" t="s">
        <v>89</v>
      </c>
      <c r="DD22" s="1110"/>
      <c r="DE22" s="1124"/>
      <c r="DF22" s="1145"/>
      <c r="DG22" s="1129" t="s">
        <v>89</v>
      </c>
      <c r="DH22" s="1110"/>
      <c r="DI22" s="1124"/>
      <c r="DJ22" s="1145"/>
      <c r="DK22" s="1129" t="s">
        <v>89</v>
      </c>
      <c r="DL22" s="1110"/>
      <c r="DM22" s="1124"/>
      <c r="DN22" s="1145"/>
      <c r="DO22" s="1129" t="s">
        <v>89</v>
      </c>
      <c r="DP22" s="1110"/>
      <c r="DQ22" s="1124"/>
      <c r="DR22" s="663"/>
    </row>
    <row r="23" spans="1:122" s="8" customFormat="1" ht="15" customHeight="1" thickBot="1">
      <c r="A23" s="1559"/>
      <c r="B23" s="1146" t="s">
        <v>462</v>
      </c>
      <c r="C23" s="1147">
        <v>0</v>
      </c>
      <c r="D23" s="1069"/>
      <c r="E23" s="1108" t="s">
        <v>90</v>
      </c>
      <c r="F23" s="1109"/>
      <c r="G23" s="1070"/>
      <c r="H23" s="1108" t="s">
        <v>90</v>
      </c>
      <c r="I23" s="1109"/>
      <c r="J23" s="1070"/>
      <c r="K23" s="1108" t="s">
        <v>90</v>
      </c>
      <c r="L23" s="1110"/>
      <c r="M23" s="1111"/>
      <c r="N23" s="1112"/>
      <c r="O23" s="1113" t="s">
        <v>90</v>
      </c>
      <c r="P23" s="1110"/>
      <c r="Q23" s="1111"/>
      <c r="R23" s="1114"/>
      <c r="S23" s="1113" t="s">
        <v>90</v>
      </c>
      <c r="T23" s="1110"/>
      <c r="U23" s="1111"/>
      <c r="V23" s="1112"/>
      <c r="W23" s="1113" t="s">
        <v>90</v>
      </c>
      <c r="X23" s="1110"/>
      <c r="Y23" s="1111"/>
      <c r="Z23" s="1114"/>
      <c r="AA23" s="1113" t="s">
        <v>90</v>
      </c>
      <c r="AB23" s="1111"/>
      <c r="AC23" s="1560"/>
      <c r="AD23" s="1115" t="s">
        <v>90</v>
      </c>
      <c r="AE23" s="1110"/>
      <c r="AF23" s="1111"/>
      <c r="AG23" s="1128"/>
      <c r="AH23" s="1115" t="s">
        <v>90</v>
      </c>
      <c r="AI23" s="1111"/>
      <c r="AJ23" s="1128"/>
      <c r="AK23" s="1113" t="s">
        <v>90</v>
      </c>
      <c r="AL23" s="1110"/>
      <c r="AM23" s="1111"/>
      <c r="AN23" s="1128"/>
      <c r="AO23" s="1113" t="s">
        <v>90</v>
      </c>
      <c r="AP23" s="1111"/>
      <c r="AQ23" s="1530"/>
      <c r="AR23" s="1113" t="s">
        <v>90</v>
      </c>
      <c r="AS23" s="1110"/>
      <c r="AT23" s="1111"/>
      <c r="AU23" s="1128"/>
      <c r="AV23" s="1113" t="s">
        <v>90</v>
      </c>
      <c r="AW23" s="1111"/>
      <c r="AX23" s="1128"/>
      <c r="AY23" s="1113" t="s">
        <v>90</v>
      </c>
      <c r="AZ23" s="1110"/>
      <c r="BA23" s="1111"/>
      <c r="BB23" s="1128"/>
      <c r="BC23" s="1113" t="s">
        <v>90</v>
      </c>
      <c r="BD23" s="1111"/>
      <c r="BE23" s="1128"/>
      <c r="BF23" s="1113" t="s">
        <v>90</v>
      </c>
      <c r="BG23" s="1110"/>
      <c r="BH23" s="1111"/>
      <c r="BI23" s="1128"/>
      <c r="BJ23" s="1113" t="s">
        <v>90</v>
      </c>
      <c r="BK23" s="1111"/>
      <c r="BL23" s="1128"/>
      <c r="BM23" s="1113" t="s">
        <v>90</v>
      </c>
      <c r="BN23" s="1110"/>
      <c r="BO23" s="1111"/>
      <c r="BP23" s="1128"/>
      <c r="BQ23" s="1113" t="s">
        <v>90</v>
      </c>
      <c r="BR23" s="1111"/>
      <c r="BS23" s="1128"/>
      <c r="BT23" s="1113" t="s">
        <v>90</v>
      </c>
      <c r="BU23" s="1110"/>
      <c r="BV23" s="1111"/>
      <c r="BW23" s="1128"/>
      <c r="BX23" s="1113" t="s">
        <v>90</v>
      </c>
      <c r="BY23" s="1111"/>
      <c r="BZ23" s="1128"/>
      <c r="CA23" s="1113" t="s">
        <v>90</v>
      </c>
      <c r="CB23" s="1110"/>
      <c r="CC23" s="1111"/>
      <c r="CD23" s="1128"/>
      <c r="CE23" s="1123" t="s">
        <v>90</v>
      </c>
      <c r="CF23" s="1130"/>
      <c r="CG23" s="1131"/>
      <c r="CH23" s="1145"/>
      <c r="CI23" s="1123" t="s">
        <v>90</v>
      </c>
      <c r="CJ23" s="1130"/>
      <c r="CK23" s="1131"/>
      <c r="CL23" s="1145"/>
      <c r="CM23" s="1123" t="s">
        <v>90</v>
      </c>
      <c r="CN23" s="1130"/>
      <c r="CO23" s="1131"/>
      <c r="CP23" s="1114"/>
      <c r="CQ23" s="1123" t="s">
        <v>90</v>
      </c>
      <c r="CR23" s="1130"/>
      <c r="CS23" s="1131"/>
      <c r="CT23" s="1145"/>
      <c r="CU23" s="1123" t="s">
        <v>90</v>
      </c>
      <c r="CV23" s="1130"/>
      <c r="CW23" s="1131"/>
      <c r="CX23" s="1128"/>
      <c r="CY23" s="1123" t="s">
        <v>90</v>
      </c>
      <c r="CZ23" s="1110"/>
      <c r="DA23" s="1124"/>
      <c r="DB23" s="1145"/>
      <c r="DC23" s="1123" t="s">
        <v>90</v>
      </c>
      <c r="DD23" s="1110"/>
      <c r="DE23" s="1124"/>
      <c r="DF23" s="1145"/>
      <c r="DG23" s="1123" t="s">
        <v>90</v>
      </c>
      <c r="DH23" s="1110"/>
      <c r="DI23" s="1124"/>
      <c r="DJ23" s="1145"/>
      <c r="DK23" s="1123" t="s">
        <v>90</v>
      </c>
      <c r="DL23" s="1110"/>
      <c r="DM23" s="1124"/>
      <c r="DN23" s="1145"/>
      <c r="DO23" s="1123" t="s">
        <v>90</v>
      </c>
      <c r="DP23" s="1110"/>
      <c r="DQ23" s="1124"/>
      <c r="DR23" s="663"/>
    </row>
    <row r="24" spans="1:122" s="8" customFormat="1" ht="15" customHeight="1" thickBot="1">
      <c r="A24" s="227"/>
      <c r="B24" s="1148"/>
      <c r="C24" s="1148"/>
      <c r="D24" s="1069"/>
      <c r="E24" s="1125" t="s">
        <v>93</v>
      </c>
      <c r="F24" s="1109"/>
      <c r="G24" s="1070"/>
      <c r="H24" s="1125" t="s">
        <v>93</v>
      </c>
      <c r="I24" s="1109"/>
      <c r="J24" s="1070"/>
      <c r="K24" s="1125" t="s">
        <v>93</v>
      </c>
      <c r="L24" s="1110"/>
      <c r="M24" s="1111"/>
      <c r="N24" s="1112"/>
      <c r="O24" s="1126" t="s">
        <v>93</v>
      </c>
      <c r="P24" s="1110"/>
      <c r="Q24" s="1111"/>
      <c r="R24" s="1114"/>
      <c r="S24" s="1126" t="s">
        <v>93</v>
      </c>
      <c r="T24" s="1110"/>
      <c r="U24" s="1111"/>
      <c r="V24" s="1112"/>
      <c r="W24" s="1126" t="s">
        <v>93</v>
      </c>
      <c r="X24" s="1110"/>
      <c r="Y24" s="1111"/>
      <c r="Z24" s="1114"/>
      <c r="AA24" s="1126" t="s">
        <v>93</v>
      </c>
      <c r="AB24" s="1111"/>
      <c r="AC24" s="1560"/>
      <c r="AD24" s="1137" t="s">
        <v>93</v>
      </c>
      <c r="AE24" s="1110"/>
      <c r="AF24" s="1111"/>
      <c r="AG24" s="1128"/>
      <c r="AH24" s="1137" t="s">
        <v>93</v>
      </c>
      <c r="AI24" s="1111"/>
      <c r="AJ24" s="1128"/>
      <c r="AK24" s="1126" t="s">
        <v>93</v>
      </c>
      <c r="AL24" s="1110"/>
      <c r="AM24" s="1111"/>
      <c r="AN24" s="1128"/>
      <c r="AO24" s="1126" t="s">
        <v>93</v>
      </c>
      <c r="AP24" s="1111"/>
      <c r="AQ24" s="1530"/>
      <c r="AR24" s="1126" t="s">
        <v>93</v>
      </c>
      <c r="AS24" s="1110"/>
      <c r="AT24" s="1111"/>
      <c r="AU24" s="1128"/>
      <c r="AV24" s="1126" t="s">
        <v>93</v>
      </c>
      <c r="AW24" s="1111"/>
      <c r="AX24" s="1128"/>
      <c r="AY24" s="1126" t="s">
        <v>93</v>
      </c>
      <c r="AZ24" s="1110"/>
      <c r="BA24" s="1111"/>
      <c r="BB24" s="1128"/>
      <c r="BC24" s="1126" t="s">
        <v>93</v>
      </c>
      <c r="BD24" s="1111"/>
      <c r="BE24" s="1128"/>
      <c r="BF24" s="1126" t="s">
        <v>93</v>
      </c>
      <c r="BG24" s="1110"/>
      <c r="BH24" s="1111"/>
      <c r="BI24" s="1128"/>
      <c r="BJ24" s="1126" t="s">
        <v>93</v>
      </c>
      <c r="BK24" s="1111"/>
      <c r="BL24" s="1128"/>
      <c r="BM24" s="1126" t="s">
        <v>93</v>
      </c>
      <c r="BN24" s="1110"/>
      <c r="BO24" s="1111"/>
      <c r="BP24" s="1128"/>
      <c r="BQ24" s="1126" t="s">
        <v>93</v>
      </c>
      <c r="BR24" s="1111"/>
      <c r="BS24" s="1128"/>
      <c r="BT24" s="1126" t="s">
        <v>93</v>
      </c>
      <c r="BU24" s="1110"/>
      <c r="BV24" s="1111"/>
      <c r="BW24" s="1128"/>
      <c r="BX24" s="1126" t="s">
        <v>93</v>
      </c>
      <c r="BY24" s="1111"/>
      <c r="BZ24" s="1128"/>
      <c r="CA24" s="1126" t="s">
        <v>93</v>
      </c>
      <c r="CB24" s="1110"/>
      <c r="CC24" s="1111"/>
      <c r="CD24" s="1128"/>
      <c r="CE24" s="1129" t="s">
        <v>93</v>
      </c>
      <c r="CF24" s="1130"/>
      <c r="CG24" s="1131"/>
      <c r="CH24" s="1149"/>
      <c r="CI24" s="1129" t="s">
        <v>93</v>
      </c>
      <c r="CJ24" s="1130"/>
      <c r="CK24" s="1131"/>
      <c r="CL24" s="1149"/>
      <c r="CM24" s="1129" t="s">
        <v>93</v>
      </c>
      <c r="CN24" s="1130"/>
      <c r="CO24" s="1131"/>
      <c r="CP24" s="1114"/>
      <c r="CQ24" s="1129" t="s">
        <v>93</v>
      </c>
      <c r="CR24" s="1130"/>
      <c r="CS24" s="1131"/>
      <c r="CT24" s="1149"/>
      <c r="CU24" s="1129" t="s">
        <v>93</v>
      </c>
      <c r="CV24" s="1130"/>
      <c r="CW24" s="1131"/>
      <c r="CX24" s="1128"/>
      <c r="CY24" s="1129" t="s">
        <v>93</v>
      </c>
      <c r="CZ24" s="1110"/>
      <c r="DA24" s="1124"/>
      <c r="DB24" s="1149"/>
      <c r="DC24" s="1129" t="s">
        <v>93</v>
      </c>
      <c r="DD24" s="1110"/>
      <c r="DE24" s="1124"/>
      <c r="DF24" s="1149"/>
      <c r="DG24" s="1129" t="s">
        <v>93</v>
      </c>
      <c r="DH24" s="1110"/>
      <c r="DI24" s="1124"/>
      <c r="DJ24" s="1149"/>
      <c r="DK24" s="1129" t="s">
        <v>93</v>
      </c>
      <c r="DL24" s="1110"/>
      <c r="DM24" s="1124"/>
      <c r="DN24" s="1149"/>
      <c r="DO24" s="1129" t="s">
        <v>93</v>
      </c>
      <c r="DP24" s="1110"/>
      <c r="DQ24" s="1124"/>
      <c r="DR24" s="39"/>
    </row>
    <row r="25" spans="1:122" s="8" customFormat="1" ht="15" customHeight="1" thickBot="1">
      <c r="A25" s="227"/>
      <c r="B25" s="1563" t="s">
        <v>359</v>
      </c>
      <c r="C25" s="1564"/>
      <c r="D25" s="1069"/>
      <c r="E25" s="1108" t="s">
        <v>91</v>
      </c>
      <c r="F25" s="1109"/>
      <c r="G25" s="1070"/>
      <c r="H25" s="1108" t="s">
        <v>91</v>
      </c>
      <c r="I25" s="1109"/>
      <c r="J25" s="1070"/>
      <c r="K25" s="1108" t="s">
        <v>91</v>
      </c>
      <c r="L25" s="1110"/>
      <c r="M25" s="1111"/>
      <c r="N25" s="1112"/>
      <c r="O25" s="1113" t="s">
        <v>91</v>
      </c>
      <c r="P25" s="1110"/>
      <c r="Q25" s="1111"/>
      <c r="R25" s="1114"/>
      <c r="S25" s="1113" t="s">
        <v>91</v>
      </c>
      <c r="T25" s="1110"/>
      <c r="U25" s="1111"/>
      <c r="V25" s="1112"/>
      <c r="W25" s="1113" t="s">
        <v>91</v>
      </c>
      <c r="X25" s="1110"/>
      <c r="Y25" s="1111"/>
      <c r="Z25" s="1114"/>
      <c r="AA25" s="1113" t="s">
        <v>91</v>
      </c>
      <c r="AB25" s="1111"/>
      <c r="AC25" s="1560"/>
      <c r="AD25" s="1150" t="s">
        <v>91</v>
      </c>
      <c r="AE25" s="1110"/>
      <c r="AF25" s="1111"/>
      <c r="AG25" s="1128"/>
      <c r="AH25" s="1150" t="s">
        <v>91</v>
      </c>
      <c r="AI25" s="1111"/>
      <c r="AJ25" s="1128"/>
      <c r="AK25" s="1113" t="s">
        <v>91</v>
      </c>
      <c r="AL25" s="1110"/>
      <c r="AM25" s="1111"/>
      <c r="AN25" s="1128"/>
      <c r="AO25" s="1113" t="s">
        <v>91</v>
      </c>
      <c r="AP25" s="1111"/>
      <c r="AQ25" s="1530"/>
      <c r="AR25" s="1113" t="s">
        <v>91</v>
      </c>
      <c r="AS25" s="1110"/>
      <c r="AT25" s="1111"/>
      <c r="AU25" s="1128"/>
      <c r="AV25" s="1113" t="s">
        <v>91</v>
      </c>
      <c r="AW25" s="1111"/>
      <c r="AX25" s="1128"/>
      <c r="AY25" s="1113" t="s">
        <v>91</v>
      </c>
      <c r="AZ25" s="1110"/>
      <c r="BA25" s="1111"/>
      <c r="BB25" s="1128"/>
      <c r="BC25" s="1113" t="s">
        <v>91</v>
      </c>
      <c r="BD25" s="1111"/>
      <c r="BE25" s="1128"/>
      <c r="BF25" s="1113" t="s">
        <v>91</v>
      </c>
      <c r="BG25" s="1110"/>
      <c r="BH25" s="1111"/>
      <c r="BI25" s="1128"/>
      <c r="BJ25" s="1113" t="s">
        <v>91</v>
      </c>
      <c r="BK25" s="1111"/>
      <c r="BL25" s="1128"/>
      <c r="BM25" s="1113" t="s">
        <v>91</v>
      </c>
      <c r="BN25" s="1110"/>
      <c r="BO25" s="1111"/>
      <c r="BP25" s="1128"/>
      <c r="BQ25" s="1113" t="s">
        <v>91</v>
      </c>
      <c r="BR25" s="1111"/>
      <c r="BS25" s="1128"/>
      <c r="BT25" s="1113" t="s">
        <v>91</v>
      </c>
      <c r="BU25" s="1110"/>
      <c r="BV25" s="1111"/>
      <c r="BW25" s="1128"/>
      <c r="BX25" s="1113" t="s">
        <v>91</v>
      </c>
      <c r="BY25" s="1111"/>
      <c r="BZ25" s="1128"/>
      <c r="CA25" s="1113" t="s">
        <v>91</v>
      </c>
      <c r="CB25" s="1110"/>
      <c r="CC25" s="1111"/>
      <c r="CD25" s="1128"/>
      <c r="CE25" s="1123" t="s">
        <v>91</v>
      </c>
      <c r="CF25" s="1130"/>
      <c r="CG25" s="1131"/>
      <c r="CH25" s="1149"/>
      <c r="CI25" s="1123" t="s">
        <v>91</v>
      </c>
      <c r="CJ25" s="1130"/>
      <c r="CK25" s="1131"/>
      <c r="CL25" s="1149"/>
      <c r="CM25" s="1123" t="s">
        <v>91</v>
      </c>
      <c r="CN25" s="1130"/>
      <c r="CO25" s="1131"/>
      <c r="CP25" s="1114"/>
      <c r="CQ25" s="1123" t="s">
        <v>91</v>
      </c>
      <c r="CR25" s="1130"/>
      <c r="CS25" s="1131"/>
      <c r="CT25" s="1149"/>
      <c r="CU25" s="1123" t="s">
        <v>91</v>
      </c>
      <c r="CV25" s="1130"/>
      <c r="CW25" s="1131"/>
      <c r="CX25" s="1128"/>
      <c r="CY25" s="1123" t="s">
        <v>91</v>
      </c>
      <c r="CZ25" s="1110"/>
      <c r="DA25" s="1124"/>
      <c r="DB25" s="1149"/>
      <c r="DC25" s="1123" t="s">
        <v>91</v>
      </c>
      <c r="DD25" s="1110"/>
      <c r="DE25" s="1124"/>
      <c r="DF25" s="1149"/>
      <c r="DG25" s="1123" t="s">
        <v>91</v>
      </c>
      <c r="DH25" s="1110"/>
      <c r="DI25" s="1124"/>
      <c r="DJ25" s="1149"/>
      <c r="DK25" s="1123" t="s">
        <v>91</v>
      </c>
      <c r="DL25" s="1110"/>
      <c r="DM25" s="1124"/>
      <c r="DN25" s="1149"/>
      <c r="DO25" s="1123" t="s">
        <v>91</v>
      </c>
      <c r="DP25" s="1110"/>
      <c r="DQ25" s="1124"/>
      <c r="DR25" s="39"/>
    </row>
    <row r="26" spans="1:122" s="8" customFormat="1" ht="15" customHeight="1" thickBot="1">
      <c r="A26" s="227"/>
      <c r="B26" s="1565"/>
      <c r="C26" s="1566"/>
      <c r="D26" s="1069"/>
      <c r="E26" s="1125" t="s">
        <v>92</v>
      </c>
      <c r="F26" s="1109"/>
      <c r="G26" s="1070"/>
      <c r="H26" s="1125" t="s">
        <v>92</v>
      </c>
      <c r="I26" s="1109"/>
      <c r="J26" s="1070"/>
      <c r="K26" s="1125" t="s">
        <v>92</v>
      </c>
      <c r="L26" s="1110"/>
      <c r="M26" s="1111"/>
      <c r="N26" s="1112"/>
      <c r="O26" s="1126" t="s">
        <v>92</v>
      </c>
      <c r="P26" s="1110"/>
      <c r="Q26" s="1111"/>
      <c r="R26" s="1114"/>
      <c r="S26" s="1126" t="s">
        <v>92</v>
      </c>
      <c r="T26" s="1110"/>
      <c r="U26" s="1111"/>
      <c r="V26" s="1112"/>
      <c r="W26" s="1126" t="s">
        <v>92</v>
      </c>
      <c r="X26" s="1110"/>
      <c r="Y26" s="1111"/>
      <c r="Z26" s="1114"/>
      <c r="AA26" s="1126" t="s">
        <v>92</v>
      </c>
      <c r="AB26" s="1111"/>
      <c r="AC26" s="1560"/>
      <c r="AD26" s="1137" t="s">
        <v>92</v>
      </c>
      <c r="AE26" s="1110"/>
      <c r="AF26" s="1111"/>
      <c r="AG26" s="1128"/>
      <c r="AH26" s="1137" t="s">
        <v>92</v>
      </c>
      <c r="AI26" s="1111"/>
      <c r="AJ26" s="1128"/>
      <c r="AK26" s="1126" t="s">
        <v>92</v>
      </c>
      <c r="AL26" s="1110"/>
      <c r="AM26" s="1111"/>
      <c r="AN26" s="1128"/>
      <c r="AO26" s="1126" t="s">
        <v>92</v>
      </c>
      <c r="AP26" s="1111"/>
      <c r="AQ26" s="1530"/>
      <c r="AR26" s="1126" t="s">
        <v>92</v>
      </c>
      <c r="AS26" s="1110"/>
      <c r="AT26" s="1111"/>
      <c r="AU26" s="1128"/>
      <c r="AV26" s="1126" t="s">
        <v>92</v>
      </c>
      <c r="AW26" s="1111"/>
      <c r="AX26" s="1128"/>
      <c r="AY26" s="1126" t="s">
        <v>92</v>
      </c>
      <c r="AZ26" s="1110"/>
      <c r="BA26" s="1111"/>
      <c r="BB26" s="1128"/>
      <c r="BC26" s="1126" t="s">
        <v>92</v>
      </c>
      <c r="BD26" s="1111"/>
      <c r="BE26" s="1128"/>
      <c r="BF26" s="1126" t="s">
        <v>92</v>
      </c>
      <c r="BG26" s="1110"/>
      <c r="BH26" s="1111"/>
      <c r="BI26" s="1128"/>
      <c r="BJ26" s="1126" t="s">
        <v>92</v>
      </c>
      <c r="BK26" s="1111"/>
      <c r="BL26" s="1128"/>
      <c r="BM26" s="1126" t="s">
        <v>92</v>
      </c>
      <c r="BN26" s="1110"/>
      <c r="BO26" s="1111"/>
      <c r="BP26" s="1128"/>
      <c r="BQ26" s="1126" t="s">
        <v>92</v>
      </c>
      <c r="BR26" s="1111"/>
      <c r="BS26" s="1128"/>
      <c r="BT26" s="1126" t="s">
        <v>92</v>
      </c>
      <c r="BU26" s="1110"/>
      <c r="BV26" s="1111"/>
      <c r="BW26" s="1128"/>
      <c r="BX26" s="1126" t="s">
        <v>92</v>
      </c>
      <c r="BY26" s="1111"/>
      <c r="BZ26" s="1128"/>
      <c r="CA26" s="1126" t="s">
        <v>92</v>
      </c>
      <c r="CB26" s="1110"/>
      <c r="CC26" s="1111"/>
      <c r="CD26" s="1128"/>
      <c r="CE26" s="1151" t="s">
        <v>92</v>
      </c>
      <c r="CF26" s="1152"/>
      <c r="CG26" s="1153"/>
      <c r="CH26" s="1154"/>
      <c r="CI26" s="1151" t="s">
        <v>92</v>
      </c>
      <c r="CJ26" s="1152"/>
      <c r="CK26" s="1153"/>
      <c r="CL26" s="1154"/>
      <c r="CM26" s="1151" t="s">
        <v>92</v>
      </c>
      <c r="CN26" s="1152"/>
      <c r="CO26" s="1153"/>
      <c r="CP26" s="1155"/>
      <c r="CQ26" s="1151" t="s">
        <v>92</v>
      </c>
      <c r="CR26" s="1152"/>
      <c r="CS26" s="1153"/>
      <c r="CT26" s="1154"/>
      <c r="CU26" s="1151" t="s">
        <v>92</v>
      </c>
      <c r="CV26" s="1152"/>
      <c r="CW26" s="1153"/>
      <c r="CX26" s="1128"/>
      <c r="CY26" s="1151" t="s">
        <v>92</v>
      </c>
      <c r="CZ26" s="1156"/>
      <c r="DA26" s="1157"/>
      <c r="DB26" s="1154"/>
      <c r="DC26" s="1151" t="s">
        <v>92</v>
      </c>
      <c r="DD26" s="1156"/>
      <c r="DE26" s="1157"/>
      <c r="DF26" s="1154"/>
      <c r="DG26" s="1151" t="s">
        <v>92</v>
      </c>
      <c r="DH26" s="1156"/>
      <c r="DI26" s="1157"/>
      <c r="DJ26" s="1154"/>
      <c r="DK26" s="1151" t="s">
        <v>92</v>
      </c>
      <c r="DL26" s="1156"/>
      <c r="DM26" s="1157"/>
      <c r="DN26" s="1154"/>
      <c r="DO26" s="1151" t="s">
        <v>92</v>
      </c>
      <c r="DP26" s="1156"/>
      <c r="DQ26" s="1157"/>
      <c r="DR26" s="39"/>
    </row>
    <row r="27" spans="1:122" s="8" customFormat="1" ht="15" customHeight="1">
      <c r="A27" s="10"/>
      <c r="B27" s="10"/>
      <c r="C27" s="10"/>
      <c r="D27" s="10"/>
      <c r="E27" s="10"/>
      <c r="F27" s="10"/>
      <c r="G27" s="10"/>
      <c r="H27" s="10"/>
      <c r="I27" s="10"/>
      <c r="J27" s="10"/>
    </row>
    <row r="28" spans="1:122" s="8" customFormat="1" ht="15" customHeight="1">
      <c r="A28" s="10"/>
      <c r="B28" s="10"/>
      <c r="C28" s="10"/>
      <c r="D28" s="10"/>
      <c r="E28" s="10"/>
      <c r="F28" s="10"/>
      <c r="G28" s="10"/>
      <c r="H28" s="10"/>
      <c r="I28" s="10"/>
      <c r="J28" s="10"/>
    </row>
    <row r="29" spans="1:122" s="8" customFormat="1" ht="15" customHeight="1">
      <c r="A29" s="10"/>
      <c r="B29" s="10"/>
      <c r="C29" s="10"/>
      <c r="D29" s="10"/>
      <c r="E29" s="10"/>
      <c r="F29" s="10"/>
      <c r="G29" s="10"/>
      <c r="H29" s="10"/>
      <c r="I29" s="10"/>
      <c r="J29" s="10"/>
    </row>
    <row r="30" spans="1:122" s="8" customFormat="1" ht="15" customHeight="1">
      <c r="A30" s="10"/>
      <c r="B30" s="10"/>
      <c r="C30" s="10"/>
      <c r="D30" s="10"/>
      <c r="E30" s="10"/>
      <c r="F30" s="10"/>
      <c r="G30" s="10"/>
      <c r="H30" s="10"/>
      <c r="I30" s="10"/>
      <c r="J30" s="10"/>
    </row>
    <row r="31" spans="1:122" s="8" customFormat="1" ht="15" customHeight="1">
      <c r="A31" s="10"/>
      <c r="B31" s="10"/>
      <c r="C31" s="10"/>
      <c r="D31" s="10"/>
      <c r="E31" s="10"/>
      <c r="F31" s="10"/>
      <c r="G31" s="10"/>
      <c r="H31" s="10"/>
      <c r="I31" s="10"/>
      <c r="J31" s="10"/>
    </row>
    <row r="32" spans="1:122" s="8" customFormat="1" ht="15" customHeight="1">
      <c r="A32" s="10"/>
      <c r="B32" s="10"/>
      <c r="C32" s="10"/>
      <c r="D32" s="10"/>
      <c r="E32" s="10"/>
      <c r="F32" s="10"/>
      <c r="G32" s="10"/>
      <c r="H32" s="10"/>
      <c r="I32" s="10"/>
      <c r="J32" s="10"/>
    </row>
    <row r="33" spans="1:10" s="8" customFormat="1" ht="15" customHeight="1">
      <c r="A33" s="10"/>
      <c r="B33" s="10"/>
      <c r="C33" s="10"/>
      <c r="D33" s="10"/>
      <c r="E33" s="10"/>
      <c r="F33" s="10"/>
      <c r="G33" s="10"/>
      <c r="H33" s="10"/>
      <c r="I33" s="10"/>
      <c r="J33" s="10"/>
    </row>
    <row r="34" spans="1:10" s="8" customFormat="1" ht="15" customHeight="1">
      <c r="A34" s="10"/>
      <c r="B34" s="10"/>
      <c r="C34" s="10"/>
      <c r="D34" s="10"/>
      <c r="E34" s="10"/>
      <c r="F34" s="10"/>
      <c r="G34" s="10"/>
      <c r="H34" s="10"/>
      <c r="I34" s="10"/>
      <c r="J34" s="10"/>
    </row>
    <row r="35" spans="1:10" s="8" customFormat="1" ht="15" customHeight="1">
      <c r="A35" s="10"/>
      <c r="B35" s="10"/>
      <c r="C35" s="10"/>
      <c r="D35" s="10"/>
      <c r="E35" s="10"/>
      <c r="F35" s="10"/>
      <c r="G35" s="10"/>
      <c r="H35" s="10"/>
      <c r="I35" s="10"/>
      <c r="J35" s="10"/>
    </row>
    <row r="36" spans="1:10" s="8" customFormat="1" ht="15" customHeight="1">
      <c r="A36" s="10"/>
      <c r="B36" s="10"/>
      <c r="C36" s="10"/>
      <c r="D36" s="10"/>
      <c r="E36" s="10"/>
      <c r="F36" s="10"/>
      <c r="G36" s="10"/>
      <c r="H36" s="10"/>
      <c r="I36" s="10"/>
      <c r="J36" s="10"/>
    </row>
    <row r="37" spans="1:10" s="8" customFormat="1" ht="15" customHeight="1">
      <c r="A37" s="10"/>
      <c r="B37" s="10"/>
      <c r="C37" s="10"/>
      <c r="D37" s="10"/>
      <c r="E37" s="10"/>
      <c r="F37" s="10"/>
      <c r="G37" s="10"/>
      <c r="H37" s="10"/>
      <c r="I37" s="10"/>
      <c r="J37" s="10"/>
    </row>
    <row r="38" spans="1:10" s="8" customFormat="1" ht="15" customHeight="1">
      <c r="A38" s="10"/>
      <c r="B38" s="10"/>
      <c r="C38" s="10"/>
      <c r="D38" s="10"/>
      <c r="E38" s="10"/>
      <c r="F38" s="10"/>
      <c r="G38" s="10"/>
      <c r="H38" s="10"/>
      <c r="I38" s="10"/>
      <c r="J38" s="10"/>
    </row>
    <row r="39" spans="1:10" s="8" customFormat="1" ht="15" customHeight="1">
      <c r="A39" s="10"/>
      <c r="B39" s="10"/>
      <c r="C39" s="10"/>
      <c r="D39" s="10"/>
      <c r="E39" s="10"/>
      <c r="F39" s="10"/>
      <c r="G39" s="10"/>
      <c r="H39" s="10"/>
      <c r="I39" s="10"/>
      <c r="J39" s="10"/>
    </row>
    <row r="40" spans="1:10" s="8" customFormat="1" ht="15" customHeight="1">
      <c r="A40" s="10"/>
      <c r="B40" s="10"/>
      <c r="C40" s="10"/>
      <c r="D40" s="10"/>
      <c r="E40" s="10"/>
      <c r="F40" s="10"/>
      <c r="G40" s="10"/>
      <c r="H40" s="10"/>
      <c r="I40" s="10"/>
      <c r="J40" s="10"/>
    </row>
    <row r="41" spans="1:10" s="8" customFormat="1" ht="15" customHeight="1">
      <c r="A41" s="10"/>
      <c r="B41" s="10"/>
      <c r="C41" s="10"/>
      <c r="D41" s="10"/>
      <c r="E41" s="10"/>
      <c r="F41" s="10"/>
      <c r="G41" s="10"/>
      <c r="H41" s="10"/>
      <c r="I41" s="10"/>
      <c r="J41" s="10"/>
    </row>
    <row r="42" spans="1:10" s="8" customFormat="1" ht="15" customHeight="1">
      <c r="A42" s="10"/>
      <c r="B42" s="10"/>
      <c r="C42" s="10"/>
      <c r="D42" s="10"/>
      <c r="E42" s="10"/>
      <c r="F42" s="10"/>
      <c r="G42" s="10"/>
      <c r="H42" s="10"/>
      <c r="I42" s="10"/>
      <c r="J42" s="10"/>
    </row>
    <row r="43" spans="1:10" s="8" customFormat="1" ht="15" customHeight="1">
      <c r="A43" s="10"/>
      <c r="B43" s="10"/>
      <c r="C43" s="10"/>
      <c r="D43" s="10"/>
      <c r="E43" s="10"/>
      <c r="F43" s="10"/>
      <c r="G43" s="10"/>
      <c r="H43" s="10"/>
      <c r="I43" s="10"/>
      <c r="J43" s="10"/>
    </row>
    <row r="44" spans="1:10" s="8" customFormat="1" ht="15" customHeight="1">
      <c r="A44" s="10"/>
      <c r="B44" s="10"/>
      <c r="C44" s="10"/>
      <c r="D44" s="10"/>
      <c r="E44" s="10"/>
      <c r="F44" s="10"/>
      <c r="G44" s="10"/>
      <c r="H44" s="10"/>
      <c r="I44" s="10"/>
      <c r="J44" s="10"/>
    </row>
    <row r="45" spans="1:10" s="8" customFormat="1" ht="15" customHeight="1">
      <c r="A45" s="10"/>
      <c r="B45" s="10"/>
      <c r="C45" s="10"/>
      <c r="D45" s="10"/>
      <c r="E45" s="10"/>
      <c r="F45" s="10"/>
      <c r="G45" s="10"/>
      <c r="H45" s="10"/>
      <c r="I45" s="10"/>
      <c r="J45" s="10"/>
    </row>
    <row r="46" spans="1:10" s="8" customFormat="1" ht="15" customHeight="1">
      <c r="A46" s="10"/>
      <c r="B46" s="10"/>
      <c r="C46" s="10"/>
      <c r="D46" s="10"/>
      <c r="E46" s="10"/>
      <c r="F46" s="10"/>
      <c r="G46" s="10"/>
      <c r="H46" s="10"/>
      <c r="I46" s="10"/>
      <c r="J46" s="10"/>
    </row>
    <row r="47" spans="1:10" s="8" customFormat="1" ht="15" customHeight="1">
      <c r="A47" s="10"/>
      <c r="B47" s="10"/>
      <c r="C47" s="10"/>
      <c r="D47" s="10"/>
      <c r="E47" s="10"/>
      <c r="F47" s="10"/>
      <c r="G47" s="10"/>
      <c r="H47" s="10"/>
      <c r="I47" s="10"/>
      <c r="J47" s="10"/>
    </row>
    <row r="48" spans="1:10" s="8" customFormat="1" ht="15" customHeight="1">
      <c r="A48" s="10"/>
      <c r="B48" s="10"/>
      <c r="C48" s="10"/>
      <c r="D48" s="10"/>
      <c r="E48" s="10"/>
      <c r="F48" s="10"/>
      <c r="G48" s="10"/>
      <c r="H48" s="10"/>
      <c r="I48" s="10"/>
      <c r="J48" s="10"/>
    </row>
    <row r="49" spans="1:10" s="8" customFormat="1" ht="15" customHeight="1">
      <c r="A49" s="10"/>
      <c r="B49" s="10"/>
      <c r="C49" s="10"/>
      <c r="D49" s="10"/>
      <c r="E49" s="10"/>
      <c r="F49" s="10"/>
      <c r="G49" s="10"/>
      <c r="H49" s="10"/>
      <c r="I49" s="10"/>
      <c r="J49" s="10"/>
    </row>
    <row r="50" spans="1:10" s="8" customFormat="1" ht="15" customHeight="1">
      <c r="A50" s="10"/>
      <c r="B50" s="10"/>
      <c r="C50" s="10"/>
      <c r="D50" s="10"/>
      <c r="E50" s="10"/>
      <c r="F50" s="10"/>
      <c r="G50" s="10"/>
      <c r="H50" s="10"/>
      <c r="I50" s="10"/>
      <c r="J50" s="10"/>
    </row>
    <row r="51" spans="1:10" s="8" customFormat="1" ht="15" customHeight="1">
      <c r="A51" s="10"/>
      <c r="B51" s="10"/>
      <c r="C51" s="10"/>
      <c r="D51" s="10"/>
      <c r="E51" s="10"/>
      <c r="F51" s="10"/>
      <c r="G51" s="10"/>
      <c r="H51" s="10"/>
      <c r="I51" s="10"/>
      <c r="J51" s="10"/>
    </row>
    <row r="52" spans="1:10" s="8" customFormat="1" ht="15" customHeight="1">
      <c r="A52" s="10"/>
      <c r="B52" s="10"/>
      <c r="C52" s="10"/>
      <c r="D52" s="10"/>
      <c r="E52" s="10"/>
      <c r="F52" s="10"/>
      <c r="G52" s="10"/>
      <c r="H52" s="10"/>
      <c r="I52" s="10"/>
      <c r="J52" s="10"/>
    </row>
    <row r="53" spans="1:10" s="8" customFormat="1" ht="15" customHeight="1">
      <c r="A53" s="10"/>
      <c r="B53" s="10"/>
      <c r="C53" s="10"/>
      <c r="D53" s="10"/>
      <c r="E53" s="10"/>
      <c r="F53" s="10"/>
      <c r="G53" s="10"/>
      <c r="H53" s="10"/>
      <c r="I53" s="10"/>
      <c r="J53" s="10"/>
    </row>
    <row r="54" spans="1:10" s="8" customFormat="1" ht="15" customHeight="1">
      <c r="A54" s="10"/>
      <c r="B54" s="10"/>
      <c r="C54" s="10"/>
      <c r="D54" s="10"/>
      <c r="E54" s="10"/>
      <c r="F54" s="10"/>
      <c r="G54" s="10"/>
      <c r="H54" s="10"/>
      <c r="I54" s="10"/>
      <c r="J54" s="10"/>
    </row>
    <row r="55" spans="1:10" s="8" customFormat="1" ht="15" customHeight="1">
      <c r="A55" s="10"/>
      <c r="B55" s="10"/>
      <c r="C55" s="10"/>
      <c r="D55" s="10"/>
      <c r="E55" s="10"/>
      <c r="F55" s="10"/>
      <c r="G55" s="10"/>
      <c r="H55" s="10"/>
      <c r="I55" s="10"/>
      <c r="J55" s="10"/>
    </row>
    <row r="56" spans="1:10" s="8" customFormat="1" ht="15" customHeight="1">
      <c r="A56" s="10"/>
      <c r="B56" s="10"/>
      <c r="C56" s="10"/>
      <c r="D56" s="10"/>
      <c r="E56" s="10"/>
      <c r="F56" s="10"/>
      <c r="G56" s="10"/>
      <c r="H56" s="10"/>
      <c r="I56" s="10"/>
      <c r="J56" s="10"/>
    </row>
    <row r="57" spans="1:10" s="8" customFormat="1" ht="15" customHeight="1">
      <c r="A57" s="10"/>
      <c r="B57" s="10"/>
      <c r="C57" s="10"/>
      <c r="D57" s="10"/>
      <c r="E57" s="10"/>
      <c r="F57" s="10"/>
      <c r="G57" s="10"/>
      <c r="H57" s="10"/>
      <c r="I57" s="10"/>
      <c r="J57" s="10"/>
    </row>
    <row r="58" spans="1:10" s="8" customFormat="1" ht="15" customHeight="1">
      <c r="A58" s="10"/>
      <c r="B58" s="10"/>
      <c r="C58" s="10"/>
      <c r="D58" s="10"/>
      <c r="E58" s="10"/>
      <c r="F58" s="10"/>
      <c r="G58" s="10"/>
      <c r="H58" s="10"/>
      <c r="I58" s="10"/>
      <c r="J58" s="10"/>
    </row>
    <row r="59" spans="1:10" s="8" customFormat="1" ht="15" customHeight="1">
      <c r="A59" s="10"/>
      <c r="B59" s="10"/>
      <c r="C59" s="10"/>
      <c r="D59" s="10"/>
      <c r="E59" s="10"/>
      <c r="F59" s="10"/>
      <c r="G59" s="10"/>
      <c r="H59" s="10"/>
      <c r="I59" s="10"/>
      <c r="J59" s="10"/>
    </row>
    <row r="60" spans="1:10" s="8" customFormat="1" ht="15" customHeight="1">
      <c r="A60" s="10"/>
      <c r="B60" s="10"/>
      <c r="C60" s="10"/>
      <c r="D60" s="10"/>
      <c r="E60" s="10"/>
      <c r="F60" s="10"/>
      <c r="G60" s="10"/>
      <c r="H60" s="10"/>
      <c r="I60" s="10"/>
      <c r="J60" s="10"/>
    </row>
    <row r="61" spans="1:10" s="8" customFormat="1" ht="15" customHeight="1">
      <c r="A61" s="10"/>
      <c r="B61" s="10"/>
      <c r="C61" s="10"/>
      <c r="D61" s="10"/>
      <c r="E61" s="10"/>
      <c r="F61" s="10"/>
      <c r="G61" s="10"/>
      <c r="H61" s="10"/>
      <c r="I61" s="10"/>
      <c r="J61" s="10"/>
    </row>
    <row r="62" spans="1:10" s="8" customFormat="1" ht="15" customHeight="1">
      <c r="A62" s="10"/>
      <c r="B62" s="10"/>
      <c r="C62" s="10"/>
      <c r="D62" s="10"/>
      <c r="E62" s="10"/>
      <c r="F62" s="10"/>
      <c r="G62" s="10"/>
      <c r="H62" s="10"/>
      <c r="I62" s="10"/>
      <c r="J62" s="10"/>
    </row>
    <row r="63" spans="1:10" s="8" customFormat="1" ht="15" customHeight="1">
      <c r="A63" s="10"/>
      <c r="B63" s="10"/>
      <c r="C63" s="10"/>
      <c r="D63" s="10"/>
      <c r="E63" s="10"/>
      <c r="F63" s="10"/>
      <c r="G63" s="10"/>
      <c r="H63" s="10"/>
      <c r="I63" s="10"/>
      <c r="J63" s="10"/>
    </row>
    <row r="64" spans="1:10" s="8" customFormat="1" ht="15" customHeight="1">
      <c r="A64" s="10"/>
      <c r="B64" s="10"/>
      <c r="C64" s="10"/>
      <c r="D64" s="10"/>
      <c r="E64" s="10"/>
      <c r="F64" s="10"/>
      <c r="G64" s="10"/>
      <c r="H64" s="10"/>
      <c r="I64" s="10"/>
      <c r="J64" s="10"/>
    </row>
    <row r="65" spans="1:10" s="8" customFormat="1" ht="15" customHeight="1">
      <c r="A65" s="10"/>
      <c r="B65" s="10"/>
      <c r="C65" s="10"/>
      <c r="D65" s="10"/>
      <c r="E65" s="10"/>
      <c r="F65" s="10"/>
      <c r="G65" s="10"/>
      <c r="H65" s="10"/>
      <c r="I65" s="10"/>
      <c r="J65" s="10"/>
    </row>
    <row r="66" spans="1:10" s="8" customFormat="1" ht="15" customHeight="1">
      <c r="A66" s="10"/>
      <c r="B66" s="10"/>
      <c r="C66" s="10"/>
      <c r="D66" s="10"/>
      <c r="E66" s="10"/>
      <c r="F66" s="10"/>
      <c r="G66" s="10"/>
      <c r="H66" s="10"/>
      <c r="I66" s="10"/>
      <c r="J66" s="10"/>
    </row>
    <row r="67" spans="1:10" s="8" customFormat="1" ht="15" customHeight="1">
      <c r="A67" s="10"/>
      <c r="B67" s="10"/>
      <c r="C67" s="10"/>
      <c r="D67" s="10"/>
      <c r="E67" s="10"/>
      <c r="F67" s="10"/>
      <c r="G67" s="10"/>
      <c r="H67" s="10"/>
      <c r="I67" s="10"/>
      <c r="J67" s="10"/>
    </row>
    <row r="68" spans="1:10" s="8" customFormat="1" ht="15" customHeight="1">
      <c r="A68" s="10"/>
      <c r="B68" s="10"/>
      <c r="C68" s="10"/>
      <c r="D68" s="10"/>
      <c r="E68" s="10"/>
      <c r="F68" s="10"/>
      <c r="G68" s="10"/>
      <c r="H68" s="10"/>
      <c r="I68" s="10"/>
      <c r="J68" s="10"/>
    </row>
    <row r="69" spans="1:10" s="8" customFormat="1" ht="15" customHeight="1">
      <c r="A69" s="10"/>
      <c r="B69" s="10"/>
      <c r="C69" s="10"/>
      <c r="D69" s="10"/>
      <c r="E69" s="10"/>
      <c r="F69" s="10"/>
      <c r="G69" s="10"/>
      <c r="H69" s="10"/>
      <c r="I69" s="10"/>
      <c r="J69" s="10"/>
    </row>
    <row r="70" spans="1:10" s="8" customFormat="1" ht="15" customHeight="1">
      <c r="A70" s="10"/>
      <c r="B70" s="10"/>
      <c r="C70" s="10"/>
      <c r="D70" s="10"/>
      <c r="E70" s="10"/>
      <c r="F70" s="10"/>
      <c r="G70" s="10"/>
      <c r="H70" s="10"/>
      <c r="I70" s="10"/>
      <c r="J70" s="10"/>
    </row>
    <row r="71" spans="1:10" s="8" customFormat="1" ht="15" customHeight="1">
      <c r="A71" s="10"/>
      <c r="B71" s="10"/>
      <c r="C71" s="10"/>
      <c r="D71" s="10"/>
      <c r="E71" s="10"/>
      <c r="F71" s="10"/>
      <c r="G71" s="10"/>
      <c r="H71" s="10"/>
      <c r="I71" s="10"/>
      <c r="J71" s="10"/>
    </row>
    <row r="72" spans="1:10" s="8" customFormat="1" ht="15" customHeight="1">
      <c r="A72" s="10"/>
      <c r="B72" s="10"/>
      <c r="C72" s="10"/>
      <c r="D72" s="10"/>
      <c r="E72" s="10"/>
      <c r="F72" s="10"/>
      <c r="G72" s="10"/>
      <c r="H72" s="10"/>
      <c r="I72" s="10"/>
      <c r="J72" s="10"/>
    </row>
    <row r="73" spans="1:10" s="8" customFormat="1" ht="15" customHeight="1">
      <c r="A73" s="10"/>
      <c r="B73" s="10"/>
      <c r="C73" s="10"/>
      <c r="D73" s="10"/>
      <c r="E73" s="10"/>
      <c r="F73" s="10"/>
      <c r="G73" s="10"/>
      <c r="H73" s="10"/>
      <c r="I73" s="10"/>
      <c r="J73" s="10"/>
    </row>
    <row r="74" spans="1:10" s="8" customFormat="1" ht="15" customHeight="1">
      <c r="A74" s="10"/>
      <c r="B74" s="10"/>
      <c r="C74" s="10"/>
      <c r="D74" s="10"/>
      <c r="E74" s="10"/>
      <c r="F74" s="10"/>
      <c r="G74" s="10"/>
      <c r="H74" s="10"/>
      <c r="I74" s="10"/>
      <c r="J74" s="10"/>
    </row>
    <row r="75" spans="1:10" s="8" customFormat="1" ht="15" customHeight="1">
      <c r="A75" s="10"/>
      <c r="B75" s="10"/>
      <c r="C75" s="10"/>
      <c r="D75" s="10"/>
      <c r="E75" s="10"/>
      <c r="F75" s="10"/>
      <c r="G75" s="10"/>
      <c r="H75" s="10"/>
      <c r="I75" s="10"/>
      <c r="J75" s="10"/>
    </row>
    <row r="76" spans="1:10" s="8" customFormat="1" ht="15" customHeight="1">
      <c r="A76" s="10"/>
      <c r="B76" s="10"/>
      <c r="C76" s="10"/>
      <c r="D76" s="10"/>
      <c r="E76" s="10"/>
      <c r="F76" s="10"/>
      <c r="G76" s="10"/>
      <c r="H76" s="10"/>
      <c r="I76" s="10"/>
      <c r="J76" s="10"/>
    </row>
    <row r="77" spans="1:10" s="8" customFormat="1" ht="15" customHeight="1">
      <c r="A77" s="10"/>
      <c r="B77" s="10"/>
      <c r="C77" s="10"/>
      <c r="D77" s="10"/>
      <c r="E77" s="10"/>
      <c r="F77" s="10"/>
      <c r="G77" s="10"/>
      <c r="H77" s="10"/>
      <c r="I77" s="10"/>
      <c r="J77" s="10"/>
    </row>
    <row r="78" spans="1:10" s="8" customFormat="1" ht="15" customHeight="1">
      <c r="A78" s="10"/>
      <c r="B78" s="10"/>
      <c r="C78" s="10"/>
      <c r="D78" s="10"/>
      <c r="E78" s="10"/>
      <c r="F78" s="10"/>
      <c r="G78" s="10"/>
      <c r="H78" s="10"/>
      <c r="I78" s="10"/>
      <c r="J78" s="10"/>
    </row>
    <row r="79" spans="1:10" s="8" customFormat="1" ht="15" customHeight="1">
      <c r="A79" s="10"/>
      <c r="B79" s="10"/>
      <c r="C79" s="10"/>
      <c r="D79" s="10"/>
      <c r="E79" s="10"/>
      <c r="F79" s="10"/>
      <c r="G79" s="10"/>
      <c r="H79" s="10"/>
      <c r="I79" s="10"/>
      <c r="J79" s="10"/>
    </row>
    <row r="80" spans="1:10" s="8" customFormat="1" ht="15" customHeight="1">
      <c r="A80" s="10"/>
      <c r="B80" s="10"/>
      <c r="C80" s="10"/>
      <c r="D80" s="10"/>
      <c r="E80" s="10"/>
      <c r="F80" s="10"/>
      <c r="G80" s="10"/>
      <c r="H80" s="10"/>
      <c r="I80" s="10"/>
      <c r="J80" s="10"/>
    </row>
    <row r="81" spans="1:10" s="8" customFormat="1" ht="15" customHeight="1">
      <c r="A81" s="10"/>
      <c r="B81" s="10"/>
      <c r="C81" s="10"/>
      <c r="D81" s="10"/>
      <c r="E81" s="10"/>
      <c r="F81" s="10"/>
      <c r="G81" s="10"/>
      <c r="H81" s="10"/>
      <c r="I81" s="10"/>
      <c r="J81" s="10"/>
    </row>
    <row r="82" spans="1:10" s="8" customFormat="1" ht="15" customHeight="1">
      <c r="A82" s="10"/>
      <c r="B82" s="10"/>
      <c r="C82" s="10"/>
      <c r="D82" s="10"/>
      <c r="E82" s="10"/>
      <c r="F82" s="10"/>
      <c r="G82" s="10"/>
      <c r="H82" s="10"/>
      <c r="I82" s="10"/>
      <c r="J82" s="10"/>
    </row>
    <row r="83" spans="1:10" s="8" customFormat="1" ht="15" customHeight="1">
      <c r="A83" s="10"/>
      <c r="B83" s="10"/>
      <c r="C83" s="10"/>
      <c r="D83" s="10"/>
      <c r="E83" s="10"/>
      <c r="F83" s="10"/>
      <c r="G83" s="10"/>
      <c r="H83" s="10"/>
      <c r="I83" s="10"/>
      <c r="J83" s="10"/>
    </row>
    <row r="84" spans="1:10" s="8" customFormat="1" ht="15" customHeight="1">
      <c r="A84" s="10"/>
      <c r="B84" s="10"/>
      <c r="C84" s="10"/>
      <c r="D84" s="10"/>
      <c r="E84" s="10"/>
      <c r="F84" s="10"/>
      <c r="G84" s="10"/>
      <c r="H84" s="10"/>
      <c r="I84" s="10"/>
      <c r="J84" s="10"/>
    </row>
    <row r="85" spans="1:10" s="8" customFormat="1" ht="15" customHeight="1">
      <c r="A85" s="10"/>
      <c r="B85" s="10"/>
      <c r="C85" s="10"/>
      <c r="D85" s="10"/>
      <c r="E85" s="10"/>
      <c r="F85" s="10"/>
      <c r="G85" s="10"/>
      <c r="H85" s="10"/>
      <c r="I85" s="10"/>
      <c r="J85" s="10"/>
    </row>
    <row r="86" spans="1:10" s="8" customFormat="1" ht="15" customHeight="1">
      <c r="A86" s="10"/>
      <c r="B86" s="10"/>
      <c r="C86" s="10"/>
      <c r="D86" s="10"/>
      <c r="E86" s="10"/>
      <c r="F86" s="10"/>
      <c r="G86" s="10"/>
      <c r="H86" s="10"/>
      <c r="I86" s="10"/>
      <c r="J86" s="10"/>
    </row>
    <row r="87" spans="1:10" s="8" customFormat="1" ht="15" customHeight="1">
      <c r="A87" s="10"/>
      <c r="B87" s="10"/>
      <c r="C87" s="10"/>
      <c r="D87" s="10"/>
      <c r="E87" s="10"/>
      <c r="F87" s="10"/>
      <c r="G87" s="10"/>
      <c r="H87" s="10"/>
      <c r="I87" s="10"/>
      <c r="J87" s="10"/>
    </row>
    <row r="88" spans="1:10" s="8" customFormat="1" ht="15" customHeight="1">
      <c r="A88" s="10"/>
      <c r="B88" s="10"/>
      <c r="C88" s="10"/>
      <c r="D88" s="10"/>
      <c r="E88" s="10"/>
      <c r="F88" s="10"/>
      <c r="G88" s="10"/>
      <c r="H88" s="10"/>
      <c r="I88" s="10"/>
      <c r="J88" s="10"/>
    </row>
    <row r="89" spans="1:10" s="8" customFormat="1" ht="15" customHeight="1">
      <c r="A89" s="10"/>
      <c r="B89" s="10"/>
      <c r="C89" s="10"/>
      <c r="D89" s="10"/>
      <c r="E89" s="10"/>
      <c r="F89" s="10"/>
      <c r="G89" s="10"/>
      <c r="H89" s="10"/>
      <c r="I89" s="10"/>
      <c r="J89" s="10"/>
    </row>
    <row r="90" spans="1:10" s="8" customFormat="1" ht="15" customHeight="1">
      <c r="A90" s="10"/>
      <c r="B90" s="10"/>
      <c r="C90" s="10"/>
      <c r="D90" s="10"/>
      <c r="E90" s="10"/>
      <c r="F90" s="10"/>
      <c r="G90" s="10"/>
      <c r="H90" s="10"/>
      <c r="I90" s="10"/>
      <c r="J90" s="10"/>
    </row>
    <row r="91" spans="1:10" s="8" customFormat="1" ht="15" customHeight="1">
      <c r="A91" s="10"/>
      <c r="B91" s="10"/>
      <c r="C91" s="10"/>
      <c r="D91" s="10"/>
      <c r="E91" s="10"/>
      <c r="F91" s="10"/>
      <c r="G91" s="10"/>
      <c r="H91" s="10"/>
      <c r="I91" s="10"/>
      <c r="J91" s="10"/>
    </row>
    <row r="92" spans="1:10" s="8" customFormat="1" ht="15" customHeight="1">
      <c r="A92" s="10"/>
      <c r="B92" s="10"/>
      <c r="C92" s="10"/>
      <c r="D92" s="10"/>
      <c r="E92" s="10"/>
      <c r="F92" s="10"/>
      <c r="G92" s="10"/>
      <c r="H92" s="10"/>
      <c r="I92" s="10"/>
      <c r="J92" s="10"/>
    </row>
    <row r="93" spans="1:10" s="8" customFormat="1" ht="15" customHeight="1">
      <c r="A93" s="10"/>
      <c r="B93" s="10"/>
      <c r="C93" s="10"/>
      <c r="D93" s="10"/>
      <c r="E93" s="10"/>
      <c r="F93" s="10"/>
      <c r="G93" s="10"/>
      <c r="H93" s="10"/>
      <c r="I93" s="10"/>
      <c r="J93" s="10"/>
    </row>
    <row r="94" spans="1:10" s="8" customFormat="1" ht="15" customHeight="1">
      <c r="A94" s="10"/>
      <c r="B94" s="10"/>
      <c r="C94" s="10"/>
      <c r="D94" s="10"/>
      <c r="E94" s="10"/>
      <c r="F94" s="10"/>
      <c r="G94" s="10"/>
      <c r="H94" s="10"/>
      <c r="I94" s="10"/>
      <c r="J94" s="10"/>
    </row>
    <row r="95" spans="1:10" s="8" customFormat="1" ht="15" customHeight="1">
      <c r="A95" s="10"/>
      <c r="B95" s="10"/>
      <c r="C95" s="10"/>
      <c r="D95" s="10"/>
      <c r="E95" s="10"/>
      <c r="F95" s="10"/>
      <c r="G95" s="10"/>
      <c r="H95" s="10"/>
      <c r="I95" s="10"/>
      <c r="J95" s="10"/>
    </row>
    <row r="96" spans="1:10" s="8" customFormat="1" ht="15" customHeight="1">
      <c r="A96" s="10"/>
      <c r="B96" s="10"/>
      <c r="C96" s="10"/>
      <c r="D96" s="10"/>
      <c r="E96" s="10"/>
      <c r="F96" s="10"/>
      <c r="G96" s="10"/>
      <c r="H96" s="10"/>
      <c r="I96" s="10"/>
      <c r="J96" s="10"/>
    </row>
    <row r="97" spans="1:10" s="8" customFormat="1" ht="15" customHeight="1">
      <c r="A97" s="10"/>
      <c r="B97" s="10"/>
      <c r="C97" s="10"/>
      <c r="D97" s="10"/>
      <c r="E97" s="10"/>
      <c r="F97" s="10"/>
      <c r="G97" s="10"/>
      <c r="H97" s="10"/>
      <c r="I97" s="10"/>
      <c r="J97" s="10"/>
    </row>
    <row r="98" spans="1:10" s="8" customFormat="1" ht="15" customHeight="1">
      <c r="A98" s="10"/>
      <c r="B98" s="10"/>
      <c r="C98" s="10"/>
      <c r="D98" s="10"/>
      <c r="E98" s="10"/>
      <c r="F98" s="10"/>
      <c r="G98" s="10"/>
      <c r="H98" s="10"/>
      <c r="I98" s="10"/>
      <c r="J98" s="10"/>
    </row>
    <row r="99" spans="1:10" s="8" customFormat="1" ht="15" customHeight="1">
      <c r="A99" s="10"/>
      <c r="B99" s="10"/>
      <c r="C99" s="10"/>
      <c r="D99" s="10"/>
      <c r="E99" s="10"/>
      <c r="F99" s="10"/>
      <c r="G99" s="10"/>
      <c r="H99" s="10"/>
      <c r="I99" s="10"/>
      <c r="J99" s="10"/>
    </row>
    <row r="100" spans="1:10" s="8" customFormat="1" ht="15" customHeight="1">
      <c r="A100" s="10"/>
      <c r="B100" s="10"/>
      <c r="C100" s="10"/>
      <c r="D100" s="10"/>
      <c r="E100" s="10"/>
      <c r="F100" s="10"/>
      <c r="G100" s="10"/>
      <c r="H100" s="10"/>
      <c r="I100" s="10"/>
      <c r="J100" s="10"/>
    </row>
    <row r="101" spans="1:10" s="8" customFormat="1" ht="15" customHeight="1">
      <c r="A101" s="10"/>
      <c r="B101" s="10"/>
      <c r="C101" s="10"/>
      <c r="D101" s="10"/>
      <c r="E101" s="10"/>
      <c r="F101" s="10"/>
      <c r="G101" s="10"/>
      <c r="H101" s="10"/>
      <c r="I101" s="10"/>
      <c r="J101" s="10"/>
    </row>
    <row r="102" spans="1:10" s="8" customFormat="1" ht="15" customHeight="1">
      <c r="A102" s="10"/>
      <c r="B102" s="10"/>
      <c r="C102" s="10"/>
      <c r="D102" s="10"/>
      <c r="E102" s="10"/>
      <c r="F102" s="10"/>
      <c r="G102" s="10"/>
      <c r="H102" s="10"/>
      <c r="I102" s="10"/>
      <c r="J102" s="10"/>
    </row>
    <row r="103" spans="1:10" s="8" customFormat="1" ht="15" customHeight="1">
      <c r="A103" s="10"/>
      <c r="B103" s="10"/>
      <c r="C103" s="10"/>
      <c r="D103" s="10"/>
      <c r="E103" s="10"/>
      <c r="F103" s="10"/>
      <c r="G103" s="10"/>
      <c r="H103" s="10"/>
      <c r="I103" s="10"/>
      <c r="J103" s="10"/>
    </row>
    <row r="104" spans="1:10" s="8" customFormat="1" ht="15" customHeight="1">
      <c r="A104" s="10"/>
      <c r="B104" s="10"/>
      <c r="C104" s="10"/>
      <c r="D104" s="10"/>
      <c r="E104" s="10"/>
      <c r="F104" s="10"/>
      <c r="G104" s="10"/>
      <c r="H104" s="10"/>
      <c r="I104" s="10"/>
      <c r="J104" s="10"/>
    </row>
    <row r="105" spans="1:10" s="8" customFormat="1" ht="15" customHeight="1">
      <c r="A105" s="10"/>
      <c r="B105" s="10"/>
      <c r="C105" s="10"/>
      <c r="D105" s="10"/>
      <c r="E105" s="10"/>
      <c r="F105" s="10"/>
      <c r="G105" s="10"/>
      <c r="H105" s="10"/>
      <c r="I105" s="10"/>
      <c r="J105" s="10"/>
    </row>
    <row r="106" spans="1:10" s="8" customFormat="1" ht="15" customHeight="1">
      <c r="A106" s="10"/>
      <c r="B106" s="10"/>
      <c r="C106" s="10"/>
      <c r="D106" s="10"/>
      <c r="E106" s="10"/>
      <c r="F106" s="10"/>
      <c r="G106" s="10"/>
      <c r="H106" s="10"/>
      <c r="I106" s="10"/>
      <c r="J106" s="10"/>
    </row>
    <row r="107" spans="1:10" s="8" customFormat="1" ht="15" customHeight="1">
      <c r="A107" s="10"/>
      <c r="B107" s="10"/>
      <c r="C107" s="10"/>
      <c r="D107" s="10"/>
      <c r="E107" s="10"/>
      <c r="F107" s="10"/>
      <c r="G107" s="10"/>
      <c r="H107" s="10"/>
      <c r="I107" s="10"/>
      <c r="J107" s="10"/>
    </row>
    <row r="108" spans="1:10" s="8" customFormat="1" ht="15" customHeight="1">
      <c r="A108" s="10"/>
      <c r="B108" s="10"/>
      <c r="C108" s="10"/>
      <c r="D108" s="10"/>
      <c r="E108" s="10"/>
      <c r="F108" s="10"/>
      <c r="G108" s="10"/>
      <c r="H108" s="10"/>
      <c r="I108" s="10"/>
      <c r="J108" s="10"/>
    </row>
    <row r="109" spans="1:10" s="8" customFormat="1" ht="15" customHeight="1">
      <c r="A109" s="10"/>
      <c r="B109" s="10"/>
      <c r="C109" s="10"/>
      <c r="D109" s="10"/>
      <c r="E109" s="10"/>
      <c r="F109" s="10"/>
      <c r="G109" s="10"/>
      <c r="H109" s="10"/>
      <c r="I109" s="10"/>
      <c r="J109" s="10"/>
    </row>
    <row r="110" spans="1:10" s="8" customFormat="1" ht="15" customHeight="1">
      <c r="A110" s="10"/>
      <c r="B110" s="10"/>
      <c r="C110" s="10"/>
      <c r="D110" s="10"/>
      <c r="E110" s="10"/>
      <c r="F110" s="10"/>
      <c r="G110" s="10"/>
      <c r="H110" s="10"/>
      <c r="I110" s="10"/>
      <c r="J110" s="10"/>
    </row>
    <row r="111" spans="1:10" s="8" customFormat="1" ht="15" customHeight="1">
      <c r="A111" s="10"/>
      <c r="B111" s="10"/>
      <c r="C111" s="10"/>
      <c r="D111" s="10"/>
      <c r="E111" s="10"/>
      <c r="F111" s="10"/>
      <c r="G111" s="10"/>
      <c r="H111" s="10"/>
      <c r="I111" s="10"/>
      <c r="J111" s="10"/>
    </row>
    <row r="112" spans="1:10" s="8" customFormat="1" ht="15" customHeight="1">
      <c r="A112" s="10"/>
      <c r="B112" s="10"/>
      <c r="C112" s="10"/>
      <c r="D112" s="10"/>
      <c r="E112" s="10"/>
      <c r="F112" s="10"/>
      <c r="G112" s="10"/>
      <c r="H112" s="10"/>
      <c r="I112" s="10"/>
      <c r="J112" s="10"/>
    </row>
    <row r="113" spans="1:10" s="8" customFormat="1" ht="15" customHeight="1">
      <c r="A113" s="10"/>
      <c r="B113" s="10"/>
      <c r="C113" s="10"/>
      <c r="D113" s="10"/>
      <c r="E113" s="10"/>
      <c r="F113" s="10"/>
      <c r="G113" s="10"/>
      <c r="H113" s="10"/>
      <c r="I113" s="10"/>
      <c r="J113" s="10"/>
    </row>
    <row r="114" spans="1:10" s="8" customFormat="1" ht="15" customHeight="1">
      <c r="A114" s="10"/>
      <c r="B114" s="10"/>
      <c r="C114" s="10"/>
      <c r="D114" s="10"/>
      <c r="E114" s="10"/>
      <c r="F114" s="10"/>
      <c r="G114" s="10"/>
      <c r="H114" s="10"/>
      <c r="I114" s="10"/>
      <c r="J114" s="10"/>
    </row>
    <row r="115" spans="1:10" s="8" customFormat="1" ht="15" customHeight="1">
      <c r="A115" s="10"/>
      <c r="B115" s="10"/>
      <c r="C115" s="10"/>
      <c r="D115" s="10"/>
      <c r="E115" s="10"/>
      <c r="F115" s="10"/>
      <c r="G115" s="10"/>
      <c r="H115" s="10"/>
      <c r="I115" s="10"/>
      <c r="J115" s="10"/>
    </row>
    <row r="116" spans="1:10" s="8" customFormat="1" ht="15" customHeight="1">
      <c r="A116" s="10"/>
      <c r="B116" s="10"/>
      <c r="C116" s="10"/>
      <c r="D116" s="10"/>
      <c r="E116" s="10"/>
      <c r="F116" s="10"/>
      <c r="G116" s="10"/>
      <c r="H116" s="10"/>
      <c r="I116" s="10"/>
      <c r="J116" s="10"/>
    </row>
    <row r="117" spans="1:10" s="8" customFormat="1" ht="15" customHeight="1">
      <c r="A117" s="10"/>
      <c r="B117" s="10"/>
      <c r="C117" s="10"/>
      <c r="D117" s="10"/>
      <c r="E117" s="10"/>
      <c r="F117" s="10"/>
      <c r="G117" s="10"/>
      <c r="H117" s="10"/>
      <c r="I117" s="10"/>
      <c r="J117" s="10"/>
    </row>
    <row r="118" spans="1:10" s="8" customFormat="1" ht="15" customHeight="1">
      <c r="A118" s="10"/>
      <c r="B118" s="10"/>
      <c r="C118" s="10"/>
      <c r="D118" s="10"/>
      <c r="E118" s="10"/>
      <c r="F118" s="10"/>
      <c r="G118" s="10"/>
      <c r="H118" s="10"/>
      <c r="I118" s="10"/>
      <c r="J118" s="10"/>
    </row>
    <row r="119" spans="1:10" s="8" customFormat="1" ht="15" customHeight="1">
      <c r="A119" s="10"/>
      <c r="B119" s="10"/>
      <c r="C119" s="10"/>
      <c r="D119" s="10"/>
      <c r="E119" s="10"/>
      <c r="F119" s="10"/>
      <c r="G119" s="10"/>
      <c r="H119" s="10"/>
      <c r="I119" s="10"/>
      <c r="J119" s="10"/>
    </row>
    <row r="120" spans="1:10" s="8" customFormat="1" ht="15" customHeight="1">
      <c r="A120" s="10"/>
      <c r="B120" s="10"/>
      <c r="C120" s="10"/>
      <c r="D120" s="10"/>
      <c r="E120" s="10"/>
      <c r="F120" s="10"/>
      <c r="G120" s="10"/>
      <c r="H120" s="10"/>
      <c r="I120" s="10"/>
      <c r="J120" s="10"/>
    </row>
    <row r="121" spans="1:10" s="8" customFormat="1" ht="15" customHeight="1">
      <c r="A121" s="10"/>
      <c r="B121" s="10"/>
      <c r="C121" s="10"/>
      <c r="D121" s="10"/>
      <c r="E121" s="10"/>
      <c r="F121" s="10"/>
      <c r="G121" s="10"/>
      <c r="H121" s="10"/>
      <c r="I121" s="10"/>
      <c r="J121" s="10"/>
    </row>
    <row r="122" spans="1:10" s="8" customFormat="1" ht="15" customHeight="1">
      <c r="A122" s="10"/>
      <c r="B122" s="10"/>
      <c r="C122" s="10"/>
      <c r="D122" s="10"/>
      <c r="E122" s="10"/>
      <c r="F122" s="10"/>
      <c r="G122" s="10"/>
      <c r="H122" s="10"/>
      <c r="I122" s="10"/>
      <c r="J122" s="10"/>
    </row>
    <row r="123" spans="1:10" s="8" customFormat="1" ht="15" customHeight="1">
      <c r="A123" s="10"/>
      <c r="B123" s="10"/>
      <c r="C123" s="10"/>
      <c r="D123" s="10"/>
      <c r="E123" s="10"/>
      <c r="F123" s="10"/>
      <c r="G123" s="10"/>
      <c r="H123" s="10"/>
      <c r="I123" s="10"/>
      <c r="J123" s="10"/>
    </row>
    <row r="124" spans="1:10" s="8" customFormat="1" ht="15" customHeight="1">
      <c r="A124" s="10"/>
      <c r="B124" s="10"/>
      <c r="C124" s="10"/>
      <c r="D124" s="10"/>
      <c r="E124" s="10"/>
      <c r="F124" s="10"/>
      <c r="G124" s="10"/>
      <c r="H124" s="10"/>
      <c r="I124" s="10"/>
      <c r="J124" s="10"/>
    </row>
    <row r="125" spans="1:10" s="8" customFormat="1" ht="15" customHeight="1">
      <c r="A125" s="10"/>
      <c r="B125" s="10"/>
      <c r="C125" s="10"/>
      <c r="D125" s="10"/>
      <c r="E125" s="10"/>
      <c r="F125" s="10"/>
      <c r="G125" s="10"/>
      <c r="H125" s="10"/>
      <c r="I125" s="10"/>
      <c r="J125" s="10"/>
    </row>
    <row r="126" spans="1:10" s="8" customFormat="1" ht="15" customHeight="1">
      <c r="A126" s="10"/>
      <c r="B126" s="10"/>
      <c r="C126" s="10"/>
      <c r="D126" s="10"/>
      <c r="E126" s="10"/>
      <c r="F126" s="10"/>
      <c r="G126" s="10"/>
      <c r="H126" s="10"/>
      <c r="I126" s="10"/>
      <c r="J126" s="10"/>
    </row>
    <row r="127" spans="1:10" s="8" customFormat="1" ht="15" customHeight="1">
      <c r="A127" s="10"/>
      <c r="B127" s="10"/>
      <c r="C127" s="10"/>
      <c r="D127" s="10"/>
      <c r="E127" s="10"/>
      <c r="F127" s="10"/>
      <c r="G127" s="10"/>
      <c r="H127" s="10"/>
      <c r="I127" s="10"/>
      <c r="J127" s="10"/>
    </row>
    <row r="128" spans="1:10" s="8" customFormat="1" ht="15" customHeight="1">
      <c r="A128" s="10"/>
      <c r="B128" s="10"/>
      <c r="C128" s="10"/>
      <c r="D128" s="10"/>
      <c r="E128" s="10"/>
      <c r="F128" s="10"/>
      <c r="G128" s="10"/>
      <c r="H128" s="10"/>
      <c r="I128" s="10"/>
      <c r="J128" s="10"/>
    </row>
    <row r="129" spans="1:127" s="8" customFormat="1" ht="15" customHeight="1">
      <c r="A129" s="10"/>
      <c r="B129" s="10"/>
      <c r="C129" s="10"/>
      <c r="D129" s="10"/>
      <c r="E129" s="10"/>
      <c r="F129" s="10"/>
      <c r="G129" s="10"/>
      <c r="H129" s="10"/>
      <c r="I129" s="10"/>
      <c r="J129" s="10"/>
    </row>
    <row r="130" spans="1:127" s="8" customFormat="1" ht="15" customHeight="1">
      <c r="A130" s="10"/>
      <c r="B130" s="10"/>
      <c r="C130" s="10"/>
      <c r="D130" s="10"/>
      <c r="E130" s="10"/>
      <c r="F130" s="10"/>
      <c r="G130" s="10"/>
      <c r="H130" s="10"/>
      <c r="I130" s="10"/>
      <c r="J130" s="10"/>
    </row>
    <row r="131" spans="1:127" s="8" customFormat="1" ht="15" customHeight="1">
      <c r="A131" s="10"/>
      <c r="B131" s="10"/>
      <c r="C131" s="10"/>
      <c r="D131" s="10"/>
      <c r="E131" s="10"/>
      <c r="F131" s="10"/>
      <c r="G131" s="10"/>
      <c r="H131" s="10"/>
      <c r="I131" s="10"/>
      <c r="J131" s="10"/>
    </row>
    <row r="132" spans="1:127" s="8" customFormat="1" ht="15" customHeight="1">
      <c r="A132" s="10"/>
      <c r="B132" s="10"/>
      <c r="C132" s="10"/>
      <c r="D132" s="10"/>
      <c r="E132" s="10"/>
      <c r="F132" s="10"/>
      <c r="G132" s="10"/>
      <c r="H132" s="10"/>
      <c r="I132" s="10"/>
      <c r="J132" s="10"/>
    </row>
    <row r="133" spans="1:127" s="8" customFormat="1" ht="15" customHeight="1">
      <c r="A133" s="10"/>
      <c r="B133" s="10"/>
      <c r="C133" s="10"/>
      <c r="D133" s="10"/>
      <c r="E133" s="10"/>
      <c r="F133" s="10"/>
      <c r="G133" s="10"/>
      <c r="H133" s="10"/>
      <c r="I133" s="10"/>
      <c r="J133" s="10"/>
    </row>
    <row r="134" spans="1:127" s="8" customFormat="1" ht="15" customHeight="1">
      <c r="A134" s="10"/>
      <c r="B134" s="10"/>
      <c r="C134" s="10"/>
      <c r="D134" s="10"/>
      <c r="E134" s="10"/>
      <c r="F134" s="10"/>
      <c r="G134" s="10"/>
      <c r="H134" s="10"/>
      <c r="I134" s="10"/>
      <c r="J134" s="10"/>
    </row>
    <row r="135" spans="1:127" s="8" customFormat="1" ht="15" customHeight="1">
      <c r="A135" s="10"/>
      <c r="B135" s="10"/>
      <c r="C135" s="10"/>
      <c r="D135" s="10"/>
      <c r="E135" s="10"/>
      <c r="F135" s="10"/>
      <c r="G135" s="10"/>
      <c r="H135" s="10"/>
      <c r="I135" s="10"/>
      <c r="J135" s="10"/>
    </row>
    <row r="136" spans="1:127" s="8" customFormat="1" ht="15" customHeight="1">
      <c r="A136" s="10"/>
      <c r="B136" s="10"/>
      <c r="C136" s="10"/>
      <c r="D136" s="10"/>
      <c r="E136" s="10"/>
      <c r="F136" s="10"/>
      <c r="G136" s="10"/>
      <c r="H136" s="10"/>
      <c r="I136" s="10"/>
      <c r="J136" s="10"/>
    </row>
    <row r="137" spans="1:127" s="8" customFormat="1" ht="15" customHeight="1">
      <c r="A137" s="10"/>
      <c r="B137" s="10"/>
      <c r="C137" s="10"/>
      <c r="D137" s="10"/>
      <c r="E137" s="10"/>
      <c r="F137" s="10"/>
      <c r="G137" s="10"/>
      <c r="H137" s="10"/>
      <c r="I137" s="10"/>
      <c r="J137" s="10"/>
    </row>
    <row r="138" spans="1:127" s="8" customFormat="1" ht="15" customHeight="1">
      <c r="A138" s="10"/>
      <c r="B138" s="10"/>
      <c r="C138" s="10"/>
      <c r="D138" s="10"/>
      <c r="E138" s="10"/>
      <c r="F138" s="10"/>
      <c r="G138" s="10"/>
      <c r="H138" s="10"/>
      <c r="I138" s="10"/>
      <c r="J138" s="10"/>
    </row>
    <row r="139" spans="1:127" s="8" customFormat="1" ht="15" customHeight="1">
      <c r="A139" s="10"/>
      <c r="B139" s="10"/>
      <c r="C139" s="10"/>
      <c r="D139" s="10"/>
      <c r="E139" s="10"/>
      <c r="F139" s="10"/>
      <c r="G139" s="10"/>
      <c r="H139" s="10"/>
      <c r="I139" s="10"/>
      <c r="J139" s="10"/>
    </row>
    <row r="140" spans="1:127" s="8" customFormat="1" ht="12.95" customHeight="1">
      <c r="A140" s="10"/>
      <c r="B140" s="10"/>
      <c r="C140" s="10"/>
      <c r="D140" s="10"/>
      <c r="E140" s="10"/>
      <c r="F140" s="10"/>
      <c r="G140" s="10"/>
      <c r="H140" s="10"/>
      <c r="I140" s="10"/>
      <c r="J140" s="10"/>
    </row>
    <row r="141" spans="1:127" s="6" customFormat="1" ht="15" customHeight="1">
      <c r="A141" s="3">
        <v>1</v>
      </c>
      <c r="B141" s="210" t="s">
        <v>209</v>
      </c>
      <c r="C141" s="473" t="s">
        <v>515</v>
      </c>
      <c r="D141" s="20"/>
      <c r="E141" s="5"/>
      <c r="F141" s="5"/>
      <c r="G141" s="20"/>
      <c r="H141" s="20"/>
      <c r="I141" s="20"/>
      <c r="J141" s="20"/>
      <c r="K141" s="5"/>
      <c r="L141" s="5"/>
      <c r="M141" s="5"/>
      <c r="O141" s="5"/>
      <c r="P141" s="5"/>
      <c r="Q141" s="5"/>
      <c r="S141" s="5"/>
      <c r="T141" s="5"/>
      <c r="U141" s="5"/>
      <c r="W141" s="5"/>
      <c r="X141" s="5"/>
      <c r="Y141" s="12"/>
      <c r="AA141" s="13"/>
      <c r="AB141" s="12"/>
      <c r="AD141" s="13"/>
      <c r="AE141" s="5"/>
      <c r="AF141" s="5"/>
      <c r="AH141" s="13"/>
      <c r="AI141" s="5"/>
      <c r="AK141" s="5"/>
      <c r="AL141" s="5"/>
      <c r="AM141" s="5"/>
      <c r="AO141" s="5"/>
      <c r="AP141" s="5"/>
      <c r="AR141" s="5"/>
      <c r="AS141" s="5"/>
      <c r="AT141" s="5"/>
      <c r="AV141" s="5"/>
      <c r="AW141" s="5"/>
      <c r="AY141" s="5"/>
      <c r="AZ141" s="5"/>
      <c r="BA141" s="5"/>
      <c r="BC141" s="5"/>
      <c r="BD141" s="5"/>
      <c r="BF141" s="5"/>
      <c r="BG141" s="5"/>
      <c r="BH141" s="5"/>
      <c r="BJ141" s="5"/>
      <c r="BK141" s="5"/>
      <c r="BL141" s="11"/>
      <c r="BM141" s="5"/>
      <c r="BN141" s="5"/>
      <c r="BO141" s="5"/>
      <c r="BQ141" s="5"/>
      <c r="BR141" s="5"/>
      <c r="BT141" s="5"/>
      <c r="BU141" s="5"/>
      <c r="BV141" s="5"/>
      <c r="BX141" s="5"/>
      <c r="BY141" s="5"/>
      <c r="CA141" s="17"/>
      <c r="CB141" s="7"/>
      <c r="CC141" s="11"/>
      <c r="CE141" s="17"/>
      <c r="CF141" s="7"/>
      <c r="CG141" s="11"/>
      <c r="CI141" s="17"/>
      <c r="CJ141" s="7"/>
      <c r="CK141" s="11"/>
      <c r="CM141" s="17"/>
      <c r="CN141" s="7"/>
      <c r="CO141" s="11"/>
      <c r="CQ141" s="17"/>
      <c r="CR141" s="7"/>
      <c r="CS141" s="11"/>
      <c r="CU141" s="17"/>
      <c r="CV141" s="7"/>
      <c r="CW141" s="11"/>
      <c r="CY141" s="17"/>
      <c r="CZ141" s="7"/>
      <c r="DA141" s="11"/>
      <c r="DC141" s="17"/>
      <c r="DD141" s="7"/>
      <c r="DE141" s="11"/>
      <c r="DG141" s="17"/>
      <c r="DH141" s="7"/>
      <c r="DI141" s="11"/>
      <c r="DK141" s="17"/>
      <c r="DL141" s="7"/>
      <c r="DM141" s="11"/>
      <c r="DO141" s="17"/>
      <c r="DP141" s="7"/>
      <c r="DQ141" s="11"/>
      <c r="DS141" s="17"/>
      <c r="DV141" s="17"/>
      <c r="DW141" s="660">
        <f>IF(DX141=34,0,I141+L141+P141+T141+X141+AB141+AE141+AI141+F141+AL141+CR141+AP141+AS141+AW141+BD141+BG141+BK141+BN141+BR141+AZ141+M141+DL141+BU141+BY141+CB141+CF141+CJ141+CN141+CV141+CZ141+DD141+DH141+DP141+DT141+DU141)</f>
        <v>0</v>
      </c>
    </row>
    <row r="142" spans="1:127" s="6" customFormat="1" ht="15" customHeight="1">
      <c r="A142" s="3"/>
      <c r="B142" s="167" t="s">
        <v>1030</v>
      </c>
      <c r="C142" s="400" t="s">
        <v>0</v>
      </c>
      <c r="D142" s="20"/>
      <c r="E142" s="5"/>
      <c r="F142" s="5"/>
      <c r="G142" s="20"/>
      <c r="H142" s="20"/>
      <c r="I142" s="20"/>
      <c r="J142" s="20"/>
      <c r="K142" s="5"/>
      <c r="L142" s="5"/>
      <c r="M142" s="5"/>
      <c r="O142" s="5"/>
      <c r="P142" s="5"/>
      <c r="Q142" s="5"/>
      <c r="S142" s="5"/>
      <c r="T142" s="5"/>
      <c r="U142" s="5"/>
      <c r="W142" s="5"/>
      <c r="X142" s="5"/>
      <c r="Y142" s="12"/>
      <c r="AA142" s="13"/>
      <c r="AB142" s="12"/>
      <c r="AD142" s="13"/>
      <c r="AE142" s="5"/>
      <c r="AF142" s="5"/>
      <c r="AH142" s="13"/>
      <c r="AI142" s="5"/>
      <c r="AK142" s="5"/>
      <c r="AL142" s="5"/>
      <c r="AM142" s="5"/>
      <c r="AO142" s="5"/>
      <c r="AP142" s="5"/>
      <c r="AR142" s="5"/>
      <c r="AS142" s="5"/>
      <c r="AT142" s="5"/>
      <c r="AV142" s="5"/>
      <c r="AW142" s="5"/>
      <c r="AY142" s="5"/>
      <c r="AZ142" s="5"/>
      <c r="BA142" s="5"/>
      <c r="BC142" s="5"/>
      <c r="BD142" s="5"/>
      <c r="BF142" s="5"/>
      <c r="BG142" s="5"/>
      <c r="BH142" s="5"/>
      <c r="BJ142" s="5"/>
      <c r="BK142" s="5"/>
      <c r="BL142" s="11"/>
      <c r="BM142" s="5"/>
      <c r="BN142" s="5"/>
      <c r="BO142" s="5"/>
      <c r="BQ142" s="5"/>
      <c r="BR142" s="5"/>
      <c r="BT142" s="5"/>
      <c r="BU142" s="5"/>
      <c r="BV142" s="5"/>
      <c r="BX142" s="5"/>
      <c r="BY142" s="5"/>
      <c r="CA142" s="17"/>
      <c r="CB142" s="7"/>
      <c r="CC142" s="11"/>
      <c r="CE142" s="17"/>
      <c r="CF142" s="7"/>
      <c r="CG142" s="11"/>
      <c r="CI142" s="17"/>
      <c r="CJ142" s="7"/>
      <c r="CK142" s="11"/>
      <c r="CM142" s="17"/>
      <c r="CN142" s="7"/>
      <c r="CO142" s="11"/>
      <c r="CQ142" s="17"/>
      <c r="CR142" s="7"/>
      <c r="CS142" s="11"/>
      <c r="CU142" s="17"/>
      <c r="CV142" s="7"/>
      <c r="CW142" s="11"/>
      <c r="CY142" s="17"/>
      <c r="CZ142" s="7"/>
      <c r="DA142" s="11"/>
      <c r="DC142" s="17"/>
      <c r="DD142" s="7"/>
      <c r="DE142" s="11"/>
      <c r="DG142" s="17"/>
      <c r="DH142" s="7"/>
      <c r="DI142" s="11"/>
      <c r="DK142" s="17"/>
      <c r="DL142" s="7"/>
      <c r="DM142" s="11"/>
      <c r="DO142" s="17"/>
      <c r="DP142" s="7"/>
      <c r="DQ142" s="11"/>
      <c r="DS142" s="17"/>
      <c r="DV142" s="17"/>
      <c r="DW142" s="660">
        <f t="shared" ref="DW142:DW207" si="0">IF(DX142=34,0,I142+L142+P142+T142+X142+AB142+AE142+AI142+F142+AL142+CR142+AP142+AS142+AW142+BD142+BG142+BK142+BN142+BR142+AZ142+M142+DL142+BU142+BY142+CB142+CF142+CJ142+CN142+CV142+CZ142+DD142+DH142+DP142+DT142+DU142)</f>
        <v>0</v>
      </c>
    </row>
    <row r="143" spans="1:127" s="6" customFormat="1" ht="15" customHeight="1">
      <c r="A143" s="3"/>
      <c r="B143" s="167" t="s">
        <v>1252</v>
      </c>
      <c r="C143" s="400" t="s">
        <v>0</v>
      </c>
      <c r="D143" s="20"/>
      <c r="E143" s="5"/>
      <c r="F143" s="5"/>
      <c r="G143" s="20"/>
      <c r="H143" s="20">
        <v>4</v>
      </c>
      <c r="I143" s="657">
        <f>SUM(I5:I26)*H143</f>
        <v>0</v>
      </c>
      <c r="J143" s="20"/>
      <c r="K143" s="5"/>
      <c r="L143" s="5"/>
      <c r="M143" s="5"/>
      <c r="O143" s="5"/>
      <c r="P143" s="5"/>
      <c r="Q143" s="5"/>
      <c r="S143" s="5"/>
      <c r="T143" s="5"/>
      <c r="U143" s="5"/>
      <c r="W143" s="5"/>
      <c r="X143" s="5"/>
      <c r="Y143" s="12"/>
      <c r="AA143" s="13"/>
      <c r="AB143" s="12"/>
      <c r="AD143" s="13"/>
      <c r="AE143" s="5"/>
      <c r="AF143" s="5"/>
      <c r="AH143" s="13"/>
      <c r="AI143" s="5"/>
      <c r="AK143" s="5"/>
      <c r="AL143" s="5"/>
      <c r="AM143" s="5"/>
      <c r="AO143" s="5"/>
      <c r="AP143" s="5"/>
      <c r="AR143" s="5"/>
      <c r="AS143" s="5"/>
      <c r="AT143" s="5"/>
      <c r="AV143" s="5"/>
      <c r="AW143" s="5"/>
      <c r="AY143" s="5"/>
      <c r="AZ143" s="5"/>
      <c r="BA143" s="5"/>
      <c r="BC143" s="5"/>
      <c r="BD143" s="5"/>
      <c r="BF143" s="5"/>
      <c r="BG143" s="5"/>
      <c r="BH143" s="5"/>
      <c r="BJ143" s="5"/>
      <c r="BK143" s="5"/>
      <c r="BL143" s="11"/>
      <c r="BM143" s="5"/>
      <c r="BN143" s="5"/>
      <c r="BO143" s="5"/>
      <c r="BQ143" s="5"/>
      <c r="BR143" s="5"/>
      <c r="BT143" s="5"/>
      <c r="BU143" s="5"/>
      <c r="BV143" s="5"/>
      <c r="BX143" s="5"/>
      <c r="BY143" s="5"/>
      <c r="CA143" s="17"/>
      <c r="CB143" s="7"/>
      <c r="CC143" s="11"/>
      <c r="CE143" s="17"/>
      <c r="CF143" s="7"/>
      <c r="CG143" s="11"/>
      <c r="CI143" s="17"/>
      <c r="CJ143" s="7"/>
      <c r="CK143" s="11"/>
      <c r="CM143" s="17"/>
      <c r="CN143" s="7"/>
      <c r="CO143" s="11"/>
      <c r="CQ143" s="17"/>
      <c r="CR143" s="7"/>
      <c r="CS143" s="11"/>
      <c r="CU143" s="17"/>
      <c r="CV143" s="7"/>
      <c r="CW143" s="11"/>
      <c r="CY143" s="17"/>
      <c r="CZ143" s="7"/>
      <c r="DA143" s="11"/>
      <c r="DC143" s="17"/>
      <c r="DD143" s="7"/>
      <c r="DE143" s="11"/>
      <c r="DG143" s="17"/>
      <c r="DH143" s="7"/>
      <c r="DI143" s="11"/>
      <c r="DK143" s="17"/>
      <c r="DL143" s="7"/>
      <c r="DM143" s="11"/>
      <c r="DO143" s="17"/>
      <c r="DP143" s="7"/>
      <c r="DQ143" s="11"/>
      <c r="DS143" s="17"/>
      <c r="DV143" s="17"/>
      <c r="DW143" s="660">
        <f t="shared" si="0"/>
        <v>0</v>
      </c>
    </row>
    <row r="144" spans="1:127" s="6" customFormat="1" ht="15" customHeight="1">
      <c r="A144" s="3">
        <v>2</v>
      </c>
      <c r="B144" s="210" t="s">
        <v>1175</v>
      </c>
      <c r="C144" s="473" t="s">
        <v>515</v>
      </c>
      <c r="D144" s="4"/>
      <c r="E144" s="5"/>
      <c r="F144" s="5"/>
      <c r="G144" s="4"/>
      <c r="H144" s="4"/>
      <c r="I144" s="4"/>
      <c r="J144" s="4"/>
      <c r="K144" s="5"/>
      <c r="L144" s="5"/>
      <c r="M144" s="5"/>
      <c r="O144" s="5"/>
      <c r="P144" s="5"/>
      <c r="Q144" s="5"/>
      <c r="S144" s="5"/>
      <c r="T144" s="5"/>
      <c r="U144" s="5"/>
      <c r="W144" s="5"/>
      <c r="X144" s="5"/>
      <c r="Y144" s="12"/>
      <c r="AA144" s="13"/>
      <c r="AB144" s="12"/>
      <c r="AD144" s="13"/>
      <c r="AE144" s="5"/>
      <c r="AF144" s="5"/>
      <c r="AH144" s="13"/>
      <c r="AI144" s="5"/>
      <c r="AK144" s="5"/>
      <c r="AL144" s="5"/>
      <c r="AM144" s="5"/>
      <c r="AO144" s="5"/>
      <c r="AP144" s="5"/>
      <c r="AR144" s="5"/>
      <c r="AS144" s="5"/>
      <c r="AT144" s="5"/>
      <c r="AV144" s="5"/>
      <c r="AW144" s="5"/>
      <c r="AY144" s="5"/>
      <c r="AZ144" s="5"/>
      <c r="BA144" s="5"/>
      <c r="BC144" s="5"/>
      <c r="BD144" s="5"/>
      <c r="BF144" s="5"/>
      <c r="BG144" s="5"/>
      <c r="BH144" s="5"/>
      <c r="BJ144" s="5"/>
      <c r="BK144" s="5"/>
      <c r="BL144" s="12"/>
      <c r="BM144" s="5"/>
      <c r="BN144" s="5"/>
      <c r="BO144" s="5"/>
      <c r="BQ144" s="5"/>
      <c r="BR144" s="5"/>
      <c r="BT144" s="5"/>
      <c r="BU144" s="5"/>
      <c r="BV144" s="5"/>
      <c r="BX144" s="5"/>
      <c r="BY144" s="5"/>
      <c r="CA144" s="13"/>
      <c r="CB144" s="7"/>
      <c r="CC144" s="11"/>
      <c r="CE144" s="13">
        <v>4</v>
      </c>
      <c r="CF144" s="5">
        <f>SUM(CF5:CG26)*CE144</f>
        <v>0</v>
      </c>
      <c r="CG144" s="5"/>
      <c r="CI144" s="13">
        <v>4</v>
      </c>
      <c r="CJ144" s="5">
        <f>SUM(CJ5:CK26)*CI144</f>
        <v>0</v>
      </c>
      <c r="CK144" s="12"/>
      <c r="CM144" s="13"/>
      <c r="CN144" s="5"/>
      <c r="CO144" s="12"/>
      <c r="CQ144" s="13"/>
      <c r="CR144" s="5"/>
      <c r="CS144" s="12"/>
      <c r="CU144" s="13"/>
      <c r="CV144" s="5"/>
      <c r="CW144" s="12"/>
      <c r="CY144" s="13">
        <v>4</v>
      </c>
      <c r="CZ144" s="5">
        <f>SUM(CZ5:DA26)*CY144</f>
        <v>0</v>
      </c>
      <c r="DA144" s="5"/>
      <c r="DC144" s="13">
        <v>4</v>
      </c>
      <c r="DD144" s="5">
        <f>SUM(DD5:DE26)*DC144</f>
        <v>0</v>
      </c>
      <c r="DE144" s="12"/>
      <c r="DG144" s="13"/>
      <c r="DH144" s="5"/>
      <c r="DI144" s="12"/>
      <c r="DK144" s="13"/>
      <c r="DL144" s="5"/>
      <c r="DM144" s="12"/>
      <c r="DO144" s="13"/>
      <c r="DP144" s="5"/>
      <c r="DQ144" s="12"/>
      <c r="DS144" s="17">
        <v>4</v>
      </c>
      <c r="DV144" s="17"/>
      <c r="DW144" s="660">
        <f t="shared" si="0"/>
        <v>0</v>
      </c>
    </row>
    <row r="145" spans="1:127" s="6" customFormat="1" ht="15" customHeight="1">
      <c r="A145" s="3">
        <v>3</v>
      </c>
      <c r="B145" s="210" t="s">
        <v>1176</v>
      </c>
      <c r="C145" s="473" t="s">
        <v>515</v>
      </c>
      <c r="D145" s="4"/>
      <c r="E145" s="5"/>
      <c r="F145" s="5"/>
      <c r="G145" s="4"/>
      <c r="H145" s="4"/>
      <c r="I145" s="4"/>
      <c r="J145" s="4"/>
      <c r="K145" s="5"/>
      <c r="L145" s="5"/>
      <c r="M145" s="5"/>
      <c r="O145" s="5"/>
      <c r="P145" s="5"/>
      <c r="Q145" s="5"/>
      <c r="S145" s="5"/>
      <c r="T145" s="5"/>
      <c r="U145" s="5"/>
      <c r="W145" s="5"/>
      <c r="X145" s="5"/>
      <c r="Y145" s="12"/>
      <c r="AA145" s="13"/>
      <c r="AB145" s="12"/>
      <c r="AD145" s="13"/>
      <c r="AE145" s="5"/>
      <c r="AF145" s="5"/>
      <c r="AH145" s="13"/>
      <c r="AI145" s="5"/>
      <c r="AK145" s="5"/>
      <c r="AL145" s="5"/>
      <c r="AM145" s="5"/>
      <c r="AO145" s="5"/>
      <c r="AP145" s="5"/>
      <c r="AR145" s="5"/>
      <c r="AS145" s="5"/>
      <c r="AT145" s="5"/>
      <c r="AV145" s="5"/>
      <c r="AW145" s="5"/>
      <c r="AY145" s="5"/>
      <c r="AZ145" s="5"/>
      <c r="BA145" s="5"/>
      <c r="BC145" s="5"/>
      <c r="BD145" s="5"/>
      <c r="BF145" s="5"/>
      <c r="BG145" s="5"/>
      <c r="BH145" s="5"/>
      <c r="BJ145" s="5"/>
      <c r="BK145" s="5"/>
      <c r="BL145" s="12"/>
      <c r="BM145" s="5"/>
      <c r="BN145" s="5"/>
      <c r="BO145" s="5"/>
      <c r="BQ145" s="5"/>
      <c r="BR145" s="5"/>
      <c r="BT145" s="5"/>
      <c r="BU145" s="5"/>
      <c r="BV145" s="5"/>
      <c r="BX145" s="5"/>
      <c r="BY145" s="5"/>
      <c r="CA145" s="13"/>
      <c r="CB145" s="7"/>
      <c r="CC145" s="11"/>
      <c r="CE145" s="13"/>
      <c r="CF145" s="5"/>
      <c r="CG145" s="12"/>
      <c r="CI145" s="13"/>
      <c r="CJ145" s="5"/>
      <c r="CK145" s="12"/>
      <c r="CM145" s="13">
        <v>4</v>
      </c>
      <c r="CN145" s="5">
        <f>SUM(CN5:CO26)*CM145</f>
        <v>0</v>
      </c>
      <c r="CO145" s="12"/>
      <c r="CQ145" s="13"/>
      <c r="CR145" s="5"/>
      <c r="CS145" s="12"/>
      <c r="CU145" s="13"/>
      <c r="CV145" s="5"/>
      <c r="CW145" s="12"/>
      <c r="CY145" s="13"/>
      <c r="CZ145" s="5"/>
      <c r="DA145" s="12"/>
      <c r="DC145" s="13"/>
      <c r="DD145" s="5"/>
      <c r="DE145" s="12"/>
      <c r="DG145" s="13">
        <v>4</v>
      </c>
      <c r="DH145" s="5">
        <f>SUM(DH5:DI26)*DG145</f>
        <v>0</v>
      </c>
      <c r="DI145" s="12"/>
      <c r="DK145" s="13"/>
      <c r="DL145" s="5"/>
      <c r="DM145" s="12"/>
      <c r="DO145" s="13"/>
      <c r="DP145" s="5"/>
      <c r="DQ145" s="12"/>
      <c r="DS145" s="17">
        <v>4</v>
      </c>
      <c r="DV145" s="17"/>
      <c r="DW145" s="660">
        <f t="shared" si="0"/>
        <v>0</v>
      </c>
    </row>
    <row r="146" spans="1:127" s="6" customFormat="1" ht="15" customHeight="1">
      <c r="A146" s="3">
        <v>4</v>
      </c>
      <c r="B146" s="210" t="s">
        <v>1177</v>
      </c>
      <c r="C146" s="473" t="s">
        <v>515</v>
      </c>
      <c r="D146" s="4"/>
      <c r="E146" s="5"/>
      <c r="F146" s="5"/>
      <c r="G146" s="4"/>
      <c r="H146" s="4"/>
      <c r="I146" s="4"/>
      <c r="J146" s="4"/>
      <c r="K146" s="5"/>
      <c r="L146" s="5"/>
      <c r="M146" s="5"/>
      <c r="O146" s="5"/>
      <c r="P146" s="5"/>
      <c r="Q146" s="5"/>
      <c r="S146" s="5"/>
      <c r="T146" s="5"/>
      <c r="U146" s="5"/>
      <c r="W146" s="5"/>
      <c r="X146" s="5"/>
      <c r="Y146" s="12"/>
      <c r="AA146" s="13"/>
      <c r="AB146" s="12"/>
      <c r="AD146" s="13"/>
      <c r="AE146" s="5"/>
      <c r="AF146" s="5"/>
      <c r="AH146" s="13"/>
      <c r="AI146" s="5"/>
      <c r="AK146" s="5"/>
      <c r="AL146" s="5"/>
      <c r="AM146" s="5"/>
      <c r="AO146" s="5"/>
      <c r="AP146" s="5"/>
      <c r="AR146" s="5"/>
      <c r="AS146" s="5"/>
      <c r="AT146" s="5"/>
      <c r="AV146" s="5"/>
      <c r="AW146" s="5"/>
      <c r="AY146" s="5"/>
      <c r="AZ146" s="5"/>
      <c r="BA146" s="5"/>
      <c r="BC146" s="5"/>
      <c r="BD146" s="5"/>
      <c r="BF146" s="5"/>
      <c r="BG146" s="5"/>
      <c r="BH146" s="5"/>
      <c r="BJ146" s="5"/>
      <c r="BK146" s="5"/>
      <c r="BL146" s="12"/>
      <c r="BM146" s="5"/>
      <c r="BN146" s="5"/>
      <c r="BO146" s="5"/>
      <c r="BQ146" s="5"/>
      <c r="BR146" s="5"/>
      <c r="BT146" s="5"/>
      <c r="BU146" s="5"/>
      <c r="BV146" s="5"/>
      <c r="BX146" s="5"/>
      <c r="BY146" s="5"/>
      <c r="CA146" s="13"/>
      <c r="CB146" s="7"/>
      <c r="CC146" s="11"/>
      <c r="CE146" s="13"/>
      <c r="CF146" s="5"/>
      <c r="CG146" s="12"/>
      <c r="CI146" s="13"/>
      <c r="CJ146" s="5"/>
      <c r="CK146" s="12"/>
      <c r="CM146" s="13"/>
      <c r="CN146" s="5"/>
      <c r="CO146" s="12"/>
      <c r="CQ146" s="13">
        <v>4</v>
      </c>
      <c r="CR146" s="5">
        <f>SUM(CR5:CS26)*CQ146</f>
        <v>0</v>
      </c>
      <c r="CS146" s="12"/>
      <c r="CU146" s="13"/>
      <c r="CV146" s="5"/>
      <c r="CW146" s="12"/>
      <c r="CY146" s="13"/>
      <c r="CZ146" s="5"/>
      <c r="DA146" s="12"/>
      <c r="DC146" s="13"/>
      <c r="DD146" s="5"/>
      <c r="DE146" s="12"/>
      <c r="DG146" s="13"/>
      <c r="DH146" s="5"/>
      <c r="DI146" s="12"/>
      <c r="DK146" s="13">
        <v>4</v>
      </c>
      <c r="DL146" s="5">
        <f>SUM(DL5:DM26)*DK146</f>
        <v>0</v>
      </c>
      <c r="DM146" s="12"/>
      <c r="DO146" s="13"/>
      <c r="DP146" s="5"/>
      <c r="DQ146" s="12"/>
      <c r="DS146" s="17">
        <v>4</v>
      </c>
      <c r="DV146" s="17"/>
      <c r="DW146" s="660">
        <f t="shared" si="0"/>
        <v>0</v>
      </c>
    </row>
    <row r="147" spans="1:127" s="6" customFormat="1" ht="15" customHeight="1">
      <c r="A147" s="3">
        <v>5</v>
      </c>
      <c r="B147" s="210" t="s">
        <v>1171</v>
      </c>
      <c r="C147" s="473" t="s">
        <v>515</v>
      </c>
      <c r="D147" s="4"/>
      <c r="E147" s="5"/>
      <c r="F147" s="5"/>
      <c r="G147" s="4"/>
      <c r="H147" s="4"/>
      <c r="I147" s="4"/>
      <c r="J147" s="4"/>
      <c r="K147" s="5"/>
      <c r="L147" s="5"/>
      <c r="M147" s="5"/>
      <c r="O147" s="5"/>
      <c r="P147" s="5"/>
      <c r="Q147" s="5"/>
      <c r="S147" s="5">
        <v>1</v>
      </c>
      <c r="T147" s="5">
        <f>T5*S147+T6*S147+T7*S147+T8*S147+T9*S147+T10*S147+T11*S147+T12*S147+T13*S147+T14*S147+T15*S147+T16*S147+T17*S147+T18*S147+T19*S147+T20*S147+T21*S147+T22*S147+T23*S147+T24*S147+T25*S147+T26*S147</f>
        <v>0</v>
      </c>
      <c r="U147" s="5"/>
      <c r="W147" s="5">
        <v>1</v>
      </c>
      <c r="X147" s="5">
        <f>X5*W147+X6*W147+X7*W147+X8*W147+X9*W147+X10*W147+X11*W147+X12*W147+X13*W147+X14*W147+X15*W147+X16*W147+X17*W147+X18*W147+X19*W147+X20*W147+X21*W147+X22*W147+X23*W147+X24*W147+X25*W147+X26*W147</f>
        <v>0</v>
      </c>
      <c r="Y147" s="12"/>
      <c r="AA147" s="13"/>
      <c r="AB147" s="12"/>
      <c r="AD147" s="13">
        <v>1</v>
      </c>
      <c r="AE147" s="5">
        <f>AE5*AD147+AE6*AD147+AE7*AD147+AE8*AD147+AE9*AD147+AE10*AD147+AE11*AD147+AE12*AD147+AE13*AD147+AE14*AD147+AE15*AD147+AE16*AD147+AE17*AD147+AE18*AD147+AE19*AD147+AE20*AD147+AE21*AD147+AE22*AD147+AE23*AD147+AE24*AD147+AE25*AD147+AE26*AD147</f>
        <v>0</v>
      </c>
      <c r="AF147" s="5"/>
      <c r="AH147" s="13">
        <v>1</v>
      </c>
      <c r="AI147" s="5">
        <f>AI5*AH147+AI6*AH147+AI7*AH147+AI8*AH147+AI9*AH147+AI10*AH147+AI11*AH147+AI12*AH147+AI13*AH147+AI14*AH147+AI15*AH147+AI16*AH147+AI17*AH147+AI18*AH147+AI19*AH147+AI20*AH147+AI21*AH147+AI22*AH147+AI23*AH147+AI24*AH147+AI25*AH147+AI26*AH147</f>
        <v>0</v>
      </c>
      <c r="AK147" s="5">
        <v>1</v>
      </c>
      <c r="AL147" s="5">
        <f>AL5*AK147+AL6*AK147+AL7*AK147+AL8*AK147+AL9*AK147+AL10*AK147+AL11*AK147+AL12*AK147+AL13*AK147+AL14*AK147+AL15*AK147+AL16*AK147+AL17*AK147+AL18*AK147+AL19*AK147+AL20*AK147+AL21*AK147+AL22*AK147+AL23*AK147+AL24*AK147+AL25*AK147+AL26*AK147</f>
        <v>0</v>
      </c>
      <c r="AM147" s="5"/>
      <c r="AO147" s="5"/>
      <c r="AP147" s="5"/>
      <c r="AR147" s="5">
        <v>2</v>
      </c>
      <c r="AS147" s="5">
        <f>AS5*AR147+AS6*AR147+AS7*AR147+AS8*AR147+AS9*AR147+AS10*AR147+AS11*AR147+AS12*AR147+AS13*AR147+AS14*AR147+AS15*AR147+AS16*AR147+AS17*AR147+AS18*AR147+AS19*AR147+AS20*AR147+AS21*AR147+AS22*AR147+AS23*AR147+AS24*AR147+AS25*AR147+AS26*AR147</f>
        <v>0</v>
      </c>
      <c r="AT147" s="5"/>
      <c r="AV147" s="5">
        <v>1</v>
      </c>
      <c r="AW147" s="5">
        <f>AW26*AV147+AW5*AV147+AW6*AV147+AW7*AV147+AW8*AV147+AW9*AV147+AW10*AV147+AW11*AV147+AW12*AV147+AW13*AV147+AW14*AV147+AW15*AV147+AW16*AV147+AW17*AV147+AW18*AV147+AW19*AV147+AW20*AV147+AW21*AV147+AW22*AV147+AW23*AV147+AW24*AV147+AW25*AV147</f>
        <v>0</v>
      </c>
      <c r="AY147" s="5">
        <v>2</v>
      </c>
      <c r="AZ147" s="5">
        <f>AZ5*AY147+AZ6*AY147+AZ7*AY147+AZ8*AY147+AZ9*AY147+AZ10*AY147+AZ11*AY147+AZ12*AY147+AZ13*AY147+AZ14*AY147+AZ15*AY147+AZ16*AY147+AZ17*AY147+AZ18*AY147+AZ19*AY147+AZ20*AY147+AZ21*AY147+AZ22*AY147+AZ23*AY147+AZ24*AY147+AZ25*AY147+AZ26*AY147</f>
        <v>0</v>
      </c>
      <c r="BA147" s="5"/>
      <c r="BC147" s="5">
        <v>1</v>
      </c>
      <c r="BD147" s="5">
        <f>BD5*BC147+BD6*BC147+BD7*BC147+BD8*BC147+BD9*BC147+BD10*BC147+BD11*BC147+BD12*BC147+BD13*BC147+BD14*BC147+BD15*BC147+BD16*BC147+BD17*BC147+BD18*BC147+BD19*BC147+BD20*BC147+BD21*BC147+BD22*BC147+BD23*BC147+BD24*BC147+BD25*BC147+BD26*BC147</f>
        <v>0</v>
      </c>
      <c r="BF147" s="5">
        <v>2</v>
      </c>
      <c r="BG147" s="5">
        <f>BG5*BF147+BG6*BF147+BG7*BF147+BG8*BF147+BG9*BF147+BG10*BF147+BG11*BF147+BG12*BF147+BG13*BF147+BG14*BF147+BG15*BF147+BG16*BF147+BG17*BF147+BG18*BF147+BG19*BF147+BG20*BF147+BG21*BF147+BG22*BF147+BG23*BF147+BG24*BF147+BG25*BF147+BG26*BF147</f>
        <v>0</v>
      </c>
      <c r="BH147" s="5"/>
      <c r="BJ147" s="5">
        <v>1</v>
      </c>
      <c r="BK147" s="5">
        <f>BK5*BJ147+BK6*BJ147+BK7*BJ147+BK8*BJ147+BK9*BJ147+BK10*BJ147+BK11*BJ147+BK12*BJ147+BK13*BJ147+BK14*BJ147+BK15*BJ147+BK16*BJ147+BK17*BJ147+BK18*BJ147+BK19*BJ147+BK20*BJ147+BK21*BJ147+BK22*BJ147+BK23*BJ147+BK24*BJ147+BK25*BJ147+BK26*BJ147</f>
        <v>0</v>
      </c>
      <c r="BL147" s="12"/>
      <c r="BM147" s="5">
        <v>2</v>
      </c>
      <c r="BN147" s="5">
        <f>BN5*BM147+BN6*BM147+BN7*BM147+BN8*BM147+BN9*BM147+BN10*BM147+BN11*BM147+BN12*BM147+BN13*BM147+BN14*BM147+BN15*BM147+BN16*BM147+BN17*BM147+BN18*BM147+BN19*BM147+BN20*BM147+BN21*BM147+BN22*BM147+BN23*BM147+BN24*BM147+BN25*BM147+BN26*BM147</f>
        <v>0</v>
      </c>
      <c r="BO147" s="5"/>
      <c r="BQ147" s="5">
        <v>1</v>
      </c>
      <c r="BR147" s="5">
        <f>BR26*BQ147+BR5*BQ147+BR6*BQ147+BR7*BQ147+BR8*BQ147+BR9*BQ147+BR10*BQ147+BR11*BQ147+BR12*BQ147+BR13*BQ147+BR14*BQ147+BR15*BQ147+BR16*BQ147+BR17*BQ147+BR18*BQ147+BR19*BQ147+BR20*BQ147+BR21*BQ147+BR22*BQ147+BR23*BQ147+BR24*BQ147+BR25*BQ147</f>
        <v>0</v>
      </c>
      <c r="BT147" s="5">
        <v>2</v>
      </c>
      <c r="BU147" s="5">
        <f>BU5*BT147+BU6*BT147+BU7*BT147+BU8*BT147+BU9*BT147+BU10*BT147+BU11*BT147+BU12*BT147+BU13*BT147+BU14*BT147+BU15*BT147+BU16*BT147+BU17*BT147+BU18*BT147+BU19*BT147+BU20*BT147+BU21*BT147+BU22*BT147+BU23*BT147+BU24*BT147+BU25*BT147+BU26*BT147</f>
        <v>0</v>
      </c>
      <c r="BV147" s="5"/>
      <c r="BX147" s="5">
        <v>1</v>
      </c>
      <c r="BY147" s="5">
        <f>BY5*BX147+BY6*BX147+BY7*BX147+BY8*BX147+BY9*BX147+BY10*BX147+BY11*BX147+BY12*BX147+BY13*BX147+BY14*BX147+BY15*BX147+BY16*BX147+BY17*BX147+BY18*BX147+BY19*BX147+BY20*BX147+BY21*BX147+BY22*BX147+BY23*BX147+BY24*BX147+BY25*BX147+BY26*BX147</f>
        <v>0</v>
      </c>
      <c r="CA147" s="13">
        <v>2</v>
      </c>
      <c r="CB147" s="5">
        <f>CB5*CA147+CB6*CA147+CB7*CA147+CB8*CA147+CB9*CA147+CB10*CA147+CB11*CA147+CB12*CA147+CB13*CA147+CB14*CA147+CB15*CA147+CB16*CA147+CB17*CA147+CB18*CA147+CB19*CA147+CB20*CA147+CB21*CA147+CB22*CA147+CB23*CA147+CB24*CA147+CB25*CA147+CB26*CA147</f>
        <v>0</v>
      </c>
      <c r="CC147" s="11"/>
      <c r="CE147" s="13"/>
      <c r="CF147" s="5"/>
      <c r="CG147" s="12"/>
      <c r="CI147" s="13"/>
      <c r="CJ147" s="5"/>
      <c r="CK147" s="12"/>
      <c r="CM147" s="13"/>
      <c r="CN147" s="5"/>
      <c r="CO147" s="12"/>
      <c r="CQ147" s="13"/>
      <c r="CR147" s="5"/>
      <c r="CS147" s="12"/>
      <c r="CU147" s="13"/>
      <c r="CV147" s="5"/>
      <c r="CW147" s="12"/>
      <c r="CY147" s="13"/>
      <c r="CZ147" s="5"/>
      <c r="DA147" s="12"/>
      <c r="DC147" s="13"/>
      <c r="DD147" s="5"/>
      <c r="DE147" s="12"/>
      <c r="DG147" s="13"/>
      <c r="DH147" s="5"/>
      <c r="DI147" s="12"/>
      <c r="DK147" s="13"/>
      <c r="DL147" s="5"/>
      <c r="DM147" s="12"/>
      <c r="DO147" s="13"/>
      <c r="DP147" s="5"/>
      <c r="DQ147" s="12"/>
      <c r="DS147" s="17"/>
      <c r="DV147" s="17"/>
      <c r="DW147" s="660">
        <f t="shared" si="0"/>
        <v>0</v>
      </c>
    </row>
    <row r="148" spans="1:127" s="6" customFormat="1" ht="15" customHeight="1">
      <c r="A148" s="3">
        <v>6</v>
      </c>
      <c r="B148" s="210" t="s">
        <v>1172</v>
      </c>
      <c r="C148" s="473" t="s">
        <v>515</v>
      </c>
      <c r="D148" s="4"/>
      <c r="E148" s="5"/>
      <c r="F148" s="5"/>
      <c r="G148" s="4"/>
      <c r="H148" s="4"/>
      <c r="I148" s="4"/>
      <c r="J148" s="4"/>
      <c r="K148" s="5"/>
      <c r="L148" s="5"/>
      <c r="M148" s="5"/>
      <c r="O148" s="5"/>
      <c r="P148" s="5"/>
      <c r="Q148" s="5"/>
      <c r="S148" s="5"/>
      <c r="T148" s="5"/>
      <c r="U148" s="5"/>
      <c r="W148" s="5"/>
      <c r="X148" s="5"/>
      <c r="Y148" s="12"/>
      <c r="AA148" s="13"/>
      <c r="AB148" s="12"/>
      <c r="AD148" s="13"/>
      <c r="AE148" s="5"/>
      <c r="AF148" s="5"/>
      <c r="AH148" s="13"/>
      <c r="AI148" s="5"/>
      <c r="AK148" s="5"/>
      <c r="AL148" s="5"/>
      <c r="AM148" s="5"/>
      <c r="AO148" s="5"/>
      <c r="AP148" s="5"/>
      <c r="AR148" s="5"/>
      <c r="AS148" s="5"/>
      <c r="AT148" s="5"/>
      <c r="AV148" s="5"/>
      <c r="AW148" s="5"/>
      <c r="AY148" s="5"/>
      <c r="AZ148" s="5"/>
      <c r="BA148" s="5"/>
      <c r="BC148" s="5"/>
      <c r="BD148" s="5"/>
      <c r="BF148" s="5"/>
      <c r="BG148" s="5"/>
      <c r="BH148" s="5"/>
      <c r="BJ148" s="5"/>
      <c r="BK148" s="5"/>
      <c r="BL148" s="12"/>
      <c r="BM148" s="5"/>
      <c r="BN148" s="5"/>
      <c r="BO148" s="5"/>
      <c r="BQ148" s="5"/>
      <c r="BR148" s="5"/>
      <c r="BT148" s="5"/>
      <c r="BU148" s="5"/>
      <c r="BV148" s="5"/>
      <c r="BX148" s="5"/>
      <c r="BY148" s="5"/>
      <c r="CA148" s="13"/>
      <c r="CB148" s="5"/>
      <c r="CC148" s="11"/>
      <c r="CE148" s="13"/>
      <c r="CF148" s="5"/>
      <c r="CG148" s="12"/>
      <c r="CI148" s="13"/>
      <c r="CJ148" s="5"/>
      <c r="CK148" s="12"/>
      <c r="CM148" s="13"/>
      <c r="CN148" s="5"/>
      <c r="CO148" s="12"/>
      <c r="CQ148" s="13"/>
      <c r="CR148" s="5"/>
      <c r="CS148" s="12"/>
      <c r="CU148" s="13">
        <v>4</v>
      </c>
      <c r="CV148" s="5">
        <f>SUM(CV5:CV26,CW5:CW26)*CU148</f>
        <v>0</v>
      </c>
      <c r="CW148" s="12"/>
      <c r="CY148" s="13"/>
      <c r="CZ148" s="5"/>
      <c r="DA148" s="12"/>
      <c r="DC148" s="13"/>
      <c r="DD148" s="5"/>
      <c r="DE148" s="12"/>
      <c r="DG148" s="13"/>
      <c r="DH148" s="5"/>
      <c r="DI148" s="12"/>
      <c r="DK148" s="13"/>
      <c r="DL148" s="5"/>
      <c r="DM148" s="12"/>
      <c r="DO148" s="13">
        <v>4</v>
      </c>
      <c r="DP148" s="5">
        <f>SUM(DP5:DP26,DQ5:DQ26)*DO148</f>
        <v>0</v>
      </c>
      <c r="DQ148" s="12"/>
      <c r="DS148" s="17"/>
      <c r="DV148" s="17"/>
      <c r="DW148" s="660">
        <f t="shared" si="0"/>
        <v>0</v>
      </c>
    </row>
    <row r="149" spans="1:127" s="6" customFormat="1" ht="15" customHeight="1">
      <c r="A149" s="3">
        <v>7</v>
      </c>
      <c r="B149" s="210" t="s">
        <v>1173</v>
      </c>
      <c r="C149" s="473" t="s">
        <v>515</v>
      </c>
      <c r="D149" s="4"/>
      <c r="E149" s="5"/>
      <c r="F149" s="5"/>
      <c r="G149" s="4"/>
      <c r="H149" s="4"/>
      <c r="I149" s="4"/>
      <c r="J149" s="4"/>
      <c r="K149" s="5"/>
      <c r="L149" s="5"/>
      <c r="M149" s="5"/>
      <c r="O149" s="5"/>
      <c r="P149" s="5"/>
      <c r="Q149" s="5"/>
      <c r="S149" s="5"/>
      <c r="T149" s="5"/>
      <c r="U149" s="5"/>
      <c r="W149" s="5"/>
      <c r="X149" s="5"/>
      <c r="Y149" s="12"/>
      <c r="AA149" s="13"/>
      <c r="AB149" s="12"/>
      <c r="AD149" s="13"/>
      <c r="AE149" s="5"/>
      <c r="AF149" s="5"/>
      <c r="AH149" s="13"/>
      <c r="AI149" s="5"/>
      <c r="AK149" s="5"/>
      <c r="AL149" s="5"/>
      <c r="AM149" s="5"/>
      <c r="AO149" s="5"/>
      <c r="AP149" s="5"/>
      <c r="AR149" s="5"/>
      <c r="AS149" s="5"/>
      <c r="AT149" s="5"/>
      <c r="AV149" s="5"/>
      <c r="AW149" s="5"/>
      <c r="AY149" s="5"/>
      <c r="AZ149" s="5"/>
      <c r="BA149" s="5"/>
      <c r="BC149" s="5"/>
      <c r="BD149" s="5"/>
      <c r="BF149" s="5"/>
      <c r="BG149" s="5"/>
      <c r="BH149" s="5"/>
      <c r="BJ149" s="5"/>
      <c r="BK149" s="5"/>
      <c r="BL149" s="12"/>
      <c r="BM149" s="5"/>
      <c r="BN149" s="5"/>
      <c r="BO149" s="5"/>
      <c r="BQ149" s="5"/>
      <c r="BR149" s="5"/>
      <c r="BT149" s="5"/>
      <c r="BU149" s="5"/>
      <c r="BV149" s="5"/>
      <c r="BX149" s="5"/>
      <c r="BY149" s="5"/>
      <c r="CA149" s="13"/>
      <c r="CB149" s="5"/>
      <c r="CC149" s="11"/>
      <c r="CE149" s="13"/>
      <c r="CF149" s="5"/>
      <c r="CG149" s="12"/>
      <c r="CI149" s="13"/>
      <c r="CJ149" s="5"/>
      <c r="CK149" s="12"/>
      <c r="CM149" s="13"/>
      <c r="CN149" s="5"/>
      <c r="CO149" s="12"/>
      <c r="CQ149" s="13"/>
      <c r="CR149" s="5"/>
      <c r="CS149" s="12"/>
      <c r="CU149" s="13"/>
      <c r="CV149" s="5"/>
      <c r="CW149" s="12"/>
      <c r="CY149" s="13"/>
      <c r="CZ149" s="5"/>
      <c r="DA149" s="12"/>
      <c r="DC149" s="13"/>
      <c r="DD149" s="5"/>
      <c r="DE149" s="12"/>
      <c r="DG149" s="13"/>
      <c r="DH149" s="5"/>
      <c r="DI149" s="12"/>
      <c r="DK149" s="13"/>
      <c r="DL149" s="5"/>
      <c r="DM149" s="12"/>
      <c r="DO149" s="13"/>
      <c r="DP149" s="5"/>
      <c r="DQ149" s="12"/>
      <c r="DS149" s="17"/>
      <c r="DV149" s="17"/>
      <c r="DW149" s="660">
        <f t="shared" si="0"/>
        <v>0</v>
      </c>
    </row>
    <row r="150" spans="1:127" s="6" customFormat="1" ht="15" customHeight="1">
      <c r="A150" s="3">
        <v>8</v>
      </c>
      <c r="B150" s="210" t="s">
        <v>1174</v>
      </c>
      <c r="C150" s="473" t="s">
        <v>515</v>
      </c>
      <c r="D150" s="4"/>
      <c r="E150" s="5"/>
      <c r="F150" s="5"/>
      <c r="G150" s="4"/>
      <c r="H150" s="4"/>
      <c r="I150" s="4"/>
      <c r="J150" s="4"/>
      <c r="K150" s="5"/>
      <c r="L150" s="5"/>
      <c r="M150" s="5"/>
      <c r="O150" s="5"/>
      <c r="P150" s="5"/>
      <c r="Q150" s="5"/>
      <c r="S150" s="5"/>
      <c r="T150" s="5"/>
      <c r="U150" s="5"/>
      <c r="W150" s="5"/>
      <c r="X150" s="5"/>
      <c r="Y150" s="12"/>
      <c r="AA150" s="13"/>
      <c r="AB150" s="12"/>
      <c r="AD150" s="13"/>
      <c r="AE150" s="5"/>
      <c r="AF150" s="5"/>
      <c r="AH150" s="13"/>
      <c r="AI150" s="5"/>
      <c r="AK150" s="5"/>
      <c r="AL150" s="5"/>
      <c r="AM150" s="5"/>
      <c r="AO150" s="5"/>
      <c r="AP150" s="5"/>
      <c r="AR150" s="5"/>
      <c r="AS150" s="5"/>
      <c r="AT150" s="5"/>
      <c r="AV150" s="5"/>
      <c r="AW150" s="5"/>
      <c r="AY150" s="5"/>
      <c r="AZ150" s="5"/>
      <c r="BA150" s="5"/>
      <c r="BC150" s="5"/>
      <c r="BD150" s="5"/>
      <c r="BF150" s="5"/>
      <c r="BG150" s="5"/>
      <c r="BH150" s="5"/>
      <c r="BJ150" s="5"/>
      <c r="BK150" s="5"/>
      <c r="BL150" s="12"/>
      <c r="BM150" s="5"/>
      <c r="BN150" s="5"/>
      <c r="BO150" s="5"/>
      <c r="BQ150" s="5"/>
      <c r="BR150" s="5"/>
      <c r="BT150" s="5"/>
      <c r="BU150" s="5"/>
      <c r="BV150" s="5"/>
      <c r="BX150" s="5"/>
      <c r="BY150" s="5"/>
      <c r="CA150" s="13"/>
      <c r="CB150" s="5"/>
      <c r="CC150" s="11"/>
      <c r="CE150" s="13"/>
      <c r="CF150" s="5"/>
      <c r="CG150" s="12"/>
      <c r="CI150" s="13"/>
      <c r="CJ150" s="5"/>
      <c r="CK150" s="12"/>
      <c r="CM150" s="13"/>
      <c r="CN150" s="5"/>
      <c r="CO150" s="12"/>
      <c r="CQ150" s="13"/>
      <c r="CR150" s="5"/>
      <c r="CS150" s="12"/>
      <c r="CU150" s="13"/>
      <c r="CV150" s="5"/>
      <c r="CW150" s="12"/>
      <c r="CY150" s="13"/>
      <c r="CZ150" s="5"/>
      <c r="DA150" s="12"/>
      <c r="DC150" s="13"/>
      <c r="DD150" s="5"/>
      <c r="DE150" s="12"/>
      <c r="DG150" s="13"/>
      <c r="DH150" s="5"/>
      <c r="DI150" s="12"/>
      <c r="DK150" s="13"/>
      <c r="DL150" s="5"/>
      <c r="DM150" s="12"/>
      <c r="DO150" s="13"/>
      <c r="DP150" s="5"/>
      <c r="DQ150" s="12"/>
      <c r="DS150" s="17"/>
      <c r="DV150" s="17"/>
      <c r="DW150" s="660">
        <f t="shared" si="0"/>
        <v>0</v>
      </c>
    </row>
    <row r="151" spans="1:127" s="6" customFormat="1" ht="15" customHeight="1">
      <c r="A151" s="3">
        <v>9</v>
      </c>
      <c r="B151" s="210" t="s">
        <v>42</v>
      </c>
      <c r="C151" s="473" t="s">
        <v>515</v>
      </c>
      <c r="D151" s="4"/>
      <c r="E151" s="5"/>
      <c r="F151" s="5"/>
      <c r="G151" s="4"/>
      <c r="H151" s="4"/>
      <c r="I151" s="4"/>
      <c r="J151" s="4"/>
      <c r="K151" s="5"/>
      <c r="L151" s="5"/>
      <c r="M151" s="5"/>
      <c r="O151" s="5"/>
      <c r="P151" s="5"/>
      <c r="Q151" s="5"/>
      <c r="S151" s="5">
        <v>1</v>
      </c>
      <c r="T151" s="5">
        <f>U5*S151+U6*S151+U7*S151+U8*S151+U9*S151+U10*S151+U11*S151+U12*S151+U13*S151+U14*S151+U15*S151+U16*S151+U17*S151+U18*S151+U19*S151+U20*S151+U21*S151+U22*S151+U23*S151+U24*S151+U25*S151+U26*S151</f>
        <v>0</v>
      </c>
      <c r="U151" s="5"/>
      <c r="W151" s="5">
        <v>1</v>
      </c>
      <c r="X151" s="5">
        <f>Y5*W151+Y6*W151+Y7*W151+Y8*W151+Y9*W151+Y10*W151+Y11*W151+Y12*W151+Y13*W151+Y14*W151+Y15*W151+Y16*W151+Y17*W151+Y18*W151+Y19*W151+Y20*W151+Y21*W151+Y22*W151+Y23*W151+Y24*W151+Y25*W151+Y26*W151</f>
        <v>0</v>
      </c>
      <c r="Y151" s="12"/>
      <c r="AA151" s="13">
        <v>1</v>
      </c>
      <c r="AB151" s="5">
        <f>AB5*AA151+AB6*AA151+AB7*AA151+AB8*AA151+AB9*AA151+AB10*AA151+AB11*AA151+AB12*AA151+AB13*AA151+AB14*AA151+AB15*AA151+AB16*AA151+AB17*AA151+AB18*AA151+AB19*AA151+AB20*AA151+AB21*AA151+AB22*AA151+AB23*AA151+AB24*AA151+AB25*AA151+AB26*AA151</f>
        <v>0</v>
      </c>
      <c r="AD151" s="13">
        <v>1</v>
      </c>
      <c r="AE151" s="5">
        <f>AF5*AD151+AF6*AD151+AF7*AD151+AF8*AD151+AF9*AD151+AF10*AD151+AF11*AD151+AF12*AD151+AF13*AD151+AF14*AD151+AF15*AD151+AF16*AD151+AF17*AD151+AF18*AD151+AF19*AD151+AF20*AD151+AF21*AD151+AF22*AD151+AF23*AD151+AF24*AD151+AF25*AD151+AF26*AD151</f>
        <v>0</v>
      </c>
      <c r="AF151" s="5"/>
      <c r="AH151" s="13">
        <v>1</v>
      </c>
      <c r="AI151" s="5">
        <f>AI5*AH151+AI6*AH151+AI7*AH151+AI8*AH151+AI9*AH151+AI10*AH151+AI11*AH151+AI12*AH151+AI13*AH151+AI14*AH151+AI15*AH151+AI16*AH151+AI17*AH151+AI18*AH151+AI19*AH151+AI20*AH151+AI21*AH151+AI22*AH151+AI23*AH151+AI24*AH151+AI25*AH151+AI26*AH151</f>
        <v>0</v>
      </c>
      <c r="AK151" s="5">
        <v>1</v>
      </c>
      <c r="AL151" s="5">
        <f>AM5*AK151+AM6*AK151+AM7*AK151+AM8*AK151+AM9*AK151+AM10*AK151+AM11*AK151+AM12*AK151+AM13*AK151+AM14*AK151+AM15*AK151+AM16*AK151+AM17*AK151+AM18*AK151+AM19*AK151+AM20*AK151+AM21*AK151+AM22*AK151+AM23*AK151+AM24*AK151+AM25*AK151+AM26*AK151</f>
        <v>0</v>
      </c>
      <c r="AM151" s="5"/>
      <c r="AO151" s="5">
        <v>1</v>
      </c>
      <c r="AP151" s="5">
        <f>AP5*AO151+AP6*AO151+AP7*AO151+AP8*AO151+AP9*AO151+AP10*AO151+AP11*AO151+AP12*AO151+AP13*AO151+AP14*AO151+AP15*AO151+AP16*AO151+AP17*AO151+AP18*AO151+AP19*AO151+AP20*AO151+AP21*AO151+AP22*AO151+AP23*AO151+AP24*AO151+AP25*AO151+AP26*AO151</f>
        <v>0</v>
      </c>
      <c r="AR151" s="5">
        <v>2</v>
      </c>
      <c r="AS151" s="5">
        <f>AT5*AR151+AT6*AR151+AT7*AR151+AT8*AR151+AT9*AR151+AT10*AR151+AT11*AR151+AT12*AR151+AT13*AR151+AT14*AR151+AT15*AR151+AT16*AR151+AT17*AR151+AT18*AR151+AT19*AR151+AT20*AR151+AT21*AR151+AT22*AR151+AT23*AR151+AT24*AR151+AT25*AR151+AT26*AR151</f>
        <v>0</v>
      </c>
      <c r="AT151" s="5"/>
      <c r="AV151" s="5">
        <v>1</v>
      </c>
      <c r="AW151" s="5">
        <f>AW5*AV151+AW6*AV151+AW7*AV151+AW8*AV151+AW9*AV151+AW10*AV151+AW11*AV151+AW12*AV151+AW13*AV151+AW14*AV151+AW15*AV151+AW16*AV151+AW17*AV151+AW18*AV151+AW19*AV151+AW20*AV151+AW21*AV151+AW22*AV151+AW23*AV151+AW24*AV151+AW25*AV151+AW26*AV151</f>
        <v>0</v>
      </c>
      <c r="AY151" s="5">
        <v>2</v>
      </c>
      <c r="AZ151" s="5">
        <f>BA5*AY151+BA6*AY151+BA7*AY151+BA8*AY151+BA9*AY151+BA10*AY151+BA11*AY151+BA12*AY151+BA13*AY151+BA14*AY151+BA15*AY151+BA16*AY151+BA17*AY151+BA18*AY151+BA19*AY151+BA20*AY151+BA21*AY151+BA22*AY151+BA23*AY151+BA24*AY151+BA25*AY151+BA26*AY151</f>
        <v>0</v>
      </c>
      <c r="BA151" s="5"/>
      <c r="BC151" s="5">
        <v>1</v>
      </c>
      <c r="BD151" s="5">
        <f>BD5*BC151+BD6*BC151+BD7*BC151+BD8*BC151+BD9*BC151+BD10*BC151+BD11*BC151+BD12*BC151+BD13*BC151+BD14*BC151+BD15*BC151+BD16*BC151+BD17*BC151+BD18*BC151+BD19*BC151+BD20*BC151+BD21*BC151+BD22*BC151+BD23*BC151+BD24*BC151+BD25*BC151+BD26*BC151</f>
        <v>0</v>
      </c>
      <c r="BF151" s="5">
        <v>2</v>
      </c>
      <c r="BG151" s="5">
        <f>BH5*BF151+BH6*BF151+BH7*BF151+BH8*BF151+BH9*BF151+BH10*BF151+BH11*BF151+BH12*BF151+BH13*BF151+BH14*BF151+BH15*BF151+BH16*BF151+BH17*BF151+BH18*BF151+BH19*BF151+BH20*BF151+BH21*BF151+BH22*BF151+BH23*BF151+BH24*BF151+BH25*BF151+BH26*BF151</f>
        <v>0</v>
      </c>
      <c r="BH151" s="5"/>
      <c r="BJ151" s="5">
        <v>1</v>
      </c>
      <c r="BK151" s="5">
        <f>BK5*BJ151+BK6*BJ151+BK7*BJ151+BK8*BJ151+BK9*BJ151+BK10*BJ151+BK11*BJ151+BK12*BJ151+BK13*BJ151+BK14*BJ151+BK15*BJ151+BK16*BJ151+BK17*BJ151+BK18*BJ151+BK19*BJ151+BK20*BJ151+BK21*BJ151+BK22*BJ151+BK23*BJ151+BK24*BJ151+BK25*BJ151+BK26*BJ151</f>
        <v>0</v>
      </c>
      <c r="BL151" s="12"/>
      <c r="BM151" s="5">
        <v>2</v>
      </c>
      <c r="BN151" s="5">
        <f>BO5*BM151+BO6*BM151+BO7*BM151+BO8*BM151+BO9*BM151+BO10*BM151+BO11*BM151+BO12*BM151+BO13*BM151+BO14*BM151+BO15*BM151+BO16*BM151+BO17*BM151+BO18*BM151+BO19*BM151+BO20*BM151+BO21*BM151+BO22*BM151+BO23*BM151+BO24*BM151+BO25*BM151+BO26*BM151</f>
        <v>0</v>
      </c>
      <c r="BO151" s="5"/>
      <c r="BQ151" s="5">
        <v>1</v>
      </c>
      <c r="BR151" s="5">
        <f>BR5*BQ151+BR6*BQ151+BR7*BQ151+BR8*BQ151+BR9*BQ151+BR10*BQ151+BR11*BQ151+BR12*BQ151+BR13*BQ151+BR14*BQ151+BR15*BQ151+BR16*BQ151+BR17*BQ151+BR18*BQ151+BR19*BQ151+BR20*BQ151+BR21*BQ151+BR22*BQ151+BR23*BQ151+BR24*BQ151+BR25*BQ151+BR26*BQ151</f>
        <v>0</v>
      </c>
      <c r="BT151" s="5">
        <v>2</v>
      </c>
      <c r="BU151" s="5">
        <f>BV5*BT151+BV6*BT151+BV7*BT151+BV8*BT151+BV9*BT151+BV10*BT151+BV11*BT151+BV12*BT151+BV13*BT151+BV14*BT151+BV15*BT151+BV16*BT151+BV17*BT151+BV18*BT151+BV19*BT151+BV20*BT151+BV21*BT151+BV22*BT151+BV23*BT151+BV24*BT151+BV25*BT151+BV26*BT151</f>
        <v>0</v>
      </c>
      <c r="BV151" s="5"/>
      <c r="BX151" s="5">
        <v>1</v>
      </c>
      <c r="BY151" s="5">
        <f>BY5*BX147+BY6*BX147+BY7*BX147+BY8*BX147+BY9*BX147+BY10*BX147+BY11*BX147+BY12*BX147+BY13*BX147+BY14*BX147+BY15*BX147+BY16*BX147+BY17*BX147+BY18*BX147+BY19*BX147+BY20*BX147+BY21*BX147+BY22*BX147+BY23*BX147+BY24*BX147+BY25*BX147+BY26*BX147</f>
        <v>0</v>
      </c>
      <c r="CA151" s="13">
        <v>2</v>
      </c>
      <c r="CB151" s="5">
        <f>CC5*CA151+CC6*CA151+CC7*CA151+CC8*CA151+CC9*CA151+CC10*CA151+CC11*CA151+CC12*CA151+CC13*CA151+CC14*CA151+CC15*CA151+CC16*CA151+CC17*CA151+CC18*CA151+CC19*CA151+CC20*CA151+CC21*CA151+CC22*CA151+CC23*CA151+CC24*CA151+CC25*CA151+CC26*CA151</f>
        <v>0</v>
      </c>
      <c r="CC151" s="11"/>
      <c r="CE151" s="13"/>
      <c r="CF151" s="5"/>
      <c r="CG151" s="12"/>
      <c r="CI151" s="13"/>
      <c r="CJ151" s="5"/>
      <c r="CK151" s="12"/>
      <c r="CM151" s="13"/>
      <c r="CN151" s="5"/>
      <c r="CO151" s="12"/>
      <c r="CQ151" s="13"/>
      <c r="CR151" s="5"/>
      <c r="CS151" s="12"/>
      <c r="CU151" s="13"/>
      <c r="CV151" s="5"/>
      <c r="CW151" s="12"/>
      <c r="CY151" s="13"/>
      <c r="CZ151" s="5"/>
      <c r="DA151" s="12"/>
      <c r="DC151" s="13"/>
      <c r="DD151" s="5"/>
      <c r="DE151" s="12"/>
      <c r="DG151" s="13"/>
      <c r="DH151" s="5"/>
      <c r="DI151" s="12"/>
      <c r="DK151" s="13"/>
      <c r="DL151" s="5"/>
      <c r="DM151" s="12"/>
      <c r="DO151" s="13"/>
      <c r="DP151" s="5"/>
      <c r="DQ151" s="12"/>
      <c r="DS151" s="17"/>
      <c r="DV151" s="17"/>
      <c r="DW151" s="660">
        <f t="shared" si="0"/>
        <v>0</v>
      </c>
    </row>
    <row r="152" spans="1:127" s="6" customFormat="1" ht="15" customHeight="1">
      <c r="A152" s="3">
        <v>10</v>
      </c>
      <c r="B152" s="210" t="s">
        <v>36</v>
      </c>
      <c r="C152" s="473" t="s">
        <v>516</v>
      </c>
      <c r="D152" s="4"/>
      <c r="E152" s="5"/>
      <c r="F152" s="5"/>
      <c r="G152" s="4"/>
      <c r="H152" s="4"/>
      <c r="I152" s="4"/>
      <c r="J152" s="4"/>
      <c r="K152" s="5"/>
      <c r="L152" s="5"/>
      <c r="M152" s="5">
        <f>C14*0.02</f>
        <v>0</v>
      </c>
      <c r="O152" s="5"/>
      <c r="P152" s="5"/>
      <c r="Q152" s="5"/>
      <c r="S152" s="5"/>
      <c r="T152" s="5"/>
      <c r="U152" s="5"/>
      <c r="W152" s="5"/>
      <c r="X152" s="5"/>
      <c r="Y152" s="12"/>
      <c r="AA152" s="13"/>
      <c r="AB152" s="12"/>
      <c r="AD152" s="13"/>
      <c r="AE152" s="5"/>
      <c r="AF152" s="5"/>
      <c r="AH152" s="13"/>
      <c r="AI152" s="5"/>
      <c r="AK152" s="5"/>
      <c r="AL152" s="5"/>
      <c r="AM152" s="5"/>
      <c r="AO152" s="5"/>
      <c r="AP152" s="5"/>
      <c r="AR152" s="5"/>
      <c r="AS152" s="5"/>
      <c r="AT152" s="5"/>
      <c r="AV152" s="5"/>
      <c r="AW152" s="5"/>
      <c r="AY152" s="5"/>
      <c r="AZ152" s="5"/>
      <c r="BA152" s="5"/>
      <c r="BC152" s="5"/>
      <c r="BD152" s="5"/>
      <c r="BF152" s="5"/>
      <c r="BG152" s="5"/>
      <c r="BH152" s="5"/>
      <c r="BJ152" s="5"/>
      <c r="BK152" s="5"/>
      <c r="BL152" s="12"/>
      <c r="BM152" s="5"/>
      <c r="BN152" s="5"/>
      <c r="BO152" s="5"/>
      <c r="BQ152" s="5"/>
      <c r="BR152" s="5"/>
      <c r="BT152" s="5"/>
      <c r="BU152" s="5"/>
      <c r="BV152" s="5"/>
      <c r="BX152" s="5"/>
      <c r="BY152" s="5"/>
      <c r="CA152" s="13"/>
      <c r="CB152" s="7"/>
      <c r="CC152" s="11"/>
      <c r="CE152" s="13">
        <v>2</v>
      </c>
      <c r="CF152" s="5">
        <f>SUM(CF5:CG26)*CE152</f>
        <v>0</v>
      </c>
      <c r="CG152" s="12"/>
      <c r="CI152" s="13">
        <v>2</v>
      </c>
      <c r="CJ152" s="5">
        <f>SUM(CJ5:CK26)*CI152</f>
        <v>0</v>
      </c>
      <c r="CK152" s="12"/>
      <c r="CM152" s="13">
        <v>2</v>
      </c>
      <c r="CN152" s="5">
        <f>SUM(CN5:CO26)*CM152</f>
        <v>0</v>
      </c>
      <c r="CO152" s="12"/>
      <c r="CQ152" s="13">
        <v>2</v>
      </c>
      <c r="CR152" s="5">
        <f>SUM(CR5:CS26)*CQ152</f>
        <v>0</v>
      </c>
      <c r="CS152" s="12"/>
      <c r="CU152" s="13">
        <v>2</v>
      </c>
      <c r="CV152" s="5">
        <f>SUM(CV5:CW26)*CU152</f>
        <v>0</v>
      </c>
      <c r="CW152" s="12"/>
      <c r="CY152" s="13">
        <v>2</v>
      </c>
      <c r="CZ152" s="5">
        <f>SUM(CZ5:DA26)*CY152</f>
        <v>0</v>
      </c>
      <c r="DA152" s="12"/>
      <c r="DC152" s="13">
        <v>2</v>
      </c>
      <c r="DD152" s="5">
        <f>SUM(DD5:DE26)*DC152</f>
        <v>0</v>
      </c>
      <c r="DE152" s="12"/>
      <c r="DG152" s="13">
        <v>2</v>
      </c>
      <c r="DH152" s="5">
        <f>SUM(DH5:DI26)*DG152</f>
        <v>0</v>
      </c>
      <c r="DI152" s="12"/>
      <c r="DK152" s="13">
        <v>2</v>
      </c>
      <c r="DL152" s="5">
        <f>SUM(DL5:DM26)*DK152</f>
        <v>0</v>
      </c>
      <c r="DM152" s="12"/>
      <c r="DO152" s="13">
        <v>2</v>
      </c>
      <c r="DP152" s="5">
        <f>SUM(DP5:DQ26)*DO152</f>
        <v>0</v>
      </c>
      <c r="DQ152" s="12"/>
      <c r="DS152" s="17"/>
      <c r="DV152" s="17"/>
      <c r="DW152" s="660">
        <f t="shared" si="0"/>
        <v>0</v>
      </c>
    </row>
    <row r="153" spans="1:127" s="6" customFormat="1" ht="15" customHeight="1">
      <c r="A153" s="3">
        <v>11</v>
      </c>
      <c r="B153" s="210" t="s">
        <v>1</v>
      </c>
      <c r="C153" s="473" t="s">
        <v>515</v>
      </c>
      <c r="D153" s="4"/>
      <c r="E153" s="5"/>
      <c r="F153" s="5"/>
      <c r="G153" s="4"/>
      <c r="H153" s="4"/>
      <c r="I153" s="4"/>
      <c r="J153" s="4"/>
      <c r="K153" s="5"/>
      <c r="L153" s="5"/>
      <c r="M153" s="5"/>
      <c r="O153" s="5"/>
      <c r="P153" s="5"/>
      <c r="Q153" s="5"/>
      <c r="S153" s="5"/>
      <c r="T153" s="5"/>
      <c r="U153" s="5"/>
      <c r="W153" s="5"/>
      <c r="X153" s="5"/>
      <c r="Y153" s="12"/>
      <c r="AA153" s="13"/>
      <c r="AB153" s="12"/>
      <c r="AD153" s="13"/>
      <c r="AE153" s="5"/>
      <c r="AF153" s="5"/>
      <c r="AH153" s="13"/>
      <c r="AI153" s="5"/>
      <c r="AK153" s="5"/>
      <c r="AL153" s="5"/>
      <c r="AM153" s="5"/>
      <c r="AO153" s="5"/>
      <c r="AP153" s="5"/>
      <c r="AR153" s="5"/>
      <c r="AS153" s="5"/>
      <c r="AT153" s="5"/>
      <c r="AV153" s="5"/>
      <c r="AW153" s="5"/>
      <c r="AY153" s="5"/>
      <c r="AZ153" s="5"/>
      <c r="BA153" s="5"/>
      <c r="BC153" s="5"/>
      <c r="BD153" s="5"/>
      <c r="BF153" s="5"/>
      <c r="BG153" s="5"/>
      <c r="BH153" s="5"/>
      <c r="BJ153" s="5"/>
      <c r="BK153" s="5"/>
      <c r="BL153" s="12"/>
      <c r="BM153" s="5"/>
      <c r="BN153" s="5"/>
      <c r="BO153" s="5"/>
      <c r="BQ153" s="5"/>
      <c r="BR153" s="5"/>
      <c r="BT153" s="5"/>
      <c r="BU153" s="5"/>
      <c r="BV153" s="5"/>
      <c r="BX153" s="5"/>
      <c r="BY153" s="5"/>
      <c r="CA153" s="13"/>
      <c r="CB153" s="7"/>
      <c r="CC153" s="11"/>
      <c r="CE153" s="13">
        <v>1</v>
      </c>
      <c r="CF153" s="5">
        <f>SUM(CF5:CG26)*CE153</f>
        <v>0</v>
      </c>
      <c r="CG153" s="12"/>
      <c r="CI153" s="13">
        <v>1</v>
      </c>
      <c r="CJ153" s="5">
        <f>SUM(CJ5:CK26)*CI153</f>
        <v>0</v>
      </c>
      <c r="CK153" s="12"/>
      <c r="CM153" s="13">
        <v>1</v>
      </c>
      <c r="CN153" s="5">
        <f>SUM(CN5:CO26)*CM153</f>
        <v>0</v>
      </c>
      <c r="CO153" s="12"/>
      <c r="CQ153" s="13">
        <v>1</v>
      </c>
      <c r="CR153" s="5">
        <f>SUM(CR5:CS26)*CQ153</f>
        <v>0</v>
      </c>
      <c r="CS153" s="12"/>
      <c r="CU153" s="13">
        <v>1</v>
      </c>
      <c r="CV153" s="5">
        <f>SUM(CV5:CW26)*CU153</f>
        <v>0</v>
      </c>
      <c r="CW153" s="12"/>
      <c r="CY153" s="13">
        <v>1</v>
      </c>
      <c r="CZ153" s="5">
        <f>SUM(CZ5:DA26)*CY153</f>
        <v>0</v>
      </c>
      <c r="DA153" s="12"/>
      <c r="DC153" s="13">
        <v>1</v>
      </c>
      <c r="DD153" s="5">
        <f>SUM(DD5:DE26)*DC153</f>
        <v>0</v>
      </c>
      <c r="DE153" s="12"/>
      <c r="DG153" s="13">
        <v>1</v>
      </c>
      <c r="DH153" s="5">
        <f>SUM(DH5:DI26)*DG153</f>
        <v>0</v>
      </c>
      <c r="DI153" s="12"/>
      <c r="DK153" s="13">
        <v>1</v>
      </c>
      <c r="DL153" s="5">
        <f>SUM(DL5:DM26)*DK153</f>
        <v>0</v>
      </c>
      <c r="DM153" s="12"/>
      <c r="DO153" s="13">
        <v>1</v>
      </c>
      <c r="DP153" s="5">
        <f>SUM(DP5:DQ26)*DO153</f>
        <v>0</v>
      </c>
      <c r="DQ153" s="12"/>
      <c r="DS153" s="17"/>
      <c r="DV153" s="17"/>
      <c r="DW153" s="660">
        <f t="shared" si="0"/>
        <v>0</v>
      </c>
    </row>
    <row r="154" spans="1:127" s="6" customFormat="1" ht="15" customHeight="1">
      <c r="A154" s="3">
        <v>12</v>
      </c>
      <c r="B154" s="210" t="s">
        <v>2</v>
      </c>
      <c r="C154" s="473" t="s">
        <v>515</v>
      </c>
      <c r="D154" s="4"/>
      <c r="E154" s="5">
        <v>2</v>
      </c>
      <c r="F154" s="5">
        <f>SUM(F5:F15)*E154</f>
        <v>0</v>
      </c>
      <c r="G154" s="4"/>
      <c r="H154" s="4">
        <v>1</v>
      </c>
      <c r="I154" s="658">
        <f>SUM(I5:I15)*H154</f>
        <v>0</v>
      </c>
      <c r="J154" s="4"/>
      <c r="K154" s="5"/>
      <c r="L154" s="5"/>
      <c r="M154" s="5"/>
      <c r="O154" s="5">
        <v>2</v>
      </c>
      <c r="P154" s="5">
        <f>P5*O154+Q5*O154+P6*O154+Q6*O154+P7*O154+Q7*O154+P8*O154+Q8*O154+P9*O154+Q9*O154+P10*O154+Q10*O154+P11*O154+Q11*O154+P12*O154+Q12*O154+P13*O154+Q13*O154+P14*O154+Q14*O154+P15*O154+Q15*O154</f>
        <v>0</v>
      </c>
      <c r="Q154" s="5"/>
      <c r="S154" s="5">
        <v>1</v>
      </c>
      <c r="T154" s="5">
        <f>T5*S154+U5*S154+T6*S154+U6*S154+T7*S154+U7*S154+T8*S154+U8*S154+T9*S154+U9*S154+T10*S154+U10*S154+T11*S154+U11*S154+T12*S154+U12*S154+T13*S154+U13*S154+T14*S154+U14*S154+T15*S154+U15*S154</f>
        <v>0</v>
      </c>
      <c r="U154" s="5"/>
      <c r="W154" s="5">
        <v>1</v>
      </c>
      <c r="X154" s="5">
        <f>X5*W154+Y5*W154+X6*W154+Y6*W154+X7*W154+Y7*W154+X8*W154+Y8*W154+X9*W154+Y9*W154+X10*W154+Y10*W154+X11*W154+Y11*W154+X12*W154+Y12*W154+X13*W154+Y13*W154+X14*W154+Y14*W154+X15*W154+Y15*W154</f>
        <v>0</v>
      </c>
      <c r="Y154" s="12"/>
      <c r="AA154" s="13">
        <v>1</v>
      </c>
      <c r="AB154" s="12">
        <f>AB5*AA154+AB6*AA154+AB7*AA154+AB8*AA154+AB9*AA154+AB10*AA154+AB11*AA154+AB12*AA154+AB13*AA154+AB14*AA154+AB15*AA154</f>
        <v>0</v>
      </c>
      <c r="AD154" s="13">
        <v>1</v>
      </c>
      <c r="AE154" s="5">
        <f>AE5*AD154+AF5*AD154+AE6*AD154+AF6*AD154+AE7*AD154+AF7*AD154+AE8*AD154+AF8*AD154+AE9*AD154+AF9*AD154+AE10*AD154+AF10*AD154+AE11*AD154+AF11*AD154+AE12*AD154+AF12*AD154+AE13*AD154+AF13*AD154+AE14*AD154+AF14*AD154+AE15*AD154+AF15*AD154</f>
        <v>0</v>
      </c>
      <c r="AF154" s="5"/>
      <c r="AH154" s="13">
        <v>1</v>
      </c>
      <c r="AI154" s="12">
        <f>AI5*AH154+AI6*AH154+AI7*AH154+AI8*AH154+AI9*AH154+AI10*AH154+AI11*AH154+AI12*AH154+AI13*AH154+AI14*AH154+AI15*AH154</f>
        <v>0</v>
      </c>
      <c r="AK154" s="5">
        <v>2</v>
      </c>
      <c r="AL154" s="5">
        <f>AL5*AK154+AM5*AK154+AL6*AK154+AM6*AK154+AL7*AK154+AM7*AK154+AL8*AK154+AM8*AK154+AL9*AK154+AM9*AK154+AL10*AK154+AM10*AK154+AL11*AK154+AM11*AK154+AL12*AK154+AM12*AK154+AL13*AK154+AM13*AK154+AL14*AK154+AM14*AK154+AL15*AK154+AM15*AK154</f>
        <v>0</v>
      </c>
      <c r="AM154" s="5"/>
      <c r="AO154" s="5">
        <v>2</v>
      </c>
      <c r="AP154" s="12">
        <f>AP5*AO154+AP6*AO154+AP7*AO154+AP8*AO154+AP9*AO154+AP10*AO154+AP11*AO154+AP12*AO154+AP13*AO154+AP14*AO154+AP15*AO154</f>
        <v>0</v>
      </c>
      <c r="AR154" s="5">
        <v>2</v>
      </c>
      <c r="AS154" s="5">
        <f>AS5*AR154+AT5*AR154+AS6*AR154+AT6*AR154+AS7*AR154+AT7*AR154+AS8*AR154+AT8*AR154+AS9*AR154+AT9*AR154+AS10*AR154+AT10*AR154+AS11*AR154+AT11*AR154+AS12*AR154+AT12*AR154+AS13*AR154+AT13*AR154+AS14*AR154+AT14*AR154+AS15*AR154+AT15*AR154</f>
        <v>0</v>
      </c>
      <c r="AT154" s="5"/>
      <c r="AV154" s="5">
        <v>2</v>
      </c>
      <c r="AW154" s="12">
        <f>AW5*AV154+AW6*AV154+AW7*AV154+AW8*AV154+AW9*AV154+AW10*AV154+AW11*AV154+AW12*AV154+AW13*AV154+AW14*AV154+AW15*AV154</f>
        <v>0</v>
      </c>
      <c r="AY154" s="5">
        <v>2</v>
      </c>
      <c r="AZ154" s="5">
        <f>AZ5*AY154+BA5*AY154+AZ6*AY154+BA6*AY154+AZ7*AY154+BA7*AY154+AZ8*AY154+BA8*AY154+AZ9*AY154+BA9*AY154+AZ10*AY154+BA10*AY154+AZ11*AY154+BA11*AY154+AZ12*AY154+BA12*AY154+AZ13*AY154+BA13*AY154+AZ14*AY154+BA14*AY154+AZ15*AY154+BA15*AY154</f>
        <v>0</v>
      </c>
      <c r="BA154" s="5"/>
      <c r="BC154" s="5">
        <v>2</v>
      </c>
      <c r="BD154" s="12">
        <f>BD5*BC154+BD6*BC154+BD7*BC154+BD8*BC154+BD9*BC154+BD10*BC154+BD11*BC154+BD12*BC154+BD13*BC154+BD14*BC154+BD15*BC154</f>
        <v>0</v>
      </c>
      <c r="BF154" s="5"/>
      <c r="BG154" s="5"/>
      <c r="BH154" s="5"/>
      <c r="BJ154" s="5"/>
      <c r="BK154" s="5"/>
      <c r="BL154" s="12"/>
      <c r="BM154" s="5">
        <v>2</v>
      </c>
      <c r="BN154" s="5">
        <f>BN5*BM154+BO5*BM154+BN6*BM154+BO6*BM154+BN7*BM154+BO7*BM154+BN8*BM154+BO8*BM154+BN9*BM154+BO9*BM154+BN10*BM154+BO10*BM154+BN11*BM154+BO11*BM154+BN12*BM154+BO12*BM154+BN13*BM154+BO13*BM154+BN14*BM154+BO14*BM154+BN15*BM154+BO15*BM154</f>
        <v>0</v>
      </c>
      <c r="BO154" s="5"/>
      <c r="BQ154" s="5">
        <v>2</v>
      </c>
      <c r="BR154" s="12">
        <f>BR5*BQ154+BR6*BQ154+BR7*BQ154+BR8*BQ154+BR9*BQ154+BR10*BQ154+BR11*BQ154+BR12*BQ154+BR13*BQ154+BR14*BQ154+BR15*BQ154</f>
        <v>0</v>
      </c>
      <c r="BT154" s="5">
        <v>2</v>
      </c>
      <c r="BU154" s="5">
        <f>BU5*BT154+BV5*BT154+BU6*BT154+BV6*BT154+BU7*BT154+BV7*BT154+BU8*BT154+BV8*BT154+BU9*BT154+BV9*BT154+BU10*BT154+BV10*BT154+BU11*BT154+BV11*BT154+BU12*BT154+BV12*BT154+BU13*BT154+BV13*BT154+BU14*BT154+BV14*BT154+BU15*BT154+BV15*BT154</f>
        <v>0</v>
      </c>
      <c r="BV154" s="5"/>
      <c r="BX154" s="5">
        <v>2</v>
      </c>
      <c r="BY154" s="5">
        <f>BY5*BX154+BZ5*BX154+BY6*BX154+BZ6*BX154+BY7*BX154+BZ7*BX154+BY8*BX154+BZ8*BX154+BY9*BX154+BZ9*BX154+BY10*BX154+BZ10*BX154+BY11*BX154+BZ11*BX154+BY12*BX154+BZ12*BX154+BY13*BX154+BZ13*BX154+BY14*BX154+BZ14*BX154+BY15*BX154+BZ15*BX154</f>
        <v>0</v>
      </c>
      <c r="CA154" s="13">
        <v>5</v>
      </c>
      <c r="CB154" s="5">
        <f>CB5*CA154+CC5*CA154+CB6*CA154+CC6*CA154+CB7*CA154+CC7*CA154+CB8*CA154+CC8*CA154+CB9*CA154+CC9*CA154+CB10*CA154+CC10*CA154+CB11*CA154+CC11*CA154+CB12*CA154+CC12*CA154+CB13*CA154+CC13*CA154+CB14*CA154+CC14*CA154+CB15*CA154+CC15*CA154</f>
        <v>0</v>
      </c>
      <c r="CC154" s="11"/>
      <c r="CE154" s="13">
        <v>5</v>
      </c>
      <c r="CF154" s="5">
        <f>SUM(CF5:CG26)*CE154</f>
        <v>0</v>
      </c>
      <c r="CG154" s="12"/>
      <c r="CI154" s="13">
        <v>5</v>
      </c>
      <c r="CJ154" s="5">
        <f>SUM(CJ5:CK26)*CI154</f>
        <v>0</v>
      </c>
      <c r="CK154" s="12"/>
      <c r="CM154" s="13">
        <v>5</v>
      </c>
      <c r="CN154" s="5">
        <f>SUM(CN5:CO26)*CM154</f>
        <v>0</v>
      </c>
      <c r="CO154" s="12"/>
      <c r="CQ154" s="13">
        <v>5</v>
      </c>
      <c r="CR154" s="5">
        <f>SUM(CR5:CS26)*CQ154</f>
        <v>0</v>
      </c>
      <c r="CS154" s="12"/>
      <c r="CU154" s="13">
        <v>5</v>
      </c>
      <c r="CV154" s="5">
        <f>SUM(CV5:CW26)*CU154</f>
        <v>0</v>
      </c>
      <c r="CW154" s="12"/>
      <c r="CY154" s="13">
        <v>5</v>
      </c>
      <c r="CZ154" s="5">
        <f>SUM(CZ5:DA26)*CY154</f>
        <v>0</v>
      </c>
      <c r="DA154" s="12"/>
      <c r="DC154" s="13">
        <v>5</v>
      </c>
      <c r="DD154" s="5">
        <f>SUM(DD5:DE26)*DC154</f>
        <v>0</v>
      </c>
      <c r="DE154" s="12"/>
      <c r="DG154" s="13">
        <v>5</v>
      </c>
      <c r="DH154" s="5">
        <f>SUM(DH5:DI26)*DG154</f>
        <v>0</v>
      </c>
      <c r="DI154" s="12"/>
      <c r="DK154" s="13">
        <v>5</v>
      </c>
      <c r="DL154" s="5">
        <f>SUM(DL5:DM26)*DK154</f>
        <v>0</v>
      </c>
      <c r="DM154" s="12"/>
      <c r="DO154" s="13">
        <v>5</v>
      </c>
      <c r="DP154" s="5">
        <f>SUM(DP5:DQ26)*DO154</f>
        <v>0</v>
      </c>
      <c r="DQ154" s="12"/>
      <c r="DS154" s="17"/>
      <c r="DV154" s="17"/>
      <c r="DW154" s="660">
        <f t="shared" si="0"/>
        <v>0</v>
      </c>
    </row>
    <row r="155" spans="1:127" s="6" customFormat="1" ht="15" customHeight="1">
      <c r="A155" s="3">
        <v>13</v>
      </c>
      <c r="B155" s="210" t="s">
        <v>312</v>
      </c>
      <c r="C155" s="473" t="s">
        <v>515</v>
      </c>
      <c r="D155" s="4"/>
      <c r="E155" s="5"/>
      <c r="F155" s="5"/>
      <c r="G155" s="4"/>
      <c r="H155" s="4"/>
      <c r="I155" s="4"/>
      <c r="J155" s="4"/>
      <c r="K155" s="5"/>
      <c r="L155" s="5"/>
      <c r="M155" s="5"/>
      <c r="O155" s="5"/>
      <c r="P155" s="5"/>
      <c r="Q155" s="5"/>
      <c r="S155" s="5"/>
      <c r="T155" s="5"/>
      <c r="U155" s="5"/>
      <c r="W155" s="5"/>
      <c r="X155" s="5"/>
      <c r="Y155" s="12"/>
      <c r="AA155" s="13"/>
      <c r="AB155" s="12"/>
      <c r="AD155" s="13"/>
      <c r="AE155" s="5"/>
      <c r="AF155" s="5"/>
      <c r="AH155" s="13"/>
      <c r="AI155" s="12"/>
      <c r="AK155" s="5"/>
      <c r="AL155" s="5"/>
      <c r="AM155" s="5"/>
      <c r="AO155" s="5"/>
      <c r="AP155" s="12"/>
      <c r="AR155" s="5"/>
      <c r="AS155" s="5"/>
      <c r="AT155" s="5"/>
      <c r="AV155" s="5"/>
      <c r="AW155" s="12"/>
      <c r="AY155" s="5"/>
      <c r="AZ155" s="5"/>
      <c r="BA155" s="5"/>
      <c r="BC155" s="5"/>
      <c r="BD155" s="12"/>
      <c r="BF155" s="5"/>
      <c r="BG155" s="5"/>
      <c r="BH155" s="5"/>
      <c r="BJ155" s="5"/>
      <c r="BK155" s="5"/>
      <c r="BL155" s="12"/>
      <c r="BM155" s="5"/>
      <c r="BN155" s="5"/>
      <c r="BO155" s="5"/>
      <c r="BQ155" s="5"/>
      <c r="BR155" s="12"/>
      <c r="BT155" s="5"/>
      <c r="BU155" s="5"/>
      <c r="BV155" s="5"/>
      <c r="BX155" s="5"/>
      <c r="BY155" s="5"/>
      <c r="CA155" s="13"/>
      <c r="CB155" s="7"/>
      <c r="CC155" s="11"/>
      <c r="CE155" s="13"/>
      <c r="CF155" s="5"/>
      <c r="CG155" s="12"/>
      <c r="CI155" s="13"/>
      <c r="CJ155" s="5"/>
      <c r="CK155" s="12"/>
      <c r="CM155" s="13"/>
      <c r="CN155" s="5"/>
      <c r="CO155" s="12"/>
      <c r="CQ155" s="13"/>
      <c r="CR155" s="5"/>
      <c r="CS155" s="12"/>
      <c r="CU155" s="13"/>
      <c r="CV155" s="5"/>
      <c r="CW155" s="12"/>
      <c r="CY155" s="13"/>
      <c r="CZ155" s="5"/>
      <c r="DA155" s="12"/>
      <c r="DC155" s="13"/>
      <c r="DD155" s="5"/>
      <c r="DE155" s="12"/>
      <c r="DG155" s="13"/>
      <c r="DH155" s="5"/>
      <c r="DI155" s="12"/>
      <c r="DK155" s="13"/>
      <c r="DL155" s="5"/>
      <c r="DM155" s="12"/>
      <c r="DO155" s="13"/>
      <c r="DP155" s="5"/>
      <c r="DQ155" s="12"/>
      <c r="DS155" s="17">
        <v>35</v>
      </c>
      <c r="DV155" s="17"/>
      <c r="DW155" s="660">
        <f t="shared" si="0"/>
        <v>0</v>
      </c>
    </row>
    <row r="156" spans="1:127" s="6" customFormat="1" ht="15" customHeight="1">
      <c r="A156" s="3"/>
      <c r="B156" s="210" t="s">
        <v>1424</v>
      </c>
      <c r="C156" s="473" t="s">
        <v>168</v>
      </c>
      <c r="D156" s="4"/>
      <c r="E156" s="5"/>
      <c r="F156" s="5"/>
      <c r="G156" s="4"/>
      <c r="H156" s="4"/>
      <c r="I156" s="4"/>
      <c r="J156" s="4"/>
      <c r="K156" s="5"/>
      <c r="L156" s="5"/>
      <c r="M156" s="5"/>
      <c r="O156" s="5"/>
      <c r="P156" s="5"/>
      <c r="Q156" s="5"/>
      <c r="S156" s="5"/>
      <c r="T156" s="5"/>
      <c r="U156" s="5"/>
      <c r="W156" s="5"/>
      <c r="X156" s="5"/>
      <c r="Y156" s="12"/>
      <c r="AA156" s="13"/>
      <c r="AB156" s="12"/>
      <c r="AD156" s="13"/>
      <c r="AE156" s="5"/>
      <c r="AF156" s="5"/>
      <c r="AH156" s="13"/>
      <c r="AI156" s="12"/>
      <c r="AK156" s="5"/>
      <c r="AL156" s="5"/>
      <c r="AM156" s="5"/>
      <c r="AO156" s="5"/>
      <c r="AP156" s="12"/>
      <c r="AR156" s="5"/>
      <c r="AS156" s="5"/>
      <c r="AT156" s="5"/>
      <c r="AV156" s="5"/>
      <c r="AW156" s="12"/>
      <c r="AY156" s="5"/>
      <c r="AZ156" s="5"/>
      <c r="BA156" s="5"/>
      <c r="BC156" s="5"/>
      <c r="BD156" s="12"/>
      <c r="BF156" s="5"/>
      <c r="BG156" s="5"/>
      <c r="BH156" s="5"/>
      <c r="BJ156" s="5"/>
      <c r="BK156" s="5"/>
      <c r="BL156" s="12"/>
      <c r="BM156" s="5"/>
      <c r="BN156" s="5"/>
      <c r="BO156" s="5"/>
      <c r="BQ156" s="5"/>
      <c r="BR156" s="12"/>
      <c r="BT156" s="5"/>
      <c r="BU156" s="5"/>
      <c r="BV156" s="5"/>
      <c r="BX156" s="5"/>
      <c r="BY156" s="5"/>
      <c r="CA156" s="13"/>
      <c r="CB156" s="7"/>
      <c r="CC156" s="11"/>
      <c r="CE156" s="13"/>
      <c r="CF156" s="5"/>
      <c r="CG156" s="12"/>
      <c r="CI156" s="13"/>
      <c r="CJ156" s="5"/>
      <c r="CK156" s="12"/>
      <c r="CM156" s="13"/>
      <c r="CN156" s="5"/>
      <c r="CO156" s="12"/>
      <c r="CQ156" s="13"/>
      <c r="CR156" s="5"/>
      <c r="CS156" s="12"/>
      <c r="CU156" s="13"/>
      <c r="CV156" s="5"/>
      <c r="CW156" s="12"/>
      <c r="CY156" s="13"/>
      <c r="CZ156" s="5"/>
      <c r="DA156" s="12"/>
      <c r="DC156" s="13"/>
      <c r="DD156" s="5"/>
      <c r="DE156" s="12"/>
      <c r="DG156" s="13"/>
      <c r="DH156" s="5"/>
      <c r="DI156" s="12"/>
      <c r="DK156" s="13"/>
      <c r="DL156" s="5"/>
      <c r="DM156" s="12"/>
      <c r="DO156" s="13"/>
      <c r="DP156" s="5"/>
      <c r="DQ156" s="12"/>
      <c r="DS156" s="17"/>
      <c r="DV156" s="17"/>
      <c r="DW156" s="660">
        <f t="shared" si="0"/>
        <v>0</v>
      </c>
    </row>
    <row r="157" spans="1:127" s="6" customFormat="1" ht="15" customHeight="1">
      <c r="A157" s="3"/>
      <c r="B157" s="210" t="s">
        <v>313</v>
      </c>
      <c r="C157" s="473" t="s">
        <v>168</v>
      </c>
      <c r="D157" s="4"/>
      <c r="E157" s="5"/>
      <c r="F157" s="5"/>
      <c r="G157" s="4"/>
      <c r="H157" s="4"/>
      <c r="I157" s="4"/>
      <c r="J157" s="4"/>
      <c r="K157" s="5"/>
      <c r="L157" s="5"/>
      <c r="M157" s="5"/>
      <c r="O157" s="5"/>
      <c r="P157" s="5"/>
      <c r="Q157" s="5"/>
      <c r="S157" s="5"/>
      <c r="T157" s="5"/>
      <c r="U157" s="5"/>
      <c r="W157" s="5"/>
      <c r="X157" s="5"/>
      <c r="Y157" s="12"/>
      <c r="AA157" s="13"/>
      <c r="AB157" s="12"/>
      <c r="AD157" s="13"/>
      <c r="AE157" s="5"/>
      <c r="AF157" s="5"/>
      <c r="AH157" s="13"/>
      <c r="AI157" s="12"/>
      <c r="AK157" s="5"/>
      <c r="AL157" s="5"/>
      <c r="AM157" s="5"/>
      <c r="AO157" s="5"/>
      <c r="AP157" s="12"/>
      <c r="AR157" s="5"/>
      <c r="AS157" s="5"/>
      <c r="AT157" s="5"/>
      <c r="AV157" s="5"/>
      <c r="AW157" s="12"/>
      <c r="AY157" s="5"/>
      <c r="AZ157" s="5"/>
      <c r="BA157" s="5"/>
      <c r="BC157" s="5"/>
      <c r="BD157" s="12"/>
      <c r="BF157" s="5"/>
      <c r="BG157" s="5"/>
      <c r="BH157" s="5"/>
      <c r="BJ157" s="5"/>
      <c r="BK157" s="5"/>
      <c r="BL157" s="12"/>
      <c r="BM157" s="5"/>
      <c r="BN157" s="5"/>
      <c r="BO157" s="5"/>
      <c r="BQ157" s="5"/>
      <c r="BR157" s="12"/>
      <c r="BT157" s="5"/>
      <c r="BU157" s="5"/>
      <c r="BV157" s="5"/>
      <c r="BX157" s="5"/>
      <c r="BY157" s="5"/>
      <c r="CA157" s="13"/>
      <c r="CB157" s="7"/>
      <c r="CC157" s="11"/>
      <c r="CE157" s="13"/>
      <c r="CF157" s="5"/>
      <c r="CG157" s="12"/>
      <c r="CI157" s="13"/>
      <c r="CJ157" s="5"/>
      <c r="CK157" s="12"/>
      <c r="CM157" s="13"/>
      <c r="CN157" s="5"/>
      <c r="CO157" s="12"/>
      <c r="CQ157" s="13"/>
      <c r="CR157" s="5"/>
      <c r="CS157" s="12"/>
      <c r="CU157" s="13"/>
      <c r="CV157" s="5"/>
      <c r="CW157" s="12"/>
      <c r="CY157" s="13"/>
      <c r="CZ157" s="5"/>
      <c r="DA157" s="12"/>
      <c r="DC157" s="13"/>
      <c r="DD157" s="5"/>
      <c r="DE157" s="12"/>
      <c r="DG157" s="13"/>
      <c r="DH157" s="5"/>
      <c r="DI157" s="12"/>
      <c r="DK157" s="13"/>
      <c r="DL157" s="5"/>
      <c r="DM157" s="12"/>
      <c r="DO157" s="13"/>
      <c r="DP157" s="5"/>
      <c r="DQ157" s="12"/>
      <c r="DS157" s="17"/>
      <c r="DV157" s="17"/>
      <c r="DW157" s="660">
        <f t="shared" si="0"/>
        <v>0</v>
      </c>
    </row>
    <row r="158" spans="1:127" s="6" customFormat="1" ht="15" customHeight="1">
      <c r="A158" s="3"/>
      <c r="B158" s="210" t="s">
        <v>409</v>
      </c>
      <c r="C158" s="473" t="s">
        <v>168</v>
      </c>
      <c r="D158" s="4"/>
      <c r="E158" s="5"/>
      <c r="F158" s="5"/>
      <c r="G158" s="4"/>
      <c r="H158" s="4"/>
      <c r="I158" s="4"/>
      <c r="J158" s="4"/>
      <c r="K158" s="5"/>
      <c r="L158" s="5"/>
      <c r="M158" s="5"/>
      <c r="O158" s="5"/>
      <c r="P158" s="5"/>
      <c r="Q158" s="5"/>
      <c r="S158" s="5"/>
      <c r="T158" s="5"/>
      <c r="U158" s="5"/>
      <c r="W158" s="5"/>
      <c r="X158" s="5"/>
      <c r="Y158" s="12"/>
      <c r="AA158" s="13"/>
      <c r="AB158" s="12"/>
      <c r="AD158" s="13"/>
      <c r="AE158" s="5"/>
      <c r="AF158" s="5"/>
      <c r="AH158" s="13"/>
      <c r="AI158" s="12"/>
      <c r="AK158" s="5"/>
      <c r="AL158" s="5"/>
      <c r="AM158" s="5"/>
      <c r="AO158" s="5"/>
      <c r="AP158" s="12"/>
      <c r="AR158" s="5"/>
      <c r="AS158" s="5"/>
      <c r="AT158" s="5"/>
      <c r="AV158" s="5"/>
      <c r="AW158" s="12"/>
      <c r="AY158" s="5"/>
      <c r="AZ158" s="5"/>
      <c r="BA158" s="5"/>
      <c r="BC158" s="5"/>
      <c r="BD158" s="12"/>
      <c r="BF158" s="5"/>
      <c r="BG158" s="5"/>
      <c r="BH158" s="5"/>
      <c r="BJ158" s="5"/>
      <c r="BK158" s="5"/>
      <c r="BL158" s="12"/>
      <c r="BM158" s="5"/>
      <c r="BN158" s="5"/>
      <c r="BO158" s="5"/>
      <c r="BQ158" s="5"/>
      <c r="BR158" s="12"/>
      <c r="BT158" s="5"/>
      <c r="BU158" s="5"/>
      <c r="BV158" s="5"/>
      <c r="BX158" s="5"/>
      <c r="BY158" s="5"/>
      <c r="CA158" s="13"/>
      <c r="CB158" s="7"/>
      <c r="CC158" s="11"/>
      <c r="CE158" s="13"/>
      <c r="CF158" s="5"/>
      <c r="CG158" s="12"/>
      <c r="CI158" s="13"/>
      <c r="CJ158" s="5"/>
      <c r="CK158" s="12"/>
      <c r="CM158" s="13"/>
      <c r="CN158" s="5"/>
      <c r="CO158" s="12"/>
      <c r="CQ158" s="13"/>
      <c r="CR158" s="5"/>
      <c r="CS158" s="12"/>
      <c r="CU158" s="13"/>
      <c r="CV158" s="5"/>
      <c r="CW158" s="12"/>
      <c r="CY158" s="13"/>
      <c r="CZ158" s="5"/>
      <c r="DA158" s="12"/>
      <c r="DC158" s="13"/>
      <c r="DD158" s="5"/>
      <c r="DE158" s="12"/>
      <c r="DG158" s="13"/>
      <c r="DH158" s="5"/>
      <c r="DI158" s="12"/>
      <c r="DK158" s="13"/>
      <c r="DL158" s="5"/>
      <c r="DM158" s="12"/>
      <c r="DO158" s="13"/>
      <c r="DP158" s="5"/>
      <c r="DQ158" s="12"/>
      <c r="DS158" s="17"/>
      <c r="DV158" s="17"/>
      <c r="DW158" s="660">
        <f t="shared" si="0"/>
        <v>0</v>
      </c>
    </row>
    <row r="159" spans="1:127" s="6" customFormat="1" ht="15" customHeight="1">
      <c r="A159" s="3">
        <v>14</v>
      </c>
      <c r="B159" s="210" t="s">
        <v>1382</v>
      </c>
      <c r="C159" s="473" t="s">
        <v>168</v>
      </c>
      <c r="D159" s="4"/>
      <c r="E159" s="5"/>
      <c r="F159" s="5"/>
      <c r="G159" s="4"/>
      <c r="H159" s="4"/>
      <c r="I159" s="4"/>
      <c r="J159" s="4"/>
      <c r="K159" s="5"/>
      <c r="L159" s="5"/>
      <c r="M159" s="5"/>
      <c r="O159" s="5"/>
      <c r="P159" s="5"/>
      <c r="Q159" s="5"/>
      <c r="S159" s="5"/>
      <c r="T159" s="5"/>
      <c r="U159" s="5"/>
      <c r="W159" s="5"/>
      <c r="X159" s="5"/>
      <c r="Y159" s="12"/>
      <c r="AA159" s="13"/>
      <c r="AB159" s="12"/>
      <c r="AD159" s="13"/>
      <c r="AE159" s="5"/>
      <c r="AF159" s="5"/>
      <c r="AH159" s="13"/>
      <c r="AI159" s="12"/>
      <c r="AK159" s="5"/>
      <c r="AL159" s="5"/>
      <c r="AM159" s="5"/>
      <c r="AO159" s="5"/>
      <c r="AP159" s="12"/>
      <c r="AR159" s="5"/>
      <c r="AS159" s="5"/>
      <c r="AT159" s="5"/>
      <c r="AV159" s="5"/>
      <c r="AW159" s="12"/>
      <c r="AY159" s="5"/>
      <c r="AZ159" s="5"/>
      <c r="BA159" s="5"/>
      <c r="BC159" s="5"/>
      <c r="BD159" s="12"/>
      <c r="BF159" s="5"/>
      <c r="BG159" s="5"/>
      <c r="BH159" s="5"/>
      <c r="BJ159" s="5"/>
      <c r="BK159" s="5"/>
      <c r="BL159" s="12"/>
      <c r="BM159" s="5"/>
      <c r="BN159" s="5"/>
      <c r="BO159" s="5"/>
      <c r="BQ159" s="5"/>
      <c r="BR159" s="12"/>
      <c r="BT159" s="5"/>
      <c r="BU159" s="5"/>
      <c r="BV159" s="5"/>
      <c r="BX159" s="5"/>
      <c r="BY159" s="5"/>
      <c r="CA159" s="13"/>
      <c r="CB159" s="7"/>
      <c r="CC159" s="11"/>
      <c r="CE159" s="13"/>
      <c r="CF159" s="5"/>
      <c r="CG159" s="12"/>
      <c r="CI159" s="13"/>
      <c r="CJ159" s="5"/>
      <c r="CK159" s="12"/>
      <c r="CM159" s="13"/>
      <c r="CN159" s="5"/>
      <c r="CO159" s="12"/>
      <c r="CQ159" s="13"/>
      <c r="CR159" s="5"/>
      <c r="CS159" s="12"/>
      <c r="CU159" s="13"/>
      <c r="CV159" s="5"/>
      <c r="CW159" s="12"/>
      <c r="CY159" s="13"/>
      <c r="CZ159" s="5"/>
      <c r="DA159" s="12"/>
      <c r="DC159" s="13"/>
      <c r="DD159" s="5"/>
      <c r="DE159" s="12"/>
      <c r="DG159" s="13"/>
      <c r="DH159" s="5"/>
      <c r="DI159" s="12"/>
      <c r="DK159" s="13"/>
      <c r="DL159" s="5"/>
      <c r="DM159" s="12"/>
      <c r="DO159" s="13"/>
      <c r="DP159" s="5"/>
      <c r="DQ159" s="12"/>
      <c r="DS159" s="17">
        <v>35</v>
      </c>
      <c r="DV159" s="17"/>
      <c r="DW159" s="660">
        <f t="shared" si="0"/>
        <v>0</v>
      </c>
    </row>
    <row r="160" spans="1:127" s="6" customFormat="1" ht="15" customHeight="1">
      <c r="A160" s="3"/>
      <c r="B160" s="210" t="s">
        <v>1425</v>
      </c>
      <c r="C160" s="473" t="s">
        <v>168</v>
      </c>
      <c r="D160" s="4"/>
      <c r="E160" s="5"/>
      <c r="F160" s="5"/>
      <c r="G160" s="4"/>
      <c r="H160" s="4"/>
      <c r="I160" s="4"/>
      <c r="J160" s="4"/>
      <c r="K160" s="5"/>
      <c r="L160" s="5"/>
      <c r="M160" s="5"/>
      <c r="O160" s="5"/>
      <c r="P160" s="5"/>
      <c r="Q160" s="5"/>
      <c r="S160" s="5"/>
      <c r="T160" s="5"/>
      <c r="U160" s="5"/>
      <c r="W160" s="5"/>
      <c r="X160" s="5"/>
      <c r="Y160" s="12"/>
      <c r="AA160" s="13"/>
      <c r="AB160" s="12"/>
      <c r="AD160" s="13"/>
      <c r="AE160" s="5"/>
      <c r="AF160" s="5"/>
      <c r="AH160" s="13"/>
      <c r="AI160" s="12"/>
      <c r="AK160" s="5"/>
      <c r="AL160" s="5"/>
      <c r="AM160" s="5"/>
      <c r="AO160" s="5"/>
      <c r="AP160" s="12"/>
      <c r="AR160" s="5"/>
      <c r="AS160" s="5"/>
      <c r="AT160" s="5"/>
      <c r="AV160" s="5"/>
      <c r="AW160" s="12"/>
      <c r="AY160" s="5"/>
      <c r="AZ160" s="5"/>
      <c r="BA160" s="5"/>
      <c r="BC160" s="5"/>
      <c r="BD160" s="12"/>
      <c r="BF160" s="5"/>
      <c r="BG160" s="5"/>
      <c r="BH160" s="5"/>
      <c r="BJ160" s="5"/>
      <c r="BK160" s="5"/>
      <c r="BL160" s="12"/>
      <c r="BM160" s="5"/>
      <c r="BN160" s="5"/>
      <c r="BO160" s="5"/>
      <c r="BQ160" s="5"/>
      <c r="BR160" s="12"/>
      <c r="BT160" s="5"/>
      <c r="BU160" s="5"/>
      <c r="BV160" s="5"/>
      <c r="BX160" s="5"/>
      <c r="BY160" s="5"/>
      <c r="CA160" s="13"/>
      <c r="CB160" s="7"/>
      <c r="CC160" s="11"/>
      <c r="CE160" s="13"/>
      <c r="CF160" s="5"/>
      <c r="CG160" s="12"/>
      <c r="CI160" s="13"/>
      <c r="CJ160" s="5"/>
      <c r="CK160" s="12"/>
      <c r="CM160" s="13"/>
      <c r="CN160" s="5"/>
      <c r="CO160" s="12"/>
      <c r="CQ160" s="13"/>
      <c r="CR160" s="5"/>
      <c r="CS160" s="12"/>
      <c r="CU160" s="13"/>
      <c r="CV160" s="5"/>
      <c r="CW160" s="12"/>
      <c r="CY160" s="13"/>
      <c r="CZ160" s="5"/>
      <c r="DA160" s="12"/>
      <c r="DC160" s="13"/>
      <c r="DD160" s="5"/>
      <c r="DE160" s="12"/>
      <c r="DG160" s="13"/>
      <c r="DH160" s="5"/>
      <c r="DI160" s="12"/>
      <c r="DK160" s="13"/>
      <c r="DL160" s="5"/>
      <c r="DM160" s="12"/>
      <c r="DO160" s="13"/>
      <c r="DP160" s="5"/>
      <c r="DQ160" s="12"/>
      <c r="DS160" s="17"/>
      <c r="DV160" s="17"/>
      <c r="DW160" s="660">
        <f t="shared" si="0"/>
        <v>0</v>
      </c>
    </row>
    <row r="161" spans="1:127" s="6" customFormat="1" ht="15" customHeight="1">
      <c r="A161" s="3"/>
      <c r="B161" s="210" t="s">
        <v>1380</v>
      </c>
      <c r="C161" s="473" t="s">
        <v>168</v>
      </c>
      <c r="D161" s="4"/>
      <c r="E161" s="5"/>
      <c r="F161" s="5"/>
      <c r="G161" s="4"/>
      <c r="H161" s="4"/>
      <c r="I161" s="4"/>
      <c r="J161" s="4"/>
      <c r="K161" s="5"/>
      <c r="L161" s="5"/>
      <c r="M161" s="5"/>
      <c r="O161" s="5"/>
      <c r="P161" s="5"/>
      <c r="Q161" s="5"/>
      <c r="S161" s="5"/>
      <c r="T161" s="5"/>
      <c r="U161" s="5"/>
      <c r="W161" s="5"/>
      <c r="X161" s="5"/>
      <c r="Y161" s="12"/>
      <c r="AA161" s="13"/>
      <c r="AB161" s="12"/>
      <c r="AD161" s="13"/>
      <c r="AE161" s="5"/>
      <c r="AF161" s="5"/>
      <c r="AH161" s="13"/>
      <c r="AI161" s="12"/>
      <c r="AK161" s="5"/>
      <c r="AL161" s="5"/>
      <c r="AM161" s="5"/>
      <c r="AO161" s="5"/>
      <c r="AP161" s="12"/>
      <c r="AR161" s="5"/>
      <c r="AS161" s="5"/>
      <c r="AT161" s="5"/>
      <c r="AV161" s="5"/>
      <c r="AW161" s="12"/>
      <c r="AY161" s="5"/>
      <c r="AZ161" s="5"/>
      <c r="BA161" s="5"/>
      <c r="BC161" s="5"/>
      <c r="BD161" s="12"/>
      <c r="BF161" s="5"/>
      <c r="BG161" s="5"/>
      <c r="BH161" s="5"/>
      <c r="BJ161" s="5"/>
      <c r="BK161" s="5"/>
      <c r="BL161" s="12"/>
      <c r="BM161" s="5"/>
      <c r="BN161" s="5"/>
      <c r="BO161" s="5"/>
      <c r="BQ161" s="5"/>
      <c r="BR161" s="12"/>
      <c r="BT161" s="5"/>
      <c r="BU161" s="5"/>
      <c r="BV161" s="5"/>
      <c r="BX161" s="5"/>
      <c r="BY161" s="5"/>
      <c r="CA161" s="13"/>
      <c r="CB161" s="7"/>
      <c r="CC161" s="11"/>
      <c r="CE161" s="13"/>
      <c r="CF161" s="5"/>
      <c r="CG161" s="12"/>
      <c r="CI161" s="13"/>
      <c r="CJ161" s="5"/>
      <c r="CK161" s="12"/>
      <c r="CM161" s="13"/>
      <c r="CN161" s="5"/>
      <c r="CO161" s="12"/>
      <c r="CQ161" s="13"/>
      <c r="CR161" s="5"/>
      <c r="CS161" s="12"/>
      <c r="CU161" s="13"/>
      <c r="CV161" s="5"/>
      <c r="CW161" s="12"/>
      <c r="CY161" s="13"/>
      <c r="CZ161" s="5"/>
      <c r="DA161" s="12"/>
      <c r="DC161" s="13"/>
      <c r="DD161" s="5"/>
      <c r="DE161" s="12"/>
      <c r="DG161" s="13"/>
      <c r="DH161" s="5"/>
      <c r="DI161" s="12"/>
      <c r="DK161" s="13"/>
      <c r="DL161" s="5"/>
      <c r="DM161" s="12"/>
      <c r="DO161" s="13"/>
      <c r="DP161" s="5"/>
      <c r="DQ161" s="12"/>
      <c r="DS161" s="17"/>
      <c r="DV161" s="17"/>
      <c r="DW161" s="660">
        <f t="shared" si="0"/>
        <v>0</v>
      </c>
    </row>
    <row r="162" spans="1:127" s="6" customFormat="1" ht="15" customHeight="1">
      <c r="A162" s="3">
        <v>15</v>
      </c>
      <c r="B162" s="210" t="s">
        <v>58</v>
      </c>
      <c r="C162" s="473" t="s">
        <v>386</v>
      </c>
      <c r="D162" s="4"/>
      <c r="E162" s="5"/>
      <c r="F162" s="5"/>
      <c r="G162" s="4"/>
      <c r="H162" s="4"/>
      <c r="I162" s="4"/>
      <c r="J162" s="4"/>
      <c r="K162" s="5"/>
      <c r="L162" s="5"/>
      <c r="M162" s="5"/>
      <c r="O162" s="5"/>
      <c r="P162" s="5"/>
      <c r="Q162" s="5"/>
      <c r="S162" s="5"/>
      <c r="T162" s="5"/>
      <c r="U162" s="5"/>
      <c r="W162" s="5"/>
      <c r="X162" s="5"/>
      <c r="Y162" s="12"/>
      <c r="AA162" s="13"/>
      <c r="AB162" s="12"/>
      <c r="AD162" s="13"/>
      <c r="AE162" s="5"/>
      <c r="AF162" s="5"/>
      <c r="AH162" s="13"/>
      <c r="AI162" s="5"/>
      <c r="AK162" s="5"/>
      <c r="AL162" s="5"/>
      <c r="AM162" s="5"/>
      <c r="AO162" s="5"/>
      <c r="AP162" s="5"/>
      <c r="AR162" s="5"/>
      <c r="AS162" s="5"/>
      <c r="AT162" s="5"/>
      <c r="AV162" s="5"/>
      <c r="AW162" s="5"/>
      <c r="AY162" s="5"/>
      <c r="AZ162" s="5"/>
      <c r="BA162" s="5"/>
      <c r="BC162" s="5"/>
      <c r="BD162" s="5"/>
      <c r="BF162" s="5"/>
      <c r="BG162" s="5"/>
      <c r="BH162" s="5"/>
      <c r="BJ162" s="5"/>
      <c r="BK162" s="5"/>
      <c r="BL162" s="12"/>
      <c r="BM162" s="5"/>
      <c r="BN162" s="5"/>
      <c r="BO162" s="5"/>
      <c r="BQ162" s="5"/>
      <c r="BR162" s="5"/>
      <c r="BT162" s="5"/>
      <c r="BU162" s="5"/>
      <c r="BV162" s="5"/>
      <c r="BX162" s="5"/>
      <c r="BY162" s="5"/>
      <c r="CA162" s="13"/>
      <c r="CB162" s="7"/>
      <c r="CC162" s="11"/>
      <c r="CE162" s="13"/>
      <c r="CF162" s="5"/>
      <c r="CG162" s="12"/>
      <c r="CI162" s="13"/>
      <c r="CJ162" s="5"/>
      <c r="CK162" s="12"/>
      <c r="CM162" s="13"/>
      <c r="CN162" s="5"/>
      <c r="CO162" s="12"/>
      <c r="CQ162" s="13"/>
      <c r="CR162" s="5"/>
      <c r="CS162" s="12"/>
      <c r="CU162" s="13"/>
      <c r="CV162" s="5"/>
      <c r="CW162" s="12"/>
      <c r="CY162" s="13"/>
      <c r="CZ162" s="5"/>
      <c r="DA162" s="12"/>
      <c r="DC162" s="13"/>
      <c r="DD162" s="5"/>
      <c r="DE162" s="12"/>
      <c r="DG162" s="13"/>
      <c r="DH162" s="5"/>
      <c r="DI162" s="12"/>
      <c r="DK162" s="13"/>
      <c r="DL162" s="5"/>
      <c r="DM162" s="12"/>
      <c r="DO162" s="13"/>
      <c r="DP162" s="5"/>
      <c r="DQ162" s="12"/>
      <c r="DS162" s="17"/>
      <c r="DV162" s="17"/>
      <c r="DW162" s="660">
        <f t="shared" si="0"/>
        <v>0</v>
      </c>
    </row>
    <row r="163" spans="1:127" s="6" customFormat="1" ht="15" customHeight="1">
      <c r="A163" s="3">
        <v>16</v>
      </c>
      <c r="B163" s="210" t="s">
        <v>59</v>
      </c>
      <c r="C163" s="473" t="s">
        <v>386</v>
      </c>
      <c r="D163" s="4"/>
      <c r="E163" s="5"/>
      <c r="F163" s="5"/>
      <c r="G163" s="4"/>
      <c r="H163" s="4"/>
      <c r="I163" s="4"/>
      <c r="J163" s="4"/>
      <c r="K163" s="5"/>
      <c r="L163" s="5"/>
      <c r="M163" s="5"/>
      <c r="O163" s="5"/>
      <c r="P163" s="5"/>
      <c r="Q163" s="5"/>
      <c r="S163" s="5"/>
      <c r="T163" s="5"/>
      <c r="U163" s="5"/>
      <c r="W163" s="5"/>
      <c r="X163" s="5"/>
      <c r="Y163" s="12"/>
      <c r="AA163" s="13"/>
      <c r="AB163" s="12"/>
      <c r="AD163" s="13"/>
      <c r="AE163" s="5"/>
      <c r="AF163" s="5"/>
      <c r="AH163" s="13"/>
      <c r="AI163" s="5"/>
      <c r="AK163" s="5"/>
      <c r="AL163" s="5"/>
      <c r="AM163" s="5"/>
      <c r="AO163" s="5"/>
      <c r="AP163" s="5"/>
      <c r="AR163" s="5"/>
      <c r="AS163" s="5"/>
      <c r="AT163" s="5"/>
      <c r="AV163" s="5"/>
      <c r="AW163" s="5"/>
      <c r="AY163" s="5"/>
      <c r="AZ163" s="5"/>
      <c r="BA163" s="5"/>
      <c r="BC163" s="5"/>
      <c r="BD163" s="5"/>
      <c r="BF163" s="5"/>
      <c r="BG163" s="5"/>
      <c r="BH163" s="5"/>
      <c r="BJ163" s="5"/>
      <c r="BK163" s="5"/>
      <c r="BL163" s="12"/>
      <c r="BM163" s="5"/>
      <c r="BN163" s="5"/>
      <c r="BO163" s="5"/>
      <c r="BQ163" s="5"/>
      <c r="BR163" s="5"/>
      <c r="BT163" s="5"/>
      <c r="BU163" s="5"/>
      <c r="BV163" s="5"/>
      <c r="BX163" s="5"/>
      <c r="BY163" s="5"/>
      <c r="CA163" s="13"/>
      <c r="CB163" s="7"/>
      <c r="CC163" s="11"/>
      <c r="CE163" s="13">
        <v>50</v>
      </c>
      <c r="CF163" s="5">
        <f>SUM(CF5:CG26)*CE163</f>
        <v>0</v>
      </c>
      <c r="CG163" s="12"/>
      <c r="CI163" s="13">
        <v>50</v>
      </c>
      <c r="CJ163" s="5">
        <f>SUM(CJ5:CK26)*CI163</f>
        <v>0</v>
      </c>
      <c r="CK163" s="12"/>
      <c r="CM163" s="13"/>
      <c r="CN163" s="5"/>
      <c r="CO163" s="12"/>
      <c r="CQ163" s="13"/>
      <c r="CR163" s="5"/>
      <c r="CS163" s="12"/>
      <c r="CU163" s="13"/>
      <c r="CV163" s="5"/>
      <c r="CW163" s="12"/>
      <c r="CY163" s="13">
        <v>50</v>
      </c>
      <c r="CZ163" s="5">
        <f>SUM(CZ5:DA26)*CY163</f>
        <v>0</v>
      </c>
      <c r="DA163" s="12"/>
      <c r="DC163" s="13">
        <v>50</v>
      </c>
      <c r="DD163" s="5">
        <f>SUM(DD5:DE26)*DC163</f>
        <v>0</v>
      </c>
      <c r="DE163" s="12"/>
      <c r="DG163" s="13"/>
      <c r="DH163" s="5"/>
      <c r="DI163" s="12"/>
      <c r="DK163" s="13"/>
      <c r="DL163" s="5"/>
      <c r="DM163" s="12"/>
      <c r="DO163" s="13"/>
      <c r="DP163" s="5"/>
      <c r="DQ163" s="12"/>
      <c r="DS163" s="17">
        <v>45</v>
      </c>
      <c r="DV163" s="17"/>
      <c r="DW163" s="660">
        <f t="shared" si="0"/>
        <v>0</v>
      </c>
    </row>
    <row r="164" spans="1:127" s="6" customFormat="1" ht="15" customHeight="1">
      <c r="A164" s="3">
        <v>17</v>
      </c>
      <c r="B164" s="210" t="s">
        <v>60</v>
      </c>
      <c r="C164" s="473" t="s">
        <v>386</v>
      </c>
      <c r="D164" s="4"/>
      <c r="E164" s="5"/>
      <c r="F164" s="5"/>
      <c r="G164" s="4"/>
      <c r="H164" s="4"/>
      <c r="I164" s="4"/>
      <c r="J164" s="4"/>
      <c r="K164" s="5"/>
      <c r="L164" s="5"/>
      <c r="M164" s="5"/>
      <c r="O164" s="5"/>
      <c r="P164" s="5"/>
      <c r="Q164" s="5"/>
      <c r="S164" s="5"/>
      <c r="T164" s="5"/>
      <c r="U164" s="5"/>
      <c r="W164" s="5"/>
      <c r="X164" s="5"/>
      <c r="Y164" s="12"/>
      <c r="AA164" s="13"/>
      <c r="AB164" s="12"/>
      <c r="AD164" s="13"/>
      <c r="AE164" s="5"/>
      <c r="AF164" s="5"/>
      <c r="AH164" s="13"/>
      <c r="AI164" s="5"/>
      <c r="AK164" s="5"/>
      <c r="AL164" s="5"/>
      <c r="AM164" s="5"/>
      <c r="AO164" s="5"/>
      <c r="AP164" s="5"/>
      <c r="AR164" s="5"/>
      <c r="AS164" s="5"/>
      <c r="AT164" s="5"/>
      <c r="AV164" s="5"/>
      <c r="AW164" s="5"/>
      <c r="AY164" s="5"/>
      <c r="AZ164" s="5"/>
      <c r="BA164" s="5"/>
      <c r="BC164" s="5"/>
      <c r="BD164" s="5"/>
      <c r="BF164" s="5"/>
      <c r="BG164" s="5"/>
      <c r="BH164" s="5"/>
      <c r="BJ164" s="5"/>
      <c r="BK164" s="5"/>
      <c r="BL164" s="12"/>
      <c r="BM164" s="5"/>
      <c r="BN164" s="5"/>
      <c r="BO164" s="5"/>
      <c r="BQ164" s="5"/>
      <c r="BR164" s="5"/>
      <c r="BT164" s="5"/>
      <c r="BU164" s="5"/>
      <c r="BV164" s="5"/>
      <c r="BX164" s="5"/>
      <c r="BY164" s="5"/>
      <c r="CA164" s="13"/>
      <c r="CB164" s="7"/>
      <c r="CC164" s="11"/>
      <c r="CE164" s="13"/>
      <c r="CF164" s="5"/>
      <c r="CG164" s="12"/>
      <c r="CI164" s="13"/>
      <c r="CJ164" s="5"/>
      <c r="CK164" s="12"/>
      <c r="CM164" s="13">
        <v>50</v>
      </c>
      <c r="CN164" s="5">
        <f>SUM(CN5:CO26)*CM164</f>
        <v>0</v>
      </c>
      <c r="CO164" s="12"/>
      <c r="CQ164" s="13"/>
      <c r="CR164" s="5"/>
      <c r="CS164" s="12"/>
      <c r="CU164" s="13"/>
      <c r="CV164" s="5"/>
      <c r="CW164" s="12"/>
      <c r="CY164" s="13"/>
      <c r="CZ164" s="5"/>
      <c r="DA164" s="12"/>
      <c r="DC164" s="13"/>
      <c r="DD164" s="5"/>
      <c r="DE164" s="12"/>
      <c r="DG164" s="13">
        <v>50</v>
      </c>
      <c r="DH164" s="5">
        <f>SUM(DH5:DI26)*DG164</f>
        <v>0</v>
      </c>
      <c r="DI164" s="12"/>
      <c r="DK164" s="13"/>
      <c r="DL164" s="5"/>
      <c r="DM164" s="12"/>
      <c r="DO164" s="13"/>
      <c r="DP164" s="5"/>
      <c r="DQ164" s="12"/>
      <c r="DS164" s="17">
        <v>45</v>
      </c>
      <c r="DV164" s="17"/>
      <c r="DW164" s="660">
        <f t="shared" si="0"/>
        <v>0</v>
      </c>
    </row>
    <row r="165" spans="1:127" s="6" customFormat="1" ht="15" customHeight="1">
      <c r="A165" s="3">
        <v>18</v>
      </c>
      <c r="B165" s="210" t="s">
        <v>61</v>
      </c>
      <c r="C165" s="473" t="s">
        <v>386</v>
      </c>
      <c r="D165" s="4"/>
      <c r="E165" s="5"/>
      <c r="F165" s="5"/>
      <c r="G165" s="4"/>
      <c r="H165" s="4"/>
      <c r="I165" s="4"/>
      <c r="J165" s="4"/>
      <c r="K165" s="5"/>
      <c r="L165" s="5"/>
      <c r="M165" s="5"/>
      <c r="O165" s="5"/>
      <c r="P165" s="5"/>
      <c r="Q165" s="5"/>
      <c r="S165" s="5"/>
      <c r="T165" s="5"/>
      <c r="U165" s="5"/>
      <c r="W165" s="5"/>
      <c r="X165" s="5"/>
      <c r="Y165" s="12"/>
      <c r="AA165" s="13"/>
      <c r="AB165" s="12"/>
      <c r="AD165" s="13"/>
      <c r="AE165" s="5"/>
      <c r="AF165" s="5"/>
      <c r="AH165" s="13"/>
      <c r="AI165" s="5"/>
      <c r="AK165" s="5"/>
      <c r="AL165" s="5"/>
      <c r="AM165" s="5"/>
      <c r="AO165" s="5"/>
      <c r="AP165" s="5"/>
      <c r="AR165" s="5"/>
      <c r="AS165" s="5"/>
      <c r="AT165" s="5"/>
      <c r="AV165" s="5"/>
      <c r="AW165" s="5"/>
      <c r="AY165" s="5"/>
      <c r="AZ165" s="5"/>
      <c r="BA165" s="5"/>
      <c r="BC165" s="5"/>
      <c r="BD165" s="5"/>
      <c r="BF165" s="5"/>
      <c r="BG165" s="5"/>
      <c r="BH165" s="5"/>
      <c r="BJ165" s="5"/>
      <c r="BK165" s="5"/>
      <c r="BL165" s="12"/>
      <c r="BM165" s="5"/>
      <c r="BN165" s="5"/>
      <c r="BO165" s="5"/>
      <c r="BQ165" s="5"/>
      <c r="BR165" s="5"/>
      <c r="BT165" s="5"/>
      <c r="BU165" s="5"/>
      <c r="BV165" s="5"/>
      <c r="BX165" s="5"/>
      <c r="BY165" s="5"/>
      <c r="CA165" s="13"/>
      <c r="CB165" s="7"/>
      <c r="CC165" s="11"/>
      <c r="CE165" s="13"/>
      <c r="CF165" s="5"/>
      <c r="CG165" s="12"/>
      <c r="CI165" s="13"/>
      <c r="CJ165" s="5"/>
      <c r="CK165" s="12"/>
      <c r="CM165" s="13"/>
      <c r="CN165" s="5"/>
      <c r="CO165" s="12"/>
      <c r="CQ165" s="13">
        <v>50</v>
      </c>
      <c r="CR165" s="5">
        <f>SUM(CR5:CS26)*CQ165</f>
        <v>0</v>
      </c>
      <c r="CS165" s="12"/>
      <c r="CU165" s="13"/>
      <c r="CV165" s="5"/>
      <c r="CW165" s="12"/>
      <c r="CY165" s="13"/>
      <c r="CZ165" s="5"/>
      <c r="DA165" s="12"/>
      <c r="DC165" s="13"/>
      <c r="DD165" s="5"/>
      <c r="DE165" s="12"/>
      <c r="DG165" s="13"/>
      <c r="DH165" s="5"/>
      <c r="DI165" s="12"/>
      <c r="DK165" s="13">
        <v>50</v>
      </c>
      <c r="DL165" s="5">
        <f>SUM(DL5:DM26)*DK165</f>
        <v>0</v>
      </c>
      <c r="DM165" s="12"/>
      <c r="DO165" s="13"/>
      <c r="DP165" s="5"/>
      <c r="DQ165" s="12"/>
      <c r="DS165" s="17">
        <v>45</v>
      </c>
      <c r="DV165" s="17"/>
      <c r="DW165" s="660">
        <f t="shared" si="0"/>
        <v>0</v>
      </c>
    </row>
    <row r="166" spans="1:127" s="6" customFormat="1" ht="15" customHeight="1">
      <c r="A166" s="3"/>
      <c r="B166" s="210" t="s">
        <v>1534</v>
      </c>
      <c r="C166" s="473" t="s">
        <v>168</v>
      </c>
      <c r="D166" s="4"/>
      <c r="E166" s="5"/>
      <c r="F166" s="5"/>
      <c r="G166" s="4"/>
      <c r="H166" s="4"/>
      <c r="I166" s="4"/>
      <c r="J166" s="4"/>
      <c r="K166" s="5"/>
      <c r="L166" s="5"/>
      <c r="M166" s="5"/>
      <c r="O166" s="5"/>
      <c r="P166" s="5"/>
      <c r="Q166" s="5"/>
      <c r="S166" s="5"/>
      <c r="T166" s="5"/>
      <c r="U166" s="5"/>
      <c r="W166" s="5"/>
      <c r="X166" s="5"/>
      <c r="Y166" s="12"/>
      <c r="AA166" s="13"/>
      <c r="AB166" s="12"/>
      <c r="AD166" s="13"/>
      <c r="AE166" s="5"/>
      <c r="AF166" s="5"/>
      <c r="AH166" s="13"/>
      <c r="AI166" s="5"/>
      <c r="AK166" s="5"/>
      <c r="AL166" s="5"/>
      <c r="AM166" s="5"/>
      <c r="AO166" s="5"/>
      <c r="AP166" s="5"/>
      <c r="AR166" s="5"/>
      <c r="AS166" s="5"/>
      <c r="AT166" s="5"/>
      <c r="AV166" s="5"/>
      <c r="AW166" s="5"/>
      <c r="AY166" s="5"/>
      <c r="AZ166" s="5"/>
      <c r="BA166" s="5"/>
      <c r="BC166" s="5"/>
      <c r="BD166" s="5"/>
      <c r="BF166" s="5"/>
      <c r="BG166" s="5"/>
      <c r="BH166" s="5"/>
      <c r="BJ166" s="5"/>
      <c r="BK166" s="5"/>
      <c r="BL166" s="12"/>
      <c r="BM166" s="5"/>
      <c r="BN166" s="5"/>
      <c r="BO166" s="5"/>
      <c r="BQ166" s="5"/>
      <c r="BR166" s="5"/>
      <c r="BT166" s="5"/>
      <c r="BU166" s="5"/>
      <c r="BV166" s="5"/>
      <c r="BX166" s="5"/>
      <c r="BY166" s="5"/>
      <c r="CA166" s="13"/>
      <c r="CB166" s="7"/>
      <c r="CC166" s="11"/>
      <c r="CE166" s="13"/>
      <c r="CF166" s="5"/>
      <c r="CG166" s="12"/>
      <c r="CI166" s="13"/>
      <c r="CJ166" s="5"/>
      <c r="CK166" s="12"/>
      <c r="CM166" s="13"/>
      <c r="CN166" s="5"/>
      <c r="CO166" s="12"/>
      <c r="CQ166" s="13"/>
      <c r="CR166" s="5"/>
      <c r="CS166" s="12"/>
      <c r="CU166" s="13"/>
      <c r="CV166" s="5"/>
      <c r="CW166" s="12"/>
      <c r="CY166" s="13"/>
      <c r="CZ166" s="5"/>
      <c r="DA166" s="12"/>
      <c r="DC166" s="13"/>
      <c r="DD166" s="5"/>
      <c r="DE166" s="12"/>
      <c r="DG166" s="13"/>
      <c r="DH166" s="5"/>
      <c r="DI166" s="12"/>
      <c r="DK166" s="13"/>
      <c r="DL166" s="5"/>
      <c r="DM166" s="12"/>
      <c r="DO166" s="13"/>
      <c r="DP166" s="5"/>
      <c r="DQ166" s="12"/>
      <c r="DS166" s="17"/>
      <c r="DV166" s="17"/>
      <c r="DW166" s="660">
        <f t="shared" si="0"/>
        <v>0</v>
      </c>
    </row>
    <row r="167" spans="1:127" s="6" customFormat="1" ht="15" customHeight="1">
      <c r="A167" s="3"/>
      <c r="B167" s="210" t="s">
        <v>1556</v>
      </c>
      <c r="C167" s="473" t="s">
        <v>386</v>
      </c>
      <c r="D167" s="4"/>
      <c r="E167" s="5"/>
      <c r="F167" s="5"/>
      <c r="G167" s="4"/>
      <c r="H167" s="4"/>
      <c r="I167" s="4"/>
      <c r="J167" s="4"/>
      <c r="K167" s="5"/>
      <c r="L167" s="5"/>
      <c r="M167" s="5"/>
      <c r="O167" s="5"/>
      <c r="P167" s="5"/>
      <c r="Q167" s="5"/>
      <c r="S167" s="5"/>
      <c r="T167" s="5"/>
      <c r="U167" s="5"/>
      <c r="W167" s="5"/>
      <c r="X167" s="5"/>
      <c r="Y167" s="12"/>
      <c r="AA167" s="13"/>
      <c r="AB167" s="12"/>
      <c r="AD167" s="13"/>
      <c r="AE167" s="5"/>
      <c r="AF167" s="5"/>
      <c r="AH167" s="13"/>
      <c r="AI167" s="5"/>
      <c r="AK167" s="5"/>
      <c r="AL167" s="5"/>
      <c r="AM167" s="5"/>
      <c r="AO167" s="5"/>
      <c r="AP167" s="5"/>
      <c r="AR167" s="5"/>
      <c r="AS167" s="5"/>
      <c r="AT167" s="5"/>
      <c r="AV167" s="5"/>
      <c r="AW167" s="5"/>
      <c r="AY167" s="5"/>
      <c r="AZ167" s="5"/>
      <c r="BA167" s="5"/>
      <c r="BC167" s="5"/>
      <c r="BD167" s="5"/>
      <c r="BF167" s="5"/>
      <c r="BG167" s="5"/>
      <c r="BH167" s="5"/>
      <c r="BJ167" s="5"/>
      <c r="BK167" s="5"/>
      <c r="BL167" s="12"/>
      <c r="BM167" s="5"/>
      <c r="BN167" s="5"/>
      <c r="BO167" s="5"/>
      <c r="BQ167" s="5"/>
      <c r="BR167" s="5"/>
      <c r="BT167" s="5"/>
      <c r="BU167" s="5"/>
      <c r="BV167" s="5"/>
      <c r="BX167" s="5"/>
      <c r="BY167" s="5"/>
      <c r="CA167" s="13"/>
      <c r="CB167" s="7"/>
      <c r="CC167" s="11"/>
      <c r="CE167" s="13"/>
      <c r="CF167" s="5"/>
      <c r="CG167" s="12"/>
      <c r="CI167" s="13"/>
      <c r="CJ167" s="5"/>
      <c r="CK167" s="12"/>
      <c r="CM167" s="13"/>
      <c r="CN167" s="5"/>
      <c r="CO167" s="12"/>
      <c r="CQ167" s="13"/>
      <c r="CR167" s="5"/>
      <c r="CS167" s="12"/>
      <c r="CU167" s="13">
        <v>50</v>
      </c>
      <c r="CV167" s="5">
        <f>SUM(CV5:CV26,CW5:CW26)*CU167</f>
        <v>0</v>
      </c>
      <c r="CW167" s="12"/>
      <c r="CY167" s="13"/>
      <c r="CZ167" s="5"/>
      <c r="DA167" s="12"/>
      <c r="DC167" s="13"/>
      <c r="DD167" s="5"/>
      <c r="DE167" s="12"/>
      <c r="DG167" s="13"/>
      <c r="DH167" s="5"/>
      <c r="DI167" s="12"/>
      <c r="DK167" s="13"/>
      <c r="DL167" s="5"/>
      <c r="DM167" s="12"/>
      <c r="DO167" s="13">
        <v>50</v>
      </c>
      <c r="DP167" s="5">
        <f>SUM(DP5:DP26,DQ5:DQ26)*DO167</f>
        <v>0</v>
      </c>
      <c r="DQ167" s="12"/>
      <c r="DS167" s="17"/>
      <c r="DV167" s="17"/>
      <c r="DW167" s="660">
        <f t="shared" si="0"/>
        <v>0</v>
      </c>
    </row>
    <row r="168" spans="1:127" s="6" customFormat="1" ht="15" customHeight="1">
      <c r="A168" s="3">
        <v>19</v>
      </c>
      <c r="B168" s="210" t="s">
        <v>64</v>
      </c>
      <c r="C168" s="473" t="s">
        <v>386</v>
      </c>
      <c r="D168" s="4"/>
      <c r="E168" s="5"/>
      <c r="F168" s="5"/>
      <c r="G168" s="4"/>
      <c r="H168" s="4"/>
      <c r="I168" s="4"/>
      <c r="J168" s="4"/>
      <c r="K168" s="5"/>
      <c r="L168" s="5"/>
      <c r="M168" s="5">
        <f>C12*1.8</f>
        <v>0</v>
      </c>
      <c r="O168" s="5"/>
      <c r="P168" s="5"/>
      <c r="Q168" s="5"/>
      <c r="S168" s="5"/>
      <c r="T168" s="5"/>
      <c r="U168" s="5"/>
      <c r="W168" s="5"/>
      <c r="X168" s="5"/>
      <c r="Y168" s="12"/>
      <c r="AA168" s="13"/>
      <c r="AB168" s="12"/>
      <c r="AD168" s="13"/>
      <c r="AE168" s="5"/>
      <c r="AF168" s="5"/>
      <c r="AH168" s="13"/>
      <c r="AI168" s="5"/>
      <c r="AK168" s="5"/>
      <c r="AL168" s="5"/>
      <c r="AM168" s="5"/>
      <c r="AO168" s="5"/>
      <c r="AP168" s="5"/>
      <c r="AR168" s="5"/>
      <c r="AS168" s="5"/>
      <c r="AT168" s="5"/>
      <c r="AV168" s="5"/>
      <c r="AW168" s="5"/>
      <c r="AY168" s="5"/>
      <c r="AZ168" s="5"/>
      <c r="BA168" s="5"/>
      <c r="BC168" s="5"/>
      <c r="BD168" s="5"/>
      <c r="BF168" s="5"/>
      <c r="BG168" s="5"/>
      <c r="BH168" s="5"/>
      <c r="BJ168" s="5"/>
      <c r="BK168" s="5"/>
      <c r="BL168" s="12"/>
      <c r="BM168" s="5"/>
      <c r="BN168" s="5"/>
      <c r="BO168" s="5"/>
      <c r="BQ168" s="5"/>
      <c r="BR168" s="5"/>
      <c r="BT168" s="5"/>
      <c r="BU168" s="5"/>
      <c r="BV168" s="5"/>
      <c r="BX168" s="5"/>
      <c r="BY168" s="5"/>
      <c r="CA168" s="13"/>
      <c r="CB168" s="7"/>
      <c r="CC168" s="11"/>
      <c r="CE168" s="13"/>
      <c r="CF168" s="5"/>
      <c r="CG168" s="12"/>
      <c r="CI168" s="13"/>
      <c r="CJ168" s="5"/>
      <c r="CK168" s="12"/>
      <c r="CM168" s="13"/>
      <c r="CN168" s="5"/>
      <c r="CO168" s="12"/>
      <c r="CQ168" s="13"/>
      <c r="CR168" s="5"/>
      <c r="CS168" s="12"/>
      <c r="CU168" s="13"/>
      <c r="CV168" s="5"/>
      <c r="CW168" s="12"/>
      <c r="CY168" s="13"/>
      <c r="CZ168" s="5"/>
      <c r="DA168" s="12"/>
      <c r="DC168" s="13"/>
      <c r="DD168" s="5"/>
      <c r="DE168" s="12"/>
      <c r="DG168" s="13"/>
      <c r="DH168" s="5"/>
      <c r="DI168" s="12"/>
      <c r="DK168" s="13"/>
      <c r="DL168" s="5"/>
      <c r="DM168" s="12"/>
      <c r="DO168" s="13"/>
      <c r="DP168" s="5"/>
      <c r="DQ168" s="12"/>
      <c r="DS168" s="17"/>
      <c r="DV168" s="17"/>
      <c r="DW168" s="660">
        <f>IF(DX168=34,0,I168+L168+P168+T168+X168+AB168+AE168+AI168+F168+AL168+CR168+AP168+AS168+AW168+BD168+BG168+BK168+BN168+BR168+AZ168+M168+DL168+BU168+BY168+CB168+CF168+CJ168+CN168+CV168+CZ168+DD168+DH168+DP168+DT168+DU168)</f>
        <v>0</v>
      </c>
    </row>
    <row r="169" spans="1:127" s="6" customFormat="1" ht="15" customHeight="1">
      <c r="A169" s="3"/>
      <c r="B169" s="210" t="s">
        <v>453</v>
      </c>
      <c r="C169" s="473" t="s">
        <v>386</v>
      </c>
      <c r="D169" s="4"/>
      <c r="E169" s="5"/>
      <c r="F169" s="5"/>
      <c r="G169" s="4"/>
      <c r="H169" s="4" t="s">
        <v>1253</v>
      </c>
      <c r="I169" s="658">
        <f>SUM(I5:I8,I16:I19)*10+SUM(I9:I12,I20:I23)*11+SUM(I13:I15,I24:I26)*12</f>
        <v>0</v>
      </c>
      <c r="J169" s="4"/>
      <c r="K169" s="5"/>
      <c r="L169" s="5"/>
      <c r="M169" s="5"/>
      <c r="O169" s="5"/>
      <c r="P169" s="5"/>
      <c r="Q169" s="5"/>
      <c r="S169" s="5"/>
      <c r="T169" s="5"/>
      <c r="U169" s="5"/>
      <c r="W169" s="5"/>
      <c r="X169" s="5"/>
      <c r="Y169" s="12"/>
      <c r="AA169" s="13"/>
      <c r="AB169" s="12"/>
      <c r="AD169" s="13"/>
      <c r="AE169" s="5"/>
      <c r="AF169" s="5"/>
      <c r="AH169" s="13"/>
      <c r="AI169" s="5"/>
      <c r="AK169" s="5"/>
      <c r="AL169" s="5"/>
      <c r="AM169" s="5"/>
      <c r="AO169" s="5"/>
      <c r="AP169" s="5"/>
      <c r="AR169" s="5"/>
      <c r="AS169" s="5"/>
      <c r="AT169" s="5"/>
      <c r="AV169" s="5"/>
      <c r="AW169" s="5"/>
      <c r="AY169" s="5"/>
      <c r="AZ169" s="5"/>
      <c r="BA169" s="5"/>
      <c r="BC169" s="5"/>
      <c r="BD169" s="5"/>
      <c r="BF169" s="5"/>
      <c r="BG169" s="5"/>
      <c r="BH169" s="5"/>
      <c r="BJ169" s="5"/>
      <c r="BK169" s="5"/>
      <c r="BL169" s="12"/>
      <c r="BM169" s="5"/>
      <c r="BN169" s="5"/>
      <c r="BO169" s="5"/>
      <c r="BQ169" s="5"/>
      <c r="BR169" s="5"/>
      <c r="BT169" s="5"/>
      <c r="BU169" s="5"/>
      <c r="BV169" s="5"/>
      <c r="BX169" s="5"/>
      <c r="BY169" s="5"/>
      <c r="CA169" s="13"/>
      <c r="CB169" s="7"/>
      <c r="CC169" s="11"/>
      <c r="CE169" s="13"/>
      <c r="CF169" s="5"/>
      <c r="CG169" s="12"/>
      <c r="CI169" s="13"/>
      <c r="CJ169" s="5"/>
      <c r="CK169" s="12"/>
      <c r="CM169" s="13"/>
      <c r="CN169" s="5"/>
      <c r="CO169" s="12"/>
      <c r="CQ169" s="13"/>
      <c r="CR169" s="5"/>
      <c r="CS169" s="12"/>
      <c r="CU169" s="13"/>
      <c r="CV169" s="5"/>
      <c r="CW169" s="12"/>
      <c r="CY169" s="13"/>
      <c r="CZ169" s="5"/>
      <c r="DA169" s="12"/>
      <c r="DC169" s="13"/>
      <c r="DD169" s="5"/>
      <c r="DE169" s="12"/>
      <c r="DG169" s="13"/>
      <c r="DH169" s="5"/>
      <c r="DI169" s="12"/>
      <c r="DK169" s="13"/>
      <c r="DL169" s="5"/>
      <c r="DM169" s="12"/>
      <c r="DO169" s="13"/>
      <c r="DP169" s="5"/>
      <c r="DQ169" s="12"/>
      <c r="DS169" s="17"/>
      <c r="DV169" s="17"/>
      <c r="DW169" s="660">
        <f t="shared" si="0"/>
        <v>0</v>
      </c>
    </row>
    <row r="170" spans="1:127" s="6" customFormat="1" ht="15" customHeight="1">
      <c r="A170" s="3">
        <v>20</v>
      </c>
      <c r="B170" s="210" t="s">
        <v>3</v>
      </c>
      <c r="C170" s="473" t="s">
        <v>516</v>
      </c>
      <c r="D170" s="4"/>
      <c r="E170" s="5"/>
      <c r="F170" s="5"/>
      <c r="G170" s="4"/>
      <c r="H170" s="4"/>
      <c r="I170" s="4"/>
      <c r="J170" s="4"/>
      <c r="K170" s="40">
        <f>C8*0.136</f>
        <v>0</v>
      </c>
      <c r="L170" s="5"/>
      <c r="M170" s="41">
        <f>K170+K170*3%</f>
        <v>0</v>
      </c>
      <c r="O170" s="5"/>
      <c r="P170" s="5"/>
      <c r="Q170" s="5"/>
      <c r="S170" s="5"/>
      <c r="T170" s="5"/>
      <c r="U170" s="5"/>
      <c r="W170" s="5"/>
      <c r="X170" s="5"/>
      <c r="Y170" s="12"/>
      <c r="AA170" s="13"/>
      <c r="AB170" s="12"/>
      <c r="AD170" s="13"/>
      <c r="AE170" s="5"/>
      <c r="AF170" s="5"/>
      <c r="AH170" s="13"/>
      <c r="AI170" s="5"/>
      <c r="AK170" s="5"/>
      <c r="AL170" s="5"/>
      <c r="AM170" s="5"/>
      <c r="AO170" s="5"/>
      <c r="AP170" s="5"/>
      <c r="AR170" s="5"/>
      <c r="AS170" s="5"/>
      <c r="AT170" s="5"/>
      <c r="AV170" s="5"/>
      <c r="AW170" s="5"/>
      <c r="AY170" s="5"/>
      <c r="AZ170" s="5"/>
      <c r="BA170" s="5"/>
      <c r="BC170" s="5"/>
      <c r="BD170" s="5"/>
      <c r="BF170" s="5"/>
      <c r="BG170" s="5"/>
      <c r="BH170" s="5"/>
      <c r="BJ170" s="5"/>
      <c r="BK170" s="5"/>
      <c r="BL170" s="12"/>
      <c r="BM170" s="5"/>
      <c r="BN170" s="5"/>
      <c r="BO170" s="5"/>
      <c r="BQ170" s="5"/>
      <c r="BR170" s="5"/>
      <c r="BT170" s="5"/>
      <c r="BU170" s="5"/>
      <c r="BV170" s="5"/>
      <c r="BX170" s="5"/>
      <c r="BY170" s="5"/>
      <c r="CA170" s="13"/>
      <c r="CB170" s="7"/>
      <c r="CC170" s="11"/>
      <c r="CE170" s="13"/>
      <c r="CF170" s="5"/>
      <c r="CG170" s="12"/>
      <c r="CI170" s="13"/>
      <c r="CJ170" s="5"/>
      <c r="CK170" s="12"/>
      <c r="CM170" s="13"/>
      <c r="CN170" s="5"/>
      <c r="CO170" s="12"/>
      <c r="CQ170" s="13"/>
      <c r="CR170" s="5"/>
      <c r="CS170" s="12"/>
      <c r="CU170" s="13"/>
      <c r="CV170" s="5"/>
      <c r="CW170" s="12"/>
      <c r="CY170" s="13"/>
      <c r="CZ170" s="5"/>
      <c r="DA170" s="12"/>
      <c r="DC170" s="13"/>
      <c r="DD170" s="5"/>
      <c r="DE170" s="12"/>
      <c r="DG170" s="13"/>
      <c r="DH170" s="5"/>
      <c r="DI170" s="12"/>
      <c r="DK170" s="13"/>
      <c r="DL170" s="5"/>
      <c r="DM170" s="12"/>
      <c r="DO170" s="13"/>
      <c r="DP170" s="5"/>
      <c r="DQ170" s="12"/>
      <c r="DS170" s="17"/>
      <c r="DV170" s="17"/>
      <c r="DW170" s="660">
        <f t="shared" si="0"/>
        <v>0</v>
      </c>
    </row>
    <row r="171" spans="1:127" s="6" customFormat="1" ht="15" customHeight="1">
      <c r="A171" s="3">
        <v>21</v>
      </c>
      <c r="B171" s="210" t="s">
        <v>187</v>
      </c>
      <c r="C171" s="473" t="s">
        <v>516</v>
      </c>
      <c r="D171" s="4"/>
      <c r="E171" s="5"/>
      <c r="F171" s="5"/>
      <c r="G171" s="4"/>
      <c r="H171" s="4"/>
      <c r="I171" s="4"/>
      <c r="J171" s="4"/>
      <c r="K171" s="40">
        <f>C9*0.216</f>
        <v>0</v>
      </c>
      <c r="L171" s="5"/>
      <c r="M171" s="41">
        <f>K171+K171*3%</f>
        <v>0</v>
      </c>
      <c r="O171" s="5"/>
      <c r="P171" s="5"/>
      <c r="Q171" s="5"/>
      <c r="S171" s="5"/>
      <c r="T171" s="5"/>
      <c r="U171" s="5"/>
      <c r="W171" s="5"/>
      <c r="X171" s="5"/>
      <c r="Y171" s="12"/>
      <c r="AA171" s="13"/>
      <c r="AB171" s="12"/>
      <c r="AD171" s="13"/>
      <c r="AE171" s="5"/>
      <c r="AF171" s="5"/>
      <c r="AH171" s="13"/>
      <c r="AI171" s="5"/>
      <c r="AK171" s="5"/>
      <c r="AL171" s="5"/>
      <c r="AM171" s="5"/>
      <c r="AO171" s="5"/>
      <c r="AP171" s="5"/>
      <c r="AR171" s="5"/>
      <c r="AS171" s="5"/>
      <c r="AT171" s="5"/>
      <c r="AV171" s="5"/>
      <c r="AW171" s="5"/>
      <c r="AY171" s="5"/>
      <c r="AZ171" s="5"/>
      <c r="BA171" s="5"/>
      <c r="BC171" s="5"/>
      <c r="BD171" s="5"/>
      <c r="BF171" s="5"/>
      <c r="BG171" s="5"/>
      <c r="BH171" s="5"/>
      <c r="BJ171" s="5"/>
      <c r="BK171" s="5"/>
      <c r="BL171" s="12"/>
      <c r="BM171" s="5"/>
      <c r="BN171" s="5"/>
      <c r="BO171" s="5"/>
      <c r="BQ171" s="5"/>
      <c r="BR171" s="5"/>
      <c r="BT171" s="5"/>
      <c r="BU171" s="5"/>
      <c r="BV171" s="5"/>
      <c r="BX171" s="5"/>
      <c r="BY171" s="5"/>
      <c r="CA171" s="13"/>
      <c r="CB171" s="7"/>
      <c r="CC171" s="11"/>
      <c r="CE171" s="13"/>
      <c r="CF171" s="5"/>
      <c r="CG171" s="12"/>
      <c r="CI171" s="13"/>
      <c r="CJ171" s="5"/>
      <c r="CK171" s="12"/>
      <c r="CM171" s="13"/>
      <c r="CN171" s="5"/>
      <c r="CO171" s="12"/>
      <c r="CQ171" s="13"/>
      <c r="CR171" s="5"/>
      <c r="CS171" s="12"/>
      <c r="CU171" s="13"/>
      <c r="CV171" s="5"/>
      <c r="CW171" s="12"/>
      <c r="CY171" s="13"/>
      <c r="CZ171" s="5"/>
      <c r="DA171" s="12"/>
      <c r="DC171" s="13"/>
      <c r="DD171" s="5"/>
      <c r="DE171" s="12"/>
      <c r="DG171" s="13"/>
      <c r="DH171" s="5"/>
      <c r="DI171" s="12"/>
      <c r="DK171" s="13"/>
      <c r="DL171" s="5"/>
      <c r="DM171" s="12"/>
      <c r="DO171" s="13"/>
      <c r="DP171" s="5"/>
      <c r="DQ171" s="12"/>
      <c r="DS171" s="17"/>
      <c r="DV171" s="17"/>
      <c r="DW171" s="660">
        <f t="shared" si="0"/>
        <v>0</v>
      </c>
    </row>
    <row r="172" spans="1:127" s="6" customFormat="1" ht="15" customHeight="1">
      <c r="A172" s="3">
        <v>22</v>
      </c>
      <c r="B172" s="210" t="s">
        <v>192</v>
      </c>
      <c r="C172" s="473" t="s">
        <v>516</v>
      </c>
      <c r="D172" s="4"/>
      <c r="E172" s="5"/>
      <c r="F172" s="5"/>
      <c r="G172" s="4"/>
      <c r="H172" s="4"/>
      <c r="I172" s="4"/>
      <c r="J172" s="4"/>
      <c r="K172" s="40">
        <f>C10*0.433</f>
        <v>0</v>
      </c>
      <c r="L172" s="5"/>
      <c r="M172" s="41">
        <f>K172+K172*3%</f>
        <v>0</v>
      </c>
      <c r="O172" s="5"/>
      <c r="P172" s="5"/>
      <c r="Q172" s="5"/>
      <c r="S172" s="5"/>
      <c r="T172" s="5"/>
      <c r="U172" s="5"/>
      <c r="W172" s="5"/>
      <c r="X172" s="5"/>
      <c r="Y172" s="12"/>
      <c r="AA172" s="13"/>
      <c r="AB172" s="12"/>
      <c r="AD172" s="13"/>
      <c r="AE172" s="5"/>
      <c r="AF172" s="5"/>
      <c r="AH172" s="13"/>
      <c r="AI172" s="5"/>
      <c r="AK172" s="5"/>
      <c r="AL172" s="5"/>
      <c r="AM172" s="5"/>
      <c r="AO172" s="5"/>
      <c r="AP172" s="5"/>
      <c r="AR172" s="5"/>
      <c r="AS172" s="5"/>
      <c r="AT172" s="5"/>
      <c r="AV172" s="5"/>
      <c r="AW172" s="5"/>
      <c r="AY172" s="5"/>
      <c r="AZ172" s="5"/>
      <c r="BA172" s="5"/>
      <c r="BC172" s="5"/>
      <c r="BD172" s="5"/>
      <c r="BF172" s="5"/>
      <c r="BG172" s="5"/>
      <c r="BH172" s="5"/>
      <c r="BJ172" s="5"/>
      <c r="BK172" s="5"/>
      <c r="BL172" s="12"/>
      <c r="BM172" s="5"/>
      <c r="BN172" s="5"/>
      <c r="BO172" s="5"/>
      <c r="BQ172" s="5"/>
      <c r="BR172" s="5"/>
      <c r="BT172" s="5"/>
      <c r="BU172" s="5"/>
      <c r="BV172" s="5"/>
      <c r="BX172" s="5"/>
      <c r="BY172" s="5"/>
      <c r="CA172" s="13"/>
      <c r="CB172" s="7"/>
      <c r="CC172" s="11"/>
      <c r="CE172" s="13"/>
      <c r="CF172" s="5"/>
      <c r="CG172" s="12"/>
      <c r="CI172" s="13"/>
      <c r="CJ172" s="5"/>
      <c r="CK172" s="12"/>
      <c r="CM172" s="13"/>
      <c r="CN172" s="5"/>
      <c r="CO172" s="12"/>
      <c r="CQ172" s="13"/>
      <c r="CR172" s="5"/>
      <c r="CS172" s="12"/>
      <c r="CU172" s="13"/>
      <c r="CV172" s="5"/>
      <c r="CW172" s="12"/>
      <c r="CY172" s="13"/>
      <c r="CZ172" s="5"/>
      <c r="DA172" s="12"/>
      <c r="DC172" s="13"/>
      <c r="DD172" s="5"/>
      <c r="DE172" s="12"/>
      <c r="DG172" s="13"/>
      <c r="DH172" s="5"/>
      <c r="DI172" s="12"/>
      <c r="DK172" s="13"/>
      <c r="DL172" s="5"/>
      <c r="DM172" s="12"/>
      <c r="DO172" s="13"/>
      <c r="DP172" s="5"/>
      <c r="DQ172" s="12"/>
      <c r="DS172" s="17"/>
      <c r="DV172" s="17"/>
      <c r="DW172" s="660">
        <f t="shared" si="0"/>
        <v>0</v>
      </c>
    </row>
    <row r="173" spans="1:127" s="6" customFormat="1" ht="15" customHeight="1">
      <c r="A173" s="3">
        <v>23</v>
      </c>
      <c r="B173" s="210" t="s">
        <v>314</v>
      </c>
      <c r="C173" s="473" t="s">
        <v>516</v>
      </c>
      <c r="D173" s="4"/>
      <c r="E173" s="5"/>
      <c r="F173" s="5"/>
      <c r="G173" s="4"/>
      <c r="H173" s="4"/>
      <c r="I173" s="4"/>
      <c r="J173" s="4"/>
      <c r="K173" s="40">
        <f>C11*0.688</f>
        <v>0</v>
      </c>
      <c r="L173" s="5"/>
      <c r="M173" s="41">
        <f>K173+K173*3%</f>
        <v>0</v>
      </c>
      <c r="O173" s="5"/>
      <c r="P173" s="5"/>
      <c r="Q173" s="5"/>
      <c r="S173" s="5"/>
      <c r="T173" s="5"/>
      <c r="U173" s="5"/>
      <c r="W173" s="5"/>
      <c r="X173" s="5"/>
      <c r="Y173" s="12"/>
      <c r="AA173" s="13"/>
      <c r="AB173" s="12"/>
      <c r="AD173" s="13"/>
      <c r="AE173" s="5"/>
      <c r="AF173" s="5"/>
      <c r="AH173" s="13"/>
      <c r="AI173" s="5"/>
      <c r="AK173" s="5"/>
      <c r="AL173" s="5"/>
      <c r="AM173" s="5"/>
      <c r="AO173" s="5"/>
      <c r="AP173" s="5"/>
      <c r="AR173" s="5"/>
      <c r="AS173" s="5"/>
      <c r="AT173" s="5"/>
      <c r="AV173" s="5"/>
      <c r="AW173" s="5"/>
      <c r="AY173" s="5"/>
      <c r="AZ173" s="5"/>
      <c r="BA173" s="5"/>
      <c r="BC173" s="5"/>
      <c r="BD173" s="5"/>
      <c r="BF173" s="5"/>
      <c r="BG173" s="5"/>
      <c r="BH173" s="5"/>
      <c r="BJ173" s="5"/>
      <c r="BK173" s="5"/>
      <c r="BL173" s="12"/>
      <c r="BM173" s="5"/>
      <c r="BN173" s="5"/>
      <c r="BO173" s="5"/>
      <c r="BQ173" s="5"/>
      <c r="BR173" s="5"/>
      <c r="BT173" s="5"/>
      <c r="BU173" s="5"/>
      <c r="BV173" s="5"/>
      <c r="BX173" s="5"/>
      <c r="BY173" s="5"/>
      <c r="CA173" s="13"/>
      <c r="CB173" s="7"/>
      <c r="CC173" s="11"/>
      <c r="CE173" s="13"/>
      <c r="CF173" s="5"/>
      <c r="CG173" s="12"/>
      <c r="CI173" s="13"/>
      <c r="CJ173" s="5"/>
      <c r="CK173" s="12"/>
      <c r="CM173" s="13"/>
      <c r="CN173" s="5"/>
      <c r="CO173" s="12"/>
      <c r="CQ173" s="13"/>
      <c r="CR173" s="5"/>
      <c r="CS173" s="12"/>
      <c r="CU173" s="13"/>
      <c r="CV173" s="5"/>
      <c r="CW173" s="12"/>
      <c r="CY173" s="13"/>
      <c r="CZ173" s="5"/>
      <c r="DA173" s="12"/>
      <c r="DC173" s="13"/>
      <c r="DD173" s="5"/>
      <c r="DE173" s="12"/>
      <c r="DG173" s="13"/>
      <c r="DH173" s="5"/>
      <c r="DI173" s="12"/>
      <c r="DK173" s="13"/>
      <c r="DL173" s="5"/>
      <c r="DM173" s="12"/>
      <c r="DO173" s="13"/>
      <c r="DP173" s="5"/>
      <c r="DQ173" s="12"/>
      <c r="DS173" s="17"/>
      <c r="DV173" s="17"/>
      <c r="DW173" s="660">
        <f t="shared" si="0"/>
        <v>0</v>
      </c>
    </row>
    <row r="174" spans="1:127" s="6" customFormat="1" ht="15" customHeight="1">
      <c r="A174" s="3">
        <v>24</v>
      </c>
      <c r="B174" s="210" t="s">
        <v>62</v>
      </c>
      <c r="C174" s="473" t="s">
        <v>386</v>
      </c>
      <c r="D174" s="4"/>
      <c r="E174" s="5">
        <v>3</v>
      </c>
      <c r="F174" s="5">
        <f>SUM(F5:F26)*E174</f>
        <v>0</v>
      </c>
      <c r="G174" s="4"/>
      <c r="H174" s="4"/>
      <c r="I174" s="4"/>
      <c r="J174" s="4"/>
      <c r="K174" s="5"/>
      <c r="L174" s="5"/>
      <c r="M174" s="5"/>
      <c r="O174" s="5"/>
      <c r="P174" s="5"/>
      <c r="Q174" s="5"/>
      <c r="S174" s="5"/>
      <c r="T174" s="5"/>
      <c r="U174" s="5"/>
      <c r="W174" s="5"/>
      <c r="X174" s="5"/>
      <c r="Y174" s="12"/>
      <c r="AA174" s="13"/>
      <c r="AB174" s="12"/>
      <c r="AD174" s="13"/>
      <c r="AE174" s="5"/>
      <c r="AF174" s="5"/>
      <c r="AH174" s="13"/>
      <c r="AI174" s="5"/>
      <c r="AK174" s="13">
        <v>2</v>
      </c>
      <c r="AL174" s="5">
        <f>SUM(AL5:AM26)*AK174</f>
        <v>0</v>
      </c>
      <c r="AM174" s="5"/>
      <c r="AO174" s="13">
        <v>2</v>
      </c>
      <c r="AP174" s="5">
        <f>SUM(AP5:AQ26)*AO174</f>
        <v>0</v>
      </c>
      <c r="AR174" s="5"/>
      <c r="AS174" s="5"/>
      <c r="AT174" s="5"/>
      <c r="AV174" s="5"/>
      <c r="AW174" s="5"/>
      <c r="AY174" s="13">
        <v>2</v>
      </c>
      <c r="AZ174" s="5">
        <f>SUM(AZ5:BA26)*AY174</f>
        <v>0</v>
      </c>
      <c r="BA174" s="5"/>
      <c r="BC174" s="13">
        <v>2</v>
      </c>
      <c r="BD174" s="5">
        <f>SUM(BD5:BE26)*BC174</f>
        <v>0</v>
      </c>
      <c r="BF174" s="5"/>
      <c r="BG174" s="5"/>
      <c r="BH174" s="5"/>
      <c r="BJ174" s="5"/>
      <c r="BK174" s="5"/>
      <c r="BL174" s="12"/>
      <c r="BM174" s="13">
        <v>2</v>
      </c>
      <c r="BN174" s="5">
        <f>SUM(BN5:BO26)*BM174</f>
        <v>0</v>
      </c>
      <c r="BO174" s="5"/>
      <c r="BQ174" s="13">
        <v>2</v>
      </c>
      <c r="BR174" s="5">
        <f>SUM(BR5:BS26)*BQ174</f>
        <v>0</v>
      </c>
      <c r="BT174" s="5"/>
      <c r="BU174" s="5">
        <f>BU5*BT174+BV5*BT174+BU6*BT174+BV6*BT174+BU7*BT174+BV7*BT174+BU8*BT174+BV8*BT174+BU9*BT174+BV9*BT174+BU10*BT174+BV10*BT174+BU11*BT174+BV11*BT174+BU12*BT174+BV12*BT174+BU13*BT174+BV13*BT174+BU14*BT174+BV14*BT174+BU15*BT174+BV15*BT174+BU16*BT174+BV16*BT174+BU17*BT174+BV17*BT174+BU18*BT174+BV18*BT174+BU19*BT174+BV19*BT174+BU20*BT174+BV20*BT174+BU21*BT174+BV21*BT174+BU22*BT174+BV22*BT174+BU23*BT174+BV23*BT174+BU24*BT174+BV24*BT174+BU25*BT174+BV25*BT174+BU26*BT174+BV26*BT174</f>
        <v>0</v>
      </c>
      <c r="BV174" s="5"/>
      <c r="BX174" s="5"/>
      <c r="BY174" s="5">
        <f>BY5*BX174+BZ5*BX174+BY6*BX174+BZ6*BX174+BY7*BX174+BZ7*BX174+BY8*BX174+BZ8*BX174+BY9*BX174+BZ9*BX174+BY10*BX174+BZ10*BX174+BY11*BX174+BZ11*BX174+BY12*BX174+BZ12*BX174+BY13*BX174+BZ13*BX174+BY14*BX174+BZ14*BX174+BY15*BX174+BZ15*BX174+BY16*BX174+BZ16*BX174+BY17*BX174+BZ17*BX174+BY18*BX174+BZ18*BX174+BY19*BX174+BZ19*BX174+BY20*BX174+BZ20*BX174+BY21*BX174+BZ21*BX174+BY22*BX174+BZ22*BX174+BY23*BX174+BZ23*BX174+BY24*BX174+BZ24*BX174+BY25*BX174+BZ25*BX174+BY26*BX174+BZ26*BX174</f>
        <v>0</v>
      </c>
      <c r="CA174" s="13">
        <v>2</v>
      </c>
      <c r="CB174" s="5">
        <f>SUM(CB5:CC26)*CA174</f>
        <v>0</v>
      </c>
      <c r="CC174" s="11"/>
      <c r="CE174" s="13">
        <v>3.5</v>
      </c>
      <c r="CF174" s="5">
        <f>SUM(CF5:CG26)*CE174</f>
        <v>0</v>
      </c>
      <c r="CG174" s="12"/>
      <c r="CI174" s="13">
        <v>3.5</v>
      </c>
      <c r="CJ174" s="5">
        <f>SUM(CJ5:CK26)*CI174</f>
        <v>0</v>
      </c>
      <c r="CK174" s="12"/>
      <c r="CM174" s="13">
        <v>3.5</v>
      </c>
      <c r="CN174" s="5">
        <f>SUM(CN5:CO26)*CM174</f>
        <v>0</v>
      </c>
      <c r="CO174" s="12"/>
      <c r="CQ174" s="13">
        <v>3.5</v>
      </c>
      <c r="CR174" s="5">
        <f>SUM(CR5:CS26)*CQ174</f>
        <v>0</v>
      </c>
      <c r="CS174" s="12"/>
      <c r="CU174" s="13">
        <v>3.5</v>
      </c>
      <c r="CV174" s="5">
        <f>SUM(CV5:CW26)*CU174</f>
        <v>0</v>
      </c>
      <c r="CW174" s="12"/>
      <c r="CY174" s="13">
        <v>3.5</v>
      </c>
      <c r="CZ174" s="5">
        <f>SUM(CZ5:DA26)*CY174</f>
        <v>0</v>
      </c>
      <c r="DA174" s="12"/>
      <c r="DC174" s="13">
        <v>3.5</v>
      </c>
      <c r="DD174" s="5">
        <f>SUM(DD5:DE26)*DC174</f>
        <v>0</v>
      </c>
      <c r="DE174" s="12"/>
      <c r="DG174" s="13">
        <v>3.5</v>
      </c>
      <c r="DH174" s="5">
        <f>SUM(DH5:DI26)*DG174</f>
        <v>0</v>
      </c>
      <c r="DI174" s="12"/>
      <c r="DK174" s="13">
        <v>3.5</v>
      </c>
      <c r="DL174" s="5">
        <f>SUM(DL5:DM26)*DK174</f>
        <v>0</v>
      </c>
      <c r="DM174" s="12"/>
      <c r="DO174" s="13">
        <v>3.5</v>
      </c>
      <c r="DP174" s="5">
        <f>SUM(DP5:DQ26)*DO174</f>
        <v>0</v>
      </c>
      <c r="DQ174" s="12"/>
      <c r="DS174" s="17"/>
      <c r="DV174" s="17"/>
      <c r="DW174" s="660">
        <f t="shared" si="0"/>
        <v>0</v>
      </c>
    </row>
    <row r="175" spans="1:127" s="6" customFormat="1" ht="15" customHeight="1">
      <c r="A175" s="3"/>
      <c r="B175" s="210" t="s">
        <v>1508</v>
      </c>
      <c r="C175" s="473" t="s">
        <v>386</v>
      </c>
      <c r="D175" s="4"/>
      <c r="E175" s="5"/>
      <c r="F175" s="5"/>
      <c r="G175" s="4"/>
      <c r="H175" s="4"/>
      <c r="I175" s="4"/>
      <c r="J175" s="4"/>
      <c r="K175" s="5"/>
      <c r="L175" s="5"/>
      <c r="M175" s="5"/>
      <c r="O175" s="5"/>
      <c r="P175" s="5"/>
      <c r="Q175" s="5"/>
      <c r="S175" s="5"/>
      <c r="T175" s="5"/>
      <c r="U175" s="5"/>
      <c r="W175" s="5"/>
      <c r="X175" s="5"/>
      <c r="Y175" s="12"/>
      <c r="AA175" s="13"/>
      <c r="AB175" s="12"/>
      <c r="AD175" s="13"/>
      <c r="AE175" s="5"/>
      <c r="AF175" s="5"/>
      <c r="AH175" s="13"/>
      <c r="AI175" s="5"/>
      <c r="AK175" s="5"/>
      <c r="AL175" s="5"/>
      <c r="AM175" s="5"/>
      <c r="AO175" s="5"/>
      <c r="AP175" s="5"/>
      <c r="AR175" s="5"/>
      <c r="AS175" s="5"/>
      <c r="AT175" s="5"/>
      <c r="AV175" s="5"/>
      <c r="AW175" s="5"/>
      <c r="AY175" s="5"/>
      <c r="AZ175" s="5"/>
      <c r="BA175" s="5"/>
      <c r="BC175" s="5"/>
      <c r="BD175" s="5"/>
      <c r="BF175" s="5"/>
      <c r="BG175" s="5"/>
      <c r="BH175" s="5"/>
      <c r="BJ175" s="5"/>
      <c r="BK175" s="5"/>
      <c r="BL175" s="12"/>
      <c r="BM175" s="5"/>
      <c r="BN175" s="5"/>
      <c r="BO175" s="5"/>
      <c r="BQ175" s="5"/>
      <c r="BR175" s="5"/>
      <c r="BT175" s="5"/>
      <c r="BU175" s="5"/>
      <c r="BV175" s="5"/>
      <c r="BX175" s="5"/>
      <c r="BY175" s="5"/>
      <c r="CA175" s="13"/>
      <c r="CB175" s="7"/>
      <c r="CC175" s="11"/>
      <c r="CE175" s="13"/>
      <c r="CF175" s="5"/>
      <c r="CG175" s="12"/>
      <c r="CI175" s="13"/>
      <c r="CJ175" s="5"/>
      <c r="CK175" s="12"/>
      <c r="CM175" s="13"/>
      <c r="CN175" s="5"/>
      <c r="CO175" s="12"/>
      <c r="CQ175" s="13"/>
      <c r="CR175" s="5"/>
      <c r="CS175" s="12"/>
      <c r="CU175" s="13"/>
      <c r="CV175" s="5"/>
      <c r="CW175" s="12"/>
      <c r="CY175" s="13"/>
      <c r="CZ175" s="5"/>
      <c r="DA175" s="12"/>
      <c r="DC175" s="13"/>
      <c r="DD175" s="5"/>
      <c r="DE175" s="12"/>
      <c r="DG175" s="13"/>
      <c r="DH175" s="5"/>
      <c r="DI175" s="12"/>
      <c r="DK175" s="13"/>
      <c r="DL175" s="5"/>
      <c r="DM175" s="12"/>
      <c r="DO175" s="13"/>
      <c r="DP175" s="5"/>
      <c r="DQ175" s="12"/>
      <c r="DS175" s="17"/>
      <c r="DV175" s="17"/>
      <c r="DW175" s="660">
        <f t="shared" si="0"/>
        <v>0</v>
      </c>
    </row>
    <row r="176" spans="1:127" s="6" customFormat="1" ht="15" customHeight="1">
      <c r="A176" s="3">
        <v>25</v>
      </c>
      <c r="B176" s="210" t="s">
        <v>5</v>
      </c>
      <c r="C176" s="473" t="s">
        <v>386</v>
      </c>
      <c r="D176" s="4"/>
      <c r="E176" s="5"/>
      <c r="F176" s="5"/>
      <c r="G176" s="4"/>
      <c r="H176" s="4"/>
      <c r="I176" s="4"/>
      <c r="J176" s="4"/>
      <c r="K176" s="5"/>
      <c r="L176" s="5"/>
      <c r="M176" s="5"/>
      <c r="O176" s="5"/>
      <c r="P176" s="5"/>
      <c r="Q176" s="5"/>
      <c r="S176" s="5"/>
      <c r="T176" s="5"/>
      <c r="U176" s="5"/>
      <c r="W176" s="5"/>
      <c r="X176" s="5"/>
      <c r="Y176" s="12"/>
      <c r="AA176" s="13"/>
      <c r="AB176" s="12"/>
      <c r="AD176" s="13"/>
      <c r="AE176" s="5"/>
      <c r="AF176" s="5"/>
      <c r="AH176" s="13"/>
      <c r="AI176" s="5"/>
      <c r="AK176" s="5"/>
      <c r="AL176" s="5"/>
      <c r="AM176" s="5"/>
      <c r="AO176" s="5"/>
      <c r="AP176" s="5"/>
      <c r="AR176" s="5"/>
      <c r="AS176" s="5"/>
      <c r="AT176" s="5"/>
      <c r="AV176" s="5"/>
      <c r="AW176" s="5"/>
      <c r="AY176" s="5"/>
      <c r="AZ176" s="5"/>
      <c r="BA176" s="5"/>
      <c r="BC176" s="5"/>
      <c r="BD176" s="5"/>
      <c r="BF176" s="5"/>
      <c r="BG176" s="5"/>
      <c r="BH176" s="5"/>
      <c r="BJ176" s="5"/>
      <c r="BK176" s="5"/>
      <c r="BL176" s="12"/>
      <c r="BM176" s="5"/>
      <c r="BN176" s="5"/>
      <c r="BO176" s="5"/>
      <c r="BQ176" s="5"/>
      <c r="BR176" s="5"/>
      <c r="BT176" s="5"/>
      <c r="BU176" s="5"/>
      <c r="BV176" s="5"/>
      <c r="BX176" s="5"/>
      <c r="BY176" s="5"/>
      <c r="CA176" s="13"/>
      <c r="CB176" s="7"/>
      <c r="CC176" s="11"/>
      <c r="CE176" s="13">
        <v>1</v>
      </c>
      <c r="CF176" s="5">
        <f>SUM(CF5:CG26)*CE176</f>
        <v>0</v>
      </c>
      <c r="CG176" s="12"/>
      <c r="CI176" s="13">
        <v>1</v>
      </c>
      <c r="CJ176" s="5">
        <f>SUM(CJ5:CK26)*CI176</f>
        <v>0</v>
      </c>
      <c r="CK176" s="12"/>
      <c r="CM176" s="13">
        <v>1</v>
      </c>
      <c r="CN176" s="5">
        <f>SUM(CN5:CO26)*CM176</f>
        <v>0</v>
      </c>
      <c r="CO176" s="12"/>
      <c r="CQ176" s="13">
        <v>1</v>
      </c>
      <c r="CR176" s="5">
        <f>SUM(CR5:CS26)*CQ176</f>
        <v>0</v>
      </c>
      <c r="CS176" s="12"/>
      <c r="CU176" s="13">
        <v>1</v>
      </c>
      <c r="CV176" s="5">
        <f>SUM(CV5:CW26)*CU176</f>
        <v>0</v>
      </c>
      <c r="CW176" s="12"/>
      <c r="CY176" s="13">
        <v>1</v>
      </c>
      <c r="CZ176" s="5">
        <f>SUM(CZ5:DA26)*CY176</f>
        <v>0</v>
      </c>
      <c r="DA176" s="12"/>
      <c r="DC176" s="13">
        <v>1</v>
      </c>
      <c r="DD176" s="5">
        <f>SUM(DD5:DE26)*DC176</f>
        <v>0</v>
      </c>
      <c r="DE176" s="12"/>
      <c r="DG176" s="13">
        <v>1</v>
      </c>
      <c r="DH176" s="5">
        <f>SUM(DH5:DI26)*DG176</f>
        <v>0</v>
      </c>
      <c r="DI176" s="12"/>
      <c r="DK176" s="13">
        <v>1</v>
      </c>
      <c r="DL176" s="5">
        <f>SUM(DL5:DM26)*DK176</f>
        <v>0</v>
      </c>
      <c r="DM176" s="12"/>
      <c r="DO176" s="13">
        <v>1</v>
      </c>
      <c r="DP176" s="5">
        <f>SUM(DP5:DQ26)*DO176</f>
        <v>0</v>
      </c>
      <c r="DQ176" s="12"/>
      <c r="DS176" s="17"/>
      <c r="DV176" s="17"/>
      <c r="DW176" s="660">
        <f t="shared" si="0"/>
        <v>0</v>
      </c>
    </row>
    <row r="177" spans="1:128" s="6" customFormat="1" ht="15" customHeight="1">
      <c r="A177" s="3"/>
      <c r="B177" s="210" t="s">
        <v>1736</v>
      </c>
      <c r="C177" s="473" t="s">
        <v>168</v>
      </c>
      <c r="D177" s="4"/>
      <c r="E177" s="5"/>
      <c r="F177" s="5"/>
      <c r="G177" s="4"/>
      <c r="H177" s="4"/>
      <c r="I177" s="4"/>
      <c r="J177" s="4"/>
      <c r="K177" s="5"/>
      <c r="L177" s="5"/>
      <c r="M177" s="5"/>
      <c r="O177" s="5"/>
      <c r="P177" s="5"/>
      <c r="Q177" s="5"/>
      <c r="S177" s="5"/>
      <c r="T177" s="5"/>
      <c r="U177" s="5"/>
      <c r="W177" s="5"/>
      <c r="X177" s="5"/>
      <c r="Y177" s="12"/>
      <c r="AA177" s="13"/>
      <c r="AB177" s="12"/>
      <c r="AD177" s="13"/>
      <c r="AE177" s="5"/>
      <c r="AF177" s="5"/>
      <c r="AH177" s="13"/>
      <c r="AI177" s="5"/>
      <c r="AK177" s="5"/>
      <c r="AL177" s="5"/>
      <c r="AM177" s="5"/>
      <c r="AO177" s="5"/>
      <c r="AP177" s="5"/>
      <c r="AR177" s="5"/>
      <c r="AS177" s="5"/>
      <c r="AT177" s="5"/>
      <c r="AV177" s="5"/>
      <c r="AW177" s="5"/>
      <c r="AY177" s="5"/>
      <c r="AZ177" s="5"/>
      <c r="BA177" s="5"/>
      <c r="BC177" s="5"/>
      <c r="BD177" s="5"/>
      <c r="BF177" s="5"/>
      <c r="BG177" s="5"/>
      <c r="BH177" s="5"/>
      <c r="BJ177" s="5"/>
      <c r="BK177" s="5"/>
      <c r="BL177" s="12"/>
      <c r="BM177" s="5"/>
      <c r="BN177" s="5"/>
      <c r="BO177" s="5"/>
      <c r="BQ177" s="5"/>
      <c r="BR177" s="5"/>
      <c r="BT177" s="5"/>
      <c r="BU177" s="5"/>
      <c r="BV177" s="5"/>
      <c r="BX177" s="5"/>
      <c r="BY177" s="5"/>
      <c r="CA177" s="13"/>
      <c r="CB177" s="7"/>
      <c r="CC177" s="11"/>
      <c r="CE177" s="13">
        <v>70</v>
      </c>
      <c r="CF177" s="5">
        <f>SUM(CF5:CG26)*CE177</f>
        <v>0</v>
      </c>
      <c r="CG177" s="12"/>
      <c r="CI177" s="13">
        <v>70</v>
      </c>
      <c r="CJ177" s="5">
        <f>SUM(CJ5:CK26)*CI177</f>
        <v>0</v>
      </c>
      <c r="CK177" s="12"/>
      <c r="CM177" s="13">
        <v>70</v>
      </c>
      <c r="CN177" s="5">
        <f>SUM(CN5:CO26)*CM177</f>
        <v>0</v>
      </c>
      <c r="CO177" s="12"/>
      <c r="CQ177" s="13">
        <v>70</v>
      </c>
      <c r="CR177" s="5">
        <f>SUM(CR5:CS26)*CQ177</f>
        <v>0</v>
      </c>
      <c r="CS177" s="12"/>
      <c r="CU177" s="13">
        <v>70</v>
      </c>
      <c r="CV177" s="5">
        <f>SUM(CV5:CW26)*CU177</f>
        <v>0</v>
      </c>
      <c r="CW177" s="12"/>
      <c r="CY177" s="13">
        <v>70</v>
      </c>
      <c r="CZ177" s="5">
        <f>SUM(CZ5:DA26)*CY177</f>
        <v>0</v>
      </c>
      <c r="DA177" s="12"/>
      <c r="DC177" s="13">
        <v>70</v>
      </c>
      <c r="DD177" s="5">
        <f>SUM(DD5:DE26)*DC177</f>
        <v>0</v>
      </c>
      <c r="DE177" s="12"/>
      <c r="DG177" s="13">
        <v>70</v>
      </c>
      <c r="DH177" s="5">
        <f>SUM(DH5:DI26)*DG177</f>
        <v>0</v>
      </c>
      <c r="DI177" s="12"/>
      <c r="DK177" s="13">
        <v>70</v>
      </c>
      <c r="DL177" s="5">
        <f>SUM(DL5:DM26)*DK177</f>
        <v>0</v>
      </c>
      <c r="DM177" s="12"/>
      <c r="DO177" s="13">
        <v>70</v>
      </c>
      <c r="DP177" s="5">
        <f>SUM(DP5:DQ26)*DO177</f>
        <v>0</v>
      </c>
      <c r="DQ177" s="12"/>
      <c r="DS177" s="17"/>
      <c r="DV177" s="17"/>
      <c r="DW177" s="660">
        <f t="shared" si="0"/>
        <v>0</v>
      </c>
    </row>
    <row r="178" spans="1:128" s="6" customFormat="1" ht="15" customHeight="1">
      <c r="A178" s="3"/>
      <c r="B178" s="210" t="s">
        <v>1689</v>
      </c>
      <c r="C178" s="473" t="s">
        <v>0</v>
      </c>
      <c r="D178" s="4"/>
      <c r="E178" s="5"/>
      <c r="F178" s="5"/>
      <c r="G178" s="4"/>
      <c r="H178" s="4"/>
      <c r="I178" s="4"/>
      <c r="J178" s="4"/>
      <c r="K178" s="5"/>
      <c r="L178" s="5"/>
      <c r="M178" s="5"/>
      <c r="O178" s="5"/>
      <c r="P178" s="5"/>
      <c r="Q178" s="5"/>
      <c r="S178" s="5"/>
      <c r="T178" s="5"/>
      <c r="U178" s="5"/>
      <c r="W178" s="5"/>
      <c r="X178" s="5"/>
      <c r="Y178" s="12"/>
      <c r="AA178" s="13"/>
      <c r="AB178" s="12"/>
      <c r="AD178" s="13"/>
      <c r="AE178" s="5"/>
      <c r="AF178" s="5"/>
      <c r="AH178" s="13"/>
      <c r="AI178" s="5"/>
      <c r="AK178" s="5"/>
      <c r="AL178" s="5"/>
      <c r="AM178" s="5"/>
      <c r="AO178" s="5"/>
      <c r="AP178" s="5"/>
      <c r="AR178" s="5"/>
      <c r="AS178" s="5"/>
      <c r="AT178" s="5"/>
      <c r="AV178" s="5"/>
      <c r="AW178" s="5"/>
      <c r="AY178" s="5"/>
      <c r="AZ178" s="5"/>
      <c r="BA178" s="5"/>
      <c r="BC178" s="5"/>
      <c r="BD178" s="5"/>
      <c r="BF178" s="5"/>
      <c r="BG178" s="5"/>
      <c r="BH178" s="5"/>
      <c r="BJ178" s="5"/>
      <c r="BK178" s="5"/>
      <c r="BL178" s="12"/>
      <c r="BM178" s="5"/>
      <c r="BN178" s="5"/>
      <c r="BO178" s="5"/>
      <c r="BQ178" s="5"/>
      <c r="BR178" s="5"/>
      <c r="BT178" s="5"/>
      <c r="BU178" s="5"/>
      <c r="BV178" s="5"/>
      <c r="BX178" s="5"/>
      <c r="BY178" s="5"/>
      <c r="CA178" s="13"/>
      <c r="CB178" s="7"/>
      <c r="CC178" s="11"/>
      <c r="CE178" s="13">
        <v>1</v>
      </c>
      <c r="CF178" s="5">
        <f>SUM(CF5:CF26,CG5:CG26)*CE178</f>
        <v>0</v>
      </c>
      <c r="CG178" s="12"/>
      <c r="CI178" s="13">
        <v>1</v>
      </c>
      <c r="CJ178" s="5">
        <f>SUM(CJ5:CJ26,CK5:CK26)*CI178</f>
        <v>0</v>
      </c>
      <c r="CK178" s="12"/>
      <c r="CM178" s="13">
        <v>1</v>
      </c>
      <c r="CN178" s="5">
        <f>SUM(CN5:CN26,CO5:CO26)*CM178</f>
        <v>0</v>
      </c>
      <c r="CO178" s="12"/>
      <c r="CQ178" s="13">
        <v>1</v>
      </c>
      <c r="CR178" s="5">
        <f>SUM(CR5:CR26,CS5:CS26)*CQ178</f>
        <v>0</v>
      </c>
      <c r="CS178" s="12"/>
      <c r="CU178" s="13">
        <v>1</v>
      </c>
      <c r="CV178" s="5">
        <f>SUM(CV5:CV26,CW5:CW26)*CU178</f>
        <v>0</v>
      </c>
      <c r="CW178" s="12"/>
      <c r="CY178" s="13">
        <v>1</v>
      </c>
      <c r="CZ178" s="5">
        <f>SUM(CZ5:CZ26,DA5:DA26)*CY178</f>
        <v>0</v>
      </c>
      <c r="DA178" s="12"/>
      <c r="DC178" s="13">
        <v>1</v>
      </c>
      <c r="DD178" s="5">
        <f>SUM(DD5:DD26,DE5:DE26)*DC178</f>
        <v>0</v>
      </c>
      <c r="DE178" s="12"/>
      <c r="DG178" s="13">
        <v>1</v>
      </c>
      <c r="DH178" s="5">
        <f>SUM(DH5:DH26,DI5:DI26)*DG178</f>
        <v>0</v>
      </c>
      <c r="DI178" s="12"/>
      <c r="DK178" s="13">
        <v>1</v>
      </c>
      <c r="DL178" s="5">
        <f>SUM(DL5:DL26,DM5:DM26)*DK178</f>
        <v>0</v>
      </c>
      <c r="DM178" s="12"/>
      <c r="DO178" s="13">
        <v>1</v>
      </c>
      <c r="DP178" s="5">
        <f>SUM(DP5:DP26,DQ5:DQ26)*DO178</f>
        <v>0</v>
      </c>
      <c r="DQ178" s="12"/>
      <c r="DS178" s="17"/>
      <c r="DV178" s="17"/>
      <c r="DW178" s="660">
        <f t="shared" si="0"/>
        <v>0</v>
      </c>
    </row>
    <row r="179" spans="1:128" s="6" customFormat="1">
      <c r="A179" s="3">
        <v>26</v>
      </c>
      <c r="B179" s="210" t="s">
        <v>455</v>
      </c>
      <c r="C179" s="473" t="s">
        <v>515</v>
      </c>
      <c r="D179" s="4"/>
      <c r="E179" s="5"/>
      <c r="F179" s="5"/>
      <c r="G179" s="4"/>
      <c r="H179" s="4"/>
      <c r="I179" s="4"/>
      <c r="J179" s="4"/>
      <c r="K179" s="5"/>
      <c r="L179" s="5"/>
      <c r="M179" s="5"/>
      <c r="O179" s="5"/>
      <c r="P179" s="5"/>
      <c r="Q179" s="5"/>
      <c r="S179" s="5"/>
      <c r="T179" s="5"/>
      <c r="U179" s="5"/>
      <c r="W179" s="5"/>
      <c r="X179" s="5"/>
      <c r="Y179" s="12"/>
      <c r="AA179" s="13"/>
      <c r="AB179" s="12"/>
      <c r="AD179" s="13"/>
      <c r="AE179" s="5"/>
      <c r="AF179" s="5"/>
      <c r="AH179" s="13"/>
      <c r="AI179" s="5"/>
      <c r="AK179" s="5"/>
      <c r="AL179" s="5"/>
      <c r="AM179" s="5"/>
      <c r="AO179" s="5"/>
      <c r="AP179" s="5"/>
      <c r="AR179" s="5"/>
      <c r="AS179" s="5"/>
      <c r="AT179" s="5"/>
      <c r="AV179" s="5"/>
      <c r="AW179" s="5"/>
      <c r="AY179" s="5"/>
      <c r="AZ179" s="5"/>
      <c r="BA179" s="5"/>
      <c r="BC179" s="5"/>
      <c r="BD179" s="5"/>
      <c r="BF179" s="5"/>
      <c r="BG179" s="5"/>
      <c r="BH179" s="5"/>
      <c r="BJ179" s="5"/>
      <c r="BK179" s="5"/>
      <c r="BL179" s="12"/>
      <c r="BM179" s="5"/>
      <c r="BN179" s="5"/>
      <c r="BO179" s="5"/>
      <c r="BQ179" s="5"/>
      <c r="BR179" s="5"/>
      <c r="BT179" s="5"/>
      <c r="BU179" s="5"/>
      <c r="BV179" s="5"/>
      <c r="BX179" s="5"/>
      <c r="BY179" s="5"/>
      <c r="CA179" s="13"/>
      <c r="CB179" s="7"/>
      <c r="CC179" s="11"/>
      <c r="CE179" s="13"/>
      <c r="CF179" s="5"/>
      <c r="CG179" s="12"/>
      <c r="CI179" s="13"/>
      <c r="CJ179" s="5"/>
      <c r="CK179" s="12"/>
      <c r="CM179" s="13"/>
      <c r="CN179" s="5"/>
      <c r="CO179" s="12"/>
      <c r="CQ179" s="13"/>
      <c r="CR179" s="5"/>
      <c r="CS179" s="12"/>
      <c r="CU179" s="13"/>
      <c r="CV179" s="5"/>
      <c r="CW179" s="12"/>
      <c r="CY179" s="13"/>
      <c r="CZ179" s="5"/>
      <c r="DA179" s="12"/>
      <c r="DC179" s="13"/>
      <c r="DD179" s="5"/>
      <c r="DE179" s="12"/>
      <c r="DG179" s="13"/>
      <c r="DH179" s="5"/>
      <c r="DI179" s="12"/>
      <c r="DK179" s="13"/>
      <c r="DL179" s="5"/>
      <c r="DM179" s="12"/>
      <c r="DO179" s="13"/>
      <c r="DP179" s="5"/>
      <c r="DQ179" s="12"/>
      <c r="DS179" s="17"/>
      <c r="DV179" s="17"/>
      <c r="DW179" s="660">
        <f t="shared" si="0"/>
        <v>0</v>
      </c>
    </row>
    <row r="180" spans="1:128" s="6" customFormat="1">
      <c r="A180" s="3">
        <v>27</v>
      </c>
      <c r="B180" s="210" t="s">
        <v>454</v>
      </c>
      <c r="C180" s="473" t="s">
        <v>515</v>
      </c>
      <c r="D180" s="4"/>
      <c r="E180" s="5">
        <v>1</v>
      </c>
      <c r="F180" s="5">
        <f>SUM(F5:F26)*E180</f>
        <v>0</v>
      </c>
      <c r="G180" s="4"/>
      <c r="H180" s="4"/>
      <c r="I180" s="4"/>
      <c r="J180" s="4"/>
      <c r="K180" s="5"/>
      <c r="L180" s="5"/>
      <c r="M180" s="5"/>
      <c r="O180" s="5"/>
      <c r="P180" s="5"/>
      <c r="Q180" s="5"/>
      <c r="S180" s="5"/>
      <c r="T180" s="5"/>
      <c r="U180" s="5"/>
      <c r="W180" s="13">
        <v>1</v>
      </c>
      <c r="X180" s="5">
        <f>SUM(X5:Y26)*W180</f>
        <v>0</v>
      </c>
      <c r="Y180" s="12"/>
      <c r="AA180" s="13">
        <v>1</v>
      </c>
      <c r="AB180" s="5">
        <f>SUM(AB5:AC26)*AA180</f>
        <v>0</v>
      </c>
      <c r="AD180" s="13">
        <v>1</v>
      </c>
      <c r="AE180" s="5">
        <f>SUM(AE5:AF26)*AD180</f>
        <v>0</v>
      </c>
      <c r="AF180" s="5"/>
      <c r="AH180" s="13">
        <v>1</v>
      </c>
      <c r="AI180" s="5">
        <f>SUM(AI5:AJ26)*AH180</f>
        <v>0</v>
      </c>
      <c r="AK180" s="13">
        <v>1</v>
      </c>
      <c r="AL180" s="5">
        <f>SUM(AL5:AM26)*AK180</f>
        <v>0</v>
      </c>
      <c r="AM180" s="5"/>
      <c r="AO180" s="13">
        <v>1</v>
      </c>
      <c r="AP180" s="5">
        <f>SUM(AP5:AQ26)*AO180</f>
        <v>0</v>
      </c>
      <c r="AR180" s="13">
        <v>1</v>
      </c>
      <c r="AS180" s="5">
        <f>SUM(AS5:AT26)*AR180</f>
        <v>0</v>
      </c>
      <c r="AT180" s="5"/>
      <c r="AV180" s="13">
        <v>1</v>
      </c>
      <c r="AW180" s="5">
        <f>SUM(AW5:AX26)*AV180</f>
        <v>0</v>
      </c>
      <c r="AY180" s="13">
        <v>1</v>
      </c>
      <c r="AZ180" s="5">
        <f>SUM(AZ5:BA26)*AY180</f>
        <v>0</v>
      </c>
      <c r="BA180" s="5"/>
      <c r="BC180" s="13">
        <v>1</v>
      </c>
      <c r="BD180" s="5">
        <f>SUM(BD5:BE26)*BC180</f>
        <v>0</v>
      </c>
      <c r="BF180" s="5">
        <v>1</v>
      </c>
      <c r="BG180" s="5">
        <f>BG19*BF180+BG20*BF180+BG21*BF180+BG22*BF180+BG23*BF180+BG24*BF180+BG25*BF180+BG26*BF180+BG5*BF180+BG6*BF180+BG7*BF180+BG8*BF180+BG9*BF180+BG10*BF180+BG11*BF180+BG12*BF180+BG13*BF180+BG14*BF180+BG15*BF180+BG16*BF180+BG17*BF180+BG18*BF180+BH19*BF180+BH20*BF180+BH21*BF180+BH22*BF180+BH23*BF180+BH24*BF180+BH25*BF180+BH26*BF180+BH5*BF180+BH6*BF180+BH7*BF180+BH8*BF180+BH9*BF180+BH10*BF180+BH11*BF180+BH12*BF180+BH13*BF180+BH14*BF180+BH15*BF180+BH16*BF180+BH17*BF180+BH18*BF180</f>
        <v>0</v>
      </c>
      <c r="BH180" s="5"/>
      <c r="BJ180" s="5">
        <v>1</v>
      </c>
      <c r="BK180" s="5">
        <f>BK19*BJ180+BK20*BJ180+BK21*BJ180+BK22*BJ180+BK23*BJ180+BK24*BJ180+BK25*BJ180+BK26*BJ180+BK5*BJ180+BK6*BJ180+BK7*BJ180+BK8*BJ180+BK9*BJ180+BK10*BJ180+BK11*BJ180+BK12*BJ180+BK13*BJ180+BK14*BJ180+BK15*BJ180+BK16*BJ180+BK17*BJ180+BK18*BJ180+BL19*BJ180+BL20*BJ180+BL21*BJ180+BL22*BJ180+BL23*BJ180+BL24*BJ180+BL25*BJ180+BL26*BJ180+BL5*BJ180+BL6*BJ180+BL7*BJ180+BL8*BJ180+BL9*BJ180+BL10*BJ180+BL11*BJ180+BL12*BJ180+BL13*BJ180+BL14*BJ180+BL15*BJ180+BL16*BJ180+BL17*BJ180+BL18*BJ180</f>
        <v>0</v>
      </c>
      <c r="BL180" s="12"/>
      <c r="BM180" s="13">
        <v>1</v>
      </c>
      <c r="BN180" s="5">
        <f>SUM(BN5:BO26)*BM180</f>
        <v>0</v>
      </c>
      <c r="BO180" s="5"/>
      <c r="BQ180" s="13">
        <v>1</v>
      </c>
      <c r="BR180" s="5">
        <f>SUM(BR5:BS26)*BQ180</f>
        <v>0</v>
      </c>
      <c r="BT180" s="5">
        <v>2</v>
      </c>
      <c r="BU180" s="5">
        <f>BU5*BT180+BV5*BT180+BU6*BT180+BV6*BT180+BU7*BT180+BV7*BT180+BU8*BT180+BV8*BT180+BU9*BT180+BV9*BT180+BU10*BT180+BV10*BT180+BU11*BT180+BV11*BT180+BU12*BT180+BV12*BT180+BU13*BT180+BV13*BT180+BU14*BT180+BV14*BT180+BU15*BT180+BV15*BT180+BU16*BT180+BV16*BT180+BU17*BT180+BV17*BT180+BU18*BT180+BV18*BT180+BU19*BT180+BV19*BT180+BU20*BT180+BV20*BT180+BU21*BT180+BV21*BT180+BU22*BT180+BV22*BT180+BU23*BT180+BV23*BT180+BU24*BT180+BV24*BT180+BU25*BT180+BV25*BT180+BU26*BT180+BV26*BT180</f>
        <v>0</v>
      </c>
      <c r="BV180" s="5"/>
      <c r="BX180" s="5">
        <v>2</v>
      </c>
      <c r="BY180" s="5">
        <f>BY5*BX180+BZ5*BX180+BY6*BX180+BZ6*BX180+BY7*BX180+BZ7*BX180+BY8*BX180+BZ8*BX180+BY9*BX180+BZ9*BX180+BY10*BX180+BZ10*BX180+BY11*BX180+BZ11*BX180+BY12*BX180+BZ12*BX180+BY13*BX180+BZ13*BX180+BY14*BX180+BZ14*BX180+BY15*BX180+BZ15*BX180+BY16*BX180+BZ16*BX180+BY17*BX180+BZ17*BX180+BY18*BX180+BZ18*BX180+BY19*BX180+BZ19*BX180+BY20*BX180+BZ20*BX180+BY21*BX180+BZ21*BX180+BY22*BX180+BZ22*BX180+BY23*BX180+BZ23*BX180+BY24*BX180+BZ24*BX180+BY25*BX180+BZ25*BX180+BY26*BX180+BZ26*BX180</f>
        <v>0</v>
      </c>
      <c r="CA180" s="13">
        <v>1</v>
      </c>
      <c r="CB180" s="5">
        <f>SUM(CB5:CC26)*CA180</f>
        <v>0</v>
      </c>
      <c r="CC180" s="11"/>
      <c r="CE180" s="13">
        <v>1</v>
      </c>
      <c r="CF180" s="5">
        <f>SUM(CF5:CG26)*CE180</f>
        <v>0</v>
      </c>
      <c r="CG180" s="12"/>
      <c r="CI180" s="13">
        <v>1</v>
      </c>
      <c r="CJ180" s="5">
        <f>SUM(CJ5:CK26)*CI180</f>
        <v>0</v>
      </c>
      <c r="CK180" s="12"/>
      <c r="CM180" s="13">
        <v>1</v>
      </c>
      <c r="CN180" s="5">
        <f>SUM(CN5:CO26)*CM180</f>
        <v>0</v>
      </c>
      <c r="CO180" s="12"/>
      <c r="CQ180" s="13">
        <v>1</v>
      </c>
      <c r="CR180" s="5">
        <f>SUM(CR5:CS26)*CQ180</f>
        <v>0</v>
      </c>
      <c r="CS180" s="12"/>
      <c r="CU180" s="13">
        <v>1</v>
      </c>
      <c r="CV180" s="5">
        <f>SUM(CV5:CW26)*CU180</f>
        <v>0</v>
      </c>
      <c r="CW180" s="12"/>
      <c r="CY180" s="13">
        <v>1</v>
      </c>
      <c r="CZ180" s="5">
        <f>SUM(CZ5:DA26)*CY180</f>
        <v>0</v>
      </c>
      <c r="DA180" s="12"/>
      <c r="DC180" s="13">
        <v>1</v>
      </c>
      <c r="DD180" s="5">
        <f>SUM(DD5:DE26)*DC180</f>
        <v>0</v>
      </c>
      <c r="DE180" s="12"/>
      <c r="DG180" s="13">
        <v>1</v>
      </c>
      <c r="DH180" s="5">
        <f>SUM(DH5:DI26)*DG180</f>
        <v>0</v>
      </c>
      <c r="DI180" s="12"/>
      <c r="DK180" s="13">
        <v>1</v>
      </c>
      <c r="DL180" s="5">
        <f>SUM(DL5:DM26)*DK180</f>
        <v>0</v>
      </c>
      <c r="DM180" s="12"/>
      <c r="DO180" s="13">
        <v>1</v>
      </c>
      <c r="DP180" s="5">
        <f>SUM(DP5:DQ26)*DO180</f>
        <v>0</v>
      </c>
      <c r="DQ180" s="12"/>
      <c r="DS180" s="17"/>
      <c r="DV180" s="17"/>
      <c r="DW180" s="660">
        <f t="shared" si="0"/>
        <v>0</v>
      </c>
    </row>
    <row r="181" spans="1:128" s="6" customFormat="1">
      <c r="A181" s="3"/>
      <c r="B181" s="117" t="s">
        <v>1254</v>
      </c>
      <c r="C181" s="4" t="s">
        <v>0</v>
      </c>
      <c r="D181" s="4"/>
      <c r="E181" s="5"/>
      <c r="F181" s="5"/>
      <c r="G181" s="4"/>
      <c r="H181" s="4">
        <v>1</v>
      </c>
      <c r="I181" s="658">
        <f>SUM(I5:I26)*H181</f>
        <v>0</v>
      </c>
      <c r="J181" s="4"/>
      <c r="K181" s="5"/>
      <c r="L181" s="5"/>
      <c r="M181" s="5"/>
      <c r="O181" s="5"/>
      <c r="P181" s="5"/>
      <c r="Q181" s="5"/>
      <c r="S181" s="5"/>
      <c r="T181" s="5"/>
      <c r="U181" s="5"/>
      <c r="W181" s="5"/>
      <c r="X181" s="5"/>
      <c r="Y181" s="12"/>
      <c r="AA181" s="13"/>
      <c r="AB181" s="12"/>
      <c r="AD181" s="13"/>
      <c r="AE181" s="5"/>
      <c r="AF181" s="5"/>
      <c r="AH181" s="13"/>
      <c r="AI181" s="5"/>
      <c r="AK181" s="5"/>
      <c r="AL181" s="5"/>
      <c r="AM181" s="5"/>
      <c r="AO181" s="5"/>
      <c r="AP181" s="5"/>
      <c r="AR181" s="5"/>
      <c r="AS181" s="5"/>
      <c r="AT181" s="5"/>
      <c r="AV181" s="5"/>
      <c r="AW181" s="5"/>
      <c r="AY181" s="5"/>
      <c r="AZ181" s="5"/>
      <c r="BA181" s="5"/>
      <c r="BC181" s="5"/>
      <c r="BD181" s="5"/>
      <c r="BF181" s="5"/>
      <c r="BG181" s="5"/>
      <c r="BH181" s="5"/>
      <c r="BJ181" s="5"/>
      <c r="BK181" s="5"/>
      <c r="BL181" s="12"/>
      <c r="BM181" s="5"/>
      <c r="BN181" s="5"/>
      <c r="BO181" s="5"/>
      <c r="BQ181" s="5"/>
      <c r="BR181" s="5"/>
      <c r="BT181" s="5"/>
      <c r="BU181" s="5"/>
      <c r="BV181" s="5"/>
      <c r="BX181" s="5"/>
      <c r="BY181" s="5"/>
      <c r="CA181" s="13"/>
      <c r="CB181" s="7"/>
      <c r="CC181" s="11"/>
      <c r="CE181" s="13"/>
      <c r="CF181" s="5"/>
      <c r="CG181" s="12"/>
      <c r="CI181" s="13"/>
      <c r="CJ181" s="5"/>
      <c r="CK181" s="12"/>
      <c r="CM181" s="13"/>
      <c r="CN181" s="5"/>
      <c r="CO181" s="12"/>
      <c r="CQ181" s="13"/>
      <c r="CR181" s="5"/>
      <c r="CS181" s="12"/>
      <c r="CU181" s="13"/>
      <c r="CV181" s="5"/>
      <c r="CW181" s="12"/>
      <c r="CY181" s="13"/>
      <c r="CZ181" s="5"/>
      <c r="DA181" s="12"/>
      <c r="DC181" s="13"/>
      <c r="DD181" s="5"/>
      <c r="DE181" s="12"/>
      <c r="DG181" s="13"/>
      <c r="DH181" s="5"/>
      <c r="DI181" s="12"/>
      <c r="DK181" s="13"/>
      <c r="DL181" s="5"/>
      <c r="DM181" s="12"/>
      <c r="DO181" s="13"/>
      <c r="DP181" s="5"/>
      <c r="DQ181" s="12"/>
      <c r="DS181" s="17"/>
      <c r="DV181" s="17"/>
      <c r="DW181" s="660">
        <f t="shared" si="0"/>
        <v>0</v>
      </c>
    </row>
    <row r="182" spans="1:128" s="6" customFormat="1" ht="15" customHeight="1">
      <c r="A182" s="3">
        <v>28</v>
      </c>
      <c r="B182" s="210" t="s">
        <v>457</v>
      </c>
      <c r="C182" s="473" t="s">
        <v>515</v>
      </c>
      <c r="D182" s="4"/>
      <c r="E182" s="5"/>
      <c r="F182" s="5"/>
      <c r="G182" s="4"/>
      <c r="H182" s="4"/>
      <c r="I182" s="4"/>
      <c r="J182" s="4"/>
      <c r="K182" s="5"/>
      <c r="L182" s="5"/>
      <c r="M182" s="5"/>
      <c r="O182" s="5"/>
      <c r="P182" s="5"/>
      <c r="Q182" s="5"/>
      <c r="S182" s="5"/>
      <c r="T182" s="5"/>
      <c r="U182" s="5"/>
      <c r="W182" s="5"/>
      <c r="X182" s="5"/>
      <c r="Y182" s="12"/>
      <c r="AA182" s="13"/>
      <c r="AB182" s="12"/>
      <c r="AD182" s="13"/>
      <c r="AE182" s="5"/>
      <c r="AF182" s="5"/>
      <c r="AH182" s="13"/>
      <c r="AI182" s="5"/>
      <c r="AK182" s="5"/>
      <c r="AL182" s="5"/>
      <c r="AM182" s="5"/>
      <c r="AO182" s="5"/>
      <c r="AP182" s="5"/>
      <c r="AR182" s="5"/>
      <c r="AS182" s="5"/>
      <c r="AT182" s="5"/>
      <c r="AV182" s="5"/>
      <c r="AW182" s="5"/>
      <c r="AY182" s="5"/>
      <c r="AZ182" s="5"/>
      <c r="BA182" s="5"/>
      <c r="BC182" s="5"/>
      <c r="BD182" s="5"/>
      <c r="BF182" s="5"/>
      <c r="BG182" s="5"/>
      <c r="BH182" s="5"/>
      <c r="BJ182" s="5"/>
      <c r="BK182" s="5"/>
      <c r="BL182" s="12"/>
      <c r="BM182" s="5"/>
      <c r="BN182" s="5"/>
      <c r="BO182" s="5"/>
      <c r="BQ182" s="5"/>
      <c r="BR182" s="5"/>
      <c r="BT182" s="5">
        <v>1</v>
      </c>
      <c r="BU182" s="5">
        <f>BU6*BT182+BV6*BT182+BU7*BT182+BV7*BT182+BU8*BT182+BV8*BT182+BU9*BT182+BV9*BT182+BU10*BT182+BV10*BT182+BU11*BT182+BV11*BT182+BU12*BT182+BV12*BT182+BU13*BT182+BV13*BT182+BU14*BT182+BV14*BT182+BU15*BT182+BV15*BT182+BU16*BT182+BV16*BT182+BU17*BT182+BV17*BT182+BU18*BT182+BV18*BT182+BU19*BT182+BV19*BT182+BU20*BT182+BV20*BT182+BU21*BT182+BV21*BT182+BU22*BT182+BV22*BT182+BU23*BT182+BV23*BT182+BU24*BT182+BV24*BT182+BU25*BT182+BV25*BT182+BU26*BT182+BV26*BT182+BU5*BT182+BV5*BT182</f>
        <v>0</v>
      </c>
      <c r="BV182" s="5"/>
      <c r="BX182" s="5">
        <v>1</v>
      </c>
      <c r="BY182" s="5">
        <f>BY6*BX182+BZ6*BX182+BY7*BX182+BZ7*BX182+BY8*BX182+BZ8*BX182+BY9*BX182+BZ9*BX182+BY10*BX182+BZ10*BX182+BY11*BX182+BZ11*BX182+BY12*BX182+BZ12*BX182+BY13*BX182+BZ13*BX182+BY14*BX182+BZ14*BX182+BY15*BX182+BZ15*BX182+BY16*BX182+BZ16*BX182+BY17*BX182+BZ17*BX182+BY18*BX182+BZ18*BX182+BY19*BX182+BZ19*BX182+BY20*BX182+BZ20*BX182+BY21*BX182+BZ21*BX182+BY22*BX182+BZ22*BX182+BY23*BX182+BZ23*BX182+BY24*BX182+BZ24*BX182+BY25*BX182+BZ25*BX182+BY26*BX182+BZ26*BX182+BY5*BX182+BZ5*BX182</f>
        <v>0</v>
      </c>
      <c r="CA182" s="13"/>
      <c r="CB182" s="7"/>
      <c r="CC182" s="11"/>
      <c r="CE182" s="13"/>
      <c r="CF182" s="5"/>
      <c r="CG182" s="12"/>
      <c r="CI182" s="13"/>
      <c r="CJ182" s="5"/>
      <c r="CK182" s="12"/>
      <c r="CM182" s="13"/>
      <c r="CN182" s="5"/>
      <c r="CO182" s="12"/>
      <c r="CQ182" s="13"/>
      <c r="CR182" s="5"/>
      <c r="CS182" s="12"/>
      <c r="CU182" s="13"/>
      <c r="CV182" s="5"/>
      <c r="CW182" s="12"/>
      <c r="CY182" s="13"/>
      <c r="CZ182" s="5"/>
      <c r="DA182" s="12"/>
      <c r="DC182" s="13"/>
      <c r="DD182" s="5"/>
      <c r="DE182" s="12"/>
      <c r="DG182" s="13"/>
      <c r="DH182" s="5"/>
      <c r="DI182" s="12"/>
      <c r="DK182" s="13"/>
      <c r="DL182" s="5"/>
      <c r="DM182" s="12"/>
      <c r="DO182" s="13"/>
      <c r="DP182" s="5"/>
      <c r="DQ182" s="12"/>
      <c r="DS182" s="5"/>
      <c r="DV182" s="5"/>
      <c r="DW182" s="660">
        <f t="shared" si="0"/>
        <v>0</v>
      </c>
      <c r="DX182" s="142">
        <v>13</v>
      </c>
    </row>
    <row r="183" spans="1:128" s="6" customFormat="1" ht="15" customHeight="1">
      <c r="A183" s="3">
        <v>29</v>
      </c>
      <c r="B183" s="210" t="s">
        <v>456</v>
      </c>
      <c r="C183" s="473" t="s">
        <v>515</v>
      </c>
      <c r="D183" s="4"/>
      <c r="E183" s="5"/>
      <c r="F183" s="5"/>
      <c r="G183" s="4"/>
      <c r="H183" s="4"/>
      <c r="I183" s="4"/>
      <c r="J183" s="4"/>
      <c r="K183" s="5"/>
      <c r="L183" s="5"/>
      <c r="M183" s="5"/>
      <c r="O183" s="5"/>
      <c r="P183" s="5"/>
      <c r="Q183" s="5"/>
      <c r="S183" s="5"/>
      <c r="T183" s="5"/>
      <c r="U183" s="5"/>
      <c r="W183" s="5"/>
      <c r="X183" s="5"/>
      <c r="Y183" s="12"/>
      <c r="AA183" s="13"/>
      <c r="AB183" s="12"/>
      <c r="AD183" s="13"/>
      <c r="AE183" s="5"/>
      <c r="AF183" s="5"/>
      <c r="AH183" s="13"/>
      <c r="AI183" s="5"/>
      <c r="AK183" s="5"/>
      <c r="AL183" s="5"/>
      <c r="AM183" s="5"/>
      <c r="AO183" s="5"/>
      <c r="AP183" s="5"/>
      <c r="AR183" s="5"/>
      <c r="AS183" s="5"/>
      <c r="AT183" s="5"/>
      <c r="AV183" s="5"/>
      <c r="AW183" s="5"/>
      <c r="AY183" s="5"/>
      <c r="AZ183" s="5"/>
      <c r="BA183" s="5"/>
      <c r="BC183" s="5"/>
      <c r="BD183" s="5"/>
      <c r="BF183" s="5"/>
      <c r="BG183" s="5"/>
      <c r="BH183" s="5"/>
      <c r="BJ183" s="5"/>
      <c r="BK183" s="5"/>
      <c r="BL183" s="12"/>
      <c r="BM183" s="5"/>
      <c r="BN183" s="5"/>
      <c r="BO183" s="5"/>
      <c r="BQ183" s="5"/>
      <c r="BR183" s="5"/>
      <c r="BT183" s="5">
        <v>1</v>
      </c>
      <c r="BU183" s="5">
        <f>BU7*BT183+BV7*BT183+BU8*BT183+BV8*BT183+BU9*BT183+BV9*BT183+BU10*BT183+BV10*BT183+BU11*BT183+BV11*BT183+BU12*BT183+BV12*BT183+BU13*BT183+BV13*BT183+BU14*BT183+BV14*BT183+BU15*BT183+BV15*BT183+BU16*BT183+BV16*BT183+BU17*BT183+BV17*BT183+BU18*BT183+BV18*BT183+BU19*BT183+BV19*BT183+BU20*BT183+BV20*BT183+BU21*BT183+BV21*BT183+BU22*BT183+BV22*BT183+BU23*BT183+BV23*BT183+BU24*BT183+BV24*BT183+BU25*BT183+BV25*BT183+BU26*BT183+BV26*BT183+BU5*BT183+BV5*BT183+BU6*BT183+BV6*BT183</f>
        <v>0</v>
      </c>
      <c r="BV183" s="5"/>
      <c r="BX183" s="5">
        <v>1</v>
      </c>
      <c r="BY183" s="5">
        <f>BY7*BX183+BZ7*BX183+BY8*BX183+BZ8*BX183+BY9*BX183+BZ9*BX183+BY10*BX183+BZ10*BX183+BY11*BX183+BZ11*BX183+BY12*BX183+BZ12*BX183+BY13*BX183+BZ13*BX183+BY14*BX183+BZ14*BX183+BY15*BX183+BZ15*BX183+BY16*BX183+BZ16*BX183+BY17*BX183+BZ17*BX183+BY18*BX183+BZ18*BX183+BY19*BX183+BZ19*BX183+BY20*BX183+BZ20*BX183+BY21*BX183+BZ21*BX183+BY22*BX183+BZ22*BX183+BY23*BX183+BZ23*BX183+BY24*BX183+BZ24*BX183+BY25*BX183+BZ25*BX183+BY26*BX183+BZ26*BX183+BY5*BX183+BZ5*BX183+BY6*BX183+BZ6*BX183</f>
        <v>0</v>
      </c>
      <c r="CA183" s="13"/>
      <c r="CB183" s="7"/>
      <c r="CC183" s="11"/>
      <c r="CE183" s="13"/>
      <c r="CF183" s="5"/>
      <c r="CG183" s="12"/>
      <c r="CI183" s="13"/>
      <c r="CJ183" s="5"/>
      <c r="CK183" s="12"/>
      <c r="CM183" s="13"/>
      <c r="CN183" s="5"/>
      <c r="CO183" s="12"/>
      <c r="CQ183" s="13"/>
      <c r="CR183" s="5"/>
      <c r="CS183" s="12"/>
      <c r="CU183" s="13"/>
      <c r="CV183" s="5"/>
      <c r="CW183" s="12"/>
      <c r="CY183" s="13"/>
      <c r="CZ183" s="5"/>
      <c r="DA183" s="12"/>
      <c r="DC183" s="13"/>
      <c r="DD183" s="5"/>
      <c r="DE183" s="12"/>
      <c r="DG183" s="13"/>
      <c r="DH183" s="5"/>
      <c r="DI183" s="12"/>
      <c r="DK183" s="13"/>
      <c r="DL183" s="5"/>
      <c r="DM183" s="12"/>
      <c r="DO183" s="13"/>
      <c r="DP183" s="5"/>
      <c r="DQ183" s="12"/>
      <c r="DS183" s="17"/>
      <c r="DV183" s="5"/>
      <c r="DW183" s="660">
        <f t="shared" si="0"/>
        <v>0</v>
      </c>
      <c r="DX183" s="116">
        <v>34</v>
      </c>
    </row>
    <row r="184" spans="1:128" s="6" customFormat="1" ht="15" customHeight="1">
      <c r="A184" s="3">
        <v>30</v>
      </c>
      <c r="B184" s="210" t="s">
        <v>505</v>
      </c>
      <c r="C184" s="473" t="s">
        <v>515</v>
      </c>
      <c r="D184" s="4"/>
      <c r="E184" s="5"/>
      <c r="F184" s="5"/>
      <c r="G184" s="4"/>
      <c r="H184" s="4"/>
      <c r="I184" s="4"/>
      <c r="J184" s="4"/>
      <c r="K184" s="5"/>
      <c r="L184" s="5"/>
      <c r="M184" s="5"/>
      <c r="O184" s="5"/>
      <c r="P184" s="5"/>
      <c r="Q184" s="5"/>
      <c r="S184" s="5"/>
      <c r="T184" s="5"/>
      <c r="U184" s="5"/>
      <c r="W184" s="5"/>
      <c r="X184" s="5"/>
      <c r="Y184" s="12"/>
      <c r="AA184" s="13"/>
      <c r="AB184" s="12"/>
      <c r="AD184" s="13"/>
      <c r="AE184" s="5"/>
      <c r="AF184" s="5"/>
      <c r="AH184" s="13"/>
      <c r="AI184" s="5"/>
      <c r="AK184" s="5"/>
      <c r="AL184" s="5"/>
      <c r="AM184" s="5"/>
      <c r="AO184" s="5"/>
      <c r="AP184" s="5"/>
      <c r="AR184" s="5"/>
      <c r="AS184" s="5"/>
      <c r="AT184" s="5"/>
      <c r="AV184" s="5"/>
      <c r="AW184" s="5"/>
      <c r="AY184" s="5"/>
      <c r="AZ184" s="5"/>
      <c r="BA184" s="5"/>
      <c r="BC184" s="5"/>
      <c r="BD184" s="5"/>
      <c r="BF184" s="5"/>
      <c r="BG184" s="5"/>
      <c r="BH184" s="5"/>
      <c r="BJ184" s="5"/>
      <c r="BK184" s="5"/>
      <c r="BL184" s="12"/>
      <c r="BM184" s="5"/>
      <c r="BN184" s="5"/>
      <c r="BO184" s="5"/>
      <c r="BQ184" s="5"/>
      <c r="BR184" s="5"/>
      <c r="BT184" s="5"/>
      <c r="BU184" s="5"/>
      <c r="BV184" s="5"/>
      <c r="BX184" s="5"/>
      <c r="BY184" s="5"/>
      <c r="CA184" s="13">
        <v>1</v>
      </c>
      <c r="CB184" s="7">
        <f>CB26*CA184+CC26*CA184+CB5*CA184+CC5*CA184+CB6*CA184+CC6*CA184+CB7*CA184+CC7*CA184+CB8*CA184+CC8*CA184+CB9*CA184+CC9*CA184+CB10*CA184+CC10*CA184+CB11*CA184+CC11*CA184+CB12*CA184+CC12*CA184+CB13*CA184+CC13*CA184+CB14*CA184+CC14*CA184+CB15*CA184+CC15*CA184+CB16*CA184+CC16*CA184+CB17*CA184+CC17*CA184+CB18*CA184+CC18*CA184+CB19*CA184+CC19*CA184+CB20*CA184+CC20*CA184+CB21*CA184+CC21*CA184+CB22*CA184+CC22*CA184+CB23*CA184+CC23*CA184+CB24*CA184+CC24*CA184+CB25*CA184+CC25*CA184</f>
        <v>0</v>
      </c>
      <c r="CC184" s="11"/>
      <c r="CE184" s="13"/>
      <c r="CF184" s="5"/>
      <c r="CG184" s="12"/>
      <c r="CI184" s="13"/>
      <c r="CJ184" s="5"/>
      <c r="CK184" s="12"/>
      <c r="CM184" s="13"/>
      <c r="CN184" s="5"/>
      <c r="CO184" s="12"/>
      <c r="CQ184" s="13"/>
      <c r="CR184" s="5"/>
      <c r="CS184" s="12"/>
      <c r="CU184" s="13"/>
      <c r="CV184" s="5"/>
      <c r="CW184" s="12"/>
      <c r="CY184" s="13"/>
      <c r="CZ184" s="5"/>
      <c r="DA184" s="12"/>
      <c r="DC184" s="13"/>
      <c r="DD184" s="5"/>
      <c r="DE184" s="12"/>
      <c r="DG184" s="13"/>
      <c r="DH184" s="5"/>
      <c r="DI184" s="12"/>
      <c r="DK184" s="13"/>
      <c r="DL184" s="5"/>
      <c r="DM184" s="12"/>
      <c r="DO184" s="13"/>
      <c r="DP184" s="5"/>
      <c r="DQ184" s="12"/>
      <c r="DS184" s="5"/>
      <c r="DV184" s="5"/>
      <c r="DW184" s="660">
        <f t="shared" si="0"/>
        <v>0</v>
      </c>
      <c r="DX184" s="142">
        <v>13</v>
      </c>
    </row>
    <row r="185" spans="1:128" s="6" customFormat="1" ht="15" customHeight="1">
      <c r="A185" s="3">
        <v>31</v>
      </c>
      <c r="B185" s="210" t="s">
        <v>506</v>
      </c>
      <c r="C185" s="473" t="s">
        <v>515</v>
      </c>
      <c r="D185" s="4"/>
      <c r="E185" s="5"/>
      <c r="F185" s="5"/>
      <c r="G185" s="4"/>
      <c r="H185" s="4"/>
      <c r="I185" s="4"/>
      <c r="J185" s="4"/>
      <c r="K185" s="5"/>
      <c r="L185" s="5"/>
      <c r="M185" s="5"/>
      <c r="O185" s="5"/>
      <c r="P185" s="5"/>
      <c r="Q185" s="5"/>
      <c r="S185" s="5"/>
      <c r="T185" s="5"/>
      <c r="U185" s="5"/>
      <c r="W185" s="5"/>
      <c r="X185" s="5"/>
      <c r="Y185" s="12"/>
      <c r="AA185" s="13"/>
      <c r="AB185" s="12"/>
      <c r="AD185" s="13"/>
      <c r="AE185" s="5"/>
      <c r="AF185" s="5"/>
      <c r="AH185" s="13"/>
      <c r="AI185" s="5"/>
      <c r="AK185" s="5"/>
      <c r="AL185" s="5"/>
      <c r="AM185" s="5"/>
      <c r="AO185" s="5"/>
      <c r="AP185" s="5"/>
      <c r="AR185" s="5"/>
      <c r="AS185" s="5"/>
      <c r="AT185" s="5"/>
      <c r="AV185" s="5"/>
      <c r="AW185" s="5"/>
      <c r="AY185" s="5"/>
      <c r="AZ185" s="5"/>
      <c r="BA185" s="5"/>
      <c r="BC185" s="5"/>
      <c r="BD185" s="5"/>
      <c r="BF185" s="5"/>
      <c r="BG185" s="5"/>
      <c r="BH185" s="5"/>
      <c r="BJ185" s="5"/>
      <c r="BK185" s="5"/>
      <c r="BL185" s="12"/>
      <c r="BM185" s="5"/>
      <c r="BN185" s="5"/>
      <c r="BO185" s="5"/>
      <c r="BQ185" s="5"/>
      <c r="BR185" s="5"/>
      <c r="BT185" s="5"/>
      <c r="BU185" s="5"/>
      <c r="BV185" s="5"/>
      <c r="BX185" s="5"/>
      <c r="BY185" s="5"/>
      <c r="CA185" s="13">
        <v>1</v>
      </c>
      <c r="CB185" s="7">
        <f>CB5*CA185+CC5*CA185+CB6*CA185+CC6*CA185+CB7*CA185+CC7*CA185+CB8*CA185+CC8*CA185+CB9*CA185+CC9*CA185+CB10*CA185+CC10*CA185+CB11*CA185+CC11*CA185+CB12*CA185+CC12*CA185+CB13*CA185+CC13*CA185+CB14*CA185+CC14*CA185+CB15*CA185+CC15*CA185+CB16*CA185+CC16*CA185+CB17*CA185+CC17*CA185+CB18*CA185+CC18*CA185+CB19*CA185+CC19*CA185+CB20*CA185+CC20*CA185+CB21*CA185+CC21*CA185+CB22*CA185+CC22*CA185+CB23*CA185+CC23*CA185+CB24*CA185+CC24*CA185+CB25*CA185+CC25*CA185+CB26*CA185+CC26*CA185</f>
        <v>0</v>
      </c>
      <c r="CC185" s="11"/>
      <c r="CE185" s="13"/>
      <c r="CF185" s="5"/>
      <c r="CG185" s="12"/>
      <c r="CI185" s="13"/>
      <c r="CJ185" s="5"/>
      <c r="CK185" s="12"/>
      <c r="CM185" s="13"/>
      <c r="CN185" s="5"/>
      <c r="CO185" s="12"/>
      <c r="CQ185" s="13"/>
      <c r="CR185" s="5"/>
      <c r="CS185" s="12"/>
      <c r="CU185" s="13"/>
      <c r="CV185" s="5"/>
      <c r="CW185" s="12"/>
      <c r="CY185" s="13"/>
      <c r="CZ185" s="5"/>
      <c r="DA185" s="12"/>
      <c r="DC185" s="13"/>
      <c r="DD185" s="5"/>
      <c r="DE185" s="12"/>
      <c r="DG185" s="13"/>
      <c r="DH185" s="5"/>
      <c r="DI185" s="12"/>
      <c r="DK185" s="13"/>
      <c r="DL185" s="5"/>
      <c r="DM185" s="12"/>
      <c r="DO185" s="13"/>
      <c r="DP185" s="5"/>
      <c r="DQ185" s="12"/>
      <c r="DS185" s="17"/>
      <c r="DV185" s="5"/>
      <c r="DW185" s="660">
        <f t="shared" si="0"/>
        <v>0</v>
      </c>
      <c r="DX185" s="116">
        <v>34</v>
      </c>
    </row>
    <row r="186" spans="1:128" s="6" customFormat="1" ht="15" customHeight="1">
      <c r="A186" s="3">
        <v>32</v>
      </c>
      <c r="B186" s="210" t="s">
        <v>467</v>
      </c>
      <c r="C186" s="473" t="s">
        <v>515</v>
      </c>
      <c r="D186" s="4"/>
      <c r="E186" s="5"/>
      <c r="F186" s="5">
        <f>F26*E186+G26*E186+F5*E186+G5*E186+F6*E186+G6*E186+F7*E186+G7*E186+F8*E186+G8*E186+F9*E186+G9*E186+F10*E186+G10*E186+F11*E186+G11*E186+F12*E186+G12*E186+F13*E186+G13*E186+F14*E186+G14*E186+F15*E186+G15*E186+F16*E186+G16*E186+F17*E186+G17*E186+F18*E186+G18*E186+F19*E186+G19*E186+F20*E186+G20*E186+F21*E186+G21*E186+F22*E186+G22*E186+F23*E186+G23*E186+F24*E186+G24*E186+F25*E186+G25*E186</f>
        <v>0</v>
      </c>
      <c r="G186" s="4"/>
      <c r="H186" s="4"/>
      <c r="I186" s="4"/>
      <c r="J186" s="4"/>
      <c r="K186" s="5"/>
      <c r="L186" s="5"/>
      <c r="M186" s="5"/>
      <c r="O186" s="5"/>
      <c r="P186" s="5"/>
      <c r="Q186" s="5"/>
      <c r="S186" s="5"/>
      <c r="T186" s="5"/>
      <c r="U186" s="5"/>
      <c r="W186" s="5"/>
      <c r="X186" s="5"/>
      <c r="Y186" s="12"/>
      <c r="AA186" s="13"/>
      <c r="AB186" s="12"/>
      <c r="AD186" s="13"/>
      <c r="AE186" s="5"/>
      <c r="AF186" s="5"/>
      <c r="AH186" s="13"/>
      <c r="AI186" s="5"/>
      <c r="AK186" s="5"/>
      <c r="AL186" s="5">
        <f>AL26*AK186+AM26*AK186+AL5*AK186+AM5*AK186+AL6*AK186+AM6*AK186+AL7*AK186+AM7*AK186+AL8*AK186+AM8*AK186+AL9*AK186+AM9*AK186+AL10*AK186+AM10*AK186+AL11*AK186+AM11*AK186+AL12*AK186+AM12*AK186+AL13*AK186+AM13*AK186+AL14*AK186+AM14*AK186+AL15*AK186+AM15*AK186+AL16*AK186+AM16*AK186+AL17*AK186+AM17*AK186+AL18*AK186+AM18*AK186+AL19*AK186+AM19*AK186+AL20*AK186+AM20*AK186+AL21*AK186+AM21*AK186+AL22*AK186+AM22*AK186+AL23*AK186+AM23*AK186+AL24*AK186+AM24*AK186+AL25*AK186+AM25*AK186</f>
        <v>0</v>
      </c>
      <c r="AM186" s="5"/>
      <c r="AO186" s="5"/>
      <c r="AP186" s="5">
        <f>AP26*AO186+AQ26*AO186+AP5*AO186+AQ5*AO186+AP6*AO186+AQ6*AO186+AP7*AO186+AQ7*AO186+AP8*AO186+AQ8*AO186+AP9*AO186+AQ9*AO186+AP10*AO186+AQ10*AO186+AP11*AO186+AQ11*AO186+AP12*AO186+AQ12*AO186+AP13*AO186+AQ13*AO186+AP14*AO186+AQ14*AO186+AP15*AO186+AQ15*AO186+AP16*AO186+AQ16*AO186+AP17*AO186+AQ17*AO186+AP18*AO186+AQ18*AO186+AP19*AO186+AQ19*AO186+AP20*AO186+AQ20*AO186+AP21*AO186+AQ21*AO186+AP22*AO186+AQ22*AO186+AP23*AO186+AQ23*AO186+AP24*AO186+AQ24*AO186+AP25*AO186+AQ25*AO186</f>
        <v>0</v>
      </c>
      <c r="AR186" s="5"/>
      <c r="AS186" s="5"/>
      <c r="AT186" s="5"/>
      <c r="AV186" s="5"/>
      <c r="AW186" s="5"/>
      <c r="AY186" s="5"/>
      <c r="AZ186" s="5">
        <f>AZ26*AY186+BA26*AY186+AZ5*AY186+BA5*AY186+AZ6*AY186+BA6*AY186+AZ7*AY186+BA7*AY186+AZ8*AY186+BA8*AY186+AZ9*AY186+BA9*AY186+AZ10*AY186+BA10*AY186+AZ11*AY186+BA11*AY186+AZ12*AY186+BA12*AY186+AZ13*AY186+BA13*AY186+AZ14*AY186+BA14*AY186+AZ15*AY186+BA15*AY186+AZ16*AY186+BA16*AY186+AZ17*AY186+BA17*AY186+AZ18*AY186+BA18*AY186+AZ19*AY186+BA19*AY186+AZ20*AY186+BA20*AY186+AZ21*AY186+BA21*AY186+AZ22*AY186+BA22*AY186+AZ23*AY186+BA23*AY186+AZ24*AY186+BA24*AY186+AZ25*AY186+BA25*AY186</f>
        <v>0</v>
      </c>
      <c r="BA186" s="5"/>
      <c r="BC186" s="5"/>
      <c r="BD186" s="5">
        <f>BD26*BC186+BE26*BC186+BD5*BC186+BE5*BC186+BD6*BC186+BE6*BC186+BD7*BC186+BE7*BC186+BD8*BC186+BE8*BC186+BD9*BC186+BE9*BC186+BD10*BC186+BE10*BC186+BD11*BC186+BE11*BC186+BD12*BC186+BE12*BC186+BD13*BC186+BE13*BC186+BD14*BC186+BE14*BC186+BD15*BC186+BE15*BC186+BD16*BC186+BE16*BC186+BD17*BC186+BE17*BC186+BD18*BC186+BE18*BC186+BD19*BC186+BE19*BC186+BD20*BC186+BE20*BC186+BD21*BC186+BE21*BC186+BD22*BC186+BE22*BC186+BD23*BC186+BE23*BC186+BD24*BC186+BE24*BC186+BD25*BC186+BE25*BC186</f>
        <v>0</v>
      </c>
      <c r="BF186" s="5"/>
      <c r="BG186" s="5"/>
      <c r="BH186" s="5"/>
      <c r="BJ186" s="5"/>
      <c r="BK186" s="5"/>
      <c r="BL186" s="12"/>
      <c r="BM186" s="5"/>
      <c r="BN186" s="5">
        <f>BN26*BM186+BO26*BM186+BN5*BM186+BO5*BM186+BN6*BM186+BO6*BM186+BN7*BM186+BO7*BM186+BN8*BM186+BO8*BM186+BN9*BM186+BO9*BM186+BN10*BM186+BO10*BM186+BN11*BM186+BO11*BM186+BN12*BM186+BO12*BM186+BN13*BM186+BO13*BM186+BN14*BM186+BO14*BM186+BN15*BM186+BO15*BM186+BN16*BM186+BO16*BM186+BN17*BM186+BO17*BM186+BN18*BM186+BO18*BM186+BN19*BM186+BO19*BM186+BN20*BM186+BO20*BM186+BN21*BM186+BO21*BM186+BN22*BM186+BO22*BM186+BN23*BM186+BO23*BM186+BN24*BM186+BO24*BM186+BN25*BM186+BO25*BM186</f>
        <v>0</v>
      </c>
      <c r="BO186" s="5"/>
      <c r="BQ186" s="5"/>
      <c r="BR186" s="5">
        <f>BR26*BQ186+BS26*BQ186+BR5*BQ186+BS5*BQ186+BR6*BQ186+BS6*BQ186+BR7*BQ186+BS7*BQ186+BR8*BQ186+BS8*BQ186+BR9*BQ186+BS9*BQ186+BR10*BQ186+BS10*BQ186+BR11*BQ186+BS11*BQ186+BR12*BQ186+BS12*BQ186+BR13*BQ186+BS13*BQ186+BR14*BQ186+BS14*BQ186+BR15*BQ186+BS15*BQ186+BR16*BQ186+BS16*BQ186+BR17*BQ186+BS17*BQ186+BR18*BQ186+BS18*BQ186+BR19*BQ186+BS19*BQ186+BR20*BQ186+BS20*BQ186+BR21*BQ186+BS21*BQ186+BR22*BQ186+BS22*BQ186+BR23*BQ186+BS23*BQ186+BR24*BQ186+BS24*BQ186+BR25*BQ186+BS25*BQ186</f>
        <v>0</v>
      </c>
      <c r="BT186" s="5"/>
      <c r="BU186" s="5"/>
      <c r="BV186" s="5"/>
      <c r="BX186" s="5"/>
      <c r="BY186" s="5"/>
      <c r="CA186" s="13"/>
      <c r="CB186" s="7"/>
      <c r="CC186" s="11"/>
      <c r="CE186" s="5"/>
      <c r="CF186" s="5">
        <f>CF26*CE186+CG26*CE186+CF5*CE186+CG5*CE186+CF6*CE186+CG6*CE186+CF7*CE186+CG7*CE186+CF8*CE186+CG8*CE186+CF9*CE186+CG9*CE186+CF10*CE186+CG10*CE186+CF11*CE186+CG11*CE186+CF12*CE186+CG12*CE186+CF13*CE186+CG13*CE186+CF14*CE186+CG14*CE186+CF15*CE186+CG15*CE186+CF16*CE186+CG16*CE186+CF17*CE186+CG17*CE186+CF18*CE186+CG18*CE186+CF19*CE186+CG19*CE186+CF20*CE186+CG20*CE186+CF21*CE186+CG21*CE186+CF22*CE186+CG22*CE186+CF23*CE186+CG23*CE186+CF24*CE186+CG24*CE186+CF25*CE186+CG25*CE186</f>
        <v>0</v>
      </c>
      <c r="CG186" s="12"/>
      <c r="CI186" s="5"/>
      <c r="CJ186" s="5">
        <f>CJ26*CI186+CK26*CI186+CJ5*CI186+CK5*CI186+CJ6*CI186+CK6*CI186+CJ7*CI186+CK7*CI186+CJ8*CI186+CK8*CI186+CJ9*CI186+CK9*CI186+CJ10*CI186+CK10*CI186+CJ11*CI186+CK11*CI186+CJ12*CI186+CK12*CI186+CJ13*CI186+CK13*CI186+CJ14*CI186+CK14*CI186+CJ15*CI186+CK15*CI186+CJ16*CI186+CK16*CI186+CJ17*CI186+CK17*CI186+CJ18*CI186+CK18*CI186+CJ19*CI186+CK19*CI186+CJ20*CI186+CK20*CI186+CJ21*CI186+CK21*CI186+CJ22*CI186+CK22*CI186+CJ23*CI186+CK23*CI186+CJ24*CI186+CK24*CI186+CJ25*CI186+CK25*CI186</f>
        <v>0</v>
      </c>
      <c r="CK186" s="12"/>
      <c r="CM186" s="5"/>
      <c r="CN186" s="5">
        <f>CN26*CM186+CO26*CM186+CN5*CM186+CO5*CM186+CN6*CM186+CO6*CM186+CN7*CM186+CO7*CM186+CN8*CM186+CO8*CM186+CN9*CM186+CO9*CM186+CN10*CM186+CO10*CM186+CN11*CM186+CO11*CM186+CN12*CM186+CO12*CM186+CN13*CM186+CO13*CM186+CN14*CM186+CO14*CM186+CN15*CM186+CO15*CM186+CN16*CM186+CO16*CM186+CN17*CM186+CO17*CM186+CN18*CM186+CO18*CM186+CN19*CM186+CO19*CM186+CN20*CM186+CO20*CM186+CN21*CM186+CO21*CM186+CN22*CM186+CO22*CM186+CN23*CM186+CO23*CM186+CN24*CM186+CO24*CM186+CN25*CM186+CO25*CM186</f>
        <v>0</v>
      </c>
      <c r="CO186" s="12"/>
      <c r="CQ186" s="5"/>
      <c r="CR186" s="5"/>
      <c r="CS186" s="12"/>
      <c r="CU186" s="5"/>
      <c r="CV186" s="5"/>
      <c r="CW186" s="12"/>
      <c r="CY186" s="5"/>
      <c r="CZ186" s="5"/>
      <c r="DA186" s="12"/>
      <c r="DC186" s="5"/>
      <c r="DD186" s="5"/>
      <c r="DE186" s="12"/>
      <c r="DG186" s="5"/>
      <c r="DH186" s="5"/>
      <c r="DI186" s="12"/>
      <c r="DK186" s="5"/>
      <c r="DL186" s="5">
        <f>DL26*DK186+DM26*DK186+DL5*DK186+DM5*DK186+DL6*DK186+DM6*DK186+DL7*DK186+DM7*DK186+DL8*DK186+DM8*DK186+DL9*DK186+DM9*DK186+DL10*DK186+DM10*DK186+DL11*DK186+DM11*DK186+DL12*DK186+DM12*DK186+DL13*DK186+DM13*DK186+DL14*DK186+DM14*DK186+DL15*DK186+DM15*DK186+DL16*DK186+DM16*DK186+DL17*DK186+DM17*DK186+DL18*DK186+DM18*DK186+DL19*DK186+DM19*DK186+DL20*DK186+DM20*DK186+DL21*DK186+DM21*DK186+DL22*DK186+DM22*DK186+DL23*DK186+DM23*DK186+DL24*DK186+DM24*DK186+DL25*DK186+DM25*DK186</f>
        <v>0</v>
      </c>
      <c r="DM186" s="12"/>
      <c r="DO186" s="5"/>
      <c r="DP186" s="5">
        <f>DP26*DO186+DQ26*DO186+DP5*DO186+DQ5*DO186+DP6*DO186+DQ6*DO186+DP7*DO186+DQ7*DO186+DP8*DO186+DQ8*DO186+DP9*DO186+DQ9*DO186+DP10*DO186+DQ10*DO186+DP11*DO186+DQ11*DO186+DP12*DO186+DQ12*DO186+DP13*DO186+DQ13*DO186+DP14*DO186+DQ14*DO186+DP15*DO186+DQ15*DO186+DP16*DO186+DQ16*DO186+DP17*DO186+DQ17*DO186+DP18*DO186+DQ18*DO186+DP19*DO186+DQ19*DO186+DP20*DO186+DQ20*DO186+DP21*DO186+DQ21*DO186+DP22*DO186+DQ22*DO186+DP23*DO186+DQ23*DO186+DP24*DO186+DQ24*DO186+DP25*DO186+DQ25*DO186</f>
        <v>0</v>
      </c>
      <c r="DQ186" s="12"/>
      <c r="DS186" s="5"/>
      <c r="DV186" s="5"/>
      <c r="DW186" s="660">
        <f t="shared" si="0"/>
        <v>0</v>
      </c>
      <c r="DX186" s="142">
        <v>13</v>
      </c>
    </row>
    <row r="187" spans="1:128" s="6" customFormat="1" ht="15" customHeight="1">
      <c r="A187" s="3"/>
      <c r="B187" s="210" t="s">
        <v>468</v>
      </c>
      <c r="C187" s="473" t="s">
        <v>515</v>
      </c>
      <c r="D187" s="4"/>
      <c r="E187" s="5">
        <v>1</v>
      </c>
      <c r="F187" s="5">
        <f>SUM(F5:F26)*E187</f>
        <v>0</v>
      </c>
      <c r="G187" s="4"/>
      <c r="H187" s="4"/>
      <c r="I187" s="4"/>
      <c r="J187" s="4"/>
      <c r="K187" s="5"/>
      <c r="L187" s="5"/>
      <c r="M187" s="5"/>
      <c r="O187" s="5"/>
      <c r="P187" s="5"/>
      <c r="Q187" s="5"/>
      <c r="S187" s="5"/>
      <c r="T187" s="5"/>
      <c r="U187" s="5"/>
      <c r="W187" s="5"/>
      <c r="X187" s="5"/>
      <c r="Y187" s="12"/>
      <c r="AA187" s="13"/>
      <c r="AB187" s="12"/>
      <c r="AD187" s="13"/>
      <c r="AE187" s="5"/>
      <c r="AF187" s="5"/>
      <c r="AH187" s="13"/>
      <c r="AI187" s="5"/>
      <c r="AK187" s="5">
        <v>1</v>
      </c>
      <c r="AL187" s="5">
        <f>AL5*AK187+AM5*AK187+AL6*AK187+AM6*AK187+AL7*AK187+AM7*AK187+AL8*AK187+AM8*AK187+AL9*AK187+AM9*AK187+AL10*AK187+AM10*AK187+AL11*AK187+AM11*AK187+AL12*AK187+AM12*AK187+AL13*AK187+AM13*AK187+AL14*AK187+AM14*AK187+AL15*AK187+AM15*AK187+AL16*AK187+AM16*AK187+AL17*AK187+AM17*AK187+AL18*AK187+AM18*AK187+AL19*AK187+AM19*AK187+AL20*AK187+AM20*AK187+AL21*AK187+AM21*AK187+AL22*AK187+AM22*AK187+AL23*AK187+AM23*AK187+AL24*AK187+AM24*AK187+AL25*AK187+AM25*AK187+AL26*AK187+AM26*AK187</f>
        <v>0</v>
      </c>
      <c r="AM187" s="5"/>
      <c r="AO187" s="5">
        <v>1</v>
      </c>
      <c r="AP187" s="5">
        <f>AP5*AO187+AQ5*AO187+AP6*AO187+AQ6*AO187+AP7*AO187+AQ7*AO187+AP8*AO187+AQ8*AO187+AP9*AO187+AQ9*AO187+AP10*AO187+AQ10*AO187+AP11*AO187+AQ11*AO187+AP12*AO187+AQ12*AO187+AP13*AO187+AQ13*AO187+AP14*AO187+AQ14*AO187+AP15*AO187+AQ15*AO187+AP16*AO187+AQ16*AO187+AP17*AO187+AQ17*AO187+AP18*AO187+AQ18*AO187+AP19*AO187+AQ19*AO187+AP20*AO187+AQ20*AO187+AP21*AO187+AQ21*AO187+AP22*AO187+AQ22*AO187+AP23*AO187+AQ23*AO187+AP24*AO187+AQ24*AO187+AP25*AO187+AQ25*AO187+AP26*AO187+AQ26*AO187</f>
        <v>0</v>
      </c>
      <c r="AR187" s="5"/>
      <c r="AS187" s="5"/>
      <c r="AT187" s="5"/>
      <c r="AV187" s="5"/>
      <c r="AW187" s="5"/>
      <c r="AY187" s="5">
        <v>1</v>
      </c>
      <c r="AZ187" s="5">
        <f>AZ5*AY187+BA5*AY187+AZ6*AY187+BA6*AY187+AZ7*AY187+BA7*AY187+AZ8*AY187+BA8*AY187+AZ9*AY187+BA9*AY187+AZ10*AY187+BA10*AY187+AZ11*AY187+BA11*AY187+AZ12*AY187+BA12*AY187+AZ13*AY187+BA13*AY187+AZ14*AY187+BA14*AY187+AZ15*AY187+BA15*AY187+AZ16*AY187+BA16*AY187+AZ17*AY187+BA17*AY187+AZ18*AY187+BA18*AY187+AZ19*AY187+BA19*AY187+AZ20*AY187+BA20*AY187+AZ21*AY187+BA21*AY187+AZ22*AY187+BA22*AY187+AZ23*AY187+BA23*AY187+AZ24*AY187+BA24*AY187+AZ25*AY187+BA25*AY187+AZ26*AY187+BA26*AY187</f>
        <v>0</v>
      </c>
      <c r="BA187" s="5"/>
      <c r="BC187" s="5">
        <v>1</v>
      </c>
      <c r="BD187" s="5">
        <f>BD5*BC187+BE5*BC187+BD6*BC187+BE6*BC187+BD7*BC187+BE7*BC187+BD8*BC187+BE8*BC187+BD9*BC187+BE9*BC187+BD10*BC187+BE10*BC187+BD11*BC187+BE11*BC187+BD12*BC187+BE12*BC187+BD13*BC187+BE13*BC187+BD14*BC187+BE14*BC187+BD15*BC187+BE15*BC187+BD16*BC187+BE16*BC187+BD17*BC187+BE17*BC187+BD18*BC187+BE18*BC187+BD19*BC187+BE19*BC187+BD20*BC187+BE20*BC187+BD21*BC187+BE21*BC187+BD22*BC187+BE22*BC187+BD23*BC187+BE23*BC187+BD24*BC187+BE24*BC187+BD25*BC187+BE25*BC187+BD26*BC187+BE26*BC187</f>
        <v>0</v>
      </c>
      <c r="BF187" s="5"/>
      <c r="BG187" s="5"/>
      <c r="BH187" s="5"/>
      <c r="BJ187" s="5"/>
      <c r="BK187" s="5"/>
      <c r="BL187" s="12"/>
      <c r="BM187" s="5">
        <v>1</v>
      </c>
      <c r="BN187" s="5">
        <f>BN5*BM187+BO5*BM187+BN6*BM187+BO6*BM187+BN7*BM187+BO7*BM187+BN8*BM187+BO8*BM187+BN9*BM187+BO9*BM187+BN10*BM187+BO10*BM187+BN11*BM187+BO11*BM187+BN12*BM187+BO12*BM187+BN13*BM187+BO13*BM187+BN14*BM187+BO14*BM187+BN15*BM187+BO15*BM187+BN16*BM187+BO16*BM187+BN17*BM187+BO17*BM187+BN18*BM187+BO18*BM187+BN19*BM187+BO19*BM187+BN20*BM187+BO20*BM187+BN21*BM187+BO21*BM187+BN22*BM187+BO22*BM187+BN23*BM187+BO23*BM187+BN24*BM187+BO24*BM187+BN25*BM187+BO25*BM187+BN26*BM187+BO26*BM187</f>
        <v>0</v>
      </c>
      <c r="BO187" s="5"/>
      <c r="BQ187" s="5">
        <v>1</v>
      </c>
      <c r="BR187" s="5">
        <f>BR5*BQ187+BS5*BQ187+BR6*BQ187+BS6*BQ187+BR7*BQ187+BS7*BQ187+BR8*BQ187+BS8*BQ187+BR9*BQ187+BS9*BQ187+BR10*BQ187+BS10*BQ187+BR11*BQ187+BS11*BQ187+BR12*BQ187+BS12*BQ187+BR13*BQ187+BS13*BQ187+BR14*BQ187+BS14*BQ187+BR15*BQ187+BS15*BQ187+BR16*BQ187+BS16*BQ187+BR17*BQ187+BS17*BQ187+BR18*BQ187+BS18*BQ187+BR19*BQ187+BS19*BQ187+BR20*BQ187+BS20*BQ187+BR21*BQ187+BS21*BQ187+BR22*BQ187+BS22*BQ187+BR23*BQ187+BS23*BQ187+BR24*BQ187+BS24*BQ187+BR25*BQ187+BS25*BQ187+BR26*BQ187+BS26*BQ187</f>
        <v>0</v>
      </c>
      <c r="BT187" s="5"/>
      <c r="BU187" s="5"/>
      <c r="BV187" s="5"/>
      <c r="BX187" s="5"/>
      <c r="BY187" s="5"/>
      <c r="CA187" s="13"/>
      <c r="CB187" s="7"/>
      <c r="CC187" s="11"/>
      <c r="CE187" s="5"/>
      <c r="CF187" s="5">
        <f>CF5*CE187+CG5*CE187+CF6*CE187+CG6*CE187+CF7*CE187+CG7*CE187+CF8*CE187+CG8*CE187+CF9*CE187+CG9*CE187+CF10*CE187+CG10*CE187+CF11*CE187+CG11*CE187+CF12*CE187+CG12*CE187+CF13*CE187+CG13*CE187+CF14*CE187+CG14*CE187+CF15*CE187+CG15*CE187+CF16*CE187+CG16*CE187+CF17*CE187+CG17*CE187+CF18*CE187+CG18*CE187+CF19*CE187+CG19*CE187+CF20*CE187+CG20*CE187+CF21*CE187+CG21*CE187+CF22*CE187+CG22*CE187+CF23*CE187+CG23*CE187+CF24*CE187+CG24*CE187+CF25*CE187+CG25*CE187+CF26*CE187+CG26*CE187</f>
        <v>0</v>
      </c>
      <c r="CG187" s="12"/>
      <c r="CI187" s="5"/>
      <c r="CJ187" s="5">
        <f>CJ5*CI187+CK5*CI187+CJ6*CI187+CK6*CI187+CJ7*CI187+CK7*CI187+CJ8*CI187+CK8*CI187+CJ9*CI187+CK9*CI187+CJ10*CI187+CK10*CI187+CJ11*CI187+CK11*CI187+CJ12*CI187+CK12*CI187+CJ13*CI187+CK13*CI187+CJ14*CI187+CK14*CI187+CJ15*CI187+CK15*CI187+CJ16*CI187+CK16*CI187+CJ17*CI187+CK17*CI187+CJ18*CI187+CK18*CI187+CJ19*CI187+CK19*CI187+CJ20*CI187+CK20*CI187+CJ21*CI187+CK21*CI187+CJ22*CI187+CK22*CI187+CJ23*CI187+CK23*CI187+CJ24*CI187+CK24*CI187+CJ25*CI187+CK25*CI187+CJ26*CI187+CK26*CI187</f>
        <v>0</v>
      </c>
      <c r="CK187" s="12"/>
      <c r="CM187" s="5"/>
      <c r="CN187" s="5">
        <f>CN5*CM187+CO5*CM187+CN6*CM187+CO6*CM187+CN7*CM187+CO7*CM187+CN8*CM187+CO8*CM187+CN9*CM187+CO9*CM187+CN10*CM187+CO10*CM187+CN11*CM187+CO11*CM187+CN12*CM187+CO12*CM187+CN13*CM187+CO13*CM187+CN14*CM187+CO14*CM187+CN15*CM187+CO15*CM187+CN16*CM187+CO16*CM187+CN17*CM187+CO17*CM187+CN18*CM187+CO18*CM187+CN19*CM187+CO19*CM187+CN20*CM187+CO20*CM187+CN21*CM187+CO21*CM187+CN22*CM187+CO22*CM187+CN23*CM187+CO23*CM187+CN24*CM187+CO24*CM187+CN25*CM187+CO25*CM187+CN26*CM187+CO26*CM187</f>
        <v>0</v>
      </c>
      <c r="CO187" s="12"/>
      <c r="CQ187" s="5"/>
      <c r="CR187" s="5">
        <f>CR5*CQ187+CS5*CQ187+CR6*CQ187+CS6*CQ187+CR7*CQ187+CS7*CQ187+CR8*CQ187+CS8*CQ187+CR9*CQ187+CS9*CQ187+CR10*CQ187+CS10*CQ187+CR11*CQ187+CS11*CQ187+CR12*CQ187+CS12*CQ187+CR13*CQ187+CS13*CQ187+CR14*CQ187+CS14*CQ187+CR15*CQ187+CS15*CQ187+CR16*CQ187+CS16*CQ187+CR17*CQ187+CS17*CQ187+CR18*CQ187+CS18*CQ187+CR19*CQ187+CS19*CQ187+CR20*CQ187+CS20*CQ187+CR21*CQ187+CS21*CQ187+CR22*CQ187+CS22*CQ187+CR23*CQ187+CS23*CQ187+CR24*CQ187+CS24*CQ187+CR25*CQ187+CS25*CQ187+CR26*CQ187+CS26*CQ187</f>
        <v>0</v>
      </c>
      <c r="CS187" s="12"/>
      <c r="CU187" s="5"/>
      <c r="CV187" s="5">
        <f>CV5*CU187+CW5*CU187+CV6*CU187+CW6*CU187+CV7*CU187+CW7*CU187+CV8*CU187+CW8*CU187+CV9*CU187+CW9*CU187+CV10*CU187+CW10*CU187+CV11*CU187+CW11*CU187+CV12*CU187+CW12*CU187+CV13*CU187+CW13*CU187+CV14*CU187+CW14*CU187+CV15*CU187+CW15*CU187+CV16*CU187+CW16*CU187+CV17*CU187+CW17*CU187+CV18*CU187+CW18*CU187+CV19*CU187+CW19*CU187+CV20*CU187+CW20*CU187+CV21*CU187+CW21*CU187+CV22*CU187+CW22*CU187+CV23*CU187+CW23*CU187+CV24*CU187+CW24*CU187+CV25*CU187+CW25*CU187+CV26*CU187+CW26*CU187</f>
        <v>0</v>
      </c>
      <c r="CW187" s="12"/>
      <c r="CY187" s="5">
        <v>1</v>
      </c>
      <c r="CZ187" s="5">
        <f>SUM(CZ5:DA26)*CY187</f>
        <v>0</v>
      </c>
      <c r="DA187" s="12"/>
      <c r="DC187" s="5">
        <v>1</v>
      </c>
      <c r="DD187" s="5">
        <f>DD5*DC187+DE5*DC187+DD6*DC187+DE6*DC187+DD7*DC187+DE7*DC187+DD8*DC187+DE8*DC187+DD9*DC187+DE9*DC187+DD10*DC187+DE10*DC187+DD11*DC187+DE11*DC187+DD12*DC187+DE12*DC187+DD13*DC187+DE13*DC187+DD14*DC187+DE14*DC187+DD15*DC187+DE15*DC187+DD16*DC187+DE16*DC187+DD17*DC187+DE17*DC187+DD18*DC187+DE18*DC187+DD19*DC187+DE19*DC187+DD20*DC187+DE20*DC187+DD21*DC187+DE21*DC187+DD22*DC187+DE22*DC187+DD23*DC187+DE23*DC187+DD24*DC187+DE24*DC187+DD25*DC187+DE25*DC187+DD26*DC187+DE26*DC187</f>
        <v>0</v>
      </c>
      <c r="DE187" s="12"/>
      <c r="DG187" s="5">
        <v>1</v>
      </c>
      <c r="DH187" s="5">
        <f>DH5*DG187+DI5*DG187+DH6*DG187+DI6*DG187+DH7*DG187+DI7*DG187+DH8*DG187+DI8*DG187+DH9*DG187+DI9*DG187+DH10*DG187+DI10*DG187+DH11*DG187+DI11*DG187+DH12*DG187+DI12*DG187+DH13*DG187+DI13*DG187+DH14*DG187+DI14*DG187+DH15*DG187+DI15*DG187+DH16*DG187+DI16*DG187+DH17*DG187+DI17*DG187+DH18*DG187+DI18*DG187+DH19*DG187+DI19*DG187+DH20*DG187+DI20*DG187+DH21*DG187+DI21*DG187+DH22*DG187+DI22*DG187+DH23*DG187+DI23*DG187+DH24*DG187+DI24*DG187+DH25*DG187+DI25*DG187+DH26*DG187+DI26*DG187</f>
        <v>0</v>
      </c>
      <c r="DI187" s="12"/>
      <c r="DK187" s="5">
        <v>1</v>
      </c>
      <c r="DL187" s="5">
        <f>DL5*DK187+DM5*DK187+DL6*DK187+DM6*DK187+DL7*DK187+DM7*DK187+DL8*DK187+DM8*DK187+DL9*DK187+DM9*DK187+DL10*DK187+DM10*DK187+DL11*DK187+DM11*DK187+DL12*DK187+DM12*DK187+DL13*DK187+DM13*DK187+DL14*DK187+DM14*DK187+DL15*DK187+DM15*DK187+DL16*DK187+DM16*DK187+DL17*DK187+DM17*DK187+DL18*DK187+DM18*DK187+DL19*DK187+DM19*DK187+DL20*DK187+DM20*DK187+DL21*DK187+DM21*DK187+DL22*DK187+DM22*DK187+DL23*DK187+DM23*DK187+DL24*DK187+DM24*DK187+DL25*DK187+DM25*DK187+DL26*DK187+DM26*DK187</f>
        <v>0</v>
      </c>
      <c r="DM187" s="12"/>
      <c r="DO187" s="5">
        <v>1</v>
      </c>
      <c r="DP187" s="5">
        <f>DP5*DO187+DQ5*DO187+DP6*DO187+DQ6*DO187+DP7*DO187+DQ7*DO187+DP8*DO187+DQ8*DO187+DP9*DO187+DQ9*DO187+DP10*DO187+DQ10*DO187+DP11*DO187+DQ11*DO187+DP12*DO187+DQ12*DO187+DP13*DO187+DQ13*DO187+DP14*DO187+DQ14*DO187+DP15*DO187+DQ15*DO187+DP16*DO187+DQ16*DO187+DP17*DO187+DQ17*DO187+DP18*DO187+DQ18*DO187+DP19*DO187+DQ19*DO187+DP20*DO187+DQ20*DO187+DP21*DO187+DQ21*DO187+DP22*DO187+DQ22*DO187+DP23*DO187+DQ23*DO187+DP24*DO187+DQ24*DO187+DP25*DO187+DQ25*DO187+DP26*DO187+DQ26*DO187</f>
        <v>0</v>
      </c>
      <c r="DQ187" s="12"/>
      <c r="DS187" s="17"/>
      <c r="DV187" s="5"/>
      <c r="DW187" s="660">
        <f t="shared" si="0"/>
        <v>0</v>
      </c>
      <c r="DX187" s="142">
        <v>13</v>
      </c>
    </row>
    <row r="188" spans="1:128" s="6" customFormat="1" ht="15" customHeight="1">
      <c r="A188" s="3">
        <v>33</v>
      </c>
      <c r="B188" s="210" t="s">
        <v>469</v>
      </c>
      <c r="C188" s="473" t="s">
        <v>515</v>
      </c>
      <c r="D188" s="4"/>
      <c r="E188" s="5"/>
      <c r="F188" s="5"/>
      <c r="G188" s="4"/>
      <c r="H188" s="4"/>
      <c r="I188" s="4"/>
      <c r="J188" s="4"/>
      <c r="K188" s="5"/>
      <c r="L188" s="5"/>
      <c r="M188" s="5"/>
      <c r="O188" s="5"/>
      <c r="P188" s="5"/>
      <c r="Q188" s="5"/>
      <c r="S188" s="5"/>
      <c r="T188" s="5"/>
      <c r="U188" s="5"/>
      <c r="W188" s="5"/>
      <c r="X188" s="5"/>
      <c r="Y188" s="12"/>
      <c r="AA188" s="13"/>
      <c r="AB188" s="12"/>
      <c r="AD188" s="13"/>
      <c r="AE188" s="5"/>
      <c r="AF188" s="5"/>
      <c r="AH188" s="13"/>
      <c r="AI188" s="5"/>
      <c r="AK188" s="5"/>
      <c r="AL188" s="5"/>
      <c r="AM188" s="5"/>
      <c r="AO188" s="5"/>
      <c r="AP188" s="5"/>
      <c r="AR188" s="5"/>
      <c r="AS188" s="5"/>
      <c r="AT188" s="5"/>
      <c r="AV188" s="5"/>
      <c r="AW188" s="5"/>
      <c r="AY188" s="5"/>
      <c r="AZ188" s="5"/>
      <c r="BA188" s="5"/>
      <c r="BC188" s="5"/>
      <c r="BD188" s="5"/>
      <c r="BF188" s="5"/>
      <c r="BG188" s="5"/>
      <c r="BH188" s="5"/>
      <c r="BJ188" s="5"/>
      <c r="BK188" s="5"/>
      <c r="BL188" s="12"/>
      <c r="BM188" s="5"/>
      <c r="BN188" s="5"/>
      <c r="BO188" s="5"/>
      <c r="BQ188" s="5"/>
      <c r="BR188" s="5"/>
      <c r="BT188" s="5"/>
      <c r="BU188" s="5"/>
      <c r="BV188" s="5"/>
      <c r="BX188" s="5"/>
      <c r="BY188" s="5"/>
      <c r="CA188" s="13"/>
      <c r="CB188" s="5"/>
      <c r="CC188" s="11"/>
      <c r="CE188" s="5"/>
      <c r="CF188" s="5"/>
      <c r="CG188" s="12"/>
      <c r="CI188" s="5"/>
      <c r="CJ188" s="5"/>
      <c r="CK188" s="12"/>
      <c r="CM188" s="5"/>
      <c r="CN188" s="5"/>
      <c r="CO188" s="12"/>
      <c r="CQ188" s="5"/>
      <c r="CR188" s="5"/>
      <c r="CS188" s="12"/>
      <c r="CU188" s="5"/>
      <c r="CV188" s="5"/>
      <c r="CW188" s="12"/>
      <c r="CY188" s="5"/>
      <c r="CZ188" s="5"/>
      <c r="DA188" s="12"/>
      <c r="DC188" s="5"/>
      <c r="DD188" s="5"/>
      <c r="DE188" s="12"/>
      <c r="DG188" s="5"/>
      <c r="DH188" s="5"/>
      <c r="DI188" s="12"/>
      <c r="DK188" s="5"/>
      <c r="DL188" s="5"/>
      <c r="DM188" s="12"/>
      <c r="DO188" s="5"/>
      <c r="DP188" s="5"/>
      <c r="DQ188" s="12"/>
      <c r="DS188" s="17"/>
      <c r="DV188" s="5"/>
      <c r="DW188" s="660">
        <f t="shared" si="0"/>
        <v>0</v>
      </c>
      <c r="DX188" s="116">
        <v>34</v>
      </c>
    </row>
    <row r="189" spans="1:128" s="6" customFormat="1" ht="15" customHeight="1">
      <c r="A189" s="3"/>
      <c r="B189" s="210" t="s">
        <v>470</v>
      </c>
      <c r="C189" s="473" t="s">
        <v>515</v>
      </c>
      <c r="D189" s="4"/>
      <c r="E189" s="5"/>
      <c r="F189" s="5"/>
      <c r="G189" s="4"/>
      <c r="H189" s="4"/>
      <c r="I189" s="4"/>
      <c r="J189" s="4"/>
      <c r="K189" s="5"/>
      <c r="L189" s="5"/>
      <c r="M189" s="5"/>
      <c r="O189" s="5"/>
      <c r="P189" s="5"/>
      <c r="Q189" s="5"/>
      <c r="S189" s="5"/>
      <c r="T189" s="5"/>
      <c r="U189" s="5"/>
      <c r="W189" s="5"/>
      <c r="X189" s="5"/>
      <c r="Y189" s="12"/>
      <c r="AA189" s="13"/>
      <c r="AB189" s="12"/>
      <c r="AD189" s="13"/>
      <c r="AE189" s="5"/>
      <c r="AF189" s="5"/>
      <c r="AH189" s="13"/>
      <c r="AI189" s="5"/>
      <c r="AK189" s="5"/>
      <c r="AL189" s="5"/>
      <c r="AM189" s="5"/>
      <c r="AO189" s="5"/>
      <c r="AP189" s="5"/>
      <c r="AR189" s="5"/>
      <c r="AS189" s="5"/>
      <c r="AT189" s="5"/>
      <c r="AV189" s="5"/>
      <c r="AW189" s="5"/>
      <c r="AY189" s="5"/>
      <c r="AZ189" s="5"/>
      <c r="BA189" s="5"/>
      <c r="BC189" s="5"/>
      <c r="BD189" s="5"/>
      <c r="BF189" s="5"/>
      <c r="BG189" s="5"/>
      <c r="BH189" s="5"/>
      <c r="BJ189" s="5"/>
      <c r="BK189" s="5"/>
      <c r="BL189" s="12"/>
      <c r="BM189" s="5"/>
      <c r="BN189" s="5"/>
      <c r="BO189" s="5"/>
      <c r="BQ189" s="5"/>
      <c r="BR189" s="5"/>
      <c r="BT189" s="5"/>
      <c r="BU189" s="5"/>
      <c r="BV189" s="5"/>
      <c r="BX189" s="5"/>
      <c r="BY189" s="5"/>
      <c r="CA189" s="13"/>
      <c r="CB189" s="5"/>
      <c r="CC189" s="11"/>
      <c r="CE189" s="13"/>
      <c r="CF189" s="5"/>
      <c r="CG189" s="12"/>
      <c r="CI189" s="13"/>
      <c r="CJ189" s="5"/>
      <c r="CK189" s="12"/>
      <c r="CM189" s="13"/>
      <c r="CN189" s="5"/>
      <c r="CO189" s="12"/>
      <c r="CQ189" s="13"/>
      <c r="CR189" s="5"/>
      <c r="CS189" s="12"/>
      <c r="CU189" s="13"/>
      <c r="CV189" s="5"/>
      <c r="CW189" s="12"/>
      <c r="CY189" s="13"/>
      <c r="CZ189" s="5"/>
      <c r="DA189" s="12"/>
      <c r="DC189" s="13"/>
      <c r="DD189" s="5"/>
      <c r="DE189" s="12"/>
      <c r="DG189" s="13"/>
      <c r="DH189" s="5"/>
      <c r="DI189" s="12"/>
      <c r="DK189" s="13"/>
      <c r="DL189" s="5"/>
      <c r="DM189" s="12"/>
      <c r="DO189" s="13"/>
      <c r="DP189" s="5"/>
      <c r="DQ189" s="12"/>
      <c r="DS189" s="17"/>
      <c r="DV189" s="5"/>
      <c r="DW189" s="660">
        <f t="shared" si="0"/>
        <v>0</v>
      </c>
      <c r="DX189" s="148">
        <v>34</v>
      </c>
    </row>
    <row r="190" spans="1:128" s="6" customFormat="1" ht="15" customHeight="1">
      <c r="A190" s="3"/>
      <c r="B190" s="210" t="s">
        <v>1475</v>
      </c>
      <c r="C190" s="473" t="s">
        <v>0</v>
      </c>
      <c r="D190" s="4"/>
      <c r="E190" s="5"/>
      <c r="F190" s="5"/>
      <c r="G190" s="4"/>
      <c r="H190" s="4"/>
      <c r="I190" s="4"/>
      <c r="J190" s="4"/>
      <c r="K190" s="5"/>
      <c r="L190" s="5"/>
      <c r="M190" s="5"/>
      <c r="O190" s="5"/>
      <c r="P190" s="5"/>
      <c r="Q190" s="5"/>
      <c r="S190" s="5"/>
      <c r="T190" s="5"/>
      <c r="U190" s="5"/>
      <c r="W190" s="5"/>
      <c r="X190" s="5"/>
      <c r="Y190" s="12"/>
      <c r="AA190" s="13"/>
      <c r="AB190" s="12"/>
      <c r="AD190" s="13"/>
      <c r="AE190" s="5"/>
      <c r="AF190" s="5"/>
      <c r="AH190" s="13"/>
      <c r="AI190" s="5"/>
      <c r="AK190" s="5"/>
      <c r="AL190" s="5"/>
      <c r="AM190" s="5"/>
      <c r="AO190" s="5"/>
      <c r="AP190" s="5"/>
      <c r="AR190" s="5"/>
      <c r="AS190" s="5"/>
      <c r="AT190" s="5"/>
      <c r="AV190" s="5"/>
      <c r="AW190" s="5"/>
      <c r="AY190" s="5"/>
      <c r="AZ190" s="5"/>
      <c r="BA190" s="5"/>
      <c r="BC190" s="5"/>
      <c r="BD190" s="5"/>
      <c r="BF190" s="5"/>
      <c r="BG190" s="5"/>
      <c r="BH190" s="5"/>
      <c r="BJ190" s="5"/>
      <c r="BK190" s="5"/>
      <c r="BL190" s="12"/>
      <c r="BM190" s="5"/>
      <c r="BN190" s="5"/>
      <c r="BO190" s="5"/>
      <c r="BQ190" s="5"/>
      <c r="BR190" s="5"/>
      <c r="BT190" s="5"/>
      <c r="BU190" s="5"/>
      <c r="BV190" s="5"/>
      <c r="BX190" s="5"/>
      <c r="BY190" s="5"/>
      <c r="CA190" s="13"/>
      <c r="CB190" s="5"/>
      <c r="CC190" s="11"/>
      <c r="CE190" s="13"/>
      <c r="CF190" s="5"/>
      <c r="CG190" s="12"/>
      <c r="CI190" s="13"/>
      <c r="CJ190" s="5"/>
      <c r="CK190" s="12"/>
      <c r="CM190" s="13"/>
      <c r="CN190" s="5"/>
      <c r="CO190" s="12"/>
      <c r="CQ190" s="13"/>
      <c r="CR190" s="5"/>
      <c r="CS190" s="12"/>
      <c r="CU190" s="13"/>
      <c r="CV190" s="5"/>
      <c r="CW190" s="12"/>
      <c r="CY190" s="13"/>
      <c r="CZ190" s="5"/>
      <c r="DA190" s="12"/>
      <c r="DC190" s="13"/>
      <c r="DD190" s="5"/>
      <c r="DE190" s="12"/>
      <c r="DG190" s="13"/>
      <c r="DH190" s="5"/>
      <c r="DI190" s="12"/>
      <c r="DK190" s="13"/>
      <c r="DL190" s="5"/>
      <c r="DM190" s="12"/>
      <c r="DO190" s="13"/>
      <c r="DP190" s="5"/>
      <c r="DQ190" s="12"/>
      <c r="DS190" s="17"/>
      <c r="DV190" s="5"/>
      <c r="DW190" s="660">
        <f t="shared" si="0"/>
        <v>0</v>
      </c>
      <c r="DX190" s="148"/>
    </row>
    <row r="191" spans="1:128" s="6" customFormat="1" ht="15" customHeight="1">
      <c r="A191" s="3">
        <v>34</v>
      </c>
      <c r="B191" s="210" t="s">
        <v>117</v>
      </c>
      <c r="C191" s="473" t="s">
        <v>515</v>
      </c>
      <c r="D191" s="4"/>
      <c r="E191" s="5"/>
      <c r="F191" s="5"/>
      <c r="G191" s="4"/>
      <c r="H191" s="4">
        <v>1</v>
      </c>
      <c r="I191" s="658">
        <f>SUM(I16,I20)*H191</f>
        <v>0</v>
      </c>
      <c r="J191" s="4"/>
      <c r="K191" s="5">
        <v>2</v>
      </c>
      <c r="L191" s="5">
        <f>L16*K191+M16*K191+L20*K191+M20*K191</f>
        <v>0</v>
      </c>
      <c r="M191" s="5"/>
      <c r="O191" s="5">
        <v>2</v>
      </c>
      <c r="P191" s="5">
        <f>P16*O191+Q16*O191+P20*O191+Q20*O191</f>
        <v>0</v>
      </c>
      <c r="Q191" s="5"/>
      <c r="S191" s="5">
        <v>1</v>
      </c>
      <c r="T191" s="5">
        <f>T16*S191+U16*S191+T20*S191+U20*S191</f>
        <v>0</v>
      </c>
      <c r="U191" s="5"/>
      <c r="W191" s="5">
        <v>2</v>
      </c>
      <c r="X191" s="5">
        <f>X16*W191+Y16*W191+X20*W191+Y20*W191</f>
        <v>0</v>
      </c>
      <c r="Y191" s="12"/>
      <c r="AA191" s="13">
        <v>2</v>
      </c>
      <c r="AB191" s="12">
        <f>AB16*AA191+AC16*AA191+AB20*AA191+AC20*AA191</f>
        <v>0</v>
      </c>
      <c r="AD191" s="13"/>
      <c r="AE191" s="5"/>
      <c r="AF191" s="5"/>
      <c r="AH191" s="13"/>
      <c r="AI191" s="5"/>
      <c r="AK191" s="5"/>
      <c r="AL191" s="5"/>
      <c r="AM191" s="5"/>
      <c r="AO191" s="5"/>
      <c r="AP191" s="5"/>
      <c r="AR191" s="5">
        <v>2</v>
      </c>
      <c r="AS191" s="5">
        <f>AS16*AR191+AT16*AR191+AS20*AR191+AT20*AR191</f>
        <v>0</v>
      </c>
      <c r="AT191" s="5"/>
      <c r="AV191" s="5">
        <v>2</v>
      </c>
      <c r="AW191" s="5">
        <f>AW16*AV191+AX16*AV191+AW20*AV191+AX20*AV191</f>
        <v>0</v>
      </c>
      <c r="AY191" s="5">
        <v>1</v>
      </c>
      <c r="AZ191" s="5">
        <f>AZ16*AY191+BA16*AY191+AZ20*AY191+BA20*AY191</f>
        <v>0</v>
      </c>
      <c r="BA191" s="5"/>
      <c r="BC191" s="5">
        <v>1</v>
      </c>
      <c r="BD191" s="5">
        <f>BD16*BC191+BE16*BC191+BD20*BC191+BE20*BC191</f>
        <v>0</v>
      </c>
      <c r="BF191" s="5">
        <v>3</v>
      </c>
      <c r="BG191" s="5">
        <f>BG16*BF191+BH16*BF191+BG20*BF191+BH20*BF191</f>
        <v>0</v>
      </c>
      <c r="BH191" s="5"/>
      <c r="BJ191" s="5">
        <v>3</v>
      </c>
      <c r="BK191" s="5">
        <f>BK16*BJ191+BL16*BJ191+BK20*BJ191+BL20*BJ191</f>
        <v>0</v>
      </c>
      <c r="BL191" s="12"/>
      <c r="BM191" s="5">
        <v>3</v>
      </c>
      <c r="BN191" s="5">
        <f>BN16*BM191+BO16*BM191+BN20*BM191+BO20*BM191</f>
        <v>0</v>
      </c>
      <c r="BO191" s="5"/>
      <c r="BQ191" s="5">
        <v>3</v>
      </c>
      <c r="BR191" s="5">
        <f>BR16*BQ191+BS16*BQ191+BR20*BQ191+BS20*BQ191</f>
        <v>0</v>
      </c>
      <c r="BT191" s="5">
        <v>3</v>
      </c>
      <c r="BU191" s="5">
        <f>BU16*BT191+BV16*BT191+BU20*BT191+BV20*BT191</f>
        <v>0</v>
      </c>
      <c r="BV191" s="5"/>
      <c r="BX191" s="5">
        <v>3</v>
      </c>
      <c r="BY191" s="5">
        <f>BY16*BX191+BZ16*BX191+BY20*BX191+BZ20*BX191</f>
        <v>0</v>
      </c>
      <c r="CA191" s="13">
        <v>2</v>
      </c>
      <c r="CB191" s="5">
        <f>CB16*CA191+CC16*CA191+CB20*CA191+CC20*CA191</f>
        <v>0</v>
      </c>
      <c r="CC191" s="11"/>
      <c r="CE191" s="13"/>
      <c r="CF191" s="5"/>
      <c r="CG191" s="12"/>
      <c r="CI191" s="13"/>
      <c r="CJ191" s="5"/>
      <c r="CK191" s="12"/>
      <c r="CM191" s="13"/>
      <c r="CN191" s="5"/>
      <c r="CO191" s="12"/>
      <c r="CQ191" s="13"/>
      <c r="CR191" s="5"/>
      <c r="CS191" s="12"/>
      <c r="CU191" s="13"/>
      <c r="CV191" s="5"/>
      <c r="CW191" s="12"/>
      <c r="CY191" s="13"/>
      <c r="CZ191" s="5"/>
      <c r="DA191" s="12"/>
      <c r="DC191" s="13"/>
      <c r="DD191" s="5"/>
      <c r="DE191" s="12"/>
      <c r="DG191" s="13"/>
      <c r="DH191" s="5"/>
      <c r="DI191" s="12"/>
      <c r="DK191" s="13"/>
      <c r="DL191" s="5"/>
      <c r="DM191" s="12"/>
      <c r="DO191" s="13"/>
      <c r="DP191" s="5"/>
      <c r="DQ191" s="12"/>
      <c r="DS191" s="17"/>
      <c r="DV191" s="5"/>
      <c r="DW191" s="660">
        <f t="shared" si="0"/>
        <v>0</v>
      </c>
    </row>
    <row r="192" spans="1:128" s="6" customFormat="1" ht="15" customHeight="1">
      <c r="A192" s="3">
        <v>35</v>
      </c>
      <c r="B192" s="210" t="s">
        <v>118</v>
      </c>
      <c r="C192" s="473" t="s">
        <v>515</v>
      </c>
      <c r="D192" s="4"/>
      <c r="E192" s="5">
        <v>2</v>
      </c>
      <c r="F192" s="5">
        <f>F16*E192+G16*E192+F20*E192+G20*E192</f>
        <v>0</v>
      </c>
      <c r="G192" s="4"/>
      <c r="H192" s="4"/>
      <c r="I192" s="658"/>
      <c r="J192" s="4"/>
      <c r="K192" s="5"/>
      <c r="L192" s="5"/>
      <c r="M192" s="5"/>
      <c r="O192" s="5"/>
      <c r="P192" s="5"/>
      <c r="Q192" s="5"/>
      <c r="S192" s="5"/>
      <c r="T192" s="5"/>
      <c r="U192" s="5"/>
      <c r="W192" s="5"/>
      <c r="X192" s="5"/>
      <c r="Y192" s="12"/>
      <c r="AA192" s="13"/>
      <c r="AB192" s="12"/>
      <c r="AD192" s="5">
        <v>1</v>
      </c>
      <c r="AE192" s="5">
        <f>AE16*AD192+AF16*AD192+AE20*AD192+AF20*AD192</f>
        <v>0</v>
      </c>
      <c r="AF192" s="5"/>
      <c r="AH192" s="5">
        <v>1</v>
      </c>
      <c r="AI192" s="5">
        <f>AI16*AH192+AJ16*AH192+AI20*AH192+AJ20*AH192</f>
        <v>0</v>
      </c>
      <c r="AK192" s="5">
        <v>2</v>
      </c>
      <c r="AL192" s="5">
        <f>AL16*AK192+AM16*AK192+AL20*AK192+AM20*AK192</f>
        <v>0</v>
      </c>
      <c r="AM192" s="5"/>
      <c r="AO192" s="5">
        <v>2</v>
      </c>
      <c r="AP192" s="5">
        <f>AP16*AO192+AQ16*AO192+AP20*AO192+AQ20*AO192</f>
        <v>0</v>
      </c>
      <c r="AR192" s="5"/>
      <c r="AS192" s="5"/>
      <c r="AT192" s="5"/>
      <c r="AV192" s="5"/>
      <c r="AW192" s="5"/>
      <c r="AY192" s="5">
        <v>2</v>
      </c>
      <c r="AZ192" s="5">
        <f>AZ16*AY192+BA16*AY192+AZ20*AY192+BA20*AY192</f>
        <v>0</v>
      </c>
      <c r="BA192" s="5"/>
      <c r="BC192" s="5">
        <v>2</v>
      </c>
      <c r="BD192" s="5">
        <f>BD16*BC192+BE16*BC192+BD20*BC192+BE20*BC192</f>
        <v>0</v>
      </c>
      <c r="BF192" s="5"/>
      <c r="BG192" s="5"/>
      <c r="BH192" s="5"/>
      <c r="BJ192" s="5"/>
      <c r="BK192" s="5"/>
      <c r="BL192" s="12"/>
      <c r="BM192" s="5"/>
      <c r="BN192" s="5"/>
      <c r="BO192" s="5"/>
      <c r="BQ192" s="5"/>
      <c r="BR192" s="5"/>
      <c r="BT192" s="5"/>
      <c r="BU192" s="5"/>
      <c r="BV192" s="5"/>
      <c r="BX192" s="5"/>
      <c r="BY192" s="5"/>
      <c r="CA192" s="13">
        <v>1</v>
      </c>
      <c r="CB192" s="5">
        <f>CB16*CA192+CC16*CA192+CB20*CA192+CC20*CA192</f>
        <v>0</v>
      </c>
      <c r="CC192" s="11"/>
      <c r="CE192" s="13"/>
      <c r="CF192" s="5"/>
      <c r="CG192" s="12"/>
      <c r="CI192" s="13"/>
      <c r="CJ192" s="5"/>
      <c r="CK192" s="12"/>
      <c r="CM192" s="13"/>
      <c r="CN192" s="5"/>
      <c r="CO192" s="12"/>
      <c r="CQ192" s="13"/>
      <c r="CR192" s="5"/>
      <c r="CS192" s="12"/>
      <c r="CU192" s="13"/>
      <c r="CV192" s="5"/>
      <c r="CW192" s="12"/>
      <c r="CY192" s="13"/>
      <c r="CZ192" s="5"/>
      <c r="DA192" s="12"/>
      <c r="DC192" s="13"/>
      <c r="DD192" s="5"/>
      <c r="DE192" s="12"/>
      <c r="DG192" s="13"/>
      <c r="DH192" s="5"/>
      <c r="DI192" s="12"/>
      <c r="DK192" s="13"/>
      <c r="DL192" s="5"/>
      <c r="DM192" s="12"/>
      <c r="DO192" s="13"/>
      <c r="DP192" s="5"/>
      <c r="DQ192" s="12"/>
      <c r="DS192" s="17"/>
      <c r="DV192" s="5"/>
      <c r="DW192" s="660">
        <f t="shared" si="0"/>
        <v>0</v>
      </c>
    </row>
    <row r="193" spans="1:127" s="6" customFormat="1" ht="15" customHeight="1">
      <c r="A193" s="3">
        <v>36</v>
      </c>
      <c r="B193" s="210" t="s">
        <v>119</v>
      </c>
      <c r="C193" s="473" t="s">
        <v>515</v>
      </c>
      <c r="D193" s="4"/>
      <c r="E193" s="5"/>
      <c r="F193" s="5"/>
      <c r="G193" s="4"/>
      <c r="H193" s="4">
        <v>1</v>
      </c>
      <c r="I193" s="658">
        <f>SUM(I17,I21,I24)*H193</f>
        <v>0</v>
      </c>
      <c r="J193" s="4"/>
      <c r="K193" s="5">
        <v>2</v>
      </c>
      <c r="L193" s="5">
        <f>L17*K193+M17*K193+L21*K193+M21*K193+L24*K193+M24*K193</f>
        <v>0</v>
      </c>
      <c r="M193" s="5"/>
      <c r="O193" s="5">
        <v>2</v>
      </c>
      <c r="P193" s="5">
        <f>P17*O193+Q17*O193+P21*O193+Q21*O193+P24*O193+Q24*O193</f>
        <v>0</v>
      </c>
      <c r="Q193" s="5"/>
      <c r="S193" s="5">
        <v>1</v>
      </c>
      <c r="T193" s="5">
        <f>T17*S193+U17*S193+T21*S193+U21*S193+T24*S193+U24*S193</f>
        <v>0</v>
      </c>
      <c r="U193" s="5"/>
      <c r="W193" s="5">
        <v>2</v>
      </c>
      <c r="X193" s="5">
        <f>X17*W193+Y17*W193+X21*W193+Y21*W193+X24*W193+Y24*W193</f>
        <v>0</v>
      </c>
      <c r="Y193" s="12"/>
      <c r="AA193" s="13">
        <v>2</v>
      </c>
      <c r="AB193" s="12">
        <f>AB17*AA193+AC17*AA193+AB21*AA193+AC21*AA193+AB24*AA193+AC24*AA193</f>
        <v>0</v>
      </c>
      <c r="AD193" s="5"/>
      <c r="AE193" s="5"/>
      <c r="AF193" s="5"/>
      <c r="AH193" s="5"/>
      <c r="AI193" s="5"/>
      <c r="AK193" s="5"/>
      <c r="AL193" s="5"/>
      <c r="AM193" s="5"/>
      <c r="AO193" s="5"/>
      <c r="AP193" s="5"/>
      <c r="AR193" s="5">
        <v>2</v>
      </c>
      <c r="AS193" s="5">
        <f>AS17*AR193+AT17*AR193+AS21*AR193+AT21*AR193+AS24*AR193+AT24*AR193</f>
        <v>0</v>
      </c>
      <c r="AT193" s="5"/>
      <c r="AV193" s="5">
        <v>2</v>
      </c>
      <c r="AW193" s="5">
        <f>AW17*AV193+AX17*AV193+AW21*AV193+AX21*AV193+AW24*AV193+AX24*AV193</f>
        <v>0</v>
      </c>
      <c r="AY193" s="5">
        <v>1</v>
      </c>
      <c r="AZ193" s="5">
        <f>AZ17*AY193+BA17*AY193+AZ21*AY193+BA21*AY193+AZ24*AY193+BA24</f>
        <v>0</v>
      </c>
      <c r="BA193" s="5"/>
      <c r="BC193" s="5">
        <v>1</v>
      </c>
      <c r="BD193" s="5">
        <f>BD17*BC193+BE17*BC193+BD21*BC193+BE21*BC193+BD24*BC193+BE24</f>
        <v>0</v>
      </c>
      <c r="BF193" s="5">
        <v>3</v>
      </c>
      <c r="BG193" s="5">
        <f>BG17*BF193+BH17*BF193+BG21*BF193+BH21*BF193+BG24*BF193+BH24*BF193</f>
        <v>0</v>
      </c>
      <c r="BH193" s="5"/>
      <c r="BJ193" s="5">
        <v>3</v>
      </c>
      <c r="BK193" s="5">
        <f>BK17*BJ193+BL17*BJ193+BK21*BJ193+BL21*BJ193+BK24*BJ193+BL24*BJ193</f>
        <v>0</v>
      </c>
      <c r="BL193" s="12"/>
      <c r="BM193" s="5">
        <v>3</v>
      </c>
      <c r="BN193" s="5">
        <f>BN17*BM193+BO17*BM193+BN21*BM193+BO21*BM193+BN24*BM193+BO24*BM193</f>
        <v>0</v>
      </c>
      <c r="BO193" s="5"/>
      <c r="BQ193" s="5">
        <v>3</v>
      </c>
      <c r="BR193" s="5">
        <f>BR17*BQ193+BS17*BQ193+BR21*BQ193+BS21*BQ193+BR24*BQ193+BS24*BQ193</f>
        <v>0</v>
      </c>
      <c r="BT193" s="5">
        <v>3</v>
      </c>
      <c r="BU193" s="5">
        <f>BU17*BT193+BV17*BT193+BU21*BT193+BV21*BT193+BU24*BT193+BV24*BT193</f>
        <v>0</v>
      </c>
      <c r="BV193" s="5"/>
      <c r="BX193" s="5">
        <v>3</v>
      </c>
      <c r="BY193" s="5">
        <f>BY17*BX193+BZ17*BX193+BY21*BX193+BZ21*BX193+BY24*BX193+BZ24*BX193</f>
        <v>0</v>
      </c>
      <c r="CA193" s="13">
        <v>1</v>
      </c>
      <c r="CB193" s="5">
        <f>CB17*CA193+CC17*CA193+CB21*CA193+CC21*CA193+CB24*CA193+CC24</f>
        <v>0</v>
      </c>
      <c r="CC193" s="11"/>
      <c r="CE193" s="13">
        <v>1</v>
      </c>
      <c r="CF193" s="5">
        <f>SUM(CF16:CG16,CF20:CG20)*CE193</f>
        <v>0</v>
      </c>
      <c r="CG193" s="12"/>
      <c r="CI193" s="13">
        <v>1</v>
      </c>
      <c r="CJ193" s="5">
        <f>SUM(CJ16:CK16,CJ20:CK20)*CI193</f>
        <v>0</v>
      </c>
      <c r="CK193" s="12"/>
      <c r="CM193" s="13">
        <v>1</v>
      </c>
      <c r="CN193" s="5">
        <f>SUM(CN16:CO16,CN20:CO20)*CM193</f>
        <v>0</v>
      </c>
      <c r="CO193" s="12"/>
      <c r="CQ193" s="13">
        <v>1</v>
      </c>
      <c r="CR193" s="5">
        <f>SUM(CR16:CS16,CR20:CS20)*CQ193</f>
        <v>0</v>
      </c>
      <c r="CS193" s="12"/>
      <c r="CU193" s="13">
        <v>1</v>
      </c>
      <c r="CV193" s="5">
        <f>SUM(CV16:CW16,CV20:CW20)*CU193</f>
        <v>0</v>
      </c>
      <c r="CW193" s="12"/>
      <c r="CY193" s="13">
        <v>2</v>
      </c>
      <c r="CZ193" s="5">
        <f>SUM(CZ16:DA16,CZ20:DA20)*CY193</f>
        <v>0</v>
      </c>
      <c r="DA193" s="12"/>
      <c r="DC193" s="13">
        <v>2</v>
      </c>
      <c r="DD193" s="5">
        <f>SUM(DD16:DE16,DD20:DE20)*DC193</f>
        <v>0</v>
      </c>
      <c r="DE193" s="12"/>
      <c r="DG193" s="13">
        <v>2</v>
      </c>
      <c r="DH193" s="5">
        <f>SUM(DH16:DI16,DH20:DI20)*DG193</f>
        <v>0</v>
      </c>
      <c r="DI193" s="12"/>
      <c r="DK193" s="13">
        <v>2</v>
      </c>
      <c r="DL193" s="5">
        <f>SUM(DL16:DM16,DL20:DM20)*DK193</f>
        <v>0</v>
      </c>
      <c r="DM193" s="12"/>
      <c r="DO193" s="13">
        <v>2</v>
      </c>
      <c r="DP193" s="5">
        <f>SUM(DP16:DQ16,DP20:DQ20)*DO193</f>
        <v>0</v>
      </c>
      <c r="DQ193" s="12"/>
      <c r="DS193" s="17"/>
      <c r="DV193" s="5"/>
      <c r="DW193" s="660">
        <f t="shared" si="0"/>
        <v>0</v>
      </c>
    </row>
    <row r="194" spans="1:127" s="6" customFormat="1" ht="15" customHeight="1">
      <c r="A194" s="3">
        <v>37</v>
      </c>
      <c r="B194" s="210" t="s">
        <v>120</v>
      </c>
      <c r="C194" s="473" t="s">
        <v>515</v>
      </c>
      <c r="D194" s="4"/>
      <c r="E194" s="5"/>
      <c r="F194" s="5"/>
      <c r="G194" s="4"/>
      <c r="H194" s="4"/>
      <c r="I194" s="658"/>
      <c r="J194" s="4"/>
      <c r="K194" s="5"/>
      <c r="L194" s="5"/>
      <c r="M194" s="5"/>
      <c r="O194" s="5"/>
      <c r="P194" s="5"/>
      <c r="Q194" s="5"/>
      <c r="S194" s="5"/>
      <c r="T194" s="5"/>
      <c r="U194" s="5"/>
      <c r="W194" s="5"/>
      <c r="X194" s="5"/>
      <c r="Y194" s="12"/>
      <c r="AA194" s="13"/>
      <c r="AB194" s="12"/>
      <c r="AD194" s="5"/>
      <c r="AE194" s="5"/>
      <c r="AF194" s="5"/>
      <c r="AH194" s="5"/>
      <c r="AI194" s="5"/>
      <c r="AK194" s="5"/>
      <c r="AL194" s="5"/>
      <c r="AM194" s="5"/>
      <c r="AO194" s="5"/>
      <c r="AP194" s="5"/>
      <c r="AR194" s="5"/>
      <c r="AS194" s="5"/>
      <c r="AT194" s="5"/>
      <c r="AV194" s="5"/>
      <c r="AW194" s="5"/>
      <c r="AY194" s="5"/>
      <c r="AZ194" s="5"/>
      <c r="BA194" s="5"/>
      <c r="BC194" s="5"/>
      <c r="BD194" s="5"/>
      <c r="BF194" s="5"/>
      <c r="BG194" s="5"/>
      <c r="BH194" s="5"/>
      <c r="BJ194" s="5"/>
      <c r="BK194" s="5"/>
      <c r="BL194" s="12"/>
      <c r="BM194" s="5"/>
      <c r="BN194" s="5"/>
      <c r="BO194" s="5"/>
      <c r="BQ194" s="5"/>
      <c r="BR194" s="5"/>
      <c r="BT194" s="5"/>
      <c r="BU194" s="5"/>
      <c r="BV194" s="5"/>
      <c r="BX194" s="5"/>
      <c r="BY194" s="5"/>
      <c r="CA194" s="13">
        <v>1</v>
      </c>
      <c r="CB194" s="5">
        <f>CB17*CA194+CC17*CA194+CB21*CA194+CC21*CA194+CB24*CA194+CC24</f>
        <v>0</v>
      </c>
      <c r="CC194" s="11"/>
      <c r="CE194" s="13"/>
      <c r="CF194" s="5"/>
      <c r="CG194" s="12"/>
      <c r="CI194" s="13"/>
      <c r="CJ194" s="5"/>
      <c r="CK194" s="12"/>
      <c r="CM194" s="13"/>
      <c r="CN194" s="5"/>
      <c r="CO194" s="12"/>
      <c r="CQ194" s="13"/>
      <c r="CR194" s="5"/>
      <c r="CS194" s="12"/>
      <c r="CU194" s="13"/>
      <c r="CV194" s="5"/>
      <c r="CW194" s="12"/>
      <c r="CY194" s="13"/>
      <c r="CZ194" s="5"/>
      <c r="DA194" s="12"/>
      <c r="DC194" s="13"/>
      <c r="DD194" s="5"/>
      <c r="DE194" s="12"/>
      <c r="DG194" s="13"/>
      <c r="DH194" s="5"/>
      <c r="DI194" s="12"/>
      <c r="DK194" s="13"/>
      <c r="DL194" s="5"/>
      <c r="DM194" s="12"/>
      <c r="DO194" s="13"/>
      <c r="DP194" s="5"/>
      <c r="DQ194" s="12"/>
      <c r="DS194" s="17"/>
      <c r="DV194" s="5"/>
      <c r="DW194" s="660">
        <f t="shared" si="0"/>
        <v>0</v>
      </c>
    </row>
    <row r="195" spans="1:127" s="6" customFormat="1" ht="15" customHeight="1">
      <c r="A195" s="3">
        <v>38</v>
      </c>
      <c r="B195" s="210" t="s">
        <v>121</v>
      </c>
      <c r="C195" s="473" t="s">
        <v>515</v>
      </c>
      <c r="D195" s="4"/>
      <c r="E195" s="5">
        <v>2</v>
      </c>
      <c r="F195" s="5">
        <f>F17*E195+G17*E195+F21*E195+G21*E195+F24*E195+G24*E195</f>
        <v>0</v>
      </c>
      <c r="G195" s="4"/>
      <c r="H195" s="4">
        <v>1</v>
      </c>
      <c r="I195" s="658">
        <f>SUM(I18,I22,I25)*H195</f>
        <v>0</v>
      </c>
      <c r="J195" s="4"/>
      <c r="K195" s="5">
        <v>2</v>
      </c>
      <c r="L195" s="5">
        <f>L18*K195+M18*K195+L22*K195+M22*K195+L25*K195+M25*K195</f>
        <v>0</v>
      </c>
      <c r="M195" s="5"/>
      <c r="O195" s="5">
        <v>2</v>
      </c>
      <c r="P195" s="5">
        <f>P18*O195+Q18*O195+P22*O195+Q22*O195+P25*O195+Q25*O195</f>
        <v>0</v>
      </c>
      <c r="Q195" s="5"/>
      <c r="S195" s="5">
        <v>1</v>
      </c>
      <c r="T195" s="5">
        <f>T18*S195+U18*S195+T22*S195+U22*S195+T25*S195+U25*S195</f>
        <v>0</v>
      </c>
      <c r="U195" s="5"/>
      <c r="W195" s="5">
        <v>2</v>
      </c>
      <c r="X195" s="5">
        <f>X18*W195+Y18*W195+X22*W195+Y22*W195+X25*W195+Y25*W195</f>
        <v>0</v>
      </c>
      <c r="Y195" s="12"/>
      <c r="AA195" s="13">
        <v>2</v>
      </c>
      <c r="AB195" s="12">
        <f>AB18*AA195+AC18*AA195+AB22*AA195+AC22*AA195+AB25*AA195+AC25*AA195</f>
        <v>0</v>
      </c>
      <c r="AD195" s="5">
        <v>1</v>
      </c>
      <c r="AE195" s="5">
        <f>AE17*AD195+AF17*AD195+AE21*AD195+AF21*AD195+AE24*AD195+AF24*AD195</f>
        <v>0</v>
      </c>
      <c r="AF195" s="5"/>
      <c r="AH195" s="5">
        <v>1</v>
      </c>
      <c r="AI195" s="5">
        <f>AI17*AH195+AJ17*AH195+AI21*AH195+AJ21*AH195+AI24*AH195+AJ24*AH195</f>
        <v>0</v>
      </c>
      <c r="AK195" s="5">
        <v>2</v>
      </c>
      <c r="AL195" s="5">
        <f>AL17*AK195+AM17*AK195+AL21*AK195+AM21*AK195+AL24*AK195+AM24*AK195</f>
        <v>0</v>
      </c>
      <c r="AM195" s="5"/>
      <c r="AO195" s="5">
        <v>2</v>
      </c>
      <c r="AP195" s="5">
        <f>AP17*AO195+AQ17*AO195+AP21*AO195+AQ21*AO195+AP24*AO195+AQ24*AO195</f>
        <v>0</v>
      </c>
      <c r="AR195" s="5">
        <v>2</v>
      </c>
      <c r="AS195" s="5">
        <f>AS18*AR195+AT18*AR195+AS22*AR195+AT22*AR195+AS25*AR195+AT25*AR195</f>
        <v>0</v>
      </c>
      <c r="AT195" s="5"/>
      <c r="AV195" s="5">
        <v>2</v>
      </c>
      <c r="AW195" s="5">
        <f>AW18*AV195+AX18*AV195+AW22*AV195+AX22*AV195+AW25*AV195+AX25*AV195</f>
        <v>0</v>
      </c>
      <c r="AY195" s="5">
        <v>2</v>
      </c>
      <c r="AZ195" s="5">
        <f>AZ17*AY195+BA17*AY195+AZ21*AY195+BA21*AY195+AZ24*AY195+BA24*AY195+AZ18*AY195/2+BA18*AY195/2+AZ22*AY195/2+BA22*AY195/2+AZ25*AY195/2+BA25*AY195/2</f>
        <v>0</v>
      </c>
      <c r="BA195" s="5"/>
      <c r="BC195" s="5">
        <v>2</v>
      </c>
      <c r="BD195" s="5">
        <f>BD17*BC195+BE17*BC195+BD21*BC195+BE21*BC195+BD24*BC195+BE24*BC195+BD18*BC195/2+BE18*BC195/2+BD22*BC195/2+BE22*BC195/2+BD25*BC195/2+BE25*BC195/2</f>
        <v>0</v>
      </c>
      <c r="BF195" s="5">
        <v>3</v>
      </c>
      <c r="BG195" s="5">
        <f>BG18*BF195+BH18*BF195+BG22*BF195+BH22*BF195+BG25*BF195+BH25*BF195</f>
        <v>0</v>
      </c>
      <c r="BH195" s="5"/>
      <c r="BJ195" s="5">
        <v>3</v>
      </c>
      <c r="BK195" s="5">
        <f>BK18*BJ195+BL18*BJ195+BK22*BJ195+BL22*BJ195+BK25*BJ195+BL25*BJ195</f>
        <v>0</v>
      </c>
      <c r="BL195" s="12"/>
      <c r="BM195" s="5">
        <v>3</v>
      </c>
      <c r="BN195" s="5">
        <f>BN18*BM195+BO18*BM195+BN22*BM195+BO22*BM195+BN25*BM195+BO25*BM195</f>
        <v>0</v>
      </c>
      <c r="BO195" s="5"/>
      <c r="BQ195" s="5">
        <v>3</v>
      </c>
      <c r="BR195" s="5">
        <f>BR18*BQ195+BS18*BQ195+BR22*BQ195+BS22*BQ195+BR25*BQ195+BS25*BQ195</f>
        <v>0</v>
      </c>
      <c r="BT195" s="5">
        <v>3</v>
      </c>
      <c r="BU195" s="5">
        <f>BU18*BT195+BV18*BT195+BU22*BT195+BV22*BT195+BU25*BT195+BV25*BT195</f>
        <v>0</v>
      </c>
      <c r="BV195" s="5"/>
      <c r="BX195" s="5">
        <v>3</v>
      </c>
      <c r="BY195" s="5">
        <f>BY18*BX195+BZ18*BX195+BY22*BX195+BZ22*BX195+BY25*BX195+BZ25*BX195</f>
        <v>0</v>
      </c>
      <c r="CA195" s="13">
        <v>1</v>
      </c>
      <c r="CB195" s="5">
        <f>CB17*CA195+CC17*CA195+CB21*CA195+CC21*CA195+CB24*CA195+CC24*CA195+CB18*CA195+CC18*CA195+CB22*CA195+CC22*CA195+CB25*CA195+CC25*CA195</f>
        <v>0</v>
      </c>
      <c r="CC195" s="5"/>
      <c r="CE195" s="13"/>
      <c r="CF195" s="5"/>
      <c r="CG195" s="12"/>
      <c r="CI195" s="13"/>
      <c r="CJ195" s="5"/>
      <c r="CK195" s="12"/>
      <c r="CM195" s="13"/>
      <c r="CN195" s="5"/>
      <c r="CO195" s="12"/>
      <c r="CQ195" s="13"/>
      <c r="CR195" s="5"/>
      <c r="CS195" s="12"/>
      <c r="CU195" s="13"/>
      <c r="CV195" s="5"/>
      <c r="CW195" s="12"/>
      <c r="CY195" s="13"/>
      <c r="CZ195" s="5"/>
      <c r="DA195" s="12"/>
      <c r="DC195" s="13"/>
      <c r="DD195" s="5"/>
      <c r="DE195" s="12"/>
      <c r="DG195" s="13"/>
      <c r="DH195" s="5"/>
      <c r="DI195" s="12"/>
      <c r="DK195" s="13"/>
      <c r="DL195" s="5"/>
      <c r="DM195" s="12"/>
      <c r="DO195" s="13"/>
      <c r="DP195" s="5"/>
      <c r="DQ195" s="12"/>
      <c r="DS195" s="17"/>
      <c r="DV195" s="5"/>
      <c r="DW195" s="660">
        <f t="shared" si="0"/>
        <v>0</v>
      </c>
    </row>
    <row r="196" spans="1:127" s="6" customFormat="1" ht="15" customHeight="1">
      <c r="A196" s="3">
        <v>39</v>
      </c>
      <c r="B196" s="210" t="s">
        <v>122</v>
      </c>
      <c r="C196" s="473" t="s">
        <v>515</v>
      </c>
      <c r="D196" s="4"/>
      <c r="E196" s="5"/>
      <c r="F196" s="5"/>
      <c r="G196" s="4"/>
      <c r="H196" s="4"/>
      <c r="I196" s="4"/>
      <c r="J196" s="4"/>
      <c r="K196" s="5"/>
      <c r="L196" s="5"/>
      <c r="M196" s="5"/>
      <c r="O196" s="5"/>
      <c r="P196" s="5"/>
      <c r="Q196" s="5"/>
      <c r="S196" s="5"/>
      <c r="T196" s="5"/>
      <c r="U196" s="5"/>
      <c r="W196" s="5"/>
      <c r="X196" s="5"/>
      <c r="Y196" s="12"/>
      <c r="AA196" s="13"/>
      <c r="AB196" s="12"/>
      <c r="AD196" s="5"/>
      <c r="AE196" s="5"/>
      <c r="AF196" s="5"/>
      <c r="AH196" s="5"/>
      <c r="AI196" s="5"/>
      <c r="AK196" s="5"/>
      <c r="AL196" s="5"/>
      <c r="AM196" s="5"/>
      <c r="AO196" s="5"/>
      <c r="AP196" s="5"/>
      <c r="AR196" s="5"/>
      <c r="AS196" s="5"/>
      <c r="AT196" s="5"/>
      <c r="AV196" s="5"/>
      <c r="AW196" s="5"/>
      <c r="AY196" s="5"/>
      <c r="AZ196" s="5"/>
      <c r="BA196" s="5"/>
      <c r="BC196" s="5"/>
      <c r="BD196" s="5"/>
      <c r="BF196" s="5"/>
      <c r="BG196" s="5"/>
      <c r="BH196" s="5"/>
      <c r="BJ196" s="5"/>
      <c r="BK196" s="5"/>
      <c r="BL196" s="12"/>
      <c r="BM196" s="5"/>
      <c r="BN196" s="5"/>
      <c r="BO196" s="5"/>
      <c r="BQ196" s="5"/>
      <c r="BR196" s="5"/>
      <c r="BT196" s="5"/>
      <c r="BU196" s="5"/>
      <c r="BV196" s="5"/>
      <c r="BX196" s="5"/>
      <c r="BY196" s="5"/>
      <c r="CA196" s="13">
        <v>1</v>
      </c>
      <c r="CB196" s="5">
        <f>CB18*CA196+CC18*CA196+CB22*CA196+CC22*CA196+CB25*CA196+CC25*CA196</f>
        <v>0</v>
      </c>
      <c r="CC196" s="5"/>
      <c r="CE196" s="13">
        <v>1</v>
      </c>
      <c r="CF196" s="5">
        <f>SUM(CF16:CG16,CF17:CG17,CF20:CG20,CF21:CG21,CF24:CG24)*CE196</f>
        <v>0</v>
      </c>
      <c r="CG196" s="12"/>
      <c r="CI196" s="13">
        <v>1</v>
      </c>
      <c r="CJ196" s="5">
        <f>SUM(CJ16:CK16,CJ17:CK17,CJ20:CK20,CJ21:CK21,CJ24:CK24)*CI196</f>
        <v>0</v>
      </c>
      <c r="CK196" s="12"/>
      <c r="CM196" s="13">
        <v>1</v>
      </c>
      <c r="CN196" s="5">
        <f>SUM(CN16:CO16,CN17:CO17,CN20:CO20,CN21:CO21,CN24:CO24)*CM196</f>
        <v>0</v>
      </c>
      <c r="CO196" s="12"/>
      <c r="CQ196" s="13">
        <v>1</v>
      </c>
      <c r="CR196" s="5">
        <f>SUM(CR16:CS16,CR17:CS17,CR20:CS20,CR21:CS21,CR24:CS24)*CQ196</f>
        <v>0</v>
      </c>
      <c r="CS196" s="12"/>
      <c r="CU196" s="13">
        <v>1</v>
      </c>
      <c r="CV196" s="5">
        <f>SUM(CV16:CW16,CV17:CW17,CV20:CW20,CV21:CW21,CV24:CW24)*CU196</f>
        <v>0</v>
      </c>
      <c r="CW196" s="12"/>
      <c r="CY196" s="13">
        <v>1</v>
      </c>
      <c r="CZ196" s="5">
        <f>SUM(CZ16:DA16,CZ17:DA17)*2+SUM(CZ20:DA20,CZ21:DA21)*2+SUM(CZ24:DA24)*(2)*CY196</f>
        <v>0</v>
      </c>
      <c r="DA196" s="12"/>
      <c r="DC196" s="13">
        <v>1</v>
      </c>
      <c r="DD196" s="5">
        <f>SUM(DD16:DE16,DD17:DE17)*2+SUM(DD20:DE20,DD21:DE21)*2+SUM(DD24:DE24)*(2)*DC196</f>
        <v>0</v>
      </c>
      <c r="DE196" s="12"/>
      <c r="DG196" s="13">
        <v>1</v>
      </c>
      <c r="DH196" s="5">
        <f>SUM(DH16:DI16,DH17:DI17)*2+SUM(DH20:DI20,DH21:DI21)*2+SUM(DH24:DI24)*(2)*DG196</f>
        <v>0</v>
      </c>
      <c r="DI196" s="12"/>
      <c r="DK196" s="13">
        <v>1</v>
      </c>
      <c r="DL196" s="5">
        <f>SUM(DL16:DM16,DL17:DM17)*2+SUM(DL20:DM20,DL21:DM21)*2+SUM(DL24:DM24)*(2)*DK196</f>
        <v>0</v>
      </c>
      <c r="DM196" s="12"/>
      <c r="DO196" s="13">
        <v>1</v>
      </c>
      <c r="DP196" s="5">
        <f>SUM(DP16:DQ16,DP17:DQ17)*2+SUM(DP20:DQ20,DP21:DQ21)*2+SUM(DP24:DQ24)*(2)*DO196</f>
        <v>0</v>
      </c>
      <c r="DQ196" s="12"/>
      <c r="DS196" s="17"/>
      <c r="DV196" s="5"/>
      <c r="DW196" s="660">
        <f t="shared" si="0"/>
        <v>0</v>
      </c>
    </row>
    <row r="197" spans="1:127" s="6" customFormat="1" ht="15" customHeight="1">
      <c r="A197" s="3">
        <v>40</v>
      </c>
      <c r="B197" s="210" t="s">
        <v>123</v>
      </c>
      <c r="C197" s="473" t="s">
        <v>515</v>
      </c>
      <c r="D197" s="4"/>
      <c r="E197" s="5">
        <v>2</v>
      </c>
      <c r="F197" s="5">
        <f>F18*E197+G18*E197+F22*E197+G22*E197+F25*E197+G25*E197</f>
        <v>0</v>
      </c>
      <c r="G197" s="4"/>
      <c r="H197" s="4"/>
      <c r="I197" s="4"/>
      <c r="J197" s="4"/>
      <c r="K197" s="5"/>
      <c r="L197" s="5"/>
      <c r="M197" s="5"/>
      <c r="O197" s="5"/>
      <c r="P197" s="5"/>
      <c r="Q197" s="5"/>
      <c r="S197" s="5"/>
      <c r="T197" s="5"/>
      <c r="U197" s="5"/>
      <c r="W197" s="5"/>
      <c r="X197" s="5"/>
      <c r="Y197" s="12"/>
      <c r="AA197" s="13"/>
      <c r="AB197" s="12"/>
      <c r="AD197" s="5">
        <v>1</v>
      </c>
      <c r="AE197" s="5">
        <f>AE18*AD197+AF18*AD197+AE22*AD197+AF22*AD197+AE25*AD197+AF25*AD197</f>
        <v>0</v>
      </c>
      <c r="AF197" s="5"/>
      <c r="AH197" s="5">
        <v>1</v>
      </c>
      <c r="AI197" s="5">
        <f>AI18*AH197+AJ18*AH197+AI22*AH197+AJ22*AH197+AI25*AH197+AJ25*AH197</f>
        <v>0</v>
      </c>
      <c r="AK197" s="5">
        <v>2</v>
      </c>
      <c r="AL197" s="5">
        <f>AL18*AK197+AM18*AK197+AL22*AK197+AM22*AK197+AL25*AK197+AM25*AK197</f>
        <v>0</v>
      </c>
      <c r="AM197" s="5"/>
      <c r="AO197" s="5">
        <v>2</v>
      </c>
      <c r="AP197" s="5">
        <f>AP18*AO197+AQ18*AO197+AP22*AO197+AQ22*AO197+AP25*AO197+AQ25*AO197</f>
        <v>0</v>
      </c>
      <c r="AR197" s="5"/>
      <c r="AS197" s="5"/>
      <c r="AT197" s="5"/>
      <c r="AV197" s="5"/>
      <c r="AW197" s="5"/>
      <c r="AY197" s="5">
        <v>2</v>
      </c>
      <c r="AZ197" s="5">
        <f>AZ18*AY197+BA18*AY197+AZ22*AY197+BA22*AY197+AZ25*AY197+BA25*AY197</f>
        <v>0</v>
      </c>
      <c r="BA197" s="5"/>
      <c r="BC197" s="5">
        <v>2</v>
      </c>
      <c r="BD197" s="5">
        <f>BD18*BC197+BE18*BC197+BD22*BC197+BE22*BC197+BD25*BC197+BE25*BC197</f>
        <v>0</v>
      </c>
      <c r="BF197" s="5"/>
      <c r="BG197" s="5"/>
      <c r="BH197" s="5"/>
      <c r="BJ197" s="5"/>
      <c r="BK197" s="5"/>
      <c r="BL197" s="12"/>
      <c r="BM197" s="5"/>
      <c r="BN197" s="5"/>
      <c r="BO197" s="5"/>
      <c r="BQ197" s="5"/>
      <c r="BR197" s="5"/>
      <c r="BT197" s="5"/>
      <c r="BU197" s="5"/>
      <c r="BV197" s="5"/>
      <c r="BX197" s="5"/>
      <c r="BY197" s="5"/>
      <c r="CA197" s="13">
        <v>1</v>
      </c>
      <c r="CB197" s="5">
        <f>CB18*CA197+CC18*CA197+CB22*CA197+CC22*CA197+CB25*CA197+CC25*CA197</f>
        <v>0</v>
      </c>
      <c r="CC197" s="11"/>
      <c r="CE197" s="13">
        <v>1</v>
      </c>
      <c r="CF197" s="5">
        <f>SUM(CF16:CG16,CF20:CG20)*CE197</f>
        <v>0</v>
      </c>
      <c r="CG197" s="12"/>
      <c r="CI197" s="13">
        <v>1</v>
      </c>
      <c r="CJ197" s="5">
        <f>SUM(CJ16:CK16,CJ20:CK20)*CI197</f>
        <v>0</v>
      </c>
      <c r="CK197" s="12"/>
      <c r="CM197" s="13">
        <v>1</v>
      </c>
      <c r="CN197" s="5">
        <f>SUM(CN16:CO16,CN20:CO20)*CM197</f>
        <v>0</v>
      </c>
      <c r="CO197" s="12"/>
      <c r="CQ197" s="13">
        <v>1</v>
      </c>
      <c r="CR197" s="5">
        <f>SUM(CR16:CS16,CR20:CS20)*CQ197</f>
        <v>0</v>
      </c>
      <c r="CS197" s="12"/>
      <c r="CU197" s="13">
        <v>1</v>
      </c>
      <c r="CV197" s="5">
        <f>SUM(CV16:CW16,CV20:CW20)*CU197</f>
        <v>0</v>
      </c>
      <c r="CW197" s="12"/>
      <c r="CY197" s="13">
        <v>2</v>
      </c>
      <c r="CZ197" s="5">
        <f>SUM(CZ16:DA16,CZ20:DA20)*CY197</f>
        <v>0</v>
      </c>
      <c r="DA197" s="12"/>
      <c r="DC197" s="13">
        <v>2</v>
      </c>
      <c r="DD197" s="5">
        <f>SUM(DD16:DE16,DD20:DE20)*DC197</f>
        <v>0</v>
      </c>
      <c r="DE197" s="12"/>
      <c r="DG197" s="13">
        <v>2</v>
      </c>
      <c r="DH197" s="5">
        <f>SUM(DH16:DI16,DH20:DI20)*DG197</f>
        <v>0</v>
      </c>
      <c r="DI197" s="12"/>
      <c r="DK197" s="13">
        <v>2</v>
      </c>
      <c r="DL197" s="5">
        <f>SUM(DL16:DM16,DL20:DM20)*DK197</f>
        <v>0</v>
      </c>
      <c r="DM197" s="12"/>
      <c r="DO197" s="13">
        <v>2</v>
      </c>
      <c r="DP197" s="5">
        <f>SUM(DP16:DQ16,DP20:DQ20)*DO197</f>
        <v>0</v>
      </c>
      <c r="DQ197" s="12"/>
      <c r="DS197" s="17"/>
      <c r="DV197" s="5"/>
      <c r="DW197" s="660">
        <f t="shared" si="0"/>
        <v>0</v>
      </c>
    </row>
    <row r="198" spans="1:127" s="6" customFormat="1" ht="15" customHeight="1">
      <c r="A198" s="3">
        <v>41</v>
      </c>
      <c r="B198" s="210" t="s">
        <v>124</v>
      </c>
      <c r="C198" s="473" t="s">
        <v>515</v>
      </c>
      <c r="D198" s="4"/>
      <c r="E198" s="5"/>
      <c r="F198" s="5"/>
      <c r="G198" s="4"/>
      <c r="H198" s="4"/>
      <c r="I198" s="4"/>
      <c r="J198" s="4"/>
      <c r="K198" s="5"/>
      <c r="L198" s="5"/>
      <c r="M198" s="5"/>
      <c r="O198" s="5"/>
      <c r="P198" s="5"/>
      <c r="Q198" s="5"/>
      <c r="S198" s="5"/>
      <c r="T198" s="5"/>
      <c r="U198" s="5"/>
      <c r="W198" s="5"/>
      <c r="X198" s="5"/>
      <c r="Y198" s="12"/>
      <c r="AA198" s="13"/>
      <c r="AB198" s="12"/>
      <c r="AD198" s="5"/>
      <c r="AE198" s="5"/>
      <c r="AF198" s="5"/>
      <c r="AH198" s="5"/>
      <c r="AI198" s="5"/>
      <c r="AK198" s="5"/>
      <c r="AL198" s="5"/>
      <c r="AM198" s="5"/>
      <c r="AO198" s="5"/>
      <c r="AP198" s="5"/>
      <c r="AR198" s="5"/>
      <c r="AS198" s="5"/>
      <c r="AT198" s="5"/>
      <c r="AV198" s="5"/>
      <c r="AW198" s="5"/>
      <c r="AY198" s="5"/>
      <c r="AZ198" s="5"/>
      <c r="BA198" s="5"/>
      <c r="BC198" s="5"/>
      <c r="BD198" s="5"/>
      <c r="BF198" s="5"/>
      <c r="BG198" s="5"/>
      <c r="BH198" s="5"/>
      <c r="BJ198" s="5"/>
      <c r="BK198" s="5"/>
      <c r="BL198" s="12"/>
      <c r="BM198" s="5"/>
      <c r="BN198" s="5"/>
      <c r="BO198" s="5"/>
      <c r="BQ198" s="5"/>
      <c r="BR198" s="5"/>
      <c r="BT198" s="5"/>
      <c r="BU198" s="5"/>
      <c r="BV198" s="5"/>
      <c r="BX198" s="5"/>
      <c r="BY198" s="5"/>
      <c r="CA198" s="13"/>
      <c r="CB198" s="7"/>
      <c r="CC198" s="11"/>
      <c r="CE198" s="13">
        <v>1</v>
      </c>
      <c r="CF198" s="5">
        <f>SUM(CF16:CG16,CF20:CG20,CF18:CG18,CF22:CG22,CF25:CG25)*CE198</f>
        <v>0</v>
      </c>
      <c r="CG198" s="12"/>
      <c r="CI198" s="13">
        <v>1</v>
      </c>
      <c r="CJ198" s="5">
        <f>SUM(CJ16:CK16,CJ20:CK20,CJ18:CK18,CJ22:CK22,CJ25:CK25)*CI198</f>
        <v>0</v>
      </c>
      <c r="CK198" s="12"/>
      <c r="CM198" s="13">
        <v>1</v>
      </c>
      <c r="CN198" s="5">
        <f>SUM(CN16:CO16,CN20:CO20,CN18:CO18,CN22:CO22,CN25:CO25)*CM198</f>
        <v>0</v>
      </c>
      <c r="CO198" s="12"/>
      <c r="CQ198" s="13">
        <v>1</v>
      </c>
      <c r="CR198" s="5">
        <f>SUM(CR16:CS16,CR20:CS20,CR18:CS18,CR22:CS22,CR25:CS25)*CQ198</f>
        <v>0</v>
      </c>
      <c r="CS198" s="12"/>
      <c r="CU198" s="13">
        <v>1</v>
      </c>
      <c r="CV198" s="5">
        <f>SUM(CV16:CW16,CV20:CW20,CV18:CW18,CV22:CW22,CV25:CW25)*CU198</f>
        <v>0</v>
      </c>
      <c r="CW198" s="12"/>
      <c r="CY198" s="13">
        <v>1</v>
      </c>
      <c r="CZ198" s="5">
        <f>SUM(CZ16:DA16,CZ20:DA20,CZ18:DA18)*2+SUM(CZ22:DA22)*2+SUM(CZ25:DA25)*(2)*CY198</f>
        <v>0</v>
      </c>
      <c r="DA198" s="12"/>
      <c r="DC198" s="13">
        <v>1</v>
      </c>
      <c r="DD198" s="5">
        <f>SUM(DD16:DE16,DD20:DE20,DD18:DE18)*2+SUM(DD22:DE22)*2+SUM(DD25:DE25)*(2)*DC198</f>
        <v>0</v>
      </c>
      <c r="DE198" s="12"/>
      <c r="DG198" s="13">
        <v>1</v>
      </c>
      <c r="DH198" s="5">
        <f>SUM(DH16:DI16,DH20:DI20,DH18:DI18)*2+SUM(DH22:DI22)*2+SUM(DH25:DI25)*(2)*DG198</f>
        <v>0</v>
      </c>
      <c r="DI198" s="12"/>
      <c r="DK198" s="13">
        <v>1</v>
      </c>
      <c r="DL198" s="5">
        <f>SUM(DL16:DM16,DL20:DM20,DL18:DM18)*2+SUM(DL22:DM22)*2+SUM(DL25:DM25)*(2)*DK198</f>
        <v>0</v>
      </c>
      <c r="DM198" s="12"/>
      <c r="DO198" s="13">
        <v>1</v>
      </c>
      <c r="DP198" s="5">
        <f>SUM(DP16:DQ16,DP20:DQ20,DP18:DQ18)*2+SUM(DP22:DQ22)*2+SUM(DP25:DQ25)*(2)*DO198</f>
        <v>0</v>
      </c>
      <c r="DQ198" s="12"/>
      <c r="DS198" s="17"/>
      <c r="DV198" s="5"/>
      <c r="DW198" s="660">
        <f t="shared" si="0"/>
        <v>0</v>
      </c>
    </row>
    <row r="199" spans="1:127" s="6" customFormat="1" ht="15" customHeight="1">
      <c r="A199" s="3">
        <v>42</v>
      </c>
      <c r="B199" s="210" t="s">
        <v>125</v>
      </c>
      <c r="C199" s="473" t="s">
        <v>515</v>
      </c>
      <c r="D199" s="4"/>
      <c r="E199" s="5"/>
      <c r="F199" s="5"/>
      <c r="G199" s="4"/>
      <c r="H199" s="4">
        <v>1</v>
      </c>
      <c r="I199" s="658">
        <f>SUM(I19,I23,I26)*H199</f>
        <v>0</v>
      </c>
      <c r="J199" s="4"/>
      <c r="K199" s="5">
        <v>2</v>
      </c>
      <c r="L199" s="5">
        <f>L19*K199+M19*K199+L23*K199+M23*K199+L26*K199+M26*K199</f>
        <v>0</v>
      </c>
      <c r="M199" s="5"/>
      <c r="O199" s="5">
        <v>2</v>
      </c>
      <c r="P199" s="5">
        <f>P19*O199+Q19*O199+P23*O199+Q23*O199+P26*O199+Q26*O199</f>
        <v>0</v>
      </c>
      <c r="Q199" s="5"/>
      <c r="S199" s="5">
        <v>1</v>
      </c>
      <c r="T199" s="5">
        <f>T19*S199+U19*S199+T23*S199+U23*S199+T26*S199+U26*S199</f>
        <v>0</v>
      </c>
      <c r="U199" s="5"/>
      <c r="W199" s="5">
        <v>1</v>
      </c>
      <c r="X199" s="5">
        <f>X19*W199+Y19*W199+X23*W199+Y23*W199+X26*W199+Y26*W199</f>
        <v>0</v>
      </c>
      <c r="Y199" s="12"/>
      <c r="AA199" s="13">
        <v>1</v>
      </c>
      <c r="AB199" s="12">
        <f>AB19*AA199+AC19*AA199+AB23*AA199+AC23*AA199+AB26*AA199+AC26*AA199</f>
        <v>0</v>
      </c>
      <c r="AD199" s="5"/>
      <c r="AE199" s="5"/>
      <c r="AF199" s="5"/>
      <c r="AH199" s="5"/>
      <c r="AI199" s="5"/>
      <c r="AK199" s="5"/>
      <c r="AL199" s="5"/>
      <c r="AM199" s="5"/>
      <c r="AO199" s="5"/>
      <c r="AP199" s="5"/>
      <c r="AR199" s="5">
        <v>2</v>
      </c>
      <c r="AS199" s="5">
        <f>AS19*AR199+AT19*AR199+AS23*AR199+AT23*AR199+AS26*AR199+AT26*AR199</f>
        <v>0</v>
      </c>
      <c r="AT199" s="5"/>
      <c r="AV199" s="5">
        <v>2</v>
      </c>
      <c r="AW199" s="5">
        <f>AW19*AV199+AX19*AV199+AW23*AV199+AX23*AV199+AW26*AV199+AX26*AV199</f>
        <v>0</v>
      </c>
      <c r="AY199" s="5">
        <v>1</v>
      </c>
      <c r="AZ199" s="5">
        <f>AZ19*AY199+BA19*AY199+AZ23*AY199+BA23*AY199+AZ26*AY199+BA26*AY199</f>
        <v>0</v>
      </c>
      <c r="BA199" s="5"/>
      <c r="BC199" s="5">
        <v>1</v>
      </c>
      <c r="BD199" s="5">
        <f>BD19*BC199+BE19*BC199+BD23*BC199+BE23*BC199+BD26*BC199+BE26*BC199</f>
        <v>0</v>
      </c>
      <c r="BF199" s="5">
        <v>3</v>
      </c>
      <c r="BG199" s="5">
        <f>BG19*BF199+BH19*BF199+BG23*BF199+BH23*BF199+BG26*BF199+BH26*BF199</f>
        <v>0</v>
      </c>
      <c r="BH199" s="5"/>
      <c r="BJ199" s="5">
        <v>3</v>
      </c>
      <c r="BK199" s="5">
        <f>BK19*BJ199+BL19*BJ199+BK23*BJ199+BL23*BJ199+BK26*BJ199+BL26*BJ199</f>
        <v>0</v>
      </c>
      <c r="BL199" s="12"/>
      <c r="BM199" s="5">
        <v>3</v>
      </c>
      <c r="BN199" s="5">
        <f>BN19*BM199+BO19*BM199+BN23*BM199+BO23*BM199+BN26*BM199+BO26*BM199</f>
        <v>0</v>
      </c>
      <c r="BO199" s="5"/>
      <c r="BQ199" s="5">
        <v>3</v>
      </c>
      <c r="BR199" s="5">
        <f>BR19*BQ199+BS19*BQ199+BR23*BQ199+BS23*BQ199+BR26*BQ199+BS26*BQ199</f>
        <v>0</v>
      </c>
      <c r="BT199" s="5">
        <v>3</v>
      </c>
      <c r="BU199" s="5">
        <f>BU19*BT199+BV19*BT199+BU23*BT199+BV23*BT199+BU26*BT199+BV26*BT199</f>
        <v>0</v>
      </c>
      <c r="BV199" s="5"/>
      <c r="BX199" s="5">
        <v>3</v>
      </c>
      <c r="BY199" s="5">
        <f>BY19*BX199+BZ19*BX199+BY23*BX199+BZ23*BX199+BY26*BX199+BZ26*BX199</f>
        <v>0</v>
      </c>
      <c r="CA199" s="13">
        <v>1</v>
      </c>
      <c r="CB199" s="5">
        <f>CB19*CA199+CC19*CA199+CB23*CA199+CC23*CA199+CB26*CA199+CC26*CA199</f>
        <v>0</v>
      </c>
      <c r="CC199" s="11"/>
      <c r="CE199" s="13">
        <v>1</v>
      </c>
      <c r="CF199" s="5">
        <f>SUM(CF17:CG17,CF21:CG21,CF24:CG24)*CE199</f>
        <v>0</v>
      </c>
      <c r="CG199" s="12"/>
      <c r="CI199" s="13">
        <v>1</v>
      </c>
      <c r="CJ199" s="5">
        <f>SUM(CJ17:CK17,CJ21:CK21,CJ24:CK24)*CI199</f>
        <v>0</v>
      </c>
      <c r="CK199" s="12"/>
      <c r="CM199" s="13">
        <v>1</v>
      </c>
      <c r="CN199" s="5">
        <f>SUM(CN17:CO17,CN21:CO21,CN24:CO24)*CM199</f>
        <v>0</v>
      </c>
      <c r="CO199" s="12"/>
      <c r="CQ199" s="13">
        <v>1</v>
      </c>
      <c r="CR199" s="5">
        <f>SUM(CR17:CS17,CR21:CS21,CR24:CS24)*CQ199</f>
        <v>0</v>
      </c>
      <c r="CS199" s="12"/>
      <c r="CU199" s="13">
        <v>1</v>
      </c>
      <c r="CV199" s="5">
        <f>SUM(CV17:CW17,CV21:CW21,CV24:CW24)*CU199</f>
        <v>0</v>
      </c>
      <c r="CW199" s="12"/>
      <c r="CY199" s="13">
        <v>1</v>
      </c>
      <c r="CZ199" s="5">
        <f>SUM(CZ17:DA17,CZ21:DA21,CZ24:DA24)*CY199</f>
        <v>0</v>
      </c>
      <c r="DA199" s="12"/>
      <c r="DC199" s="13">
        <v>1</v>
      </c>
      <c r="DD199" s="5">
        <f>SUM(DD17:DE17,DD21:DE21,DD24:DE24)*DC199</f>
        <v>0</v>
      </c>
      <c r="DE199" s="12"/>
      <c r="DG199" s="13">
        <v>1</v>
      </c>
      <c r="DH199" s="5">
        <f>SUM(DH17:DI17,DH21:DI21,DH24:DI24)*DG199</f>
        <v>0</v>
      </c>
      <c r="DI199" s="12"/>
      <c r="DK199" s="13">
        <v>1</v>
      </c>
      <c r="DL199" s="5">
        <f>SUM(DL17:DM17,DL21:DM21,DL24:DM24)*DK199</f>
        <v>0</v>
      </c>
      <c r="DM199" s="12"/>
      <c r="DO199" s="13">
        <v>1</v>
      </c>
      <c r="DP199" s="5">
        <f>SUM(DP17:DQ17,DP21:DQ21,DP24:DQ24)*DO199</f>
        <v>0</v>
      </c>
      <c r="DQ199" s="12"/>
      <c r="DS199" s="17"/>
      <c r="DV199" s="5"/>
      <c r="DW199" s="660">
        <f t="shared" si="0"/>
        <v>0</v>
      </c>
    </row>
    <row r="200" spans="1:127" s="6" customFormat="1" ht="15" customHeight="1">
      <c r="A200" s="3">
        <v>43</v>
      </c>
      <c r="B200" s="210" t="s">
        <v>126</v>
      </c>
      <c r="C200" s="473" t="s">
        <v>515</v>
      </c>
      <c r="D200" s="4"/>
      <c r="E200" s="5"/>
      <c r="F200" s="5"/>
      <c r="G200" s="4"/>
      <c r="H200" s="4"/>
      <c r="I200" s="4"/>
      <c r="J200" s="4"/>
      <c r="K200" s="5"/>
      <c r="L200" s="5"/>
      <c r="M200" s="5"/>
      <c r="O200" s="5"/>
      <c r="P200" s="5"/>
      <c r="Q200" s="5"/>
      <c r="S200" s="5"/>
      <c r="T200" s="5"/>
      <c r="U200" s="5"/>
      <c r="W200" s="5"/>
      <c r="X200" s="5"/>
      <c r="Y200" s="12"/>
      <c r="AA200" s="13"/>
      <c r="AB200" s="12"/>
      <c r="AD200" s="5"/>
      <c r="AE200" s="5"/>
      <c r="AF200" s="5"/>
      <c r="AH200" s="5"/>
      <c r="AI200" s="5"/>
      <c r="AK200" s="5"/>
      <c r="AL200" s="5"/>
      <c r="AM200" s="5"/>
      <c r="AO200" s="5"/>
      <c r="AP200" s="5"/>
      <c r="AR200" s="5"/>
      <c r="AS200" s="5"/>
      <c r="AT200" s="5"/>
      <c r="AV200" s="5"/>
      <c r="AW200" s="5"/>
      <c r="AY200" s="5">
        <v>2</v>
      </c>
      <c r="AZ200" s="5">
        <f>AZ19*AY200+BA19*AY200+AZ23*AY200+BA23*AY200+AZ26*AY200+BA26*AY200</f>
        <v>0</v>
      </c>
      <c r="BA200" s="5"/>
      <c r="BC200" s="5">
        <v>2</v>
      </c>
      <c r="BD200" s="5">
        <f>BD19*BC200+BE19*BC200+BD23*BC200+BE23*BC200+BD26*BC200+BE26*BC200</f>
        <v>0</v>
      </c>
      <c r="BF200" s="5"/>
      <c r="BG200" s="5"/>
      <c r="BH200" s="5"/>
      <c r="BJ200" s="5"/>
      <c r="BK200" s="5"/>
      <c r="BL200" s="12"/>
      <c r="BM200" s="5"/>
      <c r="BN200" s="5"/>
      <c r="BO200" s="5"/>
      <c r="BQ200" s="5"/>
      <c r="BR200" s="5"/>
      <c r="BT200" s="5"/>
      <c r="BU200" s="5"/>
      <c r="BV200" s="5"/>
      <c r="BX200" s="5"/>
      <c r="BY200" s="5"/>
      <c r="CA200" s="13">
        <v>1</v>
      </c>
      <c r="CB200" s="5">
        <f>CB19*CA200+CC19*CA200+CB23*CA200+CC23*CA200+CB26*CA200+CC26*CA200</f>
        <v>0</v>
      </c>
      <c r="CC200" s="11"/>
      <c r="CE200" s="13">
        <v>1</v>
      </c>
      <c r="CF200" s="5">
        <f>SUM(CF17:CG17,CF21:CG21,CF24:CG24)*CE200</f>
        <v>0</v>
      </c>
      <c r="CG200" s="12"/>
      <c r="CI200" s="13">
        <v>1</v>
      </c>
      <c r="CJ200" s="5">
        <f>SUM(CJ17:CK17,CJ21:CK21,CJ24:CK24)*CI200</f>
        <v>0</v>
      </c>
      <c r="CK200" s="12"/>
      <c r="CM200" s="13">
        <v>1</v>
      </c>
      <c r="CN200" s="5">
        <f>SUM(CN17:CO17,CN21:CO21,CN24:CO24)*CM200</f>
        <v>0</v>
      </c>
      <c r="CO200" s="12"/>
      <c r="CQ200" s="13">
        <v>1</v>
      </c>
      <c r="CR200" s="5">
        <f>SUM(CR17:CS17,CR21:CS21,CR24:CS24)*CQ200</f>
        <v>0</v>
      </c>
      <c r="CS200" s="12"/>
      <c r="CU200" s="13">
        <v>1</v>
      </c>
      <c r="CV200" s="5">
        <f>SUM(CV17:CW17,CV21:CW21,CV24:CW24)*CU200</f>
        <v>0</v>
      </c>
      <c r="CW200" s="12"/>
      <c r="CY200" s="13">
        <v>1</v>
      </c>
      <c r="CZ200" s="5">
        <f>SUM(CZ17:DA17,CZ21:DA21,CZ24:DA24)*CY200</f>
        <v>0</v>
      </c>
      <c r="DA200" s="12"/>
      <c r="DC200" s="13">
        <v>1</v>
      </c>
      <c r="DD200" s="5">
        <f>SUM(DD17:DE17,DD21:DE21,DD24:DE24)*DC200</f>
        <v>0</v>
      </c>
      <c r="DE200" s="12"/>
      <c r="DG200" s="13">
        <v>1</v>
      </c>
      <c r="DH200" s="5">
        <f>SUM(DH17:DI17,DH21:DI21,DH24:DI24)*DG200</f>
        <v>0</v>
      </c>
      <c r="DI200" s="12"/>
      <c r="DK200" s="13">
        <v>1</v>
      </c>
      <c r="DL200" s="5">
        <f>SUM(DL17:DM17,DL21:DM21,DL24:DM24)*DK200</f>
        <v>0</v>
      </c>
      <c r="DM200" s="12"/>
      <c r="DO200" s="13">
        <v>1</v>
      </c>
      <c r="DP200" s="5">
        <f>SUM(DP17:DQ17,DP21:DQ21,DP24:DQ24)*DO200</f>
        <v>0</v>
      </c>
      <c r="DQ200" s="12"/>
      <c r="DS200" s="17"/>
      <c r="DV200" s="5"/>
      <c r="DW200" s="660">
        <f t="shared" si="0"/>
        <v>0</v>
      </c>
    </row>
    <row r="201" spans="1:127" s="6" customFormat="1" ht="15" customHeight="1">
      <c r="A201" s="3">
        <v>44</v>
      </c>
      <c r="B201" s="210" t="s">
        <v>127</v>
      </c>
      <c r="C201" s="473" t="s">
        <v>515</v>
      </c>
      <c r="D201" s="4"/>
      <c r="E201" s="5">
        <v>2</v>
      </c>
      <c r="F201" s="5">
        <f>F19*E201+G19*E201+F23*E201+G23*E201+F26*E201+G26*E201</f>
        <v>0</v>
      </c>
      <c r="G201" s="4"/>
      <c r="H201" s="4"/>
      <c r="I201" s="4"/>
      <c r="J201" s="4"/>
      <c r="K201" s="5"/>
      <c r="L201" s="5"/>
      <c r="M201" s="5"/>
      <c r="O201" s="5"/>
      <c r="P201" s="5"/>
      <c r="Q201" s="5"/>
      <c r="S201" s="5"/>
      <c r="T201" s="5"/>
      <c r="U201" s="5"/>
      <c r="W201" s="5"/>
      <c r="X201" s="5"/>
      <c r="Y201" s="12"/>
      <c r="AA201" s="13"/>
      <c r="AB201" s="12"/>
      <c r="AD201" s="5">
        <v>1</v>
      </c>
      <c r="AE201" s="5">
        <f>AE19*AD201+AF19*AD201+AE23*AD201+AF23*AD201+AE26*AD201+AF26*AD201</f>
        <v>0</v>
      </c>
      <c r="AF201" s="5"/>
      <c r="AH201" s="5">
        <v>1</v>
      </c>
      <c r="AI201" s="5">
        <f>AI19*AH201+AJ19*AH201+AI23*AH201+AJ23*AH201+AI26*AH201+AJ26*AH201</f>
        <v>0</v>
      </c>
      <c r="AK201" s="5">
        <v>2</v>
      </c>
      <c r="AL201" s="5">
        <f>AL19*AK201+AM19*AK201+AL23*AK201+AM23*AK201+AL26*AK201+AM26*AK201</f>
        <v>0</v>
      </c>
      <c r="AM201" s="5"/>
      <c r="AO201" s="5">
        <v>2</v>
      </c>
      <c r="AP201" s="5">
        <f>AP19*AO201+AQ19*AO201+AP23*AO201+AQ23*AO201+AP26*AO201+AQ26*AO201</f>
        <v>0</v>
      </c>
      <c r="AR201" s="5"/>
      <c r="AS201" s="5"/>
      <c r="AT201" s="5"/>
      <c r="AV201" s="5"/>
      <c r="AW201" s="5"/>
      <c r="AY201" s="5"/>
      <c r="AZ201" s="5"/>
      <c r="BA201" s="5"/>
      <c r="BC201" s="5"/>
      <c r="BD201" s="5"/>
      <c r="BF201" s="5"/>
      <c r="BG201" s="5"/>
      <c r="BH201" s="5"/>
      <c r="BJ201" s="5"/>
      <c r="BK201" s="5"/>
      <c r="BL201" s="12"/>
      <c r="BM201" s="5"/>
      <c r="BN201" s="5"/>
      <c r="BO201" s="5"/>
      <c r="BQ201" s="5"/>
      <c r="BR201" s="5"/>
      <c r="BT201" s="5"/>
      <c r="BU201" s="5"/>
      <c r="BV201" s="5"/>
      <c r="BX201" s="5"/>
      <c r="BY201" s="5"/>
      <c r="CA201" s="13">
        <v>1</v>
      </c>
      <c r="CB201" s="5">
        <f>CB19*CA201+CC19*CA201+CB23*CA201+CC23*CA201+CB26*CA201+CC26*CA201</f>
        <v>0</v>
      </c>
      <c r="CC201" s="11"/>
      <c r="CE201" s="13">
        <v>1</v>
      </c>
      <c r="CF201" s="5">
        <f>SUM(CF17:CG17,CF21:CG21,CF24:CG24,CF18:CG18,CF22:CG22,CF25:CG25)*CE201</f>
        <v>0</v>
      </c>
      <c r="CG201" s="12"/>
      <c r="CI201" s="13">
        <v>1</v>
      </c>
      <c r="CJ201" s="5">
        <f>SUM(CJ17:CK17,CJ21:CK21,CJ24:CK24,CJ18:CK18,CJ22:CK22,CJ25:CK25)*CI201</f>
        <v>0</v>
      </c>
      <c r="CK201" s="12"/>
      <c r="CM201" s="13">
        <v>1</v>
      </c>
      <c r="CN201" s="5">
        <f>SUM(CN17:CO17,CN21:CO21,CN24:CO24,CN18:CO18,CN22:CO22,CN25:CO25)*CM201</f>
        <v>0</v>
      </c>
      <c r="CO201" s="12"/>
      <c r="CQ201" s="13">
        <v>1</v>
      </c>
      <c r="CR201" s="5">
        <f>SUM(CR17:CS17,CR21:CS21,CR24:CS24,CR18:CS18,CR22:CS22,CR25:CS25)*CQ201</f>
        <v>0</v>
      </c>
      <c r="CS201" s="12"/>
      <c r="CU201" s="13">
        <v>1</v>
      </c>
      <c r="CV201" s="5">
        <f>SUM(CV17:CW17,CV21:CW21,CV24:CW24,CV18:CW18,CV22:CW22,CV25:CW25)*CU201</f>
        <v>0</v>
      </c>
      <c r="CW201" s="12"/>
      <c r="CY201" s="13">
        <v>1</v>
      </c>
      <c r="CZ201" s="5">
        <f>SUM(CZ17:DA17,CZ21:DA21,CZ24:DA24,CZ18:DA18,CZ22:DA22,CZ25:DA25)*CY201</f>
        <v>0</v>
      </c>
      <c r="DA201" s="12"/>
      <c r="DC201" s="13">
        <v>1</v>
      </c>
      <c r="DD201" s="5">
        <f>SUM(DD17:DE17,DD21:DE21,DD24:DE24,DD18:DE18,DD22:DE22,DD25:DE25)*DC201</f>
        <v>0</v>
      </c>
      <c r="DE201" s="12"/>
      <c r="DG201" s="13">
        <v>1</v>
      </c>
      <c r="DH201" s="5">
        <f>SUM(DH17:DI17,DH21:DI21,DH24:DI24,DH18:DI18,DH22:DI22,DH25:DI25)*DG201</f>
        <v>0</v>
      </c>
      <c r="DI201" s="12"/>
      <c r="DK201" s="13">
        <v>1</v>
      </c>
      <c r="DL201" s="5">
        <f>SUM(DL17:DM17,DL21:DM21,DL24:DM24,DL18:DM18,DL22:DM22,DL25:DM25)*DK201</f>
        <v>0</v>
      </c>
      <c r="DM201" s="12"/>
      <c r="DO201" s="13">
        <v>1</v>
      </c>
      <c r="DP201" s="5">
        <f>SUM(DP17:DQ17,DP21:DQ21,DP24:DQ24,DP18:DQ18,DP22:DQ22,DP25:DQ25)*DO201</f>
        <v>0</v>
      </c>
      <c r="DQ201" s="12"/>
      <c r="DS201" s="17"/>
      <c r="DV201" s="5"/>
      <c r="DW201" s="660">
        <f t="shared" si="0"/>
        <v>0</v>
      </c>
    </row>
    <row r="202" spans="1:127" s="6" customFormat="1" ht="15" customHeight="1">
      <c r="A202" s="3">
        <v>45</v>
      </c>
      <c r="B202" s="210" t="s">
        <v>211</v>
      </c>
      <c r="C202" s="473" t="s">
        <v>515</v>
      </c>
      <c r="D202" s="4"/>
      <c r="E202" s="5"/>
      <c r="F202" s="5"/>
      <c r="G202" s="4"/>
      <c r="H202" s="4"/>
      <c r="I202" s="4"/>
      <c r="J202" s="4"/>
      <c r="K202" s="5"/>
      <c r="L202" s="5"/>
      <c r="M202" s="5"/>
      <c r="O202" s="5"/>
      <c r="P202" s="5"/>
      <c r="Q202" s="5"/>
      <c r="S202" s="5"/>
      <c r="T202" s="5"/>
      <c r="U202" s="5"/>
      <c r="W202" s="5"/>
      <c r="X202" s="5"/>
      <c r="Y202" s="12"/>
      <c r="AA202" s="13"/>
      <c r="AB202" s="12"/>
      <c r="AD202" s="13"/>
      <c r="AE202" s="5"/>
      <c r="AF202" s="5"/>
      <c r="AH202" s="13"/>
      <c r="AI202" s="5"/>
      <c r="AK202" s="5"/>
      <c r="AL202" s="5"/>
      <c r="AM202" s="5"/>
      <c r="AO202" s="5"/>
      <c r="AP202" s="5"/>
      <c r="AR202" s="5"/>
      <c r="AS202" s="5"/>
      <c r="AT202" s="5"/>
      <c r="AV202" s="5"/>
      <c r="AW202" s="5"/>
      <c r="AY202" s="5"/>
      <c r="AZ202" s="5"/>
      <c r="BA202" s="5"/>
      <c r="BC202" s="5"/>
      <c r="BD202" s="5"/>
      <c r="BF202" s="13"/>
      <c r="BG202" s="5"/>
      <c r="BH202" s="5"/>
      <c r="BJ202" s="13"/>
      <c r="BK202" s="5"/>
      <c r="BL202" s="12"/>
      <c r="BM202" s="13"/>
      <c r="BN202" s="5"/>
      <c r="BO202" s="5"/>
      <c r="BQ202" s="13"/>
      <c r="BR202" s="5"/>
      <c r="BT202" s="13"/>
      <c r="BU202" s="5"/>
      <c r="BV202" s="5"/>
      <c r="BX202" s="13"/>
      <c r="BY202" s="5"/>
      <c r="CA202" s="13"/>
      <c r="CB202" s="5"/>
      <c r="CC202" s="11"/>
      <c r="CE202" s="13">
        <v>1</v>
      </c>
      <c r="CF202" s="5">
        <f>SUM(CF18:CG18,CF22:CG22,CF25:CG25,CF19:CG19,CF23:CG23,CF26:CG26)*CE202</f>
        <v>0</v>
      </c>
      <c r="CG202" s="12"/>
      <c r="CI202" s="13">
        <v>1</v>
      </c>
      <c r="CJ202" s="5">
        <f>SUM(CJ18:CK18,CJ22:CK22,CJ25:CK25,CJ19:CK19,CJ23:CK23,CJ26:CK26)*CI202</f>
        <v>0</v>
      </c>
      <c r="CK202" s="12"/>
      <c r="CM202" s="13">
        <v>1</v>
      </c>
      <c r="CN202" s="5">
        <f>SUM(CN18:CO18,CN22:CO22,CN25:CO25,CN19:CO19,CN23:CO23,CN26:CO26)*CM202</f>
        <v>0</v>
      </c>
      <c r="CO202" s="12"/>
      <c r="CQ202" s="13">
        <v>1</v>
      </c>
      <c r="CR202" s="5">
        <f>SUM(CR18:CS18,CR22:CS22,CR25:CS25,CR19:CS19,CR23:CS23,CR26:CS26)*CQ202</f>
        <v>0</v>
      </c>
      <c r="CS202" s="12"/>
      <c r="CU202" s="13">
        <v>1</v>
      </c>
      <c r="CV202" s="5">
        <f>SUM(CV18:CW18,CV22:CW22,CV25:CW25,CV19:CW19,CV23:CW23,CV26:CW26)*CU202</f>
        <v>0</v>
      </c>
      <c r="CW202" s="12"/>
      <c r="CY202" s="13">
        <v>1</v>
      </c>
      <c r="CZ202" s="5">
        <f>SUM(CZ18:DA18,CZ22:DA22,CZ25:DA25,CZ19:DA19)*2+SUM(CZ23:DA23)*2+SUM(CZ26:DA26)*(2)*CY202</f>
        <v>0</v>
      </c>
      <c r="DA202" s="12"/>
      <c r="DC202" s="13">
        <v>1</v>
      </c>
      <c r="DD202" s="5">
        <f>SUM(DD18:DE18,DD22:DE22,DD25:DE25,DD19:DE19)*2+SUM(DD23:DE23)*2+SUM(DD26:DE26)*(2)*DC202</f>
        <v>0</v>
      </c>
      <c r="DE202" s="12"/>
      <c r="DG202" s="13">
        <v>1</v>
      </c>
      <c r="DH202" s="5">
        <f>SUM(DH18:DI18,DH22:DI22,DH25:DI25,DH19:DI19)*2+SUM(DH23:DI23)*2+SUM(DH26:DI26)*(2)*DG202</f>
        <v>0</v>
      </c>
      <c r="DI202" s="12"/>
      <c r="DK202" s="13">
        <v>1</v>
      </c>
      <c r="DL202" s="5">
        <f>SUM(DL18:DM18,DL22:DM22,DL25:DM25,DL19:DM19)*2+SUM(DL23:DM23)*2+SUM(DL26:DM26)*(2)*DK202</f>
        <v>0</v>
      </c>
      <c r="DM202" s="12"/>
      <c r="DO202" s="13">
        <v>1</v>
      </c>
      <c r="DP202" s="5">
        <f>SUM(DP18:DQ18,DP22:DQ22,DP25:DQ25,DP19:DQ19)*2+SUM(DP23:DQ23)*2+SUM(DP26:DQ26)*(2)*DO202</f>
        <v>0</v>
      </c>
      <c r="DQ202" s="12"/>
      <c r="DS202" s="5"/>
      <c r="DV202" s="5"/>
      <c r="DW202" s="660">
        <f t="shared" si="0"/>
        <v>0</v>
      </c>
    </row>
    <row r="203" spans="1:127" s="6" customFormat="1" ht="15" customHeight="1">
      <c r="A203" s="3"/>
      <c r="B203" s="117" t="s">
        <v>1020</v>
      </c>
      <c r="C203" s="4" t="s">
        <v>0</v>
      </c>
      <c r="D203" s="4"/>
      <c r="E203" s="5"/>
      <c r="F203" s="5"/>
      <c r="G203" s="4"/>
      <c r="H203" s="4"/>
      <c r="I203" s="4"/>
      <c r="J203" s="4"/>
      <c r="K203" s="5"/>
      <c r="L203" s="5"/>
      <c r="M203" s="5"/>
      <c r="O203" s="5"/>
      <c r="P203" s="5"/>
      <c r="Q203" s="5"/>
      <c r="S203" s="5"/>
      <c r="T203" s="5"/>
      <c r="U203" s="5"/>
      <c r="W203" s="5"/>
      <c r="X203" s="5"/>
      <c r="Y203" s="12"/>
      <c r="AA203" s="13"/>
      <c r="AB203" s="12"/>
      <c r="AD203" s="13"/>
      <c r="AE203" s="5"/>
      <c r="AF203" s="5"/>
      <c r="AH203" s="13"/>
      <c r="AI203" s="5"/>
      <c r="AK203" s="5"/>
      <c r="AL203" s="5"/>
      <c r="AM203" s="5"/>
      <c r="AO203" s="5"/>
      <c r="AP203" s="5"/>
      <c r="AR203" s="5"/>
      <c r="AS203" s="5"/>
      <c r="AT203" s="5"/>
      <c r="AV203" s="5"/>
      <c r="AW203" s="5"/>
      <c r="AY203" s="5"/>
      <c r="AZ203" s="5"/>
      <c r="BA203" s="5"/>
      <c r="BC203" s="5"/>
      <c r="BD203" s="5"/>
      <c r="BF203" s="13"/>
      <c r="BG203" s="5"/>
      <c r="BH203" s="5"/>
      <c r="BJ203" s="13"/>
      <c r="BK203" s="5"/>
      <c r="BL203" s="12"/>
      <c r="BM203" s="13"/>
      <c r="BN203" s="5"/>
      <c r="BO203" s="5"/>
      <c r="BQ203" s="13"/>
      <c r="BR203" s="5"/>
      <c r="BT203" s="13"/>
      <c r="BU203" s="5"/>
      <c r="BV203" s="5"/>
      <c r="BX203" s="13"/>
      <c r="BY203" s="5"/>
      <c r="CA203" s="13"/>
      <c r="CB203" s="5"/>
      <c r="CC203" s="11"/>
      <c r="CE203" s="13">
        <v>1</v>
      </c>
      <c r="CF203" s="5">
        <f>SUM(CF18:CG18,CF22:CG22,CF25:CG25)*CE203</f>
        <v>0</v>
      </c>
      <c r="CG203" s="12"/>
      <c r="CI203" s="13">
        <v>1</v>
      </c>
      <c r="CJ203" s="5">
        <f>SUM(CJ18:CK18,CJ22:CK22,CJ25:CK25)*CI203</f>
        <v>0</v>
      </c>
      <c r="CK203" s="12"/>
      <c r="CM203" s="13">
        <v>1</v>
      </c>
      <c r="CN203" s="5">
        <f>SUM(CN18:CO18,CN22:CO22,CN25:CO25)*CM203</f>
        <v>0</v>
      </c>
      <c r="CO203" s="12"/>
      <c r="CQ203" s="13">
        <v>1</v>
      </c>
      <c r="CR203" s="5">
        <f>SUM(CR18:CS18,CR22:CS22,CR25:CS25)*CQ203</f>
        <v>0</v>
      </c>
      <c r="CS203" s="12"/>
      <c r="CU203" s="13">
        <v>1</v>
      </c>
      <c r="CV203" s="5">
        <f>SUM(CV18:CW18,CV22:CW22,CV25:CW25)*CU203</f>
        <v>0</v>
      </c>
      <c r="CW203" s="12"/>
      <c r="CY203" s="13">
        <v>1</v>
      </c>
      <c r="CZ203" s="5">
        <f>SUM(CZ18:DA18,CZ22:DA22,CZ25:DA25)*CY203</f>
        <v>0</v>
      </c>
      <c r="DA203" s="12"/>
      <c r="DC203" s="13">
        <v>1</v>
      </c>
      <c r="DD203" s="5">
        <f>SUM(DD18:DE18,DD22:DE22,DD25:DE25)*DC203</f>
        <v>0</v>
      </c>
      <c r="DE203" s="12"/>
      <c r="DG203" s="13">
        <v>1</v>
      </c>
      <c r="DH203" s="5">
        <f>SUM(DH18:DI18,DH22:DI22,DH25:DI25)*DG203</f>
        <v>0</v>
      </c>
      <c r="DI203" s="12"/>
      <c r="DK203" s="13">
        <v>1</v>
      </c>
      <c r="DL203" s="5">
        <f>SUM(DL18:DM18,DL22:DM22,DL25:DM25)*DK203</f>
        <v>0</v>
      </c>
      <c r="DM203" s="12"/>
      <c r="DO203" s="13">
        <v>1</v>
      </c>
      <c r="DP203" s="5">
        <f>SUM(DP18:DQ18,DP22:DQ22,DP25:DQ25)*DO203</f>
        <v>0</v>
      </c>
      <c r="DQ203" s="12"/>
      <c r="DS203" s="5"/>
      <c r="DV203" s="5"/>
      <c r="DW203" s="660">
        <f t="shared" si="0"/>
        <v>0</v>
      </c>
    </row>
    <row r="204" spans="1:127" s="6" customFormat="1" ht="15" customHeight="1">
      <c r="A204" s="3"/>
      <c r="B204" s="117" t="s">
        <v>1255</v>
      </c>
      <c r="C204" s="4" t="s">
        <v>0</v>
      </c>
      <c r="D204" s="4"/>
      <c r="E204" s="5"/>
      <c r="F204" s="5"/>
      <c r="G204" s="4"/>
      <c r="H204" s="4"/>
      <c r="I204" s="4"/>
      <c r="J204" s="4"/>
      <c r="K204" s="5"/>
      <c r="L204" s="5"/>
      <c r="M204" s="5"/>
      <c r="O204" s="5"/>
      <c r="P204" s="5"/>
      <c r="Q204" s="5"/>
      <c r="S204" s="5"/>
      <c r="T204" s="5"/>
      <c r="U204" s="5"/>
      <c r="W204" s="5"/>
      <c r="X204" s="5"/>
      <c r="Y204" s="12"/>
      <c r="AA204" s="13"/>
      <c r="AB204" s="12"/>
      <c r="AD204" s="13"/>
      <c r="AE204" s="5"/>
      <c r="AF204" s="5"/>
      <c r="AH204" s="13"/>
      <c r="AI204" s="5"/>
      <c r="AK204" s="5"/>
      <c r="AL204" s="5"/>
      <c r="AM204" s="5"/>
      <c r="AO204" s="5"/>
      <c r="AP204" s="5"/>
      <c r="AR204" s="5"/>
      <c r="AS204" s="5"/>
      <c r="AT204" s="5"/>
      <c r="AV204" s="5"/>
      <c r="AW204" s="5"/>
      <c r="AY204" s="5"/>
      <c r="AZ204" s="5"/>
      <c r="BA204" s="5"/>
      <c r="BC204" s="5"/>
      <c r="BD204" s="5"/>
      <c r="BF204" s="13"/>
      <c r="BG204" s="5"/>
      <c r="BH204" s="5"/>
      <c r="BJ204" s="13"/>
      <c r="BK204" s="5"/>
      <c r="BL204" s="12"/>
      <c r="BM204" s="13"/>
      <c r="BN204" s="5"/>
      <c r="BO204" s="5"/>
      <c r="BQ204" s="13"/>
      <c r="BR204" s="5"/>
      <c r="BT204" s="13"/>
      <c r="BU204" s="5"/>
      <c r="BV204" s="5"/>
      <c r="BX204" s="13"/>
      <c r="BY204" s="5"/>
      <c r="CA204" s="13"/>
      <c r="CB204" s="5"/>
      <c r="CC204" s="11"/>
      <c r="CE204" s="13"/>
      <c r="CF204" s="5"/>
      <c r="CG204" s="12"/>
      <c r="CI204" s="13"/>
      <c r="CJ204" s="5"/>
      <c r="CK204" s="12"/>
      <c r="CM204" s="13"/>
      <c r="CN204" s="5"/>
      <c r="CO204" s="12"/>
      <c r="CQ204" s="13"/>
      <c r="CR204" s="5"/>
      <c r="CS204" s="12"/>
      <c r="CU204" s="13"/>
      <c r="CV204" s="5"/>
      <c r="CW204" s="12"/>
      <c r="CY204" s="13"/>
      <c r="CZ204" s="5"/>
      <c r="DA204" s="12"/>
      <c r="DC204" s="13"/>
      <c r="DD204" s="5"/>
      <c r="DE204" s="12"/>
      <c r="DG204" s="13"/>
      <c r="DH204" s="5"/>
      <c r="DI204" s="12"/>
      <c r="DK204" s="13"/>
      <c r="DL204" s="5"/>
      <c r="DM204" s="12"/>
      <c r="DO204" s="13"/>
      <c r="DP204" s="5"/>
      <c r="DQ204" s="12"/>
      <c r="DS204" s="5"/>
      <c r="DV204" s="5"/>
      <c r="DW204" s="660">
        <f t="shared" si="0"/>
        <v>0</v>
      </c>
    </row>
    <row r="205" spans="1:127" s="6" customFormat="1" ht="15" customHeight="1">
      <c r="A205" s="3"/>
      <c r="B205" s="117" t="s">
        <v>1256</v>
      </c>
      <c r="C205" s="4" t="s">
        <v>0</v>
      </c>
      <c r="D205" s="4"/>
      <c r="E205" s="5"/>
      <c r="F205" s="5"/>
      <c r="G205" s="4"/>
      <c r="H205" s="4"/>
      <c r="I205" s="4"/>
      <c r="J205" s="4"/>
      <c r="K205" s="5"/>
      <c r="L205" s="5"/>
      <c r="M205" s="5"/>
      <c r="O205" s="5"/>
      <c r="P205" s="5"/>
      <c r="Q205" s="5"/>
      <c r="S205" s="5"/>
      <c r="T205" s="5"/>
      <c r="U205" s="5"/>
      <c r="W205" s="5"/>
      <c r="X205" s="5"/>
      <c r="Y205" s="12"/>
      <c r="AA205" s="13"/>
      <c r="AB205" s="12"/>
      <c r="AD205" s="13"/>
      <c r="AE205" s="5"/>
      <c r="AF205" s="5"/>
      <c r="AH205" s="13"/>
      <c r="AI205" s="5"/>
      <c r="AK205" s="5"/>
      <c r="AL205" s="5"/>
      <c r="AM205" s="5"/>
      <c r="AO205" s="5"/>
      <c r="AP205" s="5"/>
      <c r="AR205" s="5"/>
      <c r="AS205" s="5"/>
      <c r="AT205" s="5"/>
      <c r="AV205" s="5"/>
      <c r="AW205" s="5"/>
      <c r="AY205" s="5"/>
      <c r="AZ205" s="5"/>
      <c r="BA205" s="5"/>
      <c r="BC205" s="5"/>
      <c r="BD205" s="5"/>
      <c r="BF205" s="13"/>
      <c r="BG205" s="5"/>
      <c r="BH205" s="5"/>
      <c r="BJ205" s="13"/>
      <c r="BK205" s="5"/>
      <c r="BL205" s="12"/>
      <c r="BM205" s="13"/>
      <c r="BN205" s="5"/>
      <c r="BO205" s="5"/>
      <c r="BQ205" s="13"/>
      <c r="BR205" s="5"/>
      <c r="BT205" s="13"/>
      <c r="BU205" s="5"/>
      <c r="BV205" s="5"/>
      <c r="BX205" s="13"/>
      <c r="BY205" s="5"/>
      <c r="CA205" s="13"/>
      <c r="CB205" s="5"/>
      <c r="CC205" s="11"/>
      <c r="CE205" s="13"/>
      <c r="CF205" s="5"/>
      <c r="CG205" s="12"/>
      <c r="CI205" s="13"/>
      <c r="CJ205" s="5"/>
      <c r="CK205" s="12"/>
      <c r="CM205" s="13"/>
      <c r="CN205" s="5"/>
      <c r="CO205" s="12"/>
      <c r="CQ205" s="13"/>
      <c r="CR205" s="5"/>
      <c r="CS205" s="12"/>
      <c r="CU205" s="13"/>
      <c r="CV205" s="5"/>
      <c r="CW205" s="12"/>
      <c r="CY205" s="13"/>
      <c r="CZ205" s="5"/>
      <c r="DA205" s="12"/>
      <c r="DC205" s="13"/>
      <c r="DD205" s="5"/>
      <c r="DE205" s="12"/>
      <c r="DG205" s="13"/>
      <c r="DH205" s="5"/>
      <c r="DI205" s="12"/>
      <c r="DK205" s="13"/>
      <c r="DL205" s="5"/>
      <c r="DM205" s="12"/>
      <c r="DO205" s="13"/>
      <c r="DP205" s="5"/>
      <c r="DQ205" s="12"/>
      <c r="DS205" s="5"/>
      <c r="DV205" s="5"/>
      <c r="DW205" s="660">
        <f t="shared" si="0"/>
        <v>0</v>
      </c>
    </row>
    <row r="206" spans="1:127" s="6" customFormat="1" ht="15" customHeight="1">
      <c r="A206" s="3"/>
      <c r="B206" s="117" t="s">
        <v>1257</v>
      </c>
      <c r="C206" s="4" t="s">
        <v>0</v>
      </c>
      <c r="D206" s="4"/>
      <c r="E206" s="5"/>
      <c r="F206" s="5"/>
      <c r="G206" s="4"/>
      <c r="H206" s="4"/>
      <c r="I206" s="4"/>
      <c r="J206" s="4"/>
      <c r="K206" s="5"/>
      <c r="L206" s="5"/>
      <c r="M206" s="5"/>
      <c r="O206" s="5"/>
      <c r="P206" s="5"/>
      <c r="Q206" s="5"/>
      <c r="S206" s="5"/>
      <c r="T206" s="5"/>
      <c r="U206" s="5"/>
      <c r="W206" s="5"/>
      <c r="X206" s="5"/>
      <c r="Y206" s="12"/>
      <c r="AA206" s="13"/>
      <c r="AB206" s="12"/>
      <c r="AD206" s="13"/>
      <c r="AE206" s="5"/>
      <c r="AF206" s="5"/>
      <c r="AH206" s="13"/>
      <c r="AI206" s="5"/>
      <c r="AK206" s="5"/>
      <c r="AL206" s="5"/>
      <c r="AM206" s="5"/>
      <c r="AO206" s="5"/>
      <c r="AP206" s="5"/>
      <c r="AR206" s="5"/>
      <c r="AS206" s="5"/>
      <c r="AT206" s="5"/>
      <c r="AV206" s="5"/>
      <c r="AW206" s="5"/>
      <c r="AY206" s="5"/>
      <c r="AZ206" s="5"/>
      <c r="BA206" s="5"/>
      <c r="BC206" s="5"/>
      <c r="BD206" s="5"/>
      <c r="BF206" s="13"/>
      <c r="BG206" s="5"/>
      <c r="BH206" s="5"/>
      <c r="BJ206" s="13"/>
      <c r="BK206" s="5"/>
      <c r="BL206" s="12"/>
      <c r="BM206" s="13"/>
      <c r="BN206" s="5"/>
      <c r="BO206" s="5"/>
      <c r="BQ206" s="13"/>
      <c r="BR206" s="5"/>
      <c r="BT206" s="13"/>
      <c r="BU206" s="5"/>
      <c r="BV206" s="5"/>
      <c r="BX206" s="13"/>
      <c r="BY206" s="5"/>
      <c r="CA206" s="13"/>
      <c r="CB206" s="5"/>
      <c r="CC206" s="11"/>
      <c r="CE206" s="13">
        <v>1</v>
      </c>
      <c r="CF206" s="5">
        <f>SUM(CF19:CG19,CF23:CG23,CF26:CG26)*CE206</f>
        <v>0</v>
      </c>
      <c r="CG206" s="12"/>
      <c r="CI206" s="13">
        <v>1</v>
      </c>
      <c r="CJ206" s="5">
        <f>SUM(CJ19:CK19,CJ23:CK23,CJ26:CK26)*CI206</f>
        <v>0</v>
      </c>
      <c r="CK206" s="12"/>
      <c r="CM206" s="13">
        <v>1</v>
      </c>
      <c r="CN206" s="5">
        <f>SUM(CN19:CO19,CN23:CO23,CN26:CO26)*CM206</f>
        <v>0</v>
      </c>
      <c r="CO206" s="12"/>
      <c r="CQ206" s="13">
        <v>1</v>
      </c>
      <c r="CR206" s="5">
        <f>SUM(CR19:CS19,CR23:CS23,CR26:CS26)*CQ206</f>
        <v>0</v>
      </c>
      <c r="CS206" s="12"/>
      <c r="CU206" s="13">
        <v>1</v>
      </c>
      <c r="CV206" s="5">
        <f>SUM(CV19:CW19,CV23:CW23,CV26:CW26)*CU206</f>
        <v>0</v>
      </c>
      <c r="CW206" s="12"/>
      <c r="CY206" s="13">
        <v>1</v>
      </c>
      <c r="CZ206" s="5">
        <f>SUM(CZ19:DA19,CZ23:DA23,CZ26:DA26)*CY206</f>
        <v>0</v>
      </c>
      <c r="DA206" s="12"/>
      <c r="DC206" s="13">
        <v>1</v>
      </c>
      <c r="DD206" s="5">
        <f>SUM(DD19:DE19,DD23:DE23,DD26:DE26)*DC206</f>
        <v>0</v>
      </c>
      <c r="DE206" s="12"/>
      <c r="DG206" s="13">
        <v>1</v>
      </c>
      <c r="DH206" s="5">
        <f>SUM(DH19:DI19,DH23:DI23,DH26:DI26)*DG206</f>
        <v>0</v>
      </c>
      <c r="DI206" s="12"/>
      <c r="DK206" s="13">
        <v>1</v>
      </c>
      <c r="DL206" s="5">
        <f>SUM(DL19:DM19,DL23:DM23,DL26:DM26)*DK206</f>
        <v>0</v>
      </c>
      <c r="DM206" s="12"/>
      <c r="DO206" s="13">
        <v>1</v>
      </c>
      <c r="DP206" s="5">
        <f>SUM(DP19:DQ19,DP23:DQ23,DP26:DQ26)*DO206</f>
        <v>0</v>
      </c>
      <c r="DQ206" s="12"/>
      <c r="DS206" s="5"/>
      <c r="DV206" s="5"/>
      <c r="DW206" s="660">
        <f t="shared" si="0"/>
        <v>0</v>
      </c>
    </row>
    <row r="207" spans="1:127" s="6" customFormat="1" ht="15" customHeight="1">
      <c r="A207" s="3"/>
      <c r="B207" s="117" t="s">
        <v>1258</v>
      </c>
      <c r="C207" s="4" t="s">
        <v>0</v>
      </c>
      <c r="D207" s="4"/>
      <c r="E207" s="5"/>
      <c r="F207" s="5"/>
      <c r="G207" s="4"/>
      <c r="H207" s="4"/>
      <c r="I207" s="4"/>
      <c r="J207" s="4"/>
      <c r="K207" s="5"/>
      <c r="L207" s="5"/>
      <c r="M207" s="5"/>
      <c r="O207" s="5"/>
      <c r="P207" s="5"/>
      <c r="Q207" s="5"/>
      <c r="S207" s="5"/>
      <c r="T207" s="5"/>
      <c r="U207" s="5"/>
      <c r="W207" s="5"/>
      <c r="X207" s="5"/>
      <c r="Y207" s="12"/>
      <c r="AA207" s="13"/>
      <c r="AB207" s="12"/>
      <c r="AD207" s="13"/>
      <c r="AE207" s="5"/>
      <c r="AF207" s="5"/>
      <c r="AH207" s="13"/>
      <c r="AI207" s="5"/>
      <c r="AK207" s="5"/>
      <c r="AL207" s="5"/>
      <c r="AM207" s="5"/>
      <c r="AO207" s="5"/>
      <c r="AP207" s="5"/>
      <c r="AR207" s="5"/>
      <c r="AS207" s="5"/>
      <c r="AT207" s="5"/>
      <c r="AV207" s="5"/>
      <c r="AW207" s="5"/>
      <c r="AY207" s="5"/>
      <c r="AZ207" s="5"/>
      <c r="BA207" s="5"/>
      <c r="BC207" s="5"/>
      <c r="BD207" s="5"/>
      <c r="BF207" s="13"/>
      <c r="BG207" s="5"/>
      <c r="BH207" s="5"/>
      <c r="BJ207" s="13"/>
      <c r="BK207" s="5"/>
      <c r="BL207" s="12"/>
      <c r="BM207" s="13"/>
      <c r="BN207" s="5"/>
      <c r="BO207" s="5"/>
      <c r="BQ207" s="13"/>
      <c r="BR207" s="5"/>
      <c r="BT207" s="13"/>
      <c r="BU207" s="5"/>
      <c r="BV207" s="5"/>
      <c r="BX207" s="13"/>
      <c r="BY207" s="5"/>
      <c r="CA207" s="13"/>
      <c r="CB207" s="5"/>
      <c r="CC207" s="11"/>
      <c r="CE207" s="13">
        <v>1</v>
      </c>
      <c r="CF207" s="5">
        <f>SUM(CF19:CG19,CF23:CG23,CF26:CG26)*CE207</f>
        <v>0</v>
      </c>
      <c r="CG207" s="12"/>
      <c r="CI207" s="13">
        <v>1</v>
      </c>
      <c r="CJ207" s="5">
        <f>SUM(CJ19:CK19,CJ23:CK23,CJ26:CK26)*CI207</f>
        <v>0</v>
      </c>
      <c r="CK207" s="12"/>
      <c r="CM207" s="13">
        <v>1</v>
      </c>
      <c r="CN207" s="5">
        <f>SUM(CN19:CO19,CN23:CO23,CN26:CO26)*CM207</f>
        <v>0</v>
      </c>
      <c r="CO207" s="12"/>
      <c r="CQ207" s="13">
        <v>1</v>
      </c>
      <c r="CR207" s="5">
        <f>SUM(CR19:CS19,CR23:CS23,CR26:CS26)*CQ207</f>
        <v>0</v>
      </c>
      <c r="CS207" s="12"/>
      <c r="CU207" s="13">
        <v>1</v>
      </c>
      <c r="CV207" s="5">
        <f>SUM(CV19:CW19,CV23:CW23,CV26:CW26)*CU207</f>
        <v>0</v>
      </c>
      <c r="CW207" s="12"/>
      <c r="CY207" s="13">
        <v>1</v>
      </c>
      <c r="CZ207" s="5">
        <f>SUM(CZ19:DA19,CZ23:DA23,CZ26:DA26)*CY207</f>
        <v>0</v>
      </c>
      <c r="DA207" s="12"/>
      <c r="DC207" s="13">
        <v>1</v>
      </c>
      <c r="DD207" s="5">
        <f>SUM(DD19:DE19,DD23:DE23,DD26:DE26)*DC207</f>
        <v>0</v>
      </c>
      <c r="DE207" s="12"/>
      <c r="DG207" s="13">
        <v>1</v>
      </c>
      <c r="DH207" s="5">
        <f>SUM(DH19:DI19,DH23:DI23,DH26:DI26)*DG207</f>
        <v>0</v>
      </c>
      <c r="DI207" s="12"/>
      <c r="DK207" s="13">
        <v>1</v>
      </c>
      <c r="DL207" s="5">
        <f>SUM(DL19:DM19,DL23:DM23,DL26:DM26)*DK207</f>
        <v>0</v>
      </c>
      <c r="DM207" s="12"/>
      <c r="DO207" s="13">
        <v>1</v>
      </c>
      <c r="DP207" s="5">
        <f>SUM(DP19:DQ19,DP23:DQ23,DP26:DQ26)*DO207</f>
        <v>0</v>
      </c>
      <c r="DQ207" s="12"/>
      <c r="DS207" s="5"/>
      <c r="DV207" s="5"/>
      <c r="DW207" s="660">
        <f t="shared" si="0"/>
        <v>0</v>
      </c>
    </row>
    <row r="208" spans="1:127" s="6" customFormat="1" ht="15" customHeight="1">
      <c r="A208" s="3"/>
      <c r="B208" s="210" t="s">
        <v>1259</v>
      </c>
      <c r="C208" s="4" t="s">
        <v>0</v>
      </c>
      <c r="D208" s="4"/>
      <c r="E208" s="5"/>
      <c r="F208" s="5"/>
      <c r="G208" s="4"/>
      <c r="H208" s="4"/>
      <c r="I208" s="4"/>
      <c r="J208" s="4"/>
      <c r="K208" s="5"/>
      <c r="L208" s="5"/>
      <c r="M208" s="5"/>
      <c r="O208" s="5"/>
      <c r="P208" s="5"/>
      <c r="Q208" s="5"/>
      <c r="S208" s="5"/>
      <c r="T208" s="5"/>
      <c r="U208" s="5"/>
      <c r="W208" s="5"/>
      <c r="X208" s="5"/>
      <c r="Y208" s="12"/>
      <c r="AA208" s="13"/>
      <c r="AB208" s="12"/>
      <c r="AD208" s="13"/>
      <c r="AE208" s="5"/>
      <c r="AF208" s="5"/>
      <c r="AH208" s="13"/>
      <c r="AI208" s="5"/>
      <c r="AK208" s="5"/>
      <c r="AL208" s="5"/>
      <c r="AM208" s="5"/>
      <c r="AO208" s="5"/>
      <c r="AP208" s="5"/>
      <c r="AR208" s="5"/>
      <c r="AS208" s="5"/>
      <c r="AT208" s="5"/>
      <c r="AV208" s="5"/>
      <c r="AW208" s="5"/>
      <c r="AY208" s="5"/>
      <c r="AZ208" s="5"/>
      <c r="BA208" s="5"/>
      <c r="BC208" s="5"/>
      <c r="BD208" s="5"/>
      <c r="BF208" s="13"/>
      <c r="BG208" s="5"/>
      <c r="BH208" s="5"/>
      <c r="BJ208" s="13"/>
      <c r="BK208" s="5"/>
      <c r="BL208" s="12"/>
      <c r="BM208" s="13"/>
      <c r="BN208" s="5"/>
      <c r="BO208" s="5"/>
      <c r="BQ208" s="13"/>
      <c r="BR208" s="5"/>
      <c r="BT208" s="13"/>
      <c r="BU208" s="5"/>
      <c r="BV208" s="5"/>
      <c r="BX208" s="13"/>
      <c r="BY208" s="5"/>
      <c r="CA208" s="13"/>
      <c r="CB208" s="5"/>
      <c r="CC208" s="11"/>
      <c r="CE208" s="13">
        <v>1</v>
      </c>
      <c r="CF208" s="5">
        <f>SUM(CF19:CG19,CF23:CG23,CF26:CG26)*CE208</f>
        <v>0</v>
      </c>
      <c r="CG208" s="12"/>
      <c r="CI208" s="13">
        <v>1</v>
      </c>
      <c r="CJ208" s="5">
        <f>SUM(CJ19:CK19,CJ23:CK23,CJ26:CK26)*CI208</f>
        <v>0</v>
      </c>
      <c r="CK208" s="12"/>
      <c r="CM208" s="13">
        <v>1</v>
      </c>
      <c r="CN208" s="5">
        <f>SUM(CN19:CO19,CN23:CO23,CN26:CO26)*CM208</f>
        <v>0</v>
      </c>
      <c r="CO208" s="12"/>
      <c r="CQ208" s="13">
        <v>1</v>
      </c>
      <c r="CR208" s="5">
        <f>SUM(CR19:CS19,CR23:CS23,CR26:CS26)*CQ208</f>
        <v>0</v>
      </c>
      <c r="CS208" s="12"/>
      <c r="CU208" s="13">
        <v>1</v>
      </c>
      <c r="CV208" s="5">
        <f>SUM(CV19:CW19,CV23:CW23,CV26:CW26)*CU208</f>
        <v>0</v>
      </c>
      <c r="CW208" s="12"/>
      <c r="CY208" s="13">
        <v>1</v>
      </c>
      <c r="CZ208" s="5">
        <f>SUM(CZ19:DA19,CZ23:DA23,CZ26:DA26)*CY208</f>
        <v>0</v>
      </c>
      <c r="DA208" s="12"/>
      <c r="DC208" s="13">
        <v>1</v>
      </c>
      <c r="DD208" s="5">
        <f>SUM(DD19:DE19,DD23:DE23,DD26:DE26)*DC208</f>
        <v>0</v>
      </c>
      <c r="DE208" s="12"/>
      <c r="DG208" s="13">
        <v>1</v>
      </c>
      <c r="DH208" s="5">
        <f>SUM(DH19:DI19,DH23:DI23,DH26:DI26)*DG208</f>
        <v>0</v>
      </c>
      <c r="DI208" s="12"/>
      <c r="DK208" s="13">
        <v>1</v>
      </c>
      <c r="DL208" s="5">
        <f>SUM(DL19:DM19,DL23:DM23,DL26:DM26)*DK208</f>
        <v>0</v>
      </c>
      <c r="DM208" s="12"/>
      <c r="DO208" s="13">
        <v>1</v>
      </c>
      <c r="DP208" s="5">
        <f>SUM(DP19:DQ19,DP23:DQ23,DP26:DQ26)*DO208</f>
        <v>0</v>
      </c>
      <c r="DQ208" s="12"/>
      <c r="DS208" s="5"/>
      <c r="DV208" s="5"/>
      <c r="DW208" s="660">
        <f t="shared" ref="DW208:DW272" si="1">IF(DX208=34,0,I208+L208+P208+T208+X208+AB208+AE208+AI208+F208+AL208+CR208+AP208+AS208+AW208+BD208+BG208+BK208+BN208+BR208+AZ208+M208+DL208+BU208+BY208+CB208+CF208+CJ208+CN208+CV208+CZ208+DD208+DH208+DP208+DT208+DU208)</f>
        <v>0</v>
      </c>
    </row>
    <row r="209" spans="1:127" s="6" customFormat="1" ht="15" customHeight="1">
      <c r="A209" s="3"/>
      <c r="B209" s="210" t="s">
        <v>1260</v>
      </c>
      <c r="C209" s="4" t="s">
        <v>0</v>
      </c>
      <c r="D209" s="4"/>
      <c r="E209" s="5"/>
      <c r="F209" s="5"/>
      <c r="G209" s="4"/>
      <c r="H209" s="4"/>
      <c r="I209" s="4"/>
      <c r="J209" s="4"/>
      <c r="K209" s="5"/>
      <c r="L209" s="5"/>
      <c r="M209" s="5"/>
      <c r="O209" s="5"/>
      <c r="P209" s="5"/>
      <c r="Q209" s="5"/>
      <c r="S209" s="5"/>
      <c r="T209" s="5"/>
      <c r="U209" s="5"/>
      <c r="W209" s="5"/>
      <c r="X209" s="5"/>
      <c r="Y209" s="12"/>
      <c r="AA209" s="13"/>
      <c r="AB209" s="12"/>
      <c r="AD209" s="13"/>
      <c r="AE209" s="5"/>
      <c r="AF209" s="5"/>
      <c r="AH209" s="13"/>
      <c r="AI209" s="5"/>
      <c r="AK209" s="5"/>
      <c r="AL209" s="5"/>
      <c r="AM209" s="5"/>
      <c r="AO209" s="5"/>
      <c r="AP209" s="5"/>
      <c r="AR209" s="5"/>
      <c r="AS209" s="5"/>
      <c r="AT209" s="5"/>
      <c r="AV209" s="5"/>
      <c r="AW209" s="5"/>
      <c r="AY209" s="5"/>
      <c r="AZ209" s="5"/>
      <c r="BA209" s="5"/>
      <c r="BC209" s="5"/>
      <c r="BD209" s="5"/>
      <c r="BF209" s="13"/>
      <c r="BG209" s="5"/>
      <c r="BH209" s="5"/>
      <c r="BJ209" s="13"/>
      <c r="BK209" s="5"/>
      <c r="BL209" s="12"/>
      <c r="BM209" s="13"/>
      <c r="BN209" s="5"/>
      <c r="BO209" s="5"/>
      <c r="BQ209" s="13"/>
      <c r="BR209" s="5"/>
      <c r="BT209" s="13"/>
      <c r="BU209" s="5"/>
      <c r="BV209" s="5"/>
      <c r="BX209" s="13"/>
      <c r="BY209" s="5"/>
      <c r="CA209" s="13"/>
      <c r="CB209" s="5"/>
      <c r="CC209" s="11"/>
      <c r="CE209" s="13"/>
      <c r="CF209" s="5"/>
      <c r="CG209" s="12"/>
      <c r="CI209" s="13"/>
      <c r="CJ209" s="5"/>
      <c r="CK209" s="12"/>
      <c r="CM209" s="13"/>
      <c r="CN209" s="5"/>
      <c r="CO209" s="12"/>
      <c r="CQ209" s="13"/>
      <c r="CR209" s="5"/>
      <c r="CS209" s="12"/>
      <c r="CU209" s="13"/>
      <c r="CV209" s="5"/>
      <c r="CW209" s="12"/>
      <c r="CY209" s="13"/>
      <c r="CZ209" s="5"/>
      <c r="DA209" s="12"/>
      <c r="DC209" s="13"/>
      <c r="DD209" s="5"/>
      <c r="DE209" s="12"/>
      <c r="DG209" s="13"/>
      <c r="DH209" s="5"/>
      <c r="DI209" s="12"/>
      <c r="DK209" s="13"/>
      <c r="DL209" s="5"/>
      <c r="DM209" s="12"/>
      <c r="DO209" s="13"/>
      <c r="DP209" s="5"/>
      <c r="DQ209" s="12"/>
      <c r="DS209" s="5"/>
      <c r="DV209" s="5"/>
      <c r="DW209" s="660">
        <f t="shared" si="1"/>
        <v>0</v>
      </c>
    </row>
    <row r="210" spans="1:127" s="6" customFormat="1" ht="15" customHeight="1">
      <c r="A210" s="3"/>
      <c r="B210" s="210" t="s">
        <v>1261</v>
      </c>
      <c r="C210" s="4" t="s">
        <v>0</v>
      </c>
      <c r="D210" s="4"/>
      <c r="E210" s="5"/>
      <c r="F210" s="5"/>
      <c r="G210" s="4"/>
      <c r="H210" s="4"/>
      <c r="I210" s="4"/>
      <c r="J210" s="4"/>
      <c r="K210" s="5"/>
      <c r="L210" s="5"/>
      <c r="M210" s="5"/>
      <c r="O210" s="5"/>
      <c r="P210" s="5"/>
      <c r="Q210" s="5"/>
      <c r="S210" s="5"/>
      <c r="T210" s="5"/>
      <c r="U210" s="5"/>
      <c r="W210" s="5"/>
      <c r="X210" s="5"/>
      <c r="Y210" s="12"/>
      <c r="AA210" s="13"/>
      <c r="AB210" s="12"/>
      <c r="AD210" s="13"/>
      <c r="AE210" s="5"/>
      <c r="AF210" s="5"/>
      <c r="AH210" s="13"/>
      <c r="AI210" s="5"/>
      <c r="AK210" s="5"/>
      <c r="AL210" s="5"/>
      <c r="AM210" s="5"/>
      <c r="AO210" s="5"/>
      <c r="AP210" s="5"/>
      <c r="AR210" s="5"/>
      <c r="AS210" s="5"/>
      <c r="AT210" s="5"/>
      <c r="AV210" s="5"/>
      <c r="AW210" s="5"/>
      <c r="AY210" s="5"/>
      <c r="AZ210" s="5"/>
      <c r="BA210" s="5"/>
      <c r="BC210" s="5"/>
      <c r="BD210" s="5"/>
      <c r="BF210" s="13"/>
      <c r="BG210" s="5"/>
      <c r="BH210" s="5"/>
      <c r="BJ210" s="13"/>
      <c r="BK210" s="5"/>
      <c r="BL210" s="12"/>
      <c r="BM210" s="13"/>
      <c r="BN210" s="5"/>
      <c r="BO210" s="5"/>
      <c r="BQ210" s="13"/>
      <c r="BR210" s="5"/>
      <c r="BT210" s="13"/>
      <c r="BU210" s="5"/>
      <c r="BV210" s="5"/>
      <c r="BX210" s="13"/>
      <c r="BY210" s="5"/>
      <c r="CA210" s="13"/>
      <c r="CB210" s="5"/>
      <c r="CC210" s="11"/>
      <c r="CE210" s="13"/>
      <c r="CF210" s="5"/>
      <c r="CG210" s="12"/>
      <c r="CI210" s="13"/>
      <c r="CJ210" s="5"/>
      <c r="CK210" s="12"/>
      <c r="CM210" s="13"/>
      <c r="CN210" s="5"/>
      <c r="CO210" s="12"/>
      <c r="CQ210" s="13"/>
      <c r="CR210" s="5"/>
      <c r="CS210" s="12"/>
      <c r="CU210" s="13"/>
      <c r="CV210" s="5"/>
      <c r="CW210" s="12"/>
      <c r="CY210" s="13"/>
      <c r="CZ210" s="5"/>
      <c r="DA210" s="12"/>
      <c r="DC210" s="13"/>
      <c r="DD210" s="5"/>
      <c r="DE210" s="12"/>
      <c r="DG210" s="13"/>
      <c r="DH210" s="5"/>
      <c r="DI210" s="12"/>
      <c r="DK210" s="13"/>
      <c r="DL210" s="5"/>
      <c r="DM210" s="12"/>
      <c r="DO210" s="13"/>
      <c r="DP210" s="5"/>
      <c r="DQ210" s="12"/>
      <c r="DS210" s="5"/>
      <c r="DV210" s="5"/>
      <c r="DW210" s="660">
        <f t="shared" si="1"/>
        <v>0</v>
      </c>
    </row>
    <row r="211" spans="1:127" s="6" customFormat="1" ht="15" customHeight="1">
      <c r="A211" s="3"/>
      <c r="B211" s="210" t="s">
        <v>1262</v>
      </c>
      <c r="C211" s="4" t="s">
        <v>0</v>
      </c>
      <c r="D211" s="4"/>
      <c r="E211" s="5"/>
      <c r="F211" s="5"/>
      <c r="G211" s="4"/>
      <c r="H211" s="4"/>
      <c r="I211" s="4"/>
      <c r="J211" s="4"/>
      <c r="K211" s="5"/>
      <c r="L211" s="5"/>
      <c r="M211" s="5"/>
      <c r="O211" s="5"/>
      <c r="P211" s="5"/>
      <c r="Q211" s="5"/>
      <c r="S211" s="5"/>
      <c r="T211" s="5"/>
      <c r="U211" s="5"/>
      <c r="W211" s="5"/>
      <c r="X211" s="5"/>
      <c r="Y211" s="12"/>
      <c r="AA211" s="13"/>
      <c r="AB211" s="12"/>
      <c r="AD211" s="13"/>
      <c r="AE211" s="5"/>
      <c r="AF211" s="5"/>
      <c r="AH211" s="13"/>
      <c r="AI211" s="5"/>
      <c r="AK211" s="5"/>
      <c r="AL211" s="5"/>
      <c r="AM211" s="5"/>
      <c r="AO211" s="5"/>
      <c r="AP211" s="5"/>
      <c r="AR211" s="5"/>
      <c r="AS211" s="5"/>
      <c r="AT211" s="5"/>
      <c r="AV211" s="5"/>
      <c r="AW211" s="5"/>
      <c r="AY211" s="5"/>
      <c r="AZ211" s="5"/>
      <c r="BA211" s="5"/>
      <c r="BC211" s="5"/>
      <c r="BD211" s="5"/>
      <c r="BF211" s="13"/>
      <c r="BG211" s="5"/>
      <c r="BH211" s="5"/>
      <c r="BJ211" s="13"/>
      <c r="BK211" s="5"/>
      <c r="BL211" s="12"/>
      <c r="BM211" s="13"/>
      <c r="BN211" s="5"/>
      <c r="BO211" s="5"/>
      <c r="BQ211" s="13"/>
      <c r="BR211" s="5"/>
      <c r="BT211" s="13"/>
      <c r="BU211" s="5"/>
      <c r="BV211" s="5"/>
      <c r="BX211" s="13"/>
      <c r="BY211" s="5"/>
      <c r="CA211" s="13"/>
      <c r="CB211" s="5"/>
      <c r="CC211" s="11"/>
      <c r="CE211" s="13"/>
      <c r="CF211" s="5"/>
      <c r="CG211" s="12"/>
      <c r="CI211" s="13"/>
      <c r="CJ211" s="5"/>
      <c r="CK211" s="12"/>
      <c r="CM211" s="13"/>
      <c r="CN211" s="5"/>
      <c r="CO211" s="12"/>
      <c r="CQ211" s="13"/>
      <c r="CR211" s="5"/>
      <c r="CS211" s="12"/>
      <c r="CU211" s="13"/>
      <c r="CV211" s="5"/>
      <c r="CW211" s="12"/>
      <c r="CY211" s="13"/>
      <c r="CZ211" s="5"/>
      <c r="DA211" s="12"/>
      <c r="DC211" s="13"/>
      <c r="DD211" s="5"/>
      <c r="DE211" s="12"/>
      <c r="DG211" s="13"/>
      <c r="DH211" s="5"/>
      <c r="DI211" s="12"/>
      <c r="DK211" s="13"/>
      <c r="DL211" s="5"/>
      <c r="DM211" s="12"/>
      <c r="DO211" s="13"/>
      <c r="DP211" s="5"/>
      <c r="DQ211" s="12"/>
      <c r="DS211" s="5"/>
      <c r="DV211" s="5"/>
      <c r="DW211" s="660">
        <f t="shared" si="1"/>
        <v>0</v>
      </c>
    </row>
    <row r="212" spans="1:127" s="6" customFormat="1" ht="15" customHeight="1">
      <c r="A212" s="3"/>
      <c r="B212" s="210" t="s">
        <v>1263</v>
      </c>
      <c r="C212" s="4" t="s">
        <v>0</v>
      </c>
      <c r="D212" s="4"/>
      <c r="E212" s="5"/>
      <c r="F212" s="5"/>
      <c r="G212" s="4"/>
      <c r="H212" s="4"/>
      <c r="I212" s="4"/>
      <c r="J212" s="4"/>
      <c r="K212" s="5"/>
      <c r="L212" s="5"/>
      <c r="M212" s="5"/>
      <c r="O212" s="5"/>
      <c r="P212" s="5"/>
      <c r="Q212" s="5"/>
      <c r="S212" s="5"/>
      <c r="T212" s="5"/>
      <c r="U212" s="5"/>
      <c r="W212" s="5"/>
      <c r="X212" s="5"/>
      <c r="Y212" s="12"/>
      <c r="AA212" s="13"/>
      <c r="AB212" s="12"/>
      <c r="AD212" s="13"/>
      <c r="AE212" s="5"/>
      <c r="AF212" s="5"/>
      <c r="AH212" s="13"/>
      <c r="AI212" s="5"/>
      <c r="AK212" s="5"/>
      <c r="AL212" s="5"/>
      <c r="AM212" s="5"/>
      <c r="AO212" s="5"/>
      <c r="AP212" s="5"/>
      <c r="AR212" s="5"/>
      <c r="AS212" s="5"/>
      <c r="AT212" s="5"/>
      <c r="AV212" s="5"/>
      <c r="AW212" s="5"/>
      <c r="AY212" s="5"/>
      <c r="AZ212" s="5"/>
      <c r="BA212" s="5"/>
      <c r="BC212" s="5"/>
      <c r="BD212" s="5"/>
      <c r="BF212" s="13"/>
      <c r="BG212" s="5"/>
      <c r="BH212" s="5"/>
      <c r="BJ212" s="13"/>
      <c r="BK212" s="5"/>
      <c r="BL212" s="12"/>
      <c r="BM212" s="13"/>
      <c r="BN212" s="5"/>
      <c r="BO212" s="5"/>
      <c r="BQ212" s="13"/>
      <c r="BR212" s="5"/>
      <c r="BT212" s="13"/>
      <c r="BU212" s="5"/>
      <c r="BV212" s="5"/>
      <c r="BX212" s="13"/>
      <c r="BY212" s="5"/>
      <c r="CA212" s="13"/>
      <c r="CB212" s="5"/>
      <c r="CC212" s="11"/>
      <c r="CE212" s="13"/>
      <c r="CF212" s="5"/>
      <c r="CG212" s="12"/>
      <c r="CI212" s="13"/>
      <c r="CJ212" s="5"/>
      <c r="CK212" s="12"/>
      <c r="CM212" s="13"/>
      <c r="CN212" s="5"/>
      <c r="CO212" s="12"/>
      <c r="CQ212" s="13"/>
      <c r="CR212" s="5"/>
      <c r="CS212" s="12"/>
      <c r="CU212" s="13"/>
      <c r="CV212" s="5"/>
      <c r="CW212" s="12"/>
      <c r="CY212" s="13"/>
      <c r="CZ212" s="5"/>
      <c r="DA212" s="12"/>
      <c r="DC212" s="13"/>
      <c r="DD212" s="5"/>
      <c r="DE212" s="12"/>
      <c r="DG212" s="13"/>
      <c r="DH212" s="5"/>
      <c r="DI212" s="12"/>
      <c r="DK212" s="13"/>
      <c r="DL212" s="5"/>
      <c r="DM212" s="12"/>
      <c r="DO212" s="13"/>
      <c r="DP212" s="5"/>
      <c r="DQ212" s="12"/>
      <c r="DS212" s="5"/>
      <c r="DV212" s="5"/>
      <c r="DW212" s="660">
        <f t="shared" si="1"/>
        <v>0</v>
      </c>
    </row>
    <row r="213" spans="1:127" s="6" customFormat="1" ht="15" customHeight="1">
      <c r="A213" s="3">
        <v>46</v>
      </c>
      <c r="B213" s="210" t="s">
        <v>381</v>
      </c>
      <c r="C213" s="473" t="s">
        <v>517</v>
      </c>
      <c r="D213" s="4"/>
      <c r="E213" s="5"/>
      <c r="F213" s="5"/>
      <c r="G213" s="4"/>
      <c r="H213" s="4"/>
      <c r="I213" s="4"/>
      <c r="J213" s="4"/>
      <c r="K213" s="13">
        <v>1</v>
      </c>
      <c r="L213" s="5">
        <f>SUM(L7:M8,L11:M12,L14:M15,L18:M19,L22:M23,L25:M26)*K213</f>
        <v>0</v>
      </c>
      <c r="M213" s="5"/>
      <c r="O213" s="13">
        <v>1</v>
      </c>
      <c r="P213" s="5">
        <f>SUM(P7:Q8,P11:Q12,P14:Q15,P18:Q19,P22:Q23,P25:Q26)*O213</f>
        <v>0</v>
      </c>
      <c r="Q213" s="5"/>
      <c r="S213" s="13">
        <v>1</v>
      </c>
      <c r="T213" s="5">
        <f>SUM(T7:U8,T11:U12,T14:U15,T18:U19,T22:U23,T25:U26)*S213</f>
        <v>0</v>
      </c>
      <c r="U213" s="5"/>
      <c r="W213" s="5"/>
      <c r="X213" s="5"/>
      <c r="Y213" s="12"/>
      <c r="AA213" s="13"/>
      <c r="AB213" s="12"/>
      <c r="AD213" s="13"/>
      <c r="AE213" s="5"/>
      <c r="AF213" s="5"/>
      <c r="AH213" s="13"/>
      <c r="AI213" s="5"/>
      <c r="AK213" s="5"/>
      <c r="AL213" s="5"/>
      <c r="AM213" s="5"/>
      <c r="AO213" s="5"/>
      <c r="AP213" s="5"/>
      <c r="AR213" s="13">
        <v>1</v>
      </c>
      <c r="AS213" s="5">
        <f>SUM(AS7:AT8,AS11:AT12,AS14:AT15,AS18:AT19,AS22:AT23,AS25:AT26)*AR213</f>
        <v>0</v>
      </c>
      <c r="AT213" s="5"/>
      <c r="AV213" s="13">
        <v>1</v>
      </c>
      <c r="AW213" s="5">
        <f>SUM(AW7:AX8,AW11:AX12,AW14:AX15,AW18:AX19,AW22:AX23,AW25:AX26)*AV213</f>
        <v>0</v>
      </c>
      <c r="AY213" s="13">
        <v>1</v>
      </c>
      <c r="AZ213" s="5">
        <f>SUM(AZ7:BA8,AZ11:BA12,AZ14:BA15,AZ18:BA19,AZ22:BA23,AZ25:BA26)*AY213</f>
        <v>0</v>
      </c>
      <c r="BA213" s="5"/>
      <c r="BC213" s="13">
        <v>1</v>
      </c>
      <c r="BD213" s="5">
        <f>SUM(BD7:BE8,BD11:BE12,BD14:BE15,BD18:BE19,BD22:BE23,BD25:BE26)*BC213</f>
        <v>0</v>
      </c>
      <c r="BF213" s="13">
        <v>1</v>
      </c>
      <c r="BG213" s="5">
        <f>BG7*BF213+BH7*BF213+BG8*BF213+BH8*BF213+BG11*BF213+BH11*BF213+BG12*BF213+BH12*BF213+BG14*BF213+BH14*BF213+BG15*BF213+BH15*BF213+BG18*BF213+BH18*BF213+BG19*BF213+BH19*BF213+BG22*BF213+BH22*BF213+BG23*BF213+BH23*BF213+BG25*BF213+BH25*BF213+BG26*BF213+BH26*BF213</f>
        <v>0</v>
      </c>
      <c r="BH213" s="5"/>
      <c r="BJ213" s="13">
        <v>1</v>
      </c>
      <c r="BK213" s="5">
        <f>BK7*BJ213+BL7*BJ213+BK8*BJ213+BL8*BJ213+BK11*BJ213+BL11*BJ213+BK12*BJ213+BL12*BJ213+BK14*BJ213+BL14*BJ213+BK15*BJ213+BL15*BJ213+BK18*BJ213+BL18*BJ213+BK19*BJ213+BL19*BJ213+BK22*BJ213+BL22*BJ213+BK23*BJ213+BL23*BJ213+BK25*BJ213+BL25*BJ213+BK26*BJ213+BL26*BJ213</f>
        <v>0</v>
      </c>
      <c r="BL213" s="12"/>
      <c r="BM213" s="13">
        <v>1</v>
      </c>
      <c r="BN213" s="5">
        <f>SUM(BN7:BO8,BN11:BO12,BN14:BO15,BN18:BO19,BN22:BO23,BN25:BO26)*BM213</f>
        <v>0</v>
      </c>
      <c r="BO213" s="5"/>
      <c r="BQ213" s="13">
        <v>1</v>
      </c>
      <c r="BR213" s="5">
        <f>SUM(BR7:BS8,BR11:BS12,BR14:BS15,BR18:BS19,BR22:BS23,BR25:BS26)*BQ213</f>
        <v>0</v>
      </c>
      <c r="BT213" s="13">
        <v>1</v>
      </c>
      <c r="BU213" s="5">
        <f>BU7*BT213+BV7*BT213+BU8*BT213+BV8*BT213+BU11*BT213+BV11*BT213+BU12*BT213+BV12*BT213+BU14*BT213+BV14*BT213+BU15*BT213+BV15*BT213+BU18*BT213+BV18*BT213+BU19*BT213+BV19*BT213+BU22*BT213+BV22*BT213+BU23*BT213+BV23*BT213+BU25*BT213+BV25*BT213+BU26*BT213+BV26*BT213</f>
        <v>0</v>
      </c>
      <c r="BV213" s="5"/>
      <c r="BX213" s="13">
        <v>1</v>
      </c>
      <c r="BY213" s="5">
        <f>BY7*BX213+BZ7*BX213+BY8*BX213+BZ8*BX213+BY11*BX213+BZ11*BX213+BY12*BX213+BZ12*BX213+BY14*BX213+BZ14*BX213+BY15*BX213+BZ15*BX213+BY18*BX213+BZ18*BX213+BY19*BX213+BZ19*BX213+BY22*BX213+BZ22*BX213+BY23*BX213+BZ23*BX213+BY25*BX213+BZ25*BX213+BY26*BX213+BZ26*BX213</f>
        <v>0</v>
      </c>
      <c r="CA213" s="13">
        <v>1</v>
      </c>
      <c r="CB213" s="5">
        <f>SUM(CB7:CC8,CB11:CC12,CB14:CC15,CB18:CC19,CB22:CC23,CB25:CC26)*CA213</f>
        <v>0</v>
      </c>
      <c r="CC213" s="11"/>
      <c r="CE213" s="13"/>
      <c r="CF213" s="5"/>
      <c r="CG213" s="12"/>
      <c r="CI213" s="13"/>
      <c r="CJ213" s="5"/>
      <c r="CK213" s="12"/>
      <c r="CM213" s="13"/>
      <c r="CN213" s="5"/>
      <c r="CO213" s="12"/>
      <c r="CQ213" s="13"/>
      <c r="CR213" s="5"/>
      <c r="CS213" s="12"/>
      <c r="CU213" s="13"/>
      <c r="CV213" s="5"/>
      <c r="CW213" s="12"/>
      <c r="CY213" s="13"/>
      <c r="CZ213" s="5"/>
      <c r="DA213" s="12"/>
      <c r="DC213" s="13"/>
      <c r="DD213" s="5"/>
      <c r="DE213" s="12"/>
      <c r="DG213" s="13"/>
      <c r="DH213" s="5"/>
      <c r="DI213" s="12"/>
      <c r="DK213" s="13"/>
      <c r="DL213" s="5"/>
      <c r="DM213" s="12"/>
      <c r="DO213" s="13"/>
      <c r="DP213" s="5"/>
      <c r="DQ213" s="12"/>
      <c r="DS213" s="5"/>
      <c r="DV213" s="5"/>
      <c r="DW213" s="660">
        <f t="shared" si="1"/>
        <v>0</v>
      </c>
    </row>
    <row r="214" spans="1:127" s="6" customFormat="1" ht="15" customHeight="1">
      <c r="A214" s="3">
        <v>47</v>
      </c>
      <c r="B214" s="210" t="s">
        <v>1407</v>
      </c>
      <c r="C214" s="400" t="s">
        <v>0</v>
      </c>
      <c r="D214" s="4"/>
      <c r="E214" s="5">
        <v>1</v>
      </c>
      <c r="F214" s="5">
        <f>SUM(F5:F26)*E214</f>
        <v>0</v>
      </c>
      <c r="G214" s="4"/>
      <c r="H214" s="4"/>
      <c r="I214" s="4"/>
      <c r="J214" s="4"/>
      <c r="K214" s="5"/>
      <c r="L214" s="5"/>
      <c r="M214" s="5"/>
      <c r="O214" s="5"/>
      <c r="P214" s="5"/>
      <c r="Q214" s="5"/>
      <c r="S214" s="5"/>
      <c r="T214" s="5"/>
      <c r="U214" s="5"/>
      <c r="W214" s="5"/>
      <c r="X214" s="5"/>
      <c r="Y214" s="12"/>
      <c r="AA214" s="13"/>
      <c r="AB214" s="12"/>
      <c r="AD214" s="5">
        <v>1</v>
      </c>
      <c r="AE214" s="5">
        <f>SUM(AE5:AE26)*AD214</f>
        <v>0</v>
      </c>
      <c r="AF214" s="5"/>
      <c r="AH214" s="13"/>
      <c r="AI214" s="5"/>
      <c r="AK214" s="5">
        <v>1</v>
      </c>
      <c r="AL214" s="5">
        <f>SUM(AL5:AL26)*AK214</f>
        <v>0</v>
      </c>
      <c r="AM214" s="5"/>
      <c r="AO214" s="5"/>
      <c r="AP214" s="5"/>
      <c r="AR214" s="5"/>
      <c r="AS214" s="5"/>
      <c r="AT214" s="5"/>
      <c r="AV214" s="5"/>
      <c r="AW214" s="5"/>
      <c r="AY214" s="5">
        <v>1</v>
      </c>
      <c r="AZ214" s="5">
        <f>SUM(AZ5:AZ26)*AY214</f>
        <v>0</v>
      </c>
      <c r="BA214" s="5"/>
      <c r="BC214" s="5"/>
      <c r="BD214" s="5"/>
      <c r="BF214" s="5"/>
      <c r="BG214" s="5"/>
      <c r="BH214" s="5"/>
      <c r="BJ214" s="5"/>
      <c r="BK214" s="5"/>
      <c r="BL214" s="12"/>
      <c r="BM214" s="5">
        <v>1</v>
      </c>
      <c r="BN214" s="5">
        <f>SUM(BN5:BN26)*BM214</f>
        <v>0</v>
      </c>
      <c r="BO214" s="5"/>
      <c r="BQ214" s="5"/>
      <c r="BR214" s="5"/>
      <c r="BT214" s="5"/>
      <c r="BU214" s="5">
        <f>BU5*BT214+BU6*BT214+BU7*BT214+BU8*BT214+BU9*BT214+BU10*BT214+BU11*BT214+BU12*BT214+BU13*BT214+BU14*BT214+BU15*BT214+BU16*BT214+BU17*BT214+BU18*BT214+BU19*BT214+BU20*BT214+BU21*BT214+BU22*BT214+BU23*BT214+BU24*BT214+BU25*BT214+BU26*BT214</f>
        <v>0</v>
      </c>
      <c r="BV214" s="5"/>
      <c r="BX214" s="5"/>
      <c r="BY214" s="5">
        <f>BY5*BX214+BY6*BX214+BY7*BX214+BY8*BX214+BY9*BX214+BY10*BX214+BY11*BX214+BY12*BX214+BY13*BX214+BY14*BX214+BY15*BX214+BY16*BX214+BY17*BX214+BY18*BX214+BY19*BX214+BY20*BX214+BY21*BX214+BY22*BX214+BY23*BX214+BY24*BX214+BY25*BX214+BY26*BX214</f>
        <v>0</v>
      </c>
      <c r="CA214" s="13">
        <v>1</v>
      </c>
      <c r="CB214" s="5">
        <f>SUM(CB5:CB26)*CA214</f>
        <v>0</v>
      </c>
      <c r="CC214" s="11"/>
      <c r="CE214" s="13">
        <v>1</v>
      </c>
      <c r="CF214" s="5">
        <f>SUM(CF5:CF26,CG5:CG26)*CE214</f>
        <v>0</v>
      </c>
      <c r="CG214" s="12"/>
      <c r="CI214" s="13">
        <v>1</v>
      </c>
      <c r="CJ214" s="5">
        <f>SUM(CJ5:CJ26,CK5:CK26)*CI214</f>
        <v>0</v>
      </c>
      <c r="CK214" s="12"/>
      <c r="CM214" s="13">
        <v>1</v>
      </c>
      <c r="CN214" s="5">
        <f>SUM(CN5:CN26,CO5:CO26)*CM214</f>
        <v>0</v>
      </c>
      <c r="CO214" s="12"/>
      <c r="CQ214" s="13">
        <v>1</v>
      </c>
      <c r="CR214" s="5">
        <f>SUM(CR5:CR26,CS5:CS26)*CQ214</f>
        <v>0</v>
      </c>
      <c r="CS214" s="12"/>
      <c r="CU214" s="13">
        <v>1</v>
      </c>
      <c r="CV214" s="5">
        <f>SUM(CV5:CV26,CW5:CW26)*CU214</f>
        <v>0</v>
      </c>
      <c r="CW214" s="12"/>
      <c r="CY214" s="13">
        <v>1</v>
      </c>
      <c r="CZ214" s="5">
        <f>SUM(CZ5:CZ26,DA5:DA26)*CY214</f>
        <v>0</v>
      </c>
      <c r="DA214" s="12"/>
      <c r="DC214" s="13">
        <v>1</v>
      </c>
      <c r="DD214" s="5">
        <f>SUM(DD5:DD26,DE5:DE26)*DC214</f>
        <v>0</v>
      </c>
      <c r="DE214" s="12"/>
      <c r="DG214" s="13">
        <v>1</v>
      </c>
      <c r="DH214" s="5">
        <f>SUM(DH5:DH26,DI5:DI26)*DG214</f>
        <v>0</v>
      </c>
      <c r="DI214" s="12"/>
      <c r="DK214" s="13">
        <v>1</v>
      </c>
      <c r="DL214" s="5">
        <f>SUM(DL5:DL26,DM5:DM26)*DK214</f>
        <v>0</v>
      </c>
      <c r="DM214" s="12"/>
      <c r="DO214" s="13">
        <v>1</v>
      </c>
      <c r="DP214" s="5">
        <f>SUM(DP5:DP26,DQ5:DQ26)*DO214</f>
        <v>0</v>
      </c>
      <c r="DQ214" s="12"/>
      <c r="DS214" s="5"/>
      <c r="DV214" s="5"/>
      <c r="DW214" s="660">
        <f t="shared" si="1"/>
        <v>0</v>
      </c>
    </row>
    <row r="215" spans="1:127" s="6" customFormat="1" ht="15" customHeight="1">
      <c r="A215" s="3">
        <v>48</v>
      </c>
      <c r="B215" s="210" t="s">
        <v>1408</v>
      </c>
      <c r="C215" s="400" t="s">
        <v>0</v>
      </c>
      <c r="D215" s="4"/>
      <c r="E215" s="5"/>
      <c r="F215" s="5"/>
      <c r="G215" s="4"/>
      <c r="H215" s="4"/>
      <c r="I215" s="4"/>
      <c r="J215" s="4"/>
      <c r="K215" s="5"/>
      <c r="L215" s="5"/>
      <c r="M215" s="5"/>
      <c r="O215" s="5"/>
      <c r="P215" s="5"/>
      <c r="Q215" s="5"/>
      <c r="S215" s="5"/>
      <c r="T215" s="5"/>
      <c r="U215" s="5"/>
      <c r="W215" s="5"/>
      <c r="X215" s="5"/>
      <c r="Y215" s="12"/>
      <c r="AA215" s="13"/>
      <c r="AB215" s="12"/>
      <c r="AD215" s="13"/>
      <c r="AE215" s="5"/>
      <c r="AF215" s="5"/>
      <c r="AH215" s="13"/>
      <c r="AI215" s="5"/>
      <c r="AK215" s="5"/>
      <c r="AL215" s="5"/>
      <c r="AM215" s="5"/>
      <c r="AO215" s="5"/>
      <c r="AP215" s="5"/>
      <c r="AR215" s="5"/>
      <c r="AS215" s="5"/>
      <c r="AT215" s="5"/>
      <c r="AV215" s="5"/>
      <c r="AW215" s="5"/>
      <c r="AY215" s="5"/>
      <c r="AZ215" s="5"/>
      <c r="BA215" s="5"/>
      <c r="BC215" s="5"/>
      <c r="BD215" s="5"/>
      <c r="BF215" s="5"/>
      <c r="BG215" s="5"/>
      <c r="BH215" s="5"/>
      <c r="BJ215" s="5"/>
      <c r="BK215" s="5"/>
      <c r="BL215" s="12"/>
      <c r="BM215" s="5"/>
      <c r="BN215" s="5"/>
      <c r="BO215" s="5"/>
      <c r="BQ215" s="5"/>
      <c r="BR215" s="5"/>
      <c r="BT215" s="5"/>
      <c r="BU215" s="5"/>
      <c r="BV215" s="5"/>
      <c r="BX215" s="5"/>
      <c r="BY215" s="5"/>
      <c r="CA215" s="13"/>
      <c r="CB215" s="5"/>
      <c r="CC215" s="11"/>
      <c r="CE215" s="13"/>
      <c r="CF215" s="5"/>
      <c r="CG215" s="12"/>
      <c r="CI215" s="13"/>
      <c r="CJ215" s="5"/>
      <c r="CK215" s="12"/>
      <c r="CM215" s="13"/>
      <c r="CN215" s="5"/>
      <c r="CO215" s="12"/>
      <c r="CQ215" s="13"/>
      <c r="CR215" s="5"/>
      <c r="CS215" s="12"/>
      <c r="CU215" s="13"/>
      <c r="CV215" s="5"/>
      <c r="CW215" s="12"/>
      <c r="CY215" s="13"/>
      <c r="CZ215" s="5"/>
      <c r="DA215" s="12"/>
      <c r="DC215" s="13"/>
      <c r="DD215" s="5"/>
      <c r="DE215" s="12"/>
      <c r="DG215" s="13"/>
      <c r="DH215" s="5"/>
      <c r="DI215" s="12"/>
      <c r="DK215" s="13"/>
      <c r="DL215" s="5"/>
      <c r="DM215" s="12"/>
      <c r="DO215" s="13"/>
      <c r="DP215" s="5"/>
      <c r="DQ215" s="12"/>
      <c r="DS215" s="5"/>
      <c r="DV215" s="5"/>
      <c r="DW215" s="660">
        <f t="shared" si="1"/>
        <v>0</v>
      </c>
    </row>
    <row r="216" spans="1:127" s="6" customFormat="1" ht="15" customHeight="1">
      <c r="A216" s="3">
        <v>49</v>
      </c>
      <c r="B216" s="210" t="s">
        <v>1409</v>
      </c>
      <c r="C216" s="400" t="s">
        <v>0</v>
      </c>
      <c r="D216" s="4"/>
      <c r="E216" s="5"/>
      <c r="F216" s="5"/>
      <c r="G216" s="4"/>
      <c r="H216" s="4"/>
      <c r="I216" s="4"/>
      <c r="J216" s="4"/>
      <c r="K216" s="5"/>
      <c r="L216" s="5"/>
      <c r="M216" s="5"/>
      <c r="O216" s="5"/>
      <c r="P216" s="5"/>
      <c r="Q216" s="5"/>
      <c r="S216" s="5"/>
      <c r="T216" s="5"/>
      <c r="U216" s="5"/>
      <c r="W216" s="5"/>
      <c r="X216" s="5"/>
      <c r="Y216" s="12"/>
      <c r="AA216" s="13"/>
      <c r="AB216" s="12"/>
      <c r="AD216" s="13"/>
      <c r="AE216" s="5"/>
      <c r="AF216" s="5"/>
      <c r="AH216" s="13"/>
      <c r="AI216" s="5"/>
      <c r="AK216" s="5"/>
      <c r="AL216" s="5"/>
      <c r="AM216" s="5"/>
      <c r="AO216" s="5"/>
      <c r="AP216" s="5"/>
      <c r="AR216" s="5"/>
      <c r="AS216" s="5"/>
      <c r="AT216" s="5"/>
      <c r="AV216" s="5"/>
      <c r="AW216" s="5"/>
      <c r="AY216" s="5"/>
      <c r="AZ216" s="5"/>
      <c r="BA216" s="5"/>
      <c r="BC216" s="5"/>
      <c r="BD216" s="5"/>
      <c r="BF216" s="5"/>
      <c r="BG216" s="5"/>
      <c r="BH216" s="5"/>
      <c r="BJ216" s="5"/>
      <c r="BK216" s="5"/>
      <c r="BL216" s="12"/>
      <c r="BM216" s="5"/>
      <c r="BN216" s="5"/>
      <c r="BO216" s="5"/>
      <c r="BQ216" s="5"/>
      <c r="BR216" s="5"/>
      <c r="BT216" s="5"/>
      <c r="BU216" s="5"/>
      <c r="BV216" s="5"/>
      <c r="BX216" s="5"/>
      <c r="BY216" s="5"/>
      <c r="CA216" s="13"/>
      <c r="CB216" s="5"/>
      <c r="CC216" s="11"/>
      <c r="CE216" s="13"/>
      <c r="CF216" s="5"/>
      <c r="CG216" s="12"/>
      <c r="CI216" s="13"/>
      <c r="CJ216" s="5"/>
      <c r="CK216" s="12"/>
      <c r="CM216" s="13"/>
      <c r="CN216" s="5"/>
      <c r="CO216" s="12"/>
      <c r="CQ216" s="13"/>
      <c r="CR216" s="5"/>
      <c r="CS216" s="12"/>
      <c r="CU216" s="13"/>
      <c r="CV216" s="5"/>
      <c r="CW216" s="12"/>
      <c r="CY216" s="13"/>
      <c r="CZ216" s="5"/>
      <c r="DA216" s="12"/>
      <c r="DC216" s="13"/>
      <c r="DD216" s="5"/>
      <c r="DE216" s="12"/>
      <c r="DG216" s="13"/>
      <c r="DH216" s="5"/>
      <c r="DI216" s="12"/>
      <c r="DK216" s="13"/>
      <c r="DL216" s="5"/>
      <c r="DM216" s="12"/>
      <c r="DO216" s="13"/>
      <c r="DP216" s="5"/>
      <c r="DQ216" s="12"/>
      <c r="DS216" s="5"/>
      <c r="DV216" s="5"/>
      <c r="DW216" s="660">
        <f t="shared" si="1"/>
        <v>0</v>
      </c>
    </row>
    <row r="217" spans="1:127" s="6" customFormat="1" ht="15" customHeight="1">
      <c r="A217" s="3">
        <v>50</v>
      </c>
      <c r="B217" s="210" t="s">
        <v>1410</v>
      </c>
      <c r="C217" s="400" t="s">
        <v>0</v>
      </c>
      <c r="D217" s="4"/>
      <c r="E217" s="5"/>
      <c r="F217" s="5"/>
      <c r="G217" s="4"/>
      <c r="H217" s="4"/>
      <c r="I217" s="4"/>
      <c r="J217" s="4"/>
      <c r="K217" s="5"/>
      <c r="L217" s="5"/>
      <c r="M217" s="5"/>
      <c r="O217" s="5"/>
      <c r="P217" s="5"/>
      <c r="Q217" s="5"/>
      <c r="S217" s="5"/>
      <c r="T217" s="5"/>
      <c r="U217" s="5"/>
      <c r="W217" s="5"/>
      <c r="X217" s="5"/>
      <c r="Y217" s="12"/>
      <c r="AA217" s="13"/>
      <c r="AB217" s="12"/>
      <c r="AD217" s="13"/>
      <c r="AE217" s="5"/>
      <c r="AF217" s="5"/>
      <c r="AH217" s="13"/>
      <c r="AI217" s="5"/>
      <c r="AK217" s="5"/>
      <c r="AL217" s="5"/>
      <c r="AM217" s="5"/>
      <c r="AO217" s="5"/>
      <c r="AP217" s="5"/>
      <c r="AR217" s="5"/>
      <c r="AS217" s="5"/>
      <c r="AT217" s="5"/>
      <c r="AV217" s="5"/>
      <c r="AW217" s="5"/>
      <c r="AY217" s="5"/>
      <c r="AZ217" s="5"/>
      <c r="BA217" s="5"/>
      <c r="BC217" s="5"/>
      <c r="BD217" s="5"/>
      <c r="BF217" s="5"/>
      <c r="BG217" s="5"/>
      <c r="BH217" s="5"/>
      <c r="BJ217" s="5"/>
      <c r="BK217" s="5"/>
      <c r="BL217" s="12"/>
      <c r="BM217" s="5"/>
      <c r="BN217" s="5"/>
      <c r="BO217" s="5"/>
      <c r="BQ217" s="5"/>
      <c r="BR217" s="5"/>
      <c r="BT217" s="5"/>
      <c r="BU217" s="5"/>
      <c r="BV217" s="5"/>
      <c r="BX217" s="5"/>
      <c r="BY217" s="5"/>
      <c r="CA217" s="13"/>
      <c r="CB217" s="5"/>
      <c r="CC217" s="11"/>
      <c r="CE217" s="13"/>
      <c r="CF217" s="5"/>
      <c r="CG217" s="12"/>
      <c r="CI217" s="13"/>
      <c r="CJ217" s="5"/>
      <c r="CK217" s="12"/>
      <c r="CM217" s="13"/>
      <c r="CN217" s="5"/>
      <c r="CO217" s="12"/>
      <c r="CQ217" s="13"/>
      <c r="CR217" s="5"/>
      <c r="CS217" s="12"/>
      <c r="CU217" s="13"/>
      <c r="CV217" s="5"/>
      <c r="CW217" s="12"/>
      <c r="CY217" s="13"/>
      <c r="CZ217" s="5"/>
      <c r="DA217" s="12"/>
      <c r="DC217" s="13"/>
      <c r="DD217" s="5"/>
      <c r="DE217" s="12"/>
      <c r="DG217" s="13"/>
      <c r="DH217" s="5"/>
      <c r="DI217" s="12"/>
      <c r="DK217" s="13"/>
      <c r="DL217" s="5"/>
      <c r="DM217" s="12"/>
      <c r="DO217" s="13"/>
      <c r="DP217" s="5"/>
      <c r="DQ217" s="12"/>
      <c r="DS217" s="5"/>
      <c r="DV217" s="5"/>
      <c r="DW217" s="660">
        <f t="shared" si="1"/>
        <v>0</v>
      </c>
    </row>
    <row r="218" spans="1:127" s="6" customFormat="1" ht="15" customHeight="1">
      <c r="A218" s="3">
        <v>51</v>
      </c>
      <c r="B218" s="210" t="s">
        <v>8</v>
      </c>
      <c r="C218" s="473" t="s">
        <v>515</v>
      </c>
      <c r="D218" s="4"/>
      <c r="E218" s="5">
        <v>1</v>
      </c>
      <c r="F218" s="5">
        <f>SUM(F5:F26)*E218</f>
        <v>0</v>
      </c>
      <c r="G218" s="4"/>
      <c r="H218" s="4"/>
      <c r="I218" s="4"/>
      <c r="J218" s="4"/>
      <c r="K218" s="5"/>
      <c r="L218" s="5"/>
      <c r="M218" s="5"/>
      <c r="O218" s="5"/>
      <c r="P218" s="5"/>
      <c r="Q218" s="5"/>
      <c r="S218" s="5"/>
      <c r="T218" s="5"/>
      <c r="U218" s="5"/>
      <c r="W218" s="5"/>
      <c r="X218" s="5"/>
      <c r="Y218" s="12"/>
      <c r="AA218" s="13"/>
      <c r="AB218" s="12"/>
      <c r="AD218" s="13">
        <v>1</v>
      </c>
      <c r="AE218" s="5">
        <f>AE5*AD218+AF5*AD218+AE6*AD218+AF6*AD218+AE7*AD218+AF7*AD218+AE8*AD218+AF8*AD218+AE9*AD218+AF9*AD218+AE10*AD218+AF10*AD218+AE11*AD218+AF11*AD218+AE12*AD218+AF12*AD218+AE13*AD218+AF13*AD218+AE14*AD218+AF14*AD218+AE15*AD218+AF15*AD218+AE16*AD218+AF16*AD218+AE17*AD218+AF17*AD218+AE18*AD218+AF18*AD218+AE19*AD218+AF19*AD218+AE20*AD218+AF20*AD218+AE21*AD218+AF21*AD218+AE22*AD218+AF22*AD218+AE23*AD218+AF23*AD218+AE24*AD218+AF24*AD218+AE25*AD218+AF25*AD218+AE26*AD218+AF26*AD218</f>
        <v>0</v>
      </c>
      <c r="AF218" s="5"/>
      <c r="AH218" s="13">
        <v>1</v>
      </c>
      <c r="AI218" s="5">
        <f>AI5*AH218+AI6*AH218+AI7*AH218+AI8*AH218+AI9*AH218+AI10*AH218+AI11*AH218+AI12*AH218+AI13*AH218+AI14*AH218+AI15*AH218+AI16*AH218+AI17*AH218+AI18*AH218+AI19*AH218+AI20*AH218+AI21*AH218+AI22*AH218+AI23*AH218+AI24*AH218+AI25*AH218+AI26*AH218</f>
        <v>0</v>
      </c>
      <c r="AK218" s="5">
        <v>1</v>
      </c>
      <c r="AL218" s="5">
        <f>AL5*AK218+AM5*AK218+AL6*AK218+AM6*AK218+AL7*AK218+AM7*AK218+AL8*AK218+AM8*AK218+AL9*AK218+AM9*AK218+AL10*AK218+AM10*AK218+AL11*AK218+AM11*AK218+AL12*AK218+AM12*AK218+AL13*AK218+AM13*AK218+AL14*AK218+AM14*AK218+AL15*AK218+AM15*AK218+AL16*AK218+AM16*AK218+AL17*AK218+AM17*AK218+AL18*AK218+AM18*AK218+AL19*AK218+AM19*AK218+AL20*AK218+AM20*AK218+AL21*AK218+AM21*AK218+AL22*AK218+AM22*AK218+AL23*AK218+AM23*AK218+AL24*AK218+AM24*AK218+AL25*AK218+AM25*AK218+AL26*AK218+AM26*AK218</f>
        <v>0</v>
      </c>
      <c r="AM218" s="5"/>
      <c r="AO218" s="5">
        <v>1</v>
      </c>
      <c r="AP218" s="5">
        <f>AP5*AO218+AP6*AO218+AP7*AO218+AP8*AO218+AP9*AO218+AP10*AO218+AP11*AO218+AP12*AO218+AP13*AO218+AP14*AO218+AP15*AO218+AP16*AO218+AP17*AO218+AP18*AO218+AP19*AO218+AP20*AO218+AP21*AO218+AP22*AO218+AP23*AO218+AP24*AO218+AP25*AO218+AP26*AO218</f>
        <v>0</v>
      </c>
      <c r="AR218" s="5"/>
      <c r="AS218" s="5"/>
      <c r="AT218" s="5"/>
      <c r="AV218" s="5"/>
      <c r="AW218" s="5"/>
      <c r="AY218" s="5">
        <v>1</v>
      </c>
      <c r="AZ218" s="5">
        <f>AZ5*AY218+BA5*AY218+AZ6*AY218+BA6*AY218+AZ7*AY218+BA7*AY218+AZ8*AY218+BA8*AY218+AZ9*AY218+BA9*AY218+AZ10*AY218+BA10*AY218+AZ11*AY218+BA11*AY218+AZ12*AY218+BA12*AY218+AZ13*AY218+BA13*AY218+AZ14*AY218+BA14*AY218+AZ15*AY218+BA15*AY218+AZ16*AY218+BA16*AY218+AZ17*AY218+BA17*AY218+AZ18*AY218+BA18*AY218+AZ19*AY218+BA19*AY218+AZ20*AY218+BA20*AY218+AZ21*AY218+BA21*AY218+AZ22*AY218+BA22*AY218+AZ23*AY218+BA23*AY218+AZ24*AY218+BA24*AY218+AZ25*AY218+BA25*AY218+AZ26*AY218+BA26*AY218</f>
        <v>0</v>
      </c>
      <c r="BA218" s="5"/>
      <c r="BC218" s="5">
        <v>1</v>
      </c>
      <c r="BD218" s="5">
        <f>BD5*BC218+BD6*BC218+BD7*BC218+BD8*BC218+BD9*BC218+BD10*BC218+BD11*BC218+BD12*BC218+BD13*BC218+BD14*BC218+BD15*BC218+BD16*BC218+BD17*BC218+BD18*BC218+BD19*BC218+BD20*BC218+BD21*BC218+BD22*BC218+BD23*BC218+BD24*BC218+BD25*BC218+BD26*BC218</f>
        <v>0</v>
      </c>
      <c r="BF218" s="5"/>
      <c r="BG218" s="5"/>
      <c r="BH218" s="5"/>
      <c r="BJ218" s="5"/>
      <c r="BK218" s="5"/>
      <c r="BL218" s="12"/>
      <c r="BM218" s="5">
        <v>1</v>
      </c>
      <c r="BN218" s="5">
        <f>BN5*BM218+BO5*BM218+BN6*BM218+BO6*BM218+BN7*BM218+BO7*BM218+BN8*BM218+BO8*BM218+BN9*BM218+BO9*BM218+BN10*BM218+BO10*BM218+BN11*BM218+BO11*BM218+BN12*BM218+BO12*BM218+BN13*BM218+BO13*BM218+BN14*BM218+BO14*BM218+BN15*BM218+BO15*BM218+BN16*BM218+BO16*BM218+BN17*BM218+BO17*BM218+BN18*BM218+BO18*BM218+BN19*BM218+BO19*BM218+BN20*BM218+BO20*BM218+BN21*BM218+BO21*BM218+BN22*BM218+BO22*BM218+BN23*BM218+BO23*BM218+BN24*BM218+BO24*BM218+BN25*BM218+BO25*BM218+BN26*BM218+BO26*BM218</f>
        <v>0</v>
      </c>
      <c r="BO218" s="5"/>
      <c r="BQ218" s="5">
        <v>1</v>
      </c>
      <c r="BR218" s="5">
        <f>BR5*BQ218+BR6*BQ218+BR7*BQ218+BR8*BQ218+BR9*BQ218+BR10*BQ218+BR11*BQ218+BR12*BQ218+BR13*BQ218+BR14*BQ218+BR15*BQ218+BR16*BQ218+BR17*BQ218+BR18*BQ218+BR19*BQ218+BR20*BQ218+BR21*BQ218+BR22*BQ218+BR23*BQ218+BR24*BQ218+BR25*BQ218+BR26*BQ218</f>
        <v>0</v>
      </c>
      <c r="BT218" s="5"/>
      <c r="BU218" s="5">
        <f>BU5*BT218+BV5*BT218+BU6*BT218+BV6*BT218+BU7*BT218+BV7*BT218+BU8*BT218+BV8*BT218+BU9*BT218+BV9*BT218+BU10*BT218+BV10*BT218+BU11*BT218+BV11*BT218+BU12*BT218+BV12*BT218+BU13*BT218+BV13*BT218+BU14*BT218+BV14*BT218+BU15*BT218+BV15*BT218+BU16*BT218+BV16*BT218+BU17*BT218+BV17*BT218+BU18*BT218+BV18*BT218+BU19*BT218+BV19*BT218+BU20*BT218+BV20*BT218+BU21*BT218+BV21*BT218+BU22*BT218+BV22*BT218+BU23*BT218+BV23*BT218+BU24*BT218+BV24*BT218+BU25*BT218+BV25*BT218+BU26*BT218+BV26*BT218</f>
        <v>0</v>
      </c>
      <c r="BV218" s="5"/>
      <c r="BX218" s="5"/>
      <c r="BY218" s="5">
        <f>BY5*BX218+BZ5*BX218+BY6*BX218+BZ6*BX218+BY7*BX218+BZ7*BX218+BY8*BX218+BZ8*BX218+BY9*BX218+BZ9*BX218+BY10*BX218+BZ10*BX218+BY11*BX218+BZ11*BX218+BY12*BX218+BZ12*BX218+BY13*BX218+BZ13*BX218+BY14*BX218+BZ14*BX218+BY15*BX218+BZ15*BX218+BY16*BX218+BZ16*BX218+BY17*BX218+BZ17*BX218+BY18*BX218+BZ18*BX218+BY19*BX218+BZ19*BX218+BY20*BX218+BZ20*BX218+BY21*BX218+BZ21*BX218+BY22*BX218+BZ22*BX218+BY23*BX218+BZ23*BX218+BY24*BX218+BZ24*BX218+BY25*BX218+BZ25*BX218+BY26*BX218+BZ26*BX218</f>
        <v>0</v>
      </c>
      <c r="CA218" s="13">
        <v>1</v>
      </c>
      <c r="CB218" s="5">
        <f>SUM(CB5:CC26)*CA218</f>
        <v>0</v>
      </c>
      <c r="CC218" s="11"/>
      <c r="CE218" s="13">
        <v>1</v>
      </c>
      <c r="CF218" s="5">
        <f>SUM(CF5:CG26)*CE218</f>
        <v>0</v>
      </c>
      <c r="CG218" s="12"/>
      <c r="CI218" s="13">
        <v>1</v>
      </c>
      <c r="CJ218" s="5">
        <f>SUM(CJ5:CK26)*CI218</f>
        <v>0</v>
      </c>
      <c r="CK218" s="12"/>
      <c r="CM218" s="13">
        <v>1</v>
      </c>
      <c r="CN218" s="5">
        <f>CN5*CM218+CO5*CM218+CN6*CM218+CO6*CM218+CN7*CM218+CO7*CM218+CN8*CM218+CO8*CM218+CN9*CM218+CO9*CM218+CN10*CM218+CO10*CM218+CN11*CM218+CO11*CM218+CN12*CM218+CO12*CM218+CN13*CM218+CO13*CM218+CN14*CM218+CO14*CM218+CN15*CM218+CO15*CM218+CN16*CM218+CO16*CM218+CN17*CM218+CO17*CM218+CN18*CM218+CO18*CM218+CN19*CM218+CO19*CM218+CN20*CM218+CO20*CM218+CN21*CM218+CO21*CM218+CN22*CM218+CO22*CM218+CN23*CM218+CO23*CM218+CN24*CM218+CO24*CM218+CN25*CM218+CO25*CM218+CN26*CM218+CO26*CM218</f>
        <v>0</v>
      </c>
      <c r="CO218" s="12"/>
      <c r="CQ218" s="13">
        <v>1</v>
      </c>
      <c r="CR218" s="5">
        <f>SUM(CR5:CS26)*CQ218</f>
        <v>0</v>
      </c>
      <c r="CS218" s="12"/>
      <c r="CU218" s="13">
        <v>1</v>
      </c>
      <c r="CV218" s="5">
        <f>SUM(CV5:CW26)*CU218</f>
        <v>0</v>
      </c>
      <c r="CW218" s="12"/>
      <c r="CY218" s="13">
        <v>1</v>
      </c>
      <c r="CZ218" s="5">
        <f>SUM(CZ5:DA26)*CY218</f>
        <v>0</v>
      </c>
      <c r="DA218" s="12"/>
      <c r="DC218" s="13">
        <v>1</v>
      </c>
      <c r="DD218" s="5">
        <f>SUM(DD5:DE26)*DC218</f>
        <v>0</v>
      </c>
      <c r="DE218" s="12"/>
      <c r="DG218" s="13">
        <v>1</v>
      </c>
      <c r="DH218" s="5">
        <f>SUM(DH5:DI26)*DG218</f>
        <v>0</v>
      </c>
      <c r="DI218" s="12"/>
      <c r="DK218" s="13">
        <v>1</v>
      </c>
      <c r="DL218" s="5">
        <f>SUM(DL5:DM26)*DK218</f>
        <v>0</v>
      </c>
      <c r="DM218" s="12"/>
      <c r="DO218" s="13">
        <v>1</v>
      </c>
      <c r="DP218" s="5">
        <f>SUM(DP5:DQ26)*DO218</f>
        <v>0</v>
      </c>
      <c r="DQ218" s="12"/>
      <c r="DS218" s="5"/>
      <c r="DV218" s="5"/>
      <c r="DW218" s="660">
        <f t="shared" si="1"/>
        <v>0</v>
      </c>
    </row>
    <row r="219" spans="1:127" s="6" customFormat="1" ht="15" customHeight="1">
      <c r="A219" s="3">
        <v>52</v>
      </c>
      <c r="B219" s="210" t="s">
        <v>141</v>
      </c>
      <c r="C219" s="473" t="s">
        <v>515</v>
      </c>
      <c r="D219" s="4"/>
      <c r="E219" s="5"/>
      <c r="F219" s="5"/>
      <c r="G219" s="4"/>
      <c r="H219" s="4"/>
      <c r="I219" s="4"/>
      <c r="J219" s="4"/>
      <c r="K219" s="5"/>
      <c r="L219" s="5"/>
      <c r="M219" s="5"/>
      <c r="O219" s="5"/>
      <c r="P219" s="5"/>
      <c r="Q219" s="5"/>
      <c r="S219" s="5"/>
      <c r="T219" s="5"/>
      <c r="U219" s="5"/>
      <c r="W219" s="5"/>
      <c r="X219" s="5"/>
      <c r="Y219" s="12"/>
      <c r="AA219" s="13">
        <v>1</v>
      </c>
      <c r="AB219" s="12">
        <f>AB5*AA219+AB6*AA219+AB7*AA219+AB8*AA219+AB9*AA219+AB10*AA219+AB11*AA219+AB12*AA219+AB13*AA219+AB14*AA219+AB15*AA219+AB16*AA219+AB17*AA219+AB18*AA219+AB19*AA219+AB20*AA219+AB21*AA219+AB22*AA219+AB23*AA219+AB24*AA219+AB25*AA219+AB26*AA219</f>
        <v>0</v>
      </c>
      <c r="AD219" s="13"/>
      <c r="AE219" s="5"/>
      <c r="AF219" s="5"/>
      <c r="AH219" s="13"/>
      <c r="AI219" s="5"/>
      <c r="AK219" s="5"/>
      <c r="AL219" s="5"/>
      <c r="AM219" s="5"/>
      <c r="AO219" s="5"/>
      <c r="AP219" s="5"/>
      <c r="AR219" s="5"/>
      <c r="AS219" s="5"/>
      <c r="AT219" s="5"/>
      <c r="AV219" s="13">
        <v>1</v>
      </c>
      <c r="AW219" s="12">
        <f>AW5*AV219+AW6*AV219+AW7*AV219+AW8*AV219+AW9*AV219+AW10*AV219+AW11*AV219+AW12*AV219+AW13*AV219+AW14*AV219+AW15*AV219+AW16*AV219+AW17*AV219+AW18*AV219+AW19*AV219+AW20*AV219+AW21*AV219+AW22*AV219+AW23*AV219+AW24*AV219+AW25*AV219+AW26*AV219</f>
        <v>0</v>
      </c>
      <c r="AY219" s="5"/>
      <c r="AZ219" s="5"/>
      <c r="BA219" s="5"/>
      <c r="BC219" s="5"/>
      <c r="BD219" s="5"/>
      <c r="BF219" s="5"/>
      <c r="BG219" s="5"/>
      <c r="BH219" s="5"/>
      <c r="BJ219" s="13">
        <v>1</v>
      </c>
      <c r="BK219" s="12">
        <f>BK5*BJ219+BK6*BJ219+BK7*BJ219+BK8*BJ219+BK9*BJ219+BK10*BJ219+BK11*BJ219+BK12*BJ219+BK13*BJ219+BK14*BJ219+BK15*BJ219+BK16*BJ219+BK17*BJ219+BK18*BJ219+BK19*BJ219+BK20*BJ219+BK21*BJ219+BK22*BJ219+BK23*BJ219+BK24*BJ219+BK25*BJ219+BK26*BJ219</f>
        <v>0</v>
      </c>
      <c r="BL219" s="12"/>
      <c r="BM219" s="5"/>
      <c r="BN219" s="5"/>
      <c r="BO219" s="5"/>
      <c r="BQ219" s="5"/>
      <c r="BR219" s="5"/>
      <c r="BT219" s="5"/>
      <c r="BU219" s="5"/>
      <c r="BV219" s="5"/>
      <c r="BX219" s="5"/>
      <c r="BY219" s="5"/>
      <c r="CA219" s="13"/>
      <c r="CB219" s="7"/>
      <c r="CC219" s="11"/>
      <c r="CE219" s="13"/>
      <c r="CF219" s="5"/>
      <c r="CG219" s="12"/>
      <c r="CI219" s="13"/>
      <c r="CJ219" s="5"/>
      <c r="CK219" s="12"/>
      <c r="CM219" s="13"/>
      <c r="CN219" s="5"/>
      <c r="CO219" s="12"/>
      <c r="CQ219" s="13"/>
      <c r="CR219" s="5"/>
      <c r="CS219" s="12"/>
      <c r="CU219" s="13"/>
      <c r="CV219" s="5"/>
      <c r="CW219" s="12"/>
      <c r="CY219" s="13"/>
      <c r="CZ219" s="5"/>
      <c r="DA219" s="12"/>
      <c r="DC219" s="13"/>
      <c r="DD219" s="5"/>
      <c r="DE219" s="12"/>
      <c r="DG219" s="13"/>
      <c r="DH219" s="5"/>
      <c r="DI219" s="12"/>
      <c r="DK219" s="13"/>
      <c r="DL219" s="5"/>
      <c r="DM219" s="12"/>
      <c r="DO219" s="13"/>
      <c r="DP219" s="5"/>
      <c r="DQ219" s="12"/>
      <c r="DS219" s="5"/>
      <c r="DV219" s="5"/>
      <c r="DW219" s="660">
        <f t="shared" si="1"/>
        <v>0</v>
      </c>
    </row>
    <row r="220" spans="1:127" s="6" customFormat="1" ht="15" customHeight="1">
      <c r="A220" s="3">
        <v>53</v>
      </c>
      <c r="B220" s="210" t="s">
        <v>9</v>
      </c>
      <c r="C220" s="473" t="s">
        <v>515</v>
      </c>
      <c r="D220" s="4"/>
      <c r="E220" s="5"/>
      <c r="F220" s="5"/>
      <c r="G220" s="4"/>
      <c r="H220" s="4"/>
      <c r="I220" s="4"/>
      <c r="J220" s="4"/>
      <c r="K220" s="5"/>
      <c r="L220" s="5"/>
      <c r="M220" s="5"/>
      <c r="O220" s="5"/>
      <c r="P220" s="5"/>
      <c r="Q220" s="5"/>
      <c r="S220" s="5"/>
      <c r="T220" s="5"/>
      <c r="U220" s="5"/>
      <c r="W220" s="5"/>
      <c r="X220" s="5"/>
      <c r="Y220" s="12"/>
      <c r="AA220" s="13"/>
      <c r="AB220" s="12"/>
      <c r="AD220" s="13"/>
      <c r="AE220" s="5"/>
      <c r="AF220" s="5"/>
      <c r="AH220" s="13"/>
      <c r="AI220" s="5"/>
      <c r="AK220" s="5"/>
      <c r="AL220" s="5"/>
      <c r="AM220" s="5"/>
      <c r="AO220" s="5"/>
      <c r="AP220" s="5"/>
      <c r="AR220" s="5"/>
      <c r="AS220" s="5"/>
      <c r="AT220" s="5"/>
      <c r="AV220" s="5"/>
      <c r="AW220" s="5"/>
      <c r="AY220" s="5"/>
      <c r="AZ220" s="5"/>
      <c r="BA220" s="5"/>
      <c r="BC220" s="5"/>
      <c r="BD220" s="5"/>
      <c r="BF220" s="5"/>
      <c r="BG220" s="5"/>
      <c r="BH220" s="5"/>
      <c r="BJ220" s="5"/>
      <c r="BK220" s="5"/>
      <c r="BL220" s="12"/>
      <c r="BM220" s="5"/>
      <c r="BN220" s="5"/>
      <c r="BO220" s="5"/>
      <c r="BQ220" s="5"/>
      <c r="BR220" s="5"/>
      <c r="BT220" s="5"/>
      <c r="BU220" s="5"/>
      <c r="BV220" s="5"/>
      <c r="BX220" s="5"/>
      <c r="BY220" s="5"/>
      <c r="CA220" s="13"/>
      <c r="CB220" s="7"/>
      <c r="CC220" s="11"/>
      <c r="CE220" s="13">
        <v>2</v>
      </c>
      <c r="CF220" s="5">
        <f>CG9*CE220+CG10*CE220+CG11*CE220+CG12*CE220+CG13*CE220+CG14*CE220+CG15*CE220+CG16*CE220+CG17*CE220+CG18*CE220+CG19*CE220+CG20*CE220+CG21*CE220+CG22*CE220+CG23*CE220+CG24*CE220+CG25*CE220+CG26*CE220+CG5*CE220+CG6*CE220+CG7*CE220+CG8*CE220+CF9*CE220+CF10*CE220+CF11*CE220+CF12*CE220+CF13*CE220+CF14*CE220+CF15*CE220+CF16*CE220+CF17*CE220+CF18*CE220+CF19*CE220+CF20*CE220+CF21*CE220+CF22*CE220+CF23*CE220+CF24*CE220+CF25*CE220+CF26*CE220+CF5*CE220+CF6*CE220+CF7*CE220+CF8*CE220</f>
        <v>0</v>
      </c>
      <c r="CG220" s="12"/>
      <c r="CI220" s="13">
        <v>2</v>
      </c>
      <c r="CJ220" s="5">
        <f>CK9*CI220+CK10*CI220+CK11*CI220+CK12*CI220+CK13*CI220+CK14*CI220+CK15*CI220+CK16*CI220+CK17*CI220+CK18*CI220+CK19*CI220+CK20*CI220+CK21*CI220+CK22*CI220+CK23*CI220+CK24*CI220+CK25*CI220+CK26*CI220+CK5*CI220+CK6*CI220+CK7*CI220+CK8*CI220+CJ9*CI220+CJ10*CI220+CJ11*CI220+CJ12*CI220+CJ13*CI220+CJ14*CI220+CJ15*CI220+CJ16*CI220+CJ17*CI220+CJ18*CI220+CJ19*CI220+CJ20*CI220+CJ21*CI220+CJ22*CI220+CJ23*CI220+CJ24*CI220+CJ25*CI220+CJ26*CI220+CJ5*CI220+CJ6*CI220+CJ7*CI220+CJ8*CI220</f>
        <v>0</v>
      </c>
      <c r="CK220" s="12"/>
      <c r="CM220" s="13">
        <v>2</v>
      </c>
      <c r="CN220" s="5">
        <f>SUM(CN5:CO26)*CM220</f>
        <v>0</v>
      </c>
      <c r="CO220" s="12"/>
      <c r="CQ220" s="13">
        <v>8</v>
      </c>
      <c r="CR220" s="5">
        <f>SUM(CR5:CS26)*CQ220</f>
        <v>0</v>
      </c>
      <c r="CS220" s="12"/>
      <c r="CU220" s="13">
        <v>2</v>
      </c>
      <c r="CV220" s="5">
        <f>SUM(CV5:CV26,CW5:CW26)*CU220</f>
        <v>0</v>
      </c>
      <c r="CW220" s="12"/>
      <c r="CY220" s="13">
        <v>2</v>
      </c>
      <c r="CZ220" s="5">
        <f>SUM(CZ5:DA26)*CY220</f>
        <v>0</v>
      </c>
      <c r="DA220" s="12"/>
      <c r="DC220" s="13">
        <v>2</v>
      </c>
      <c r="DD220" s="5">
        <f>DE9*DC220+DE10*DC220+DE11*DC220+DE12*DC220+DE13*DC220+DE14*DC220+DE15*DC220+DE16*DC220+DE17*DC220+DE18*DC220+DE19*DC220+DE20*DC220+DE21*DC220+DE22*DC220+DE23*DC220+DE24*DC220+DE25*DC220+DE26*DC220+DE5*DC220+DE6*DC220+DE7*DC220+DE8*DC220+DD9*DC220+DD10*DC220+DD11*DC220+DD12*DC220+DD13*DC220+DD14*DC220+DD15*DC220+DD16*DC220+DD17*DC220+DD18*DC220+DD19*DC220+DD20*DC220+DD21*DC220+DD22*DC220+DD23*DC220+DD24*DC220+DD25*DC220+DD26*DC220+DD5*DC220+DD6*DC220+DD7*DC220+DD8*DC220</f>
        <v>0</v>
      </c>
      <c r="DE220" s="12"/>
      <c r="DG220" s="13">
        <v>2</v>
      </c>
      <c r="DH220" s="5">
        <f>SUM(DH5:DI26)*DG220</f>
        <v>0</v>
      </c>
      <c r="DI220" s="12"/>
      <c r="DK220" s="13">
        <v>8</v>
      </c>
      <c r="DL220" s="5">
        <f>SUM(DL5:DM26)*DK220</f>
        <v>0</v>
      </c>
      <c r="DM220" s="12"/>
      <c r="DO220" s="13">
        <v>2</v>
      </c>
      <c r="DP220" s="5">
        <f>DQ9*DO220+DQ10*DO220+DQ11*DO220+DQ12*DO220+DQ13*DO220+DQ14*DO220+DQ15*DO220+DQ16*DO220+DQ17*DO220+DQ18*DO220+DQ19*DO220+DQ20*DO220+DQ21*DO220+DQ22*DO220+DQ23*DO220+DQ24*DO220+DQ25*DO220+DQ26*DO220+DQ5*DO220+DQ6*DO220+DQ7*DO220+DQ8*DO220+DP9*DO220+DP10*DO220+DP11*DO220+DP12*DO220+DP13*DO220+DP14*DO220+DP15*DO220+DP16*DO220+DP17*DO220+DP18*DO220+DP19*DO220+DP20*DO220+DP21*DO220+DP22*DO220+DP23*DO220+DP24*DO220+DP25*DO220+DP26*DO220+DP5*DO220+DP6*DO220+DP7*DO220+DP8*DO220</f>
        <v>0</v>
      </c>
      <c r="DQ220" s="12"/>
      <c r="DS220" s="13">
        <v>6</v>
      </c>
      <c r="DT220" s="5"/>
      <c r="DU220" s="12"/>
      <c r="DV220" s="5"/>
      <c r="DW220" s="660">
        <f t="shared" si="1"/>
        <v>0</v>
      </c>
    </row>
    <row r="221" spans="1:127" s="6" customFormat="1" ht="15" customHeight="1">
      <c r="A221" s="3"/>
      <c r="B221" s="210" t="s">
        <v>452</v>
      </c>
      <c r="C221" s="473" t="s">
        <v>515</v>
      </c>
      <c r="D221" s="4"/>
      <c r="E221" s="5"/>
      <c r="F221" s="5"/>
      <c r="G221" s="4"/>
      <c r="H221" s="4"/>
      <c r="I221" s="4"/>
      <c r="J221" s="4"/>
      <c r="K221" s="5"/>
      <c r="L221" s="5"/>
      <c r="M221" s="5"/>
      <c r="O221" s="5"/>
      <c r="P221" s="5"/>
      <c r="Q221" s="5"/>
      <c r="S221" s="5"/>
      <c r="T221" s="5"/>
      <c r="U221" s="5"/>
      <c r="W221" s="5"/>
      <c r="X221" s="5"/>
      <c r="Y221" s="12"/>
      <c r="AA221" s="13"/>
      <c r="AB221" s="12"/>
      <c r="AD221" s="13"/>
      <c r="AE221" s="5"/>
      <c r="AF221" s="5"/>
      <c r="AH221" s="13"/>
      <c r="AI221" s="5"/>
      <c r="AK221" s="5"/>
      <c r="AL221" s="5"/>
      <c r="AM221" s="5"/>
      <c r="AO221" s="5"/>
      <c r="AP221" s="5"/>
      <c r="AR221" s="5"/>
      <c r="AS221" s="5"/>
      <c r="AT221" s="5"/>
      <c r="AV221" s="5"/>
      <c r="AW221" s="5"/>
      <c r="AY221" s="5"/>
      <c r="AZ221" s="5"/>
      <c r="BA221" s="5"/>
      <c r="BC221" s="5"/>
      <c r="BD221" s="5"/>
      <c r="BF221" s="5"/>
      <c r="BG221" s="5"/>
      <c r="BH221" s="5"/>
      <c r="BJ221" s="5"/>
      <c r="BK221" s="5"/>
      <c r="BL221" s="12"/>
      <c r="BM221" s="5"/>
      <c r="BN221" s="5"/>
      <c r="BO221" s="5"/>
      <c r="BQ221" s="5"/>
      <c r="BR221" s="5"/>
      <c r="BT221" s="5"/>
      <c r="BU221" s="5"/>
      <c r="BV221" s="5"/>
      <c r="BX221" s="5"/>
      <c r="BY221" s="5"/>
      <c r="CA221" s="13"/>
      <c r="CB221" s="7"/>
      <c r="CC221" s="11"/>
      <c r="CE221" s="13"/>
      <c r="CF221" s="5"/>
      <c r="CG221" s="12"/>
      <c r="CI221" s="13"/>
      <c r="CJ221" s="5"/>
      <c r="CK221" s="12"/>
      <c r="CM221" s="13">
        <v>6</v>
      </c>
      <c r="CN221" s="5">
        <f>SUM(CN5:CO26)*CM221</f>
        <v>0</v>
      </c>
      <c r="CO221" s="12"/>
      <c r="CQ221" s="13"/>
      <c r="CR221" s="5"/>
      <c r="CS221" s="12"/>
      <c r="CU221" s="13"/>
      <c r="CV221" s="5"/>
      <c r="CW221" s="12"/>
      <c r="CY221" s="13"/>
      <c r="CZ221" s="5"/>
      <c r="DA221" s="12"/>
      <c r="DC221" s="13"/>
      <c r="DD221" s="5"/>
      <c r="DE221" s="12"/>
      <c r="DG221" s="13">
        <v>6</v>
      </c>
      <c r="DH221" s="5">
        <f>SUM(DH5:DI26)*DG221</f>
        <v>0</v>
      </c>
      <c r="DI221" s="12"/>
      <c r="DK221" s="13"/>
      <c r="DL221" s="5"/>
      <c r="DM221" s="12"/>
      <c r="DO221" s="13"/>
      <c r="DP221" s="5"/>
      <c r="DQ221" s="12"/>
      <c r="DS221" s="186">
        <v>6</v>
      </c>
      <c r="DT221" s="5"/>
      <c r="DU221" s="12"/>
      <c r="DW221" s="660">
        <f t="shared" si="1"/>
        <v>0</v>
      </c>
    </row>
    <row r="222" spans="1:127" s="6" customFormat="1" ht="15" customHeight="1">
      <c r="A222" s="3">
        <v>54</v>
      </c>
      <c r="B222" s="210" t="s">
        <v>10</v>
      </c>
      <c r="C222" s="473" t="s">
        <v>515</v>
      </c>
      <c r="D222" s="4"/>
      <c r="E222" s="5"/>
      <c r="F222" s="5"/>
      <c r="G222" s="4"/>
      <c r="H222" s="4"/>
      <c r="I222" s="4"/>
      <c r="J222" s="4"/>
      <c r="K222" s="5"/>
      <c r="L222" s="5"/>
      <c r="M222" s="5"/>
      <c r="O222" s="5"/>
      <c r="P222" s="5"/>
      <c r="Q222" s="5"/>
      <c r="S222" s="5"/>
      <c r="T222" s="5"/>
      <c r="U222" s="5"/>
      <c r="W222" s="5">
        <v>1</v>
      </c>
      <c r="X222" s="5">
        <f>Y5*W222+Y6*W222+Y7*W222+Y8*W222+Y9*W222+Y10*W222+Y11*W222+Y12*W222+Y13*W222+Y14*W222+Y15*W222+Y16*W222+Y17*W222+Y18*W222+Y19*W222+Y20*W222+Y21*W222+Y22*W222+Y23*W222+Y24*W222+Y25*W222+Y26*W222</f>
        <v>0</v>
      </c>
      <c r="Y222" s="12"/>
      <c r="AA222" s="13"/>
      <c r="AB222" s="12"/>
      <c r="AD222" s="13"/>
      <c r="AE222" s="5"/>
      <c r="AF222" s="5"/>
      <c r="AH222" s="13"/>
      <c r="AI222" s="5"/>
      <c r="AK222" s="5"/>
      <c r="AL222" s="5"/>
      <c r="AM222" s="5"/>
      <c r="AO222" s="5"/>
      <c r="AP222" s="5"/>
      <c r="AR222" s="5">
        <v>1</v>
      </c>
      <c r="AS222" s="5">
        <f>AT5*AR222+AT6*AR222+AT7*AR222+AT8*AR222+AT9*AR222+AT10*AR222+AT11*AR222+AT12*AR222+AT13*AR222+AT14*AR222+AT15*AR222+AT16*AR222+AT17*AR222+AT18*AR222+AT19*AR222+AT20*AR222+AT21*AR222+AT22*AR222+AT23*AR222+AT24*AR222+AT25*AR222+AT26*AR222</f>
        <v>0</v>
      </c>
      <c r="AT222" s="5"/>
      <c r="AV222" s="5"/>
      <c r="AW222" s="5">
        <f>AX5*AV222+AX6*AV222+AX7*AV222+AX8*AV222+AX9*AV222+AX10*AV222+AX11*AV222+AX12*AV222+AX13*AV222+AX14*AV222+AX15*AV222+AX16*AV222+AX17*AV222+AX18*AV222+AX19*AV222+AX20*AV222+AX21*AV222+AX22*AV222+AX23*AV222+AX24*AV222+AX25*AV222+AX26*AV222</f>
        <v>0</v>
      </c>
      <c r="AY222" s="5"/>
      <c r="AZ222" s="5"/>
      <c r="BA222" s="5"/>
      <c r="BC222" s="5"/>
      <c r="BD222" s="5"/>
      <c r="BF222" s="5">
        <v>1</v>
      </c>
      <c r="BG222" s="5">
        <f>BH5*BF222+BH6*BF222+BH7*BF222+BH8*BF222+BH9*BF222+BH10*BF222+BH11*BF222+BH12*BF222+BH13*BF222+BH14*BF222+BH15*BF222+BH16*BF222+BH17*BF222+BH18*BF222+BH19*BF222+BH20*BF222+BH21*BF222+BH22*BF222+BH23*BF222+BH24*BF222+BH25*BF222+BH26*BF222</f>
        <v>0</v>
      </c>
      <c r="BH222" s="5"/>
      <c r="BJ222" s="5"/>
      <c r="BK222" s="5"/>
      <c r="BL222" s="12"/>
      <c r="BM222" s="5"/>
      <c r="BN222" s="5">
        <f>BO5*BM222+BO6*BM222+BO7*BM222+BO8*BM222+BO9*BM222+BO10*BM222+BO11*BM222+BO12*BM222+BO13*BM222+BO14*BM222+BO15*BM222+BO16*BM222+BO17*BM222+BO18*BM222+BO19*BM222+BO20*BM222+BO21*BM222+BO22*BM222+BO23*BM222+BO24*BM222+BO25*BM222+BO26*BM222</f>
        <v>0</v>
      </c>
      <c r="BO222" s="5"/>
      <c r="BQ222" s="5"/>
      <c r="BR222" s="5">
        <f>BS5*BQ222+BS6*BQ222+BS7*BQ222+BS8*BQ222+BS9*BQ222+BS10*BQ222+BS11*BQ222+BS12*BQ222+BS13*BQ222+BS14*BQ222+BS15*BQ222+BS16*BQ222+BS17*BQ222+BS18*BQ222+BS19*BQ222+BS20*BQ222+BS21*BQ222+BS22*BQ222+BS23*BQ222+BS24*BQ222+BS25*BQ222+BS26*BQ222</f>
        <v>0</v>
      </c>
      <c r="BT222" s="5"/>
      <c r="BU222" s="5">
        <f>BV5*BT222+BV6*BT222+BV7*BT222+BV8*BT222+BV9*BT222+BV10*BT222+BV11*BT222+BV12*BT222+BV13*BT222+BV14*BT222+BV15*BT222+BV16*BT222+BV17*BT222+BV18*BT222+BV19*BT222+BV20*BT222+BV21*BT222+BV22*BT222+BV23*BT222+BV24*BT222+BV25*BT222+BV26*BT222</f>
        <v>0</v>
      </c>
      <c r="BV222" s="5"/>
      <c r="BX222" s="5"/>
      <c r="BY222" s="5">
        <f>BZ5*BX222+BZ6*BX222+BZ7*BX222+BZ8*BX222+BZ9*BX222+BZ10*BX222+BZ11*BX222+BZ12*BX222+BZ13*BX222+BZ14*BX222+BZ15*BX222+BZ16*BX222+BZ17*BX222+BZ18*BX222+BZ19*BX222+BZ20*BX222+BZ21*BX222+BZ22*BX222+BZ23*BX222+BZ24*BX222+BZ25*BX222+BZ26*BX222</f>
        <v>0</v>
      </c>
      <c r="CA222" s="13"/>
      <c r="CB222" s="7"/>
      <c r="CC222" s="11"/>
      <c r="CE222" s="13">
        <v>6</v>
      </c>
      <c r="CF222" s="5">
        <f>SUM(CF5:CG26)*CE222</f>
        <v>0</v>
      </c>
      <c r="CG222" s="12"/>
      <c r="CI222" s="13">
        <v>6</v>
      </c>
      <c r="CJ222" s="5">
        <f>SUM(CJ5:CK26)*CI222</f>
        <v>0</v>
      </c>
      <c r="CK222" s="12"/>
      <c r="CM222" s="13"/>
      <c r="CN222" s="5"/>
      <c r="CO222" s="12"/>
      <c r="CQ222" s="13"/>
      <c r="CR222" s="5"/>
      <c r="CS222" s="12"/>
      <c r="CU222" s="13"/>
      <c r="CV222" s="5"/>
      <c r="CW222" s="12"/>
      <c r="CY222" s="13">
        <v>6</v>
      </c>
      <c r="CZ222" s="5">
        <f>SUM(CZ5:DA26)*CY222</f>
        <v>0</v>
      </c>
      <c r="DA222" s="12"/>
      <c r="DC222" s="13">
        <v>6</v>
      </c>
      <c r="DD222" s="5">
        <f>SUM(DD5:DE26)*DC222</f>
        <v>0</v>
      </c>
      <c r="DE222" s="12"/>
      <c r="DG222" s="13"/>
      <c r="DH222" s="5"/>
      <c r="DI222" s="12"/>
      <c r="DK222" s="13"/>
      <c r="DL222" s="5"/>
      <c r="DM222" s="12"/>
      <c r="DO222" s="13"/>
      <c r="DP222" s="5"/>
      <c r="DQ222" s="12"/>
      <c r="DS222" s="13">
        <v>6</v>
      </c>
      <c r="DT222" s="5"/>
      <c r="DU222" s="5"/>
      <c r="DV222" s="5"/>
      <c r="DW222" s="660">
        <f t="shared" si="1"/>
        <v>0</v>
      </c>
    </row>
    <row r="223" spans="1:127" s="6" customFormat="1" ht="15" customHeight="1">
      <c r="A223" s="3"/>
      <c r="B223" s="210" t="s">
        <v>731</v>
      </c>
      <c r="C223" s="473" t="s">
        <v>0</v>
      </c>
      <c r="D223" s="4"/>
      <c r="E223" s="5"/>
      <c r="F223" s="5"/>
      <c r="G223" s="4"/>
      <c r="H223" s="4"/>
      <c r="I223" s="4"/>
      <c r="J223" s="4"/>
      <c r="K223" s="5"/>
      <c r="L223" s="5"/>
      <c r="M223" s="5"/>
      <c r="O223" s="5"/>
      <c r="P223" s="5"/>
      <c r="Q223" s="5"/>
      <c r="S223" s="5"/>
      <c r="T223" s="5"/>
      <c r="U223" s="5"/>
      <c r="W223" s="5"/>
      <c r="X223" s="5"/>
      <c r="Y223" s="12"/>
      <c r="AA223" s="13"/>
      <c r="AB223" s="12"/>
      <c r="AD223" s="13"/>
      <c r="AE223" s="5"/>
      <c r="AF223" s="5"/>
      <c r="AH223" s="13"/>
      <c r="AI223" s="5"/>
      <c r="AK223" s="5"/>
      <c r="AL223" s="5"/>
      <c r="AM223" s="5"/>
      <c r="AO223" s="5"/>
      <c r="AP223" s="5"/>
      <c r="AR223" s="5"/>
      <c r="AS223" s="5"/>
      <c r="AT223" s="5"/>
      <c r="AV223" s="5"/>
      <c r="AW223" s="5"/>
      <c r="AY223" s="5"/>
      <c r="AZ223" s="5"/>
      <c r="BA223" s="5"/>
      <c r="BC223" s="5"/>
      <c r="BD223" s="5"/>
      <c r="BF223" s="5"/>
      <c r="BG223" s="5"/>
      <c r="BH223" s="5"/>
      <c r="BJ223" s="5"/>
      <c r="BK223" s="5"/>
      <c r="BL223" s="12"/>
      <c r="BM223" s="5"/>
      <c r="BN223" s="5"/>
      <c r="BO223" s="5"/>
      <c r="BQ223" s="5"/>
      <c r="BR223" s="5"/>
      <c r="BT223" s="5"/>
      <c r="BU223" s="5"/>
      <c r="BV223" s="5"/>
      <c r="BX223" s="5"/>
      <c r="BY223" s="5"/>
      <c r="CA223" s="13"/>
      <c r="CB223" s="7"/>
      <c r="CC223" s="11"/>
      <c r="CE223" s="13"/>
      <c r="CF223" s="5"/>
      <c r="CG223" s="12"/>
      <c r="CI223" s="13"/>
      <c r="CJ223" s="5"/>
      <c r="CK223" s="12"/>
      <c r="CM223" s="13"/>
      <c r="CN223" s="5"/>
      <c r="CO223" s="12"/>
      <c r="CQ223" s="13"/>
      <c r="CR223" s="5"/>
      <c r="CS223" s="12"/>
      <c r="CU223" s="13"/>
      <c r="CV223" s="5"/>
      <c r="CW223" s="12"/>
      <c r="CY223" s="13"/>
      <c r="CZ223" s="5"/>
      <c r="DA223" s="12"/>
      <c r="DC223" s="13"/>
      <c r="DD223" s="5"/>
      <c r="DE223" s="12"/>
      <c r="DG223" s="13"/>
      <c r="DH223" s="5"/>
      <c r="DI223" s="12"/>
      <c r="DK223" s="13"/>
      <c r="DL223" s="5"/>
      <c r="DM223" s="12"/>
      <c r="DO223" s="13"/>
      <c r="DP223" s="5"/>
      <c r="DQ223" s="12"/>
      <c r="DS223" s="13"/>
      <c r="DV223" s="5"/>
      <c r="DW223" s="660">
        <f t="shared" si="1"/>
        <v>0</v>
      </c>
    </row>
    <row r="224" spans="1:127" s="6" customFormat="1" ht="15" customHeight="1">
      <c r="A224" s="3">
        <v>55</v>
      </c>
      <c r="B224" s="210" t="s">
        <v>145</v>
      </c>
      <c r="C224" s="473" t="s">
        <v>515</v>
      </c>
      <c r="D224" s="4"/>
      <c r="E224" s="5"/>
      <c r="F224" s="5"/>
      <c r="G224" s="4"/>
      <c r="H224" s="4"/>
      <c r="I224" s="4"/>
      <c r="J224" s="4"/>
      <c r="K224" s="5"/>
      <c r="L224" s="5"/>
      <c r="M224" s="5"/>
      <c r="O224" s="5"/>
      <c r="P224" s="5"/>
      <c r="Q224" s="5"/>
      <c r="S224" s="5"/>
      <c r="T224" s="5"/>
      <c r="U224" s="5"/>
      <c r="W224" s="5"/>
      <c r="X224" s="5"/>
      <c r="Y224" s="12"/>
      <c r="AA224" s="13"/>
      <c r="AB224" s="12"/>
      <c r="AD224" s="13"/>
      <c r="AE224" s="5"/>
      <c r="AF224" s="5"/>
      <c r="AH224" s="13"/>
      <c r="AI224" s="5"/>
      <c r="AK224" s="5"/>
      <c r="AL224" s="5"/>
      <c r="AM224" s="5"/>
      <c r="AO224" s="5"/>
      <c r="AP224" s="5"/>
      <c r="AR224" s="5"/>
      <c r="AS224" s="5"/>
      <c r="AT224" s="5"/>
      <c r="AV224" s="5"/>
      <c r="AW224" s="5"/>
      <c r="AY224" s="5"/>
      <c r="AZ224" s="5"/>
      <c r="BA224" s="5"/>
      <c r="BC224" s="5"/>
      <c r="BD224" s="5"/>
      <c r="BF224" s="5"/>
      <c r="BG224" s="5"/>
      <c r="BH224" s="5"/>
      <c r="BJ224" s="5"/>
      <c r="BK224" s="5"/>
      <c r="BL224" s="12"/>
      <c r="BM224" s="5"/>
      <c r="BN224" s="5"/>
      <c r="BO224" s="5"/>
      <c r="BQ224" s="5"/>
      <c r="BR224" s="5"/>
      <c r="BT224" s="5">
        <v>2</v>
      </c>
      <c r="BU224" s="5">
        <f>BV5*BT224+BV6*BT224+BV7*BT224+BV8*BT224+BV9*BT224+BV10*BT151+BV11*BT224+BV12*BT224+BV13*BT224+BV14*BT224+BV15*BT224+BV16*BT224+BV17*BT224+BV18*BT224+BV19*BT224+BV20*BT224+BV21*BT224+BV22*BT224+BV23*BT224+BV24*BT224+BV25*BT224+BV26*BT224</f>
        <v>0</v>
      </c>
      <c r="BV224" s="5"/>
      <c r="BX224" s="5">
        <v>2</v>
      </c>
      <c r="BY224" s="5">
        <f>BZ5*BX224+BZ6*BX224+BZ7*BX224+BZ8*BX224+BZ9*BX224+BZ10*BX151+BZ11*BX224+BZ12*BX224+BZ13*BX224+BZ14*BX224+BZ15*BX224+BZ16*BX224+BZ17*BX224+BZ18*BX224+BZ19*BX224+BZ20*BX224+BZ21*BX224+BZ22*BX224+BZ23*BX224+BZ24*BX224+BZ25*BX224+BZ26*BX224</f>
        <v>0</v>
      </c>
      <c r="CA224" s="13"/>
      <c r="CB224" s="7"/>
      <c r="CC224" s="11"/>
      <c r="CE224" s="13"/>
      <c r="CF224" s="5"/>
      <c r="CG224" s="12"/>
      <c r="CI224" s="13"/>
      <c r="CJ224" s="5"/>
      <c r="CK224" s="12"/>
      <c r="CM224" s="13"/>
      <c r="CN224" s="5"/>
      <c r="CO224" s="12"/>
      <c r="CQ224" s="13"/>
      <c r="CR224" s="5"/>
      <c r="CS224" s="12"/>
      <c r="CU224" s="13"/>
      <c r="CV224" s="5"/>
      <c r="CW224" s="12"/>
      <c r="CY224" s="13"/>
      <c r="CZ224" s="5"/>
      <c r="DA224" s="12"/>
      <c r="DC224" s="13"/>
      <c r="DD224" s="5"/>
      <c r="DE224" s="12"/>
      <c r="DG224" s="13"/>
      <c r="DH224" s="5"/>
      <c r="DI224" s="12"/>
      <c r="DK224" s="13"/>
      <c r="DL224" s="5"/>
      <c r="DM224" s="12"/>
      <c r="DO224" s="13"/>
      <c r="DP224" s="5"/>
      <c r="DQ224" s="12"/>
      <c r="DS224" s="5"/>
      <c r="DV224" s="5"/>
      <c r="DW224" s="660">
        <f t="shared" si="1"/>
        <v>0</v>
      </c>
    </row>
    <row r="225" spans="1:127" s="6" customFormat="1" ht="15" customHeight="1">
      <c r="A225" s="3">
        <v>56</v>
      </c>
      <c r="B225" s="210" t="s">
        <v>144</v>
      </c>
      <c r="C225" s="473" t="s">
        <v>515</v>
      </c>
      <c r="D225" s="4"/>
      <c r="E225" s="5"/>
      <c r="F225" s="5"/>
      <c r="G225" s="4"/>
      <c r="H225" s="4"/>
      <c r="I225" s="4"/>
      <c r="J225" s="4"/>
      <c r="K225" s="5"/>
      <c r="L225" s="5"/>
      <c r="M225" s="5"/>
      <c r="O225" s="5"/>
      <c r="P225" s="5"/>
      <c r="Q225" s="5"/>
      <c r="S225" s="5"/>
      <c r="T225" s="5"/>
      <c r="U225" s="5"/>
      <c r="W225" s="5"/>
      <c r="X225" s="5"/>
      <c r="Y225" s="12"/>
      <c r="AA225" s="13"/>
      <c r="AB225" s="12"/>
      <c r="AD225" s="13"/>
      <c r="AE225" s="5"/>
      <c r="AF225" s="5"/>
      <c r="AH225" s="13"/>
      <c r="AI225" s="5"/>
      <c r="AK225" s="5"/>
      <c r="AL225" s="5"/>
      <c r="AM225" s="5"/>
      <c r="AO225" s="5"/>
      <c r="AP225" s="5"/>
      <c r="AR225" s="5"/>
      <c r="AS225" s="5"/>
      <c r="AT225" s="5"/>
      <c r="AV225" s="5"/>
      <c r="AW225" s="5"/>
      <c r="AY225" s="5"/>
      <c r="AZ225" s="5"/>
      <c r="BA225" s="5"/>
      <c r="BC225" s="5"/>
      <c r="BD225" s="5"/>
      <c r="BF225" s="5"/>
      <c r="BG225" s="5"/>
      <c r="BH225" s="5"/>
      <c r="BJ225" s="5"/>
      <c r="BK225" s="5"/>
      <c r="BL225" s="12"/>
      <c r="BM225" s="5"/>
      <c r="BN225" s="5"/>
      <c r="BO225" s="5"/>
      <c r="BQ225" s="5"/>
      <c r="BR225" s="5"/>
      <c r="BT225" s="5">
        <v>2</v>
      </c>
      <c r="BU225" s="5">
        <f>BU5*BT225+BU6*BT225+BU7*BT225+BU8*BT225+BU9*BT225+BU10*BT225+BU11*BT225+BU12*BT225+BU13*BT225+BU14*BT225+BU15*BT225+BU16*BT225+BU17*BT225+BU18*BT225+BU19*BT225+BU20*BT225+BU21*BT225+BU22*BT225+BU23*BT225+BU24*BT225+BU25*BT225+BU26*BT225</f>
        <v>0</v>
      </c>
      <c r="BV225" s="5"/>
      <c r="BX225" s="5">
        <v>2</v>
      </c>
      <c r="BY225" s="5">
        <f>BY5*BX225+BY6*BX225+BY7*BX225+BY8*BX225+BY9*BX225+BY10*BX225+BY11*BX225+BY12*BX225+BY13*BX225+BY14*BX225+BY15*BX225+BY16*BX225+BY17*BX225+BY18*BX225+BY19*BX225+BY20*BX225+BY21*BX225+BY22*BX225+BY23*BX225+BY24*BX225+BY25*BX225+BY26*BX225</f>
        <v>0</v>
      </c>
      <c r="CA225" s="13"/>
      <c r="CB225" s="7"/>
      <c r="CC225" s="11"/>
      <c r="CE225" s="13"/>
      <c r="CF225" s="5"/>
      <c r="CG225" s="12"/>
      <c r="CI225" s="13"/>
      <c r="CJ225" s="5"/>
      <c r="CK225" s="12"/>
      <c r="CM225" s="13"/>
      <c r="CN225" s="5"/>
      <c r="CO225" s="12"/>
      <c r="CQ225" s="13"/>
      <c r="CR225" s="5"/>
      <c r="CS225" s="12"/>
      <c r="CU225" s="13"/>
      <c r="CV225" s="5"/>
      <c r="CW225" s="12"/>
      <c r="CY225" s="13"/>
      <c r="CZ225" s="5"/>
      <c r="DA225" s="12"/>
      <c r="DC225" s="13"/>
      <c r="DD225" s="5"/>
      <c r="DE225" s="12"/>
      <c r="DG225" s="13"/>
      <c r="DH225" s="5"/>
      <c r="DI225" s="12"/>
      <c r="DK225" s="13"/>
      <c r="DL225" s="5"/>
      <c r="DM225" s="12"/>
      <c r="DO225" s="13"/>
      <c r="DP225" s="5"/>
      <c r="DQ225" s="12"/>
      <c r="DS225" s="5"/>
      <c r="DV225" s="5"/>
      <c r="DW225" s="660">
        <f t="shared" si="1"/>
        <v>0</v>
      </c>
    </row>
    <row r="226" spans="1:127" s="6" customFormat="1" ht="15" customHeight="1">
      <c r="A226" s="3">
        <v>57</v>
      </c>
      <c r="B226" s="210" t="s">
        <v>213</v>
      </c>
      <c r="C226" s="473" t="s">
        <v>515</v>
      </c>
      <c r="D226" s="4"/>
      <c r="E226" s="5"/>
      <c r="F226" s="5"/>
      <c r="G226" s="4"/>
      <c r="H226" s="4"/>
      <c r="I226" s="4"/>
      <c r="J226" s="4"/>
      <c r="K226" s="5"/>
      <c r="L226" s="5"/>
      <c r="M226" s="5"/>
      <c r="O226" s="5"/>
      <c r="P226" s="5"/>
      <c r="Q226" s="5"/>
      <c r="S226" s="5"/>
      <c r="T226" s="5"/>
      <c r="U226" s="5"/>
      <c r="W226" s="5"/>
      <c r="X226" s="5"/>
      <c r="Y226" s="12"/>
      <c r="AA226" s="13"/>
      <c r="AB226" s="12"/>
      <c r="AD226" s="13"/>
      <c r="AE226" s="5"/>
      <c r="AF226" s="5"/>
      <c r="AH226" s="13"/>
      <c r="AI226" s="5"/>
      <c r="AK226" s="5"/>
      <c r="AL226" s="5"/>
      <c r="AM226" s="5"/>
      <c r="AO226" s="5"/>
      <c r="AP226" s="5"/>
      <c r="AR226" s="5"/>
      <c r="AS226" s="5"/>
      <c r="AT226" s="5"/>
      <c r="AV226" s="5"/>
      <c r="AW226" s="5"/>
      <c r="AY226" s="5"/>
      <c r="AZ226" s="5"/>
      <c r="BA226" s="5"/>
      <c r="BC226" s="5"/>
      <c r="BD226" s="5"/>
      <c r="BF226" s="5"/>
      <c r="BG226" s="5"/>
      <c r="BH226" s="5"/>
      <c r="BJ226" s="5"/>
      <c r="BK226" s="5"/>
      <c r="BL226" s="12"/>
      <c r="BM226" s="5"/>
      <c r="BN226" s="5"/>
      <c r="BO226" s="5"/>
      <c r="BQ226" s="5"/>
      <c r="BR226" s="5"/>
      <c r="BT226" s="5"/>
      <c r="BU226" s="5"/>
      <c r="BV226" s="5"/>
      <c r="BX226" s="5"/>
      <c r="BY226" s="5"/>
      <c r="CA226" s="13"/>
      <c r="CB226" s="7"/>
      <c r="CC226" s="11"/>
      <c r="CE226" s="13"/>
      <c r="CF226" s="5"/>
      <c r="CG226" s="12"/>
      <c r="CI226" s="13"/>
      <c r="CJ226" s="5"/>
      <c r="CK226" s="12"/>
      <c r="CM226" s="13"/>
      <c r="CN226" s="5"/>
      <c r="CO226" s="12"/>
      <c r="CQ226" s="13"/>
      <c r="CR226" s="5"/>
      <c r="CS226" s="12"/>
      <c r="CU226" s="13"/>
      <c r="CV226" s="5"/>
      <c r="CW226" s="12"/>
      <c r="CY226" s="13"/>
      <c r="CZ226" s="5"/>
      <c r="DA226" s="12"/>
      <c r="DC226" s="13"/>
      <c r="DD226" s="5"/>
      <c r="DE226" s="12"/>
      <c r="DG226" s="13"/>
      <c r="DH226" s="5"/>
      <c r="DI226" s="12"/>
      <c r="DK226" s="13"/>
      <c r="DL226" s="5"/>
      <c r="DM226" s="12"/>
      <c r="DO226" s="13"/>
      <c r="DP226" s="5"/>
      <c r="DQ226" s="12"/>
      <c r="DS226" s="5"/>
      <c r="DV226" s="5"/>
      <c r="DW226" s="660">
        <f t="shared" si="1"/>
        <v>0</v>
      </c>
    </row>
    <row r="227" spans="1:127" s="6" customFormat="1" ht="15" customHeight="1">
      <c r="A227" s="3">
        <v>58</v>
      </c>
      <c r="B227" s="210" t="s">
        <v>214</v>
      </c>
      <c r="C227" s="473" t="s">
        <v>515</v>
      </c>
      <c r="D227" s="4"/>
      <c r="E227" s="5"/>
      <c r="F227" s="5"/>
      <c r="G227" s="4"/>
      <c r="H227" s="4"/>
      <c r="I227" s="4"/>
      <c r="J227" s="4"/>
      <c r="K227" s="5"/>
      <c r="L227" s="5"/>
      <c r="M227" s="5"/>
      <c r="O227" s="5"/>
      <c r="P227" s="5"/>
      <c r="Q227" s="5"/>
      <c r="S227" s="5"/>
      <c r="T227" s="5"/>
      <c r="U227" s="5"/>
      <c r="W227" s="5"/>
      <c r="X227" s="5"/>
      <c r="Y227" s="12"/>
      <c r="AA227" s="13"/>
      <c r="AB227" s="12"/>
      <c r="AD227" s="13"/>
      <c r="AE227" s="5"/>
      <c r="AF227" s="5"/>
      <c r="AH227" s="13"/>
      <c r="AI227" s="5"/>
      <c r="AK227" s="5"/>
      <c r="AL227" s="5"/>
      <c r="AM227" s="5"/>
      <c r="AO227" s="5"/>
      <c r="AP227" s="5"/>
      <c r="AR227" s="5"/>
      <c r="AS227" s="5"/>
      <c r="AT227" s="5"/>
      <c r="AV227" s="5"/>
      <c r="AW227" s="5"/>
      <c r="AY227" s="5"/>
      <c r="AZ227" s="5"/>
      <c r="BA227" s="5"/>
      <c r="BC227" s="5"/>
      <c r="BD227" s="5"/>
      <c r="BF227" s="5"/>
      <c r="BG227" s="5"/>
      <c r="BH227" s="5"/>
      <c r="BJ227" s="5"/>
      <c r="BK227" s="5"/>
      <c r="BL227" s="12"/>
      <c r="BM227" s="5"/>
      <c r="BN227" s="5"/>
      <c r="BO227" s="5"/>
      <c r="BQ227" s="5"/>
      <c r="BR227" s="5"/>
      <c r="BT227" s="5"/>
      <c r="BU227" s="5"/>
      <c r="BV227" s="5"/>
      <c r="BX227" s="5"/>
      <c r="BY227" s="5"/>
      <c r="CA227" s="13"/>
      <c r="CB227" s="7"/>
      <c r="CC227" s="11"/>
      <c r="CE227" s="13"/>
      <c r="CF227" s="5"/>
      <c r="CG227" s="12"/>
      <c r="CI227" s="13"/>
      <c r="CJ227" s="5"/>
      <c r="CK227" s="12"/>
      <c r="CM227" s="13"/>
      <c r="CN227" s="5"/>
      <c r="CO227" s="12"/>
      <c r="CQ227" s="13"/>
      <c r="CR227" s="5"/>
      <c r="CS227" s="12"/>
      <c r="CU227" s="13"/>
      <c r="CV227" s="5"/>
      <c r="CW227" s="12"/>
      <c r="CY227" s="13"/>
      <c r="CZ227" s="5"/>
      <c r="DA227" s="12"/>
      <c r="DC227" s="13"/>
      <c r="DD227" s="5"/>
      <c r="DE227" s="12"/>
      <c r="DG227" s="13"/>
      <c r="DH227" s="5"/>
      <c r="DI227" s="12"/>
      <c r="DK227" s="13"/>
      <c r="DL227" s="5"/>
      <c r="DM227" s="12"/>
      <c r="DO227" s="13"/>
      <c r="DP227" s="5"/>
      <c r="DQ227" s="12"/>
      <c r="DS227" s="5"/>
      <c r="DV227" s="5"/>
      <c r="DW227" s="660">
        <f t="shared" si="1"/>
        <v>0</v>
      </c>
    </row>
    <row r="228" spans="1:127" s="6" customFormat="1" ht="15" customHeight="1">
      <c r="A228" s="3">
        <v>59</v>
      </c>
      <c r="B228" s="210" t="s">
        <v>458</v>
      </c>
      <c r="C228" s="473" t="s">
        <v>515</v>
      </c>
      <c r="D228" s="4"/>
      <c r="E228" s="5"/>
      <c r="F228" s="5"/>
      <c r="G228" s="4"/>
      <c r="H228" s="4"/>
      <c r="I228" s="4"/>
      <c r="J228" s="4"/>
      <c r="K228" s="5"/>
      <c r="L228" s="5"/>
      <c r="M228" s="5"/>
      <c r="O228" s="5"/>
      <c r="P228" s="5"/>
      <c r="Q228" s="5"/>
      <c r="S228" s="5"/>
      <c r="T228" s="5"/>
      <c r="U228" s="5"/>
      <c r="W228" s="5"/>
      <c r="X228" s="5"/>
      <c r="Y228" s="12"/>
      <c r="AA228" s="13"/>
      <c r="AB228" s="12"/>
      <c r="AD228" s="13"/>
      <c r="AE228" s="5"/>
      <c r="AF228" s="5"/>
      <c r="AH228" s="13"/>
      <c r="AI228" s="5"/>
      <c r="AK228" s="5"/>
      <c r="AL228" s="5"/>
      <c r="AM228" s="5"/>
      <c r="AO228" s="5"/>
      <c r="AP228" s="5"/>
      <c r="AR228" s="5"/>
      <c r="AS228" s="5"/>
      <c r="AT228" s="5"/>
      <c r="AV228" s="5"/>
      <c r="AW228" s="5"/>
      <c r="AY228" s="5"/>
      <c r="AZ228" s="5"/>
      <c r="BA228" s="5"/>
      <c r="BC228" s="5"/>
      <c r="BD228" s="5"/>
      <c r="BF228" s="5"/>
      <c r="BG228" s="5"/>
      <c r="BH228" s="5"/>
      <c r="BJ228" s="5"/>
      <c r="BK228" s="5"/>
      <c r="BL228" s="12"/>
      <c r="BM228" s="5"/>
      <c r="BN228" s="5"/>
      <c r="BO228" s="5"/>
      <c r="BQ228" s="5"/>
      <c r="BR228" s="5"/>
      <c r="BT228" s="5"/>
      <c r="BU228" s="5"/>
      <c r="BV228" s="5"/>
      <c r="BX228" s="5"/>
      <c r="BY228" s="5"/>
      <c r="CA228" s="13"/>
      <c r="CB228" s="7"/>
      <c r="CC228" s="11"/>
      <c r="CE228" s="13"/>
      <c r="CF228" s="5"/>
      <c r="CG228" s="12"/>
      <c r="CI228" s="13"/>
      <c r="CJ228" s="5"/>
      <c r="CK228" s="12"/>
      <c r="CM228" s="13"/>
      <c r="CN228" s="5"/>
      <c r="CO228" s="12"/>
      <c r="CQ228" s="13"/>
      <c r="CR228" s="5"/>
      <c r="CS228" s="12"/>
      <c r="CU228" s="13"/>
      <c r="CV228" s="5"/>
      <c r="CW228" s="12"/>
      <c r="CY228" s="13"/>
      <c r="CZ228" s="5"/>
      <c r="DA228" s="12"/>
      <c r="DC228" s="13"/>
      <c r="DD228" s="5"/>
      <c r="DE228" s="12"/>
      <c r="DG228" s="13"/>
      <c r="DH228" s="5"/>
      <c r="DI228" s="12"/>
      <c r="DK228" s="13"/>
      <c r="DL228" s="5"/>
      <c r="DM228" s="12"/>
      <c r="DO228" s="13"/>
      <c r="DP228" s="5"/>
      <c r="DQ228" s="12"/>
      <c r="DS228" s="5"/>
      <c r="DV228" s="5"/>
      <c r="DW228" s="660">
        <f t="shared" si="1"/>
        <v>0</v>
      </c>
    </row>
    <row r="229" spans="1:127" s="6" customFormat="1" ht="15" customHeight="1">
      <c r="A229" s="3">
        <v>60</v>
      </c>
      <c r="B229" s="210" t="s">
        <v>140</v>
      </c>
      <c r="C229" s="473" t="s">
        <v>515</v>
      </c>
      <c r="D229" s="4"/>
      <c r="E229" s="5"/>
      <c r="F229" s="5"/>
      <c r="G229" s="4"/>
      <c r="H229" s="4"/>
      <c r="I229" s="4"/>
      <c r="J229" s="4"/>
      <c r="K229" s="5"/>
      <c r="L229" s="5"/>
      <c r="M229" s="5"/>
      <c r="O229" s="5"/>
      <c r="P229" s="5"/>
      <c r="Q229" s="5"/>
      <c r="S229" s="5"/>
      <c r="T229" s="5"/>
      <c r="U229" s="5"/>
      <c r="W229" s="5">
        <v>1</v>
      </c>
      <c r="X229" s="5">
        <f>X5*W229+X6*W229+X7*W229+X8*W229+X9*W229+X10*W229+X11*W229+X12*W229+X13*W229+X14*W229+X15*W229+X16*W229+X17*W229+X18*W229+X19*W229+X20*W229+X21*W229+X22*W229+X23*W229+X24*W229+X25*W229+X26*W229</f>
        <v>0</v>
      </c>
      <c r="Y229" s="12"/>
      <c r="AA229" s="13"/>
      <c r="AB229" s="12"/>
      <c r="AD229" s="13"/>
      <c r="AE229" s="5"/>
      <c r="AF229" s="5"/>
      <c r="AH229" s="13"/>
      <c r="AI229" s="5"/>
      <c r="AK229" s="5"/>
      <c r="AL229" s="5"/>
      <c r="AM229" s="5"/>
      <c r="AO229" s="5"/>
      <c r="AP229" s="5"/>
      <c r="AR229" s="5">
        <v>1</v>
      </c>
      <c r="AS229" s="5">
        <f>AS5*AR229+AS6*AR229+AS7*AR229+AS8*AR229+AS9*AR229+AS10*AR229+AS11*AR229+AS12*AR229+AS13*AR229+AS14*AR229+AS15*AR229+AS16*AR229+AS17*AR229+AS18*AR229+AS19*AR229+AS20*AR229+AS21*AR229+AS22*AR229+AS23*AR229+AS24*AR229+AS25*AR229+AS26*AR229</f>
        <v>0</v>
      </c>
      <c r="AT229" s="5"/>
      <c r="AV229" s="5"/>
      <c r="AW229" s="5">
        <f>AW5*AV229+AW6*AV229+AW7*AV229+AW8*AV229+AW9*AV229+AW10*AV229+AW11*AV229+AW12*AV229+AW13*AV229+AW14*AV229+AW15*AV229+AW16*AV229+AW17*AV229+AW18*AV229+AW19*AV229+AW20*AV229+AW21*AV229+AW22*AV229+AW23*AV229+AW24*AV229+AW25*AV229+AW26*AV229</f>
        <v>0</v>
      </c>
      <c r="AY229" s="5"/>
      <c r="AZ229" s="5"/>
      <c r="BA229" s="5"/>
      <c r="BC229" s="5"/>
      <c r="BD229" s="5"/>
      <c r="BF229" s="5">
        <v>1</v>
      </c>
      <c r="BG229" s="5">
        <f>BG5*BF229+BG6*BF229+BG7*BF229+BG8*BF229+BG9*BF229+BG10*BF229+BG11*BF229+BG12*BF229+BG13*BF229+BG14*BF229+BG15*BF229+BG16*BF229+BG17*BF229+BG18*BF229+BG19*BF229+BG20*BF229+BG21*BF229+BG22*BF229+BG23*BF229+BG24*BF229+BG25*BF229+BG26*BF229</f>
        <v>0</v>
      </c>
      <c r="BH229" s="5"/>
      <c r="BJ229" s="5"/>
      <c r="BK229" s="5"/>
      <c r="BL229" s="12"/>
      <c r="BM229" s="5"/>
      <c r="BN229" s="5">
        <f>BN5*BM229+BN6*BM229+BN7*BM229+BN8*BM229+BN9*BM229+BN10*BM229+BN11*BM229+BN12*BM229+BN13*BM229+BN14*BM229+BN15*BM229+BN16*BM229+BN17*BM229+BN18*BM229+BN19*BM229+BN20*BM229+BN21*BM229+BN22*BM229+BN23*BM229+BN24*BM229+BN25*BM229+BN26*BM229</f>
        <v>0</v>
      </c>
      <c r="BO229" s="5"/>
      <c r="BQ229" s="5"/>
      <c r="BR229" s="5">
        <f>BR5*BQ229+BR6*BQ229+BR7*BQ229+BR8*BQ229+BR9*BQ229+BR10*BQ229+BR11*BQ229+BR12*BQ229+BR13*BQ229+BR14*BQ229+BR15*BQ229+BR16*BQ229+BR17*BQ229+BR18*BQ229+BR19*BQ229+BR20*BQ229+BR21*BQ229+BR22*BQ229+BR23*BQ229+BR24*BQ229+BR25*BQ229+BR26*BQ229</f>
        <v>0</v>
      </c>
      <c r="BT229" s="5"/>
      <c r="BU229" s="5">
        <f>BU5*BT229+BU6*BT229+BU7*BT229+BU8*BT229+BU9*BT229+BU10*BT229+BU11*BT229+BU12*BT229+BU13*BT229+BU14*BT229+BU15*BT229+BU16*BT229+BU17*BT229+BU18*BT229+BU19*BT229+BU20*BT229+BU21*BT229+BU22*BT229+BU23*BT229+BU24*BT229+BU25*BT229+BU26*BT229</f>
        <v>0</v>
      </c>
      <c r="BV229" s="5"/>
      <c r="BX229" s="5"/>
      <c r="BY229" s="5">
        <f>BY5*BX229+BY6*BX229+BY7*BX229+BY8*BX229+BY9*BX229+BY10*BX229+BY11*BX229+BY12*BX229+BY13*BX229+BY14*BX229+BY15*BX229+BY16*BX229+BY17*BX229+BY18*BX229+BY19*BX229+BY20*BX229+BY21*BX229+BY22*BX229+BY23*BX229+BY24*BX229+BY25*BX229+BY26*BX229</f>
        <v>0</v>
      </c>
      <c r="CA229" s="13"/>
      <c r="CB229" s="7"/>
      <c r="CC229" s="11"/>
      <c r="CE229" s="13"/>
      <c r="CF229" s="5"/>
      <c r="CG229" s="12"/>
      <c r="CI229" s="13"/>
      <c r="CJ229" s="5"/>
      <c r="CK229" s="12"/>
      <c r="CM229" s="13"/>
      <c r="CN229" s="5"/>
      <c r="CO229" s="12"/>
      <c r="CQ229" s="13">
        <v>0</v>
      </c>
      <c r="CR229" s="5">
        <f>CR19*CQ229+CS19*CQ229+CR20*CQ229+CS20*CQ229+CR21*CQ229+CS21*CQ229+CR22*CQ229+CS22*CQ229+CR23*CQ229+CS23*CQ229+CR24*CQ229+CS24*CQ229+CR25*CQ229+CS25*CQ229+CR26*CQ229+CS26*CQ229+CR5*CQ229+CS5*CQ229+CR6*CQ229+CS6*CQ229+CR7*CQ229+CS7*CQ229+CR8*CQ229+CS8*CQ229+CR9*CQ229+CS9*CQ229+CR10*CQ229+CS10*CQ229+CR11*CQ229+CS11*CQ229+CR12*CQ229+CS12*CQ229+CR13*CQ229+CS13*CQ229+CR14*CQ229+CS14*CQ229+CR15*CQ229+CS15*CQ229+CR16*CQ229+CS16*CQ229+CR17*CQ229+CS17*CQ229+CR18*CQ229+CS18*CQ229</f>
        <v>0</v>
      </c>
      <c r="CS229" s="12"/>
      <c r="CU229" s="13">
        <v>0</v>
      </c>
      <c r="CV229" s="5">
        <f>CV19*CU229+CW19*CU229+CV20*CU229+CW20*CU229+CV21*CU229+CW21*CU229+CV22*CU229+CW22*CU229+CV23*CU229+CW23*CU229+CV24*CU229+CW24*CU229+CV25*CU229+CW25*CU229+CV26*CU229+CW26*CU229+CV5*CU229+CW5*CU229+CV6*CU229+CW6*CU229+CV7*CU229+CW7*CU229+CV8*CU229+CW8*CU229+CV9*CU229+CW9*CU229+CV10*CU229+CW10*CU229+CV11*CU229+CW11*CU229+CV12*CU229+CW12*CU229+CV13*CU229+CW13*CU229+CV14*CU229+CW14*CU229+CV15*CU229+CW15*CU229+CV16*CU229+CW16*CU229+CV17*CU229+CW17*CU229+CV18*CU229+CW18*CU229</f>
        <v>0</v>
      </c>
      <c r="CW229" s="12"/>
      <c r="CY229" s="13"/>
      <c r="CZ229" s="5"/>
      <c r="DA229" s="12"/>
      <c r="DC229" s="13"/>
      <c r="DD229" s="5"/>
      <c r="DE229" s="12"/>
      <c r="DG229" s="13"/>
      <c r="DH229" s="5"/>
      <c r="DI229" s="12"/>
      <c r="DK229" s="13">
        <v>0</v>
      </c>
      <c r="DL229" s="5">
        <f>DL19*DK229+DM19*DK229+DL20*DK229+DM20*DK229+DL21*DK229+DM21*DK229+DL22*DK229+DM22*DK229+DL23*DK229+DM23*DK229+DL24*DK229+DM24*DK229+DL25*DK229+DM25*DK229+DL26*DK229+DM26*DK229+DL5*DK229+DM5*DK229+DL6*DK229+DM6*DK229+DL7*DK229+DM7*DK229+DL8*DK229+DM8*DK229+DL9*DK229+DM9*DK229+DL10*DK229+DM10*DK229+DL11*DK229+DM11*DK229+DL12*DK229+DM12*DK229+DL13*DK229+DM13*DK229+DL14*DK229+DM14*DK229+DL15*DK229+DM15*DK229+DL16*DK229+DM16*DK229+DL17*DK229+DM17*DK229+DL18*DK229+DM18*DK229</f>
        <v>0</v>
      </c>
      <c r="DM229" s="12"/>
      <c r="DO229" s="13">
        <v>0</v>
      </c>
      <c r="DP229" s="5">
        <f>DP19*DO229+DQ19*DO229+DP20*DO229+DQ20*DO229+DP21*DO229+DQ21*DO229+DP22*DO229+DQ22*DO229+DP23*DO229+DQ23*DO229+DP24*DO229+DQ24*DO229+DP25*DO229+DQ25*DO229+DP26*DO229+DQ26*DO229+DP5*DO229+DQ5*DO229+DP6*DO229+DQ6*DO229+DP7*DO229+DQ7*DO229+DP8*DO229+DQ8*DO229+DP9*DO229+DQ9*DO229+DP10*DO229+DQ10*DO229+DP11*DO229+DQ11*DO229+DP12*DO229+DQ12*DO229+DP13*DO229+DQ13*DO229+DP14*DO229+DQ14*DO229+DP15*DO229+DQ15*DO229+DP16*DO229+DQ16*DO229+DP17*DO229+DQ17*DO229+DP18*DO229+DQ18*DO229</f>
        <v>0</v>
      </c>
      <c r="DQ229" s="12"/>
      <c r="DS229" s="5"/>
      <c r="DV229" s="5"/>
      <c r="DW229" s="660">
        <f t="shared" si="1"/>
        <v>0</v>
      </c>
    </row>
    <row r="230" spans="1:127" s="6" customFormat="1" ht="15" customHeight="1">
      <c r="A230" s="3">
        <v>61</v>
      </c>
      <c r="B230" s="210" t="s">
        <v>216</v>
      </c>
      <c r="C230" s="473" t="s">
        <v>515</v>
      </c>
      <c r="D230" s="4"/>
      <c r="E230" s="5"/>
      <c r="F230" s="5"/>
      <c r="G230" s="4"/>
      <c r="H230" s="4"/>
      <c r="I230" s="4"/>
      <c r="J230" s="4"/>
      <c r="K230" s="5"/>
      <c r="L230" s="5"/>
      <c r="M230" s="5"/>
      <c r="O230" s="5"/>
      <c r="P230" s="5"/>
      <c r="Q230" s="5"/>
      <c r="S230" s="5"/>
      <c r="T230" s="5"/>
      <c r="U230" s="5"/>
      <c r="W230" s="5"/>
      <c r="X230" s="5"/>
      <c r="Y230" s="12"/>
      <c r="AA230" s="13"/>
      <c r="AB230" s="12"/>
      <c r="AD230" s="13"/>
      <c r="AE230" s="5"/>
      <c r="AF230" s="5"/>
      <c r="AH230" s="13"/>
      <c r="AI230" s="5"/>
      <c r="AK230" s="5"/>
      <c r="AL230" s="5"/>
      <c r="AM230" s="5"/>
      <c r="AO230" s="5"/>
      <c r="AP230" s="5"/>
      <c r="AR230" s="5"/>
      <c r="AS230" s="5"/>
      <c r="AT230" s="5"/>
      <c r="AV230" s="5"/>
      <c r="AW230" s="5"/>
      <c r="AY230" s="5"/>
      <c r="AZ230" s="5"/>
      <c r="BA230" s="5"/>
      <c r="BC230" s="5"/>
      <c r="BD230" s="5"/>
      <c r="BF230" s="5"/>
      <c r="BG230" s="5"/>
      <c r="BH230" s="5"/>
      <c r="BJ230" s="5"/>
      <c r="BK230" s="5"/>
      <c r="BL230" s="12"/>
      <c r="BM230" s="5"/>
      <c r="BN230" s="5"/>
      <c r="BO230" s="5"/>
      <c r="BQ230" s="5"/>
      <c r="BR230" s="5"/>
      <c r="BT230" s="5"/>
      <c r="BU230" s="5"/>
      <c r="BV230" s="5"/>
      <c r="BX230" s="5"/>
      <c r="BY230" s="5"/>
      <c r="CA230" s="13"/>
      <c r="CB230" s="7"/>
      <c r="CC230" s="11"/>
      <c r="CE230" s="13"/>
      <c r="CF230" s="5"/>
      <c r="CG230" s="12"/>
      <c r="CI230" s="13"/>
      <c r="CJ230" s="5"/>
      <c r="CK230" s="12"/>
      <c r="CM230" s="13"/>
      <c r="CN230" s="5"/>
      <c r="CO230" s="12"/>
      <c r="CQ230" s="13"/>
      <c r="CR230" s="5"/>
      <c r="CS230" s="12"/>
      <c r="CU230" s="13"/>
      <c r="CV230" s="5"/>
      <c r="CW230" s="12"/>
      <c r="CY230" s="13"/>
      <c r="CZ230" s="5"/>
      <c r="DA230" s="12"/>
      <c r="DC230" s="13"/>
      <c r="DD230" s="5"/>
      <c r="DE230" s="12"/>
      <c r="DG230" s="13"/>
      <c r="DH230" s="5"/>
      <c r="DI230" s="12"/>
      <c r="DK230" s="13"/>
      <c r="DL230" s="5"/>
      <c r="DM230" s="12"/>
      <c r="DO230" s="13"/>
      <c r="DP230" s="5"/>
      <c r="DQ230" s="12"/>
      <c r="DS230" s="5"/>
      <c r="DV230" s="5"/>
      <c r="DW230" s="660">
        <f t="shared" si="1"/>
        <v>0</v>
      </c>
    </row>
    <row r="231" spans="1:127" s="6" customFormat="1" ht="15" customHeight="1">
      <c r="A231" s="3">
        <v>62</v>
      </c>
      <c r="B231" s="210" t="s">
        <v>217</v>
      </c>
      <c r="C231" s="473" t="s">
        <v>515</v>
      </c>
      <c r="D231" s="4"/>
      <c r="E231" s="5"/>
      <c r="F231" s="5"/>
      <c r="G231" s="4"/>
      <c r="H231" s="4"/>
      <c r="I231" s="4"/>
      <c r="J231" s="4"/>
      <c r="K231" s="5"/>
      <c r="L231" s="5"/>
      <c r="M231" s="5"/>
      <c r="O231" s="5"/>
      <c r="P231" s="5"/>
      <c r="Q231" s="5"/>
      <c r="S231" s="5"/>
      <c r="T231" s="5"/>
      <c r="U231" s="5"/>
      <c r="W231" s="5"/>
      <c r="X231" s="5"/>
      <c r="Y231" s="12"/>
      <c r="AA231" s="13"/>
      <c r="AB231" s="12"/>
      <c r="AD231" s="13"/>
      <c r="AE231" s="5"/>
      <c r="AF231" s="5"/>
      <c r="AH231" s="13"/>
      <c r="AI231" s="5"/>
      <c r="AK231" s="5"/>
      <c r="AL231" s="5"/>
      <c r="AM231" s="5"/>
      <c r="AO231" s="5"/>
      <c r="AP231" s="5"/>
      <c r="AR231" s="5"/>
      <c r="AS231" s="5"/>
      <c r="AT231" s="5"/>
      <c r="AV231" s="5"/>
      <c r="AW231" s="5"/>
      <c r="AY231" s="5"/>
      <c r="AZ231" s="5"/>
      <c r="BA231" s="5"/>
      <c r="BC231" s="5"/>
      <c r="BD231" s="5"/>
      <c r="BF231" s="5"/>
      <c r="BG231" s="5"/>
      <c r="BH231" s="5"/>
      <c r="BJ231" s="5"/>
      <c r="BK231" s="5"/>
      <c r="BL231" s="12"/>
      <c r="BM231" s="5"/>
      <c r="BN231" s="5"/>
      <c r="BO231" s="5"/>
      <c r="BQ231" s="5"/>
      <c r="BR231" s="5"/>
      <c r="BT231" s="5"/>
      <c r="BU231" s="5"/>
      <c r="BV231" s="5"/>
      <c r="BX231" s="5"/>
      <c r="BY231" s="5"/>
      <c r="CA231" s="13"/>
      <c r="CB231" s="7"/>
      <c r="CC231" s="11"/>
      <c r="CE231" s="13"/>
      <c r="CF231" s="5"/>
      <c r="CG231" s="12"/>
      <c r="CI231" s="13"/>
      <c r="CJ231" s="5"/>
      <c r="CK231" s="12"/>
      <c r="CM231" s="13"/>
      <c r="CN231" s="5"/>
      <c r="CO231" s="12"/>
      <c r="CQ231" s="13"/>
      <c r="CR231" s="5"/>
      <c r="CS231" s="12"/>
      <c r="CU231" s="13"/>
      <c r="CV231" s="5"/>
      <c r="CW231" s="12"/>
      <c r="CY231" s="13"/>
      <c r="CZ231" s="5"/>
      <c r="DA231" s="12"/>
      <c r="DC231" s="13"/>
      <c r="DD231" s="5"/>
      <c r="DE231" s="12"/>
      <c r="DG231" s="13"/>
      <c r="DH231" s="5"/>
      <c r="DI231" s="12"/>
      <c r="DK231" s="13"/>
      <c r="DL231" s="5"/>
      <c r="DM231" s="12"/>
      <c r="DO231" s="13"/>
      <c r="DP231" s="5"/>
      <c r="DQ231" s="12"/>
      <c r="DS231" s="5"/>
      <c r="DV231" s="5"/>
      <c r="DW231" s="660">
        <f t="shared" si="1"/>
        <v>0</v>
      </c>
    </row>
    <row r="232" spans="1:127" s="6" customFormat="1" ht="15" customHeight="1">
      <c r="A232" s="3"/>
      <c r="B232" s="210" t="s">
        <v>1734</v>
      </c>
      <c r="C232" s="473"/>
      <c r="D232" s="4"/>
      <c r="E232" s="5"/>
      <c r="F232" s="5"/>
      <c r="G232" s="4"/>
      <c r="H232" s="4"/>
      <c r="I232" s="4"/>
      <c r="J232" s="4"/>
      <c r="K232" s="5"/>
      <c r="L232" s="5"/>
      <c r="M232" s="5"/>
      <c r="O232" s="5"/>
      <c r="P232" s="5"/>
      <c r="Q232" s="5"/>
      <c r="S232" s="5"/>
      <c r="T232" s="5"/>
      <c r="U232" s="5"/>
      <c r="W232" s="5"/>
      <c r="X232" s="5"/>
      <c r="Y232" s="12"/>
      <c r="AA232" s="13"/>
      <c r="AB232" s="12"/>
      <c r="AD232" s="13"/>
      <c r="AE232" s="5"/>
      <c r="AF232" s="5"/>
      <c r="AH232" s="13"/>
      <c r="AI232" s="5"/>
      <c r="AK232" s="5"/>
      <c r="AL232" s="5"/>
      <c r="AM232" s="5"/>
      <c r="AO232" s="5"/>
      <c r="AP232" s="5"/>
      <c r="AR232" s="5"/>
      <c r="AS232" s="5"/>
      <c r="AT232" s="5"/>
      <c r="AV232" s="5"/>
      <c r="AW232" s="5"/>
      <c r="AY232" s="5"/>
      <c r="AZ232" s="5"/>
      <c r="BA232" s="5"/>
      <c r="BC232" s="5"/>
      <c r="BD232" s="5"/>
      <c r="BF232" s="5"/>
      <c r="BG232" s="5"/>
      <c r="BH232" s="5"/>
      <c r="BJ232" s="5"/>
      <c r="BK232" s="5"/>
      <c r="BL232" s="12"/>
      <c r="BM232" s="5"/>
      <c r="BN232" s="5"/>
      <c r="BO232" s="5"/>
      <c r="BQ232" s="5"/>
      <c r="BR232" s="5"/>
      <c r="BT232" s="5"/>
      <c r="BU232" s="5"/>
      <c r="BV232" s="5"/>
      <c r="BX232" s="5"/>
      <c r="BY232" s="5"/>
      <c r="CA232" s="13"/>
      <c r="CB232" s="7"/>
      <c r="CC232" s="11"/>
      <c r="CE232" s="13"/>
      <c r="CF232" s="5"/>
      <c r="CG232" s="12"/>
      <c r="CI232" s="13"/>
      <c r="CJ232" s="5"/>
      <c r="CK232" s="12"/>
      <c r="CM232" s="13"/>
      <c r="CN232" s="5"/>
      <c r="CO232" s="12"/>
      <c r="CQ232" s="13"/>
      <c r="CR232" s="5"/>
      <c r="CS232" s="12"/>
      <c r="CU232" s="13"/>
      <c r="CV232" s="5"/>
      <c r="CW232" s="12"/>
      <c r="CY232" s="13"/>
      <c r="CZ232" s="5"/>
      <c r="DA232" s="12"/>
      <c r="DC232" s="13"/>
      <c r="DD232" s="5"/>
      <c r="DE232" s="12"/>
      <c r="DG232" s="13"/>
      <c r="DH232" s="5"/>
      <c r="DI232" s="12"/>
      <c r="DK232" s="13"/>
      <c r="DL232" s="5"/>
      <c r="DM232" s="12"/>
      <c r="DO232" s="13"/>
      <c r="DP232" s="5"/>
      <c r="DQ232" s="12"/>
      <c r="DS232" s="5"/>
      <c r="DV232" s="5"/>
      <c r="DW232" s="660"/>
    </row>
    <row r="233" spans="1:127" s="6" customFormat="1" ht="15" customHeight="1">
      <c r="A233" s="3"/>
      <c r="B233" s="210" t="s">
        <v>1536</v>
      </c>
      <c r="C233" s="473" t="s">
        <v>0</v>
      </c>
      <c r="D233" s="4"/>
      <c r="E233" s="5"/>
      <c r="F233" s="5"/>
      <c r="G233" s="4"/>
      <c r="H233" s="4"/>
      <c r="I233" s="4"/>
      <c r="J233" s="4"/>
      <c r="K233" s="5"/>
      <c r="L233" s="5"/>
      <c r="M233" s="5"/>
      <c r="O233" s="5"/>
      <c r="P233" s="5"/>
      <c r="Q233" s="5"/>
      <c r="S233" s="5"/>
      <c r="T233" s="5"/>
      <c r="U233" s="5"/>
      <c r="W233" s="5"/>
      <c r="X233" s="5"/>
      <c r="Y233" s="12"/>
      <c r="AA233" s="13"/>
      <c r="AB233" s="12"/>
      <c r="AD233" s="13"/>
      <c r="AE233" s="5"/>
      <c r="AF233" s="5"/>
      <c r="AH233" s="13"/>
      <c r="AI233" s="5"/>
      <c r="AK233" s="5"/>
      <c r="AL233" s="5"/>
      <c r="AM233" s="5"/>
      <c r="AO233" s="5"/>
      <c r="AP233" s="5"/>
      <c r="AR233" s="5"/>
      <c r="AS233" s="5"/>
      <c r="AT233" s="5"/>
      <c r="AV233" s="5"/>
      <c r="AW233" s="5"/>
      <c r="AY233" s="5"/>
      <c r="AZ233" s="5"/>
      <c r="BA233" s="5"/>
      <c r="BC233" s="5"/>
      <c r="BD233" s="5"/>
      <c r="BF233" s="5"/>
      <c r="BG233" s="5"/>
      <c r="BH233" s="5"/>
      <c r="BJ233" s="5"/>
      <c r="BK233" s="5"/>
      <c r="BL233" s="12"/>
      <c r="BM233" s="5"/>
      <c r="BN233" s="5"/>
      <c r="BO233" s="5"/>
      <c r="BQ233" s="5"/>
      <c r="BR233" s="5"/>
      <c r="BT233" s="5"/>
      <c r="BU233" s="5"/>
      <c r="BV233" s="5"/>
      <c r="BX233" s="5"/>
      <c r="BY233" s="5"/>
      <c r="CA233" s="13"/>
      <c r="CB233" s="7"/>
      <c r="CC233" s="11"/>
      <c r="CE233" s="13"/>
      <c r="CF233" s="5"/>
      <c r="CG233" s="12"/>
      <c r="CI233" s="13"/>
      <c r="CJ233" s="5"/>
      <c r="CK233" s="12"/>
      <c r="CM233" s="13"/>
      <c r="CN233" s="5"/>
      <c r="CO233" s="12"/>
      <c r="CQ233" s="13"/>
      <c r="CR233" s="5"/>
      <c r="CS233" s="12"/>
      <c r="CU233" s="13">
        <v>6</v>
      </c>
      <c r="CV233" s="5">
        <f>SUM(CV5:CV26,CW5:CW26)*CU233</f>
        <v>0</v>
      </c>
      <c r="CW233" s="12"/>
      <c r="CY233" s="13"/>
      <c r="CZ233" s="5"/>
      <c r="DA233" s="12"/>
      <c r="DC233" s="13"/>
      <c r="DD233" s="5"/>
      <c r="DE233" s="12"/>
      <c r="DG233" s="13"/>
      <c r="DH233" s="5"/>
      <c r="DI233" s="12"/>
      <c r="DK233" s="13"/>
      <c r="DL233" s="5"/>
      <c r="DM233" s="12"/>
      <c r="DO233" s="13">
        <v>6</v>
      </c>
      <c r="DP233" s="5">
        <f>DO233*SUM(DP5:DP26,DQ5:DQ26)</f>
        <v>0</v>
      </c>
      <c r="DQ233" s="12"/>
      <c r="DS233" s="5"/>
      <c r="DV233" s="5"/>
      <c r="DW233" s="660">
        <f t="shared" si="1"/>
        <v>0</v>
      </c>
    </row>
    <row r="234" spans="1:127" s="6" customFormat="1" ht="15" customHeight="1">
      <c r="A234" s="3">
        <v>63</v>
      </c>
      <c r="B234" s="210" t="s">
        <v>461</v>
      </c>
      <c r="C234" s="473" t="s">
        <v>515</v>
      </c>
      <c r="D234" s="4"/>
      <c r="E234" s="5"/>
      <c r="F234" s="5"/>
      <c r="G234" s="4"/>
      <c r="H234" s="4"/>
      <c r="I234" s="4"/>
      <c r="J234" s="4"/>
      <c r="K234" s="5"/>
      <c r="L234" s="5"/>
      <c r="M234" s="5"/>
      <c r="O234" s="5"/>
      <c r="P234" s="5"/>
      <c r="Q234" s="5"/>
      <c r="S234" s="5"/>
      <c r="T234" s="5"/>
      <c r="U234" s="5"/>
      <c r="W234" s="5"/>
      <c r="X234" s="5"/>
      <c r="Y234" s="12"/>
      <c r="AA234" s="13"/>
      <c r="AB234" s="12"/>
      <c r="AD234" s="13"/>
      <c r="AE234" s="5"/>
      <c r="AF234" s="5"/>
      <c r="AH234" s="13"/>
      <c r="AI234" s="5"/>
      <c r="AK234" s="5"/>
      <c r="AL234" s="5"/>
      <c r="AM234" s="5"/>
      <c r="AO234" s="5"/>
      <c r="AP234" s="5"/>
      <c r="AR234" s="5"/>
      <c r="AS234" s="5"/>
      <c r="AT234" s="5"/>
      <c r="AV234" s="5"/>
      <c r="AW234" s="5"/>
      <c r="AY234" s="5"/>
      <c r="AZ234" s="5"/>
      <c r="BA234" s="5"/>
      <c r="BC234" s="5"/>
      <c r="BD234" s="5"/>
      <c r="BF234" s="5"/>
      <c r="BG234" s="5"/>
      <c r="BH234" s="5"/>
      <c r="BJ234" s="5"/>
      <c r="BK234" s="5"/>
      <c r="BL234" s="12"/>
      <c r="BM234" s="5"/>
      <c r="BN234" s="5"/>
      <c r="BO234" s="5"/>
      <c r="BQ234" s="5"/>
      <c r="BR234" s="5"/>
      <c r="BT234" s="5">
        <v>2</v>
      </c>
      <c r="BU234" s="5">
        <f>BU5*BT234+BV5*BT234+BU6*BT234+BV6*BT234+BU7*BT234+BV7*BT234+BU8*BT234+BV8*BT234+BU9*BT234+BV9*BT234+BU10*BT234+BV10*BT234+BU11*BT234+BV11*BT234+BU12*BT234+BV12*BT234+BU13*BT234+BV13*BT234+BU14*BT234+BV14*BT234+BU15*BT234+BV15*BT234+BU16*BT234+BV16*BT234+BU17*BT234+BV17*BT234+BU18*BT234+BV18*BT234+BU19*BT234+BV19*BT234+BU20*BT234+BV20*BT234+BU21*BT234+BV21*BT234+BU22*BT234+BV22*BT234+BU23*BT234+BV23*BT234+BU24*BT234+BV24*BT234+BU25*BT234+BV25*BT234+BU26*BT234+BV26*BT234</f>
        <v>0</v>
      </c>
      <c r="BV234" s="5"/>
      <c r="BX234" s="5">
        <v>2</v>
      </c>
      <c r="BY234" s="5">
        <f>BY5*BX234+BZ5*BX234+BY6*BX234+BZ6*BX234+BY7*BX234+BZ7*BX234+BY8*BX234+BZ8*BX234+BY9*BX234+BZ9*BX234+BY10*BX234+BZ10*BX234+BY11*BX234+BZ11*BX234+BY12*BX234+BZ12*BX234+BY13*BX234+BZ13*BX234+BY14*BX234+BZ14*BX234+BY15*BX234+BZ15*BX234+BY16*BX234+BZ16*BX234+BY17*BX234+BZ17*BX234+BY18*BX234+BZ18*BX234+BY19*BX234+BZ19*BX234+BY20*BX234+BZ20*BX234+BY21*BX234+BZ21*BX234+BY22*BX234+BZ22*BX234+BY23*BX234+BZ23*BX234+BY24*BX234+BZ24*BX234+BY25*BX234+BZ25*BX234+BY26*BX234+BZ26*BX234</f>
        <v>0</v>
      </c>
      <c r="CA234" s="13"/>
      <c r="CB234" s="7"/>
      <c r="CC234" s="11"/>
      <c r="CE234" s="13"/>
      <c r="CF234" s="5"/>
      <c r="CG234" s="12"/>
      <c r="CI234" s="13"/>
      <c r="CJ234" s="5"/>
      <c r="CK234" s="12"/>
      <c r="CM234" s="13"/>
      <c r="CN234" s="5"/>
      <c r="CO234" s="12"/>
      <c r="CQ234" s="13"/>
      <c r="CR234" s="5"/>
      <c r="CS234" s="12"/>
      <c r="CU234" s="13"/>
      <c r="CV234" s="5"/>
      <c r="CW234" s="12"/>
      <c r="CY234" s="13"/>
      <c r="CZ234" s="5"/>
      <c r="DA234" s="12"/>
      <c r="DC234" s="13"/>
      <c r="DD234" s="5"/>
      <c r="DE234" s="12"/>
      <c r="DG234" s="13"/>
      <c r="DH234" s="5"/>
      <c r="DI234" s="12"/>
      <c r="DK234" s="13"/>
      <c r="DL234" s="5"/>
      <c r="DM234" s="12"/>
      <c r="DO234" s="13"/>
      <c r="DP234" s="5"/>
      <c r="DQ234" s="12"/>
      <c r="DS234" s="5"/>
      <c r="DV234" s="5"/>
      <c r="DW234" s="660">
        <f t="shared" si="1"/>
        <v>0</v>
      </c>
    </row>
    <row r="235" spans="1:127" s="6" customFormat="1" ht="15" customHeight="1">
      <c r="A235" s="3">
        <v>64</v>
      </c>
      <c r="B235" s="210" t="s">
        <v>459</v>
      </c>
      <c r="C235" s="473" t="s">
        <v>515</v>
      </c>
      <c r="D235" s="4"/>
      <c r="E235" s="5"/>
      <c r="F235" s="5"/>
      <c r="G235" s="4"/>
      <c r="H235" s="4"/>
      <c r="I235" s="4"/>
      <c r="J235" s="4"/>
      <c r="K235" s="5"/>
      <c r="L235" s="5"/>
      <c r="M235" s="5">
        <f>C12</f>
        <v>0</v>
      </c>
      <c r="O235" s="5"/>
      <c r="P235" s="5"/>
      <c r="Q235" s="5"/>
      <c r="S235" s="5"/>
      <c r="T235" s="5"/>
      <c r="U235" s="5"/>
      <c r="W235" s="5"/>
      <c r="X235" s="5"/>
      <c r="Y235" s="12"/>
      <c r="AA235" s="13"/>
      <c r="AB235" s="12"/>
      <c r="AD235" s="13"/>
      <c r="AE235" s="5"/>
      <c r="AF235" s="5"/>
      <c r="AH235" s="13"/>
      <c r="AI235" s="5"/>
      <c r="AK235" s="5"/>
      <c r="AL235" s="5"/>
      <c r="AM235" s="5"/>
      <c r="AO235" s="5"/>
      <c r="AP235" s="5"/>
      <c r="AR235" s="5"/>
      <c r="AS235" s="5"/>
      <c r="AT235" s="5"/>
      <c r="AV235" s="5"/>
      <c r="AW235" s="5"/>
      <c r="AY235" s="5"/>
      <c r="AZ235" s="5"/>
      <c r="BA235" s="5"/>
      <c r="BC235" s="5"/>
      <c r="BD235" s="5"/>
      <c r="BF235" s="5"/>
      <c r="BG235" s="5"/>
      <c r="BH235" s="5"/>
      <c r="BJ235" s="5"/>
      <c r="BK235" s="5"/>
      <c r="BL235" s="12"/>
      <c r="BM235" s="5"/>
      <c r="BN235" s="5"/>
      <c r="BO235" s="5"/>
      <c r="BQ235" s="5"/>
      <c r="BR235" s="5"/>
      <c r="BT235" s="5"/>
      <c r="BU235" s="5"/>
      <c r="BV235" s="5"/>
      <c r="BX235" s="5"/>
      <c r="BY235" s="5"/>
      <c r="CA235" s="13"/>
      <c r="CB235" s="7"/>
      <c r="CC235" s="11"/>
      <c r="CE235" s="13">
        <v>20</v>
      </c>
      <c r="CF235" s="5">
        <f>SUM(CF5:CG26)*CE235</f>
        <v>0</v>
      </c>
      <c r="CG235" s="12"/>
      <c r="CI235" s="13">
        <v>20</v>
      </c>
      <c r="CJ235" s="5">
        <f>SUM(CJ5:CK26)*CI235</f>
        <v>0</v>
      </c>
      <c r="CK235" s="12"/>
      <c r="CM235" s="13">
        <v>20</v>
      </c>
      <c r="CN235" s="5">
        <f>SUM(CN5:CO26)*CM235</f>
        <v>0</v>
      </c>
      <c r="CO235" s="12"/>
      <c r="CQ235" s="13">
        <v>20</v>
      </c>
      <c r="CR235" s="5">
        <f>SUM(CR5:CS26)*CQ235</f>
        <v>0</v>
      </c>
      <c r="CS235" s="12"/>
      <c r="CU235" s="13">
        <v>20</v>
      </c>
      <c r="CV235" s="5">
        <f>SUM(CV5:CW26)*CU235</f>
        <v>0</v>
      </c>
      <c r="CW235" s="12"/>
      <c r="CY235" s="13">
        <v>20</v>
      </c>
      <c r="CZ235" s="5">
        <f>SUM(CZ5:DA26)*CY235</f>
        <v>0</v>
      </c>
      <c r="DA235" s="12"/>
      <c r="DC235" s="13">
        <v>20</v>
      </c>
      <c r="DD235" s="5">
        <f>SUM(DD5:DE26)*DC235</f>
        <v>0</v>
      </c>
      <c r="DE235" s="12"/>
      <c r="DG235" s="13">
        <v>20</v>
      </c>
      <c r="DH235" s="5">
        <f>SUM(DH5:DI26)*DG235</f>
        <v>0</v>
      </c>
      <c r="DI235" s="12"/>
      <c r="DK235" s="13">
        <v>20</v>
      </c>
      <c r="DL235" s="5">
        <f>SUM(DL5:DM26)*DK235</f>
        <v>0</v>
      </c>
      <c r="DM235" s="12"/>
      <c r="DO235" s="13">
        <v>20</v>
      </c>
      <c r="DP235" s="5">
        <f>SUM(DP5:DQ26)*DO235</f>
        <v>0</v>
      </c>
      <c r="DQ235" s="12"/>
      <c r="DS235" s="5"/>
      <c r="DV235" s="5"/>
      <c r="DW235" s="660">
        <f t="shared" si="1"/>
        <v>0</v>
      </c>
    </row>
    <row r="236" spans="1:127" s="6" customFormat="1" ht="15" customHeight="1">
      <c r="A236" s="3">
        <v>65</v>
      </c>
      <c r="B236" s="210" t="s">
        <v>154</v>
      </c>
      <c r="C236" s="473" t="s">
        <v>515</v>
      </c>
      <c r="D236" s="4"/>
      <c r="E236" s="5"/>
      <c r="F236" s="5"/>
      <c r="G236" s="4"/>
      <c r="H236" s="4"/>
      <c r="I236" s="4"/>
      <c r="J236" s="4"/>
      <c r="K236" s="5"/>
      <c r="L236" s="5"/>
      <c r="M236" s="5"/>
      <c r="O236" s="5"/>
      <c r="P236" s="5"/>
      <c r="Q236" s="5"/>
      <c r="S236" s="5"/>
      <c r="T236" s="5"/>
      <c r="U236" s="5"/>
      <c r="W236" s="5"/>
      <c r="X236" s="5"/>
      <c r="Y236" s="12"/>
      <c r="AA236" s="13"/>
      <c r="AB236" s="12"/>
      <c r="AD236" s="13"/>
      <c r="AE236" s="5"/>
      <c r="AF236" s="5"/>
      <c r="AH236" s="13"/>
      <c r="AI236" s="5"/>
      <c r="AK236" s="5"/>
      <c r="AL236" s="5"/>
      <c r="AM236" s="5"/>
      <c r="AO236" s="5"/>
      <c r="AP236" s="5"/>
      <c r="AR236" s="5"/>
      <c r="AS236" s="5"/>
      <c r="AT236" s="5"/>
      <c r="AV236" s="5"/>
      <c r="AW236" s="5"/>
      <c r="AY236" s="5"/>
      <c r="AZ236" s="5"/>
      <c r="BA236" s="5"/>
      <c r="BC236" s="5"/>
      <c r="BD236" s="5"/>
      <c r="BF236" s="5"/>
      <c r="BG236" s="5"/>
      <c r="BH236" s="5"/>
      <c r="BJ236" s="5"/>
      <c r="BK236" s="5"/>
      <c r="BL236" s="12"/>
      <c r="BM236" s="5"/>
      <c r="BN236" s="5"/>
      <c r="BO236" s="5"/>
      <c r="BQ236" s="5"/>
      <c r="BR236" s="5"/>
      <c r="BT236" s="5"/>
      <c r="BU236" s="5"/>
      <c r="BV236" s="5"/>
      <c r="BX236" s="5"/>
      <c r="BY236" s="5"/>
      <c r="CA236" s="13"/>
      <c r="CB236" s="7"/>
      <c r="CC236" s="11"/>
      <c r="CE236" s="13"/>
      <c r="CF236" s="5">
        <f>CF24*CE236+CG24*CE236+CF25*CE236+CG25*CE236+CF26*CE236+CG26*CE236+CF5*CE236+CG5*CE236+CF6*CE236+CG6*CE236+CF7*CE236+CG7*CE236+CF8*CE236+CG8*CE236+CF9*CE236+CG9*CE236+CF10*CE236+CG10*CE236+CF11*CE236+CG11*CE236+CF12*CE236+CG12*CE236+CF13*CE236+CG13*CE236+CF14*CE236+CG14*CE236+CF15*CE236+CG15*CE236+CF16*CE236+CG16*CE236+CF17*CE236+CG17*CE236+CF18*CE236+CG18*CE236+CF19*CE236+CG19*CE236+CF20*CE236+CG20*CE236+CF21*CE236+CG21*CE236+CF22*CE236+CG22*CE236+CF23*CE236+CG23*CE236</f>
        <v>0</v>
      </c>
      <c r="CG236" s="12"/>
      <c r="CI236" s="13"/>
      <c r="CJ236" s="5">
        <f>CJ24*CI236+CK24*CI236+CJ25*CI236+CK25*CI236+CJ26*CI236+CK26*CI236+CJ5*CI236+CK5*CI236+CJ6*CI236+CK6*CI236+CJ7*CI236+CK7*CI236+CJ8*CI236+CK8*CI236+CJ9*CI236+CK9*CI236+CJ10*CI236+CK10*CI236+CJ11*CI236+CK11*CI236+CJ12*CI236+CK12*CI236+CJ13*CI236+CK13*CI236+CJ14*CI236+CK14*CI236+CJ15*CI236+CK15*CI236+CJ16*CI236+CK16*CI236+CJ17*CI236+CK17*CI236+CJ18*CI236+CK18*CI236+CJ19*CI236+CK19*CI236+CJ20*CI236+CK20*CI236+CJ21*CI236+CK21*CI236+CJ22*CI236+CK22*CI236+CJ23*CI236+CK23*CI236</f>
        <v>0</v>
      </c>
      <c r="CK236" s="12"/>
      <c r="CM236" s="13"/>
      <c r="CN236" s="5">
        <f>CN24*CM236+CO24*CM236+CN25*CM236+CO25*CM236+CN26*CM236+CO26*CM236+CN5*CM236+CO5*CM236+CN6*CM236+CO6*CM236+CN7*CM236+CO7*CM236+CN8*CM236+CO8*CM236+CN9*CM236+CO9*CM236+CN10*CM236+CO10*CM236+CN11*CM236+CO11*CM236+CN12*CM236+CO12*CM236+CN13*CM236+CO13*CM236+CN14*CM236+CO14*CM236+CN15*CM236+CO15*CM236+CN16*CM236+CO16*CM236+CN17*CM236+CO17*CM236+CN18*CM236+CO18*CM236+CN19*CM236+CO19*CM236+CN20*CM236+CO20*CM236+CN21*CM236+CO21*CM236+CN22*CM236+CO22*CM236+CN23*CM236+CO23*CM236</f>
        <v>0</v>
      </c>
      <c r="CO236" s="12"/>
      <c r="CQ236" s="13"/>
      <c r="CR236" s="5">
        <f>CR24*CQ236+CS24*CQ236+CR25*CQ236+CS25*CQ236+CR26*CQ236+CS26*CQ236+CR5*CQ236+CS5*CQ236+CR6*CQ236+CS6*CQ236+CR7*CQ236+CS7*CQ236+CR8*CQ236+CS8*CQ236+CR9*CQ236+CS9*CQ236+CR10*CQ236+CS10*CQ236+CR11*CQ236+CS11*CQ236+CR12*CQ236+CS12*CQ236+CR13*CQ236+CS13*CQ236+CR14*CQ236+CS14*CQ236+CR15*CQ236+CS15*CQ236+CR16*CQ236+CS16*CQ236+CR17*CQ236+CS17*CQ236+CR18*CQ236+CS18*CQ236+CR19*CQ236+CS19*CQ236+CR20*CQ236+CS20*CQ236+CR21*CQ236+CS21*CQ236+CR22*CQ236+CS22*CQ236+CR23*CQ236+CS23*CQ236</f>
        <v>0</v>
      </c>
      <c r="CS236" s="12"/>
      <c r="CU236" s="13"/>
      <c r="CV236" s="5">
        <f>CV24*CU236+CW24*CU236+CV25*CU236+CW25*CU236+CV26*CU236+CW26*CU236+CV5*CU236+CW5*CU236+CV6*CU236+CW6*CU236+CV7*CU236+CW7*CU236+CV8*CU236+CW8*CU236+CV9*CU236+CW9*CU236+CV10*CU236+CW10*CU236+CV11*CU236+CW11*CU236+CV12*CU236+CW12*CU236+CV13*CU236+CW13*CU236+CV14*CU236+CW14*CU236+CV15*CU236+CW15*CU236+CV16*CU236+CW16*CU236+CV17*CU236+CW17*CU236+CV18*CU236+CW18*CU236+CV19*CU236+CW19*CU236+CV20*CU236+CW20*CU236+CV21*CU236+CW21*CU236+CV22*CU236+CW22*CU236+CV23*CU236+CW23*CU236</f>
        <v>0</v>
      </c>
      <c r="CW236" s="12"/>
      <c r="CY236" s="13"/>
      <c r="CZ236" s="5">
        <f>CZ24*CY236+DA24*CY236+CZ25*CY236+DA25*CY236+CZ26*CY236+DA26*CY236+CZ5*CY236+DA5*CY236+CZ6*CY236+DA6*CY236+CZ7*CY236+DA7*CY236+CZ8*CY236+DA8*CY236+CZ9*CY236+DA9*CY236+CZ10*CY236+DA10*CY236+CZ11*CY236+DA11*CY236+CZ12*CY236+DA12*CY236+CZ13*CY236+DA13*CY236+CZ14*CY236+DA14*CY236+CZ15*CY236+DA15*CY236+CZ16*CY236+DA16*CY236+CZ17*CY236+DA17*CY236+CZ18*CY236+DA18*CY236+CZ19*CY236+DA19*CY236+CZ20*CY236+DA20*CY236+CZ21*CY236+DA21*CY236+CZ22*CY236+DA22*CY236+CZ23*CY236+DA23*CY236</f>
        <v>0</v>
      </c>
      <c r="DA236" s="12"/>
      <c r="DC236" s="13"/>
      <c r="DD236" s="5">
        <f>DD24*DC236+DE24*DC236+DD25*DC236+DE25*DC236+DD26*DC236+DE26*DC236+DD5*DC236+DE5*DC236+DD6*DC236+DE6*DC236+DD7*DC236+DE7*DC236+DD8*DC236+DE8*DC236+DD9*DC236+DE9*DC236+DD10*DC236+DE10*DC236+DD11*DC236+DE11*DC236+DD12*DC236+DE12*DC236+DD13*DC236+DE13*DC236+DD14*DC236+DE14*DC236+DD15*DC236+DE15*DC236+DD16*DC236+DE16*DC236+DD17*DC236+DE17*DC236+DD18*DC236+DE18*DC236+DD19*DC236+DE19*DC236+DD20*DC236+DE20*DC236+DD21*DC236+DE21*DC236+DD22*DC236+DE22*DC236+DD23*DC236+DE23*DC236</f>
        <v>0</v>
      </c>
      <c r="DE236" s="12"/>
      <c r="DG236" s="13"/>
      <c r="DH236" s="5">
        <f>DH24*DG236+DI24*DG236+DH25*DG236+DI25*DG236+DH26*DG236+DI26*DG236+DH5*DG236+DI5*DG236+DH6*DG236+DI6*DG236+DH7*DG236+DI7*DG236+DH8*DG236+DI8*DG236+DH9*DG236+DI9*DG236+DH10*DG236+DI10*DG236+DH11*DG236+DI11*DG236+DH12*DG236+DI12*DG236+DH13*DG236+DI13*DG236+DH14*DG236+DI14*DG236+DH15*DG236+DI15*DG236+DH16*DG236+DI16*DG236+DH17*DG236+DI17*DG236+DH18*DG236+DI18*DG236+DH19*DG236+DI19*DG236+DH20*DG236+DI20*DG236+DH21*DG236+DI21*DG236+DH22*DG236+DI22*DG236+DH23*DG236+DI23*DG236</f>
        <v>0</v>
      </c>
      <c r="DI236" s="12"/>
      <c r="DK236" s="13"/>
      <c r="DL236" s="5">
        <f>DL24*DK236+DM24*DK236+DL25*DK236+DM25*DK236+DL26*DK236+DM26*DK236+DL5*DK236+DM5*DK236+DL6*DK236+DM6*DK236+DL7*DK236+DM7*DK236+DL8*DK236+DM8*DK236+DL9*DK236+DM9*DK236+DL10*DK236+DM10*DK236+DL11*DK236+DM11*DK236+DL12*DK236+DM12*DK236+DL13*DK236+DM13*DK236+DL14*DK236+DM14*DK236+DL15*DK236+DM15*DK236+DL16*DK236+DM16*DK236+DL17*DK236+DM17*DK236+DL18*DK236+DM18*DK236+DL19*DK236+DM19*DK236+DL20*DK236+DM20*DK236+DL21*DK236+DM21*DK236+DL22*DK236+DM22*DK236+DL23*DK236+DM23*DK236</f>
        <v>0</v>
      </c>
      <c r="DM236" s="12"/>
      <c r="DO236" s="13"/>
      <c r="DP236" s="5">
        <f>DP24*DO236+DQ24*DO236+DP25*DO236+DQ25*DO236+DP26*DO236+DQ26*DO236+DP5*DO236+DQ5*DO236+DP6*DO236+DQ6*DO236+DP7*DO236+DQ7*DO236+DP8*DO236+DQ8*DO236+DP9*DO236+DQ9*DO236+DP10*DO236+DQ10*DO236+DP11*DO236+DQ11*DO236+DP12*DO236+DQ12*DO236+DP13*DO236+DQ13*DO236+DP14*DO236+DQ14*DO236+DP15*DO236+DQ15*DO236+DP16*DO236+DQ16*DO236+DP17*DO236+DQ17*DO236+DP18*DO236+DQ18*DO236+DP19*DO236+DQ19*DO236+DP20*DO236+DQ20*DO236+DP21*DO236+DQ21*DO236+DP22*DO236+DQ22*DO236+DP23*DO236+DQ23*DO236</f>
        <v>0</v>
      </c>
      <c r="DQ236" s="12"/>
      <c r="DS236" s="5"/>
      <c r="DV236" s="5"/>
      <c r="DW236" s="660">
        <f t="shared" si="1"/>
        <v>0</v>
      </c>
    </row>
    <row r="237" spans="1:127" s="6" customFormat="1" ht="15" customHeight="1">
      <c r="A237" s="3">
        <v>66</v>
      </c>
      <c r="B237" s="210" t="s">
        <v>147</v>
      </c>
      <c r="C237" s="473" t="s">
        <v>515</v>
      </c>
      <c r="D237" s="4"/>
      <c r="E237" s="5"/>
      <c r="F237" s="5"/>
      <c r="G237" s="4"/>
      <c r="H237" s="4"/>
      <c r="I237" s="4"/>
      <c r="J237" s="4"/>
      <c r="K237" s="5"/>
      <c r="L237" s="5"/>
      <c r="M237" s="5"/>
      <c r="O237" s="5"/>
      <c r="P237" s="5"/>
      <c r="Q237" s="5"/>
      <c r="S237" s="5"/>
      <c r="T237" s="5"/>
      <c r="U237" s="5"/>
      <c r="W237" s="5"/>
      <c r="X237" s="5"/>
      <c r="Y237" s="12"/>
      <c r="AA237" s="13"/>
      <c r="AB237" s="12"/>
      <c r="AD237" s="13"/>
      <c r="AE237" s="5"/>
      <c r="AF237" s="5"/>
      <c r="AH237" s="13"/>
      <c r="AI237" s="5"/>
      <c r="AK237" s="5"/>
      <c r="AL237" s="5"/>
      <c r="AM237" s="5"/>
      <c r="AO237" s="5"/>
      <c r="AP237" s="5"/>
      <c r="AR237" s="5"/>
      <c r="AS237" s="5"/>
      <c r="AT237" s="5"/>
      <c r="AV237" s="5"/>
      <c r="AW237" s="5"/>
      <c r="AY237" s="5"/>
      <c r="AZ237" s="5"/>
      <c r="BA237" s="5"/>
      <c r="BC237" s="5"/>
      <c r="BD237" s="5"/>
      <c r="BF237" s="5"/>
      <c r="BG237" s="5"/>
      <c r="BH237" s="5"/>
      <c r="BJ237" s="5"/>
      <c r="BK237" s="5"/>
      <c r="BL237" s="12"/>
      <c r="BM237" s="5"/>
      <c r="BN237" s="5"/>
      <c r="BO237" s="5"/>
      <c r="BQ237" s="5"/>
      <c r="BR237" s="5"/>
      <c r="BT237" s="5"/>
      <c r="BU237" s="5"/>
      <c r="BV237" s="5"/>
      <c r="BX237" s="5"/>
      <c r="BY237" s="5"/>
      <c r="CA237" s="13">
        <v>1</v>
      </c>
      <c r="CB237" s="5">
        <f>CB5*CA237+CC5*CA237+CB6*CA237+CC6*CA237+CB7*CA237+CC7*CA237+CB8*CA237+CC8*CA237+CB9*CA237+CC9*CA237+CB10*CA237+CC10*CA237+CB11*CA237+CC11*CA237+CB12*CA237+CC12*CA237+CB13*CA237+CC13*CA237+CB14*CA237+CC14*CA237+CB15*CA237+CC15*CA237+CB16*CA237+CC16*CA237+CB17*CA237+CC17*CA237+CB18*CA237+CC18*CA237+CB19*CA237+CC19*CA237+CB20*CA237+CC20*CA237+CB21*CA237+CC21*CA237+CB22*CA237+CC22*CA237+CB23*CA237+CC23*CA237+CB24*CA237+CC24*CA237+CB25*CA237+CC25*CA237+CB26*CA237+CC26*CA237</f>
        <v>0</v>
      </c>
      <c r="CC237" s="11"/>
      <c r="CE237" s="13"/>
      <c r="CF237" s="5"/>
      <c r="CG237" s="12"/>
      <c r="CI237" s="13"/>
      <c r="CJ237" s="5"/>
      <c r="CK237" s="12"/>
      <c r="CM237" s="13"/>
      <c r="CN237" s="5"/>
      <c r="CO237" s="12"/>
      <c r="CQ237" s="13"/>
      <c r="CR237" s="5"/>
      <c r="CS237" s="12"/>
      <c r="CU237" s="13"/>
      <c r="CV237" s="5"/>
      <c r="CW237" s="12"/>
      <c r="CY237" s="13"/>
      <c r="CZ237" s="5"/>
      <c r="DA237" s="12"/>
      <c r="DC237" s="13"/>
      <c r="DD237" s="5"/>
      <c r="DE237" s="12"/>
      <c r="DG237" s="13"/>
      <c r="DH237" s="5"/>
      <c r="DI237" s="12"/>
      <c r="DK237" s="13"/>
      <c r="DL237" s="5"/>
      <c r="DM237" s="12"/>
      <c r="DO237" s="13"/>
      <c r="DP237" s="5"/>
      <c r="DQ237" s="12"/>
      <c r="DS237" s="5"/>
      <c r="DV237" s="5"/>
      <c r="DW237" s="660">
        <f t="shared" si="1"/>
        <v>0</v>
      </c>
    </row>
    <row r="238" spans="1:127" s="6" customFormat="1" ht="15" customHeight="1">
      <c r="A238" s="3"/>
      <c r="B238" s="210" t="s">
        <v>1509</v>
      </c>
      <c r="C238" s="473" t="s">
        <v>0</v>
      </c>
      <c r="D238" s="4"/>
      <c r="E238" s="5"/>
      <c r="F238" s="5"/>
      <c r="G238" s="4"/>
      <c r="H238" s="4"/>
      <c r="I238" s="4"/>
      <c r="J238" s="4"/>
      <c r="K238" s="5"/>
      <c r="L238" s="5"/>
      <c r="M238" s="5"/>
      <c r="O238" s="5"/>
      <c r="P238" s="5"/>
      <c r="Q238" s="5"/>
      <c r="S238" s="5"/>
      <c r="T238" s="5"/>
      <c r="U238" s="5"/>
      <c r="W238" s="5"/>
      <c r="X238" s="5"/>
      <c r="Y238" s="12"/>
      <c r="AA238" s="13"/>
      <c r="AB238" s="12"/>
      <c r="AD238" s="13"/>
      <c r="AE238" s="5"/>
      <c r="AF238" s="5"/>
      <c r="AH238" s="13"/>
      <c r="AI238" s="5"/>
      <c r="AK238" s="5"/>
      <c r="AL238" s="5"/>
      <c r="AM238" s="5"/>
      <c r="AO238" s="5"/>
      <c r="AP238" s="5"/>
      <c r="AR238" s="5"/>
      <c r="AS238" s="5"/>
      <c r="AT238" s="5"/>
      <c r="AV238" s="5"/>
      <c r="AW238" s="5"/>
      <c r="AY238" s="5"/>
      <c r="AZ238" s="5"/>
      <c r="BA238" s="5"/>
      <c r="BC238" s="5"/>
      <c r="BD238" s="5"/>
      <c r="BF238" s="5"/>
      <c r="BG238" s="5"/>
      <c r="BH238" s="5"/>
      <c r="BJ238" s="5"/>
      <c r="BK238" s="5"/>
      <c r="BL238" s="12"/>
      <c r="BM238" s="5"/>
      <c r="BN238" s="5"/>
      <c r="BO238" s="5"/>
      <c r="BQ238" s="5"/>
      <c r="BR238" s="5"/>
      <c r="BT238" s="5"/>
      <c r="BU238" s="5"/>
      <c r="BV238" s="5"/>
      <c r="BX238" s="5"/>
      <c r="BY238" s="5"/>
      <c r="CA238" s="13"/>
      <c r="CB238" s="7"/>
      <c r="CC238" s="11"/>
      <c r="CE238" s="13"/>
      <c r="CF238" s="5"/>
      <c r="CG238" s="12"/>
      <c r="CI238" s="13"/>
      <c r="CJ238" s="5"/>
      <c r="CK238" s="12"/>
      <c r="CM238" s="13"/>
      <c r="CN238" s="5"/>
      <c r="CO238" s="12"/>
      <c r="CQ238" s="13"/>
      <c r="CR238" s="5"/>
      <c r="CS238" s="12"/>
      <c r="CU238" s="13"/>
      <c r="CV238" s="5"/>
      <c r="CW238" s="12"/>
      <c r="CY238" s="13"/>
      <c r="CZ238" s="5"/>
      <c r="DA238" s="12"/>
      <c r="DC238" s="13"/>
      <c r="DD238" s="5"/>
      <c r="DE238" s="12"/>
      <c r="DG238" s="13"/>
      <c r="DH238" s="5"/>
      <c r="DI238" s="12"/>
      <c r="DK238" s="13"/>
      <c r="DL238" s="5"/>
      <c r="DM238" s="12"/>
      <c r="DO238" s="13"/>
      <c r="DP238" s="5"/>
      <c r="DQ238" s="12"/>
      <c r="DS238" s="5"/>
      <c r="DV238" s="5"/>
      <c r="DW238" s="660">
        <f t="shared" si="1"/>
        <v>0</v>
      </c>
    </row>
    <row r="239" spans="1:127" s="6" customFormat="1" ht="15" customHeight="1">
      <c r="A239" s="3">
        <v>67</v>
      </c>
      <c r="B239" s="210" t="s">
        <v>410</v>
      </c>
      <c r="C239" s="473" t="s">
        <v>515</v>
      </c>
      <c r="D239" s="4"/>
      <c r="E239" s="5"/>
      <c r="F239" s="5"/>
      <c r="G239" s="4"/>
      <c r="H239" s="4"/>
      <c r="I239" s="4"/>
      <c r="J239" s="4"/>
      <c r="K239" s="5"/>
      <c r="L239" s="5"/>
      <c r="M239" s="5"/>
      <c r="O239" s="5"/>
      <c r="P239" s="5"/>
      <c r="Q239" s="5"/>
      <c r="S239" s="5"/>
      <c r="T239" s="5"/>
      <c r="U239" s="5"/>
      <c r="W239" s="5"/>
      <c r="X239" s="5"/>
      <c r="Y239" s="12"/>
      <c r="AA239" s="13"/>
      <c r="AB239" s="12"/>
      <c r="AD239" s="13"/>
      <c r="AE239" s="5"/>
      <c r="AF239" s="5"/>
      <c r="AH239" s="13"/>
      <c r="AI239" s="5"/>
      <c r="AK239" s="5"/>
      <c r="AL239" s="5"/>
      <c r="AM239" s="5"/>
      <c r="AO239" s="5"/>
      <c r="AP239" s="5"/>
      <c r="AR239" s="5"/>
      <c r="AS239" s="5"/>
      <c r="AT239" s="5"/>
      <c r="AV239" s="5"/>
      <c r="AW239" s="5"/>
      <c r="AY239" s="5"/>
      <c r="AZ239" s="5"/>
      <c r="BA239" s="5"/>
      <c r="BC239" s="5"/>
      <c r="BD239" s="5"/>
      <c r="BF239" s="5"/>
      <c r="BG239" s="5"/>
      <c r="BH239" s="5"/>
      <c r="BJ239" s="5"/>
      <c r="BK239" s="5"/>
      <c r="BL239" s="12"/>
      <c r="BM239" s="5"/>
      <c r="BN239" s="5"/>
      <c r="BO239" s="5"/>
      <c r="BQ239" s="5"/>
      <c r="BR239" s="5"/>
      <c r="BT239" s="5"/>
      <c r="BU239" s="5"/>
      <c r="BV239" s="5"/>
      <c r="BX239" s="5"/>
      <c r="BY239" s="5"/>
      <c r="CA239" s="13"/>
      <c r="CB239" s="7"/>
      <c r="CC239" s="11"/>
      <c r="CE239" s="13">
        <v>2</v>
      </c>
      <c r="CF239" s="5">
        <f>SUM(CF5:CG26)*CE239</f>
        <v>0</v>
      </c>
      <c r="CG239" s="12"/>
      <c r="CI239" s="13">
        <v>2</v>
      </c>
      <c r="CJ239" s="5">
        <f>SUM(CJ5:CK26)*CI239</f>
        <v>0</v>
      </c>
      <c r="CK239" s="12"/>
      <c r="CM239" s="13">
        <v>2</v>
      </c>
      <c r="CN239" s="5">
        <f>SUM(CN5:CO26)*CM239</f>
        <v>0</v>
      </c>
      <c r="CO239" s="12"/>
      <c r="CQ239" s="13">
        <v>2</v>
      </c>
      <c r="CR239" s="5">
        <f>SUM(CR5:CS26)*CQ239</f>
        <v>0</v>
      </c>
      <c r="CS239" s="12"/>
      <c r="CU239" s="13">
        <v>2</v>
      </c>
      <c r="CV239" s="5">
        <f>SUM(CV5:CW26)*CU239</f>
        <v>0</v>
      </c>
      <c r="CW239" s="12"/>
      <c r="CY239" s="13">
        <v>2</v>
      </c>
      <c r="CZ239" s="5">
        <f>SUM(CZ5:DA26)*CY239</f>
        <v>0</v>
      </c>
      <c r="DA239" s="12"/>
      <c r="DC239" s="13">
        <v>2</v>
      </c>
      <c r="DD239" s="5">
        <f>SUM(DD5:DE26)*DC239</f>
        <v>0</v>
      </c>
      <c r="DE239" s="12"/>
      <c r="DG239" s="13">
        <v>2</v>
      </c>
      <c r="DH239" s="5">
        <f>SUM(DH5:DI26)*DG239</f>
        <v>0</v>
      </c>
      <c r="DI239" s="12"/>
      <c r="DK239" s="13">
        <v>2</v>
      </c>
      <c r="DL239" s="5">
        <f>SUM(DL5:DM26)*DK239</f>
        <v>0</v>
      </c>
      <c r="DM239" s="12"/>
      <c r="DO239" s="13">
        <v>2</v>
      </c>
      <c r="DP239" s="5">
        <f>SUM(DP5:DQ26)*DO239</f>
        <v>0</v>
      </c>
      <c r="DQ239" s="12"/>
      <c r="DS239" s="5"/>
      <c r="DV239" s="5"/>
      <c r="DW239" s="660">
        <f t="shared" si="1"/>
        <v>0</v>
      </c>
    </row>
    <row r="240" spans="1:127" s="6" customFormat="1" ht="15" customHeight="1">
      <c r="A240" s="3">
        <v>68</v>
      </c>
      <c r="B240" s="210" t="s">
        <v>44</v>
      </c>
      <c r="C240" s="473" t="s">
        <v>515</v>
      </c>
      <c r="D240" s="4"/>
      <c r="E240" s="5"/>
      <c r="F240" s="5"/>
      <c r="G240" s="4"/>
      <c r="H240" s="4"/>
      <c r="I240" s="4"/>
      <c r="J240" s="4"/>
      <c r="K240" s="5"/>
      <c r="L240" s="5"/>
      <c r="M240" s="5"/>
      <c r="O240" s="5"/>
      <c r="P240" s="5"/>
      <c r="Q240" s="5"/>
      <c r="S240" s="5"/>
      <c r="T240" s="5"/>
      <c r="U240" s="5"/>
      <c r="W240" s="5"/>
      <c r="X240" s="5"/>
      <c r="Y240" s="12"/>
      <c r="AA240" s="13"/>
      <c r="AB240" s="12"/>
      <c r="AD240" s="13"/>
      <c r="AE240" s="5"/>
      <c r="AF240" s="5"/>
      <c r="AH240" s="13"/>
      <c r="AI240" s="5"/>
      <c r="AK240" s="5"/>
      <c r="AL240" s="5"/>
      <c r="AM240" s="5"/>
      <c r="AO240" s="5"/>
      <c r="AP240" s="5"/>
      <c r="AR240" s="5"/>
      <c r="AS240" s="5"/>
      <c r="AT240" s="5"/>
      <c r="AV240" s="5"/>
      <c r="AW240" s="5"/>
      <c r="AY240" s="5"/>
      <c r="AZ240" s="5"/>
      <c r="BA240" s="5"/>
      <c r="BC240" s="5"/>
      <c r="BD240" s="5"/>
      <c r="BF240" s="5"/>
      <c r="BG240" s="5"/>
      <c r="BH240" s="5"/>
      <c r="BJ240" s="5"/>
      <c r="BK240" s="5"/>
      <c r="BL240" s="12"/>
      <c r="BM240" s="5"/>
      <c r="BN240" s="5"/>
      <c r="BO240" s="5"/>
      <c r="BQ240" s="5"/>
      <c r="BR240" s="5"/>
      <c r="BT240" s="5"/>
      <c r="BU240" s="5"/>
      <c r="BV240" s="5"/>
      <c r="BX240" s="5"/>
      <c r="BY240" s="5"/>
      <c r="CA240" s="13"/>
      <c r="CB240" s="5"/>
      <c r="CC240" s="11"/>
      <c r="CE240" s="13"/>
      <c r="CF240" s="5"/>
      <c r="CG240" s="12"/>
      <c r="CI240" s="13"/>
      <c r="CJ240" s="5"/>
      <c r="CK240" s="12"/>
      <c r="CM240" s="13"/>
      <c r="CN240" s="5"/>
      <c r="CO240" s="12"/>
      <c r="CQ240" s="13"/>
      <c r="CR240" s="5"/>
      <c r="CS240" s="12"/>
      <c r="CU240" s="13"/>
      <c r="CV240" s="5"/>
      <c r="CW240" s="12"/>
      <c r="CY240" s="13"/>
      <c r="CZ240" s="5"/>
      <c r="DA240" s="12"/>
      <c r="DC240" s="13"/>
      <c r="DD240" s="5"/>
      <c r="DE240" s="12"/>
      <c r="DG240" s="13"/>
      <c r="DH240" s="5"/>
      <c r="DI240" s="12"/>
      <c r="DK240" s="13"/>
      <c r="DL240" s="5"/>
      <c r="DM240" s="12"/>
      <c r="DO240" s="13"/>
      <c r="DP240" s="5"/>
      <c r="DQ240" s="12"/>
      <c r="DS240" s="5"/>
      <c r="DV240" s="5"/>
      <c r="DW240" s="660">
        <f t="shared" si="1"/>
        <v>0</v>
      </c>
    </row>
    <row r="241" spans="1:127" s="6" customFormat="1" ht="15" customHeight="1">
      <c r="A241" s="3">
        <v>69</v>
      </c>
      <c r="B241" s="210" t="s">
        <v>45</v>
      </c>
      <c r="C241" s="473" t="s">
        <v>515</v>
      </c>
      <c r="D241" s="4"/>
      <c r="E241" s="5"/>
      <c r="F241" s="5"/>
      <c r="G241" s="4"/>
      <c r="H241" s="4"/>
      <c r="I241" s="4"/>
      <c r="J241" s="4"/>
      <c r="K241" s="5"/>
      <c r="L241" s="5"/>
      <c r="M241" s="5"/>
      <c r="O241" s="5"/>
      <c r="P241" s="5"/>
      <c r="Q241" s="5"/>
      <c r="S241" s="5"/>
      <c r="T241" s="5"/>
      <c r="U241" s="5"/>
      <c r="W241" s="5"/>
      <c r="X241" s="5"/>
      <c r="Y241" s="12"/>
      <c r="AA241" s="13"/>
      <c r="AB241" s="12"/>
      <c r="AD241" s="13"/>
      <c r="AE241" s="5"/>
      <c r="AF241" s="5"/>
      <c r="AH241" s="13"/>
      <c r="AI241" s="5"/>
      <c r="AK241" s="5"/>
      <c r="AL241" s="5"/>
      <c r="AM241" s="5"/>
      <c r="AO241" s="5"/>
      <c r="AP241" s="5"/>
      <c r="AR241" s="5"/>
      <c r="AS241" s="5"/>
      <c r="AT241" s="5"/>
      <c r="AV241" s="5"/>
      <c r="AW241" s="5"/>
      <c r="AY241" s="5"/>
      <c r="AZ241" s="5"/>
      <c r="BA241" s="5"/>
      <c r="BC241" s="5"/>
      <c r="BD241" s="5"/>
      <c r="BF241" s="5"/>
      <c r="BG241" s="5"/>
      <c r="BH241" s="5"/>
      <c r="BJ241" s="5"/>
      <c r="BK241" s="5"/>
      <c r="BL241" s="12"/>
      <c r="BM241" s="5"/>
      <c r="BN241" s="5"/>
      <c r="BO241" s="5"/>
      <c r="BQ241" s="5"/>
      <c r="BR241" s="5"/>
      <c r="BT241" s="5"/>
      <c r="BU241" s="5"/>
      <c r="BV241" s="5"/>
      <c r="BX241" s="5"/>
      <c r="BY241" s="5"/>
      <c r="CA241" s="13"/>
      <c r="CB241" s="7"/>
      <c r="CC241" s="11"/>
      <c r="CE241" s="13"/>
      <c r="CF241" s="5"/>
      <c r="CG241" s="12"/>
      <c r="CI241" s="13"/>
      <c r="CJ241" s="5"/>
      <c r="CK241" s="12"/>
      <c r="CM241" s="13"/>
      <c r="CN241" s="5"/>
      <c r="CO241" s="12"/>
      <c r="CQ241" s="13"/>
      <c r="CR241" s="5"/>
      <c r="CS241" s="12"/>
      <c r="CU241" s="13"/>
      <c r="CV241" s="5"/>
      <c r="CW241" s="12"/>
      <c r="CY241" s="13"/>
      <c r="CZ241" s="5"/>
      <c r="DA241" s="12"/>
      <c r="DC241" s="13"/>
      <c r="DD241" s="5"/>
      <c r="DE241" s="12"/>
      <c r="DG241" s="13"/>
      <c r="DH241" s="5"/>
      <c r="DI241" s="12"/>
      <c r="DK241" s="13"/>
      <c r="DL241" s="5"/>
      <c r="DM241" s="12"/>
      <c r="DO241" s="13"/>
      <c r="DP241" s="5"/>
      <c r="DQ241" s="12"/>
      <c r="DS241" s="5"/>
      <c r="DV241" s="5"/>
      <c r="DW241" s="660">
        <f t="shared" si="1"/>
        <v>0</v>
      </c>
    </row>
    <row r="242" spans="1:127" s="6" customFormat="1" ht="15" customHeight="1">
      <c r="A242" s="3">
        <v>70</v>
      </c>
      <c r="B242" s="210" t="s">
        <v>46</v>
      </c>
      <c r="C242" s="473" t="s">
        <v>515</v>
      </c>
      <c r="D242" s="4"/>
      <c r="E242" s="5"/>
      <c r="F242" s="5"/>
      <c r="G242" s="4"/>
      <c r="H242" s="4"/>
      <c r="I242" s="4"/>
      <c r="J242" s="4"/>
      <c r="K242" s="5"/>
      <c r="L242" s="5"/>
      <c r="M242" s="5"/>
      <c r="O242" s="5"/>
      <c r="P242" s="5"/>
      <c r="Q242" s="5"/>
      <c r="S242" s="5"/>
      <c r="T242" s="5"/>
      <c r="U242" s="5"/>
      <c r="W242" s="5"/>
      <c r="X242" s="5"/>
      <c r="Y242" s="12"/>
      <c r="AA242" s="13"/>
      <c r="AB242" s="12"/>
      <c r="AD242" s="13"/>
      <c r="AE242" s="7">
        <f>IF(SUM($CF$5:$CG$26)=1,SUM(AE5:AF26)*1,0)</f>
        <v>0</v>
      </c>
      <c r="AF242" s="5"/>
      <c r="AH242" s="13"/>
      <c r="AI242" s="7"/>
      <c r="AK242" s="49"/>
      <c r="AL242" s="54">
        <f>IF(SUM($CF$5:$CG$26)=1,SUM(AL5:AM26)*1,0)</f>
        <v>0</v>
      </c>
      <c r="AM242" s="49"/>
      <c r="AO242" s="49"/>
      <c r="AP242" s="54">
        <f>IF(SUM($CF$5:$CG$26)=1,SUM(AP5:AQ26)*1,0)</f>
        <v>0</v>
      </c>
      <c r="AQ242" s="49"/>
      <c r="AR242" s="5"/>
      <c r="AS242" s="5"/>
      <c r="AT242" s="5"/>
      <c r="AV242" s="5"/>
      <c r="AW242" s="5"/>
      <c r="AY242" s="49"/>
      <c r="AZ242" s="54">
        <f>IF(SUM($CF$5:$CG$26)=1,SUM(AZ5:BA26)*1,0)</f>
        <v>0</v>
      </c>
      <c r="BA242" s="49"/>
      <c r="BC242" s="49"/>
      <c r="BD242" s="54">
        <f>IF(SUM($CF$5:$CG$26)=1,SUM(BD5:BE26)*1,0)</f>
        <v>0</v>
      </c>
      <c r="BE242" s="49"/>
      <c r="BF242" s="5"/>
      <c r="BG242" s="5"/>
      <c r="BH242" s="5"/>
      <c r="BJ242" s="5"/>
      <c r="BK242" s="5"/>
      <c r="BL242" s="12"/>
      <c r="BM242" s="49"/>
      <c r="BN242" s="54">
        <f>IF(SUM($CF$5:$CG$26)=1,SUM(BN5:BO26)*1,0)</f>
        <v>0</v>
      </c>
      <c r="BO242" s="49"/>
      <c r="BQ242" s="49"/>
      <c r="BR242" s="54">
        <f>IF(SUM($CF$5:$CG$26)=1,SUM(BR5:BS26)*1,0)</f>
        <v>0</v>
      </c>
      <c r="BS242" s="49"/>
      <c r="BT242" s="5"/>
      <c r="BU242" s="5"/>
      <c r="BV242" s="5"/>
      <c r="BX242" s="5"/>
      <c r="BY242" s="5"/>
      <c r="CA242" s="49"/>
      <c r="CB242" s="54">
        <f>IF(SUM($CF$5:$CG$26)=1,SUM(CB5:CC26)*1,0)</f>
        <v>0</v>
      </c>
      <c r="CC242" s="49"/>
      <c r="CE242" s="13"/>
      <c r="CF242" s="5"/>
      <c r="CG242" s="12"/>
      <c r="CI242" s="13"/>
      <c r="CJ242" s="5"/>
      <c r="CK242" s="12"/>
      <c r="CM242" s="13"/>
      <c r="CN242" s="5"/>
      <c r="CO242" s="12"/>
      <c r="CQ242" s="13"/>
      <c r="CR242" s="5"/>
      <c r="CS242" s="12"/>
      <c r="CU242" s="13"/>
      <c r="CV242" s="5"/>
      <c r="CW242" s="12"/>
      <c r="CY242" s="13">
        <v>1</v>
      </c>
      <c r="CZ242" s="5">
        <f>SUM(CZ5:DA26)*1</f>
        <v>0</v>
      </c>
      <c r="DA242" s="12"/>
      <c r="DC242" s="13"/>
      <c r="DD242" s="5"/>
      <c r="DE242" s="12"/>
      <c r="DG242" s="13"/>
      <c r="DH242" s="5"/>
      <c r="DI242" s="12"/>
      <c r="DK242" s="13"/>
      <c r="DL242" s="5"/>
      <c r="DM242" s="12"/>
      <c r="DO242" s="13"/>
      <c r="DP242" s="5"/>
      <c r="DQ242" s="12"/>
      <c r="DS242" s="5"/>
      <c r="DV242" s="5"/>
      <c r="DW242" s="660">
        <f t="shared" si="1"/>
        <v>0</v>
      </c>
    </row>
    <row r="243" spans="1:127" s="6" customFormat="1" ht="15" customHeight="1">
      <c r="A243" s="3">
        <v>71</v>
      </c>
      <c r="B243" s="210" t="s">
        <v>47</v>
      </c>
      <c r="C243" s="473" t="s">
        <v>515</v>
      </c>
      <c r="D243" s="4"/>
      <c r="E243" s="5"/>
      <c r="F243" s="5"/>
      <c r="G243" s="4"/>
      <c r="H243" s="4"/>
      <c r="I243" s="4"/>
      <c r="J243" s="4"/>
      <c r="K243" s="5"/>
      <c r="L243" s="5"/>
      <c r="M243" s="5"/>
      <c r="O243" s="5"/>
      <c r="P243" s="5"/>
      <c r="Q243" s="5"/>
      <c r="S243" s="5"/>
      <c r="T243" s="5"/>
      <c r="U243" s="5"/>
      <c r="W243" s="5"/>
      <c r="X243" s="5"/>
      <c r="Y243" s="12"/>
      <c r="AA243" s="13"/>
      <c r="AB243" s="12"/>
      <c r="AD243" s="13"/>
      <c r="AE243" s="7"/>
      <c r="AF243" s="5"/>
      <c r="AH243" s="13"/>
      <c r="AI243" s="7"/>
      <c r="AK243" s="49"/>
      <c r="AL243" s="54"/>
      <c r="AM243" s="49"/>
      <c r="AO243" s="49"/>
      <c r="AP243" s="54"/>
      <c r="AQ243" s="49"/>
      <c r="AR243" s="5"/>
      <c r="AS243" s="5"/>
      <c r="AT243" s="5"/>
      <c r="AV243" s="5"/>
      <c r="AW243" s="5"/>
      <c r="AY243" s="49"/>
      <c r="AZ243" s="54"/>
      <c r="BA243" s="49"/>
      <c r="BC243" s="49"/>
      <c r="BD243" s="54"/>
      <c r="BE243" s="49"/>
      <c r="BF243" s="5"/>
      <c r="BG243" s="5"/>
      <c r="BH243" s="5"/>
      <c r="BJ243" s="5"/>
      <c r="BK243" s="5"/>
      <c r="BL243" s="12"/>
      <c r="BM243" s="49"/>
      <c r="BN243" s="54"/>
      <c r="BO243" s="49"/>
      <c r="BQ243" s="49"/>
      <c r="BR243" s="54"/>
      <c r="BS243" s="49"/>
      <c r="BT243" s="5"/>
      <c r="BU243" s="5"/>
      <c r="BV243" s="5"/>
      <c r="BX243" s="5"/>
      <c r="BY243" s="5"/>
      <c r="CA243" s="49"/>
      <c r="CB243" s="54"/>
      <c r="CC243" s="49"/>
      <c r="CE243" s="13"/>
      <c r="CF243" s="5"/>
      <c r="CG243" s="12"/>
      <c r="CI243" s="13"/>
      <c r="CJ243" s="5"/>
      <c r="CK243" s="12"/>
      <c r="CM243" s="13"/>
      <c r="CN243" s="5"/>
      <c r="CO243" s="12"/>
      <c r="CQ243" s="13"/>
      <c r="CR243" s="5"/>
      <c r="CS243" s="12"/>
      <c r="CU243" s="13"/>
      <c r="CV243" s="5"/>
      <c r="CW243" s="12"/>
      <c r="CY243" s="13"/>
      <c r="CZ243" s="5"/>
      <c r="DA243" s="12"/>
      <c r="DC243" s="13"/>
      <c r="DD243" s="5"/>
      <c r="DE243" s="12"/>
      <c r="DG243" s="13"/>
      <c r="DH243" s="5"/>
      <c r="DI243" s="12"/>
      <c r="DK243" s="13"/>
      <c r="DL243" s="5"/>
      <c r="DM243" s="12"/>
      <c r="DO243" s="13"/>
      <c r="DP243" s="5"/>
      <c r="DQ243" s="12"/>
      <c r="DS243" s="5"/>
      <c r="DV243" s="5"/>
      <c r="DW243" s="660">
        <f t="shared" si="1"/>
        <v>0</v>
      </c>
    </row>
    <row r="244" spans="1:127" s="6" customFormat="1" ht="15" customHeight="1">
      <c r="A244" s="3"/>
      <c r="B244" s="210" t="s">
        <v>489</v>
      </c>
      <c r="C244" s="473" t="s">
        <v>515</v>
      </c>
      <c r="D244" s="4"/>
      <c r="E244" s="5"/>
      <c r="F244" s="5"/>
      <c r="G244" s="4"/>
      <c r="H244" s="4"/>
      <c r="I244" s="4"/>
      <c r="J244" s="4"/>
      <c r="K244" s="5"/>
      <c r="L244" s="5"/>
      <c r="M244" s="5"/>
      <c r="O244" s="5"/>
      <c r="P244" s="5"/>
      <c r="Q244" s="5"/>
      <c r="S244" s="5"/>
      <c r="T244" s="5"/>
      <c r="U244" s="5"/>
      <c r="W244" s="5"/>
      <c r="X244" s="5"/>
      <c r="Y244" s="12"/>
      <c r="AA244" s="13"/>
      <c r="AB244" s="12"/>
      <c r="AD244" s="13"/>
      <c r="AE244" s="7">
        <f>IF(SUM($CJ$5:$CK$26)=1,SUM(AE5:AF26)*1,0)</f>
        <v>0</v>
      </c>
      <c r="AF244" s="5"/>
      <c r="AH244" s="13"/>
      <c r="AI244" s="7"/>
      <c r="AK244" s="49"/>
      <c r="AL244" s="54">
        <f>IF(SUM($CJ$5:$CK$26)=1,SUM(AL5:AM26)*1,0)</f>
        <v>0</v>
      </c>
      <c r="AM244" s="49"/>
      <c r="AO244" s="49"/>
      <c r="AP244" s="54">
        <f>IF(SUM($CJ$5:$CK$26)=1,SUM(AP5:AQ26)*1,0)</f>
        <v>0</v>
      </c>
      <c r="AQ244" s="49"/>
      <c r="AR244" s="5"/>
      <c r="AS244" s="5"/>
      <c r="AT244" s="5"/>
      <c r="AV244" s="5"/>
      <c r="AW244" s="5"/>
      <c r="AY244" s="49"/>
      <c r="AZ244" s="54">
        <f>IF(SUM($CJ$5:$CK$26)=1,SUM(AZ5:BA26)*1,0)</f>
        <v>0</v>
      </c>
      <c r="BA244" s="49"/>
      <c r="BC244" s="49"/>
      <c r="BD244" s="54">
        <f>IF(SUM($CJ$5:$CK$26)=1,SUM(BD5:BE26)*1,0)</f>
        <v>0</v>
      </c>
      <c r="BE244" s="49"/>
      <c r="BF244" s="5"/>
      <c r="BG244" s="5"/>
      <c r="BH244" s="5"/>
      <c r="BJ244" s="5"/>
      <c r="BK244" s="5"/>
      <c r="BL244" s="12"/>
      <c r="BM244" s="49"/>
      <c r="BN244" s="54">
        <f>IF(SUM($CJ$5:$CK$26)=1,SUM(BN5:BO26)*1,0)</f>
        <v>0</v>
      </c>
      <c r="BO244" s="49"/>
      <c r="BQ244" s="49"/>
      <c r="BR244" s="54">
        <f>IF(SUM($CJ$5:$CK$26)=1,SUM(BR5:BS26)*1,0)</f>
        <v>0</v>
      </c>
      <c r="BS244" s="49"/>
      <c r="BT244" s="5"/>
      <c r="BU244" s="5"/>
      <c r="BV244" s="5"/>
      <c r="BX244" s="5"/>
      <c r="BY244" s="5"/>
      <c r="CA244" s="49"/>
      <c r="CB244" s="54">
        <f>IF(SUM($CJ$5:$CK$26)=1,SUM(CB5:CC26)*1,0)</f>
        <v>0</v>
      </c>
      <c r="CC244" s="49"/>
      <c r="CE244" s="13"/>
      <c r="CF244" s="5"/>
      <c r="CG244" s="12"/>
      <c r="CI244" s="13"/>
      <c r="CJ244" s="5"/>
      <c r="CK244" s="12"/>
      <c r="CM244" s="13"/>
      <c r="CN244" s="5"/>
      <c r="CO244" s="12"/>
      <c r="CQ244" s="13"/>
      <c r="CR244" s="5"/>
      <c r="CS244" s="12"/>
      <c r="CU244" s="13"/>
      <c r="CV244" s="5"/>
      <c r="CW244" s="12"/>
      <c r="CY244" s="13"/>
      <c r="CZ244" s="5"/>
      <c r="DA244" s="12"/>
      <c r="DC244" s="13">
        <v>1</v>
      </c>
      <c r="DD244" s="5">
        <f>DD8*DC244+DE8*DC244+DD9*DC244+DE9*DC244+DD10*DC244+DE10*DC244+DD11*DC244+DE11*DC244+DD12*DC244+DE12*DC244+DD13*DC244+DE13*DC244+DD14*DC244+DE14*DC244+DD15*DC244+DE15*DC244+DD16*DC244+DE16*DC244+DD17*DC244+DE17*DC244+DD18*DC244+DE18*DC244+DD19*DC244+DE19*DC244+DD20*DC244+DE20*DC244+DD21*DC244+DE21*DC244+DD22*DC244+DE22*DC244+DD23*DC244+DE23*DC244+DD24*DC244+DE24*DC244+DD25*DC244+DE25*DC244+DD26*DC244+DE26*DC244+DD5*DC244+DE5*DC244+DD6*DC244+DE6*DC244+DD7*DC244+DE7*DC244</f>
        <v>0</v>
      </c>
      <c r="DE244" s="12"/>
      <c r="DG244" s="13"/>
      <c r="DH244" s="5"/>
      <c r="DI244" s="12"/>
      <c r="DK244" s="13"/>
      <c r="DL244" s="5"/>
      <c r="DM244" s="12"/>
      <c r="DO244" s="13"/>
      <c r="DP244" s="5"/>
      <c r="DQ244" s="12"/>
      <c r="DS244" s="5"/>
      <c r="DV244" s="5"/>
      <c r="DW244" s="660">
        <f t="shared" si="1"/>
        <v>0</v>
      </c>
    </row>
    <row r="245" spans="1:127" s="6" customFormat="1" ht="15" customHeight="1">
      <c r="A245" s="3">
        <v>72</v>
      </c>
      <c r="B245" s="210" t="s">
        <v>48</v>
      </c>
      <c r="C245" s="473" t="s">
        <v>515</v>
      </c>
      <c r="D245" s="4"/>
      <c r="E245" s="5"/>
      <c r="F245" s="5"/>
      <c r="G245" s="4"/>
      <c r="H245" s="4"/>
      <c r="I245" s="4"/>
      <c r="J245" s="4"/>
      <c r="K245" s="5"/>
      <c r="L245" s="5"/>
      <c r="M245" s="5"/>
      <c r="O245" s="5"/>
      <c r="P245" s="5"/>
      <c r="Q245" s="5"/>
      <c r="S245" s="5"/>
      <c r="T245" s="5"/>
      <c r="U245" s="5"/>
      <c r="W245" s="5"/>
      <c r="X245" s="5"/>
      <c r="Y245" s="12"/>
      <c r="AA245" s="13"/>
      <c r="AB245" s="12"/>
      <c r="AD245" s="13"/>
      <c r="AE245" s="7"/>
      <c r="AF245" s="5"/>
      <c r="AH245" s="13"/>
      <c r="AI245" s="7"/>
      <c r="AK245" s="49"/>
      <c r="AL245" s="54"/>
      <c r="AM245" s="49"/>
      <c r="AO245" s="49"/>
      <c r="AP245" s="54"/>
      <c r="AQ245" s="49"/>
      <c r="AR245" s="5"/>
      <c r="AS245" s="5"/>
      <c r="AT245" s="5"/>
      <c r="AV245" s="5"/>
      <c r="AW245" s="5"/>
      <c r="AY245" s="49"/>
      <c r="AZ245" s="54"/>
      <c r="BA245" s="49"/>
      <c r="BC245" s="49"/>
      <c r="BD245" s="54"/>
      <c r="BE245" s="49"/>
      <c r="BF245" s="5"/>
      <c r="BG245" s="5"/>
      <c r="BH245" s="5"/>
      <c r="BJ245" s="5"/>
      <c r="BK245" s="5"/>
      <c r="BL245" s="12"/>
      <c r="BM245" s="49"/>
      <c r="BN245" s="54"/>
      <c r="BO245" s="49"/>
      <c r="BQ245" s="49"/>
      <c r="BR245" s="54"/>
      <c r="BS245" s="49"/>
      <c r="BT245" s="5"/>
      <c r="BU245" s="5"/>
      <c r="BV245" s="5"/>
      <c r="BX245" s="5"/>
      <c r="BY245" s="5"/>
      <c r="CA245" s="49"/>
      <c r="CB245" s="54"/>
      <c r="CC245" s="49"/>
      <c r="CE245" s="13"/>
      <c r="CF245" s="5"/>
      <c r="CG245" s="12"/>
      <c r="CI245" s="13"/>
      <c r="CJ245" s="5"/>
      <c r="CK245" s="12"/>
      <c r="CM245" s="13"/>
      <c r="CN245" s="5"/>
      <c r="CO245" s="12"/>
      <c r="CQ245" s="13"/>
      <c r="CR245" s="5"/>
      <c r="CS245" s="12"/>
      <c r="CU245" s="13"/>
      <c r="CV245" s="5"/>
      <c r="CW245" s="12"/>
      <c r="CY245" s="13"/>
      <c r="CZ245" s="5"/>
      <c r="DA245" s="12"/>
      <c r="DC245" s="13"/>
      <c r="DD245" s="5"/>
      <c r="DE245" s="12"/>
      <c r="DG245" s="13"/>
      <c r="DH245" s="5"/>
      <c r="DI245" s="12"/>
      <c r="DK245" s="13"/>
      <c r="DL245" s="5"/>
      <c r="DM245" s="12"/>
      <c r="DO245" s="13"/>
      <c r="DP245" s="5"/>
      <c r="DQ245" s="12"/>
      <c r="DS245" s="5"/>
      <c r="DV245" s="5"/>
      <c r="DW245" s="660">
        <f t="shared" si="1"/>
        <v>0</v>
      </c>
    </row>
    <row r="246" spans="1:127" s="6" customFormat="1" ht="15" customHeight="1">
      <c r="A246" s="3">
        <v>73</v>
      </c>
      <c r="B246" s="210" t="s">
        <v>49</v>
      </c>
      <c r="C246" s="473" t="s">
        <v>515</v>
      </c>
      <c r="D246" s="4"/>
      <c r="E246" s="5"/>
      <c r="F246" s="5"/>
      <c r="G246" s="4"/>
      <c r="H246" s="4"/>
      <c r="I246" s="4"/>
      <c r="J246" s="4"/>
      <c r="K246" s="5"/>
      <c r="L246" s="5"/>
      <c r="M246" s="5"/>
      <c r="O246" s="5"/>
      <c r="P246" s="5"/>
      <c r="Q246" s="5"/>
      <c r="S246" s="5"/>
      <c r="T246" s="5"/>
      <c r="U246" s="5"/>
      <c r="W246" s="5"/>
      <c r="X246" s="5"/>
      <c r="Y246" s="12"/>
      <c r="AA246" s="13"/>
      <c r="AB246" s="12"/>
      <c r="AD246" s="13"/>
      <c r="AE246" s="7"/>
      <c r="AF246" s="5"/>
      <c r="AH246" s="13"/>
      <c r="AI246" s="7"/>
      <c r="AK246" s="49"/>
      <c r="AL246" s="54"/>
      <c r="AM246" s="49"/>
      <c r="AO246" s="49"/>
      <c r="AP246" s="54"/>
      <c r="AQ246" s="49"/>
      <c r="AR246" s="5"/>
      <c r="AS246" s="5"/>
      <c r="AT246" s="5"/>
      <c r="AV246" s="5"/>
      <c r="AW246" s="5"/>
      <c r="AY246" s="49"/>
      <c r="AZ246" s="54"/>
      <c r="BA246" s="49"/>
      <c r="BC246" s="49"/>
      <c r="BD246" s="54"/>
      <c r="BE246" s="49"/>
      <c r="BF246" s="5"/>
      <c r="BG246" s="5"/>
      <c r="BH246" s="5"/>
      <c r="BJ246" s="5"/>
      <c r="BK246" s="5"/>
      <c r="BL246" s="12"/>
      <c r="BM246" s="49"/>
      <c r="BN246" s="54"/>
      <c r="BO246" s="49"/>
      <c r="BQ246" s="49"/>
      <c r="BR246" s="54"/>
      <c r="BS246" s="49"/>
      <c r="BT246" s="5"/>
      <c r="BU246" s="5"/>
      <c r="BV246" s="5"/>
      <c r="BX246" s="5"/>
      <c r="BY246" s="5"/>
      <c r="CA246" s="49"/>
      <c r="CB246" s="54"/>
      <c r="CC246" s="49"/>
      <c r="CE246" s="13"/>
      <c r="CF246" s="5"/>
      <c r="CG246" s="12"/>
      <c r="CI246" s="13"/>
      <c r="CJ246" s="5"/>
      <c r="CK246" s="12"/>
      <c r="CM246" s="13"/>
      <c r="CN246" s="5"/>
      <c r="CO246" s="12"/>
      <c r="CQ246" s="13"/>
      <c r="CR246" s="5"/>
      <c r="CS246" s="12"/>
      <c r="CU246" s="13"/>
      <c r="CV246" s="5"/>
      <c r="CW246" s="12"/>
      <c r="CY246" s="13"/>
      <c r="CZ246" s="5"/>
      <c r="DA246" s="12"/>
      <c r="DC246" s="13"/>
      <c r="DD246" s="5"/>
      <c r="DE246" s="12"/>
      <c r="DG246" s="13"/>
      <c r="DH246" s="5"/>
      <c r="DI246" s="12"/>
      <c r="DK246" s="13"/>
      <c r="DL246" s="5"/>
      <c r="DM246" s="12"/>
      <c r="DO246" s="13"/>
      <c r="DP246" s="5"/>
      <c r="DQ246" s="12"/>
      <c r="DS246" s="5"/>
      <c r="DV246" s="5"/>
      <c r="DW246" s="660">
        <f t="shared" si="1"/>
        <v>0</v>
      </c>
    </row>
    <row r="247" spans="1:127" s="6" customFormat="1" ht="15" customHeight="1">
      <c r="A247" s="3"/>
      <c r="B247" s="210" t="s">
        <v>488</v>
      </c>
      <c r="C247" s="473" t="s">
        <v>515</v>
      </c>
      <c r="D247" s="4"/>
      <c r="E247" s="5"/>
      <c r="F247" s="5"/>
      <c r="G247" s="4"/>
      <c r="H247" s="4"/>
      <c r="I247" s="4"/>
      <c r="J247" s="4"/>
      <c r="K247" s="5"/>
      <c r="L247" s="5"/>
      <c r="M247" s="5"/>
      <c r="O247" s="5"/>
      <c r="P247" s="5"/>
      <c r="Q247" s="5"/>
      <c r="S247" s="5"/>
      <c r="T247" s="5"/>
      <c r="U247" s="5"/>
      <c r="W247" s="5"/>
      <c r="X247" s="5"/>
      <c r="Y247" s="12"/>
      <c r="AA247" s="13"/>
      <c r="AB247" s="12"/>
      <c r="AD247" s="13"/>
      <c r="AE247" s="7">
        <f>IF(SUM($CN$5:$CO$26)=1,SUM(AE5:AF26)*1,0)</f>
        <v>0</v>
      </c>
      <c r="AF247" s="5"/>
      <c r="AH247" s="13"/>
      <c r="AI247" s="7"/>
      <c r="AK247" s="49"/>
      <c r="AL247" s="54">
        <f>IF(SUM($CN$5:$CO$26)=1,SUM(AL5:AM26)*1,0)</f>
        <v>0</v>
      </c>
      <c r="AM247" s="49"/>
      <c r="AO247" s="49"/>
      <c r="AP247" s="54">
        <f>IF(SUM($CN$5:$CO$26)=1,SUM(AP5:AQ26)*1,0)</f>
        <v>0</v>
      </c>
      <c r="AQ247" s="49"/>
      <c r="AR247" s="5"/>
      <c r="AS247" s="5"/>
      <c r="AT247" s="5"/>
      <c r="AV247" s="5"/>
      <c r="AW247" s="5"/>
      <c r="AY247" s="49"/>
      <c r="AZ247" s="54">
        <f>IF(SUM($CN$5:$CO$26)=1,SUM(AZ5:BA26)*1,0)</f>
        <v>0</v>
      </c>
      <c r="BA247" s="49"/>
      <c r="BC247" s="49"/>
      <c r="BD247" s="54">
        <f>IF(SUM($CN$5:$CO$26)=1,SUM(BD5:BE26)*1,0)</f>
        <v>0</v>
      </c>
      <c r="BE247" s="49"/>
      <c r="BF247" s="5"/>
      <c r="BG247" s="5"/>
      <c r="BH247" s="5"/>
      <c r="BJ247" s="5"/>
      <c r="BK247" s="5"/>
      <c r="BL247" s="12"/>
      <c r="BM247" s="49"/>
      <c r="BN247" s="54">
        <f>IF(SUM($CN$5:$CO$26)=1,SUM(BN5:BO26)*1,0)</f>
        <v>0</v>
      </c>
      <c r="BO247" s="49"/>
      <c r="BQ247" s="49"/>
      <c r="BR247" s="54">
        <f>IF(SUM($CN$5:$CO$26)=1,SUM(BR5:BS26)*1,0)</f>
        <v>0</v>
      </c>
      <c r="BS247" s="49"/>
      <c r="BT247" s="5"/>
      <c r="BU247" s="5"/>
      <c r="BV247" s="5"/>
      <c r="BX247" s="5"/>
      <c r="BY247" s="5"/>
      <c r="CA247" s="49"/>
      <c r="CB247" s="54">
        <f>IF(SUM($CN$5:$CO$26)=1,SUM(CB5:CC26)*1,0)</f>
        <v>0</v>
      </c>
      <c r="CC247" s="49"/>
      <c r="CE247" s="13"/>
      <c r="CF247" s="5"/>
      <c r="CG247" s="12"/>
      <c r="CI247" s="13"/>
      <c r="CJ247" s="5"/>
      <c r="CK247" s="12"/>
      <c r="CM247" s="13"/>
      <c r="CN247" s="5"/>
      <c r="CO247" s="12"/>
      <c r="CQ247" s="13"/>
      <c r="CR247" s="5"/>
      <c r="CS247" s="12"/>
      <c r="CU247" s="13"/>
      <c r="CV247" s="5"/>
      <c r="CW247" s="12"/>
      <c r="CY247" s="13"/>
      <c r="CZ247" s="5"/>
      <c r="DA247" s="12"/>
      <c r="DC247" s="13"/>
      <c r="DD247" s="5"/>
      <c r="DE247" s="12"/>
      <c r="DG247" s="13">
        <v>1</v>
      </c>
      <c r="DH247" s="5">
        <f>DH6*DG247+DI6*DG247+DH7*DG247+DI7*DG247+DH8*DG247+DI8*DG247+DH9*DG247+DI9*DG247+DH10*DG247+DI10*DG247+DH11*DG247+DI11*DG247+DH12*DG247+DI12*DG247+DH13*DG247+DI13*DG247+DH14*DG247+DI14*DG247+DH15*DG247+DI15*DG247+DH16*DG247+DI16*DG247+DH17*DG247+DI17*DG247+DH18*DG247+DI18*DG247+DH19*DG247+DI19*DG247+DH20*DG247+DI20*DG247+DH21*DG247+DI21*DG247+DH22*DG247+DI22*DG247+DH23*DG247+DI23*DG247+DH24*DG247+DI24*DG247+DH25*DG247+DI25*DG247+DH26*DG247+DI26*DG247+DH5*DG247+DI5*DG247</f>
        <v>0</v>
      </c>
      <c r="DI247" s="12"/>
      <c r="DK247" s="13"/>
      <c r="DL247" s="5"/>
      <c r="DM247" s="12"/>
      <c r="DO247" s="13"/>
      <c r="DP247" s="5"/>
      <c r="DQ247" s="12"/>
      <c r="DS247" s="5"/>
      <c r="DV247" s="5"/>
      <c r="DW247" s="660">
        <f t="shared" si="1"/>
        <v>0</v>
      </c>
    </row>
    <row r="248" spans="1:127" s="6" customFormat="1" ht="15" customHeight="1">
      <c r="A248" s="3">
        <v>74</v>
      </c>
      <c r="B248" s="210" t="s">
        <v>250</v>
      </c>
      <c r="C248" s="473" t="s">
        <v>515</v>
      </c>
      <c r="D248" s="4"/>
      <c r="E248" s="5"/>
      <c r="F248" s="5"/>
      <c r="G248" s="4"/>
      <c r="H248" s="4"/>
      <c r="I248" s="4"/>
      <c r="J248" s="4"/>
      <c r="K248" s="5"/>
      <c r="L248" s="5"/>
      <c r="M248" s="5"/>
      <c r="O248" s="5"/>
      <c r="P248" s="5"/>
      <c r="Q248" s="5"/>
      <c r="S248" s="5"/>
      <c r="T248" s="5"/>
      <c r="U248" s="5"/>
      <c r="W248" s="5"/>
      <c r="X248" s="5"/>
      <c r="Y248" s="12"/>
      <c r="AA248" s="13"/>
      <c r="AB248" s="12"/>
      <c r="AD248" s="13"/>
      <c r="AE248" s="7"/>
      <c r="AF248" s="5"/>
      <c r="AH248" s="13"/>
      <c r="AI248" s="7"/>
      <c r="AK248" s="49"/>
      <c r="AL248" s="54"/>
      <c r="AM248" s="49"/>
      <c r="AO248" s="49"/>
      <c r="AP248" s="54"/>
      <c r="AQ248" s="49"/>
      <c r="AR248" s="5"/>
      <c r="AS248" s="5"/>
      <c r="AT248" s="5"/>
      <c r="AV248" s="5"/>
      <c r="AW248" s="5"/>
      <c r="AY248" s="49"/>
      <c r="AZ248" s="54"/>
      <c r="BA248" s="49"/>
      <c r="BC248" s="49"/>
      <c r="BD248" s="54"/>
      <c r="BE248" s="49"/>
      <c r="BF248" s="5"/>
      <c r="BG248" s="5"/>
      <c r="BH248" s="5"/>
      <c r="BJ248" s="5"/>
      <c r="BK248" s="5"/>
      <c r="BL248" s="12"/>
      <c r="BM248" s="49"/>
      <c r="BN248" s="54"/>
      <c r="BO248" s="49"/>
      <c r="BQ248" s="49"/>
      <c r="BR248" s="54"/>
      <c r="BS248" s="49"/>
      <c r="BT248" s="5"/>
      <c r="BU248" s="5"/>
      <c r="BV248" s="5"/>
      <c r="BX248" s="5"/>
      <c r="BY248" s="5"/>
      <c r="CA248" s="49"/>
      <c r="CB248" s="54"/>
      <c r="CC248" s="49"/>
      <c r="CE248" s="13"/>
      <c r="CF248" s="5"/>
      <c r="CG248" s="12"/>
      <c r="CI248" s="13"/>
      <c r="CJ248" s="5"/>
      <c r="CK248" s="12"/>
      <c r="CM248" s="13"/>
      <c r="CN248" s="5"/>
      <c r="CO248" s="12"/>
      <c r="CQ248" s="13"/>
      <c r="CR248" s="5"/>
      <c r="CS248" s="12"/>
      <c r="CU248" s="13"/>
      <c r="CV248" s="5"/>
      <c r="CW248" s="12"/>
      <c r="CY248" s="13"/>
      <c r="CZ248" s="5"/>
      <c r="DA248" s="12"/>
      <c r="DC248" s="13"/>
      <c r="DD248" s="5"/>
      <c r="DE248" s="12"/>
      <c r="DG248" s="13"/>
      <c r="DH248" s="5"/>
      <c r="DI248" s="12"/>
      <c r="DK248" s="13"/>
      <c r="DL248" s="5"/>
      <c r="DM248" s="12"/>
      <c r="DO248" s="13"/>
      <c r="DP248" s="5"/>
      <c r="DQ248" s="12"/>
      <c r="DS248" s="5"/>
      <c r="DV248" s="5"/>
      <c r="DW248" s="660">
        <f t="shared" si="1"/>
        <v>0</v>
      </c>
    </row>
    <row r="249" spans="1:127" s="6" customFormat="1" ht="15" customHeight="1">
      <c r="A249" s="3">
        <v>75</v>
      </c>
      <c r="B249" s="210" t="s">
        <v>50</v>
      </c>
      <c r="C249" s="473" t="s">
        <v>515</v>
      </c>
      <c r="D249" s="4"/>
      <c r="E249" s="5"/>
      <c r="F249" s="5"/>
      <c r="G249" s="4"/>
      <c r="H249" s="4"/>
      <c r="I249" s="4"/>
      <c r="J249" s="4"/>
      <c r="K249" s="5"/>
      <c r="L249" s="5"/>
      <c r="M249" s="5"/>
      <c r="O249" s="5"/>
      <c r="P249" s="5"/>
      <c r="Q249" s="5"/>
      <c r="S249" s="5"/>
      <c r="T249" s="5"/>
      <c r="U249" s="5"/>
      <c r="W249" s="5"/>
      <c r="X249" s="5"/>
      <c r="Y249" s="12"/>
      <c r="AA249" s="13"/>
      <c r="AB249" s="12"/>
      <c r="AD249" s="13"/>
      <c r="AE249" s="7">
        <f>IF(SUM($CR$5:$CS$26)=1,SUM(AE5:AF26)*1,0)</f>
        <v>0</v>
      </c>
      <c r="AF249" s="5"/>
      <c r="AH249" s="13"/>
      <c r="AI249" s="7"/>
      <c r="AK249" s="49"/>
      <c r="AL249" s="54">
        <f>IF(SUM($CR$5:$CS$26)=1,SUM(AL5:AM26)*1,0)</f>
        <v>0</v>
      </c>
      <c r="AM249" s="49"/>
      <c r="AO249" s="49"/>
      <c r="AP249" s="54">
        <f>IF(SUM($CR$5:$CS$26)=1,SUM(AP5:AQ26)*1,0)</f>
        <v>0</v>
      </c>
      <c r="AQ249" s="49"/>
      <c r="AR249" s="5"/>
      <c r="AS249" s="5"/>
      <c r="AT249" s="5"/>
      <c r="AV249" s="5"/>
      <c r="AW249" s="5"/>
      <c r="AY249" s="49"/>
      <c r="AZ249" s="54">
        <f>IF(SUM($CR$5:$CS$26)=1,SUM(AZ5:BA26)*1,0)</f>
        <v>0</v>
      </c>
      <c r="BA249" s="49"/>
      <c r="BC249" s="49"/>
      <c r="BD249" s="54">
        <f>IF(SUM($CR$5:$CS$26)=1,SUM(BD5:BE26)*1,0)</f>
        <v>0</v>
      </c>
      <c r="BE249" s="49"/>
      <c r="BF249" s="5"/>
      <c r="BG249" s="5"/>
      <c r="BH249" s="5"/>
      <c r="BJ249" s="5"/>
      <c r="BK249" s="5"/>
      <c r="BL249" s="12"/>
      <c r="BM249" s="49"/>
      <c r="BN249" s="54">
        <f>IF(SUM($CR$5:$CS$26)=1,SUM(BN5:BO26)*1,0)</f>
        <v>0</v>
      </c>
      <c r="BO249" s="49"/>
      <c r="BQ249" s="49"/>
      <c r="BR249" s="54">
        <f>IF(SUM($CR$5:$CS$26)=1,SUM(BR5:BS26)*1,0)</f>
        <v>0</v>
      </c>
      <c r="BS249" s="49"/>
      <c r="BT249" s="5"/>
      <c r="BU249" s="5"/>
      <c r="BV249" s="5"/>
      <c r="BX249" s="5"/>
      <c r="BY249" s="5"/>
      <c r="CA249" s="49"/>
      <c r="CB249" s="54">
        <f>IF(SUM($CR$5:$CS$26)=1,SUM(CB5:CC26)*1,0)</f>
        <v>0</v>
      </c>
      <c r="CC249" s="49"/>
      <c r="CE249" s="13"/>
      <c r="CF249" s="5"/>
      <c r="CG249" s="12"/>
      <c r="CI249" s="13"/>
      <c r="CJ249" s="5"/>
      <c r="CK249" s="12"/>
      <c r="CM249" s="13"/>
      <c r="CN249" s="5"/>
      <c r="CO249" s="12"/>
      <c r="CQ249" s="13"/>
      <c r="CR249" s="5"/>
      <c r="CS249" s="12"/>
      <c r="CU249" s="13"/>
      <c r="CV249" s="5"/>
      <c r="CW249" s="12"/>
      <c r="CY249" s="13"/>
      <c r="CZ249" s="5"/>
      <c r="DA249" s="12"/>
      <c r="DC249" s="13"/>
      <c r="DD249" s="5"/>
      <c r="DE249" s="12"/>
      <c r="DG249" s="13"/>
      <c r="DH249" s="5"/>
      <c r="DI249" s="12"/>
      <c r="DK249" s="13">
        <v>1</v>
      </c>
      <c r="DL249" s="5">
        <f>DL7*DK249+DM7*DK249+DL8*DK249+DM8*DK249+DL9*DK249+DM9*DK249+DL10*DK249+DM10*DK249+DL11*DK249+DM11*DK249+DL12*DK249+DM12*DK249+DL13*DK249+DM13*DK249+DL14*DK249+DM14*DK249+DL15*DK249+DM15*DK249+DL16*DK249+DM16*DK249+DL17*DK249+DM17*DK249+DL18*DK249+DM18*DK249+DL19*DK249+DM19*DK249+DL20*DK249+DM20*DK249+DL21*DK249+DM21*DK249+DL22*DK249+DM22*DK249+DL23*DK249+DM23*DK249+DL24*DK249+DM24*DK249+DL25*DK249+DM25*DK249+DL26*DK249+DM26*DK249+DL5*DK249+DM5*DK249+DL6*DK249+DM6*DK249</f>
        <v>0</v>
      </c>
      <c r="DM249" s="12"/>
      <c r="DO249" s="13"/>
      <c r="DP249" s="5"/>
      <c r="DQ249" s="12"/>
      <c r="DS249" s="5"/>
      <c r="DV249" s="5"/>
      <c r="DW249" s="660">
        <f t="shared" si="1"/>
        <v>0</v>
      </c>
    </row>
    <row r="250" spans="1:127" s="6" customFormat="1" ht="15" customHeight="1">
      <c r="A250" s="3">
        <v>76</v>
      </c>
      <c r="B250" s="210" t="s">
        <v>249</v>
      </c>
      <c r="C250" s="473" t="s">
        <v>515</v>
      </c>
      <c r="D250" s="4"/>
      <c r="E250" s="5"/>
      <c r="F250" s="5"/>
      <c r="G250" s="4"/>
      <c r="H250" s="4"/>
      <c r="I250" s="4"/>
      <c r="J250" s="4"/>
      <c r="K250" s="5"/>
      <c r="L250" s="5"/>
      <c r="M250" s="5"/>
      <c r="O250" s="5"/>
      <c r="P250" s="5"/>
      <c r="Q250" s="5"/>
      <c r="S250" s="5"/>
      <c r="T250" s="5"/>
      <c r="U250" s="5"/>
      <c r="W250" s="5"/>
      <c r="X250" s="5"/>
      <c r="Y250" s="12"/>
      <c r="AA250" s="13"/>
      <c r="AB250" s="12"/>
      <c r="AD250" s="13"/>
      <c r="AE250" s="7"/>
      <c r="AF250" s="5"/>
      <c r="AH250" s="13"/>
      <c r="AI250" s="7"/>
      <c r="AK250" s="49"/>
      <c r="AL250" s="54"/>
      <c r="AM250" s="49"/>
      <c r="AO250" s="49"/>
      <c r="AP250" s="54"/>
      <c r="AQ250" s="49"/>
      <c r="AR250" s="5"/>
      <c r="AS250" s="5"/>
      <c r="AT250" s="5"/>
      <c r="AV250" s="5"/>
      <c r="AW250" s="5"/>
      <c r="AY250" s="49"/>
      <c r="AZ250" s="54"/>
      <c r="BA250" s="49"/>
      <c r="BC250" s="49"/>
      <c r="BD250" s="54"/>
      <c r="BE250" s="49"/>
      <c r="BF250" s="5"/>
      <c r="BG250" s="5"/>
      <c r="BH250" s="5"/>
      <c r="BJ250" s="5"/>
      <c r="BK250" s="5"/>
      <c r="BL250" s="12"/>
      <c r="BM250" s="49"/>
      <c r="BN250" s="54"/>
      <c r="BO250" s="49"/>
      <c r="BQ250" s="49"/>
      <c r="BR250" s="54"/>
      <c r="BS250" s="49"/>
      <c r="BT250" s="5"/>
      <c r="BU250" s="5"/>
      <c r="BV250" s="5"/>
      <c r="BX250" s="5"/>
      <c r="BY250" s="5"/>
      <c r="CA250" s="49"/>
      <c r="CB250" s="54"/>
      <c r="CC250" s="49"/>
      <c r="CE250" s="13"/>
      <c r="CF250" s="5"/>
      <c r="CG250" s="12"/>
      <c r="CI250" s="13"/>
      <c r="CJ250" s="5"/>
      <c r="CK250" s="12"/>
      <c r="CM250" s="13"/>
      <c r="CN250" s="5"/>
      <c r="CO250" s="12"/>
      <c r="CQ250" s="13"/>
      <c r="CR250" s="5"/>
      <c r="CS250" s="12"/>
      <c r="CU250" s="13"/>
      <c r="CV250" s="5"/>
      <c r="CW250" s="12"/>
      <c r="CY250" s="13"/>
      <c r="CZ250" s="5"/>
      <c r="DA250" s="12"/>
      <c r="DC250" s="13"/>
      <c r="DD250" s="5"/>
      <c r="DE250" s="12"/>
      <c r="DG250" s="13"/>
      <c r="DH250" s="5"/>
      <c r="DI250" s="12"/>
      <c r="DK250" s="13"/>
      <c r="DL250" s="5"/>
      <c r="DM250" s="12"/>
      <c r="DO250" s="13"/>
      <c r="DP250" s="5"/>
      <c r="DQ250" s="12"/>
      <c r="DS250" s="5"/>
      <c r="DV250" s="5"/>
      <c r="DW250" s="660">
        <f t="shared" si="1"/>
        <v>0</v>
      </c>
    </row>
    <row r="251" spans="1:127" s="6" customFormat="1" ht="15" customHeight="1">
      <c r="A251" s="3">
        <v>77</v>
      </c>
      <c r="B251" s="210" t="s">
        <v>245</v>
      </c>
      <c r="C251" s="473" t="s">
        <v>515</v>
      </c>
      <c r="D251" s="4"/>
      <c r="E251" s="5"/>
      <c r="F251" s="5"/>
      <c r="G251" s="4"/>
      <c r="H251" s="4"/>
      <c r="I251" s="4"/>
      <c r="J251" s="4"/>
      <c r="K251" s="5"/>
      <c r="L251" s="5"/>
      <c r="M251" s="5"/>
      <c r="O251" s="5"/>
      <c r="P251" s="5"/>
      <c r="Q251" s="5"/>
      <c r="S251" s="5"/>
      <c r="T251" s="5"/>
      <c r="U251" s="5"/>
      <c r="W251" s="5"/>
      <c r="X251" s="5"/>
      <c r="Y251" s="12"/>
      <c r="AA251" s="13"/>
      <c r="AB251" s="12"/>
      <c r="AD251" s="13"/>
      <c r="AE251" s="7">
        <f>IF(SUM($CV$5:$CW$26)=1,SUM(AE5:AF26)*1,0)</f>
        <v>0</v>
      </c>
      <c r="AF251" s="5"/>
      <c r="AH251" s="13"/>
      <c r="AI251" s="7"/>
      <c r="AK251" s="49"/>
      <c r="AL251" s="54">
        <f>IF(SUM($CV$5:$CW$26)=1,SUM(AL5:AM26)*1,0)</f>
        <v>0</v>
      </c>
      <c r="AM251" s="49"/>
      <c r="AO251" s="49"/>
      <c r="AP251" s="54">
        <f>IF(SUM($CV$5:$CW$26)=1,SUM(AP5:AQ26)*1,0)</f>
        <v>0</v>
      </c>
      <c r="AQ251" s="49"/>
      <c r="AR251" s="5"/>
      <c r="AS251" s="5"/>
      <c r="AT251" s="5"/>
      <c r="AV251" s="5"/>
      <c r="AW251" s="5"/>
      <c r="AY251" s="49"/>
      <c r="AZ251" s="54">
        <f>IF(SUM($CV$5:$CW$26)=1,SUM(AZ5:BA26)*1,0)</f>
        <v>0</v>
      </c>
      <c r="BA251" s="49"/>
      <c r="BC251" s="49"/>
      <c r="BD251" s="54">
        <f>IF(SUM($CV$5:$CW$26)=1,SUM(BD5:BE26)*1,0)</f>
        <v>0</v>
      </c>
      <c r="BE251" s="49"/>
      <c r="BF251" s="5"/>
      <c r="BG251" s="5"/>
      <c r="BH251" s="5"/>
      <c r="BJ251" s="5"/>
      <c r="BK251" s="5"/>
      <c r="BL251" s="12"/>
      <c r="BM251" s="49"/>
      <c r="BN251" s="54">
        <f>IF(SUM($CV$5:$CW$26)=1,SUM(BN5:BO26)*1,0)</f>
        <v>0</v>
      </c>
      <c r="BO251" s="49"/>
      <c r="BQ251" s="49"/>
      <c r="BR251" s="54">
        <f>IF(SUM($CV$5:$CW$26)=1,SUM(BR5:BS26)*1,0)</f>
        <v>0</v>
      </c>
      <c r="BS251" s="49"/>
      <c r="BT251" s="5"/>
      <c r="BU251" s="5"/>
      <c r="BV251" s="5"/>
      <c r="BX251" s="5"/>
      <c r="BY251" s="5"/>
      <c r="CA251" s="49"/>
      <c r="CB251" s="54">
        <f>IF(SUM($CV$5:$CW$26)=1,SUM(CB5:CC26)*1,0)</f>
        <v>0</v>
      </c>
      <c r="CC251" s="49"/>
      <c r="CE251" s="13"/>
      <c r="CF251" s="5"/>
      <c r="CG251" s="12"/>
      <c r="CI251" s="13"/>
      <c r="CJ251" s="5"/>
      <c r="CK251" s="12"/>
      <c r="CM251" s="13"/>
      <c r="CN251" s="5"/>
      <c r="CO251" s="12"/>
      <c r="CQ251" s="13"/>
      <c r="CR251" s="5"/>
      <c r="CS251" s="12"/>
      <c r="CU251" s="13"/>
      <c r="CV251" s="5"/>
      <c r="CW251" s="12"/>
      <c r="CY251" s="13"/>
      <c r="CZ251" s="5"/>
      <c r="DA251" s="12"/>
      <c r="DC251" s="13"/>
      <c r="DD251" s="5"/>
      <c r="DE251" s="12"/>
      <c r="DG251" s="13"/>
      <c r="DH251" s="5"/>
      <c r="DI251" s="12"/>
      <c r="DK251" s="13"/>
      <c r="DL251" s="5"/>
      <c r="DM251" s="12"/>
      <c r="DO251" s="13">
        <v>1</v>
      </c>
      <c r="DP251" s="5">
        <f>SUM(DP5:DP26,DQ5:DQ26)*DO251</f>
        <v>0</v>
      </c>
      <c r="DQ251" s="12"/>
      <c r="DS251" s="5"/>
      <c r="DV251" s="5"/>
      <c r="DW251" s="660">
        <f t="shared" si="1"/>
        <v>0</v>
      </c>
    </row>
    <row r="252" spans="1:127" s="6" customFormat="1" ht="15" customHeight="1">
      <c r="A252" s="3">
        <v>78</v>
      </c>
      <c r="B252" s="210" t="s">
        <v>246</v>
      </c>
      <c r="C252" s="473" t="s">
        <v>515</v>
      </c>
      <c r="D252" s="4"/>
      <c r="E252" s="5"/>
      <c r="F252" s="5"/>
      <c r="G252" s="4"/>
      <c r="H252" s="4"/>
      <c r="I252" s="4"/>
      <c r="J252" s="4"/>
      <c r="K252" s="5"/>
      <c r="L252" s="5"/>
      <c r="M252" s="5"/>
      <c r="O252" s="5"/>
      <c r="P252" s="5"/>
      <c r="Q252" s="5"/>
      <c r="S252" s="5"/>
      <c r="T252" s="5"/>
      <c r="U252" s="5"/>
      <c r="W252" s="5"/>
      <c r="X252" s="5"/>
      <c r="Y252" s="12"/>
      <c r="AA252" s="13"/>
      <c r="AB252" s="12"/>
      <c r="AD252" s="13"/>
      <c r="AE252" s="5"/>
      <c r="AF252" s="5"/>
      <c r="AH252" s="13"/>
      <c r="AI252" s="5"/>
      <c r="AK252" s="49"/>
      <c r="AL252" s="49"/>
      <c r="AM252" s="49"/>
      <c r="AO252" s="49"/>
      <c r="AP252" s="49"/>
      <c r="AQ252" s="49"/>
      <c r="AR252" s="5"/>
      <c r="AS252" s="5"/>
      <c r="AT252" s="5"/>
      <c r="AV252" s="5"/>
      <c r="AW252" s="5"/>
      <c r="AY252" s="49"/>
      <c r="AZ252" s="49"/>
      <c r="BA252" s="49"/>
      <c r="BC252" s="49"/>
      <c r="BD252" s="49"/>
      <c r="BE252" s="49"/>
      <c r="BF252" s="5"/>
      <c r="BG252" s="5"/>
      <c r="BH252" s="5"/>
      <c r="BJ252" s="5"/>
      <c r="BK252" s="5"/>
      <c r="BL252" s="12"/>
      <c r="BM252" s="49"/>
      <c r="BN252" s="49"/>
      <c r="BO252" s="49"/>
      <c r="BQ252" s="49"/>
      <c r="BR252" s="49"/>
      <c r="BS252" s="49"/>
      <c r="BT252" s="5"/>
      <c r="BU252" s="5"/>
      <c r="BV252" s="5"/>
      <c r="BX252" s="5"/>
      <c r="BY252" s="5"/>
      <c r="CA252" s="49"/>
      <c r="CB252" s="49"/>
      <c r="CC252" s="49"/>
      <c r="CE252" s="13"/>
      <c r="CF252" s="5"/>
      <c r="CG252" s="12"/>
      <c r="CI252" s="13"/>
      <c r="CJ252" s="5"/>
      <c r="CK252" s="12"/>
      <c r="CM252" s="13"/>
      <c r="CN252" s="5"/>
      <c r="CO252" s="12"/>
      <c r="CQ252" s="13"/>
      <c r="CR252" s="5"/>
      <c r="CS252" s="12"/>
      <c r="CU252" s="13"/>
      <c r="CV252" s="5"/>
      <c r="CW252" s="12"/>
      <c r="CY252" s="13"/>
      <c r="CZ252" s="5"/>
      <c r="DA252" s="12"/>
      <c r="DC252" s="13"/>
      <c r="DD252" s="5"/>
      <c r="DE252" s="12"/>
      <c r="DG252" s="13"/>
      <c r="DH252" s="5"/>
      <c r="DI252" s="12"/>
      <c r="DK252" s="13"/>
      <c r="DL252" s="5"/>
      <c r="DM252" s="12"/>
      <c r="DO252" s="13"/>
      <c r="DP252" s="5"/>
      <c r="DQ252" s="12"/>
      <c r="DS252" s="5"/>
      <c r="DV252" s="5"/>
      <c r="DW252" s="660">
        <f t="shared" si="1"/>
        <v>0</v>
      </c>
    </row>
    <row r="253" spans="1:127" s="6" customFormat="1" ht="15" customHeight="1">
      <c r="A253" s="3">
        <v>79</v>
      </c>
      <c r="B253" s="210" t="s">
        <v>251</v>
      </c>
      <c r="C253" s="473" t="s">
        <v>515</v>
      </c>
      <c r="D253" s="4"/>
      <c r="E253" s="5"/>
      <c r="F253" s="5"/>
      <c r="G253" s="4"/>
      <c r="H253" s="4"/>
      <c r="I253" s="4"/>
      <c r="J253" s="4"/>
      <c r="K253" s="5"/>
      <c r="L253" s="5"/>
      <c r="M253" s="5"/>
      <c r="O253" s="5"/>
      <c r="P253" s="5"/>
      <c r="Q253" s="5"/>
      <c r="S253" s="5"/>
      <c r="T253" s="5"/>
      <c r="U253" s="5"/>
      <c r="W253" s="5"/>
      <c r="X253" s="5"/>
      <c r="Y253" s="12"/>
      <c r="AA253" s="13"/>
      <c r="AB253" s="12"/>
      <c r="AD253" s="13"/>
      <c r="AE253" s="5"/>
      <c r="AF253" s="5"/>
      <c r="AH253" s="13"/>
      <c r="AI253" s="5"/>
      <c r="AK253" s="49"/>
      <c r="AL253" s="49"/>
      <c r="AM253" s="49"/>
      <c r="AO253" s="49"/>
      <c r="AP253" s="49"/>
      <c r="AQ253" s="49"/>
      <c r="AR253" s="5"/>
      <c r="AS253" s="5"/>
      <c r="AT253" s="5"/>
      <c r="AV253" s="5"/>
      <c r="AW253" s="5"/>
      <c r="AY253" s="49"/>
      <c r="AZ253" s="49"/>
      <c r="BA253" s="49"/>
      <c r="BC253" s="49"/>
      <c r="BD253" s="49"/>
      <c r="BE253" s="49"/>
      <c r="BF253" s="5"/>
      <c r="BG253" s="5"/>
      <c r="BH253" s="5"/>
      <c r="BJ253" s="5"/>
      <c r="BK253" s="5"/>
      <c r="BL253" s="12"/>
      <c r="BM253" s="49"/>
      <c r="BN253" s="49"/>
      <c r="BO253" s="49"/>
      <c r="BQ253" s="49"/>
      <c r="BR253" s="49"/>
      <c r="BS253" s="49"/>
      <c r="BT253" s="5"/>
      <c r="BU253" s="5"/>
      <c r="BV253" s="5"/>
      <c r="BX253" s="5"/>
      <c r="BY253" s="5"/>
      <c r="CA253" s="49"/>
      <c r="CB253" s="49"/>
      <c r="CC253" s="49"/>
      <c r="CE253" s="13"/>
      <c r="CF253" s="5"/>
      <c r="CG253" s="12"/>
      <c r="CI253" s="13"/>
      <c r="CJ253" s="5"/>
      <c r="CK253" s="12"/>
      <c r="CM253" s="13"/>
      <c r="CN253" s="5"/>
      <c r="CO253" s="12"/>
      <c r="CQ253" s="13"/>
      <c r="CR253" s="5"/>
      <c r="CS253" s="12"/>
      <c r="CU253" s="13"/>
      <c r="CV253" s="5"/>
      <c r="CW253" s="12"/>
      <c r="CY253" s="13"/>
      <c r="CZ253" s="5"/>
      <c r="DA253" s="12"/>
      <c r="DC253" s="13"/>
      <c r="DD253" s="5"/>
      <c r="DE253" s="12"/>
      <c r="DG253" s="13"/>
      <c r="DH253" s="5"/>
      <c r="DI253" s="12"/>
      <c r="DK253" s="13"/>
      <c r="DL253" s="5"/>
      <c r="DM253" s="12"/>
      <c r="DO253" s="13"/>
      <c r="DP253" s="5"/>
      <c r="DQ253" s="12"/>
      <c r="DS253" s="5"/>
      <c r="DV253" s="5"/>
      <c r="DW253" s="660">
        <f t="shared" si="1"/>
        <v>0</v>
      </c>
    </row>
    <row r="254" spans="1:127" s="6" customFormat="1" ht="15" customHeight="1">
      <c r="A254" s="67" t="s">
        <v>247</v>
      </c>
      <c r="B254" s="210" t="s">
        <v>247</v>
      </c>
      <c r="C254" s="473" t="s">
        <v>515</v>
      </c>
      <c r="D254" s="4"/>
      <c r="E254" s="5" t="s">
        <v>1018</v>
      </c>
      <c r="F254" s="5">
        <f>IF(AND($DR$15&gt;=5,$DR$15&lt;=150),SUM(F5:F26)*1,0)</f>
        <v>0</v>
      </c>
      <c r="G254" s="4"/>
      <c r="H254" s="4"/>
      <c r="I254" s="4"/>
      <c r="J254" s="4"/>
      <c r="K254" s="5"/>
      <c r="L254" s="5"/>
      <c r="M254" s="5"/>
      <c r="O254" s="5"/>
      <c r="P254" s="5"/>
      <c r="Q254" s="5"/>
      <c r="S254" s="5"/>
      <c r="T254" s="5"/>
      <c r="U254" s="5"/>
      <c r="W254" s="5"/>
      <c r="X254" s="5"/>
      <c r="Y254" s="12"/>
      <c r="AA254" s="13"/>
      <c r="AB254" s="12"/>
      <c r="AD254" s="13"/>
      <c r="AE254" s="5"/>
      <c r="AF254" s="5"/>
      <c r="AH254" s="13"/>
      <c r="AI254" s="5"/>
      <c r="AK254" s="49" t="s">
        <v>1018</v>
      </c>
      <c r="AL254" s="49">
        <f>IF(AND($DR$5&gt;=5,$DR$5&lt;=150,$DR$6&lt;2),SUM(AL5:AL26,AM5:AM26)*1-SUM(AL242:AL251),0)</f>
        <v>0</v>
      </c>
      <c r="AM254" s="49"/>
      <c r="AO254" s="49" t="s">
        <v>1018</v>
      </c>
      <c r="AP254" s="49">
        <f>IF(AND($DR$5&gt;=5,$DR$5&lt;=150,$DR$6&lt;2),SUM(AP5:AP26,AQ5:AQ26)*1-SUM(AP242:AP251),0)</f>
        <v>0</v>
      </c>
      <c r="AQ254" s="49"/>
      <c r="AR254" s="5"/>
      <c r="AS254" s="5"/>
      <c r="AT254" s="5"/>
      <c r="AV254" s="5"/>
      <c r="AW254" s="5"/>
      <c r="AY254" s="49" t="s">
        <v>1018</v>
      </c>
      <c r="AZ254" s="49">
        <f>IF(AND($DR$5&gt;=5,$DR$5&lt;=150,$DR$6&lt;2),SUM(AZ5:AZ26,BA5:BA26)*1-SUM(AZ242:AZ251),0)</f>
        <v>0</v>
      </c>
      <c r="BA254" s="49"/>
      <c r="BC254" s="49" t="s">
        <v>1018</v>
      </c>
      <c r="BD254" s="49">
        <f>IF(AND($DR$5&gt;=5,$DR$5&lt;=150,$DR$6&lt;2),SUM(BD5:BD26,BE5:BE26)*1-SUM(BD242:BD251),0)</f>
        <v>0</v>
      </c>
      <c r="BE254" s="49"/>
      <c r="BF254" s="5"/>
      <c r="BG254" s="5"/>
      <c r="BH254" s="5"/>
      <c r="BJ254" s="5"/>
      <c r="BK254" s="5"/>
      <c r="BL254" s="12"/>
      <c r="BM254" s="49" t="s">
        <v>1018</v>
      </c>
      <c r="BN254" s="49">
        <f>IF(AND($DR$5&gt;=5,$DR$5&lt;=150,$DR$6&lt;2),SUM(BN5:BN26,BO5:BO26)*1-SUM(BN242:BN251),0)</f>
        <v>0</v>
      </c>
      <c r="BO254" s="49"/>
      <c r="BQ254" s="49" t="s">
        <v>1018</v>
      </c>
      <c r="BR254" s="49">
        <f>IF(AND($DR$5&gt;=5,$DR$5&lt;=150,$DR$6&lt;2),SUM(BR5:BR26,BS5:BS26)*1-SUM(BR242:BR251),0)</f>
        <v>0</v>
      </c>
      <c r="BS254" s="49"/>
      <c r="BT254" s="5"/>
      <c r="BU254" s="5"/>
      <c r="BV254" s="5"/>
      <c r="BX254" s="5"/>
      <c r="BY254" s="5"/>
      <c r="CA254" s="49" t="s">
        <v>1018</v>
      </c>
      <c r="CB254" s="49">
        <f>IF(AND($DR$5&gt;=5,$DR$5&lt;=150,$DR$6&lt;2),SUM(CB5:CB26,CC5:CC26)*1-SUM(CB242:CB251),0)</f>
        <v>0</v>
      </c>
      <c r="CC254" s="49"/>
      <c r="CE254" s="13"/>
      <c r="CF254" s="5"/>
      <c r="CG254" s="12"/>
      <c r="CI254" s="13"/>
      <c r="CJ254" s="5"/>
      <c r="CK254" s="12"/>
      <c r="CM254" s="13"/>
      <c r="CN254" s="5"/>
      <c r="CO254" s="12"/>
      <c r="CQ254" s="13"/>
      <c r="CR254" s="5"/>
      <c r="CS254" s="12"/>
      <c r="CU254" s="13"/>
      <c r="CV254" s="5"/>
      <c r="CW254" s="12"/>
      <c r="CY254" s="13"/>
      <c r="CZ254" s="5"/>
      <c r="DA254" s="12"/>
      <c r="DC254" s="13"/>
      <c r="DD254" s="5"/>
      <c r="DE254" s="12"/>
      <c r="DG254" s="13"/>
      <c r="DH254" s="5"/>
      <c r="DI254" s="12"/>
      <c r="DK254" s="13"/>
      <c r="DL254" s="5"/>
      <c r="DM254" s="12"/>
      <c r="DO254" s="13"/>
      <c r="DP254" s="5"/>
      <c r="DQ254" s="12"/>
      <c r="DS254" s="5"/>
      <c r="DW254" s="660">
        <f t="shared" si="1"/>
        <v>0</v>
      </c>
    </row>
    <row r="255" spans="1:127" s="6" customFormat="1" ht="15" customHeight="1">
      <c r="A255" s="3">
        <v>81</v>
      </c>
      <c r="B255" s="210" t="s">
        <v>1481</v>
      </c>
      <c r="C255" s="473" t="s">
        <v>515</v>
      </c>
      <c r="D255" s="4"/>
      <c r="E255" s="5" t="s">
        <v>1018</v>
      </c>
      <c r="F255" s="5">
        <f>IF($DR$5&gt;750,SUM(F5:F26,G5:G26)*1,G255)</f>
        <v>0</v>
      </c>
      <c r="G255" s="5">
        <f>IF(SUM(F254,F256:F257,$DR$5)&gt;=1,0,SUM(F5:G26)*1)</f>
        <v>0</v>
      </c>
      <c r="H255" s="4"/>
      <c r="I255" s="4"/>
      <c r="J255" s="4"/>
      <c r="K255" s="5"/>
      <c r="L255" s="5"/>
      <c r="M255" s="5"/>
      <c r="O255" s="5"/>
      <c r="P255" s="5"/>
      <c r="Q255" s="5"/>
      <c r="S255" s="5"/>
      <c r="T255" s="5"/>
      <c r="U255" s="5"/>
      <c r="W255" s="5"/>
      <c r="X255" s="5"/>
      <c r="Y255" s="12"/>
      <c r="AA255" s="13"/>
      <c r="AB255" s="12"/>
      <c r="AD255" s="13"/>
      <c r="AE255" s="5"/>
      <c r="AF255" s="5"/>
      <c r="AH255" s="13"/>
      <c r="AI255" s="5"/>
      <c r="AK255" s="49" t="s">
        <v>1018</v>
      </c>
      <c r="AL255" s="49" t="b">
        <f>IF($DR$5&gt;750,SUM(AL5:AL26,AM5:AM26)*1-SUM(AL242:AL251),AM255)</f>
        <v>0</v>
      </c>
      <c r="AM255" s="49" t="b">
        <f>IF(SUM(AL254,AL256:AL257,$DR$5)&gt;=1,0,AND(SUM(AL5:AM26)*1,$DR$7&lt;1))</f>
        <v>0</v>
      </c>
      <c r="AO255" s="49" t="s">
        <v>1018</v>
      </c>
      <c r="AP255" s="49" t="b">
        <f>IF($DR$5&gt;750,SUM(AP5:AP26,AQ5:AQ26)*1-SUM(AP242:AP251),AQ255)</f>
        <v>0</v>
      </c>
      <c r="AQ255" s="49" t="b">
        <f>IF(SUM(AP254,AP256:AP257,$DR$5)&gt;=1,0,AND(SUM(AP5:AQ26)*1,$DR$7&lt;1))</f>
        <v>0</v>
      </c>
      <c r="AR255" s="5"/>
      <c r="AS255" s="5"/>
      <c r="AT255" s="5"/>
      <c r="AV255" s="5"/>
      <c r="AW255" s="5"/>
      <c r="AY255" s="49" t="s">
        <v>1018</v>
      </c>
      <c r="AZ255" s="49" t="b">
        <f>IF($DR$5&gt;750,SUM(AZ5:AZ26,BA5:BA26)*1-SUM(AZ242:AZ251),BA255)</f>
        <v>0</v>
      </c>
      <c r="BA255" s="49" t="b">
        <f>IF(SUM(AZ254,AZ256:AZ257,$DR$5)&gt;=1,0,AND(SUM(AZ5:BA26)*1,$DR$7&lt;1))</f>
        <v>0</v>
      </c>
      <c r="BC255" s="49" t="s">
        <v>1018</v>
      </c>
      <c r="BD255" s="49" t="b">
        <f>IF($DR$5&gt;750,SUM(BD5:BD26,BE5:BE26)*1-SUM(BD242:BD251),BE255)</f>
        <v>0</v>
      </c>
      <c r="BE255" s="49" t="b">
        <f>IF(SUM(BD254,BD256:BD257,$DR$5)&gt;=1,0,AND(SUM(BD5:BE26)*1,$DR$7&lt;1))</f>
        <v>0</v>
      </c>
      <c r="BF255" s="5"/>
      <c r="BG255" s="5"/>
      <c r="BH255" s="5"/>
      <c r="BJ255" s="5"/>
      <c r="BK255" s="5"/>
      <c r="BL255" s="12"/>
      <c r="BM255" s="49" t="s">
        <v>1018</v>
      </c>
      <c r="BN255" s="49" t="b">
        <f>IF($DR$5&gt;750,SUM(BN5:BN26,BO5:BO26)*1-SUM(BN242:BN251),BO255)</f>
        <v>0</v>
      </c>
      <c r="BO255" s="49" t="b">
        <f>IF(SUM(BN254,BN256:BN257,$DR$5)&gt;=1,0,AND(SUM(BN5:BO26)*1,$DR$7&lt;1))</f>
        <v>0</v>
      </c>
      <c r="BQ255" s="49" t="s">
        <v>1018</v>
      </c>
      <c r="BR255" s="49" t="b">
        <f>IF($DR$5&gt;750,SUM(BR5:BR26,BS5:BS26)*1-SUM(BR242:BR251),BS255)</f>
        <v>0</v>
      </c>
      <c r="BS255" s="49" t="b">
        <f>IF(SUM(BR254,BR256:BR257,$DR$5)&gt;=1,0,AND(SUM(BR5:BS26)*1,$DR$7&lt;1))</f>
        <v>0</v>
      </c>
      <c r="BT255" s="5"/>
      <c r="BU255" s="5"/>
      <c r="BV255" s="5"/>
      <c r="BX255" s="5"/>
      <c r="BY255" s="5"/>
      <c r="CA255" s="49" t="s">
        <v>1018</v>
      </c>
      <c r="CB255" s="49" t="b">
        <f>IF($DR$5&gt;750,SUM(CB5:CB26,CC5:CC26)*1-SUM(CB242:CB251),CC255)</f>
        <v>0</v>
      </c>
      <c r="CC255" s="49" t="b">
        <f>IF(SUM(CB254,CB256:CB257,$DR$5)&gt;=1,0,AND(SUM(CB5:CC26)*1,$DR$7&lt;1))</f>
        <v>0</v>
      </c>
      <c r="CE255" s="13"/>
      <c r="CF255" s="5"/>
      <c r="CG255" s="12"/>
      <c r="CI255" s="13"/>
      <c r="CJ255" s="5"/>
      <c r="CK255" s="12"/>
      <c r="CM255" s="13"/>
      <c r="CN255" s="5"/>
      <c r="CO255" s="12"/>
      <c r="CQ255" s="13"/>
      <c r="CR255" s="5"/>
      <c r="CS255" s="12"/>
      <c r="CU255" s="13"/>
      <c r="CV255" s="5"/>
      <c r="CW255" s="12"/>
      <c r="CY255" s="13"/>
      <c r="CZ255" s="5"/>
      <c r="DA255" s="12"/>
      <c r="DC255" s="13"/>
      <c r="DD255" s="5"/>
      <c r="DE255" s="12"/>
      <c r="DG255" s="13"/>
      <c r="DH255" s="5"/>
      <c r="DI255" s="12"/>
      <c r="DK255" s="13"/>
      <c r="DL255" s="5"/>
      <c r="DM255" s="12"/>
      <c r="DO255" s="13"/>
      <c r="DP255" s="5"/>
      <c r="DQ255" s="12"/>
      <c r="DS255" s="5"/>
      <c r="DV255" s="5"/>
      <c r="DW255" s="660">
        <f t="shared" si="1"/>
        <v>0</v>
      </c>
    </row>
    <row r="256" spans="1:127" s="6" customFormat="1" ht="15" customHeight="1">
      <c r="A256" s="3">
        <v>82</v>
      </c>
      <c r="B256" s="210" t="s">
        <v>248</v>
      </c>
      <c r="C256" s="473" t="s">
        <v>515</v>
      </c>
      <c r="D256" s="4"/>
      <c r="E256" s="5" t="s">
        <v>1018</v>
      </c>
      <c r="F256" s="5">
        <f>IF(AND($DR$5&lt;=226)*OR($DR$6&gt;=2),SUM(F5:F26)*1,0)</f>
        <v>0</v>
      </c>
      <c r="G256" s="4"/>
      <c r="H256" s="4"/>
      <c r="I256" s="4"/>
      <c r="J256" s="4"/>
      <c r="K256" s="5"/>
      <c r="L256" s="5"/>
      <c r="M256" s="5"/>
      <c r="O256" s="5"/>
      <c r="P256" s="5"/>
      <c r="Q256" s="5"/>
      <c r="S256" s="5"/>
      <c r="T256" s="5"/>
      <c r="U256" s="5"/>
      <c r="W256" s="5"/>
      <c r="X256" s="5"/>
      <c r="Y256" s="12"/>
      <c r="AA256" s="13"/>
      <c r="AB256" s="12"/>
      <c r="AD256" s="13"/>
      <c r="AE256" s="5"/>
      <c r="AF256" s="5"/>
      <c r="AH256" s="13"/>
      <c r="AI256" s="5"/>
      <c r="AK256" s="49" t="s">
        <v>1018</v>
      </c>
      <c r="AL256" s="49">
        <f>IF(AND($DR$5&lt;=226)*OR($DR$6&gt;=2),SUM(AL5:AL26,AM5:AM26)*1-SUM(AL242:AL251),0)</f>
        <v>0</v>
      </c>
      <c r="AM256" s="49"/>
      <c r="AO256" s="49" t="s">
        <v>1018</v>
      </c>
      <c r="AP256" s="49">
        <f>IF(AND($DR$5&lt;=226)*OR($DR$6&gt;=2),SUM(AP5:AP26,AQ5:AQ26)*1-SUM(AP242:AP251),0)</f>
        <v>0</v>
      </c>
      <c r="AQ256" s="49"/>
      <c r="AR256" s="5"/>
      <c r="AS256" s="5"/>
      <c r="AT256" s="5"/>
      <c r="AV256" s="5"/>
      <c r="AW256" s="5"/>
      <c r="AY256" s="49" t="s">
        <v>1018</v>
      </c>
      <c r="AZ256" s="49">
        <f>IF(AND($DR$5&lt;=226)*OR($DR$6&gt;=2),SUM(AZ5:AZ26,BA5:BA26)*1-SUM(AZ242:AZ251),0)</f>
        <v>0</v>
      </c>
      <c r="BA256" s="49"/>
      <c r="BC256" s="49" t="s">
        <v>1018</v>
      </c>
      <c r="BD256" s="49">
        <f>IF(AND($DR$5&lt;=226)*OR($DR$6&gt;=2),SUM(BD5:BD26,BE5:BE26)*1-SUM(BD242:BD251),0)</f>
        <v>0</v>
      </c>
      <c r="BE256" s="49"/>
      <c r="BF256" s="5"/>
      <c r="BG256" s="5"/>
      <c r="BH256" s="5"/>
      <c r="BJ256" s="5"/>
      <c r="BK256" s="5"/>
      <c r="BL256" s="12"/>
      <c r="BM256" s="49" t="s">
        <v>1018</v>
      </c>
      <c r="BN256" s="49">
        <f>IF(AND($DR$5&lt;=226)*OR($DR$6&gt;=2),SUM(BN5:BN26,BO5:BO26)*1-SUM(BN242:BN251),0)</f>
        <v>0</v>
      </c>
      <c r="BO256" s="49"/>
      <c r="BQ256" s="49" t="s">
        <v>1018</v>
      </c>
      <c r="BR256" s="49">
        <f>IF(AND($DR$5&lt;=226)*OR($DR$6&gt;=2),SUM(BR5:BR26,BS5:BS26)*1-SUM(BR242:BR251),0)</f>
        <v>0</v>
      </c>
      <c r="BS256" s="49"/>
      <c r="BT256" s="5"/>
      <c r="BU256" s="5"/>
      <c r="BV256" s="5"/>
      <c r="BX256" s="5"/>
      <c r="BY256" s="5"/>
      <c r="CA256" s="49" t="s">
        <v>1018</v>
      </c>
      <c r="CB256" s="49">
        <f>IF(AND($DR$5&lt;=226)*OR($DR$6&gt;=2),SUM(CB5:CB26,CC5:CC26)*1-SUM(CB242:CB251),0)</f>
        <v>0</v>
      </c>
      <c r="CC256" s="49"/>
      <c r="CE256" s="13"/>
      <c r="CF256" s="5"/>
      <c r="CG256" s="12"/>
      <c r="CI256" s="13"/>
      <c r="CJ256" s="5"/>
      <c r="CK256" s="12"/>
      <c r="CM256" s="13"/>
      <c r="CN256" s="5"/>
      <c r="CO256" s="12"/>
      <c r="CQ256" s="13"/>
      <c r="CR256" s="5"/>
      <c r="CS256" s="12"/>
      <c r="CU256" s="13"/>
      <c r="CV256" s="5"/>
      <c r="CW256" s="12"/>
      <c r="CY256" s="13"/>
      <c r="CZ256" s="5"/>
      <c r="DA256" s="12"/>
      <c r="DC256" s="13"/>
      <c r="DD256" s="5"/>
      <c r="DE256" s="12"/>
      <c r="DG256" s="13"/>
      <c r="DH256" s="5"/>
      <c r="DI256" s="12"/>
      <c r="DK256" s="13"/>
      <c r="DL256" s="5"/>
      <c r="DM256" s="12"/>
      <c r="DO256" s="13"/>
      <c r="DP256" s="5"/>
      <c r="DQ256" s="12"/>
      <c r="DS256" s="5"/>
      <c r="DV256" s="5"/>
      <c r="DW256" s="660">
        <f t="shared" si="1"/>
        <v>0</v>
      </c>
    </row>
    <row r="257" spans="1:128" s="6" customFormat="1" ht="15" customHeight="1">
      <c r="A257" s="3">
        <v>83</v>
      </c>
      <c r="B257" s="210" t="s">
        <v>411</v>
      </c>
      <c r="C257" s="473" t="s">
        <v>515</v>
      </c>
      <c r="D257" s="4"/>
      <c r="E257" s="5" t="s">
        <v>1018</v>
      </c>
      <c r="F257" s="5">
        <f>IF(AND($DR$15&gt;=226,$DR$15&lt;=750),SUM(F5:F26)*1,0)</f>
        <v>0</v>
      </c>
      <c r="G257" s="4"/>
      <c r="H257" s="4"/>
      <c r="I257" s="4"/>
      <c r="J257" s="4"/>
      <c r="K257" s="5"/>
      <c r="L257" s="5"/>
      <c r="M257" s="5"/>
      <c r="O257" s="5"/>
      <c r="P257" s="5"/>
      <c r="Q257" s="5"/>
      <c r="S257" s="5"/>
      <c r="T257" s="5"/>
      <c r="U257" s="5"/>
      <c r="W257" s="5"/>
      <c r="X257" s="5"/>
      <c r="Y257" s="12"/>
      <c r="AA257" s="13"/>
      <c r="AB257" s="12"/>
      <c r="AD257" s="13"/>
      <c r="AE257" s="5"/>
      <c r="AF257" s="5"/>
      <c r="AH257" s="13"/>
      <c r="AI257" s="5"/>
      <c r="AK257" s="49" t="s">
        <v>1018</v>
      </c>
      <c r="AL257" s="49">
        <f>IF(AND($DR$5&gt;=226,$DR$5&lt;=750),SUM(AL5:AL26,AM5:AM26)*1-SUM(AL242:AL251),0)</f>
        <v>0</v>
      </c>
      <c r="AM257" s="49"/>
      <c r="AO257" s="49" t="s">
        <v>1018</v>
      </c>
      <c r="AP257" s="49">
        <f>IF(AND($DR$5&gt;=226,$DR$5&lt;=750),SUM(AP5:AP26,AQ5:AQ26)*1-SUM(AP242:AP251),0)</f>
        <v>0</v>
      </c>
      <c r="AQ257" s="49"/>
      <c r="AR257" s="5"/>
      <c r="AS257" s="5"/>
      <c r="AT257" s="5"/>
      <c r="AV257" s="5"/>
      <c r="AW257" s="5"/>
      <c r="AY257" s="49" t="s">
        <v>1018</v>
      </c>
      <c r="AZ257" s="49">
        <f>IF(AND($DR$5&gt;=226,$DR$5&lt;=750),SUM(AZ5:AZ26,BA5:BA26)*1-SUM(AZ242:AZ251),0)</f>
        <v>0</v>
      </c>
      <c r="BA257" s="49"/>
      <c r="BC257" s="49" t="s">
        <v>1018</v>
      </c>
      <c r="BD257" s="49">
        <f>IF(AND($DR$5&gt;=226,$DR$5&lt;=750),SUM(BD5:BD26,BE5:BE26)*1-SUM(BD242:BD251),0)</f>
        <v>0</v>
      </c>
      <c r="BE257" s="49"/>
      <c r="BF257" s="5"/>
      <c r="BG257" s="5"/>
      <c r="BH257" s="5"/>
      <c r="BJ257" s="5"/>
      <c r="BK257" s="5"/>
      <c r="BL257" s="12"/>
      <c r="BM257" s="49" t="s">
        <v>1018</v>
      </c>
      <c r="BN257" s="49">
        <f>IF(AND($DR$5&gt;=226,$DR$5&lt;=750),SUM(BN5:BN26,BO5:BO26)*1-SUM(BN242:BN251),0)</f>
        <v>0</v>
      </c>
      <c r="BO257" s="49"/>
      <c r="BQ257" s="49" t="s">
        <v>1018</v>
      </c>
      <c r="BR257" s="49">
        <f>IF(AND($DR$5&gt;=226,$DR$5&lt;=750),SUM(BR5:BR26,BS5:BS26)*1-SUM(BR242:BR251),0)</f>
        <v>0</v>
      </c>
      <c r="BS257" s="49"/>
      <c r="BT257" s="5"/>
      <c r="BU257" s="5"/>
      <c r="BV257" s="5"/>
      <c r="BX257" s="5"/>
      <c r="BY257" s="5"/>
      <c r="CA257" s="49" t="s">
        <v>1018</v>
      </c>
      <c r="CB257" s="49">
        <f>IF(AND($DR$5&gt;=226,$DR$5&lt;=750),SUM(CB5:CB26,CC5:CC26)*1-SUM(CB242:CB251),0)</f>
        <v>0</v>
      </c>
      <c r="CC257" s="49"/>
      <c r="CE257" s="13"/>
      <c r="CF257" s="5"/>
      <c r="CG257" s="12"/>
      <c r="CI257" s="13"/>
      <c r="CJ257" s="5"/>
      <c r="CK257" s="12"/>
      <c r="CM257" s="13"/>
      <c r="CN257" s="5"/>
      <c r="CO257" s="12"/>
      <c r="CQ257" s="13"/>
      <c r="CR257" s="5"/>
      <c r="CS257" s="12"/>
      <c r="CU257" s="13"/>
      <c r="CV257" s="5"/>
      <c r="CW257" s="12"/>
      <c r="CY257" s="13"/>
      <c r="CZ257" s="5"/>
      <c r="DA257" s="12"/>
      <c r="DC257" s="13"/>
      <c r="DD257" s="5"/>
      <c r="DE257" s="12"/>
      <c r="DG257" s="13"/>
      <c r="DH257" s="5"/>
      <c r="DI257" s="12"/>
      <c r="DK257" s="13"/>
      <c r="DL257" s="5"/>
      <c r="DM257" s="12"/>
      <c r="DO257" s="13"/>
      <c r="DP257" s="5"/>
      <c r="DQ257" s="12"/>
      <c r="DS257" s="5"/>
      <c r="DV257" s="5"/>
      <c r="DW257" s="660">
        <f t="shared" si="1"/>
        <v>0</v>
      </c>
    </row>
    <row r="258" spans="1:128" s="6" customFormat="1" ht="15" customHeight="1">
      <c r="A258" s="3">
        <v>84</v>
      </c>
      <c r="B258" s="210" t="s">
        <v>195</v>
      </c>
      <c r="C258" s="473" t="s">
        <v>515</v>
      </c>
      <c r="D258" s="4"/>
      <c r="E258" s="5"/>
      <c r="F258" s="5"/>
      <c r="G258" s="859">
        <f>C8/(2500)</f>
        <v>0</v>
      </c>
      <c r="H258" s="4"/>
      <c r="I258" s="4">
        <f>ROUNDDOWN(G258,0)</f>
        <v>0</v>
      </c>
      <c r="J258" s="4"/>
      <c r="K258" s="5"/>
      <c r="L258" s="5"/>
      <c r="M258" s="5">
        <f>C16</f>
        <v>0</v>
      </c>
      <c r="O258" s="5"/>
      <c r="P258" s="5"/>
      <c r="Q258" s="5"/>
      <c r="S258" s="5"/>
      <c r="T258" s="5"/>
      <c r="U258" s="5"/>
      <c r="W258" s="5"/>
      <c r="X258" s="5"/>
      <c r="Y258" s="12"/>
      <c r="AA258" s="13"/>
      <c r="AB258" s="12"/>
      <c r="AD258" s="13"/>
      <c r="AE258" s="5"/>
      <c r="AF258" s="5"/>
      <c r="AH258" s="13"/>
      <c r="AI258" s="5"/>
      <c r="AK258" s="5"/>
      <c r="AL258" s="5"/>
      <c r="AM258" s="5"/>
      <c r="AO258" s="5"/>
      <c r="AP258" s="5"/>
      <c r="AR258" s="5"/>
      <c r="AS258" s="5"/>
      <c r="AT258" s="5"/>
      <c r="AV258" s="5"/>
      <c r="AW258" s="5"/>
      <c r="AY258" s="5"/>
      <c r="AZ258" s="5"/>
      <c r="BA258" s="5"/>
      <c r="BC258" s="5"/>
      <c r="BD258" s="5"/>
      <c r="BF258" s="5"/>
      <c r="BG258" s="5"/>
      <c r="BH258" s="5"/>
      <c r="BJ258" s="5"/>
      <c r="BK258" s="5"/>
      <c r="BL258" s="12"/>
      <c r="BM258" s="5"/>
      <c r="BN258" s="5"/>
      <c r="BO258" s="5"/>
      <c r="BQ258" s="5"/>
      <c r="BR258" s="5"/>
      <c r="BT258" s="5"/>
      <c r="BU258" s="5"/>
      <c r="BV258" s="5"/>
      <c r="BX258" s="5"/>
      <c r="BY258" s="5"/>
      <c r="CA258" s="13"/>
      <c r="CB258" s="7"/>
      <c r="CC258" s="11"/>
      <c r="CE258" s="13"/>
      <c r="CF258" s="5"/>
      <c r="CG258" s="12"/>
      <c r="CI258" s="13"/>
      <c r="CJ258" s="5"/>
      <c r="CK258" s="12"/>
      <c r="CM258" s="13"/>
      <c r="CN258" s="5"/>
      <c r="CO258" s="12"/>
      <c r="CQ258" s="13"/>
      <c r="CR258" s="5"/>
      <c r="CS258" s="12"/>
      <c r="CU258" s="13"/>
      <c r="CV258" s="5"/>
      <c r="CW258" s="12"/>
      <c r="CY258" s="13"/>
      <c r="CZ258" s="5"/>
      <c r="DA258" s="12"/>
      <c r="DC258" s="13"/>
      <c r="DD258" s="5"/>
      <c r="DE258" s="12"/>
      <c r="DG258" s="13"/>
      <c r="DH258" s="5"/>
      <c r="DI258" s="12"/>
      <c r="DK258" s="13"/>
      <c r="DL258" s="5"/>
      <c r="DM258" s="12"/>
      <c r="DO258" s="13"/>
      <c r="DP258" s="5"/>
      <c r="DQ258" s="12"/>
      <c r="DS258" s="5"/>
      <c r="DV258" s="5"/>
      <c r="DW258" s="660">
        <f t="shared" si="1"/>
        <v>0</v>
      </c>
    </row>
    <row r="259" spans="1:128" s="6" customFormat="1" ht="15" customHeight="1">
      <c r="A259" s="3">
        <v>85</v>
      </c>
      <c r="B259" s="210" t="s">
        <v>194</v>
      </c>
      <c r="C259" s="473" t="s">
        <v>515</v>
      </c>
      <c r="D259" s="4"/>
      <c r="E259" s="5"/>
      <c r="F259" s="5"/>
      <c r="G259" s="4"/>
      <c r="H259" s="4"/>
      <c r="I259" s="4"/>
      <c r="J259" s="4"/>
      <c r="K259" s="5"/>
      <c r="L259" s="5"/>
      <c r="M259" s="5"/>
      <c r="O259" s="5"/>
      <c r="P259" s="5"/>
      <c r="Q259" s="5"/>
      <c r="S259" s="5"/>
      <c r="T259" s="5"/>
      <c r="U259" s="5"/>
      <c r="W259" s="5"/>
      <c r="X259" s="5"/>
      <c r="Y259" s="12"/>
      <c r="AA259" s="13"/>
      <c r="AB259" s="12"/>
      <c r="AD259" s="13"/>
      <c r="AE259" s="5"/>
      <c r="AF259" s="5"/>
      <c r="AH259" s="13"/>
      <c r="AI259" s="5"/>
      <c r="AK259" s="5"/>
      <c r="AL259" s="5"/>
      <c r="AM259" s="5"/>
      <c r="AO259" s="5"/>
      <c r="AP259" s="5"/>
      <c r="AR259" s="5"/>
      <c r="AS259" s="5"/>
      <c r="AT259" s="5"/>
      <c r="AV259" s="5"/>
      <c r="AW259" s="5"/>
      <c r="AY259" s="5"/>
      <c r="AZ259" s="5"/>
      <c r="BA259" s="5"/>
      <c r="BC259" s="5"/>
      <c r="BD259" s="5"/>
      <c r="BF259" s="5"/>
      <c r="BG259" s="5"/>
      <c r="BH259" s="5"/>
      <c r="BJ259" s="5"/>
      <c r="BK259" s="5"/>
      <c r="BL259" s="12"/>
      <c r="BM259" s="5"/>
      <c r="BN259" s="5"/>
      <c r="BO259" s="5"/>
      <c r="BQ259" s="5"/>
      <c r="BR259" s="5"/>
      <c r="BT259" s="5"/>
      <c r="BU259" s="5"/>
      <c r="BV259" s="5"/>
      <c r="BX259" s="5"/>
      <c r="BY259" s="5"/>
      <c r="CA259" s="13"/>
      <c r="CB259" s="7"/>
      <c r="CC259" s="11"/>
      <c r="CE259" s="13"/>
      <c r="CF259" s="5"/>
      <c r="CG259" s="12"/>
      <c r="CI259" s="13"/>
      <c r="CJ259" s="5"/>
      <c r="CK259" s="12"/>
      <c r="CM259" s="13"/>
      <c r="CN259" s="5"/>
      <c r="CO259" s="12"/>
      <c r="CQ259" s="13"/>
      <c r="CR259" s="5"/>
      <c r="CS259" s="12"/>
      <c r="CU259" s="13"/>
      <c r="CV259" s="5"/>
      <c r="CW259" s="12"/>
      <c r="CY259" s="13"/>
      <c r="CZ259" s="5"/>
      <c r="DA259" s="12"/>
      <c r="DC259" s="13"/>
      <c r="DD259" s="5"/>
      <c r="DE259" s="12"/>
      <c r="DG259" s="13"/>
      <c r="DH259" s="5"/>
      <c r="DI259" s="12"/>
      <c r="DK259" s="13"/>
      <c r="DL259" s="5"/>
      <c r="DM259" s="12"/>
      <c r="DO259" s="13"/>
      <c r="DP259" s="5"/>
      <c r="DQ259" s="12"/>
      <c r="DS259" s="5"/>
      <c r="DV259" s="5"/>
      <c r="DW259" s="660">
        <f t="shared" si="1"/>
        <v>0</v>
      </c>
    </row>
    <row r="260" spans="1:128" s="6" customFormat="1" ht="15" customHeight="1">
      <c r="A260" s="3">
        <v>86</v>
      </c>
      <c r="B260" s="210" t="s">
        <v>196</v>
      </c>
      <c r="C260" s="473" t="s">
        <v>515</v>
      </c>
      <c r="D260" s="4"/>
      <c r="E260" s="5"/>
      <c r="F260" s="5"/>
      <c r="G260" s="4"/>
      <c r="H260" s="4"/>
      <c r="I260" s="4"/>
      <c r="J260" s="4"/>
      <c r="K260" s="5"/>
      <c r="L260" s="5"/>
      <c r="M260" s="5"/>
      <c r="O260" s="5"/>
      <c r="P260" s="5"/>
      <c r="Q260" s="5"/>
      <c r="S260" s="5"/>
      <c r="T260" s="5"/>
      <c r="U260" s="5"/>
      <c r="W260" s="5"/>
      <c r="X260" s="5"/>
      <c r="Y260" s="12"/>
      <c r="AA260" s="13"/>
      <c r="AB260" s="12"/>
      <c r="AD260" s="13"/>
      <c r="AE260" s="5"/>
      <c r="AF260" s="5"/>
      <c r="AH260" s="13"/>
      <c r="AI260" s="5"/>
      <c r="AK260" s="5"/>
      <c r="AL260" s="5"/>
      <c r="AM260" s="5"/>
      <c r="AO260" s="5"/>
      <c r="AP260" s="5"/>
      <c r="AR260" s="5"/>
      <c r="AS260" s="5"/>
      <c r="AT260" s="5"/>
      <c r="AV260" s="5"/>
      <c r="AW260" s="5"/>
      <c r="AY260" s="5"/>
      <c r="AZ260" s="5"/>
      <c r="BA260" s="5"/>
      <c r="BC260" s="5"/>
      <c r="BD260" s="5"/>
      <c r="BF260" s="5"/>
      <c r="BG260" s="5"/>
      <c r="BH260" s="5"/>
      <c r="BJ260" s="5"/>
      <c r="BK260" s="5"/>
      <c r="BL260" s="12"/>
      <c r="BM260" s="5"/>
      <c r="BN260" s="5"/>
      <c r="BO260" s="5"/>
      <c r="BQ260" s="5"/>
      <c r="BR260" s="5"/>
      <c r="BT260" s="5"/>
      <c r="BU260" s="5"/>
      <c r="BV260" s="5"/>
      <c r="BX260" s="5"/>
      <c r="BY260" s="5"/>
      <c r="CA260" s="13"/>
      <c r="CB260" s="7"/>
      <c r="CC260" s="11"/>
      <c r="CE260" s="13"/>
      <c r="CF260" s="5"/>
      <c r="CG260" s="12"/>
      <c r="CI260" s="13"/>
      <c r="CJ260" s="5"/>
      <c r="CK260" s="12"/>
      <c r="CM260" s="13"/>
      <c r="CN260" s="5"/>
      <c r="CO260" s="12"/>
      <c r="CQ260" s="13"/>
      <c r="CR260" s="5"/>
      <c r="CS260" s="12"/>
      <c r="CU260" s="13"/>
      <c r="CV260" s="5"/>
      <c r="CW260" s="12"/>
      <c r="CY260" s="13"/>
      <c r="CZ260" s="5"/>
      <c r="DA260" s="12"/>
      <c r="DC260" s="13"/>
      <c r="DD260" s="5"/>
      <c r="DE260" s="12"/>
      <c r="DG260" s="13"/>
      <c r="DH260" s="5"/>
      <c r="DI260" s="12"/>
      <c r="DK260" s="13"/>
      <c r="DL260" s="5"/>
      <c r="DM260" s="12"/>
      <c r="DO260" s="13"/>
      <c r="DP260" s="5"/>
      <c r="DQ260" s="12"/>
      <c r="DS260" s="5"/>
      <c r="DV260" s="5"/>
      <c r="DW260" s="660">
        <f t="shared" si="1"/>
        <v>0</v>
      </c>
    </row>
    <row r="261" spans="1:128" s="6" customFormat="1" ht="15" customHeight="1">
      <c r="A261" s="3">
        <v>87</v>
      </c>
      <c r="B261" s="210" t="s">
        <v>319</v>
      </c>
      <c r="C261" s="473" t="s">
        <v>515</v>
      </c>
      <c r="D261" s="4"/>
      <c r="E261" s="5"/>
      <c r="F261" s="5"/>
      <c r="G261" s="4"/>
      <c r="H261" s="4"/>
      <c r="I261" s="4"/>
      <c r="J261" s="4"/>
      <c r="K261" s="5"/>
      <c r="L261" s="5"/>
      <c r="M261" s="5"/>
      <c r="O261" s="5"/>
      <c r="P261" s="5"/>
      <c r="Q261" s="5"/>
      <c r="S261" s="5"/>
      <c r="T261" s="5"/>
      <c r="U261" s="5"/>
      <c r="W261" s="5"/>
      <c r="X261" s="5"/>
      <c r="Y261" s="12"/>
      <c r="AA261" s="13"/>
      <c r="AB261" s="12"/>
      <c r="AD261" s="13"/>
      <c r="AE261" s="5"/>
      <c r="AF261" s="5"/>
      <c r="AH261" s="13"/>
      <c r="AI261" s="5"/>
      <c r="AK261" s="5"/>
      <c r="AL261" s="5"/>
      <c r="AM261" s="5"/>
      <c r="AO261" s="5"/>
      <c r="AP261" s="5"/>
      <c r="AR261" s="5"/>
      <c r="AS261" s="5"/>
      <c r="AT261" s="5"/>
      <c r="AV261" s="5"/>
      <c r="AW261" s="5"/>
      <c r="AY261" s="5"/>
      <c r="AZ261" s="5"/>
      <c r="BA261" s="5"/>
      <c r="BC261" s="5"/>
      <c r="BD261" s="5"/>
      <c r="BF261" s="5"/>
      <c r="BG261" s="5"/>
      <c r="BH261" s="5"/>
      <c r="BJ261" s="5"/>
      <c r="BK261" s="5"/>
      <c r="BL261" s="12"/>
      <c r="BM261" s="5"/>
      <c r="BN261" s="5"/>
      <c r="BO261" s="5"/>
      <c r="BQ261" s="5"/>
      <c r="BR261" s="5"/>
      <c r="BT261" s="5"/>
      <c r="BU261" s="5"/>
      <c r="BV261" s="5"/>
      <c r="BX261" s="5"/>
      <c r="BY261" s="5"/>
      <c r="CA261" s="13"/>
      <c r="CB261" s="7"/>
      <c r="CC261" s="11"/>
      <c r="CE261" s="13"/>
      <c r="CF261" s="5"/>
      <c r="CG261" s="12"/>
      <c r="CI261" s="13"/>
      <c r="CJ261" s="5"/>
      <c r="CK261" s="12"/>
      <c r="CM261" s="13"/>
      <c r="CN261" s="5"/>
      <c r="CO261" s="12"/>
      <c r="CQ261" s="13"/>
      <c r="CR261" s="5"/>
      <c r="CS261" s="12"/>
      <c r="CU261" s="13"/>
      <c r="CV261" s="5"/>
      <c r="CW261" s="12"/>
      <c r="CY261" s="13"/>
      <c r="CZ261" s="5"/>
      <c r="DA261" s="12"/>
      <c r="DC261" s="13"/>
      <c r="DD261" s="5"/>
      <c r="DE261" s="12"/>
      <c r="DG261" s="13"/>
      <c r="DH261" s="5"/>
      <c r="DI261" s="12"/>
      <c r="DK261" s="13"/>
      <c r="DL261" s="5"/>
      <c r="DM261" s="12"/>
      <c r="DO261" s="13"/>
      <c r="DP261" s="5"/>
      <c r="DQ261" s="12"/>
      <c r="DS261" s="5"/>
      <c r="DV261" s="5"/>
      <c r="DW261" s="660">
        <f t="shared" si="1"/>
        <v>0</v>
      </c>
    </row>
    <row r="262" spans="1:128" s="6" customFormat="1" ht="15" customHeight="1">
      <c r="A262" s="3">
        <v>88</v>
      </c>
      <c r="B262" s="210" t="s">
        <v>43</v>
      </c>
      <c r="C262" s="473" t="s">
        <v>515</v>
      </c>
      <c r="D262" s="4"/>
      <c r="E262" s="5"/>
      <c r="F262" s="5"/>
      <c r="G262" s="4"/>
      <c r="H262" s="4"/>
      <c r="I262" s="4"/>
      <c r="J262" s="4"/>
      <c r="K262" s="5"/>
      <c r="L262" s="5"/>
      <c r="M262" s="5">
        <f>C18</f>
        <v>0</v>
      </c>
      <c r="O262" s="5"/>
      <c r="P262" s="5"/>
      <c r="Q262" s="5"/>
      <c r="S262" s="5"/>
      <c r="T262" s="5"/>
      <c r="U262" s="5"/>
      <c r="W262" s="5"/>
      <c r="X262" s="5"/>
      <c r="Y262" s="12"/>
      <c r="AA262" s="13"/>
      <c r="AB262" s="12"/>
      <c r="AD262" s="13"/>
      <c r="AE262" s="5"/>
      <c r="AF262" s="5"/>
      <c r="AH262" s="13"/>
      <c r="AI262" s="5"/>
      <c r="AK262" s="5"/>
      <c r="AL262" s="5"/>
      <c r="AM262" s="5"/>
      <c r="AO262" s="5"/>
      <c r="AP262" s="5"/>
      <c r="AR262" s="5"/>
      <c r="AS262" s="5"/>
      <c r="AT262" s="5"/>
      <c r="AV262" s="5"/>
      <c r="AW262" s="5"/>
      <c r="AY262" s="5"/>
      <c r="AZ262" s="5"/>
      <c r="BA262" s="5"/>
      <c r="BC262" s="5"/>
      <c r="BD262" s="5"/>
      <c r="BF262" s="5"/>
      <c r="BG262" s="5"/>
      <c r="BH262" s="5"/>
      <c r="BJ262" s="5"/>
      <c r="BK262" s="5"/>
      <c r="BL262" s="12"/>
      <c r="BM262" s="5"/>
      <c r="BN262" s="5"/>
      <c r="BO262" s="5"/>
      <c r="BQ262" s="5"/>
      <c r="BR262" s="5"/>
      <c r="BT262" s="5"/>
      <c r="BU262" s="5"/>
      <c r="BV262" s="5"/>
      <c r="BX262" s="5"/>
      <c r="BY262" s="5"/>
      <c r="CA262" s="13"/>
      <c r="CB262" s="7"/>
      <c r="CC262" s="11"/>
      <c r="CE262" s="13"/>
      <c r="CF262" s="5"/>
      <c r="CG262" s="12"/>
      <c r="CI262" s="13"/>
      <c r="CJ262" s="5"/>
      <c r="CK262" s="12"/>
      <c r="CM262" s="13"/>
      <c r="CN262" s="5"/>
      <c r="CO262" s="12"/>
      <c r="CQ262" s="13"/>
      <c r="CR262" s="5"/>
      <c r="CS262" s="12"/>
      <c r="CU262" s="13"/>
      <c r="CV262" s="5"/>
      <c r="CW262" s="12"/>
      <c r="CY262" s="13"/>
      <c r="CZ262" s="5"/>
      <c r="DA262" s="12"/>
      <c r="DC262" s="13"/>
      <c r="DD262" s="5"/>
      <c r="DE262" s="12"/>
      <c r="DG262" s="13"/>
      <c r="DH262" s="5"/>
      <c r="DI262" s="12"/>
      <c r="DK262" s="13"/>
      <c r="DL262" s="5"/>
      <c r="DM262" s="12"/>
      <c r="DO262" s="13"/>
      <c r="DP262" s="5"/>
      <c r="DQ262" s="12"/>
      <c r="DS262" s="5"/>
      <c r="DV262" s="5"/>
      <c r="DW262" s="660">
        <f t="shared" si="1"/>
        <v>0</v>
      </c>
    </row>
    <row r="263" spans="1:128" s="6" customFormat="1" ht="15" customHeight="1">
      <c r="A263" s="3"/>
      <c r="B263" s="210" t="s">
        <v>512</v>
      </c>
      <c r="C263" s="473" t="s">
        <v>515</v>
      </c>
      <c r="D263" s="4"/>
      <c r="E263" s="5"/>
      <c r="F263" s="5"/>
      <c r="G263" s="4"/>
      <c r="H263" s="4"/>
      <c r="I263" s="4"/>
      <c r="J263" s="4"/>
      <c r="K263" s="5"/>
      <c r="L263" s="5"/>
      <c r="M263" s="5"/>
      <c r="O263" s="5"/>
      <c r="P263" s="5"/>
      <c r="Q263" s="5"/>
      <c r="S263" s="5"/>
      <c r="T263" s="5"/>
      <c r="U263" s="5"/>
      <c r="W263" s="5"/>
      <c r="X263" s="5"/>
      <c r="Y263" s="12"/>
      <c r="AA263" s="13"/>
      <c r="AB263" s="12"/>
      <c r="AD263" s="13"/>
      <c r="AE263" s="5"/>
      <c r="AF263" s="5"/>
      <c r="AH263" s="13"/>
      <c r="AI263" s="5"/>
      <c r="AK263" s="5"/>
      <c r="AL263" s="5"/>
      <c r="AM263" s="5"/>
      <c r="AO263" s="5"/>
      <c r="AP263" s="5"/>
      <c r="AR263" s="5"/>
      <c r="AS263" s="5"/>
      <c r="AT263" s="5"/>
      <c r="AV263" s="5"/>
      <c r="AW263" s="5"/>
      <c r="AY263" s="5"/>
      <c r="AZ263" s="5"/>
      <c r="BA263" s="5"/>
      <c r="BC263" s="5"/>
      <c r="BD263" s="5"/>
      <c r="BF263" s="5"/>
      <c r="BG263" s="5"/>
      <c r="BH263" s="5"/>
      <c r="BJ263" s="5"/>
      <c r="BK263" s="5"/>
      <c r="BL263" s="12"/>
      <c r="BM263" s="5"/>
      <c r="BN263" s="5"/>
      <c r="BO263" s="5"/>
      <c r="BQ263" s="5"/>
      <c r="BR263" s="5"/>
      <c r="BT263" s="5"/>
      <c r="BU263" s="5"/>
      <c r="BV263" s="5"/>
      <c r="BX263" s="5"/>
      <c r="BY263" s="5"/>
      <c r="CA263" s="13"/>
      <c r="CB263" s="7"/>
      <c r="CC263" s="11"/>
      <c r="CE263" s="13"/>
      <c r="CF263" s="5"/>
      <c r="CG263" s="12"/>
      <c r="CI263" s="13"/>
      <c r="CJ263" s="5"/>
      <c r="CK263" s="12"/>
      <c r="CM263" s="13"/>
      <c r="CN263" s="5"/>
      <c r="CO263" s="12"/>
      <c r="CQ263" s="13"/>
      <c r="CR263" s="5"/>
      <c r="CS263" s="12"/>
      <c r="CU263" s="13"/>
      <c r="CV263" s="5"/>
      <c r="CW263" s="12"/>
      <c r="CY263" s="13"/>
      <c r="CZ263" s="5"/>
      <c r="DA263" s="12"/>
      <c r="DC263" s="13"/>
      <c r="DD263" s="5"/>
      <c r="DE263" s="12"/>
      <c r="DG263" s="13"/>
      <c r="DH263" s="5"/>
      <c r="DI263" s="12"/>
      <c r="DK263" s="13"/>
      <c r="DL263" s="5"/>
      <c r="DM263" s="12"/>
      <c r="DO263" s="13"/>
      <c r="DP263" s="5"/>
      <c r="DQ263" s="12"/>
      <c r="DS263" s="5"/>
      <c r="DV263" s="5"/>
      <c r="DW263" s="660">
        <f t="shared" si="1"/>
        <v>0</v>
      </c>
    </row>
    <row r="264" spans="1:128" s="6" customFormat="1" ht="15" customHeight="1">
      <c r="A264" s="3"/>
      <c r="B264" s="210" t="s">
        <v>1473</v>
      </c>
      <c r="C264" s="473" t="s">
        <v>0</v>
      </c>
      <c r="D264" s="4"/>
      <c r="E264" s="5"/>
      <c r="F264" s="5"/>
      <c r="G264" s="4"/>
      <c r="H264" s="4"/>
      <c r="I264" s="4"/>
      <c r="J264" s="4"/>
      <c r="K264" s="5"/>
      <c r="L264" s="5"/>
      <c r="M264" s="5"/>
      <c r="O264" s="5"/>
      <c r="P264" s="5"/>
      <c r="Q264" s="5"/>
      <c r="S264" s="5"/>
      <c r="T264" s="5"/>
      <c r="U264" s="5"/>
      <c r="W264" s="5"/>
      <c r="X264" s="5"/>
      <c r="Y264" s="12"/>
      <c r="AA264" s="13"/>
      <c r="AB264" s="12"/>
      <c r="AD264" s="13"/>
      <c r="AE264" s="5"/>
      <c r="AF264" s="5"/>
      <c r="AH264" s="13"/>
      <c r="AI264" s="5"/>
      <c r="AK264" s="5"/>
      <c r="AL264" s="5"/>
      <c r="AM264" s="5"/>
      <c r="AO264" s="5"/>
      <c r="AP264" s="5"/>
      <c r="AR264" s="5"/>
      <c r="AS264" s="5"/>
      <c r="AT264" s="5"/>
      <c r="AV264" s="5"/>
      <c r="AW264" s="5"/>
      <c r="AY264" s="5"/>
      <c r="AZ264" s="5"/>
      <c r="BA264" s="5"/>
      <c r="BC264" s="5"/>
      <c r="BD264" s="5"/>
      <c r="BF264" s="5"/>
      <c r="BG264" s="5"/>
      <c r="BH264" s="5"/>
      <c r="BJ264" s="5"/>
      <c r="BK264" s="5"/>
      <c r="BL264" s="12"/>
      <c r="BM264" s="5"/>
      <c r="BN264" s="5"/>
      <c r="BO264" s="5"/>
      <c r="BQ264" s="5"/>
      <c r="BR264" s="5"/>
      <c r="BT264" s="5"/>
      <c r="BU264" s="5"/>
      <c r="BV264" s="5"/>
      <c r="BX264" s="5"/>
      <c r="BY264" s="5"/>
      <c r="CA264" s="13"/>
      <c r="CB264" s="7"/>
      <c r="CC264" s="11"/>
      <c r="CE264" s="13"/>
      <c r="CF264" s="5"/>
      <c r="CG264" s="12"/>
      <c r="CI264" s="13"/>
      <c r="CJ264" s="5"/>
      <c r="CK264" s="12"/>
      <c r="CM264" s="13"/>
      <c r="CN264" s="5"/>
      <c r="CO264" s="12"/>
      <c r="CQ264" s="13"/>
      <c r="CR264" s="5"/>
      <c r="CS264" s="12"/>
      <c r="CU264" s="13"/>
      <c r="CV264" s="5"/>
      <c r="CW264" s="12"/>
      <c r="CY264" s="13"/>
      <c r="CZ264" s="5"/>
      <c r="DA264" s="12"/>
      <c r="DC264" s="13"/>
      <c r="DD264" s="5"/>
      <c r="DE264" s="12"/>
      <c r="DG264" s="13"/>
      <c r="DH264" s="5"/>
      <c r="DI264" s="12"/>
      <c r="DK264" s="13"/>
      <c r="DL264" s="5"/>
      <c r="DM264" s="12"/>
      <c r="DO264" s="13"/>
      <c r="DP264" s="5"/>
      <c r="DQ264" s="12"/>
      <c r="DS264" s="5"/>
      <c r="DV264" s="5"/>
      <c r="DW264" s="660">
        <f t="shared" si="1"/>
        <v>0</v>
      </c>
    </row>
    <row r="265" spans="1:128" s="6" customFormat="1" ht="15" customHeight="1">
      <c r="A265" s="3">
        <v>89</v>
      </c>
      <c r="B265" s="210" t="s">
        <v>51</v>
      </c>
      <c r="C265" s="473" t="s">
        <v>516</v>
      </c>
      <c r="D265" s="4"/>
      <c r="E265" s="5"/>
      <c r="F265" s="5"/>
      <c r="G265" s="4"/>
      <c r="H265" s="4"/>
      <c r="I265" s="4"/>
      <c r="J265" s="4"/>
      <c r="K265" s="5">
        <f>C15*0.05516</f>
        <v>0</v>
      </c>
      <c r="L265" s="5"/>
      <c r="M265" s="5">
        <f>K265+K265*3%</f>
        <v>0</v>
      </c>
      <c r="O265" s="5"/>
      <c r="P265" s="5"/>
      <c r="Q265" s="5"/>
      <c r="S265" s="5"/>
      <c r="T265" s="5"/>
      <c r="U265" s="5"/>
      <c r="W265" s="5"/>
      <c r="X265" s="5"/>
      <c r="Y265" s="12"/>
      <c r="AA265" s="13"/>
      <c r="AB265" s="12"/>
      <c r="AD265" s="13"/>
      <c r="AE265" s="5"/>
      <c r="AF265" s="5"/>
      <c r="AH265" s="13"/>
      <c r="AI265" s="5"/>
      <c r="AK265" s="5"/>
      <c r="AL265" s="5"/>
      <c r="AM265" s="5"/>
      <c r="AO265" s="5"/>
      <c r="AP265" s="5"/>
      <c r="AR265" s="5"/>
      <c r="AS265" s="5"/>
      <c r="AT265" s="5"/>
      <c r="AV265" s="5"/>
      <c r="AW265" s="5"/>
      <c r="AY265" s="5"/>
      <c r="AZ265" s="5"/>
      <c r="BA265" s="5"/>
      <c r="BC265" s="5"/>
      <c r="BD265" s="5"/>
      <c r="BF265" s="5"/>
      <c r="BG265" s="5"/>
      <c r="BH265" s="5"/>
      <c r="BJ265" s="5"/>
      <c r="BK265" s="5"/>
      <c r="BL265" s="12"/>
      <c r="BM265" s="5"/>
      <c r="BN265" s="5"/>
      <c r="BO265" s="5"/>
      <c r="BQ265" s="5"/>
      <c r="BR265" s="5"/>
      <c r="BT265" s="5"/>
      <c r="BU265" s="5"/>
      <c r="BV265" s="5"/>
      <c r="BX265" s="5"/>
      <c r="BY265" s="5"/>
      <c r="CA265" s="13"/>
      <c r="CB265" s="7"/>
      <c r="CC265" s="11"/>
      <c r="CE265" s="13"/>
      <c r="CF265" s="5"/>
      <c r="CG265" s="12"/>
      <c r="CI265" s="13"/>
      <c r="CJ265" s="5"/>
      <c r="CK265" s="12"/>
      <c r="CM265" s="13"/>
      <c r="CN265" s="5"/>
      <c r="CO265" s="12"/>
      <c r="CQ265" s="13"/>
      <c r="CR265" s="5"/>
      <c r="CS265" s="12"/>
      <c r="CU265" s="13"/>
      <c r="CV265" s="5"/>
      <c r="CW265" s="12"/>
      <c r="CY265" s="13"/>
      <c r="CZ265" s="5"/>
      <c r="DA265" s="12"/>
      <c r="DC265" s="13"/>
      <c r="DD265" s="5"/>
      <c r="DE265" s="12"/>
      <c r="DG265" s="13"/>
      <c r="DH265" s="5"/>
      <c r="DI265" s="12"/>
      <c r="DK265" s="13"/>
      <c r="DL265" s="5"/>
      <c r="DM265" s="12"/>
      <c r="DO265" s="13"/>
      <c r="DP265" s="5"/>
      <c r="DQ265" s="12"/>
      <c r="DS265" s="5"/>
      <c r="DV265" s="5"/>
      <c r="DW265" s="660">
        <f t="shared" si="1"/>
        <v>0</v>
      </c>
    </row>
    <row r="266" spans="1:128" s="196" customFormat="1" ht="15" customHeight="1">
      <c r="A266" s="197"/>
      <c r="B266" s="210" t="s">
        <v>507</v>
      </c>
      <c r="C266" s="473" t="s">
        <v>386</v>
      </c>
      <c r="D266" s="198"/>
      <c r="E266" s="199"/>
      <c r="F266" s="199"/>
      <c r="G266" s="198"/>
      <c r="H266" s="4"/>
      <c r="I266" s="4"/>
      <c r="J266" s="198"/>
      <c r="K266" s="199"/>
      <c r="L266" s="199"/>
      <c r="M266" s="199"/>
      <c r="O266" s="199"/>
      <c r="P266" s="199"/>
      <c r="Q266" s="199"/>
      <c r="S266" s="199"/>
      <c r="T266" s="199"/>
      <c r="U266" s="199"/>
      <c r="W266" s="199"/>
      <c r="X266" s="199"/>
      <c r="Y266" s="200"/>
      <c r="AA266" s="201"/>
      <c r="AB266" s="200"/>
      <c r="AD266" s="201"/>
      <c r="AE266" s="199"/>
      <c r="AF266" s="199"/>
      <c r="AH266" s="201"/>
      <c r="AI266" s="199"/>
      <c r="AK266" s="199"/>
      <c r="AL266" s="199"/>
      <c r="AM266" s="199"/>
      <c r="AO266" s="199"/>
      <c r="AP266" s="199"/>
      <c r="AR266" s="199"/>
      <c r="AS266" s="199"/>
      <c r="AT266" s="199"/>
      <c r="AV266" s="199"/>
      <c r="AW266" s="199"/>
      <c r="AY266" s="199"/>
      <c r="AZ266" s="199"/>
      <c r="BA266" s="199"/>
      <c r="BC266" s="199"/>
      <c r="BD266" s="199"/>
      <c r="BF266" s="199"/>
      <c r="BG266" s="199"/>
      <c r="BH266" s="199"/>
      <c r="BJ266" s="199"/>
      <c r="BK266" s="199"/>
      <c r="BL266" s="200"/>
      <c r="BM266" s="199"/>
      <c r="BN266" s="199"/>
      <c r="BO266" s="199"/>
      <c r="BQ266" s="199"/>
      <c r="BR266" s="199"/>
      <c r="BT266" s="199"/>
      <c r="BU266" s="199"/>
      <c r="BV266" s="199"/>
      <c r="BX266" s="199"/>
      <c r="BY266" s="199"/>
      <c r="CA266" s="201">
        <v>0.3</v>
      </c>
      <c r="CB266" s="196">
        <f>SUM(CB5:CC26)*CA266</f>
        <v>0</v>
      </c>
      <c r="CC266" s="202"/>
      <c r="CE266" s="201">
        <v>0.3</v>
      </c>
      <c r="CF266" s="196">
        <f>CF5*CE266+CG5*CE266+CF6*CE266+CG6*CE266+CF7*CE266+CG7*CE266+CF8*CE266+CG8*CE266+CF9*CE266+CG9*CE266+CF10*CE266+CG10*CE266+CF11*CE266+CG11*CE266+CF12*CE266+CG12*CE266+CF13*CE266+CG13*CE266+CF14*CE266+CG14*CE266+CF15*CE266+CG15*CE266+CF16*CE266+CG16*CE266+CF17*CE266+CG17*CE266+CF18*CE266+CG18*CE266+CF19*CE266+CG19*CE266+CF20*CE266+CG20*CE266+CF21*CE266+CG21*CE266+CF22*CE266+CG22*CE266+CF23*CE266+CG23*CE266+CF24*CE266+CG24*CE266+CF25*CE266+CG25*CE266+CF26*CE266+CG26*CE266+CH5*CE266+CH6*CE266+CH7*CE266+CH8*CE266+CH9*CE266+CH10*CE266+CH11*CE266+CF19*CE266+CH12*CE266+CH13*CE266+CH14*CE266+CH15*CE266+CH16*CE266+CH17*CE266+CH18*CE266+CH19*CE266+CH20*CE266+CH21*CE266+CH22*CE266+CH23*CE266+CH24*CE266+CH25*CE266+CH26*CE266</f>
        <v>0</v>
      </c>
      <c r="CG266" s="200"/>
      <c r="CI266" s="201">
        <v>0.3</v>
      </c>
      <c r="CJ266" s="196">
        <f>SUM(CJ5:CK26)*CI266</f>
        <v>0</v>
      </c>
      <c r="CK266" s="200"/>
      <c r="CM266" s="201">
        <v>0.3</v>
      </c>
      <c r="CN266" s="196">
        <f>SUM(CN5:CO26)*CM266</f>
        <v>0</v>
      </c>
      <c r="CO266" s="200"/>
      <c r="CP266" s="6"/>
      <c r="CQ266" s="201">
        <v>0.3</v>
      </c>
      <c r="CR266" s="196">
        <f>SUM(CR5:CS26)*CQ266</f>
        <v>0</v>
      </c>
      <c r="CS266" s="200"/>
      <c r="CU266" s="201">
        <v>0.3</v>
      </c>
      <c r="CV266" s="196">
        <f>SUM(CV5:CW26)*CU266</f>
        <v>0</v>
      </c>
      <c r="CW266" s="200"/>
      <c r="CY266" s="201"/>
      <c r="CZ266" s="199"/>
      <c r="DA266" s="200"/>
      <c r="DC266" s="201"/>
      <c r="DD266" s="199"/>
      <c r="DE266" s="200"/>
      <c r="DG266" s="201"/>
      <c r="DH266" s="199"/>
      <c r="DI266" s="200"/>
      <c r="DK266" s="201"/>
      <c r="DL266" s="199"/>
      <c r="DM266" s="200"/>
      <c r="DO266" s="201"/>
      <c r="DP266" s="199"/>
      <c r="DQ266" s="200"/>
      <c r="DS266" s="199"/>
      <c r="DV266" s="199"/>
      <c r="DW266" s="660">
        <f t="shared" si="1"/>
        <v>0</v>
      </c>
      <c r="DX266" s="6"/>
    </row>
    <row r="267" spans="1:128" s="196" customFormat="1" ht="15" customHeight="1">
      <c r="A267" s="197"/>
      <c r="B267" s="210" t="s">
        <v>1510</v>
      </c>
      <c r="C267" s="473" t="s">
        <v>386</v>
      </c>
      <c r="D267" s="198"/>
      <c r="E267" s="199"/>
      <c r="F267" s="199"/>
      <c r="G267" s="198"/>
      <c r="H267" s="4"/>
      <c r="I267" s="4"/>
      <c r="J267" s="198"/>
      <c r="K267" s="199"/>
      <c r="L267" s="199"/>
      <c r="M267" s="199"/>
      <c r="O267" s="199"/>
      <c r="P267" s="199"/>
      <c r="Q267" s="199"/>
      <c r="S267" s="199"/>
      <c r="T267" s="199"/>
      <c r="U267" s="199"/>
      <c r="W267" s="199"/>
      <c r="X267" s="199"/>
      <c r="Y267" s="200"/>
      <c r="AA267" s="201"/>
      <c r="AB267" s="200"/>
      <c r="AD267" s="201"/>
      <c r="AE267" s="199"/>
      <c r="AF267" s="199"/>
      <c r="AH267" s="201"/>
      <c r="AI267" s="199"/>
      <c r="AK267" s="199"/>
      <c r="AL267" s="199"/>
      <c r="AM267" s="199"/>
      <c r="AO267" s="199"/>
      <c r="AP267" s="199"/>
      <c r="AR267" s="199"/>
      <c r="AS267" s="199"/>
      <c r="AT267" s="199"/>
      <c r="AV267" s="199"/>
      <c r="AW267" s="199"/>
      <c r="AY267" s="199"/>
      <c r="AZ267" s="199"/>
      <c r="BA267" s="199"/>
      <c r="BC267" s="199"/>
      <c r="BD267" s="199"/>
      <c r="BF267" s="199"/>
      <c r="BG267" s="199"/>
      <c r="BH267" s="199"/>
      <c r="BJ267" s="199"/>
      <c r="BK267" s="199"/>
      <c r="BL267" s="200"/>
      <c r="BM267" s="199"/>
      <c r="BN267" s="199"/>
      <c r="BO267" s="199"/>
      <c r="BQ267" s="199"/>
      <c r="BR267" s="199"/>
      <c r="BT267" s="199"/>
      <c r="BU267" s="199"/>
      <c r="BV267" s="199"/>
      <c r="BX267" s="199"/>
      <c r="BY267" s="199"/>
      <c r="CA267" s="201"/>
      <c r="CC267" s="202"/>
      <c r="CE267" s="201"/>
      <c r="CG267" s="200"/>
      <c r="CI267" s="201"/>
      <c r="CK267" s="200"/>
      <c r="CM267" s="201"/>
      <c r="CO267" s="200"/>
      <c r="CP267" s="6"/>
      <c r="CQ267" s="201"/>
      <c r="CS267" s="200"/>
      <c r="CU267" s="201"/>
      <c r="CW267" s="200"/>
      <c r="CY267" s="201"/>
      <c r="CZ267" s="199"/>
      <c r="DA267" s="200"/>
      <c r="DC267" s="201"/>
      <c r="DD267" s="199"/>
      <c r="DE267" s="200"/>
      <c r="DG267" s="201"/>
      <c r="DH267" s="199"/>
      <c r="DI267" s="200"/>
      <c r="DK267" s="201"/>
      <c r="DL267" s="199"/>
      <c r="DM267" s="200"/>
      <c r="DO267" s="201"/>
      <c r="DP267" s="199"/>
      <c r="DQ267" s="200"/>
      <c r="DS267" s="199"/>
      <c r="DV267" s="199"/>
      <c r="DW267" s="660">
        <f t="shared" si="1"/>
        <v>0</v>
      </c>
      <c r="DX267" s="6"/>
    </row>
    <row r="268" spans="1:128" s="6" customFormat="1" ht="15" customHeight="1">
      <c r="A268" s="3">
        <v>90</v>
      </c>
      <c r="B268" s="210" t="s">
        <v>13</v>
      </c>
      <c r="C268" s="473" t="s">
        <v>515</v>
      </c>
      <c r="D268" s="4"/>
      <c r="E268" s="5"/>
      <c r="F268" s="5"/>
      <c r="G268" s="4"/>
      <c r="H268" s="4"/>
      <c r="I268" s="4"/>
      <c r="J268" s="4"/>
      <c r="K268" s="5"/>
      <c r="L268" s="5"/>
      <c r="M268" s="5"/>
      <c r="O268" s="5"/>
      <c r="P268" s="5"/>
      <c r="Q268" s="5"/>
      <c r="S268" s="5"/>
      <c r="T268" s="5"/>
      <c r="U268" s="5"/>
      <c r="W268" s="5"/>
      <c r="X268" s="5"/>
      <c r="Y268" s="12"/>
      <c r="AA268" s="13"/>
      <c r="AB268" s="12"/>
      <c r="AD268" s="13"/>
      <c r="AE268" s="5"/>
      <c r="AF268" s="5"/>
      <c r="AH268" s="13"/>
      <c r="AI268" s="5"/>
      <c r="AK268" s="5"/>
      <c r="AL268" s="5"/>
      <c r="AM268" s="5"/>
      <c r="AO268" s="5"/>
      <c r="AP268" s="5"/>
      <c r="AR268" s="5"/>
      <c r="AS268" s="5"/>
      <c r="AT268" s="5"/>
      <c r="AV268" s="5"/>
      <c r="AW268" s="5"/>
      <c r="AY268" s="5"/>
      <c r="AZ268" s="5"/>
      <c r="BA268" s="5"/>
      <c r="BC268" s="5"/>
      <c r="BD268" s="5"/>
      <c r="BF268" s="5"/>
      <c r="BG268" s="5"/>
      <c r="BH268" s="5"/>
      <c r="BJ268" s="5"/>
      <c r="BK268" s="5"/>
      <c r="BL268" s="12"/>
      <c r="BM268" s="5"/>
      <c r="BN268" s="5"/>
      <c r="BO268" s="5"/>
      <c r="BQ268" s="5"/>
      <c r="BR268" s="5"/>
      <c r="BT268" s="5"/>
      <c r="BU268" s="5"/>
      <c r="BV268" s="5"/>
      <c r="BX268" s="5"/>
      <c r="BY268" s="5"/>
      <c r="CA268" s="13"/>
      <c r="CB268" s="7"/>
      <c r="CC268" s="11"/>
      <c r="CE268" s="13"/>
      <c r="CF268" s="5"/>
      <c r="CG268" s="12"/>
      <c r="CI268" s="13"/>
      <c r="CJ268" s="5"/>
      <c r="CK268" s="12"/>
      <c r="CM268" s="13"/>
      <c r="CN268" s="5"/>
      <c r="CO268" s="12"/>
      <c r="CQ268" s="13"/>
      <c r="CR268" s="5"/>
      <c r="CS268" s="12"/>
      <c r="CU268" s="13"/>
      <c r="CV268" s="5"/>
      <c r="CW268" s="12"/>
      <c r="CY268" s="13"/>
      <c r="CZ268" s="5"/>
      <c r="DA268" s="12"/>
      <c r="DC268" s="13"/>
      <c r="DD268" s="5"/>
      <c r="DE268" s="12"/>
      <c r="DG268" s="13"/>
      <c r="DH268" s="5"/>
      <c r="DI268" s="12"/>
      <c r="DK268" s="13"/>
      <c r="DL268" s="5"/>
      <c r="DM268" s="12"/>
      <c r="DO268" s="13"/>
      <c r="DP268" s="5"/>
      <c r="DQ268" s="12"/>
      <c r="DS268" s="5"/>
      <c r="DV268" s="5"/>
      <c r="DW268" s="660">
        <f t="shared" si="1"/>
        <v>0</v>
      </c>
    </row>
    <row r="269" spans="1:128" s="6" customFormat="1" ht="15" customHeight="1">
      <c r="A269" s="3">
        <v>91</v>
      </c>
      <c r="B269" s="210" t="s">
        <v>174</v>
      </c>
      <c r="C269" s="473" t="s">
        <v>515</v>
      </c>
      <c r="D269" s="4"/>
      <c r="E269" s="5"/>
      <c r="F269" s="5"/>
      <c r="G269" s="4"/>
      <c r="H269" s="4"/>
      <c r="I269" s="4"/>
      <c r="J269" s="4"/>
      <c r="K269" s="5"/>
      <c r="L269" s="5"/>
      <c r="M269" s="5"/>
      <c r="O269" s="5"/>
      <c r="P269" s="5"/>
      <c r="Q269" s="5"/>
      <c r="S269" s="5"/>
      <c r="T269" s="5"/>
      <c r="U269" s="5"/>
      <c r="W269" s="5"/>
      <c r="X269" s="5"/>
      <c r="Y269" s="12"/>
      <c r="AA269" s="13"/>
      <c r="AB269" s="12"/>
      <c r="AD269" s="13"/>
      <c r="AE269" s="5"/>
      <c r="AF269" s="5"/>
      <c r="AH269" s="13"/>
      <c r="AI269" s="5"/>
      <c r="AK269" s="5"/>
      <c r="AL269" s="5"/>
      <c r="AM269" s="5"/>
      <c r="AO269" s="5"/>
      <c r="AP269" s="5"/>
      <c r="AR269" s="5"/>
      <c r="AS269" s="5"/>
      <c r="AT269" s="5"/>
      <c r="AV269" s="5"/>
      <c r="AW269" s="5"/>
      <c r="AY269" s="5"/>
      <c r="AZ269" s="5"/>
      <c r="BA269" s="5"/>
      <c r="BC269" s="5"/>
      <c r="BD269" s="5"/>
      <c r="BF269" s="5"/>
      <c r="BG269" s="5"/>
      <c r="BH269" s="5"/>
      <c r="BJ269" s="5"/>
      <c r="BK269" s="5"/>
      <c r="BL269" s="12"/>
      <c r="BM269" s="5"/>
      <c r="BN269" s="5"/>
      <c r="BO269" s="5"/>
      <c r="BQ269" s="5"/>
      <c r="BR269" s="5"/>
      <c r="BT269" s="5"/>
      <c r="BU269" s="5"/>
      <c r="BV269" s="5"/>
      <c r="BX269" s="5"/>
      <c r="BY269" s="5"/>
      <c r="CA269" s="13"/>
      <c r="CB269" s="7"/>
      <c r="CC269" s="11"/>
      <c r="CE269" s="13">
        <v>1</v>
      </c>
      <c r="CF269" s="5">
        <f>SUM(CF5:CG26)*CE269</f>
        <v>0</v>
      </c>
      <c r="CG269" s="12"/>
      <c r="CI269" s="13">
        <v>1</v>
      </c>
      <c r="CJ269" s="5">
        <f>SUM(CJ5:CK26)*CI269</f>
        <v>0</v>
      </c>
      <c r="CK269" s="12"/>
      <c r="CM269" s="13">
        <v>1</v>
      </c>
      <c r="CN269" s="5">
        <f>SUM(CN5:CO26)*CM269</f>
        <v>0</v>
      </c>
      <c r="CO269" s="12"/>
      <c r="CQ269" s="13">
        <v>1</v>
      </c>
      <c r="CR269" s="5">
        <f>SUM(CR5:CS26)*CQ269</f>
        <v>0</v>
      </c>
      <c r="CS269" s="12"/>
      <c r="CU269" s="13">
        <v>1</v>
      </c>
      <c r="CV269" s="5">
        <f>SUM(CV5:CW26)*CU269</f>
        <v>0</v>
      </c>
      <c r="CW269" s="12"/>
      <c r="CY269" s="13">
        <v>1</v>
      </c>
      <c r="CZ269" s="5">
        <f>SUM(CZ5:DA26)*CY269</f>
        <v>0</v>
      </c>
      <c r="DA269" s="12"/>
      <c r="DC269" s="13">
        <v>1</v>
      </c>
      <c r="DD269" s="5">
        <f>SUM(DD5:DE26)*DC269</f>
        <v>0</v>
      </c>
      <c r="DE269" s="12"/>
      <c r="DG269" s="13">
        <v>1</v>
      </c>
      <c r="DH269" s="5">
        <f>SUM(DH5:DI26)*DG269</f>
        <v>0</v>
      </c>
      <c r="DI269" s="12"/>
      <c r="DK269" s="13">
        <v>1</v>
      </c>
      <c r="DL269" s="5">
        <f>SUM(DL5:DM26)*DK269</f>
        <v>0</v>
      </c>
      <c r="DM269" s="12"/>
      <c r="DO269" s="13">
        <v>1</v>
      </c>
      <c r="DP269" s="5">
        <f>SUM(DP5:DQ26)*DO269</f>
        <v>0</v>
      </c>
      <c r="DQ269" s="12"/>
      <c r="DS269" s="5"/>
      <c r="DV269" s="5"/>
      <c r="DW269" s="660">
        <f t="shared" si="1"/>
        <v>0</v>
      </c>
    </row>
    <row r="270" spans="1:128" s="6" customFormat="1" ht="15" customHeight="1">
      <c r="A270" s="3">
        <v>92</v>
      </c>
      <c r="B270" s="210" t="s">
        <v>15</v>
      </c>
      <c r="C270" s="473" t="s">
        <v>515</v>
      </c>
      <c r="D270" s="4"/>
      <c r="E270" s="5"/>
      <c r="F270" s="5"/>
      <c r="G270" s="4"/>
      <c r="H270" s="4"/>
      <c r="I270" s="4"/>
      <c r="J270" s="4"/>
      <c r="K270" s="5"/>
      <c r="L270" s="5"/>
      <c r="M270" s="5"/>
      <c r="O270" s="5"/>
      <c r="P270" s="5"/>
      <c r="Q270" s="5"/>
      <c r="S270" s="5">
        <v>1</v>
      </c>
      <c r="T270" s="5">
        <f>T5*S270+T6*S270+T7*S270+T8*S270+T9*S270+T10*S270+T11*S270+T12*S270+T13*S270+T14*S270+T15*S270+T16*S270+T17*S270+T18*S270+T19*S270+T20*S270+T21*S270+T22*S270+T23*S270+T24*S270+T25*S270+T26*S270+U5*S270+U6*S270+U7*S270+U8*S270+U9*S270+U10*S270+U11*S270+U12*S270+U13*S270+U14*S270+U15*S270+U16*S270+U17*S270+U18*S270+U19*S270+U20*S270+U21*S270+U22*S270+U23*S270+U24*S270+U25*S270+U26*S270</f>
        <v>0</v>
      </c>
      <c r="U270" s="5"/>
      <c r="W270" s="5">
        <v>1</v>
      </c>
      <c r="X270" s="5">
        <f>X5*W270+X6*W270+X7*W270+X8*W270+X9*W270+X10*W270+X11*W270+X12*W270+X13*W270+X14*W270+X15*W270+X16*W270+X17*W270+X18*W270+X19*W270+X20*W270+X21*W270+X22*W270+X23*W270+X24*W270+X25*W270+X26*W270+Y5*W270+Y6*W270+Y7*W270+Y8*W270+Y9*W270+Y10*W270+Y11*W270+Y12*W270+Y13*W270+Y14*W270+Y15*W270+Y16*W270+Y17*W270+Y18*W270+Y19*W270+Y20*W270+Y21*W270+Y22*W270+Y23*W270+Y24*W270+Y25*W270+Y26*W270</f>
        <v>0</v>
      </c>
      <c r="Y270" s="12"/>
      <c r="AA270" s="13">
        <v>1</v>
      </c>
      <c r="AB270" s="12">
        <f>AB5*AA270+AB6*AA270+AB7*AA270+AB8*AA270+AB9*AA270+AB10*AA270+AB11*AA270+AB12*AA270+AB13*AA270+AB14*AA270+AB15*AA270+AB16*AA270+AB17*AA270+AB18*AA270+AB19*AA270+AB20*AA270+AB21*AA270+AB22*AA270+AB23*AA270+AB24*AA270+AB25*AA270+AB26*AA270+AC5*AA270+AC6*AA270+AC7*AA270+AC8*AA270+AC9*AA270+AC10*AA270+AC11*AA270+AC12*AA270+AC13*AA270+AC14*AA270+AC15*AA270+AC16*AA270+AC17*AA270+AC18*AA270+AC19*AA270+AC20*AA270+AC21*AA270+AC22*AA270+AC23*AA270+AC24*AA270+AC25*AA270+AC26*AA270</f>
        <v>0</v>
      </c>
      <c r="AD270" s="13">
        <v>1</v>
      </c>
      <c r="AE270" s="5">
        <f>AE5*AD270+AF5*AD270+AE6*AD270+AF6*AD270+AE7*AD270+AF7*AD270+AE8*AD270+AF8*AD270+AE9*AD270+AF9*AD270+AE10*AD270+AF10*AD270+AE11*AD270+AF11*AD270+AE12*AD270+AF12*AD270+AE13*AD270+AF13*AD270+AE14*AD270+AF14*AD270+AE15*AD270+AF15*AD270+AE16*AD270+AF16*AD270+AE17*AD270+AF17*AD270+AE18*AD270+AF18*AD270+AE19*AD270+AF19*AD270+AE20*AD270+AF20*AD270+AE21*AD270+AF21*AD270+AE22*AD270+AF22*AD270+AE23*AD270+AF23*AD270+AE24*AD270+AF24*AD270+AE25*AD270+AF25*AD270+AE26*AD270+AF26*AD270</f>
        <v>0</v>
      </c>
      <c r="AF270" s="5"/>
      <c r="AH270" s="13">
        <v>1</v>
      </c>
      <c r="AI270" s="5">
        <f>AI5*AH270+AJ5*AH270+AI6*AH270+AJ6*AH270+AI7*AH270+AJ7*AH270+AI8*AH270+AJ8*AH270+AI9*AH270+AJ9*AH270+AI10*AH270+AJ10*AH270+AI11*AH270+AJ11*AH270+AI12*AH270+AJ12*AH270+AI13*AH270+AJ13*AH270+AI14*AH270+AJ14*AH270+AI15*AH270+AJ15*AH270+AI16*AH270+AJ16*AH270+AI17*AH270+AJ17*AH270+AI18*AH270+AJ18*AH270+AI19*AH270+AJ19*AH270+AI20*AH270+AJ20*AH270+AI21*AH270+AJ21*AH270+AI22*AH270+AJ22*AH270+AI23*AH270+AJ23*AH270+AI24*AH270+AJ24*AH270+AI25*AH270+AJ25*AH270+AI26*AH270+AJ26*AH270</f>
        <v>0</v>
      </c>
      <c r="AK270" s="5">
        <v>1</v>
      </c>
      <c r="AL270" s="5">
        <f>AL5*AK270+AM5*AK270+AL6*AK270+AM6*AK270+AL7*AK270+AM7*AK270+AL8*AK270+AM8*AK270+AL9*AK270+AM9*AK270+AL10*AK270+AM10*AK270+AL11*AK270+AM11*AK270+AL12*AK270+AM12*AK270+AL13*AK270+AM13*AK270+AL14*AK270+AM14*AK270+AL15*AK270+AM15*AK270+AL16*AK270+AM16*AK270+AL17*AK270+AM17*AK270+AL18*AK270+AM18*AK270+AL19*AK270+AM19*AK270+AL20*AK270+AM20*AK270+AL21*AK270+AM21*AK270+AL22*AK270+AM22*AK270+AL23*AK270+AM23*AK270+AL24*AK270+AM24*AK270+AL25*AK270+AM25*AK270+AL26*AK270+AM26*AK270</f>
        <v>0</v>
      </c>
      <c r="AM270" s="5"/>
      <c r="AO270" s="5">
        <v>1</v>
      </c>
      <c r="AP270" s="5">
        <f>AP5*AO270+AQ5*AO270+AP6*AO270+AQ6*AO270+AP7*AO270+AQ7*AO270+AP8*AO270+AQ8*AO270+AP9*AO270+AQ9*AO270+AP10*AO270+AQ10*AO270+AP11*AO270+AQ11*AO270+AP12*AO270+AQ12*AO270+AP13*AO270+AQ13*AO270+AP14*AO270+AQ14*AO270+AP15*AO270+AQ15*AO270+AP16*AO270+AQ16*AO270+AP17*AO270+AQ17*AO270+AP18*AO270+AQ18*AO270+AP19*AO270+AQ19*AO270+AP20*AO270+AQ20*AO270+AP21*AO270+AQ21*AO270+AP22*AO270+AQ22*AO270+AP23*AO270+AQ23*AO270+AP24*AO270+AQ24*AO270+AP25*AO270+AQ25*AO270+AP26*AO270+AQ26*AO270</f>
        <v>0</v>
      </c>
      <c r="AR270" s="5">
        <v>2</v>
      </c>
      <c r="AS270" s="5">
        <f>AS5*AR270+AT5*AR270+AS6*AR270+AT6*AR270+AS7*AR270+AT7*AR270+AS8*AR270+AT8*AR270+AS9*AR270+AT9*AR270+AS10*AR270+AT10*AR270+AS11*AR270+AT11*AR270+AS12*AR270+AT12*AR270+AS13*AR270+AT13*AR270+AS14*AR270+AT14*AR270+AS15*AR270+AT15*AR270+AS16*AR270+AT16*AR270+AS17*AR270+AT17*AR270+AS18*AR270+AT18*AR270+AS19*AR270+AT19*AR270+AS20*AR270+AT20*AR270+AS21*AR270+AT21*AR270+AS22*AR270+AT22*AR270+AS23*AR270+AT23*AR270+AS24*AR270+AT24*AR270+AS25*AR270+AT25*AR270+AS26*AR270+AT26*AR270</f>
        <v>0</v>
      </c>
      <c r="AT270" s="5"/>
      <c r="AV270" s="5">
        <v>2</v>
      </c>
      <c r="AW270" s="5">
        <f>AW5*AV270+AX5*AV270+AW6*AV270+AX6*AV270+AW7*AV270+AX7*AV270+AW8*AV270+AX8*AV270+AW9*AV270+AX9*AV270+AW10*AV270+AX10*AV270+AW11*AV270+AX11*AV270+AW12*AV270+AX12*AV270+AW13*AV270+AX13*AV270+AW14*AV270+AX14*AV270+AW15*AV270+AX15*AV270+AW16*AV270+AX16*AV270+AW17*AV270+AX17*AV270+AW18*AV270+AX18*AV270+AW19*AV270+AX19*AV270+AW20*AV270+AX20*AV270+AW21*AV270+AX21*AV270+AW22*AV270+AX22*AV270+AW23*AV270+AX23*AV270+AW24*AV270+AX24*AV270+AW25*AV270+AX25*AV270+AW26*AV270+AX26*AV270</f>
        <v>0</v>
      </c>
      <c r="AY270" s="5">
        <v>2</v>
      </c>
      <c r="AZ270" s="5">
        <f>AZ5*AY270+BA5*AY270+AZ6*AY270+BA6*AY270+AZ7*AY270+BA7*AY270+AZ8*AY270+BA8*AY270+AZ9*AY270+BA9*AY270+AZ10*AY270+BA10*AY270+AZ11*AY270+BA11*AY270+AZ12*AY270+BA12*AY270+AZ13*AY270+BA13*AY270+AZ14*AY270+BA14*AY270+AZ15*AY270+BA15*AY270+AZ16*AY270+BA16*AY270+AZ17*AY270+BA17*AY270+AZ18*AY270+BA18*AY270+AZ19*AY270+BA19*AY270+AZ20*AY270+BA20*AY270+AZ21*AY270+BA21*AY270+AZ22*AY270+BA22*AY270+AZ23*AY270+BA23*AY270+AZ24*AY270+BA24*AY270+AZ25*AY270+BA25*AY270+AZ26*AY270+BA26*AY270</f>
        <v>0</v>
      </c>
      <c r="BA270" s="5"/>
      <c r="BC270" s="5">
        <v>2</v>
      </c>
      <c r="BD270" s="5">
        <f>BD5*BC270+BE5*BC270+BD6*BC270+BE6*BC270+BD7*BC270+BE7*BC270+BD8*BC270+BE8*BC270+BD9*BC270+BE9*BC270+BD10*BC270+BE10*BC270+BD11*BC270+BE11*BC270+BD12*BC270+BE12*BC270+BD13*BC270+BE13*BC270+BD14*BC270+BE14*BC270+BD15*BC270+BE15*BC270+BD16*BC270+BE16*BC270+BD17*BC270+BE17*BC270+BD18*BC270+BE18*BC270+BD19*BC270+BE19*BC270+BD20*BC270+BE20*BC270+BD21*BC270+BE21*BC270+BD22*BC270+BE22*BC270+BD23*BC270+BE23*BC270+BD24*BC270+BE24*BC270+BD25*BC270+BE25*BC270+BD26*BC270+BE26*BC270</f>
        <v>0</v>
      </c>
      <c r="BF270" s="5">
        <v>2</v>
      </c>
      <c r="BG270" s="5">
        <f>BG5*BF270+BH5*BF270+BG6*BF270+BH6*BF270+BG7*BF270+BH7*BF270+BG8*BF270+BH8*BF270+BG9*BF270+BH9*BF270+BG10*BF270+BH10*BF270+BG11*BF270+BH11*BF270+BG12*BF270+BH12*BF270+BG13*BF270+BH13*BF270+BG14*BF270+BH14*BF270+BG15*BF270+BH15*BF270+BG16*BF270+BH16*BF270+BG17*BF270+BH17*BF270+BG18*BF270+BH18*BF270+BG19*BF270+BH19*BF270+BG20*BF270+BH20*BF270+BG21*BF270+BH21*BF270+BG22*BF270+BH22*BF270+BG23*BF270+BH23*BF270+BG24*BF270+BH24*BF270+BG25*BF270+BH25*BF270+BG26*BF270+BH26*BF270</f>
        <v>0</v>
      </c>
      <c r="BH270" s="5"/>
      <c r="BJ270" s="5">
        <v>2</v>
      </c>
      <c r="BK270" s="5">
        <f>BK5*BJ270+BL5*BJ270+BK6*BJ270+BL6*BJ270+BK7*BJ270+BL7*BJ270+BK8*BJ270+BL8*BJ270+BK9*BJ270+BL9*BJ270+BK10*BJ270+BL10*BJ270+BK11*BJ270+BL11*BJ270+BK12*BJ270+BL12*BJ270+BK13*BJ270+BL13*BJ270+BK14*BJ270+BL14*BJ270+BK15*BJ270+BL15*BJ270+BK16*BJ270+BL16*BJ270+BK17*BJ270+BL17*BJ270+BK18*BJ270+BL18*BJ270+BK19*BJ270+BL19*BJ270+BK20*BJ270+BL20*BJ270+BK21*BJ270+BL21*BJ270+BK22*BJ270+BL22*BJ270+BK23*BJ270+BL23*BJ270+BK24*BJ270+BL24*BJ270+BK25*BJ270+BL25*BJ270+BK26*BJ270+BL26*BJ270</f>
        <v>0</v>
      </c>
      <c r="BL270" s="12"/>
      <c r="BM270" s="5">
        <v>2</v>
      </c>
      <c r="BN270" s="5">
        <f>BN5*BM270+BO5*BM270+BN6*BM270+BO6*BM270+BN7*BM270+BO7*BM270+BN8*BM270+BO8*BM270+BN9*BM270+BO9*BM270+BN10*BM270+BO10*BM270+BN11*BM270+BO11*BM270+BN12*BM270+BO12*BM270+BN13*BM270+BO13*BM270+BN14*BM270+BO14*BM270+BN15*BM270+BO15*BM270+BN16*BM270+BO16*BM270+BN17*BM270+BO17*BM270+BN18*BM270+BO18*BM270+BN19*BM270+BO19*BM270+BN20*BM270+BO20*BM270+BN21*BM270+BO21*BM270+BN22*BM270+BO22*BM270+BN23*BM270+BO23*BM270+BN24*BM270+BO24*BM270+BN25*BM270+BO25*BM270+BN26*BM270+BO26*BM270</f>
        <v>0</v>
      </c>
      <c r="BO270" s="5"/>
      <c r="BQ270" s="5">
        <v>2</v>
      </c>
      <c r="BR270" s="5">
        <f>BR5*BQ270+BS5*BQ270+BR6*BQ270+BS6*BQ270+BR7*BQ270+BS7*BQ270+BR8*BQ270+BS8*BQ270+BR9*BQ270+BS9*BQ270+BR10*BQ270+BS10*BQ270+BR11*BQ270+BS11*BQ270+BR12*BQ270+BS12*BQ270+BR13*BQ270+BS13*BQ270+BR14*BQ270+BS14*BQ270+BR15*BQ270+BS15*BQ270+BR16*BQ270+BS16*BQ270+BR17*BQ270+BS17*BQ270+BR18*BQ270+BS18*BQ270+BR19*BQ270+BS19*BQ270+BR20*BQ270+BS20*BQ270+BR21*BQ270+BS21*BQ270+BR22*BQ270+BS22*BQ270+BR23*BQ270+BS23*BQ270+BR24*BQ270+BS24*BQ270+BR25*BQ270+BS25*BQ270+BR26*BQ270+BS26*BQ270</f>
        <v>0</v>
      </c>
      <c r="BT270" s="5">
        <v>2</v>
      </c>
      <c r="BU270" s="5">
        <f>BU5*BT270+BV5*BT270+BU6*BT270+BV6*BT270+BU7*BT270+BV7*BT270+BU8*BT270+BV8*BT270+BU9*BT270+BV9*BT270+BU10*BT270+BV10*BT270+BU11*BT270+BV11*BT270+BU12*BT270+BV12*BT270+BU13*BT270+BV13*BT270+BU14*BT270+BV14*BT270+BU15*BT270+BV15*BT270+BU16*BT270+BV16*BT270+BU17*BT270+BV17*BT270+BU18*BT270+BV18*BT270+BU19*BT270+BV19*BT270+BU20*BT270+BV20*BT270+BU21*BT270+BV21*BT270+BU22*BT270+BV22*BT270+BU23*BT270+BV23*BT270+BU24*BT270+BV24*BT270+BU25*BT270+BV25*BT270+BU26*BT270+BV26*BT270</f>
        <v>0</v>
      </c>
      <c r="BV270" s="5"/>
      <c r="BX270" s="5">
        <v>2</v>
      </c>
      <c r="BY270" s="5">
        <f>BY5*BX270+BZ5*BX270+BY6*BX270+BZ6*BX270+BY7*BX270+BZ7*BX270+BY8*BX270+BZ8*BX270+BY9*BX270+BZ9*BX270+BY10*BX270+BZ10*BX270+BY11*BX270+BZ11*BX270+BY12*BX270+BZ12*BX270+BY13*BX270+BZ13*BX270+BY14*BX270+BZ14*BX270+BY15*BX270+BZ15*BX270+BY16*BX270+BZ16*BX270+BY17*BX270+BZ17*BX270+BY18*BX270+BZ18*BX270+BY19*BX270+BZ19*BX270+BY20*BX270+BZ20*BX270+BY21*BX270+BZ21*BX270+BY22*BX270+BZ22*BX270+BY23*BX270+BZ23*BX270+BY24*BX270+BZ24*BX270+BY25*BX270+BZ25*BX270+BY26*BX270+BZ26*BX270</f>
        <v>0</v>
      </c>
      <c r="CA270" s="13">
        <v>2</v>
      </c>
      <c r="CB270" s="5">
        <f>CB5*CA270+CC5*CA270+CB6*CA270+CC6*CA270+CB7*CA270+CC7*CA270+CB8*CA270+CC8*CA270+CB9*CA270+CC9*CA270+CB10*CA270+CC10*CA270+CB11*CA270+CC11*CA270+CB12*CA270+CC12*CA270+CB13*CA270+CC13*CA270+CB14*CA270+CC14*CA270+CB15*CA270+CC15*CA270+CB16*CA270+CC16*CA270+CB17*CA270+CC17*CA270+CB18*CA270+CC18*CA270+CB19*CA270+CC19*CA270+CB20*CA270+CC20*CA270+CB21*CA270+CC21*CA270+CB22*CA270+CC22*CA270+CB23*CA270+CC23*CA270+CB24*CA270+CC24*CA270+CB25*CA270+CC25*CA270+CB26*CA270+CC26*CA270</f>
        <v>0</v>
      </c>
      <c r="CC270" s="11"/>
      <c r="CE270" s="13"/>
      <c r="CF270" s="5"/>
      <c r="CG270" s="12"/>
      <c r="CI270" s="13"/>
      <c r="CJ270" s="5"/>
      <c r="CK270" s="12"/>
      <c r="CM270" s="13"/>
      <c r="CN270" s="5"/>
      <c r="CO270" s="12"/>
      <c r="CQ270" s="13"/>
      <c r="CR270" s="5"/>
      <c r="CS270" s="12"/>
      <c r="CU270" s="13"/>
      <c r="CV270" s="5"/>
      <c r="CW270" s="12"/>
      <c r="CY270" s="13"/>
      <c r="CZ270" s="5"/>
      <c r="DA270" s="12"/>
      <c r="DC270" s="13"/>
      <c r="DD270" s="5"/>
      <c r="DE270" s="12"/>
      <c r="DG270" s="13"/>
      <c r="DH270" s="5"/>
      <c r="DI270" s="12"/>
      <c r="DK270" s="13"/>
      <c r="DL270" s="5"/>
      <c r="DM270" s="12"/>
      <c r="DO270" s="13"/>
      <c r="DP270" s="5"/>
      <c r="DQ270" s="12"/>
      <c r="DS270" s="5"/>
      <c r="DV270" s="5"/>
      <c r="DW270" s="660">
        <f t="shared" si="1"/>
        <v>0</v>
      </c>
    </row>
    <row r="271" spans="1:128" s="6" customFormat="1" ht="15" customHeight="1">
      <c r="A271" s="3"/>
      <c r="B271" s="210" t="s">
        <v>408</v>
      </c>
      <c r="C271" s="473" t="s">
        <v>515</v>
      </c>
      <c r="D271" s="4"/>
      <c r="E271" s="5"/>
      <c r="F271" s="5"/>
      <c r="G271" s="4"/>
      <c r="H271" s="4">
        <v>1</v>
      </c>
      <c r="I271" s="658">
        <f>SUM(I5:I26)*H271</f>
        <v>0</v>
      </c>
      <c r="J271" s="4"/>
      <c r="K271" s="5"/>
      <c r="L271" s="5"/>
      <c r="M271" s="5"/>
      <c r="O271" s="5"/>
      <c r="P271" s="5"/>
      <c r="Q271" s="5"/>
      <c r="S271" s="5"/>
      <c r="T271" s="5"/>
      <c r="U271" s="5"/>
      <c r="W271" s="5"/>
      <c r="X271" s="5"/>
      <c r="Y271" s="12"/>
      <c r="AA271" s="13"/>
      <c r="AB271" s="12"/>
      <c r="AD271" s="13"/>
      <c r="AE271" s="5"/>
      <c r="AF271" s="5"/>
      <c r="AH271" s="13"/>
      <c r="AI271" s="5"/>
      <c r="AK271" s="5"/>
      <c r="AL271" s="5"/>
      <c r="AM271" s="5"/>
      <c r="AO271" s="5"/>
      <c r="AP271" s="5"/>
      <c r="AR271" s="5"/>
      <c r="AS271" s="5"/>
      <c r="AT271" s="5"/>
      <c r="AV271" s="5"/>
      <c r="AW271" s="5"/>
      <c r="AY271" s="5"/>
      <c r="AZ271" s="5"/>
      <c r="BA271" s="5"/>
      <c r="BC271" s="5"/>
      <c r="BD271" s="5"/>
      <c r="BF271" s="5"/>
      <c r="BG271" s="5"/>
      <c r="BH271" s="5"/>
      <c r="BJ271" s="5"/>
      <c r="BK271" s="5"/>
      <c r="BL271" s="12"/>
      <c r="BM271" s="5"/>
      <c r="BN271" s="5"/>
      <c r="BO271" s="5"/>
      <c r="BQ271" s="5"/>
      <c r="BR271" s="5"/>
      <c r="BT271" s="5"/>
      <c r="BU271" s="5"/>
      <c r="BV271" s="5"/>
      <c r="BX271" s="5"/>
      <c r="BY271" s="5"/>
      <c r="CA271" s="13"/>
      <c r="CB271" s="7"/>
      <c r="CC271" s="11"/>
      <c r="CE271" s="13"/>
      <c r="CF271" s="5"/>
      <c r="CG271" s="12"/>
      <c r="CI271" s="13"/>
      <c r="CJ271" s="5"/>
      <c r="CK271" s="12"/>
      <c r="CM271" s="13"/>
      <c r="CN271" s="5"/>
      <c r="CO271" s="12"/>
      <c r="CQ271" s="13"/>
      <c r="CR271" s="5"/>
      <c r="CS271" s="12"/>
      <c r="CU271" s="13"/>
      <c r="CV271" s="5"/>
      <c r="CW271" s="12"/>
      <c r="CY271" s="13"/>
      <c r="CZ271" s="5"/>
      <c r="DA271" s="12"/>
      <c r="DC271" s="13"/>
      <c r="DD271" s="5"/>
      <c r="DE271" s="12"/>
      <c r="DG271" s="13"/>
      <c r="DH271" s="5"/>
      <c r="DI271" s="12"/>
      <c r="DK271" s="13"/>
      <c r="DL271" s="5"/>
      <c r="DM271" s="12"/>
      <c r="DO271" s="13"/>
      <c r="DP271" s="5"/>
      <c r="DQ271" s="12"/>
      <c r="DS271" s="5"/>
      <c r="DV271" s="5"/>
      <c r="DW271" s="660">
        <f t="shared" si="1"/>
        <v>0</v>
      </c>
    </row>
    <row r="272" spans="1:128" s="6" customFormat="1" ht="15" customHeight="1">
      <c r="A272" s="3">
        <v>93</v>
      </c>
      <c r="B272" s="210" t="s">
        <v>165</v>
      </c>
      <c r="C272" s="473" t="s">
        <v>515</v>
      </c>
      <c r="D272" s="4"/>
      <c r="E272" s="5"/>
      <c r="F272" s="5"/>
      <c r="G272" s="4"/>
      <c r="H272" s="4"/>
      <c r="I272" s="4"/>
      <c r="J272" s="4"/>
      <c r="K272" s="5"/>
      <c r="L272" s="5"/>
      <c r="M272" s="5">
        <f>C12</f>
        <v>0</v>
      </c>
      <c r="O272" s="5"/>
      <c r="P272" s="5"/>
      <c r="Q272" s="5"/>
      <c r="S272" s="5"/>
      <c r="T272" s="5"/>
      <c r="U272" s="5"/>
      <c r="W272" s="5"/>
      <c r="X272" s="5"/>
      <c r="Y272" s="12"/>
      <c r="AA272" s="13"/>
      <c r="AB272" s="12"/>
      <c r="AD272" s="13"/>
      <c r="AE272" s="5"/>
      <c r="AF272" s="5"/>
      <c r="AH272" s="13"/>
      <c r="AI272" s="5"/>
      <c r="AK272" s="5"/>
      <c r="AL272" s="5"/>
      <c r="AM272" s="5"/>
      <c r="AO272" s="5"/>
      <c r="AP272" s="5"/>
      <c r="AR272" s="5"/>
      <c r="AS272" s="5"/>
      <c r="AT272" s="5"/>
      <c r="AV272" s="5"/>
      <c r="AW272" s="5"/>
      <c r="AY272" s="5"/>
      <c r="AZ272" s="5"/>
      <c r="BA272" s="5"/>
      <c r="BC272" s="5"/>
      <c r="BD272" s="5"/>
      <c r="BF272" s="5"/>
      <c r="BG272" s="5"/>
      <c r="BH272" s="5"/>
      <c r="BJ272" s="5"/>
      <c r="BK272" s="5"/>
      <c r="BL272" s="12"/>
      <c r="BM272" s="5"/>
      <c r="BN272" s="5"/>
      <c r="BO272" s="5"/>
      <c r="BQ272" s="5"/>
      <c r="BR272" s="5"/>
      <c r="BT272" s="5"/>
      <c r="BU272" s="5"/>
      <c r="BV272" s="5"/>
      <c r="BX272" s="5"/>
      <c r="BY272" s="5"/>
      <c r="CA272" s="13"/>
      <c r="CB272" s="7"/>
      <c r="CC272" s="11"/>
      <c r="CE272" s="13"/>
      <c r="CF272" s="5">
        <f>CF20*CE272+CG20*CE272+CF21*CE272+CG21*CE272+CF22*CE272+CG22*CE272+CF23*CE272+CG23*CE272+CF24*CE272+CG24*CE272+CF25*CE272+CG25*CE272+CF26*CE272+CG26*CE272+CF5*CE272+CG5*CE272+CF6*CE272+CG6*CE272+CF7*CE272+CG7*CE272+CF8*CE272+CG8*CE272+CF9*CE272+CG9*CE272+CF10*CE272+CG10*CE272+CF11*CE272+CG11*CE272+CF12*CE272+CG12*CE272+CF13*CE272+CG13*CE272+CF14*CE272+CG14*CE272+CF15*CE272+CG15*CE272+CF16*CE272+CG16*CE272+CF17*CE272+CG17*CE272+CF18*CE272+CG18*CE272+CF19*CE272+CG19*CE272</f>
        <v>0</v>
      </c>
      <c r="CG272" s="12"/>
      <c r="CI272" s="13"/>
      <c r="CJ272" s="5">
        <f>CJ20*CI272+CK20*CI272+CJ21*CI272+CK21*CI272+CJ22*CI272+CK22*CI272+CJ23*CI272+CK23*CI272+CJ24*CI272+CK24*CI272+CJ25*CI272+CK25*CI272+CJ26*CI272+CK26*CI272+CJ5*CI272+CK5*CI272+CJ6*CI272+CK6*CI272+CJ7*CI272+CK7*CI272+CJ8*CI272+CK8*CI272+CJ9*CI272+CK9*CI272+CJ10*CI272+CK10*CI272+CJ11*CI272+CK11*CI272+CJ12*CI272+CK12*CI272+CJ13*CI272+CK13*CI272+CJ14*CI272+CK14*CI272+CJ15*CI272+CK15*CI272+CJ16*CI272+CK16*CI272+CJ17*CI272+CK17*CI272+CJ18*CI272+CK18*CI272+CJ19*CI272+CK19*CI272</f>
        <v>0</v>
      </c>
      <c r="CK272" s="12"/>
      <c r="CM272" s="13"/>
      <c r="CN272" s="5">
        <f>CN20*CM272+CO20*CM272+CN21*CM272+CO21*CM272+CN22*CM272+CO22*CM272+CN23*CM272+CO23*CM272+CN24*CM272+CO24*CM272+CN25*CM272+CO25*CM272+CN26*CM272+CO26*CM272+CN5*CM272+CO5*CM272+CN6*CM272+CO6*CM272+CN7*CM272+CO7*CM272+CN8*CM272+CO8*CM272+CN9*CM272+CO9*CM272+CN10*CM272+CO10*CM272+CN11*CM272+CO11*CM272+CN12*CM272+CO12*CM272+CN13*CM272+CO13*CM272+CN14*CM272+CO14*CM272+CN15*CM272+CO15*CM272+CN16*CM272+CO16*CM272+CN17*CM272+CO17*CM272+CN18*CM272+CO18*CM272+CN19*CM272+CO19*CM272</f>
        <v>0</v>
      </c>
      <c r="CO272" s="12"/>
      <c r="CQ272" s="13"/>
      <c r="CR272" s="5">
        <f>CR20*CQ272+CS20*CQ272+CR21*CQ272+CS21*CQ272+CR22*CQ272+CS22*CQ272+CR23*CQ272+CS23*CQ272+CR24*CQ272+CS24*CQ272+CR25*CQ272+CS25*CQ272+CR26*CQ272+CS26*CQ272+CR5*CQ272+CS5*CQ272+CR6*CQ272+CS6*CQ272+CR7*CQ272+CS7*CQ272+CR8*CQ272+CS8*CQ272+CR9*CQ272+CS9*CQ272+CR10*CQ272+CS10*CQ272+CR11*CQ272+CS11*CQ272+CR12*CQ272+CS12*CQ272+CR13*CQ272+CS13*CQ272+CR14*CQ272+CS14*CQ272+CR15*CQ272+CS15*CQ272+CR16*CQ272+CS16*CQ272+CR17*CQ272+CS17*CQ272+CR18*CQ272+CS18*CQ272+CR19*CQ272+CS19*CQ272</f>
        <v>0</v>
      </c>
      <c r="CS272" s="12"/>
      <c r="CU272" s="13"/>
      <c r="CV272" s="5">
        <f>CV20*CU272+CW20*CU272+CV21*CU272+CW21*CU272+CV22*CU272+CW22*CU272+CV23*CU272+CW23*CU272+CV24*CU272+CW24*CU272+CV25*CU272+CW25*CU272+CV26*CU272+CW26*CU272+CV5*CU272+CW5*CU272+CV6*CU272+CW6*CU272+CV7*CU272+CW7*CU272+CV8*CU272+CW8*CU272+CV9*CU272+CW9*CU272+CV10*CU272+CW10*CU272+CV11*CU272+CW11*CU272+CV12*CU272+CW12*CU272+CV13*CU272+CW13*CU272+CV14*CU272+CW14*CU272+CV15*CU272+CW15*CU272+CV16*CU272+CW16*CU272+CV17*CU272+CW17*CU272+CV18*CU272+CW18*CU272+CV19*CU272+CW19*CU272</f>
        <v>0</v>
      </c>
      <c r="CW272" s="12"/>
      <c r="CY272" s="13"/>
      <c r="CZ272" s="5">
        <f>CZ20*CY272+DA20*CY272+CZ21*CY272+DA21*CY272+CZ22*CY272+DA22*CY272+CZ23*CY272+DA23*CY272+CZ24*CY272+DA24*CY272+CZ25*CY272+DA25*CY272+CZ26*CY272+DA26*CY272+CZ5*CY272+DA5*CY272+CZ6*CY272+DA6*CY272+CZ7*CY272+DA7*CY272+CZ8*CY272+DA8*CY272+CZ9*CY272+DA9*CY272+CZ10*CY272+DA10*CY272+CZ11*CY272+DA11*CY272+CZ12*CY272+DA12*CY272+CZ13*CY272+DA13*CY272+CZ14*CY272+DA14*CY272+CZ15*CY272+DA15*CY272+CZ16*CY272+DA16*CY272+CZ17*CY272+DA17*CY272+CZ18*CY272+DA18*CY272+CZ19*CY272+DA19*CY272</f>
        <v>0</v>
      </c>
      <c r="DA272" s="12"/>
      <c r="DC272" s="13"/>
      <c r="DD272" s="5">
        <f>DD20*DC272+DE20*DC272+DD21*DC272+DE21*DC272+DD22*DC272+DE22*DC272+DD23*DC272+DE23*DC272+DD24*DC272+DE24*DC272+DD25*DC272+DE25*DC272+DD26*DC272+DE26*DC272+DD5*DC272+DE5*DC272+DD6*DC272+DE6*DC272+DD7*DC272+DE7*DC272+DD8*DC272+DE8*DC272+DD9*DC272+DE9*DC272+DD10*DC272+DE10*DC272+DD11*DC272+DE11*DC272+DD12*DC272+DE12*DC272+DD13*DC272+DE13*DC272+DD14*DC272+DE14*DC272+DD15*DC272+DE15*DC272+DD16*DC272+DE16*DC272+DD17*DC272+DE17*DC272+DD18*DC272+DE18*DC272+DD19*DC272+DE19*DC272</f>
        <v>0</v>
      </c>
      <c r="DE272" s="12"/>
      <c r="DG272" s="13"/>
      <c r="DH272" s="5">
        <f>DH20*DG272+DI20*DG272+DH21*DG272+DI21*DG272+DH22*DG272+DI22*DG272+DH23*DG272+DI23*DG272+DH24*DG272+DI24*DG272+DH25*DG272+DI25*DG272+DH26*DG272+DI26*DG272+DH5*DG272+DI5*DG272+DH6*DG272+DI6*DG272+DH7*DG272+DI7*DG272+DH8*DG272+DI8*DG272+DH9*DG272+DI9*DG272+DH10*DG272+DI10*DG272+DH11*DG272+DI11*DG272+DH12*DG272+DI12*DG272+DH13*DG272+DI13*DG272+DH14*DG272+DI14*DG272+DH15*DG272+DI15*DG272+DH16*DG272+DI16*DG272+DH17*DG272+DI17*DG272+DH18*DG272+DI18*DG272+DH19*DG272+DI19*DG272</f>
        <v>0</v>
      </c>
      <c r="DI272" s="12"/>
      <c r="DK272" s="13"/>
      <c r="DL272" s="5">
        <f>DL20*DK272+DM20*DK272+DL21*DK272+DM21*DK272+DL22*DK272+DM22*DK272+DL23*DK272+DM23*DK272+DL24*DK272+DM24*DK272+DL25*DK272+DM25*DK272+DL26*DK272+DM26*DK272+DL5*DK272+DM5*DK272+DL6*DK272+DM6*DK272+DL7*DK272+DM7*DK272+DL8*DK272+DM8*DK272+DL9*DK272+DM9*DK272+DL10*DK272+DM10*DK272+DL11*DK272+DM11*DK272+DL12*DK272+DM12*DK272+DL13*DK272+DM13*DK272+DL14*DK272+DM14*DK272+DL15*DK272+DM15*DK272+DL16*DK272+DM16*DK272+DL17*DK272+DM17*DK272+DL18*DK272+DM18*DK272+DL19*DK272+DM19*DK272</f>
        <v>0</v>
      </c>
      <c r="DM272" s="12"/>
      <c r="DO272" s="13"/>
      <c r="DP272" s="5">
        <f>DP20*DO272+DQ20*DO272+DP21*DO272+DQ21*DO272+DP22*DO272+DQ22*DO272+DP23*DO272+DQ23*DO272+DP24*DO272+DQ24*DO272+DP25*DO272+DQ25*DO272+DP26*DO272+DQ26*DO272+DP5*DO272+DQ5*DO272+DP6*DO272+DQ6*DO272+DP7*DO272+DQ7*DO272+DP8*DO272+DQ8*DO272+DP9*DO272+DQ9*DO272+DP10*DO272+DQ10*DO272+DP11*DO272+DQ11*DO272+DP12*DO272+DQ12*DO272+DP13*DO272+DQ13*DO272+DP14*DO272+DQ14*DO272+DP15*DO272+DQ15*DO272+DP16*DO272+DQ16*DO272+DP17*DO272+DQ17*DO272+DP18*DO272+DQ18*DO272+DP19*DO272+DQ19*DO272</f>
        <v>0</v>
      </c>
      <c r="DQ272" s="12"/>
      <c r="DS272" s="5"/>
      <c r="DV272" s="5"/>
      <c r="DW272" s="660">
        <f t="shared" si="1"/>
        <v>0</v>
      </c>
    </row>
    <row r="273" spans="1:128" s="6" customFormat="1" ht="15" customHeight="1">
      <c r="A273" s="3">
        <v>94</v>
      </c>
      <c r="B273" s="210" t="s">
        <v>166</v>
      </c>
      <c r="C273" s="473" t="s">
        <v>515</v>
      </c>
      <c r="D273" s="4"/>
      <c r="E273" s="5"/>
      <c r="F273" s="5"/>
      <c r="G273" s="4"/>
      <c r="H273" s="4"/>
      <c r="I273" s="4"/>
      <c r="J273" s="4"/>
      <c r="K273" s="5"/>
      <c r="L273" s="5"/>
      <c r="M273" s="5"/>
      <c r="O273" s="5"/>
      <c r="P273" s="5"/>
      <c r="Q273" s="5"/>
      <c r="S273" s="5"/>
      <c r="T273" s="5"/>
      <c r="U273" s="5"/>
      <c r="W273" s="5"/>
      <c r="X273" s="5"/>
      <c r="Y273" s="12"/>
      <c r="AA273" s="13"/>
      <c r="AB273" s="12"/>
      <c r="AD273" s="13"/>
      <c r="AE273" s="5"/>
      <c r="AF273" s="5"/>
      <c r="AH273" s="13"/>
      <c r="AI273" s="5"/>
      <c r="AK273" s="5"/>
      <c r="AL273" s="5"/>
      <c r="AM273" s="5"/>
      <c r="AO273" s="5"/>
      <c r="AP273" s="5"/>
      <c r="AR273" s="5"/>
      <c r="AS273" s="5"/>
      <c r="AT273" s="5"/>
      <c r="AV273" s="5"/>
      <c r="AW273" s="5"/>
      <c r="AY273" s="5"/>
      <c r="AZ273" s="5"/>
      <c r="BA273" s="5"/>
      <c r="BC273" s="5"/>
      <c r="BD273" s="5"/>
      <c r="BF273" s="5"/>
      <c r="BG273" s="5"/>
      <c r="BH273" s="5"/>
      <c r="BJ273" s="5"/>
      <c r="BK273" s="5"/>
      <c r="BL273" s="12"/>
      <c r="BM273" s="5"/>
      <c r="BN273" s="5"/>
      <c r="BO273" s="5"/>
      <c r="BQ273" s="5"/>
      <c r="BR273" s="5"/>
      <c r="BT273" s="5"/>
      <c r="BU273" s="5"/>
      <c r="BV273" s="5"/>
      <c r="BX273" s="5"/>
      <c r="BY273" s="5"/>
      <c r="CA273" s="13"/>
      <c r="CB273" s="7"/>
      <c r="CC273" s="11"/>
      <c r="CE273" s="13">
        <v>25</v>
      </c>
      <c r="CF273" s="5">
        <f>SUM(CF5:CG26)*CE273</f>
        <v>0</v>
      </c>
      <c r="CG273" s="12"/>
      <c r="CI273" s="13">
        <v>25</v>
      </c>
      <c r="CJ273" s="5">
        <f>SUM(CJ5:CK26)*CI273</f>
        <v>0</v>
      </c>
      <c r="CK273" s="12"/>
      <c r="CM273" s="13">
        <v>25</v>
      </c>
      <c r="CN273" s="5">
        <f>SUM(CN5:CO26)*CM273</f>
        <v>0</v>
      </c>
      <c r="CO273" s="12"/>
      <c r="CQ273" s="13">
        <v>25</v>
      </c>
      <c r="CR273" s="5">
        <f>SUM(CR5:CS26)*CQ273</f>
        <v>0</v>
      </c>
      <c r="CS273" s="12"/>
      <c r="CU273" s="13">
        <v>25</v>
      </c>
      <c r="CV273" s="5">
        <f>SUM(CV5:CW26)*CU273</f>
        <v>0</v>
      </c>
      <c r="CW273" s="12"/>
      <c r="CY273" s="13">
        <v>25</v>
      </c>
      <c r="CZ273" s="5">
        <f>SUM(CZ5:DA26)*CY273</f>
        <v>0</v>
      </c>
      <c r="DA273" s="12"/>
      <c r="DC273" s="13">
        <v>25</v>
      </c>
      <c r="DD273" s="5">
        <f>SUM(DD5:DE26)*DC273</f>
        <v>0</v>
      </c>
      <c r="DE273" s="12"/>
      <c r="DG273" s="13">
        <v>25</v>
      </c>
      <c r="DH273" s="5">
        <f>SUM(DH5:DI26)*DG273</f>
        <v>0</v>
      </c>
      <c r="DI273" s="12"/>
      <c r="DK273" s="13">
        <v>25</v>
      </c>
      <c r="DL273" s="5">
        <f>SUM(DL5:DM26)*DK273</f>
        <v>0</v>
      </c>
      <c r="DM273" s="12"/>
      <c r="DO273" s="13">
        <v>25</v>
      </c>
      <c r="DP273" s="5">
        <f>SUM(DP5:DQ26)*DO273</f>
        <v>0</v>
      </c>
      <c r="DQ273" s="12"/>
      <c r="DS273" s="5"/>
      <c r="DV273" s="5"/>
      <c r="DW273" s="660">
        <f t="shared" ref="DW273:DW336" si="2">IF(DX273=34,0,I273+L273+P273+T273+X273+AB273+AE273+AI273+F273+AL273+CR273+AP273+AS273+AW273+BD273+BG273+BK273+BN273+BR273+AZ273+M273+DL273+BU273+BY273+CB273+CF273+CJ273+CN273+CV273+CZ273+DD273+DH273+DP273+DT273+DU273)</f>
        <v>0</v>
      </c>
    </row>
    <row r="274" spans="1:128" s="6" customFormat="1" ht="15" customHeight="1">
      <c r="A274" s="167">
        <v>503034</v>
      </c>
      <c r="B274" s="167" t="s">
        <v>1801</v>
      </c>
      <c r="C274" s="473" t="s">
        <v>515</v>
      </c>
      <c r="D274" s="4"/>
      <c r="E274" s="5"/>
      <c r="F274" s="5"/>
      <c r="G274" s="4"/>
      <c r="H274" s="4"/>
      <c r="I274" s="4"/>
      <c r="J274" s="4"/>
      <c r="K274" s="5"/>
      <c r="L274" s="5"/>
      <c r="M274" s="5">
        <f>C13</f>
        <v>0</v>
      </c>
      <c r="O274" s="5"/>
      <c r="P274" s="5"/>
      <c r="Q274" s="5"/>
      <c r="S274" s="5"/>
      <c r="T274" s="5"/>
      <c r="U274" s="5"/>
      <c r="W274" s="5"/>
      <c r="X274" s="5"/>
      <c r="Y274" s="12"/>
      <c r="AA274" s="13"/>
      <c r="AB274" s="12"/>
      <c r="AD274" s="13"/>
      <c r="AE274" s="5"/>
      <c r="AF274" s="5"/>
      <c r="AH274" s="13"/>
      <c r="AI274" s="5"/>
      <c r="AK274" s="5"/>
      <c r="AL274" s="5"/>
      <c r="AM274" s="5"/>
      <c r="AO274" s="5"/>
      <c r="AP274" s="5"/>
      <c r="AR274" s="5"/>
      <c r="AS274" s="5"/>
      <c r="AT274" s="5"/>
      <c r="AV274" s="5"/>
      <c r="AW274" s="5"/>
      <c r="AY274" s="5"/>
      <c r="AZ274" s="5"/>
      <c r="BA274" s="5"/>
      <c r="BC274" s="5"/>
      <c r="BD274" s="5"/>
      <c r="BF274" s="5"/>
      <c r="BG274" s="5"/>
      <c r="BH274" s="5"/>
      <c r="BJ274" s="5"/>
      <c r="BK274" s="5"/>
      <c r="BL274" s="12"/>
      <c r="BM274" s="5"/>
      <c r="BN274" s="5"/>
      <c r="BO274" s="5"/>
      <c r="BQ274" s="5"/>
      <c r="BR274" s="5"/>
      <c r="BT274" s="5"/>
      <c r="BU274" s="5"/>
      <c r="BV274" s="5"/>
      <c r="BX274" s="5"/>
      <c r="BY274" s="5"/>
      <c r="CA274" s="13"/>
      <c r="CB274" s="7"/>
      <c r="CC274" s="11"/>
      <c r="CE274" s="13"/>
      <c r="CF274" s="5"/>
      <c r="CG274" s="12"/>
      <c r="CI274" s="13"/>
      <c r="CJ274" s="5"/>
      <c r="CK274" s="12"/>
      <c r="CM274" s="13"/>
      <c r="CN274" s="5"/>
      <c r="CO274" s="12"/>
      <c r="CQ274" s="13"/>
      <c r="CR274" s="5"/>
      <c r="CS274" s="12"/>
      <c r="CU274" s="13"/>
      <c r="CV274" s="5"/>
      <c r="CW274" s="12"/>
      <c r="CY274" s="13"/>
      <c r="CZ274" s="5"/>
      <c r="DA274" s="12"/>
      <c r="DC274" s="13"/>
      <c r="DD274" s="5"/>
      <c r="DE274" s="12"/>
      <c r="DG274" s="13"/>
      <c r="DH274" s="5"/>
      <c r="DI274" s="12"/>
      <c r="DK274" s="13"/>
      <c r="DL274" s="5"/>
      <c r="DM274" s="12"/>
      <c r="DO274" s="13"/>
      <c r="DP274" s="5"/>
      <c r="DQ274" s="12"/>
      <c r="DS274" s="5"/>
      <c r="DV274" s="5"/>
      <c r="DW274" s="660">
        <f t="shared" si="2"/>
        <v>0</v>
      </c>
    </row>
    <row r="275" spans="1:128" s="51" customFormat="1" ht="15" customHeight="1">
      <c r="A275" s="3">
        <v>96</v>
      </c>
      <c r="B275" s="210" t="s">
        <v>210</v>
      </c>
      <c r="C275" s="473" t="s">
        <v>515</v>
      </c>
      <c r="D275" s="50"/>
      <c r="E275" s="49"/>
      <c r="F275" s="49"/>
      <c r="G275" s="50"/>
      <c r="H275" s="4">
        <v>1</v>
      </c>
      <c r="I275" s="658">
        <f>SUM(I5:I26)*H275</f>
        <v>0</v>
      </c>
      <c r="J275" s="50"/>
      <c r="K275" s="49"/>
      <c r="L275" s="49"/>
      <c r="M275" s="49"/>
      <c r="O275" s="49"/>
      <c r="P275" s="49"/>
      <c r="Q275" s="49"/>
      <c r="S275" s="5">
        <v>1</v>
      </c>
      <c r="T275" s="5">
        <f>T5*S276+T6*S276+T7*S276+T8*S276+T9*S276+T10*S276+T11*S276+T12*S276+T13*S276+T14*S276+T15*S276+T16*S276+T17*S276+T18*S276+T19*S276+T20*S276+T21*S276+T22*S276+T23*S276+T24*S276+T25*S276+T26*S276+U5*S276+U6*S276+U7*S276+U8*S276+U9*S276+U10*S276+U11*S276+U12*S276+U13*S276+U14*S276+U15*S276+U16*S276+U17*S276+U18*S276+U19*S276+U20*S276+U21*S276+U22*S276+U23*S276+U24*S276+U25*S276+U26*S276</f>
        <v>0</v>
      </c>
      <c r="U275" s="49"/>
      <c r="W275" s="5">
        <v>1</v>
      </c>
      <c r="X275" s="49">
        <f>X5*W276+X6*W276+X7*W276+X8*W276+X9*W276+X10*W276+X11*W276+X12*W276+X13*W276+X14*W276+X15*W276+X16*W276+X17*W276+X18*W276+X19*W276+X20*W276+X21*W276+X22*W276+X23*W276+X24*W276+X25*W276+X26*W276+Y5*W276+Y6*W276+Y7*W276+Y8*W276+Y9*W276+Y10*W276+Y11*W276+Y12*W276+Y13*W276+Y14*W276+Y15*W276+Y16*W276+Y17*W276+Y18*W276+Y19*W276+Y20*W276+Y21*W276+Y22*W276+Y23*W276+Y24*W276+Y25*W276+Y26*W276</f>
        <v>0</v>
      </c>
      <c r="Y275" s="52"/>
      <c r="AA275" s="53">
        <v>1</v>
      </c>
      <c r="AB275" s="52">
        <f>AB5*AA276+AB6*AA276+AB7*AA276+AB8*AA276+AB9*AA276+AB10*AA276+AB11*AA276+AB12*AA276+AB13*AA276+AB14*AA276+AB15*AA276+AB16*AA276+AB17*AA276+AB18*AA276+AB19*AA276+AB20*AA276+AB21*AA276+AB22*AA276+AB23*AA276+AB24*AA276+AB25*AA276+AB26*AA276+AC5*AA276+AC6*AA276+AC7*AA276+AC8*AA276+AC9*AA276+AC10*AA276+AC11*AA276+AC12*AA276+AC13*AA276+AC14*AA276+AC15*AA276+AC16*AA276+AC17*AA276+AC18*AA276+AC19*AA276+AC20*AA276+AC21*AA276+AC22*AA276+AC23*AA276+AC24*AA276+AC25*AA276+AC26*AA276</f>
        <v>0</v>
      </c>
      <c r="AD275" s="53">
        <v>1</v>
      </c>
      <c r="AE275" s="49">
        <f>AE5*AD276+AF5*AD276+AE6*AD276+AF6*AD276+AE7*AD276+AF7*AD276+AE8*AD276+AF8*AD276+AE9*AD276+AF9*AD276+AE10*AD276+AF10*AD276+AE11*AD276+AF11*AD276+AE12*AD276+AF12*AD276+AE13*AD276+AF13*AD276+AE14*AD276+AF14*AD276+AE15*AD276+AF15*AD276+AE16*AD276+AF16*AD276+AE17*AD276+AF17*AD276+AE18*AD276+AF18*AD276+AE19*AD276+AF19*AD276+AE20*AD276+AF20*AD276+AE21*AD276+AF21*AD276+AE22*AD276+AF22*AD276+AE23*AD276+AF23*AD276+AE24*AD276+AF24*AD276+AE25*AD276+AF25*AD276+AE26*AD276+AF26*AD276</f>
        <v>0</v>
      </c>
      <c r="AF275" s="49"/>
      <c r="AH275" s="53">
        <v>1</v>
      </c>
      <c r="AI275" s="49">
        <f>AI5*AH276+AJ5*AH276+AI6*AH276+AJ6*AH276+AI7*AH276+AJ7*AH276+AI8*AH276+AJ8*AH276+AI9*AH276+AJ9*AH276+AI10*AH276+AJ10*AH276+AI11*AH276+AJ11*AH276+AI12*AH276+AJ12*AH276+AI13*AH276+AJ13*AH276+AI14*AH276+AJ14*AH276+AI15*AH276+AJ15*AH276+AI16*AH276+AJ16*AH276+AI17*AH276+AJ17*AH276+AI18*AH276+AJ18*AH276+AI19*AH276+AJ19*AH276+AI20*AH276+AJ20*AH276+AI21*AH276+AJ21*AH276+AI22*AH276+AJ22*AH276+AI23*AH276+AJ23*AH276+AI24*AH276+AJ24*AH276+AI25*AH276+AJ25*AH276+AI26*AH276+AJ26*AH276</f>
        <v>0</v>
      </c>
      <c r="AK275" s="49">
        <v>1</v>
      </c>
      <c r="AL275" s="49">
        <f>AL5*AK276+AM5*AK276+AL6*AK276+AM6*AK276+AL7*AK276+AM7*AK276+AL8*AK276+AM8*AK276+AL9*AK276+AM9*AK276+AL10*AK276+AM10*AK276+AL11*AK276+AM11*AK276+AL12*AK276+AM12*AK276+AL13*AK276+AM13*AK276+AL14*AK276+AM14*AK276+AL15*AK276+AM15*AK276+AL16*AK276+AM16*AK276+AL17*AK276+AM17*AK276+AL18*AK276+AM18*AK276+AL19*AK276+AM19*AK276+AL20*AK276+AM20*AK276+AL21*AK276+AM21*AK276+AL22*AK276+AM22*AK276+AL23*AK276+AM23*AK276+AL24*AK276+AM24*AK276+AL25*AK276+AM25*AK276+AL26*AK276+AM26*AK276</f>
        <v>0</v>
      </c>
      <c r="AM275" s="49"/>
      <c r="AO275" s="49">
        <v>1</v>
      </c>
      <c r="AP275" s="49">
        <f>AP5*AO276+AQ5*AO276+AP6*AO276+AQ6*AO276+AP7*AO276+AQ7*AO276+AP8*AO276+AQ8*AO276+AP9*AO276+AQ9*AO276+AP10*AO276+AQ10*AO276+AP11*AO276+AQ11*AO276+AP12*AO276+AQ12*AO276+AP13*AO276+AQ13*AO276+AP14*AO276+AQ14*AO276+AP15*AO276+AQ15*AO276+AP16*AO276+AQ16*AO276+AP17*AO276+AQ17*AO276+AP18*AO276+AQ18*AO276+AP19*AO276+AQ19*AO276+AP20*AO276+AQ20*AO276+AP21*AO276+AQ21*AO276+AP22*AO276+AQ22*AO276+AP23*AO276+AQ23*AO276+AP24*AO276+AQ24*AO276+AP25*AO276+AQ25*AO276+AP26*AO276+AQ26*AO276</f>
        <v>0</v>
      </c>
      <c r="AR275" s="49">
        <v>2</v>
      </c>
      <c r="AS275" s="49">
        <f>AS5*AR276+AT5*AR276+AS6*AR276+AT6*AR276+AS7*AR276+AT7*AR276+AS8*AR276+AT8*AR276+AS9*AR276+AT9*AR276+AS10*AR276+AT10*AR276+AS11*AR276+AT11*AR276+AS12*AR276+AT12*AR276+AS13*AR276+AT13*AR276+AS14*AR276+AT14*AR276+AS15*AR276+AT15*AR276+AS16*AR276+AT16*AR276+AS17*AR276+AT17*AR276+AS18*AR276+AT18*AR276+AS19*AR276+AT19*AR276+AS20*AR276+AT20*AR276+AS21*AR276+AT21*AR276+AS22*AR276+AT22*AR276+AS23*AR276+AT23*AR276+AS24*AR276+AT24*AR276+AS25*AR276+AT25*AR276+AS26*AR276+AT26*AR276</f>
        <v>0</v>
      </c>
      <c r="AT275" s="49"/>
      <c r="AV275" s="49">
        <v>2</v>
      </c>
      <c r="AW275" s="49">
        <f>AW5*AV276+AX5*AV276+AW6*AV276+AX6*AV276+AW7*AV276+AX7*AV276+AW8*AV276+AX8*AV276+AW9*AV276+AX9*AV276+AW10*AV276+AX10*AV276+AW11*AV276+AX11*AV276+AW12*AV276+AX12*AV276+AW13*AV276+AX13*AV276+AW14*AV276+AX14*AV276+AW15*AV276+AX15*AV276+AW16*AV276+AX16*AV276+AW17*AV276+AX17*AV276+AW18*AV276+AX18*AV276+AW19*AV276+AX19*AV276+AW20*AV276+AX20*AV276+AW21*AV276+AX21*AV276+AW22*AV276+AX22*AV276+AW23*AV276+AX23*AV276+AW24*AV276+AX24*AV276+AW25*AV276+AX25*AV276+AW26*AV276+AX26*AV276</f>
        <v>0</v>
      </c>
      <c r="AY275" s="49">
        <v>2</v>
      </c>
      <c r="AZ275" s="49">
        <f>AZ5*AY276+BA5*AY276+AZ6*AY276+BA6*AY276+AZ7*AY276+BA7*AY276+AZ8*AY276+BA8*AY276+AZ9*AY276+BA9*AY276+AZ10*AY276+BA10*AY276+AZ11*AY276+BA11*AY276+AZ12*AY276+BA12*AY276+AZ13*AY276+BA13*AY276+AZ14*AY276+BA14*AY276+AZ15*AY276+BA15*AY276+AZ16*AY276+BA16*AY276+AZ17*AY276+BA17*AY276+AZ18*AY276+BA18*AY276+AZ19*AY276+BA19*AY276+AZ20*AY276+BA20*AY276+AZ21*AY276+BA21*AY276+AZ22*AY276+BA22*AY276+AZ23*AY276+BA23*AY276+AZ24*AY276+BA24*AY276+AZ25*AY276+BA25*AY276+AZ26*AY276+BA26*AY276</f>
        <v>0</v>
      </c>
      <c r="BA275" s="49"/>
      <c r="BC275" s="49">
        <v>2</v>
      </c>
      <c r="BD275" s="49">
        <f>BD5*BC276+BE5*BC276+BD6*BC276+BE6*BC276+BD7*BC276+BE7*BC276+BD8*BC276+BE8*BC276+BD9*BC276+BE9*BC276+BD10*BC276+BE10*BC276+BD11*BC276+BE11*BC276+BD12*BC276+BE12*BC276+BD13*BC276+BE13*BC276+BD14*BC276+BE14*BC276+BD15*BC276+BE15*BC276+BD16*BC276+BE16*BC276+BD17*BC276+BE17*BC276+BD18*BC276+BE18*BC276+BD19*BC276+BE19*BC276+BD20*BC276+BE20*BC276+BD21*BC276+BE21*BC276+BD22*BC276+BE22*BC276+BD23*BC276+BE23*BC276+BD24*BC276+BE24*BC276+BD25*BC276+BE25*BC276+BD26*BC276+BE26*BC276</f>
        <v>0</v>
      </c>
      <c r="BF275" s="49">
        <v>2</v>
      </c>
      <c r="BG275" s="49">
        <f>BG5*BF276+BH5*BF276+BG6*BF276+BH6*BF276+BG7*BF276+BH7*BF276+BG8*BF276+BH8*BF276+BG9*BF276+BH9*BF276+BG10*BF276+BH10*BF276+BG11*BF276+BH11*BF276+BG12*BF276+BH12*BF276+BG13*BF276+BH13*BF276+BG14*BF276+BH14*BF276+BG15*BF276+BH15*BF276+BG16*BF276+BH16*BF276+BG17*BF276+BH17*BF276+BG18*BF276+BH18*BF276+BG19*BF276+BH19*BF276+BG20*BF276+BH20*BF276+BG21*BF276+BH21*BF276+BG22*BF276+BH22*BF276+BG23*BF276+BH23*BF276+BG24*BF276+BH24*BF276+BG25*BF276+BH25*BF276+BG26*BF276+BH26*BF276</f>
        <v>0</v>
      </c>
      <c r="BH275" s="49"/>
      <c r="BJ275" s="49">
        <v>2</v>
      </c>
      <c r="BK275" s="49">
        <f>BK5*BJ276+BL5*BJ276+BK6*BJ276+BL6*BJ276+BK7*BJ276+BL7*BJ276+BK8*BJ276+BL8*BJ276+BK9*BJ276+BL9*BJ276+BK10*BJ276+BL10*BJ276+BK11*BJ276+BL11*BJ276+BK12*BJ276+BL12*BJ276+BK13*BJ276+BL13*BJ276+BK14*BJ276+BL14*BJ276+BK15*BJ276+BL15*BJ276+BK16*BJ276+BL16*BJ276+BK17*BJ276+BL17*BJ276+BK18*BJ276+BL18*BJ276+BK19*BJ276+BL19*BJ276+BK20*BJ276+BL20*BJ276+BK21*BJ276+BL21*BJ276+BK22*BJ276+BL22*BJ276+BK23*BJ276+BL23*BJ276+BK24*BJ276+BL24*BJ276+BK25*BJ276+BL25*BJ276+BK26*BJ276+BL26*BJ276</f>
        <v>0</v>
      </c>
      <c r="BL275" s="52"/>
      <c r="BM275" s="49">
        <v>2</v>
      </c>
      <c r="BN275" s="49">
        <f>BN5*BM276+BO5*BM276+BN6*BM276+BO6*BM276+BN7*BM276+BO7*BM276+BN8*BM276+BO8*BM276+BN9*BM276+BO9*BM276+BN10*BM276+BO10*BM276+BN11*BM276+BO11*BM276+BN12*BM276+BO12*BM276+BN13*BM276+BO13*BM276+BN14*BM276+BO14*BM276+BN15*BM276+BO15*BM276+BN16*BM276+BO16*BM276+BN17*BM276+BO17*BM276+BN18*BM276+BO18*BM276+BN19*BM276+BO19*BM276+BN20*BM276+BO20*BM276+BN21*BM276+BO21*BM276+BN22*BM276+BO22*BM276+BN23*BM276+BO23*BM276+BN24*BM276+BO24*BM276+BN25*BM276+BO25*BM276+BN26*BM276+BO26*BM276</f>
        <v>0</v>
      </c>
      <c r="BO275" s="49"/>
      <c r="BQ275" s="49">
        <v>2</v>
      </c>
      <c r="BR275" s="49">
        <f>BR5*BQ276+BS5*BQ276+BR6*BQ276+BS6*BQ276+BR7*BQ276+BS7*BQ276+BR8*BQ276+BS8*BQ276+BR9*BQ276+BS9*BQ276+BR10*BQ276+BS10*BQ276+BR11*BQ276+BS11*BQ276+BR12*BQ276+BS12*BQ276+BR13*BQ276+BS13*BQ276+BR14*BQ276+BS14*BQ276+BR15*BQ276+BS15*BQ276+BR16*BQ276+BS16*BQ276+BR17*BQ276+BS17*BQ276+BR18*BQ276+BS18*BQ276+BR19*BQ276+BS19*BQ276+BR20*BQ276+BS20*BQ276+BR21*BQ276+BS21*BQ276+BR22*BQ276+BS22*BQ276+BR23*BQ276+BS23*BQ276+BR24*BQ276+BS24*BQ276+BR25*BQ276+BS25*BQ276+BR26*BQ276+BS26*BQ276</f>
        <v>0</v>
      </c>
      <c r="BT275" s="49">
        <v>2</v>
      </c>
      <c r="BU275" s="49">
        <f>BU5*BT276+BV5*BT276+BU6*BT276+BV6*BT276+BU7*BT276+BV7*BT276+BU8*BT276+BV8*BT276+BU9*BT276+BV9*BT276+BU10*BT276+BV10*BT276+BU11*BT276+BV11*BT276+BU12*BT276+BV12*BT276+BU13*BT276+BV13*BT276+BU14*BT276+BV14*BT276+BU15*BT276+BV15*BT276+BU16*BT276+BV16*BT276+BU17*BT276+BV17*BT276+BU18*BT276+BV18*BT276+BU19*BT276+BV19*BT276+BU20*BT276+BV20*BT276+BU21*BT276+BV21*BT276+BU22*BT276+BV22*BT276+BU23*BT276+BV23*BT276+BU24*BT276+BV24*BT276+BU25*BT276+BV25*BT276+BU26*BT276+BV26*BT276</f>
        <v>0</v>
      </c>
      <c r="BV275" s="49"/>
      <c r="BX275" s="49">
        <v>2</v>
      </c>
      <c r="BY275" s="49">
        <f>BY5*BX276+BZ5*BX276+BY6*BX276+BZ6*BX276+BY7*BX276+BZ7*BX276+BY8*BX276+BZ8*BX276+BY9*BX276+BZ9*BX276+BY10*BX276+BZ10*BX276+BY11*BX276+BZ11*BX276+BY12*BX276+BZ12*BX276+BY13*BX276+BZ13*BX276+BY14*BX276+BZ14*BX276+BY15*BX276+BZ15*BX276+BY16*BX276+BZ16*BX276+BY17*BX276+BZ17*BX276+BY18*BX276+BZ18*BX276+BY19*BX276+BZ19*BX276+BY20*BX276+BZ20*BX276+BY21*BX276+BZ21*BX276+BY22*BX276+BZ22*BX276+BY23*BX276+BZ23*BX276+BY24*BX276+BZ24*BX276+BY25*BX276+BZ25*BX276+BY26*BX276+BZ26*BX276</f>
        <v>0</v>
      </c>
      <c r="CA275" s="53">
        <v>2</v>
      </c>
      <c r="CB275" s="54">
        <f>SUM(CB5:CB26,CC5:CC26)*2</f>
        <v>0</v>
      </c>
      <c r="CC275" s="55"/>
      <c r="CE275" s="53"/>
      <c r="CF275" s="49"/>
      <c r="CG275" s="52"/>
      <c r="CI275" s="53"/>
      <c r="CJ275" s="49"/>
      <c r="CK275" s="52"/>
      <c r="CM275" s="53"/>
      <c r="CN275" s="49"/>
      <c r="CO275" s="52"/>
      <c r="CP275" s="6"/>
      <c r="CQ275" s="53"/>
      <c r="CR275" s="49"/>
      <c r="CS275" s="52"/>
      <c r="CU275" s="53"/>
      <c r="CV275" s="49"/>
      <c r="CW275" s="52"/>
      <c r="CY275" s="53"/>
      <c r="CZ275" s="49"/>
      <c r="DA275" s="52"/>
      <c r="DC275" s="53"/>
      <c r="DD275" s="49"/>
      <c r="DE275" s="52"/>
      <c r="DG275" s="53"/>
      <c r="DH275" s="49"/>
      <c r="DI275" s="52"/>
      <c r="DK275" s="53"/>
      <c r="DL275" s="49"/>
      <c r="DM275" s="52"/>
      <c r="DO275" s="53"/>
      <c r="DP275" s="49"/>
      <c r="DQ275" s="52"/>
      <c r="DR275" s="6"/>
      <c r="DS275" s="5"/>
      <c r="DT275" s="6"/>
      <c r="DU275" s="6"/>
      <c r="DV275" s="5"/>
      <c r="DW275" s="660">
        <f t="shared" si="2"/>
        <v>0</v>
      </c>
      <c r="DX275" s="142">
        <v>13</v>
      </c>
    </row>
    <row r="276" spans="1:128" s="6" customFormat="1" ht="15" customHeight="1">
      <c r="A276" s="3">
        <v>97</v>
      </c>
      <c r="B276" s="210" t="s">
        <v>67</v>
      </c>
      <c r="C276" s="473" t="s">
        <v>515</v>
      </c>
      <c r="D276" s="4"/>
      <c r="E276" s="5"/>
      <c r="F276" s="5"/>
      <c r="G276" s="4"/>
      <c r="H276" s="4">
        <v>1</v>
      </c>
      <c r="I276" s="658">
        <f>SUM(I5:I26)*H276</f>
        <v>0</v>
      </c>
      <c r="J276" s="4"/>
      <c r="K276" s="5"/>
      <c r="L276" s="5"/>
      <c r="M276" s="5"/>
      <c r="O276" s="5"/>
      <c r="P276" s="5"/>
      <c r="Q276" s="5"/>
      <c r="S276" s="5">
        <v>1</v>
      </c>
      <c r="T276" s="5">
        <f>T5*S276+T6*S276+T7*S276+T8*S276+T9*S276+T10*S276+T11*S276+T12*S276+T13*S276+T14*S276+T15*S276+T16*S276+T17*S276+T18*S276+T19*S276+T20*S276+T21*S276+T22*S276+T23*S276+T24*S276+T25*S276+T26*S276+U5*S276+U6*S276+U7*S276+U8*S276+U9*S276+U10*S276+U11*S276+U12*S276+U13*S276+U14*S276+U15*S276+U16*S276+U17*S276+U18*S276+U19*S276+U20*S276+U21*S276+U22*S276+U23*S276+U24*S276+U25*S276+U26*S276</f>
        <v>0</v>
      </c>
      <c r="U276" s="5"/>
      <c r="W276" s="5">
        <v>1</v>
      </c>
      <c r="X276" s="5">
        <f>X5*W276+X6*W276+X7*W276+X8*W276+X9*W276+X10*W276+X11*W276+X12*W276+X13*W276+X14*W276+X15*W276+X16*W276+X17*W276+X18*W276+X19*W276+X20*W276+X21*W276+X22*W276+X23*W276+X24*W276+X25*W276+X26*W276+Y5*W276+Y6*W276+Y7*W276+Y8*W276+Y9*W276+Y10*W276+Y11*W276+Y12*W276+Y13*W276+Y14*W276+Y15*W276+Y16*W276+Y17*W276+Y18*W276+Y19*W276+Y20*W276+Y21*W276+Y22*W276+Y23*W276+Y24*W276+Y25*W276+Y26*W276</f>
        <v>0</v>
      </c>
      <c r="Y276" s="12"/>
      <c r="AA276" s="13">
        <v>1</v>
      </c>
      <c r="AB276" s="12">
        <f>AB5*AA276+AB6*AA276+AB7*AA276+AB8*AA276+AB9*AA276+AB10*AA276+AB11*AA276+AB12*AA276+AB13*AA276+AB14*AA276+AB15*AA276+AB16*AA276+AB17*AA276+AB18*AA276+AB19*AA276+AB20*AA276+AB21*AA276+AB22*AA276+AB23*AA276+AB24*AA276+AB25*AA276+AB26*AA276+AC5*AA276+AC6*AA276+AC7*AA276+AC8*AA276+AC9*AA276+AC10*AA276+AC11*AA276+AC12*AA276+AC13*AA276+AC14*AA276+AC15*AA276+AC16*AA276+AC17*AA276+AC18*AA276+AC19*AA276+AC20*AA276+AC21*AA276+AC22*AA276+AC23*AA276+AC24*AA276+AC25*AA276+AC26*AA276</f>
        <v>0</v>
      </c>
      <c r="AD276" s="13">
        <v>1</v>
      </c>
      <c r="AE276" s="5">
        <f>AE5*AD276+AF5*AD276+AE6*AD276+AF6*AD276+AE7*AD276+AF7*AD276+AE8*AD276+AF8*AD276+AE9*AD276+AF9*AD276+AE10*AD276+AF10*AD276+AE11*AD276+AF11*AD276+AE12*AD276+AF12*AD276+AE13*AD276+AF13*AD276+AE14*AD276+AF14*AD276+AE15*AD276+AF15*AD276+AE16*AD276+AF16*AD276+AE17*AD276+AF17*AD276+AE18*AD276+AF18*AD276+AE19*AD276+AF19*AD276+AE20*AD276+AF20*AD276+AE21*AD276+AF21*AD276+AE22*AD276+AF22*AD276+AE23*AD276+AF23*AD276+AE24*AD276+AF24*AD276+AE25*AD276+AF25*AD276+AE26*AD276+AF26*AD276</f>
        <v>0</v>
      </c>
      <c r="AF276" s="5"/>
      <c r="AH276" s="13">
        <v>1</v>
      </c>
      <c r="AI276" s="5">
        <f>AI5*AH276+AJ5*AH276+AI6*AH276+AJ6*AH276+AI7*AH276+AJ7*AH276+AI8*AH276+AJ8*AH276+AI9*AH276+AJ9*AH276+AI10*AH276+AJ10*AH276+AI11*AH276+AJ11*AH276+AI12*AH276+AJ12*AH276+AI13*AH276+AJ13*AH276+AI14*AH276+AJ14*AH276+AI15*AH276+AJ15*AH276+AI16*AH276+AJ16*AH276+AI17*AH276+AJ17*AH276+AI18*AH276+AJ18*AH276+AI19*AH276+AJ19*AH276+AI20*AH276+AJ20*AH276+AI21*AH276+AJ21*AH276+AI22*AH276+AJ22*AH276+AI23*AH276+AJ23*AH276+AI24*AH276+AJ24*AH276+AI25*AH276+AJ25*AH276+AI26*AH276+AJ26*AH276</f>
        <v>0</v>
      </c>
      <c r="AK276" s="5">
        <v>1</v>
      </c>
      <c r="AL276" s="5">
        <f>AL5*AK276+AM5*AK276+AL6*AK276+AM6*AK276+AL7*AK276+AM7*AK276+AL8*AK276+AM8*AK276+AL9*AK276+AM9*AK276+AL10*AK276+AM10*AK276+AL11*AK276+AM11*AK276+AL12*AK276+AM12*AK276+AL13*AK276+AM13*AK276+AL14*AK276+AM14*AK276+AL15*AK276+AM15*AK276+AL16*AK276+AM16*AK276+AL17*AK276+AM17*AK276+AL18*AK276+AM18*AK276+AL19*AK276+AM19*AK276+AL20*AK276+AM20*AK276+AL21*AK276+AM21*AK276+AL22*AK276+AM22*AK276+AL23*AK276+AM23*AK276+AL24*AK276+AM24*AK276+AL25*AK276+AM25*AK276+AL26*AK276+AM26*AK276</f>
        <v>0</v>
      </c>
      <c r="AM276" s="5"/>
      <c r="AO276" s="5">
        <v>1</v>
      </c>
      <c r="AP276" s="5">
        <f>AP5*AO276+AQ5*AO276+AP6*AO276+AQ6*AO276+AP7*AO276+AQ7*AO276+AP8*AO276+AQ8*AO276+AP9*AO276+AQ9*AO276+AP10*AO276+AQ10*AO276+AP11*AO276+AQ11*AO276+AP12*AO276+AQ12*AO276+AP13*AO276+AQ13*AO276+AP14*AO276+AQ14*AO276+AP15*AO276+AQ15*AO276+AP16*AO276+AQ16*AO276+AP17*AO276+AQ17*AO276+AP18*AO276+AQ18*AO276+AP19*AO276+AQ19*AO276+AP20*AO276+AQ20*AO276+AP21*AO276+AQ21*AO276+AP22*AO276+AQ22*AO276+AP23*AO276+AQ23*AO276+AP24*AO276+AQ24*AO276+AP25*AO276+AQ25*AO276+AP26*AO276+AQ26*AO276</f>
        <v>0</v>
      </c>
      <c r="AR276" s="5">
        <v>2</v>
      </c>
      <c r="AS276" s="5">
        <f>AS5*AR276+AT5*AR276+AS6*AR276+AT6*AR276+AS7*AR276+AT7*AR276+AS8*AR276+AT8*AR276+AS9*AR276+AT9*AR276+AS10*AR276+AT10*AR276+AS11*AR276+AT11*AR276+AS12*AR276+AT12*AR276+AS13*AR276+AT13*AR276+AS14*AR276+AT14*AR276+AS15*AR276+AT15*AR276+AS16*AR276+AT16*AR276+AS17*AR276+AT17*AR276+AS18*AR276+AT18*AR276+AS19*AR276+AT19*AR276+AS20*AR276+AT20*AR276+AS21*AR276+AT21*AR276+AS22*AR276+AT22*AR276+AS23*AR276+AT23*AR276+AS24*AR276+AT24*AR276+AS25*AR276+AT25*AR276+AS26*AR276+AT26*AR276</f>
        <v>0</v>
      </c>
      <c r="AT276" s="5"/>
      <c r="AV276" s="5">
        <v>2</v>
      </c>
      <c r="AW276" s="5">
        <f>AW5*AV276+AX5*AV276+AW6*AV276+AX6*AV276+AW7*AV276+AX7*AV276+AW8*AV276+AX8*AV276+AW9*AV276+AX9*AV276+AW10*AV276+AX10*AV276+AW11*AV276+AX11*AV276+AW12*AV276+AX12*AV276+AW13*AV276+AX13*AV276+AW14*AV276+AX14*AV276+AW15*AV276+AX15*AV276+AW16*AV276+AX16*AV276+AW17*AV276+AX17*AV276+AW18*AV276+AX18*AV276+AW19*AV276+AX19*AV276+AW20*AV276+AX20*AV276+AW21*AV276+AX21*AV276+AW22*AV276+AX22*AV276+AW23*AV276+AX23*AV276+AW24*AV276+AX24*AV276+AW25*AV276+AX25*AV276+AW26*AV276+AX26*AV276</f>
        <v>0</v>
      </c>
      <c r="AY276" s="5">
        <v>2</v>
      </c>
      <c r="AZ276" s="5">
        <f>AZ5*AY276+BA5*AY276+AZ6*AY276+BA6*AY276+AZ7*AY276+BA7*AY276+AZ8*AY276+BA8*AY276+AZ9*AY276+BA9*AY276+AZ10*AY276+BA10*AY276+AZ11*AY276+BA11*AY276+AZ12*AY276+BA12*AY276+AZ13*AY276+BA13*AY276+AZ14*AY276+BA14*AY276+AZ15*AY276+BA15*AY276+AZ16*AY276+BA16*AY276+AZ17*AY276+BA17*AY276+AZ18*AY276+BA18*AY276+AZ19*AY276+BA19*AY276+AZ20*AY276+BA20*AY276+AZ21*AY276+BA21*AY276+AZ22*AY276+BA22*AY276+AZ23*AY276+BA23*AY276+AZ24*AY276+BA24*AY276+AZ25*AY276+BA25*AY276+AZ26*AY276+BA26*AY276</f>
        <v>0</v>
      </c>
      <c r="BA276" s="5"/>
      <c r="BC276" s="5">
        <v>2</v>
      </c>
      <c r="BD276" s="5">
        <f>BD5*BC276+BE5*BC276+BD6*BC276+BE6*BC276+BD7*BC276+BE7*BC276+BD8*BC276+BE8*BC276+BD9*BC276+BE9*BC276+BD10*BC276+BE10*BC276+BD11*BC276+BE11*BC276+BD12*BC276+BE12*BC276+BD13*BC276+BE13*BC276+BD14*BC276+BE14*BC276+BD15*BC276+BE15*BC276+BD16*BC276+BE16*BC276+BD17*BC276+BE17*BC276+BD18*BC276+BE18*BC276+BD19*BC276+BE19*BC276+BD20*BC276+BE20*BC276+BD21*BC276+BE21*BC276+BD22*BC276+BE22*BC276+BD23*BC276+BE23*BC276+BD24*BC276+BE24*BC276+BD25*BC276+BE25*BC276+BD26*BC276+BE26*BC276</f>
        <v>0</v>
      </c>
      <c r="BF276" s="5">
        <v>2</v>
      </c>
      <c r="BG276" s="5">
        <f>BG5*BF276+BH5*BF276+BG6*BF276+BH6*BF276+BG7*BF276+BH7*BF276+BG8*BF276+BH8*BF276+BG9*BF276+BH9*BF276+BG10*BF276+BH10*BF276+BG11*BF276+BH11*BF276+BG12*BF276+BH12*BF276+BG13*BF276+BH13*BF276+BG14*BF276+BH14*BF276+BG15*BF276+BH15*BF276+BG16*BF276+BH16*BF276+BG17*BF276+BH17*BF276+BG18*BF276+BH18*BF276+BG19*BF276+BH19*BF276+BG20*BF276+BH20*BF276+BG21*BF276+BH21*BF276+BG22*BF276+BH22*BF276+BG23*BF276+BH23*BF276+BG24*BF276+BH24*BF276+BG25*BF276+BH25*BF276+BG26*BF276+BH26*BF276</f>
        <v>0</v>
      </c>
      <c r="BH276" s="5"/>
      <c r="BJ276" s="5">
        <v>2</v>
      </c>
      <c r="BK276" s="5">
        <f>BK5*BJ276+BL5*BJ276+BK6*BJ276+BL6*BJ276+BK7*BJ276+BL7*BJ276+BK8*BJ276+BL8*BJ276+BK9*BJ276+BL9*BJ276+BK10*BJ276+BL10*BJ276+BK11*BJ276+BL11*BJ276+BK12*BJ276+BL12*BJ276+BK13*BJ276+BL13*BJ276+BK14*BJ276+BL14*BJ276+BK15*BJ276+BL15*BJ276+BK16*BJ276+BL16*BJ276+BK17*BJ276+BL17*BJ276+BK18*BJ276+BL18*BJ276+BK19*BJ276+BL19*BJ276+BK20*BJ276+BL20*BJ276+BK21*BJ276+BL21*BJ276+BK22*BJ276+BL22*BJ276+BK23*BJ276+BL23*BJ276+BK24*BJ276+BL24*BJ276+BK25*BJ276+BL25*BJ276+BK26*BJ276+BL26*BJ276</f>
        <v>0</v>
      </c>
      <c r="BL276" s="12"/>
      <c r="BM276" s="5">
        <v>2</v>
      </c>
      <c r="BN276" s="5">
        <f>BN5*BM276+BO5*BM276+BN6*BM276+BO6*BM276+BN7*BM276+BO7*BM276+BN8*BM276+BO8*BM276+BN9*BM276+BO9*BM276+BN10*BM276+BO10*BM276+BN11*BM276+BO11*BM276+BN12*BM276+BO12*BM276+BN13*BM276+BO13*BM276+BN14*BM276+BO14*BM276+BN15*BM276+BO15*BM276+BN16*BM276+BO16*BM276+BN17*BM276+BO17*BM276+BN18*BM276+BO18*BM276+BN19*BM276+BO19*BM276+BN20*BM276+BO20*BM276+BN21*BM276+BO21*BM276+BN22*BM276+BO22*BM276+BN23*BM276+BO23*BM276+BN24*BM276+BO24*BM276+BN25*BM276+BO25*BM276+BN26*BM276+BO26*BM276</f>
        <v>0</v>
      </c>
      <c r="BO276" s="5"/>
      <c r="BQ276" s="5">
        <v>2</v>
      </c>
      <c r="BR276" s="5">
        <f>BR5*BQ276+BS5*BQ276+BR6*BQ276+BS6*BQ276+BR7*BQ276+BS7*BQ276+BR8*BQ276+BS8*BQ276+BR9*BQ276+BS9*BQ276+BR10*BQ276+BS10*BQ276+BR11*BQ276+BS11*BQ276+BR12*BQ276+BS12*BQ276+BR13*BQ276+BS13*BQ276+BR14*BQ276+BS14*BQ276+BR15*BQ276+BS15*BQ276+BR16*BQ276+BS16*BQ276+BR17*BQ276+BS17*BQ276+BR18*BQ276+BS18*BQ276+BR19*BQ276+BS19*BQ276+BR20*BQ276+BS20*BQ276+BR21*BQ276+BS21*BQ276+BR22*BQ276+BS22*BQ276+BR23*BQ276+BS23*BQ276+BR24*BQ276+BS24*BQ276+BR25*BQ276+BS25*BQ276+BR26*BQ276+BS26*BQ276</f>
        <v>0</v>
      </c>
      <c r="BT276" s="5">
        <v>2</v>
      </c>
      <c r="BU276" s="5">
        <f>BU5*BT276+BV5*BT276+BU6*BT276+BV6*BT276+BU7*BT276+BV7*BT276+BU8*BT276+BV8*BT276+BU9*BT276+BV9*BT276+BU10*BT276+BV10*BT276+BU11*BT276+BV11*BT276+BU12*BT276+BV12*BT276+BU13*BT276+BV13*BT276+BU14*BT276+BV14*BT276+BU15*BT276+BV15*BT276+BU16*BT276+BV16*BT276+BU17*BT276+BV17*BT276+BU18*BT276+BV18*BT276+BU19*BT276+BV19*BT276+BU20*BT276+BV20*BT276+BU21*BT276+BV21*BT276+BU22*BT276+BV22*BT276+BU23*BT276+BV23*BT276+BU24*BT276+BV24*BT276+BU25*BT276+BV25*BT276+BU26*BT276+BV26*BT276</f>
        <v>0</v>
      </c>
      <c r="BV276" s="5"/>
      <c r="BX276" s="5">
        <v>2</v>
      </c>
      <c r="BY276" s="5">
        <f>BY5*BX276+BZ5*BX276+BY6*BX276+BZ6*BX276+BY7*BX276+BZ7*BX276+BY8*BX276+BZ8*BX276+BY9*BX276+BZ9*BX276+BY10*BX276+BZ10*BX276+BY11*BX276+BZ11*BX276+BY12*BX276+BZ12*BX276+BY13*BX276+BZ13*BX276+BY14*BX276+BZ14*BX276+BY15*BX276+BZ15*BX276+BY16*BX276+BZ16*BX276+BY17*BX276+BZ17*BX276+BY18*BX276+BZ18*BX276+BY19*BX276+BZ19*BX276+BY20*BX276+BZ20*BX276+BY21*BX276+BZ21*BX276+BY22*BX276+BZ22*BX276+BY23*BX276+BZ23*BX276+BY24*BX276+BZ24*BX276+BY25*BX276+BZ25*BX276+BY26*BX276+BZ26*BX276</f>
        <v>0</v>
      </c>
      <c r="CA276" s="13"/>
      <c r="CB276" s="5">
        <f>CB5*CA276+CC5*CA276+CB6*CA276+CC6*CA276+CB7*CA276+CC7*CA276+CB8*CA276+CC8*CA276+CB9*CA276+CC9*CA276+CB10*CA276+CC10*CA276+CB11*CA276+CC11*CA276+CB12*CA276+CC12*CA276+CB13*CA276+CC13*CA276+CB14*CA276+CC14*CA276+CB15*CA276+CC15*CA276+CB16*CA276+CC16*CA276+CB17*CA276+CC17*CA276+CB18*CA276+CC18*CA276+CB19*CA276+CC19*CA276+CB20*CA276+CC20*CA276+CB21*CA276+CC21*CA276+CB22*CA276+CC22*CA276+CB23*CA276+CC23*CA276+CB24*CA276+CC24*CA276+CB25*CA276+CC25*CA276+CB26*CA276+CC26*CA276</f>
        <v>0</v>
      </c>
      <c r="CC276" s="11"/>
      <c r="CE276" s="13"/>
      <c r="CF276" s="5"/>
      <c r="CG276" s="12"/>
      <c r="CI276" s="13"/>
      <c r="CJ276" s="5"/>
      <c r="CK276" s="12"/>
      <c r="CM276" s="13"/>
      <c r="CN276" s="5"/>
      <c r="CO276" s="12"/>
      <c r="CQ276" s="13"/>
      <c r="CR276" s="5"/>
      <c r="CS276" s="12"/>
      <c r="CU276" s="13"/>
      <c r="CV276" s="5"/>
      <c r="CW276" s="12"/>
      <c r="CY276" s="13"/>
      <c r="CZ276" s="5"/>
      <c r="DA276" s="12"/>
      <c r="DC276" s="13"/>
      <c r="DD276" s="5"/>
      <c r="DE276" s="12"/>
      <c r="DG276" s="13"/>
      <c r="DH276" s="5"/>
      <c r="DI276" s="12"/>
      <c r="DK276" s="13"/>
      <c r="DL276" s="5"/>
      <c r="DM276" s="12"/>
      <c r="DO276" s="13"/>
      <c r="DP276" s="5"/>
      <c r="DQ276" s="12"/>
      <c r="DS276" s="5"/>
      <c r="DV276" s="5"/>
      <c r="DW276" s="660">
        <f t="shared" si="2"/>
        <v>0</v>
      </c>
      <c r="DX276" s="116">
        <v>34</v>
      </c>
    </row>
    <row r="277" spans="1:128" s="6" customFormat="1" ht="15" customHeight="1">
      <c r="A277" s="3">
        <v>98</v>
      </c>
      <c r="B277" s="210" t="s">
        <v>1289</v>
      </c>
      <c r="C277" s="473" t="s">
        <v>515</v>
      </c>
      <c r="D277" s="4"/>
      <c r="E277" s="5"/>
      <c r="F277" s="5"/>
      <c r="G277" s="4"/>
      <c r="H277" s="4"/>
      <c r="I277" s="4"/>
      <c r="J277" s="4"/>
      <c r="K277" s="5">
        <v>1</v>
      </c>
      <c r="L277" s="5">
        <f>SUM(L5:M26)*K277</f>
        <v>0</v>
      </c>
      <c r="M277" s="5"/>
      <c r="O277" s="5">
        <v>1</v>
      </c>
      <c r="P277" s="5">
        <f>SUM(P5:Q26)*O277</f>
        <v>0</v>
      </c>
      <c r="Q277" s="5"/>
      <c r="S277" s="5"/>
      <c r="T277" s="5"/>
      <c r="U277" s="5"/>
      <c r="W277" s="5">
        <v>1</v>
      </c>
      <c r="X277" s="5">
        <f>SUM(X5:Y26)*W277</f>
        <v>0</v>
      </c>
      <c r="Y277" s="12"/>
      <c r="AA277" s="13">
        <v>1</v>
      </c>
      <c r="AB277" s="5">
        <f>SUM(AB5:AC26)*AA277</f>
        <v>0</v>
      </c>
      <c r="AD277" s="13"/>
      <c r="AE277" s="5"/>
      <c r="AF277" s="5"/>
      <c r="AH277" s="13"/>
      <c r="AI277" s="5"/>
      <c r="AK277" s="5"/>
      <c r="AL277" s="5"/>
      <c r="AM277" s="5"/>
      <c r="AO277" s="5"/>
      <c r="AP277" s="5"/>
      <c r="AR277" s="5"/>
      <c r="AS277" s="5"/>
      <c r="AT277" s="5"/>
      <c r="AV277" s="5"/>
      <c r="AW277" s="5"/>
      <c r="AY277" s="5"/>
      <c r="AZ277" s="5"/>
      <c r="BA277" s="5"/>
      <c r="BC277" s="5"/>
      <c r="BD277" s="5"/>
      <c r="BF277" s="5">
        <v>1</v>
      </c>
      <c r="BG277" s="5">
        <f>BG26*BF277+BH26*BF277+BG5*BF277+BH5*BF277+BG6*BF277+BH6*BF277+BG7*BF277+BH7*BF277+BG8*BF277+BG9*BF277+BG10*BF277+BG11*BF277+BG12*BF277+BG13*BF277+BG14*BF277+BG15*BF277+BG16*BF277+BG17*BF277+BG18*BF277+BG19*BF277+BG20*BF277+BG21*BF277+BG22*BF277+BG23*BF277+BG24*BF277+BG25*BF277+BH8*BF277+BH9*BF277+BH10*BF277+BH11*BF277+BH12*BF277+BH13*BF277+BH14*BF277+BH15*BF277+BH16*BF277+BH17*BF277+BH18*BF277+BH19*BF277+BH20*BF277+BH21*BF277+BH22*BF277+BH23*BF277+BH24*BF277+BH25*BF277</f>
        <v>0</v>
      </c>
      <c r="BH277" s="5"/>
      <c r="BJ277" s="5">
        <v>1</v>
      </c>
      <c r="BK277" s="5">
        <f>BK26*BJ277+BL26*BJ277+BK5*BJ277+BL5*BJ277+BK6*BJ277+BL6*BJ277+BK7*BJ277+BL7*BJ277+BK8*BJ277+BK9*BJ277+BK10*BJ277+BK11*BJ277+BK12*BJ277+BK13*BJ277+BK14*BJ277+BK15*BJ277+BK16*BJ277+BK17*BJ277+BK18*BJ277+BK19*BJ277+BK20*BJ277+BK21*BJ277+BK22*BJ277+BK23*BJ277+BK24*BJ277+BK25*BJ277+BL8*BJ277+BL9*BJ277+BL10*BJ277+BL11*BJ277+BL12*BJ277+BL13*BJ277+BL14*BJ277+BL15*BJ277+BL16*BJ277+BL17*BJ277+BL18*BJ277+BL19*BJ277+BL20*BJ277+BL21*BJ277+BL22*BJ277+BL23*BJ277+BL24*BJ277+BL25*BJ277</f>
        <v>0</v>
      </c>
      <c r="BL277" s="12"/>
      <c r="BM277" s="5"/>
      <c r="BN277" s="5">
        <f>BN26*BM277+BO26*BM277+BN5*BM277+BO5*BM277+BN6*BM277+BO6*BM277+BN7*BM277+BO7*BM277+BN8*BM277+BN9*BM277+BN10*BM277+BN11*BM277+BN12*BM277+BN13*BM277+BN14*BM277+BN15*BM277+BN16*BM277+BN17*BM277+BN18*BM277+BN19*BM277+BN20*BM277+BN21*BM277+BN22*BM277+BN23*BM277+BN24*BM277+BN25*BM277+BO8*BM277+BO9*BM277+BO10*BM277+BO11*BM277+BO12*BM277+BO13*BM277+BO14*BM277+BO15*BM277+BO16*BM277+BO17*BM277+BO18*BM277+BO19*BM277+BO20*BM277+BO21*BM277+BO22*BM277+BO23*BM277+BO24*BM277+BO25*BM277</f>
        <v>0</v>
      </c>
      <c r="BO277" s="5"/>
      <c r="BQ277" s="5"/>
      <c r="BR277" s="5">
        <f>BR26*BQ277+BS26*BQ277+BR5*BQ277+BS5*BQ277+BR6*BQ277+BS6*BQ277+BR7*BQ277+BS7*BQ277+BR8*BQ277+BR9*BQ277+BR10*BQ277+BR11*BQ277+BR12*BQ277+BR13*BQ277+BR14*BQ277+BR15*BQ277+BR16*BQ277+BR17*BQ277+BR18*BQ277+BR19*BQ277+BR20*BQ277+BR21*BQ277+BR22*BQ277+BR23*BQ277+BR24*BQ277+BR25*BQ277+BS8*BQ277+BS9*BQ277+BS10*BQ277+BS11*BQ277+BS12*BQ277+BS13*BQ277+BS14*BQ277+BS15*BQ277+BS16*BQ277+BS17*BQ277+BS18*BQ277+BS19*BQ277+BS20*BQ277+BS21*BQ277+BS22*BQ277+BS23*BQ277+BS24*BQ277+BS25*BQ277</f>
        <v>0</v>
      </c>
      <c r="BT277" s="5"/>
      <c r="BU277" s="5"/>
      <c r="BV277" s="5"/>
      <c r="BX277" s="5"/>
      <c r="BY277" s="5"/>
      <c r="CA277" s="13">
        <v>1</v>
      </c>
      <c r="CB277" s="5">
        <f>SUM(CB5:CC26)*CA277</f>
        <v>0</v>
      </c>
      <c r="CC277" s="11"/>
      <c r="CE277" s="13">
        <v>1</v>
      </c>
      <c r="CF277" s="5">
        <f>SUM(CF5:CG26)*CE277</f>
        <v>0</v>
      </c>
      <c r="CG277" s="12"/>
      <c r="CI277" s="13">
        <v>1</v>
      </c>
      <c r="CJ277" s="5">
        <f>SUM(CJ5:CK26)*CI277</f>
        <v>0</v>
      </c>
      <c r="CK277" s="12"/>
      <c r="CM277" s="13">
        <v>1</v>
      </c>
      <c r="CN277" s="5">
        <f>SUM(CN5:CO26)*CM277</f>
        <v>0</v>
      </c>
      <c r="CO277" s="12"/>
      <c r="CQ277" s="13">
        <v>1</v>
      </c>
      <c r="CR277" s="5">
        <f>SUM(CR5:CS26)*CQ277</f>
        <v>0</v>
      </c>
      <c r="CS277" s="12"/>
      <c r="CU277" s="13">
        <v>1</v>
      </c>
      <c r="CV277" s="5">
        <f>SUM(CV5:CW26)*CU277</f>
        <v>0</v>
      </c>
      <c r="CW277" s="12"/>
      <c r="CY277" s="13"/>
      <c r="CZ277" s="5"/>
      <c r="DA277" s="12"/>
      <c r="DC277" s="13"/>
      <c r="DD277" s="5"/>
      <c r="DE277" s="12"/>
      <c r="DG277" s="13"/>
      <c r="DH277" s="5"/>
      <c r="DI277" s="12"/>
      <c r="DK277" s="13"/>
      <c r="DL277" s="5"/>
      <c r="DM277" s="12"/>
      <c r="DO277" s="13"/>
      <c r="DP277" s="5"/>
      <c r="DQ277" s="12"/>
      <c r="DS277" s="5"/>
      <c r="DV277" s="5"/>
      <c r="DW277" s="660">
        <f t="shared" si="2"/>
        <v>0</v>
      </c>
      <c r="DX277" s="142">
        <v>13</v>
      </c>
    </row>
    <row r="278" spans="1:128" s="6" customFormat="1" ht="15" customHeight="1">
      <c r="A278" s="3">
        <v>99</v>
      </c>
      <c r="B278" s="210" t="s">
        <v>1290</v>
      </c>
      <c r="C278" s="473" t="s">
        <v>515</v>
      </c>
      <c r="D278" s="4"/>
      <c r="E278" s="5"/>
      <c r="F278" s="5"/>
      <c r="G278" s="4"/>
      <c r="H278" s="4"/>
      <c r="I278" s="4"/>
      <c r="J278" s="4"/>
      <c r="K278" s="5">
        <v>1</v>
      </c>
      <c r="L278" s="5">
        <f>L5*K278+M5*K278+L6*K278+M6*K278+L7*K278+M7*K278+L8*K278+M8*K278+L9*K278+L10*K278+L11*K278+L12*K278+L13*K278+L14*K278+L15*K278+L16*K278+L17*K278+L18*K278+L19*K278+L20*K278+L21*K278+L22*K278+L23*K278+L24*K278+L25*K278+L26*K278+M9*K278+M10*K278+M11*K278+M12*K278+M13*K278+M14*K278+M15*K278+M16*K278+M17*K278+M18*K278+M19*K278+M20*K278+M21*K278+M22*K278+M23*K278+M24*K278+M25*K278+M26*K278</f>
        <v>0</v>
      </c>
      <c r="M278" s="5"/>
      <c r="O278" s="5">
        <v>1</v>
      </c>
      <c r="P278" s="5">
        <f>P5*O278+Q5*O278+P6*O278+Q6*O278+P7*O278+Q7*O278+P8*O278+Q8*O278+P9*O278+P10*O278+P11*O278+P12*O278+P13*O278+P14*O278+P15*O278+P16*O278+P17*O278+P18*O278+P19*O278+P20*O278+P21*O278+P22*O278+P23*O278+P24*O278+P25*O278+P26*O278+Q9*O278+Q10*O278+Q11*O278+Q12*O278+Q13*O278+Q14*O278+Q15*O278+Q16*O278+Q17*O278+Q18*O278+Q19*O278+Q20*O278+Q21*O278+Q22*O278+Q23*O278+Q24*O278+Q25*O278+Q26*O278</f>
        <v>0</v>
      </c>
      <c r="Q278" s="5"/>
      <c r="S278" s="5"/>
      <c r="T278" s="5"/>
      <c r="U278" s="5"/>
      <c r="W278" s="5">
        <v>1</v>
      </c>
      <c r="X278" s="5">
        <f>X5*W278+Y5*W278+X6*W278+Y6*W278+X7*W278+Y7*W278+X8*W278+Y8*W278+X9*W278+X10*W278+X11*W278+X12*W278+X13*W278+X14*W278+X15*W278+X16*W278+X17*W278+X18*W278+X19*W278+X20*W278+X21*W278+X22*W278+X23*W278+X24*W278+X25*W278+X26*W278+Y9*W278+Y10*W278+Y11*W278+Y12*W278+Y13*W278+Y14*W278+Y15*W278+Y16*W278+Y17*W278+Y18*W278+Y19*W278+Y20*W278+Y21*W278+Y22*W278+Y23*W278+Y24*W278+Y25*W278+Y26*W278</f>
        <v>0</v>
      </c>
      <c r="Y278" s="12"/>
      <c r="AA278" s="13">
        <v>1</v>
      </c>
      <c r="AB278" s="12">
        <f>AB5*AA278+AC5*AA278+AB6*AA278+AC6*AA278+AB7*AA278+AC7*AA278+AB8*AA278+AC8*AA278+AB9*AA278+AB10*AA278+AB11*AA278+AB12*AA278+AB13*AA278+AB14*AA278+AB15*AA278+AB16*AA278+AB17*AA278+AB18*AA278+AB19*AA278+AB20*AA278+AB21*AA278+AB22*AA278+AB23*AA278+AB24*AA278+AB25*AA278+AB26*AA278+AC9*AA278+AC10*AA278+AC11*AA278+AC12*AA278+AC13*AA278+AC14*AA278+AC15*AA278+AC16*AA278+AC17*AA278+AC18*AA278+AC19*AA278+AC20*AA278+AC21*AA278+AC22*AA278+AC23*AA278+AC24*AA278+AC25*AA278+AC26*AA278</f>
        <v>0</v>
      </c>
      <c r="AD278" s="13"/>
      <c r="AE278" s="5"/>
      <c r="AF278" s="5"/>
      <c r="AH278" s="13"/>
      <c r="AI278" s="5"/>
      <c r="AK278" s="5"/>
      <c r="AL278" s="5"/>
      <c r="AM278" s="5"/>
      <c r="AO278" s="5"/>
      <c r="AP278" s="5"/>
      <c r="AR278" s="5"/>
      <c r="AS278" s="5"/>
      <c r="AT278" s="5"/>
      <c r="AV278" s="5"/>
      <c r="AW278" s="5"/>
      <c r="AY278" s="5"/>
      <c r="AZ278" s="5"/>
      <c r="BA278" s="5"/>
      <c r="BC278" s="5"/>
      <c r="BD278" s="5"/>
      <c r="BF278" s="5">
        <v>1</v>
      </c>
      <c r="BG278" s="5">
        <f>BG5*BF278+BH5*BF278+BG6*BF278+BH6*BF278+BG7*BF278+BH7*BF278+BG8*BF278+BH8*BF278+BG9*BF278+BG10*BF278+BG11*BF278+BG12*BF278+BG13*BF278+BG14*BF278+BG15*BF278+BG16*BF278+BG17*BF278+BG18*BF278+BG19*BF278+BG20*BF278+BG21*BF278+BG22*BF278+BG23*BF278+BG24*BF278+BG25*BF278+BG26*BF278+BH9*BF278+BH10*BF278+BH11*BF278+BH12*BF278+BH13*BF278+BH14*BF278+BH15*BF278+BH16*BF278+BH17*BF278+BH18*BF278+BH19*BF278+BH20*BF278+BH21*BF278+BH22*BF278+BH23*BF278+BH24*BF278+BH25*BF278+BH26*BF278</f>
        <v>0</v>
      </c>
      <c r="BH278" s="5"/>
      <c r="BJ278" s="5">
        <v>1</v>
      </c>
      <c r="BK278" s="5">
        <f>BK5*BJ278+BL5*BJ278+BK6*BJ278+BL6*BJ278+BK7*BJ278+BL7*BJ278+BK8*BJ278+BL8*BJ278+BK9*BJ278+BK10*BJ278+BK11*BJ278+BK12*BJ278+BK13*BJ278+BK14*BJ278+BK15*BJ278+BK16*BJ278+BK17*BJ278+BK18*BJ278+BK19*BJ278+BK20*BJ278+BK21*BJ278+BK22*BJ278+BK23*BJ278+BK24*BJ278+BK25*BJ278+BK26*BJ278+BL9*BJ278+BL10*BJ278+BL11*BJ278+BL12*BJ278+BL13*BJ278+BL14*BJ278+BL15*BJ278+BL16*BJ278+BL17*BJ278+BL18*BJ278+BL19*BJ278+BL20*BJ278+BL21*BJ278+BL22*BJ278+BL23*BJ278+BL24*BJ278+BL25*BJ278+BL26*BJ278</f>
        <v>0</v>
      </c>
      <c r="BL278" s="12"/>
      <c r="BM278" s="5">
        <v>1</v>
      </c>
      <c r="BN278" s="5">
        <f>BN5*BM278+BO5*BM278+BN6*BM278+BO6*BM278+BN7*BM278+BO7*BM278+BN8*BM278+BO8*BM278+BN9*BM278+BN10*BM278+BN11*BM278+BN12*BM278+BN13*BM278+BN14*BM278+BN15*BM278+BN16*BM278+BN17*BM278+BN18*BM278+BN19*BM278+BN20*BM278+BN21*BM278+BN22*BM278+BN23*BM278+BN24*BM278+BN25*BM278+BN26*BM278+BO9*BM278+BO10*BM278+BO11*BM278+BO12*BM278+BO13*BM278+BO14*BM278+BO15*BM278+BO16*BM278+BO17*BM278+BO18*BM278+BO19*BM278+BO20*BM278+BO21*BM278+BO22*BM278+BO23*BM278+BO24*BM278+BO25*BM278+BO26*BM278</f>
        <v>0</v>
      </c>
      <c r="BO278" s="5"/>
      <c r="BQ278" s="5">
        <v>1</v>
      </c>
      <c r="BR278" s="5">
        <f>BR5*BQ278+BS5*BQ278+BR6*BQ278+BS6*BQ278+BR7*BQ278+BS7*BQ278+BR8*BQ278+BS8*BQ278+BR9*BQ278+BR10*BQ278+BR11*BQ278+BR12*BQ278+BR13*BQ278+BR14*BQ278+BR15*BQ278+BR16*BQ278+BR17*BQ278+BR18*BQ278+BR19*BQ278+BR20*BQ278+BR21*BQ278+BR22*BQ278+BR23*BQ278+BR24*BQ278+BR25*BQ278+BR26*BQ278+BS9*BQ278+BS10*BQ278+BS11*BQ278+BS12*BQ278+BS13*BQ278+BS14*BQ278+BS15*BQ278+BS16*BQ278+BS17*BQ278+BS18*BQ278+BS19*BQ278+BS20*BQ278+BS21*BQ278+BS22*BQ278+BS23*BQ278+BS24*BQ278+BS25*BQ278+BS26*BQ278</f>
        <v>0</v>
      </c>
      <c r="BT278" s="5"/>
      <c r="BU278" s="5"/>
      <c r="BV278" s="5"/>
      <c r="BX278" s="5"/>
      <c r="BY278" s="5"/>
      <c r="CA278" s="13">
        <v>1</v>
      </c>
      <c r="CB278" s="5">
        <f>CB5*CA278+CC5*CA278+CB6*CA278+CC6*CA278+CB7*CA278+CC7*CA278+CB8*CA278+CC8*CA278+CB9*CA278+CB10*CA278+CB11*CA278+CB12*CA278+CB13*CA278+CB14*CA278+CB15*CA278+CB16*CA278+CB17*CA278+CB18*CA278+CB19*CA278+CB20*CA278+CB21*CA278+CB22*CA278+CB23*CA278+CB24*CA278+CB25*CA278+CB26*CA278+CC9*CA278+CC10*CA278+CC11*CA278+CC12*CA278+CC13*CA278+CC14*CA278+CC15*CA278+CC16*CA278+CC17*CA278+CC18*CA278+CC19*CA278+CC20*CA278+CC21*CA278+CC22*CA278+CC23*CA278+CC24*CA278+CC25*CA278+CC26*CA278</f>
        <v>0</v>
      </c>
      <c r="CC278" s="11"/>
      <c r="CE278" s="13">
        <v>1</v>
      </c>
      <c r="CF278" s="5">
        <f>CF5*CE278+CG5*CE278+CF6*CE278+CG6*CE278+CF7*CE278+CG7*CE278+CF8*CE278+CG8*CE278+CF9*CE278+CF10*CE278+CF11*CE278+CF12*CE278+CF13*CE278+CF14*CE278+CF15*CE278+CF16*CE278+CF17*CE278+CF18*CE278+CF19*CE278+CF20*CE278+CF21*CE278+CF22*CE278+CF23*CE278+CF24*CE278+CF25*CE278+CF26*CE278+CG9*CE278+CG10*CE278+CG11*CE278+CG12*CE278+CG13*CE278+CG14*CE278+CG15*CE278+CG16*CE278+CG17*CE278+CG18*CE278+CG19*CE278+CG20*CE278+CG21*CE278+CG22*CE278+CG23*CE278+CG24*CE278+CG25*CE278+CG26*CE278</f>
        <v>0</v>
      </c>
      <c r="CG278" s="12"/>
      <c r="CI278" s="13">
        <v>1</v>
      </c>
      <c r="CJ278" s="5">
        <f>CJ5*CI278+CK5*CI278+CJ6*CI278+CK6*CI278+CJ7*CI278+CK7*CI278+CJ8*CI278+CK8*CI278+CJ9*CI278+CJ10*CI278+CJ11*CI278+CJ12*CI278+CJ13*CI278+CJ14*CI278+CJ15*CI278+CJ16*CI278+CJ17*CI278+CJ18*CI278+CJ19*CI278+CJ20*CI278+CJ21*CI278+CJ22*CI278+CJ23*CI278+CJ24*CI278+CJ25*CI278+CJ26*CI278+CK9*CI278+CK10*CI278+CK11*CI278+CK12*CI278+CK13*CI278+CK14*CI278+CK15*CI278+CK16*CI278+CK17*CI278+CK18*CI278+CK19*CI278+CK20*CI278+CK21*CI278+CK22*CI278+CK23*CI278+CK24*CI278+CK25*CI278+CK26*CI278</f>
        <v>0</v>
      </c>
      <c r="CK278" s="12"/>
      <c r="CM278" s="13">
        <v>1</v>
      </c>
      <c r="CN278" s="5">
        <f>CN5*CM278+CO5*CM278+CN6*CM278+CO6*CM278+CN7*CM278+CO7*CM278+CN8*CM278+CO8*CM278+CN9*CM278+CN10*CM278+CN11*CM278+CN12*CM278+CN13*CM278+CN14*CM278+CN15*CM278+CN16*CM278+CN17*CM278+CN18*CM278+CN19*CM278+CN20*CM278+CN21*CM278+CN22*CM278+CN23*CM278+CN24*CM278+CN25*CM278+CN26*CM278+CO9*CM278+CO10*CM278+CO11*CM278+CO12*CM278+CO13*CM278+CO14*CM278+CO15*CM278+CO16*CM278+CO17*CM278+CO18*CM278+CO19*CM278+CO20*CM278+CO21*CM278+CO22*CM278+CO23*CM278+CO24*CM278+CO25*CM278+CO26*CM278</f>
        <v>0</v>
      </c>
      <c r="CO278" s="12"/>
      <c r="CQ278" s="13">
        <v>1</v>
      </c>
      <c r="CR278" s="5">
        <f>CR5*CQ278+CS5*CQ278+CR6*CQ278+CS6*CQ278+CR7*CQ278+CS7*CQ278+CR8*CQ278+CS8*CQ278+CR9*CQ278+CR10*CQ278+CR11*CQ278+CR12*CQ278+CR13*CQ278+CR14*CQ278+CR15*CQ278+CR16*CQ278+CR17*CQ278+CR18*CQ278+CR19*CQ278+CR20*CQ278+CR21*CQ278+CR22*CQ278+CR23*CQ278+CR24*CQ278+CR25*CQ278+CR26*CQ278+CS9*CQ278+CS10*CQ278+CS11*CQ278+CS12*CQ278+CS13*CQ278+CS14*CQ278+CS15*CQ278+CS16*CQ278+CS17*CQ278+CS18*CQ278+CS19*CQ278+CS20*CQ278+CS21*CQ278+CS22*CQ278+CS23*CQ278+CS24*CQ278+CS25*CQ278+CS26*CQ278</f>
        <v>0</v>
      </c>
      <c r="CS278" s="12"/>
      <c r="CU278" s="13">
        <v>1</v>
      </c>
      <c r="CV278" s="5">
        <f>CV5*CU278+CW5*CU278+CV6*CU278+CW6*CU278+CV7*CU278+CW7*CU278+CV8*CU278+CW8*CU278+CV9*CU278+CV10*CU278+CV11*CU278+CV12*CU278+CV13*CU278+CV14*CU278+CV15*CU278+CV16*CU278+CV17*CU278+CV18*CU278+CV19*CU278+CV20*CU278+CV21*CU278+CV22*CU278+CV23*CU278+CV24*CU278+CV25*CU278+CV26*CU278+CW9*CU278+CW10*CU278+CW11*CU278+CW12*CU278+CW13*CU278+CW14*CU278+CW15*CU278+CW16*CU278+CW17*CU278+CW18*CU278+CW19*CU278+CW20*CU278+CW21*CU278+CW22*CU278+CW23*CU278+CW24*CU278+CW25*CU278+CW26*CU278</f>
        <v>0</v>
      </c>
      <c r="CW278" s="12"/>
      <c r="CY278" s="13"/>
      <c r="CZ278" s="5"/>
      <c r="DA278" s="12"/>
      <c r="DC278" s="13"/>
      <c r="DD278" s="5"/>
      <c r="DE278" s="12"/>
      <c r="DG278" s="13"/>
      <c r="DH278" s="5"/>
      <c r="DI278" s="12"/>
      <c r="DK278" s="13"/>
      <c r="DL278" s="5"/>
      <c r="DM278" s="12"/>
      <c r="DO278" s="13"/>
      <c r="DP278" s="5"/>
      <c r="DQ278" s="12"/>
      <c r="DS278" s="5"/>
      <c r="DV278" s="5"/>
      <c r="DW278" s="660">
        <f t="shared" si="2"/>
        <v>0</v>
      </c>
      <c r="DX278" s="116">
        <v>34</v>
      </c>
    </row>
    <row r="279" spans="1:128" s="6" customFormat="1" ht="15" customHeight="1">
      <c r="A279" s="3">
        <v>100</v>
      </c>
      <c r="B279" s="210" t="s">
        <v>16</v>
      </c>
      <c r="C279" s="473" t="s">
        <v>515</v>
      </c>
      <c r="D279" s="4"/>
      <c r="E279" s="5"/>
      <c r="F279" s="5"/>
      <c r="G279" s="4"/>
      <c r="H279" s="4"/>
      <c r="I279" s="4"/>
      <c r="J279" s="4"/>
      <c r="K279" s="5"/>
      <c r="L279" s="5"/>
      <c r="M279" s="5"/>
      <c r="O279" s="5"/>
      <c r="P279" s="5"/>
      <c r="Q279" s="5"/>
      <c r="S279" s="5"/>
      <c r="T279" s="5"/>
      <c r="U279" s="5"/>
      <c r="W279" s="5"/>
      <c r="X279" s="5"/>
      <c r="Y279" s="12"/>
      <c r="AA279" s="13"/>
      <c r="AB279" s="12"/>
      <c r="AD279" s="13"/>
      <c r="AE279" s="5"/>
      <c r="AF279" s="5"/>
      <c r="AH279" s="13"/>
      <c r="AI279" s="5"/>
      <c r="AK279" s="5"/>
      <c r="AL279" s="5"/>
      <c r="AM279" s="5"/>
      <c r="AO279" s="5"/>
      <c r="AP279" s="5"/>
      <c r="AR279" s="5"/>
      <c r="AS279" s="5"/>
      <c r="AT279" s="5"/>
      <c r="AV279" s="5"/>
      <c r="AW279" s="5"/>
      <c r="AY279" s="5"/>
      <c r="AZ279" s="5"/>
      <c r="BA279" s="5"/>
      <c r="BC279" s="5"/>
      <c r="BD279" s="5"/>
      <c r="BF279" s="5"/>
      <c r="BG279" s="5"/>
      <c r="BH279" s="5"/>
      <c r="BJ279" s="5"/>
      <c r="BK279" s="5"/>
      <c r="BL279" s="12"/>
      <c r="BM279" s="5"/>
      <c r="BN279" s="5"/>
      <c r="BO279" s="5"/>
      <c r="BQ279" s="5"/>
      <c r="BR279" s="5"/>
      <c r="BT279" s="5"/>
      <c r="BU279" s="5"/>
      <c r="BV279" s="5"/>
      <c r="BX279" s="5"/>
      <c r="BY279" s="5"/>
      <c r="CA279" s="13"/>
      <c r="CB279" s="7"/>
      <c r="CC279" s="11"/>
      <c r="CE279" s="13">
        <v>1</v>
      </c>
      <c r="CF279" s="5">
        <f>SUM(CF5:CG26)*CE279</f>
        <v>0</v>
      </c>
      <c r="CG279" s="12"/>
      <c r="CI279" s="13">
        <v>1</v>
      </c>
      <c r="CJ279" s="5">
        <f>SUM(CJ5:CK26)*CI279</f>
        <v>0</v>
      </c>
      <c r="CK279" s="12"/>
      <c r="CM279" s="13">
        <v>1</v>
      </c>
      <c r="CN279" s="5">
        <f>SUM(CN5:CO26)*CM279</f>
        <v>0</v>
      </c>
      <c r="CO279" s="12"/>
      <c r="CQ279" s="13">
        <v>1</v>
      </c>
      <c r="CR279" s="5">
        <f>SUM(CR5:CS26)*CQ279</f>
        <v>0</v>
      </c>
      <c r="CS279" s="12"/>
      <c r="CU279" s="13">
        <v>1</v>
      </c>
      <c r="CV279" s="5">
        <f>CV7*CU279+CW7*CU279+CV8*CU279+CW8*CU279+CV9*CU279+CW9*CU279+CV10*CU279+CW10*CU279+CV11*CU279+CW11*CU279+CV12*CU279+CW12*CU279+CV13*CU279+CW13*CU279+CV14*CU279+CW14*CU279+CV15*CU279+CW15*CU279+CV16*CU279+CW16*CU279+CV17*CU279+CW17*CU279+CV18*CU279+CW18*CU279+CV19*CU279+CW19*CU279+CV20*CU279+CW20*CU279+CV21*CU279+CW21*CU279+CV22*CU279+CW22*CU279+CV23*CU279+CW23*CU279+CV24*CU279+CW24*CU279+CV25*CU279+CW25*CU279+CV26*CU279+CW26*CU279+CV5*CU279+CW5*CU279+CV6*CU279+CW6*CU279</f>
        <v>0</v>
      </c>
      <c r="CW279" s="12"/>
      <c r="CY279" s="13">
        <v>1</v>
      </c>
      <c r="CZ279" s="5">
        <f>SUM(CZ5:DA26)*CY279</f>
        <v>0</v>
      </c>
      <c r="DA279" s="12"/>
      <c r="DC279" s="13">
        <v>1</v>
      </c>
      <c r="DD279" s="5">
        <f>SUM(DD5:DE26)*DC279</f>
        <v>0</v>
      </c>
      <c r="DE279" s="12"/>
      <c r="DG279" s="13">
        <v>1</v>
      </c>
      <c r="DH279" s="5">
        <f>SUM(DH5:DI26)*DG279</f>
        <v>0</v>
      </c>
      <c r="DI279" s="12"/>
      <c r="DK279" s="13">
        <v>1</v>
      </c>
      <c r="DL279" s="5">
        <f>SUM(DL5:DM26)*DK279</f>
        <v>0</v>
      </c>
      <c r="DM279" s="12"/>
      <c r="DO279" s="13">
        <v>1</v>
      </c>
      <c r="DP279" s="5">
        <f>SUM(DP5:DQ26)*DO279</f>
        <v>0</v>
      </c>
      <c r="DQ279" s="12"/>
      <c r="DS279" s="5">
        <v>1</v>
      </c>
      <c r="DV279" s="5"/>
      <c r="DW279" s="660">
        <f t="shared" si="2"/>
        <v>0</v>
      </c>
    </row>
    <row r="280" spans="1:128" s="6" customFormat="1" ht="15" customHeight="1">
      <c r="A280" s="3">
        <v>101</v>
      </c>
      <c r="B280" s="210" t="s">
        <v>17</v>
      </c>
      <c r="C280" s="473" t="s">
        <v>515</v>
      </c>
      <c r="D280" s="4"/>
      <c r="E280" s="5"/>
      <c r="F280" s="5"/>
      <c r="G280" s="4"/>
      <c r="H280" s="4"/>
      <c r="I280" s="4"/>
      <c r="J280" s="4"/>
      <c r="K280" s="5"/>
      <c r="L280" s="5"/>
      <c r="M280" s="5"/>
      <c r="O280" s="5"/>
      <c r="P280" s="5"/>
      <c r="Q280" s="5"/>
      <c r="S280" s="5"/>
      <c r="T280" s="5"/>
      <c r="U280" s="5"/>
      <c r="W280" s="5"/>
      <c r="X280" s="5"/>
      <c r="Y280" s="12"/>
      <c r="AA280" s="13"/>
      <c r="AB280" s="12"/>
      <c r="AD280" s="13"/>
      <c r="AE280" s="5"/>
      <c r="AF280" s="5"/>
      <c r="AH280" s="13"/>
      <c r="AI280" s="5"/>
      <c r="AK280" s="5"/>
      <c r="AL280" s="5"/>
      <c r="AM280" s="5"/>
      <c r="AO280" s="5"/>
      <c r="AP280" s="5"/>
      <c r="AR280" s="5"/>
      <c r="AS280" s="5"/>
      <c r="AT280" s="5"/>
      <c r="AV280" s="5"/>
      <c r="AW280" s="5"/>
      <c r="AY280" s="5"/>
      <c r="AZ280" s="5"/>
      <c r="BA280" s="5"/>
      <c r="BC280" s="5"/>
      <c r="BD280" s="5"/>
      <c r="BF280" s="5"/>
      <c r="BG280" s="5"/>
      <c r="BH280" s="5"/>
      <c r="BJ280" s="5"/>
      <c r="BK280" s="5"/>
      <c r="BL280" s="12"/>
      <c r="BM280" s="5"/>
      <c r="BN280" s="5"/>
      <c r="BO280" s="5"/>
      <c r="BQ280" s="5"/>
      <c r="BR280" s="5"/>
      <c r="BT280" s="5"/>
      <c r="BU280" s="5"/>
      <c r="BV280" s="5"/>
      <c r="BX280" s="5"/>
      <c r="BY280" s="5"/>
      <c r="CA280" s="13"/>
      <c r="CB280" s="7"/>
      <c r="CC280" s="11"/>
      <c r="CE280" s="13">
        <v>1</v>
      </c>
      <c r="CF280" s="5">
        <f>SUM(CF5:CG26)*CE280</f>
        <v>0</v>
      </c>
      <c r="CG280" s="12"/>
      <c r="CI280" s="13">
        <v>1</v>
      </c>
      <c r="CJ280" s="5">
        <f>SUM(CJ5:CK26)*CI280</f>
        <v>0</v>
      </c>
      <c r="CK280" s="12"/>
      <c r="CM280" s="13">
        <v>1</v>
      </c>
      <c r="CN280" s="5">
        <f>SUM(CN5:CO26)*CM280</f>
        <v>0</v>
      </c>
      <c r="CO280" s="12"/>
      <c r="CQ280" s="13">
        <v>1</v>
      </c>
      <c r="CR280" s="5">
        <f>SUM(CR5:CS26)*CQ280</f>
        <v>0</v>
      </c>
      <c r="CS280" s="12"/>
      <c r="CU280" s="13">
        <v>1</v>
      </c>
      <c r="CV280" s="5">
        <f>CV8*CU280+CW8*CU280+CV9*CU280+CW9*CU280+CV10*CU280+CW10*CU280+CV11*CU280+CW11*CU280+CV12*CU280+CW12*CU280+CV13*CU280+CW13*CU280+CV14*CU280+CW14*CU280+CV15*CU280+CW15*CU280+CV16*CU280+CW16*CU280+CV17*CU280+CW17*CU280+CV18*CU280+CW18*CU280+CV19*CU280+CW19*CU280+CV20*CU280+CW20*CU280+CV21*CU280+CW21*CU280+CV22*CU280+CW22*CU280+CV23*CU280+CW23*CU280+CV24*CU280+CW24*CU280+CV25*CU280+CW25*CU280+CV26*CU280+CW26*CU280+CV5*CU280+CW5*CU280+CV6*CU280+CW6*CU280+CV7*CU280+CW7*CU280</f>
        <v>0</v>
      </c>
      <c r="CW280" s="12"/>
      <c r="CY280" s="13">
        <v>1</v>
      </c>
      <c r="CZ280" s="5">
        <f>SUM(CZ5:DA26)*CY280</f>
        <v>0</v>
      </c>
      <c r="DA280" s="12"/>
      <c r="DC280" s="13">
        <v>1</v>
      </c>
      <c r="DD280" s="5">
        <f>SUM(DD5:DE26)*DC280</f>
        <v>0</v>
      </c>
      <c r="DE280" s="12"/>
      <c r="DG280" s="13">
        <v>1</v>
      </c>
      <c r="DH280" s="5">
        <f>SUM(DH5:DI26)*DG280</f>
        <v>0</v>
      </c>
      <c r="DI280" s="12"/>
      <c r="DK280" s="13">
        <v>1</v>
      </c>
      <c r="DL280" s="5">
        <f>SUM(DL5:DM26)*DK280</f>
        <v>0</v>
      </c>
      <c r="DM280" s="12"/>
      <c r="DO280" s="13">
        <v>1</v>
      </c>
      <c r="DP280" s="5">
        <f>SUM(DP5:DQ26)*DO280</f>
        <v>0</v>
      </c>
      <c r="DQ280" s="12"/>
      <c r="DS280" s="5"/>
      <c r="DV280" s="5"/>
      <c r="DW280" s="660">
        <f t="shared" si="2"/>
        <v>0</v>
      </c>
    </row>
    <row r="281" spans="1:128" s="6" customFormat="1" ht="15" customHeight="1">
      <c r="A281" s="3">
        <v>102</v>
      </c>
      <c r="B281" s="210" t="s">
        <v>199</v>
      </c>
      <c r="C281" s="473" t="s">
        <v>515</v>
      </c>
      <c r="D281" s="4"/>
      <c r="E281" s="5"/>
      <c r="F281" s="5"/>
      <c r="G281" s="4"/>
      <c r="H281" s="4"/>
      <c r="I281" s="4"/>
      <c r="J281" s="4"/>
      <c r="K281" s="5"/>
      <c r="L281" s="5"/>
      <c r="M281" s="5"/>
      <c r="O281" s="5">
        <v>1</v>
      </c>
      <c r="P281" s="5">
        <f>P5*O281+P6*O281+P7*O281+P8*O281+P9*O281+P10*O281+P11*O281+P12*O281+P13*O281+P14*O281+P15*O281+P16*O281+P17*O281+P18*O281+P19*O281+P20*O281+P21*O281+P22*O281+P23*O281+P24*O281+P25*O281+P26*O281</f>
        <v>0</v>
      </c>
      <c r="Q281" s="5"/>
      <c r="S281" s="5"/>
      <c r="T281" s="5"/>
      <c r="U281" s="5"/>
      <c r="W281" s="5">
        <v>1</v>
      </c>
      <c r="X281" s="5">
        <f>X8*W281+X9*W281+X10*W281+X11*W281+X12*W281+X13*W281+X14*W281+X15*W281+X16*W281+X17*W281+X18*W281+X19*W281+X20*W281+X21*W281+X22*W281+X23*W281+X24*W281+X25*W281+X26*W281+X7*W281+X5*W281+X6*W281</f>
        <v>0</v>
      </c>
      <c r="Y281" s="12"/>
      <c r="AA281" s="13"/>
      <c r="AB281" s="12"/>
      <c r="AD281" s="13"/>
      <c r="AE281" s="5"/>
      <c r="AF281" s="5"/>
      <c r="AH281" s="13"/>
      <c r="AI281" s="5"/>
      <c r="AK281" s="5"/>
      <c r="AL281" s="5"/>
      <c r="AM281" s="5"/>
      <c r="AO281" s="5"/>
      <c r="AP281" s="5"/>
      <c r="AR281" s="5"/>
      <c r="AS281" s="5"/>
      <c r="AT281" s="5"/>
      <c r="AV281" s="5"/>
      <c r="AW281" s="5"/>
      <c r="AY281" s="5"/>
      <c r="AZ281" s="5"/>
      <c r="BA281" s="5"/>
      <c r="BC281" s="5"/>
      <c r="BD281" s="5"/>
      <c r="BF281" s="5">
        <v>1</v>
      </c>
      <c r="BG281" s="5">
        <f>BG5*BF281+BG6*BF281+BG7*BF281+BG8*BF281+BG9*BF281+BG10*BF281+BG11*BF281+BG12*BF281+BG13*BF281+BG14*BF281+BG15*BF281+BG16*BF281+BG17*BF281+BG18*BF281+BG19*BF281+BG20*BF281+BG21*BF281+BG22*BF281+BG23*BF281+BG24*BF281+BG25*BF281+BG26*BF281</f>
        <v>0</v>
      </c>
      <c r="BH281" s="5"/>
      <c r="BJ281" s="5"/>
      <c r="BK281" s="5">
        <f>BK5*BJ281+BK6*BJ281+BK7*BJ281+BK8*BJ281+BK9*BJ281+BK10*BJ281+BK11*BJ281+BK12*BJ281+BK13*BJ281+BK14*BJ281+BK15*BJ281+BK16*BJ281+BK17*BJ281+BK18*BJ281+BK19*BJ281+BK20*BJ281+BK21*BJ281+BK22*BJ281+BK23*BJ281+BK24*BJ281+BK25*BJ281+BK26*BJ281</f>
        <v>0</v>
      </c>
      <c r="BL281" s="12"/>
      <c r="BM281" s="5"/>
      <c r="BN281" s="5">
        <f>BN5*BM281+BN6*BM281+BN7*BM281+BN8*BM281+BN9*BM281+BN10*BM281+BN11*BM281+BN12*BM281+BN13*BM281+BN14*BM281+BN15*BM281+BN16*BM281+BN17*BM281+BN18*BM281+BN19*BM281+BN20*BM281+BN21*BM281+BN22*BM281+BN23*BM281+BN24*BM281+BN25*BM281+BN26*BM281</f>
        <v>0</v>
      </c>
      <c r="BO281" s="5"/>
      <c r="BQ281" s="5"/>
      <c r="BR281" s="5">
        <f>BR5*BQ281+BR6*BQ281+BR7*BQ281+BR8*BQ281+BR9*BQ281+BR10*BQ281+BR11*BQ281+BR12*BQ281+BR13*BQ281+BR14*BQ281+BR15*BQ281+BR16*BQ281+BR17*BQ281+BR18*BQ281+BR19*BQ281+BR20*BQ281+BR21*BQ281+BR22*BQ281+BR23*BQ281+BR24*BQ281+BR25*BQ281+BR26*BQ281</f>
        <v>0</v>
      </c>
      <c r="BT281" s="5"/>
      <c r="BU281" s="5">
        <f>BU5*BT281+BU6*BT281+BU7*BT281+BU8*BT281+BU9*BT281+BU10*BT281+BU11*BT281+BU12*BT281+BU13*BT281+BU14*BT281+BU15*BT281+BU16*BT281+BU17*BT281+BU18*BT281+BU19*BT281+BU20*BT281+BU21*BT281+BU22*BT281+BU23*BT281+BU24*BT281+BU25*BT281+BU26*BT281</f>
        <v>0</v>
      </c>
      <c r="BV281" s="5"/>
      <c r="BX281" s="5"/>
      <c r="BY281" s="5">
        <f>BY5*BX281+BY6*BX281+BY7*BX281+BY8*BX281+BY9*BX281+BY10*BX281+BY11*BX281+BY12*BX281+BY13*BX281+BY14*BX281+BY15*BX281+BY16*BX281+BY17*BX281+BY18*BX281+BY19*BX281+BY20*BX281+BY21*BX281+BY22*BX281+BY23*BX281+BY24*BX281+BY25*BX281+BY26*BX281</f>
        <v>0</v>
      </c>
      <c r="CA281" s="13">
        <v>1</v>
      </c>
      <c r="CB281" s="7">
        <f>SUM(CB5:CB26)*CA281</f>
        <v>0</v>
      </c>
      <c r="CC281" s="11"/>
      <c r="CE281" s="13"/>
      <c r="CF281" s="5"/>
      <c r="CG281" s="12"/>
      <c r="CI281" s="13"/>
      <c r="CJ281" s="5"/>
      <c r="CK281" s="12"/>
      <c r="CM281" s="13"/>
      <c r="CN281" s="5"/>
      <c r="CO281" s="12"/>
      <c r="CQ281" s="13"/>
      <c r="CR281" s="5"/>
      <c r="CS281" s="12"/>
      <c r="CU281" s="13"/>
      <c r="CV281" s="5"/>
      <c r="CW281" s="12"/>
      <c r="CY281" s="13"/>
      <c r="CZ281" s="5"/>
      <c r="DA281" s="12"/>
      <c r="DC281" s="13"/>
      <c r="DD281" s="5"/>
      <c r="DE281" s="12"/>
      <c r="DG281" s="13"/>
      <c r="DH281" s="5"/>
      <c r="DI281" s="12"/>
      <c r="DK281" s="13"/>
      <c r="DL281" s="5"/>
      <c r="DM281" s="12"/>
      <c r="DO281" s="13"/>
      <c r="DP281" s="5"/>
      <c r="DQ281" s="12"/>
      <c r="DS281" s="5"/>
      <c r="DV281" s="5"/>
      <c r="DW281" s="660">
        <f t="shared" si="2"/>
        <v>0</v>
      </c>
    </row>
    <row r="282" spans="1:128" s="6" customFormat="1" ht="15" customHeight="1">
      <c r="A282" s="3">
        <v>103</v>
      </c>
      <c r="B282" s="210" t="s">
        <v>197</v>
      </c>
      <c r="C282" s="473" t="s">
        <v>515</v>
      </c>
      <c r="D282" s="4"/>
      <c r="E282" s="5"/>
      <c r="F282" s="5"/>
      <c r="G282" s="4"/>
      <c r="H282" s="4"/>
      <c r="I282" s="4"/>
      <c r="J282" s="4"/>
      <c r="K282" s="5"/>
      <c r="L282" s="5"/>
      <c r="M282" s="5"/>
      <c r="O282" s="5"/>
      <c r="P282" s="5"/>
      <c r="Q282" s="5"/>
      <c r="S282" s="5"/>
      <c r="T282" s="5"/>
      <c r="U282" s="5"/>
      <c r="W282" s="5"/>
      <c r="X282" s="5"/>
      <c r="Y282" s="12"/>
      <c r="AA282" s="13"/>
      <c r="AB282" s="12"/>
      <c r="AD282" s="13"/>
      <c r="AE282" s="5"/>
      <c r="AF282" s="5"/>
      <c r="AH282" s="13"/>
      <c r="AI282" s="5"/>
      <c r="AK282" s="5"/>
      <c r="AL282" s="5"/>
      <c r="AM282" s="5"/>
      <c r="AO282" s="5"/>
      <c r="AP282" s="5"/>
      <c r="AR282" s="5"/>
      <c r="AS282" s="5"/>
      <c r="AT282" s="5"/>
      <c r="AV282" s="5"/>
      <c r="AW282" s="5"/>
      <c r="AY282" s="5"/>
      <c r="AZ282" s="5"/>
      <c r="BA282" s="5"/>
      <c r="BC282" s="5"/>
      <c r="BD282" s="5"/>
      <c r="BF282" s="5"/>
      <c r="BG282" s="5"/>
      <c r="BH282" s="5"/>
      <c r="BJ282" s="5"/>
      <c r="BK282" s="5"/>
      <c r="BL282" s="12"/>
      <c r="BM282" s="5"/>
      <c r="BN282" s="5"/>
      <c r="BO282" s="5"/>
      <c r="BQ282" s="5"/>
      <c r="BR282" s="5"/>
      <c r="BT282" s="5"/>
      <c r="BU282" s="5"/>
      <c r="BV282" s="5"/>
      <c r="BX282" s="5"/>
      <c r="BY282" s="5"/>
      <c r="CA282" s="13"/>
      <c r="CB282" s="7"/>
      <c r="CC282" s="11"/>
      <c r="CE282" s="13"/>
      <c r="CF282" s="5"/>
      <c r="CG282" s="12"/>
      <c r="CI282" s="13"/>
      <c r="CJ282" s="5"/>
      <c r="CK282" s="12"/>
      <c r="CM282" s="13"/>
      <c r="CN282" s="5"/>
      <c r="CO282" s="12"/>
      <c r="CQ282" s="13"/>
      <c r="CR282" s="5"/>
      <c r="CS282" s="12"/>
      <c r="CU282" s="13"/>
      <c r="CV282" s="5"/>
      <c r="CW282" s="12"/>
      <c r="CY282" s="13"/>
      <c r="CZ282" s="5"/>
      <c r="DA282" s="12"/>
      <c r="DC282" s="13"/>
      <c r="DD282" s="5"/>
      <c r="DE282" s="12"/>
      <c r="DG282" s="13"/>
      <c r="DH282" s="5"/>
      <c r="DI282" s="12"/>
      <c r="DK282" s="13"/>
      <c r="DL282" s="5"/>
      <c r="DM282" s="12"/>
      <c r="DO282" s="13"/>
      <c r="DP282" s="5"/>
      <c r="DQ282" s="12"/>
      <c r="DS282" s="5"/>
      <c r="DV282" s="5"/>
      <c r="DW282" s="660">
        <f t="shared" si="2"/>
        <v>0</v>
      </c>
    </row>
    <row r="283" spans="1:128" s="6" customFormat="1" ht="15" customHeight="1">
      <c r="A283" s="3">
        <v>104</v>
      </c>
      <c r="B283" s="210" t="s">
        <v>198</v>
      </c>
      <c r="C283" s="473" t="s">
        <v>515</v>
      </c>
      <c r="D283" s="4"/>
      <c r="E283" s="5"/>
      <c r="F283" s="5"/>
      <c r="G283" s="4"/>
      <c r="H283" s="4"/>
      <c r="I283" s="4"/>
      <c r="J283" s="4"/>
      <c r="K283" s="5"/>
      <c r="L283" s="5"/>
      <c r="M283" s="5"/>
      <c r="O283" s="5"/>
      <c r="P283" s="5"/>
      <c r="Q283" s="5"/>
      <c r="S283" s="5"/>
      <c r="T283" s="5"/>
      <c r="U283" s="5"/>
      <c r="W283" s="5"/>
      <c r="X283" s="5"/>
      <c r="Y283" s="12"/>
      <c r="AA283" s="13"/>
      <c r="AB283" s="12"/>
      <c r="AD283" s="13"/>
      <c r="AE283" s="5"/>
      <c r="AF283" s="5"/>
      <c r="AH283" s="13"/>
      <c r="AI283" s="5"/>
      <c r="AK283" s="5"/>
      <c r="AL283" s="5"/>
      <c r="AM283" s="5"/>
      <c r="AO283" s="5"/>
      <c r="AP283" s="5"/>
      <c r="AR283" s="5"/>
      <c r="AS283" s="5"/>
      <c r="AT283" s="5"/>
      <c r="AV283" s="5"/>
      <c r="AW283" s="5"/>
      <c r="AY283" s="5"/>
      <c r="AZ283" s="5"/>
      <c r="BA283" s="5"/>
      <c r="BC283" s="5"/>
      <c r="BD283" s="5"/>
      <c r="BF283" s="5"/>
      <c r="BG283" s="5"/>
      <c r="BH283" s="5"/>
      <c r="BJ283" s="5"/>
      <c r="BK283" s="5"/>
      <c r="BL283" s="12"/>
      <c r="BM283" s="5"/>
      <c r="BN283" s="5"/>
      <c r="BO283" s="5"/>
      <c r="BQ283" s="5"/>
      <c r="BR283" s="5"/>
      <c r="BT283" s="5"/>
      <c r="BU283" s="5"/>
      <c r="BV283" s="5"/>
      <c r="BX283" s="5"/>
      <c r="BY283" s="5"/>
      <c r="CA283" s="13"/>
      <c r="CB283" s="7"/>
      <c r="CC283" s="11"/>
      <c r="CE283" s="13"/>
      <c r="CF283" s="5"/>
      <c r="CG283" s="12"/>
      <c r="CI283" s="13"/>
      <c r="CJ283" s="5"/>
      <c r="CK283" s="12"/>
      <c r="CM283" s="13"/>
      <c r="CN283" s="5"/>
      <c r="CO283" s="12"/>
      <c r="CQ283" s="13"/>
      <c r="CR283" s="5"/>
      <c r="CS283" s="12"/>
      <c r="CU283" s="13"/>
      <c r="CV283" s="5"/>
      <c r="CW283" s="12"/>
      <c r="CY283" s="13"/>
      <c r="CZ283" s="5"/>
      <c r="DA283" s="12"/>
      <c r="DC283" s="13"/>
      <c r="DD283" s="5"/>
      <c r="DE283" s="12"/>
      <c r="DG283" s="13"/>
      <c r="DH283" s="5"/>
      <c r="DI283" s="12"/>
      <c r="DK283" s="13"/>
      <c r="DL283" s="5"/>
      <c r="DM283" s="12"/>
      <c r="DO283" s="13"/>
      <c r="DP283" s="5"/>
      <c r="DQ283" s="12"/>
      <c r="DS283" s="5"/>
      <c r="DV283" s="5"/>
      <c r="DW283" s="660">
        <f t="shared" si="2"/>
        <v>0</v>
      </c>
    </row>
    <row r="284" spans="1:128" s="6" customFormat="1" ht="15" customHeight="1">
      <c r="A284" s="3">
        <v>105</v>
      </c>
      <c r="B284" s="210" t="s">
        <v>318</v>
      </c>
      <c r="C284" s="473" t="s">
        <v>515</v>
      </c>
      <c r="D284" s="4"/>
      <c r="E284" s="5"/>
      <c r="F284" s="5"/>
      <c r="G284" s="4"/>
      <c r="H284" s="4"/>
      <c r="I284" s="4"/>
      <c r="J284" s="4"/>
      <c r="K284" s="5"/>
      <c r="L284" s="5"/>
      <c r="M284" s="5"/>
      <c r="O284" s="5"/>
      <c r="P284" s="5"/>
      <c r="Q284" s="5"/>
      <c r="S284" s="5"/>
      <c r="T284" s="5"/>
      <c r="U284" s="5"/>
      <c r="W284" s="5"/>
      <c r="X284" s="5"/>
      <c r="Y284" s="12"/>
      <c r="AA284" s="13"/>
      <c r="AB284" s="12"/>
      <c r="AD284" s="13"/>
      <c r="AE284" s="5"/>
      <c r="AF284" s="5"/>
      <c r="AH284" s="13"/>
      <c r="AI284" s="5"/>
      <c r="AK284" s="5"/>
      <c r="AL284" s="5"/>
      <c r="AM284" s="5"/>
      <c r="AO284" s="5"/>
      <c r="AP284" s="5"/>
      <c r="AR284" s="5"/>
      <c r="AS284" s="5"/>
      <c r="AT284" s="5"/>
      <c r="AV284" s="5"/>
      <c r="AW284" s="5"/>
      <c r="AY284" s="5"/>
      <c r="AZ284" s="5"/>
      <c r="BA284" s="5"/>
      <c r="BC284" s="5"/>
      <c r="BD284" s="5"/>
      <c r="BF284" s="5"/>
      <c r="BG284" s="5"/>
      <c r="BH284" s="5"/>
      <c r="BJ284" s="5"/>
      <c r="BK284" s="5"/>
      <c r="BL284" s="12"/>
      <c r="BM284" s="5"/>
      <c r="BN284" s="5"/>
      <c r="BO284" s="5"/>
      <c r="BQ284" s="5"/>
      <c r="BR284" s="5"/>
      <c r="BT284" s="5"/>
      <c r="BU284" s="5"/>
      <c r="BV284" s="5"/>
      <c r="BX284" s="5"/>
      <c r="BY284" s="5"/>
      <c r="CA284" s="13"/>
      <c r="CB284" s="7"/>
      <c r="CC284" s="11"/>
      <c r="CE284" s="13"/>
      <c r="CF284" s="5"/>
      <c r="CG284" s="12"/>
      <c r="CI284" s="13"/>
      <c r="CJ284" s="5"/>
      <c r="CK284" s="12"/>
      <c r="CM284" s="13"/>
      <c r="CN284" s="5"/>
      <c r="CO284" s="12"/>
      <c r="CQ284" s="13"/>
      <c r="CR284" s="5"/>
      <c r="CS284" s="12"/>
      <c r="CU284" s="13"/>
      <c r="CV284" s="5"/>
      <c r="CW284" s="12"/>
      <c r="CY284" s="13"/>
      <c r="CZ284" s="5"/>
      <c r="DA284" s="12"/>
      <c r="DC284" s="13"/>
      <c r="DD284" s="5"/>
      <c r="DE284" s="12"/>
      <c r="DG284" s="13"/>
      <c r="DH284" s="5"/>
      <c r="DI284" s="12"/>
      <c r="DK284" s="13"/>
      <c r="DL284" s="5"/>
      <c r="DM284" s="12"/>
      <c r="DO284" s="13"/>
      <c r="DP284" s="5"/>
      <c r="DQ284" s="12"/>
      <c r="DS284" s="5"/>
      <c r="DV284" s="5"/>
      <c r="DW284" s="660">
        <f t="shared" si="2"/>
        <v>0</v>
      </c>
    </row>
    <row r="285" spans="1:128" s="6" customFormat="1" ht="15" customHeight="1">
      <c r="A285" s="3">
        <v>106</v>
      </c>
      <c r="B285" s="210" t="s">
        <v>53</v>
      </c>
      <c r="C285" s="473" t="s">
        <v>515</v>
      </c>
      <c r="D285" s="4"/>
      <c r="E285" s="5"/>
      <c r="F285" s="5"/>
      <c r="G285" s="4"/>
      <c r="H285" s="4"/>
      <c r="I285" s="4"/>
      <c r="J285" s="4"/>
      <c r="K285" s="5"/>
      <c r="L285" s="5"/>
      <c r="M285" s="5"/>
      <c r="O285" s="5">
        <v>1</v>
      </c>
      <c r="P285" s="5">
        <f>Q5*O285+Q6*O285+Q7*O285+Q8*O285+Q9*O285+Q10*O285+Q11*O285+Q12*O285+Q13*O285+Q14*O285+Q15*O285+Q16*O285+Q17*O285+Q18*O285+Q19*O285+Q20*O285+Q21*O285+Q22*O285+Q23*O285+Q24*O285+Q25*O285+Q26*O285</f>
        <v>0</v>
      </c>
      <c r="Q285" s="5"/>
      <c r="S285" s="5"/>
      <c r="T285" s="5"/>
      <c r="U285" s="5"/>
      <c r="W285" s="5">
        <v>1</v>
      </c>
      <c r="X285" s="5">
        <f>Y5*W285+Y9*W285+Y10*W285+Y11*W285+Y12*W285+Y13*W285+Y14*W285+Y15*W285+Y16*W285+Y17*W285+Y18*W285+Y19*W285+Y20*W285+Y21*W285+Y22*W285+Y23*W285+Y24*W285+Y25*W285+Y26*W285+Y6*W285+Y8*W285+Y7*W285</f>
        <v>0</v>
      </c>
      <c r="Y285" s="12"/>
      <c r="AA285" s="13">
        <v>1</v>
      </c>
      <c r="AB285" s="12">
        <f>AB5*AA285+AB9*AA285+AB10*AA285+AB11*AA285+AB12*AA285+AB13*AA285+AB14*AA285+AB15*AA285+AB16*AA285+AB17*AA285+AB18*AA285+AB19*AA285+AB20*AA285+AB21*AA285+AB22*AA285+AB23*AA285+AB24*AA285+AB25*AA285+AB26*AA285+AB8*AA285+AB6*AA285+AB7*AA285</f>
        <v>0</v>
      </c>
      <c r="AD285" s="13"/>
      <c r="AE285" s="5"/>
      <c r="AF285" s="5"/>
      <c r="AH285" s="13"/>
      <c r="AI285" s="5"/>
      <c r="AK285" s="5"/>
      <c r="AL285" s="5"/>
      <c r="AM285" s="5"/>
      <c r="AO285" s="5"/>
      <c r="AP285" s="5"/>
      <c r="AR285" s="5"/>
      <c r="AS285" s="5"/>
      <c r="AT285" s="5"/>
      <c r="AV285" s="5"/>
      <c r="AW285" s="5"/>
      <c r="AY285" s="5"/>
      <c r="AZ285" s="5"/>
      <c r="BA285" s="5"/>
      <c r="BC285" s="5"/>
      <c r="BD285" s="5"/>
      <c r="BF285" s="5">
        <v>1</v>
      </c>
      <c r="BG285" s="5">
        <f>BH5*BF285+BH6*BF285+BH7*BF285+BH8*BF285+BH9*BF285+BH10*BF285+BH11*BF285+BH12*BF285+BH13*BF285+BH14*BF285+BH15*BF285+BH16*BF285+BH17*BF285+BH18*BF285+BH19*BF285+BH20*BF285+BH21*BF285+BH22*BF285+BH23*BF285+BH24*BF285+BH25*BF285+BH26*BF285</f>
        <v>0</v>
      </c>
      <c r="BH285" s="5"/>
      <c r="BJ285" s="5">
        <v>1</v>
      </c>
      <c r="BK285" s="5">
        <f>BK5*BJ285+BK6*BJ285+BK7*BJ285+BK8*BJ285+BK9*BJ285+BK10*BJ285+BK11*BJ285+BK12*BJ285+BK13*BJ285+BK14*BJ285+BK15*BJ285+BK16*BJ285+BK17*BJ285+BK18*BJ285+BK19*BJ285+BK20*BJ285+BK21*BJ285+BK22*BJ285+BK23*BJ285+BK24*BJ285+BK25*BJ285+BK26*BJ285</f>
        <v>0</v>
      </c>
      <c r="BL285" s="12"/>
      <c r="BM285" s="5"/>
      <c r="BN285" s="5">
        <f>BO5*BM285+BO6*BM285+BO7*BM285+BO8*BM285+BO9*BM285+BO10*BM285+BO11*BM285+BO12*BM285+BO13*BM285+BO14*BM285+BO15*BM285+BO16*BM285+BO17*BM285+BO18*BM285+BO19*BM285+BO20*BM285+BO21*BM285+BO22*BM285+BO23*BM285+BO24*BM285+BO25*BM285+BO26*BM285</f>
        <v>0</v>
      </c>
      <c r="BO285" s="5"/>
      <c r="BQ285" s="5"/>
      <c r="BR285" s="5">
        <f>BS5*BQ285+BS6*BQ285+BS7*BQ285+BS8*BQ285+BS9*BQ285+BS10*BQ285+BS11*BQ285+BS12*BQ285+BS13*BQ285+BS14*BQ285+BS15*BQ285+BS16*BQ285+BS17*BQ285+BS18*BQ285+BS19*BQ285+BS20*BQ285+BS21*BQ285+BS22*BQ285+BS23*BQ285+BS24*BQ285+BS25*BQ285+BS26*BQ285</f>
        <v>0</v>
      </c>
      <c r="BT285" s="5"/>
      <c r="BU285" s="5">
        <f>BV5*BT285+BV6*BT285+BV7*BT285+BV8*BT285+BV9*BT285+BV10*BT285+BV11*BT285+BV12*BT285+BV13*BT285+BV14*BT285+BV15*BT285+BV16*BT285+BV17*BT285+BV18*BT285+BV19*BT285+BV20*BT285+BV21*BT285+BV22*BT285+BV23*BT285+BV24*BT285+BV25*BT285+BV26*BT285</f>
        <v>0</v>
      </c>
      <c r="BV285" s="5"/>
      <c r="BX285" s="5"/>
      <c r="BY285" s="5">
        <f>BZ5*BX285+BZ6*BX285+BZ7*BX285+BZ8*BX285+BZ9*BX285+BZ10*BX285+BZ11*BX285+BZ12*BX285+BZ13*BX285+BZ14*BX285+BZ15*BX285+BZ16*BX285+BZ17*BX285+BZ18*BX285+BZ19*BX285+BZ20*BX285+BZ21*BX285+BZ22*BX285+BZ23*BX285+BZ24*BX285+BZ25*BX285+BZ26*BX285</f>
        <v>0</v>
      </c>
      <c r="CA285" s="13">
        <v>1</v>
      </c>
      <c r="CB285" s="7">
        <f>SUM(CC5:CC26)*CA285</f>
        <v>0</v>
      </c>
      <c r="CC285" s="11"/>
      <c r="CE285" s="13"/>
      <c r="CF285" s="5"/>
      <c r="CG285" s="12"/>
      <c r="CI285" s="13"/>
      <c r="CJ285" s="5"/>
      <c r="CK285" s="12"/>
      <c r="CM285" s="13"/>
      <c r="CN285" s="5"/>
      <c r="CO285" s="12"/>
      <c r="CQ285" s="13"/>
      <c r="CR285" s="5"/>
      <c r="CS285" s="12"/>
      <c r="CU285" s="13"/>
      <c r="CV285" s="5"/>
      <c r="CW285" s="12"/>
      <c r="CY285" s="13"/>
      <c r="CZ285" s="5"/>
      <c r="DA285" s="12"/>
      <c r="DC285" s="13"/>
      <c r="DD285" s="5"/>
      <c r="DE285" s="12"/>
      <c r="DG285" s="13"/>
      <c r="DH285" s="5"/>
      <c r="DI285" s="12"/>
      <c r="DK285" s="13"/>
      <c r="DL285" s="5"/>
      <c r="DM285" s="12"/>
      <c r="DO285" s="13"/>
      <c r="DP285" s="5"/>
      <c r="DQ285" s="12"/>
      <c r="DS285" s="5"/>
      <c r="DV285" s="5"/>
      <c r="DW285" s="660">
        <f t="shared" si="2"/>
        <v>0</v>
      </c>
    </row>
    <row r="286" spans="1:128" s="6" customFormat="1" ht="15" customHeight="1">
      <c r="A286" s="3">
        <v>107</v>
      </c>
      <c r="B286" s="210" t="s">
        <v>202</v>
      </c>
      <c r="C286" s="473" t="s">
        <v>515</v>
      </c>
      <c r="D286" s="4"/>
      <c r="E286" s="5"/>
      <c r="F286" s="5"/>
      <c r="G286" s="4"/>
      <c r="H286" s="4"/>
      <c r="I286" s="4"/>
      <c r="J286" s="4"/>
      <c r="K286" s="5">
        <v>1</v>
      </c>
      <c r="L286" s="5">
        <f>L5*K286+L6*K286+L7*K286+L8*K286+L9*K286+L10*K286+L11*K286+L12*K286+L13*K286+L14*K286+L15*K286+L16*K286+L17*K286+L18*K286+L19*K286+L20*K286+L21*K286+L22*K286+L23*K286+L24*K286+L25*K286+L26*K286</f>
        <v>0</v>
      </c>
      <c r="M286" s="5"/>
      <c r="O286" s="5"/>
      <c r="P286" s="5"/>
      <c r="Q286" s="5"/>
      <c r="S286" s="5"/>
      <c r="T286" s="5"/>
      <c r="U286" s="5"/>
      <c r="W286" s="5"/>
      <c r="X286" s="5"/>
      <c r="Y286" s="12"/>
      <c r="AA286" s="13"/>
      <c r="AB286" s="12"/>
      <c r="AD286" s="13"/>
      <c r="AE286" s="5"/>
      <c r="AF286" s="5"/>
      <c r="AH286" s="13"/>
      <c r="AI286" s="5"/>
      <c r="AK286" s="5"/>
      <c r="AL286" s="5"/>
      <c r="AM286" s="5"/>
      <c r="AO286" s="5"/>
      <c r="AP286" s="5"/>
      <c r="AR286" s="5"/>
      <c r="AS286" s="5"/>
      <c r="AT286" s="5"/>
      <c r="AV286" s="5"/>
      <c r="AW286" s="5"/>
      <c r="AY286" s="5"/>
      <c r="AZ286" s="5"/>
      <c r="BA286" s="5"/>
      <c r="BC286" s="5"/>
      <c r="BD286" s="5"/>
      <c r="BF286" s="5"/>
      <c r="BG286" s="5"/>
      <c r="BH286" s="5"/>
      <c r="BJ286" s="5"/>
      <c r="BK286" s="5"/>
      <c r="BL286" s="12"/>
      <c r="BM286" s="5"/>
      <c r="BN286" s="5"/>
      <c r="BO286" s="5"/>
      <c r="BQ286" s="5"/>
      <c r="BR286" s="5"/>
      <c r="BT286" s="5"/>
      <c r="BU286" s="5"/>
      <c r="BV286" s="5"/>
      <c r="BX286" s="5"/>
      <c r="BY286" s="5"/>
      <c r="CA286" s="13"/>
      <c r="CB286" s="7"/>
      <c r="CC286" s="11"/>
      <c r="CE286" s="13"/>
      <c r="CF286" s="5"/>
      <c r="CG286" s="12"/>
      <c r="CI286" s="13"/>
      <c r="CJ286" s="5"/>
      <c r="CK286" s="12"/>
      <c r="CM286" s="13"/>
      <c r="CN286" s="5"/>
      <c r="CO286" s="12"/>
      <c r="CQ286" s="13"/>
      <c r="CR286" s="5"/>
      <c r="CS286" s="12"/>
      <c r="CU286" s="13"/>
      <c r="CV286" s="5"/>
      <c r="CW286" s="12"/>
      <c r="CY286" s="13"/>
      <c r="CZ286" s="5"/>
      <c r="DA286" s="12"/>
      <c r="DC286" s="13"/>
      <c r="DD286" s="5"/>
      <c r="DE286" s="12"/>
      <c r="DG286" s="13"/>
      <c r="DH286" s="5"/>
      <c r="DI286" s="12"/>
      <c r="DK286" s="13"/>
      <c r="DL286" s="5"/>
      <c r="DM286" s="12"/>
      <c r="DO286" s="13"/>
      <c r="DP286" s="5"/>
      <c r="DQ286" s="12"/>
      <c r="DS286" s="5"/>
      <c r="DV286" s="5"/>
      <c r="DW286" s="660">
        <f t="shared" si="2"/>
        <v>0</v>
      </c>
    </row>
    <row r="287" spans="1:128" s="6" customFormat="1" ht="15" customHeight="1">
      <c r="A287" s="3">
        <v>108</v>
      </c>
      <c r="B287" s="210" t="s">
        <v>200</v>
      </c>
      <c r="C287" s="473" t="s">
        <v>515</v>
      </c>
      <c r="D287" s="4"/>
      <c r="E287" s="5"/>
      <c r="F287" s="5"/>
      <c r="G287" s="4"/>
      <c r="H287" s="4"/>
      <c r="I287" s="4"/>
      <c r="J287" s="4"/>
      <c r="K287" s="5"/>
      <c r="L287" s="5"/>
      <c r="M287" s="5"/>
      <c r="O287" s="5"/>
      <c r="P287" s="5"/>
      <c r="Q287" s="5"/>
      <c r="S287" s="5"/>
      <c r="T287" s="5"/>
      <c r="U287" s="5"/>
      <c r="W287" s="5"/>
      <c r="X287" s="5"/>
      <c r="Y287" s="12"/>
      <c r="AA287" s="13"/>
      <c r="AB287" s="12"/>
      <c r="AD287" s="13"/>
      <c r="AE287" s="5"/>
      <c r="AF287" s="5"/>
      <c r="AH287" s="13"/>
      <c r="AI287" s="5"/>
      <c r="AK287" s="5"/>
      <c r="AL287" s="5"/>
      <c r="AM287" s="5"/>
      <c r="AO287" s="5"/>
      <c r="AP287" s="5"/>
      <c r="AR287" s="5"/>
      <c r="AS287" s="5"/>
      <c r="AT287" s="5"/>
      <c r="AV287" s="5"/>
      <c r="AW287" s="5"/>
      <c r="AY287" s="5"/>
      <c r="AZ287" s="5"/>
      <c r="BA287" s="5"/>
      <c r="BC287" s="5"/>
      <c r="BD287" s="5"/>
      <c r="BF287" s="5"/>
      <c r="BG287" s="5"/>
      <c r="BH287" s="5"/>
      <c r="BJ287" s="5"/>
      <c r="BK287" s="5"/>
      <c r="BL287" s="12"/>
      <c r="BM287" s="5"/>
      <c r="BN287" s="5"/>
      <c r="BO287" s="5"/>
      <c r="BQ287" s="5"/>
      <c r="BR287" s="5"/>
      <c r="BT287" s="5"/>
      <c r="BU287" s="5"/>
      <c r="BV287" s="5"/>
      <c r="BX287" s="5"/>
      <c r="BY287" s="5"/>
      <c r="CA287" s="13"/>
      <c r="CB287" s="7"/>
      <c r="CC287" s="11"/>
      <c r="CE287" s="13"/>
      <c r="CF287" s="5"/>
      <c r="CG287" s="12"/>
      <c r="CI287" s="13"/>
      <c r="CJ287" s="5"/>
      <c r="CK287" s="12"/>
      <c r="CM287" s="13"/>
      <c r="CN287" s="5"/>
      <c r="CO287" s="12"/>
      <c r="CQ287" s="13"/>
      <c r="CR287" s="5"/>
      <c r="CS287" s="12"/>
      <c r="CU287" s="13"/>
      <c r="CV287" s="5"/>
      <c r="CW287" s="12"/>
      <c r="CY287" s="13"/>
      <c r="CZ287" s="5"/>
      <c r="DA287" s="12"/>
      <c r="DC287" s="13"/>
      <c r="DD287" s="5"/>
      <c r="DE287" s="12"/>
      <c r="DG287" s="13"/>
      <c r="DH287" s="5"/>
      <c r="DI287" s="12"/>
      <c r="DK287" s="13"/>
      <c r="DL287" s="5"/>
      <c r="DM287" s="12"/>
      <c r="DO287" s="13"/>
      <c r="DP287" s="5"/>
      <c r="DQ287" s="12"/>
      <c r="DS287" s="5"/>
      <c r="DV287" s="5"/>
      <c r="DW287" s="660">
        <f t="shared" si="2"/>
        <v>0</v>
      </c>
    </row>
    <row r="288" spans="1:128" s="6" customFormat="1" ht="15" customHeight="1">
      <c r="A288" s="3">
        <v>109</v>
      </c>
      <c r="B288" s="210" t="s">
        <v>201</v>
      </c>
      <c r="C288" s="473" t="s">
        <v>515</v>
      </c>
      <c r="D288" s="4"/>
      <c r="E288" s="5"/>
      <c r="F288" s="5"/>
      <c r="G288" s="4"/>
      <c r="H288" s="4"/>
      <c r="I288" s="4"/>
      <c r="J288" s="4"/>
      <c r="K288" s="5"/>
      <c r="L288" s="5"/>
      <c r="M288" s="5"/>
      <c r="O288" s="5"/>
      <c r="P288" s="5"/>
      <c r="Q288" s="5"/>
      <c r="S288" s="5"/>
      <c r="T288" s="5"/>
      <c r="U288" s="5"/>
      <c r="W288" s="5"/>
      <c r="X288" s="5"/>
      <c r="Y288" s="12"/>
      <c r="AA288" s="13"/>
      <c r="AB288" s="12"/>
      <c r="AD288" s="13"/>
      <c r="AE288" s="5"/>
      <c r="AF288" s="5"/>
      <c r="AH288" s="13"/>
      <c r="AI288" s="5"/>
      <c r="AK288" s="5"/>
      <c r="AL288" s="5"/>
      <c r="AM288" s="5"/>
      <c r="AO288" s="5"/>
      <c r="AP288" s="5"/>
      <c r="AR288" s="5"/>
      <c r="AS288" s="5"/>
      <c r="AT288" s="5"/>
      <c r="AV288" s="5"/>
      <c r="AW288" s="5"/>
      <c r="AY288" s="5"/>
      <c r="AZ288" s="5"/>
      <c r="BA288" s="5"/>
      <c r="BC288" s="5"/>
      <c r="BD288" s="5"/>
      <c r="BF288" s="5"/>
      <c r="BG288" s="5"/>
      <c r="BH288" s="5"/>
      <c r="BJ288" s="5"/>
      <c r="BK288" s="5"/>
      <c r="BL288" s="12"/>
      <c r="BM288" s="5"/>
      <c r="BN288" s="5"/>
      <c r="BO288" s="5"/>
      <c r="BQ288" s="5"/>
      <c r="BR288" s="5"/>
      <c r="BT288" s="5"/>
      <c r="BU288" s="5"/>
      <c r="BV288" s="5"/>
      <c r="BX288" s="5"/>
      <c r="BY288" s="5"/>
      <c r="CA288" s="13"/>
      <c r="CB288" s="7"/>
      <c r="CC288" s="11"/>
      <c r="CE288" s="13"/>
      <c r="CF288" s="5"/>
      <c r="CG288" s="12"/>
      <c r="CI288" s="13"/>
      <c r="CJ288" s="5"/>
      <c r="CK288" s="12"/>
      <c r="CM288" s="13"/>
      <c r="CN288" s="5"/>
      <c r="CO288" s="12"/>
      <c r="CQ288" s="13"/>
      <c r="CR288" s="5"/>
      <c r="CS288" s="12"/>
      <c r="CU288" s="13"/>
      <c r="CV288" s="5"/>
      <c r="CW288" s="12"/>
      <c r="CY288" s="13"/>
      <c r="CZ288" s="5"/>
      <c r="DA288" s="12"/>
      <c r="DC288" s="13"/>
      <c r="DD288" s="5"/>
      <c r="DE288" s="12"/>
      <c r="DG288" s="13"/>
      <c r="DH288" s="5"/>
      <c r="DI288" s="12"/>
      <c r="DK288" s="13"/>
      <c r="DL288" s="5"/>
      <c r="DM288" s="12"/>
      <c r="DO288" s="13"/>
      <c r="DP288" s="5"/>
      <c r="DQ288" s="12"/>
      <c r="DS288" s="5"/>
      <c r="DV288" s="5"/>
      <c r="DW288" s="660">
        <f t="shared" si="2"/>
        <v>0</v>
      </c>
    </row>
    <row r="289" spans="1:127" s="6" customFormat="1" ht="15" customHeight="1">
      <c r="A289" s="3">
        <v>110</v>
      </c>
      <c r="B289" s="210" t="s">
        <v>317</v>
      </c>
      <c r="C289" s="473" t="s">
        <v>515</v>
      </c>
      <c r="D289" s="4"/>
      <c r="E289" s="5"/>
      <c r="F289" s="5"/>
      <c r="G289" s="4"/>
      <c r="H289" s="4"/>
      <c r="I289" s="4"/>
      <c r="J289" s="4"/>
      <c r="K289" s="5"/>
      <c r="L289" s="5"/>
      <c r="M289" s="5"/>
      <c r="O289" s="5"/>
      <c r="P289" s="5"/>
      <c r="Q289" s="5"/>
      <c r="S289" s="5"/>
      <c r="T289" s="5"/>
      <c r="U289" s="5"/>
      <c r="W289" s="5"/>
      <c r="X289" s="5"/>
      <c r="Y289" s="12"/>
      <c r="AA289" s="13"/>
      <c r="AB289" s="12"/>
      <c r="AD289" s="13"/>
      <c r="AE289" s="5"/>
      <c r="AF289" s="5"/>
      <c r="AH289" s="13"/>
      <c r="AI289" s="5"/>
      <c r="AK289" s="5"/>
      <c r="AL289" s="5"/>
      <c r="AM289" s="5"/>
      <c r="AO289" s="5"/>
      <c r="AP289" s="5"/>
      <c r="AR289" s="5"/>
      <c r="AS289" s="5"/>
      <c r="AT289" s="5"/>
      <c r="AV289" s="5"/>
      <c r="AW289" s="5"/>
      <c r="AY289" s="5"/>
      <c r="AZ289" s="5"/>
      <c r="BA289" s="5"/>
      <c r="BC289" s="5"/>
      <c r="BD289" s="5"/>
      <c r="BF289" s="5"/>
      <c r="BG289" s="5"/>
      <c r="BH289" s="5"/>
      <c r="BJ289" s="5"/>
      <c r="BK289" s="5"/>
      <c r="BL289" s="12"/>
      <c r="BM289" s="5"/>
      <c r="BN289" s="5"/>
      <c r="BO289" s="5"/>
      <c r="BQ289" s="5"/>
      <c r="BR289" s="5"/>
      <c r="BT289" s="5"/>
      <c r="BU289" s="5"/>
      <c r="BV289" s="5"/>
      <c r="BX289" s="5"/>
      <c r="BY289" s="5"/>
      <c r="CA289" s="13"/>
      <c r="CB289" s="7"/>
      <c r="CC289" s="11"/>
      <c r="CE289" s="13"/>
      <c r="CF289" s="5"/>
      <c r="CG289" s="12"/>
      <c r="CI289" s="13"/>
      <c r="CJ289" s="5"/>
      <c r="CK289" s="12"/>
      <c r="CM289" s="13"/>
      <c r="CN289" s="5"/>
      <c r="CO289" s="12"/>
      <c r="CQ289" s="13"/>
      <c r="CR289" s="5"/>
      <c r="CS289" s="12"/>
      <c r="CU289" s="13"/>
      <c r="CV289" s="5"/>
      <c r="CW289" s="12"/>
      <c r="CY289" s="13"/>
      <c r="CZ289" s="5"/>
      <c r="DA289" s="12"/>
      <c r="DC289" s="13"/>
      <c r="DD289" s="5"/>
      <c r="DE289" s="12"/>
      <c r="DG289" s="13"/>
      <c r="DH289" s="5"/>
      <c r="DI289" s="12"/>
      <c r="DK289" s="13"/>
      <c r="DL289" s="5"/>
      <c r="DM289" s="12"/>
      <c r="DO289" s="13"/>
      <c r="DP289" s="5"/>
      <c r="DQ289" s="12"/>
      <c r="DS289" s="5"/>
      <c r="DV289" s="5"/>
      <c r="DW289" s="660">
        <f t="shared" si="2"/>
        <v>0</v>
      </c>
    </row>
    <row r="290" spans="1:127" s="6" customFormat="1" ht="15" customHeight="1">
      <c r="A290" s="3">
        <v>111</v>
      </c>
      <c r="B290" s="210" t="s">
        <v>54</v>
      </c>
      <c r="C290" s="473" t="s">
        <v>515</v>
      </c>
      <c r="D290" s="4"/>
      <c r="E290" s="5"/>
      <c r="F290" s="5"/>
      <c r="G290" s="4"/>
      <c r="H290" s="4"/>
      <c r="I290" s="4"/>
      <c r="J290" s="4"/>
      <c r="K290" s="5">
        <v>1</v>
      </c>
      <c r="L290" s="5">
        <f>M5*K290+M6*K290+M7*K290+M8*K290+M9*K290+M10*K290+M11*K290+M12*K290+M13*K290+M14*K290+M15*K290+M16*K290+M17*K290+M18*K290+M19*K290+M20*K290+M21*K290+M22*K290+M23*K290+M24*K290+M25*K290+M26*K290</f>
        <v>0</v>
      </c>
      <c r="M290" s="5"/>
      <c r="O290" s="5"/>
      <c r="P290" s="5"/>
      <c r="Q290" s="5"/>
      <c r="S290" s="5"/>
      <c r="T290" s="5"/>
      <c r="U290" s="5"/>
      <c r="W290" s="5"/>
      <c r="X290" s="5"/>
      <c r="Y290" s="12"/>
      <c r="AA290" s="13"/>
      <c r="AB290" s="12"/>
      <c r="AD290" s="13"/>
      <c r="AE290" s="5"/>
      <c r="AF290" s="5"/>
      <c r="AH290" s="13"/>
      <c r="AI290" s="5"/>
      <c r="AK290" s="5"/>
      <c r="AL290" s="5"/>
      <c r="AM290" s="5"/>
      <c r="AO290" s="5"/>
      <c r="AP290" s="5"/>
      <c r="AR290" s="5"/>
      <c r="AS290" s="5"/>
      <c r="AT290" s="5"/>
      <c r="AV290" s="5"/>
      <c r="AW290" s="5"/>
      <c r="AY290" s="5"/>
      <c r="AZ290" s="5"/>
      <c r="BA290" s="5"/>
      <c r="BC290" s="5"/>
      <c r="BD290" s="5"/>
      <c r="BF290" s="5"/>
      <c r="BG290" s="5"/>
      <c r="BH290" s="5"/>
      <c r="BJ290" s="5"/>
      <c r="BK290" s="5"/>
      <c r="BL290" s="12"/>
      <c r="BM290" s="5"/>
      <c r="BN290" s="5"/>
      <c r="BO290" s="5"/>
      <c r="BQ290" s="5"/>
      <c r="BR290" s="5"/>
      <c r="BT290" s="5"/>
      <c r="BU290" s="5"/>
      <c r="BV290" s="5"/>
      <c r="BX290" s="5"/>
      <c r="BY290" s="5"/>
      <c r="CA290" s="13"/>
      <c r="CB290" s="7"/>
      <c r="CC290" s="11"/>
      <c r="CE290" s="13"/>
      <c r="CF290" s="5"/>
      <c r="CG290" s="12"/>
      <c r="CI290" s="13"/>
      <c r="CJ290" s="5"/>
      <c r="CK290" s="12"/>
      <c r="CM290" s="13"/>
      <c r="CN290" s="5"/>
      <c r="CO290" s="12"/>
      <c r="CQ290" s="13"/>
      <c r="CR290" s="5"/>
      <c r="CS290" s="12"/>
      <c r="CU290" s="13"/>
      <c r="CV290" s="5"/>
      <c r="CW290" s="12"/>
      <c r="CY290" s="13"/>
      <c r="CZ290" s="5"/>
      <c r="DA290" s="12"/>
      <c r="DC290" s="13"/>
      <c r="DD290" s="5"/>
      <c r="DE290" s="12"/>
      <c r="DG290" s="13"/>
      <c r="DH290" s="5"/>
      <c r="DI290" s="12"/>
      <c r="DK290" s="13"/>
      <c r="DL290" s="5"/>
      <c r="DM290" s="12"/>
      <c r="DO290" s="13"/>
      <c r="DP290" s="5"/>
      <c r="DQ290" s="12"/>
      <c r="DS290" s="5"/>
      <c r="DV290" s="5"/>
      <c r="DW290" s="660">
        <f t="shared" si="2"/>
        <v>0</v>
      </c>
    </row>
    <row r="291" spans="1:127" s="6" customFormat="1" ht="15" customHeight="1">
      <c r="A291" s="3">
        <v>112</v>
      </c>
      <c r="B291" s="210" t="s">
        <v>480</v>
      </c>
      <c r="C291" s="473" t="s">
        <v>515</v>
      </c>
      <c r="D291" s="4"/>
      <c r="E291" s="5"/>
      <c r="F291" s="5"/>
      <c r="G291" s="4"/>
      <c r="H291" s="4"/>
      <c r="I291" s="4"/>
      <c r="J291" s="4"/>
      <c r="K291" s="5"/>
      <c r="L291" s="5"/>
      <c r="M291" s="5"/>
      <c r="O291" s="5"/>
      <c r="P291" s="5"/>
      <c r="Q291" s="5"/>
      <c r="S291" s="5"/>
      <c r="T291" s="5"/>
      <c r="U291" s="5"/>
      <c r="W291" s="5"/>
      <c r="X291" s="5"/>
      <c r="Y291" s="12"/>
      <c r="AA291" s="13"/>
      <c r="AB291" s="12"/>
      <c r="AD291" s="13"/>
      <c r="AE291" s="5"/>
      <c r="AF291" s="5"/>
      <c r="AH291" s="13"/>
      <c r="AI291" s="5"/>
      <c r="AK291" s="5"/>
      <c r="AL291" s="5"/>
      <c r="AM291" s="5"/>
      <c r="AO291" s="5"/>
      <c r="AP291" s="5"/>
      <c r="AR291" s="5"/>
      <c r="AS291" s="5"/>
      <c r="AT291" s="5"/>
      <c r="AV291" s="5"/>
      <c r="AW291" s="5"/>
      <c r="AY291" s="5"/>
      <c r="AZ291" s="5"/>
      <c r="BA291" s="5"/>
      <c r="BC291" s="5"/>
      <c r="BD291" s="5"/>
      <c r="BF291" s="5"/>
      <c r="BG291" s="5"/>
      <c r="BH291" s="5"/>
      <c r="BJ291" s="5"/>
      <c r="BK291" s="5"/>
      <c r="BL291" s="12"/>
      <c r="BM291" s="5"/>
      <c r="BN291" s="5"/>
      <c r="BO291" s="5"/>
      <c r="BQ291" s="5"/>
      <c r="BR291" s="5"/>
      <c r="BT291" s="5"/>
      <c r="BU291" s="5"/>
      <c r="BV291" s="5"/>
      <c r="BX291" s="5"/>
      <c r="BY291" s="5"/>
      <c r="CA291" s="13"/>
      <c r="CB291" s="7"/>
      <c r="CC291" s="11"/>
      <c r="CE291" s="13">
        <v>15</v>
      </c>
      <c r="CF291" s="5">
        <f>SUM(CF5:CG26)*CE291</f>
        <v>0</v>
      </c>
      <c r="CG291" s="12"/>
      <c r="CI291" s="13">
        <v>15</v>
      </c>
      <c r="CJ291" s="5">
        <f>SUM(CJ5:CK26)*CI291</f>
        <v>0</v>
      </c>
      <c r="CK291" s="12"/>
      <c r="CM291" s="13">
        <v>15</v>
      </c>
      <c r="CN291" s="5">
        <f>SUM(CN5:CO26)*CM291</f>
        <v>0</v>
      </c>
      <c r="CO291" s="12"/>
      <c r="CQ291" s="13">
        <v>15</v>
      </c>
      <c r="CR291" s="5">
        <f>SUM(CR5:CS26)*CQ291</f>
        <v>0</v>
      </c>
      <c r="CS291" s="12"/>
      <c r="CU291" s="13">
        <v>15</v>
      </c>
      <c r="CV291" s="5">
        <f>SUM(CV5:CW26)*CU291</f>
        <v>0</v>
      </c>
      <c r="CW291" s="12"/>
      <c r="CY291" s="13">
        <v>15</v>
      </c>
      <c r="CZ291" s="5">
        <f>SUM(CZ5:DA26)*CY291</f>
        <v>0</v>
      </c>
      <c r="DA291" s="12"/>
      <c r="DC291" s="13">
        <v>15</v>
      </c>
      <c r="DD291" s="5">
        <f>SUM(DD5:DE26)*DC291</f>
        <v>0</v>
      </c>
      <c r="DE291" s="12"/>
      <c r="DG291" s="13">
        <v>15</v>
      </c>
      <c r="DH291" s="5">
        <f>SUM(DH5:DI26)*DG291</f>
        <v>0</v>
      </c>
      <c r="DI291" s="12"/>
      <c r="DK291" s="13">
        <v>15</v>
      </c>
      <c r="DL291" s="5">
        <f>SUM(DL5:DM26)*DK291</f>
        <v>0</v>
      </c>
      <c r="DM291" s="12"/>
      <c r="DO291" s="13">
        <v>15</v>
      </c>
      <c r="DP291" s="5">
        <f>SUM(DP5:DQ26)*DO291</f>
        <v>0</v>
      </c>
      <c r="DQ291" s="12"/>
      <c r="DS291" s="5"/>
      <c r="DV291" s="5"/>
      <c r="DW291" s="660">
        <f t="shared" si="2"/>
        <v>0</v>
      </c>
    </row>
    <row r="292" spans="1:127" s="6" customFormat="1" ht="15" customHeight="1">
      <c r="A292" s="3">
        <v>113</v>
      </c>
      <c r="B292" s="210" t="s">
        <v>508</v>
      </c>
      <c r="C292" s="473" t="s">
        <v>515</v>
      </c>
      <c r="D292" s="4"/>
      <c r="E292" s="5"/>
      <c r="F292" s="5"/>
      <c r="G292" s="4"/>
      <c r="H292" s="4"/>
      <c r="I292" s="4"/>
      <c r="J292" s="4"/>
      <c r="K292" s="5"/>
      <c r="L292" s="5"/>
      <c r="M292" s="5"/>
      <c r="O292" s="5"/>
      <c r="P292" s="5"/>
      <c r="Q292" s="5"/>
      <c r="S292" s="5"/>
      <c r="T292" s="5"/>
      <c r="U292" s="5"/>
      <c r="W292" s="5"/>
      <c r="X292" s="5"/>
      <c r="Y292" s="12"/>
      <c r="AA292" s="13"/>
      <c r="AB292" s="12"/>
      <c r="AD292" s="13"/>
      <c r="AE292" s="5"/>
      <c r="AF292" s="5"/>
      <c r="AH292" s="13"/>
      <c r="AI292" s="5"/>
      <c r="AK292" s="5"/>
      <c r="AL292" s="5"/>
      <c r="AM292" s="5"/>
      <c r="AO292" s="5"/>
      <c r="AP292" s="5"/>
      <c r="AR292" s="5"/>
      <c r="AS292" s="5"/>
      <c r="AT292" s="5"/>
      <c r="AV292" s="5"/>
      <c r="AW292" s="5"/>
      <c r="AY292" s="5"/>
      <c r="AZ292" s="5"/>
      <c r="BA292" s="5"/>
      <c r="BC292" s="5"/>
      <c r="BD292" s="5"/>
      <c r="BF292" s="5"/>
      <c r="BG292" s="5"/>
      <c r="BH292" s="5"/>
      <c r="BJ292" s="5"/>
      <c r="BK292" s="5"/>
      <c r="BL292" s="12"/>
      <c r="BM292" s="5"/>
      <c r="BN292" s="5"/>
      <c r="BO292" s="5"/>
      <c r="BQ292" s="5"/>
      <c r="BR292" s="5"/>
      <c r="BT292" s="5"/>
      <c r="BU292" s="5"/>
      <c r="BV292" s="5"/>
      <c r="BX292" s="5"/>
      <c r="BY292" s="5"/>
      <c r="CA292" s="13"/>
      <c r="CB292" s="7"/>
      <c r="CC292" s="11"/>
      <c r="CE292" s="13"/>
      <c r="CF292" s="5"/>
      <c r="CG292" s="12"/>
      <c r="CI292" s="13"/>
      <c r="CJ292" s="5"/>
      <c r="CK292" s="12"/>
      <c r="CM292" s="13"/>
      <c r="CN292" s="5"/>
      <c r="CO292" s="12"/>
      <c r="CQ292" s="13"/>
      <c r="CR292" s="5"/>
      <c r="CS292" s="12"/>
      <c r="CU292" s="13"/>
      <c r="CV292" s="5"/>
      <c r="CW292" s="12"/>
      <c r="CY292" s="13"/>
      <c r="CZ292" s="5"/>
      <c r="DA292" s="12"/>
      <c r="DC292" s="13"/>
      <c r="DD292" s="5"/>
      <c r="DE292" s="12"/>
      <c r="DG292" s="13"/>
      <c r="DH292" s="5"/>
      <c r="DI292" s="12"/>
      <c r="DK292" s="13"/>
      <c r="DL292" s="5"/>
      <c r="DM292" s="12"/>
      <c r="DO292" s="13"/>
      <c r="DP292" s="5"/>
      <c r="DQ292" s="12"/>
      <c r="DS292" s="5"/>
      <c r="DV292" s="5"/>
      <c r="DW292" s="660">
        <f t="shared" si="2"/>
        <v>0</v>
      </c>
    </row>
    <row r="293" spans="1:127" s="6" customFormat="1" ht="15" customHeight="1">
      <c r="A293" s="3">
        <v>114</v>
      </c>
      <c r="B293" s="210" t="s">
        <v>150</v>
      </c>
      <c r="C293" s="473" t="s">
        <v>515</v>
      </c>
      <c r="D293" s="4"/>
      <c r="E293" s="5"/>
      <c r="F293" s="5"/>
      <c r="G293" s="4"/>
      <c r="H293" s="4"/>
      <c r="I293" s="4"/>
      <c r="J293" s="4"/>
      <c r="K293" s="5"/>
      <c r="L293" s="5"/>
      <c r="M293" s="5"/>
      <c r="O293" s="5"/>
      <c r="P293" s="5"/>
      <c r="Q293" s="5"/>
      <c r="S293" s="5"/>
      <c r="T293" s="5"/>
      <c r="U293" s="5"/>
      <c r="W293" s="5"/>
      <c r="X293" s="5"/>
      <c r="Y293" s="12"/>
      <c r="AA293" s="13"/>
      <c r="AB293" s="12"/>
      <c r="AD293" s="13"/>
      <c r="AE293" s="5"/>
      <c r="AF293" s="5"/>
      <c r="AH293" s="13"/>
      <c r="AI293" s="5"/>
      <c r="AK293" s="5"/>
      <c r="AL293" s="5"/>
      <c r="AM293" s="5"/>
      <c r="AO293" s="5"/>
      <c r="AP293" s="5"/>
      <c r="AR293" s="5"/>
      <c r="AS293" s="5"/>
      <c r="AT293" s="5"/>
      <c r="AV293" s="5"/>
      <c r="AW293" s="5"/>
      <c r="AY293" s="5"/>
      <c r="AZ293" s="5"/>
      <c r="BA293" s="5"/>
      <c r="BC293" s="5"/>
      <c r="BD293" s="5"/>
      <c r="BF293" s="5"/>
      <c r="BG293" s="5"/>
      <c r="BH293" s="5"/>
      <c r="BJ293" s="5"/>
      <c r="BK293" s="5"/>
      <c r="BL293" s="12"/>
      <c r="BM293" s="5"/>
      <c r="BN293" s="5"/>
      <c r="BO293" s="5"/>
      <c r="BQ293" s="5"/>
      <c r="BR293" s="5"/>
      <c r="BT293" s="5"/>
      <c r="BU293" s="5"/>
      <c r="BV293" s="5"/>
      <c r="BX293" s="5"/>
      <c r="BY293" s="5"/>
      <c r="CA293" s="13">
        <v>2</v>
      </c>
      <c r="CB293" s="7">
        <f>CB5*CA293+CB6*CA293+CB7*CA293+CB8*CA293+CB9*CA293+CB10*CA293+CB11*CA293+CB12*CA293+CB13*CA293+CB14*CA293+CB15*CA293+CB16*CA293+CB17*CA293+CB18*CA293+CB19*CA293+CB20*CA293+CB21*CA293+CB22*CA293+CB23*CA293+CB24*CA293+CB25*CA293+CB26*CA293+CC5*CA293+CC6*CA293+CC7*CA293+CC8*CA293+CC9*CA293+CC10*CA293+CC11*CA293+CC12*CA293+CC13*CA293+CC14*CA293+CC15*CA293+CC16*CA293+CC17*CA293+CC18*CA293+CC19*CA293+CC20*CA293+CC21*CA293+CC22*CA293+CC23*CA293+CC24*CA293+CC25*CA293+CC26*CA293</f>
        <v>0</v>
      </c>
      <c r="CC293" s="11"/>
      <c r="CE293" s="13"/>
      <c r="CF293" s="5"/>
      <c r="CG293" s="12"/>
      <c r="CI293" s="13"/>
      <c r="CJ293" s="5"/>
      <c r="CK293" s="12"/>
      <c r="CM293" s="13"/>
      <c r="CN293" s="5"/>
      <c r="CO293" s="12"/>
      <c r="CQ293" s="13"/>
      <c r="CR293" s="5"/>
      <c r="CS293" s="12"/>
      <c r="CU293" s="13"/>
      <c r="CV293" s="5"/>
      <c r="CW293" s="12"/>
      <c r="CY293" s="13"/>
      <c r="CZ293" s="5"/>
      <c r="DA293" s="12"/>
      <c r="DC293" s="13"/>
      <c r="DD293" s="5"/>
      <c r="DE293" s="12"/>
      <c r="DG293" s="13"/>
      <c r="DH293" s="5"/>
      <c r="DI293" s="12"/>
      <c r="DK293" s="13"/>
      <c r="DL293" s="5"/>
      <c r="DM293" s="12"/>
      <c r="DO293" s="13"/>
      <c r="DP293" s="5"/>
      <c r="DQ293" s="12"/>
      <c r="DS293" s="5"/>
      <c r="DV293" s="5"/>
      <c r="DW293" s="660">
        <f t="shared" si="2"/>
        <v>0</v>
      </c>
    </row>
    <row r="294" spans="1:127" s="6" customFormat="1" ht="15" customHeight="1">
      <c r="A294" s="3" t="s">
        <v>19</v>
      </c>
      <c r="B294" s="210" t="s">
        <v>19</v>
      </c>
      <c r="C294" s="473" t="s">
        <v>515</v>
      </c>
      <c r="D294" s="4"/>
      <c r="E294" s="5"/>
      <c r="F294" s="5"/>
      <c r="G294" s="4"/>
      <c r="H294" s="4"/>
      <c r="I294" s="4"/>
      <c r="J294" s="4"/>
      <c r="K294" s="5"/>
      <c r="L294" s="5"/>
      <c r="M294" s="5"/>
      <c r="O294" s="5"/>
      <c r="P294" s="5"/>
      <c r="Q294" s="5"/>
      <c r="S294" s="5">
        <v>1</v>
      </c>
      <c r="T294" s="5">
        <f>T5*S294+T6*S294+T7*S294+T8*S294+T9*S294+T10*S294+T11*S294+T12*S294+T13*S294+T14*S294+T15*S294+T16*S294+T17*S294+T18*S294+T19*S294+T20*S294+T21*S294+T22*S294+T23*S294+T24*S294+T25*S294+T26*S294+U5*S294+U6*S294+U7*S294+U8*S294+U9*S294+U10*S294+U11*S294+U12*S294+U13*S294+U14*S294+U15*S294+U16*S294+U17*S294+U18*S294+U19*S294+U20*S294+U21*S294+U22*S294+U23*S294+U24*S294+U25*S294+U26*S294</f>
        <v>0</v>
      </c>
      <c r="U294" s="5"/>
      <c r="W294" s="5">
        <v>1</v>
      </c>
      <c r="X294" s="5">
        <f>X5*W294+X6*W294+X7*W294+X8*W294+X9*W294+X10*W294+X11*W294+X12*W294+X13*W294+X14*W294+X15*W294+X16*W294+X17*W294+X18*W294+X19*W294+X20*W294+X21*W294+X22*W294+X23*W294+X24*W294+X25*W294+X26*W294+Y5*W294+Y6*W294+Y7*W294+Y8*W294+Y9*W294+Y10*W294+Y11*W294+Y12*W294+Y13*W294+Y14*W294+Y15*W294+Y16*W294+Y17*W294+Y18*W294+Y19*W294+Y20*W294+Y21*W294+Y22*W294+Y23*W294+Y24*W294+Y25*W294+Y26*W294</f>
        <v>0</v>
      </c>
      <c r="Y294" s="12"/>
      <c r="AA294" s="5">
        <v>1</v>
      </c>
      <c r="AB294" s="5">
        <f>AB5*AA294+AB6*AA294+AB7*AA294+AB8*AA294+AB9*AA294+AB10*AA294+AB11*AA294+AB12*AA294+AB13*AA294+AB14*AA294+AB15*AA294+AB16*AA294+AB17*AA294+AB18*AA294+AB19*AA294+AB20*AA294+AB21*AA294+AB22*AA294+AB23*AA294+AB24*AA294+AB25*AA294+AB26*AA294+AC5*AA294+AC6*AA294+AC7*AA294+AC8*AA294+AC9*AA294+AC10*AA294+AC11*AA294+AC12*AA294+AC13*AA294+AC14*AA294+AC15*AA294+AC16*AA294+AC17*AA294+AC18*AA294+AC19*AA294+AC20*AA294+AC21*AA294+AC22*AA294+AC23*AA294+AC24*AA294+AC25*AA294+AC26*AA294</f>
        <v>0</v>
      </c>
      <c r="AD294" s="5">
        <v>1</v>
      </c>
      <c r="AE294" s="5">
        <f>AE5*AD294+AE6*AD294+AE7*AD294+AE8*AD294+AE9*AD294+AE10*AD294+AE11*AD294+AE12*AD294+AE13*AD294+AE14*AD294+AE15*AD294+AE16*AD294+AE17*AD294+AE18*AD294+AE19*AD294+AE20*AD294+AE21*AD294+AE22*AD294+AE23*AD294+AE24*AD294+AE25*AD294+AE26*AD294+AF5*AD294+AF6*AD294+AF7*AD294+AF8*AD294+AF9*AD294+AF10*AD294+AF11*AD294+AF12*AD294+AF13*AD294+AF14*AD294+AF15*AD294+AF16*AD294+AF17*AD294+AF18*AD294+AF19*AD294+AF20*AD294+AF21*AD294+AF22*AD294+AF23*AD294+AF24*AD294+AF25*AD294+AF26*AD294</f>
        <v>0</v>
      </c>
      <c r="AF294" s="5"/>
      <c r="AH294" s="5">
        <v>1</v>
      </c>
      <c r="AI294" s="5">
        <f>AI5*AH294+AI6*AH294+AI7*AH294+AI8*AH294+AI9*AH294+AI10*AH294+AI11*AH294+AI12*AH294+AI13*AH294+AI14*AH294+AI15*AH294+AI16*AH294+AI17*AH294+AI18*AH294+AI19*AH294+AI20*AH294+AI21*AH294+AI22*AH294+AI23*AH294+AI24*AH294+AI25*AH294+AI26*AH294+AJ5*AH294+AJ6*AH294+AJ7*AH294+AJ8*AH294+AJ9*AH294+AJ10*AH294+AJ11*AH294+AJ12*AH294+AJ13*AH294+AJ14*AH294+AJ15*AH294+AJ16*AH294+AJ17*AH294+AJ18*AH294+AJ19*AH294+AJ20*AH294+AJ21*AH294+AJ22*AH294+AJ23*AH294+AJ24*AH294+AJ25*AH294+AJ26*AH294</f>
        <v>0</v>
      </c>
      <c r="AK294" s="5">
        <v>1</v>
      </c>
      <c r="AL294" s="5">
        <f>AL5*AK294+AL6*AK294+AL7*AK294+AL8*AK294+AL9*AK294+AL10*AK294+AL11*AK294+AL12*AK294+AL13*AK294+AL14*AK294+AL15*AK294+AL16*AK294+AL17*AK294+AL18*AK294+AL19*AK294+AL20*AK294+AL21*AK294+AL22*AK294+AL23*AK294+AL24*AK294+AL25*AK294+AL26*AK294+AM5*AK294+AM6*AK294+AM7*AK294+AM8*AK294+AM9*AK294+AM10*AK294+AM11*AK294+AM12*AK294+AM13*AK294+AM14*AK294+AM15*AK294+AM16*AK294+AM17*AK294+AM18*AK294+AM19*AK294+AM20*AK294+AM21*AK294+AM22*AK294+AM23*AK294+AM24*AK294+AM25*AK294+AM26*AK294</f>
        <v>0</v>
      </c>
      <c r="AM294" s="5"/>
      <c r="AO294" s="5">
        <v>1</v>
      </c>
      <c r="AP294" s="5">
        <f>AP5*AO294+AP6*AO294+AP7*AO294+AP8*AO294+AP9*AO294+AP10*AO294+AP11*AO294+AP12*AO294+AP13*AO294+AP14*AO294+AP15*AO294+AP16*AO294+AP17*AO294+AP18*AO294+AP19*AO294+AP20*AO294+AP21*AO294+AP22*AO294+AP23*AO294+AP24*AO294+AP25*AO294+AP26*AO294+AQ5*AO294+AQ6*AO294+AQ7*AO294+AQ8*AO294+AQ9*AO294+AQ10*AO294+AQ11*AO294+AQ12*AO294+AQ13*AO294+AQ14*AO294+AQ15*AO294+AQ16*AO294+AQ17*AO294+AQ18*AO294+AQ19*AO294+AQ20*AO294+AQ21*AO294+AQ22*AO294+AQ23*AO294+AQ24*AO294+AQ25*AO294+AQ26*AO294</f>
        <v>0</v>
      </c>
      <c r="AR294" s="5">
        <v>2</v>
      </c>
      <c r="AS294" s="5">
        <f>AS5*AR294+AS6*AR294+AS7*AR294+AS8*AR294+AS9*AR294+AS10*AR294+AS11*AR294+AS12*AR294+AS13*AR294+AS14*AR294+AS15*AR294+AS16*AR294+AS17*AR294+AS18*AR294+AS19*AR294+AS20*AR294+AS21*AR294+AS22*AR294+AS23*AR294+AS24*AR294+AS25*AR294+AS26*AR294+AT5*AR294+AT6*AR294+AT7*AR294+AT8*AR294+AT9*AR294+AT10*AR294+AT11*AR294+AT12*AR294+AT13*AR294+AT14*AR294+AT15*AR294+AT16*AR294+AT17*AR294+AT18*AR294+AT19*AR294+AT20*AR294+AT21*AR294+AT22*AR294+AT23*AR294+AT24*AR294+AT25*AR294+AT26*AR294</f>
        <v>0</v>
      </c>
      <c r="AT294" s="5"/>
      <c r="AV294" s="5">
        <v>2</v>
      </c>
      <c r="AW294" s="5">
        <f>AW5*AV294+AW6*AV294+AW7*AV294+AW8*AV294+AW9*AV294+AW10*AV294+AW11*AV294+AW12*AV294+AW13*AV294+AW14*AV294+AW15*AV294+AW16*AV294+AW17*AV294+AW18*AV294+AW19*AV294+AW20*AV294+AW21*AV294+AW22*AV294+AW23*AV294+AW24*AV294+AW25*AV294+AW26*AV294+AX5*AV294+AX6*AV294+AX7*AV294+AX8*AV294+AX9*AV294+AX10*AV294+AX11*AV294+AX12*AV294+AX13*AV294+AX14*AV294+AX15*AV294+AX16*AV294+AX17*AV294+AX18*AV294+AX19*AV294+AX20*AV294+AX21*AV294+AX22*AV294+AX23*AV294+AX24*AV294+AX25*AV294+AX26*AV294</f>
        <v>0</v>
      </c>
      <c r="AY294" s="5">
        <v>2</v>
      </c>
      <c r="AZ294" s="5">
        <f>AZ5*AY294+AZ6*AY294+AZ7*AY294+AZ8*AY294+AZ9*AY294+AZ10*AY294+AZ11*AY294+AZ12*AY294+AZ13*AY294+AZ14*AY294+AZ15*AY294+AZ16*AY294+AZ17*AY294+AZ18*AY294+AZ19*AY294+AZ20*AY294+AZ21*AY294+AZ22*AY294+AZ23*AY294+AZ24*AY294+AZ25*AY294+AZ26*AY294+BA5*AY294+BA6*AY294+BA7*AY294+BA8*AY294+BA9*AY294+BA10*AY294+BA11*AY294+BA12*AY294+BA13*AY294+BA14*AY294+BA15*AY294+BA16*AY294+BA17*AY294+BA18*AY294+BA19*AY294+BA20*AY294+BA21*AY294+BA22*AY294+BA23*AY294+BA24*AY294+BA25*AY294+BA26*AY294</f>
        <v>0</v>
      </c>
      <c r="BA294" s="5"/>
      <c r="BC294" s="5">
        <v>2</v>
      </c>
      <c r="BD294" s="5">
        <f>BD5*BC294+BD6*BC294+BD7*BC294+BD8*BC294+BD9*BC294+BD10*BC294+BD11*BC294+BD12*BC294+BD13*BC294+BD14*BC294+BD15*BC294+BD16*BC294+BD17*BC294+BD18*BC294+BD19*BC294+BD20*BC294+BD21*BC294+BD22*BC294+BD23*BC294+BD24*BC294+BD25*BC294+BD26*BC294+BE5*BC294+BE6*BC294+BE7*BC294+BE8*BC294+BE9*BC294+BE10*BC294+BE11*BC294+BE12*BC294+BE13*BC294+BE14*BC294+BE15*BC294+BE16*BC294+BE17*BC294+BE18*BC294+BE19*BC294+BE20*BC294+BE21*BC294+BE22*BC294+BE23*BC294+BE24*BC294+BE25*BC294+BE26*BC294</f>
        <v>0</v>
      </c>
      <c r="BF294" s="5">
        <v>2</v>
      </c>
      <c r="BG294" s="5">
        <f>BG5*BF294+BG6*BF294+BG7*BF294+BG8*BF294+BG9*BF294+BG10*BF294+BG11*BF294+BG12*BF294+BG13*BF294+BG14*BF294+BG15*BF294+BG16*BF294+BG17*BF294+BG18*BF294+BG19*BF294+BG20*BF294+BG21*BF294+BG22*BF294+BG23*BF294+BG24*BF294+BG25*BF294+BG26*BF294+BH5*BF294+BH6*BF294+BH7*BF294+BH8*BF294+BH9*BF294+BH10*BF294+BH11*BF294+BH12*BF294+BH13*BF294+BH14*BF294+BH15*BF294+BH16*BF294+BH17*BF294+BH18*BF294+BH19*BF294+BH20*BF294+BH21*BF294+BH22*BF294+BH23*BF294+BH24*BF294+BH25*BF294+BH26*BF294</f>
        <v>0</v>
      </c>
      <c r="BH294" s="5"/>
      <c r="BJ294" s="5">
        <v>2</v>
      </c>
      <c r="BK294" s="5">
        <f>BK5*BJ294+BK6*BJ294+BK7*BJ294+BK8*BJ294+BK9*BJ294+BK10*BJ294+BK11*BJ294+BK12*BJ294+BK13*BJ294+BK14*BJ294+BK15*BJ294+BK16*BJ294+BK17*BJ294+BK18*BJ294+BK19*BJ294+BK20*BJ294+BK21*BJ294+BK22*BJ294+BK23*BJ294+BK24*BJ294+BK25*BJ294+BK26*BJ294+BL5*BJ294+BL6*BJ294+BL7*BJ294+BL8*BJ294+BL9*BJ294+BL10*BJ294+BL11*BJ294+BL12*BJ294+BL13*BJ294+BL14*BJ294+BL15*BJ294+BL16*BJ294+BL17*BJ294+BL18*BJ294+BL19*BJ294+BL20*BJ294+BL21*BJ294+BL22*BJ294+BL23*BJ294+BL24*BJ294+BL25*BJ294+BL26*BJ294</f>
        <v>0</v>
      </c>
      <c r="BL294" s="12"/>
      <c r="BM294" s="5">
        <v>2</v>
      </c>
      <c r="BN294" s="5">
        <f>BN5*BM294+BN6*BM294+BN7*BM294+BN8*BM294+BN9*BM294+BN10*BM294+BN11*BM294+BN12*BM294+BN13*BM294+BN14*BM294+BN15*BM294+BN16*BM294+BN17*BM294+BN18*BM294+BN19*BM294+BN20*BM294+BN21*BM294+BN22*BM294+BN23*BM294+BN24*BM294+BN25*BM294+BN26*BM294+BO5*BM294+BO6*BM294+BO7*BM294+BO8*BM294+BO9*BM294+BO10*BM294+BO11*BM294+BO12*BM294+BO13*BM294+BO14*BM294+BO15*BM294+BO16*BM294+BO17*BM294+BO18*BM294+BO19*BM294+BO20*BM294+BO21*BM294+BO22*BM294+BO23*BM294+BO24*BM294+BO25*BM294+BO26*BM294</f>
        <v>0</v>
      </c>
      <c r="BO294" s="5"/>
      <c r="BQ294" s="5">
        <v>2</v>
      </c>
      <c r="BR294" s="5">
        <f>BR5*BQ294+BR6*BQ294+BR7*BQ294+BR8*BQ294+BR9*BQ294+BR10*BQ294+BR11*BQ294+BR12*BQ294+BR13*BQ294+BR14*BQ294+BR15*BQ294+BR16*BQ294+BR17*BQ294+BR18*BQ294+BR19*BQ294+BR20*BQ294+BR21*BQ294+BR22*BQ294+BR23*BQ294+BR24*BQ294+BR25*BQ294+BR26*BQ294+BS5*BQ294+BS6*BQ294+BS7*BQ294+BS8*BQ294+BS9*BQ294+BS10*BQ294+BS11*BQ294+BS12*BQ294+BS13*BQ294+BS14*BQ294+BS15*BQ294+BS16*BQ294+BS17*BQ294+BS18*BQ294+BS19*BQ294+BS20*BQ294+BS21*BQ294+BS22*BQ294+BS23*BQ294+BS24*BQ294+BS25*BQ294+BS26*BQ294</f>
        <v>0</v>
      </c>
      <c r="BT294" s="5">
        <v>2</v>
      </c>
      <c r="BU294" s="5">
        <f>BU5*BT294+BU6*BT294+BU7*BT294+BU8*BT294+BU9*BT294+BU10*BT294+BU11*BT294+BU12*BT294+BU13*BT294+BU14*BT294+BU15*BT294+BU16*BT294+BU17*BT294+BU18*BT294+BU19*BT294+BU20*BT294+BU21*BT294+BU22*BT294+BU23*BT294+BU24*BT294+BU25*BT294+BU26*BT294+BV5*BT294+BV6*BT294+BV7*BT294+BV8*BT294+BV9*BT294+BV10*BT294+BV11*BT294+BV12*BT294+BV13*BT294+BV14*BT294+BV15*BT294+BV16*BT294+BV17*BT294+BV18*BT294+BV19*BT294+BV20*BT294+BV21*BT294+BV22*BT294+BV23*BT294+BV24*BT294+BV25*BT294+BV26*BT294</f>
        <v>0</v>
      </c>
      <c r="BV294" s="5"/>
      <c r="BX294" s="5">
        <v>2</v>
      </c>
      <c r="BY294" s="5">
        <f>BY5*BX294+BY6*BX294+BY7*BX294+BY8*BX294+BY9*BX294+BY10*BX294+BY11*BX294+BY12*BX294+BY13*BX294+BY14*BX294+BY15*BX294+BY16*BX294+BY17*BX294+BY18*BX294+BY19*BX294+BY20*BX294+BY21*BX294+BY22*BX294+BY23*BX294+BY24*BX294+BY25*BX294+BY26*BX294+BZ5*BX294+BZ6*BX294+BZ7*BX294+BZ8*BX294+BZ9*BX294+BZ10*BX294+BZ11*BX294+BZ12*BX294+BZ13*BX294+BZ14*BX294+BZ15*BX294+BZ16*BX294+BZ17*BX294+BZ18*BX294+BZ19*BX294+BZ20*BX294+BZ21*BX294+BZ22*BX294+BZ23*BX294+BZ24*BX294+BZ25*BX294+BZ26*BX294</f>
        <v>0</v>
      </c>
      <c r="CA294" s="5">
        <v>2</v>
      </c>
      <c r="CB294" s="5">
        <f>CB5*CA294+CB6*CA294+CB7*CA294+CB8*CA294+CB9*CA294+CB10*CA294+CB11*CA294+CB12*CA294+CB13*CA294+CB14*CA294+CB15*CA294+CB16*CA294+CB17*CA294+CB18*CA294+CB19*CA294+CB20*CA294+CB21*CA294+CB22*CA294+CB23*CA294+CB24*CA294+CB25*CA294+CB26*CA294+CC5*CA294+CC6*CA294+CC7*CA294+CC8*CA294+CC9*CA294+CC10*CA294+CC11*CA294+CC12*CA294+CC13*CA294+CC14*CA294+CC15*CA294+CC16*CA294+CC17*CA294+CC18*CA294+CC19*CA294+CC20*CA294+CC21*CA294+CC22*CA294+CC23*CA294+CC24*CA294+CC25*CA294+CC26*CA294</f>
        <v>0</v>
      </c>
      <c r="CC294" s="11"/>
      <c r="CE294" s="13"/>
      <c r="CF294" s="5"/>
      <c r="CG294" s="12"/>
      <c r="CI294" s="13"/>
      <c r="CJ294" s="5"/>
      <c r="CK294" s="12"/>
      <c r="CM294" s="13"/>
      <c r="CN294" s="5"/>
      <c r="CO294" s="12"/>
      <c r="CQ294" s="13"/>
      <c r="CR294" s="5"/>
      <c r="CS294" s="12"/>
      <c r="CU294" s="13"/>
      <c r="CV294" s="5"/>
      <c r="CW294" s="12"/>
      <c r="CY294" s="13"/>
      <c r="CZ294" s="5"/>
      <c r="DA294" s="12"/>
      <c r="DC294" s="13"/>
      <c r="DD294" s="5"/>
      <c r="DE294" s="12"/>
      <c r="DG294" s="13"/>
      <c r="DH294" s="5"/>
      <c r="DI294" s="12"/>
      <c r="DK294" s="13"/>
      <c r="DL294" s="5"/>
      <c r="DM294" s="12"/>
      <c r="DO294" s="13"/>
      <c r="DP294" s="5"/>
      <c r="DQ294" s="12"/>
      <c r="DS294" s="5"/>
      <c r="DW294" s="660">
        <f t="shared" si="2"/>
        <v>0</v>
      </c>
    </row>
    <row r="295" spans="1:127" s="6" customFormat="1" ht="15" customHeight="1">
      <c r="A295" s="3">
        <v>116</v>
      </c>
      <c r="B295" s="210" t="s">
        <v>1204</v>
      </c>
      <c r="C295" s="473" t="s">
        <v>515</v>
      </c>
      <c r="D295" s="4"/>
      <c r="E295" s="5"/>
      <c r="F295" s="5"/>
      <c r="G295" s="4"/>
      <c r="H295" s="4"/>
      <c r="I295" s="4"/>
      <c r="J295" s="4"/>
      <c r="K295" s="5"/>
      <c r="L295" s="5"/>
      <c r="M295" s="5"/>
      <c r="O295" s="5"/>
      <c r="P295" s="5"/>
      <c r="Q295" s="5"/>
      <c r="S295" s="5"/>
      <c r="T295" s="5"/>
      <c r="U295" s="5"/>
      <c r="W295" s="5"/>
      <c r="X295" s="5"/>
      <c r="Y295" s="12"/>
      <c r="AA295" s="13"/>
      <c r="AB295" s="12"/>
      <c r="AD295" s="13"/>
      <c r="AE295" s="5"/>
      <c r="AF295" s="5"/>
      <c r="AH295" s="13"/>
      <c r="AI295" s="5"/>
      <c r="AK295" s="5"/>
      <c r="AL295" s="5"/>
      <c r="AM295" s="5"/>
      <c r="AO295" s="5"/>
      <c r="AP295" s="5"/>
      <c r="AR295" s="5"/>
      <c r="AS295" s="5"/>
      <c r="AT295" s="5"/>
      <c r="AV295" s="5"/>
      <c r="AW295" s="5"/>
      <c r="AY295" s="5"/>
      <c r="AZ295" s="5"/>
      <c r="BA295" s="5"/>
      <c r="BC295" s="5"/>
      <c r="BD295" s="5"/>
      <c r="BF295" s="5"/>
      <c r="BG295" s="5"/>
      <c r="BH295" s="5"/>
      <c r="BJ295" s="5"/>
      <c r="BK295" s="5"/>
      <c r="BL295" s="12"/>
      <c r="BM295" s="5"/>
      <c r="BN295" s="5"/>
      <c r="BO295" s="5"/>
      <c r="BQ295" s="5"/>
      <c r="BR295" s="5"/>
      <c r="BT295" s="5"/>
      <c r="BU295" s="5"/>
      <c r="BV295" s="5"/>
      <c r="BX295" s="5"/>
      <c r="BY295" s="5"/>
      <c r="CA295" s="13"/>
      <c r="CB295" s="5"/>
      <c r="CC295" s="11"/>
      <c r="CE295" s="13"/>
      <c r="CF295" s="5"/>
      <c r="CG295" s="12"/>
      <c r="CI295" s="13"/>
      <c r="CJ295" s="5"/>
      <c r="CK295" s="12"/>
      <c r="CM295" s="13"/>
      <c r="CN295" s="5"/>
      <c r="CO295" s="12"/>
      <c r="CQ295" s="13"/>
      <c r="CR295" s="5"/>
      <c r="CS295" s="12"/>
      <c r="CU295" s="13"/>
      <c r="CV295" s="5"/>
      <c r="CW295" s="12"/>
      <c r="CY295" s="13"/>
      <c r="CZ295" s="5"/>
      <c r="DA295" s="12"/>
      <c r="DC295" s="13"/>
      <c r="DD295" s="5"/>
      <c r="DE295" s="12"/>
      <c r="DG295" s="13"/>
      <c r="DH295" s="5"/>
      <c r="DI295" s="12"/>
      <c r="DK295" s="13"/>
      <c r="DL295" s="5"/>
      <c r="DM295" s="12"/>
      <c r="DO295" s="13"/>
      <c r="DP295" s="5"/>
      <c r="DQ295" s="12"/>
      <c r="DS295" s="5"/>
      <c r="DV295" s="5"/>
      <c r="DW295" s="660">
        <f t="shared" si="2"/>
        <v>0</v>
      </c>
    </row>
    <row r="296" spans="1:127" s="6" customFormat="1" ht="15" customHeight="1">
      <c r="A296" s="3">
        <v>117</v>
      </c>
      <c r="B296" s="210" t="s">
        <v>1205</v>
      </c>
      <c r="C296" s="473" t="s">
        <v>515</v>
      </c>
      <c r="D296" s="4"/>
      <c r="E296" s="5"/>
      <c r="F296" s="5"/>
      <c r="G296" s="4"/>
      <c r="H296" s="4"/>
      <c r="I296" s="4"/>
      <c r="J296" s="4"/>
      <c r="K296" s="5"/>
      <c r="L296" s="5"/>
      <c r="M296" s="5"/>
      <c r="O296" s="5"/>
      <c r="P296" s="5"/>
      <c r="Q296" s="5"/>
      <c r="S296" s="5"/>
      <c r="T296" s="5"/>
      <c r="U296" s="5"/>
      <c r="W296" s="5"/>
      <c r="X296" s="5"/>
      <c r="Y296" s="12"/>
      <c r="AA296" s="13"/>
      <c r="AB296" s="12"/>
      <c r="AD296" s="13"/>
      <c r="AE296" s="5"/>
      <c r="AF296" s="5"/>
      <c r="AH296" s="13"/>
      <c r="AI296" s="5"/>
      <c r="AK296" s="5"/>
      <c r="AL296" s="5"/>
      <c r="AM296" s="5"/>
      <c r="AO296" s="5"/>
      <c r="AP296" s="5"/>
      <c r="AR296" s="5"/>
      <c r="AS296" s="5"/>
      <c r="AT296" s="5"/>
      <c r="AV296" s="5"/>
      <c r="AW296" s="5"/>
      <c r="AY296" s="5"/>
      <c r="AZ296" s="5"/>
      <c r="BA296" s="5"/>
      <c r="BC296" s="5"/>
      <c r="BD296" s="5"/>
      <c r="BF296" s="5"/>
      <c r="BG296" s="5"/>
      <c r="BH296" s="5"/>
      <c r="BJ296" s="5"/>
      <c r="BK296" s="5"/>
      <c r="BL296" s="12"/>
      <c r="BM296" s="5"/>
      <c r="BN296" s="5"/>
      <c r="BO296" s="5"/>
      <c r="BQ296" s="5"/>
      <c r="BR296" s="5"/>
      <c r="BT296" s="5"/>
      <c r="BU296" s="5"/>
      <c r="BV296" s="5"/>
      <c r="BX296" s="5"/>
      <c r="BY296" s="5"/>
      <c r="CA296" s="13"/>
      <c r="CB296" s="5"/>
      <c r="CC296" s="11"/>
      <c r="CE296" s="13"/>
      <c r="CF296" s="5"/>
      <c r="CG296" s="12"/>
      <c r="CI296" s="13"/>
      <c r="CJ296" s="5"/>
      <c r="CK296" s="12"/>
      <c r="CM296" s="13"/>
      <c r="CN296" s="5"/>
      <c r="CO296" s="12"/>
      <c r="CQ296" s="13"/>
      <c r="CR296" s="5"/>
      <c r="CS296" s="12"/>
      <c r="CU296" s="13"/>
      <c r="CV296" s="5"/>
      <c r="CW296" s="12"/>
      <c r="CY296" s="13"/>
      <c r="CZ296" s="5"/>
      <c r="DA296" s="12"/>
      <c r="DC296" s="13"/>
      <c r="DD296" s="5"/>
      <c r="DE296" s="12"/>
      <c r="DG296" s="13"/>
      <c r="DH296" s="5"/>
      <c r="DI296" s="12"/>
      <c r="DK296" s="13"/>
      <c r="DL296" s="5"/>
      <c r="DM296" s="12"/>
      <c r="DO296" s="13"/>
      <c r="DP296" s="5"/>
      <c r="DQ296" s="12"/>
      <c r="DS296" s="5"/>
      <c r="DV296" s="5"/>
      <c r="DW296" s="660">
        <f t="shared" si="2"/>
        <v>0</v>
      </c>
    </row>
    <row r="297" spans="1:127" s="6" customFormat="1" ht="15" customHeight="1">
      <c r="A297" s="3"/>
      <c r="B297" s="210" t="s">
        <v>1206</v>
      </c>
      <c r="C297" s="473" t="s">
        <v>515</v>
      </c>
      <c r="D297" s="4"/>
      <c r="E297" s="5"/>
      <c r="F297" s="5"/>
      <c r="G297" s="4"/>
      <c r="H297" s="4"/>
      <c r="I297" s="4"/>
      <c r="J297" s="4"/>
      <c r="K297" s="5"/>
      <c r="L297" s="5"/>
      <c r="M297" s="5"/>
      <c r="O297" s="5"/>
      <c r="P297" s="5"/>
      <c r="Q297" s="5"/>
      <c r="S297" s="5"/>
      <c r="T297" s="5"/>
      <c r="U297" s="5"/>
      <c r="W297" s="5"/>
      <c r="X297" s="5"/>
      <c r="Y297" s="12"/>
      <c r="AA297" s="13"/>
      <c r="AB297" s="12"/>
      <c r="AD297" s="13"/>
      <c r="AE297" s="5"/>
      <c r="AF297" s="5"/>
      <c r="AH297" s="13"/>
      <c r="AI297" s="5"/>
      <c r="AK297" s="5"/>
      <c r="AL297" s="5"/>
      <c r="AM297" s="5"/>
      <c r="AO297" s="5"/>
      <c r="AP297" s="5"/>
      <c r="AR297" s="5"/>
      <c r="AS297" s="5"/>
      <c r="AT297" s="5"/>
      <c r="AV297" s="5"/>
      <c r="AW297" s="5"/>
      <c r="AY297" s="5"/>
      <c r="AZ297" s="5"/>
      <c r="BA297" s="5"/>
      <c r="BC297" s="5"/>
      <c r="BD297" s="5"/>
      <c r="BF297" s="5"/>
      <c r="BG297" s="5"/>
      <c r="BH297" s="5"/>
      <c r="BJ297" s="5"/>
      <c r="BK297" s="5"/>
      <c r="BL297" s="12"/>
      <c r="BM297" s="5"/>
      <c r="BN297" s="5"/>
      <c r="BO297" s="5"/>
      <c r="BQ297" s="5"/>
      <c r="BR297" s="5"/>
      <c r="BT297" s="5"/>
      <c r="BU297" s="5"/>
      <c r="BV297" s="5"/>
      <c r="BX297" s="5"/>
      <c r="BY297" s="5"/>
      <c r="CA297" s="13"/>
      <c r="CB297" s="5"/>
      <c r="CC297" s="11"/>
      <c r="CE297" s="13"/>
      <c r="CF297" s="5"/>
      <c r="CG297" s="12"/>
      <c r="CI297" s="13"/>
      <c r="CJ297" s="5"/>
      <c r="CK297" s="12"/>
      <c r="CM297" s="13"/>
      <c r="CN297" s="5"/>
      <c r="CO297" s="12"/>
      <c r="CQ297" s="13"/>
      <c r="CR297" s="5"/>
      <c r="CS297" s="12"/>
      <c r="CU297" s="13"/>
      <c r="CV297" s="5"/>
      <c r="CW297" s="12"/>
      <c r="CY297" s="13"/>
      <c r="CZ297" s="5"/>
      <c r="DA297" s="12"/>
      <c r="DC297" s="13"/>
      <c r="DD297" s="5"/>
      <c r="DE297" s="12"/>
      <c r="DG297" s="13"/>
      <c r="DH297" s="5"/>
      <c r="DI297" s="12"/>
      <c r="DK297" s="13"/>
      <c r="DL297" s="5"/>
      <c r="DM297" s="12"/>
      <c r="DO297" s="13"/>
      <c r="DP297" s="5"/>
      <c r="DQ297" s="12"/>
      <c r="DS297" s="5"/>
      <c r="DV297" s="5"/>
      <c r="DW297" s="660">
        <f t="shared" si="2"/>
        <v>0</v>
      </c>
    </row>
    <row r="298" spans="1:127" s="6" customFormat="1" ht="15" customHeight="1">
      <c r="A298" s="3"/>
      <c r="B298" s="210" t="s">
        <v>1207</v>
      </c>
      <c r="C298" s="473" t="s">
        <v>515</v>
      </c>
      <c r="D298" s="4"/>
      <c r="E298" s="5"/>
      <c r="F298" s="5"/>
      <c r="G298" s="4"/>
      <c r="H298" s="4"/>
      <c r="I298" s="4"/>
      <c r="J298" s="4"/>
      <c r="K298" s="5"/>
      <c r="L298" s="5"/>
      <c r="M298" s="5"/>
      <c r="O298" s="5"/>
      <c r="P298" s="5"/>
      <c r="Q298" s="5"/>
      <c r="S298" s="5"/>
      <c r="T298" s="5"/>
      <c r="U298" s="5"/>
      <c r="W298" s="5"/>
      <c r="X298" s="5"/>
      <c r="Y298" s="12"/>
      <c r="AA298" s="13"/>
      <c r="AB298" s="12"/>
      <c r="AD298" s="13"/>
      <c r="AE298" s="5"/>
      <c r="AF298" s="5"/>
      <c r="AH298" s="13"/>
      <c r="AI298" s="5"/>
      <c r="AK298" s="5"/>
      <c r="AL298" s="5"/>
      <c r="AM298" s="5"/>
      <c r="AO298" s="5"/>
      <c r="AP298" s="5"/>
      <c r="AR298" s="5"/>
      <c r="AS298" s="5"/>
      <c r="AT298" s="5"/>
      <c r="AV298" s="5"/>
      <c r="AW298" s="5"/>
      <c r="AY298" s="5"/>
      <c r="AZ298" s="5"/>
      <c r="BA298" s="5"/>
      <c r="BC298" s="5"/>
      <c r="BD298" s="5"/>
      <c r="BF298" s="5"/>
      <c r="BG298" s="5"/>
      <c r="BH298" s="5"/>
      <c r="BJ298" s="5"/>
      <c r="BK298" s="5"/>
      <c r="BL298" s="12"/>
      <c r="BM298" s="5"/>
      <c r="BN298" s="5"/>
      <c r="BO298" s="5"/>
      <c r="BQ298" s="5"/>
      <c r="BR298" s="5"/>
      <c r="BT298" s="5"/>
      <c r="BU298" s="5"/>
      <c r="BV298" s="5"/>
      <c r="BX298" s="5"/>
      <c r="BY298" s="5"/>
      <c r="CA298" s="13"/>
      <c r="CB298" s="5"/>
      <c r="CC298" s="11"/>
      <c r="CE298" s="13"/>
      <c r="CF298" s="5"/>
      <c r="CG298" s="12"/>
      <c r="CI298" s="13"/>
      <c r="CJ298" s="5"/>
      <c r="CK298" s="12"/>
      <c r="CM298" s="13"/>
      <c r="CN298" s="5"/>
      <c r="CO298" s="12"/>
      <c r="CQ298" s="13"/>
      <c r="CR298" s="5"/>
      <c r="CS298" s="12"/>
      <c r="CU298" s="13"/>
      <c r="CV298" s="5"/>
      <c r="CW298" s="12"/>
      <c r="CY298" s="13"/>
      <c r="CZ298" s="5"/>
      <c r="DA298" s="12"/>
      <c r="DC298" s="13"/>
      <c r="DD298" s="5"/>
      <c r="DE298" s="12"/>
      <c r="DG298" s="13"/>
      <c r="DH298" s="5"/>
      <c r="DI298" s="12"/>
      <c r="DK298" s="13"/>
      <c r="DL298" s="5"/>
      <c r="DM298" s="12"/>
      <c r="DO298" s="13"/>
      <c r="DP298" s="5"/>
      <c r="DQ298" s="12"/>
      <c r="DS298" s="5"/>
      <c r="DV298" s="5"/>
      <c r="DW298" s="660">
        <f t="shared" si="2"/>
        <v>0</v>
      </c>
    </row>
    <row r="299" spans="1:127" s="6" customFormat="1" ht="15" customHeight="1">
      <c r="A299" s="3"/>
      <c r="B299" s="210" t="s">
        <v>1209</v>
      </c>
      <c r="C299" s="473" t="s">
        <v>515</v>
      </c>
      <c r="D299" s="4"/>
      <c r="E299" s="5"/>
      <c r="F299" s="5"/>
      <c r="G299" s="4"/>
      <c r="H299" s="473"/>
      <c r="I299" s="473"/>
      <c r="J299" s="4"/>
      <c r="K299" s="5"/>
      <c r="L299" s="5"/>
      <c r="M299" s="5"/>
      <c r="O299" s="5"/>
      <c r="P299" s="5"/>
      <c r="Q299" s="5"/>
      <c r="S299" s="5"/>
      <c r="T299" s="5"/>
      <c r="U299" s="5"/>
      <c r="W299" s="5"/>
      <c r="X299" s="5"/>
      <c r="Y299" s="12"/>
      <c r="AA299" s="13"/>
      <c r="AB299" s="12"/>
      <c r="AD299" s="13"/>
      <c r="AE299" s="5"/>
      <c r="AF299" s="5"/>
      <c r="AH299" s="13"/>
      <c r="AI299" s="5"/>
      <c r="AK299" s="5"/>
      <c r="AL299" s="5"/>
      <c r="AM299" s="5"/>
      <c r="AO299" s="5"/>
      <c r="AP299" s="5"/>
      <c r="AR299" s="5"/>
      <c r="AS299" s="5"/>
      <c r="AT299" s="5"/>
      <c r="AV299" s="5"/>
      <c r="AW299" s="5"/>
      <c r="AY299" s="5"/>
      <c r="AZ299" s="5"/>
      <c r="BA299" s="5"/>
      <c r="BC299" s="5"/>
      <c r="BD299" s="5"/>
      <c r="BF299" s="5"/>
      <c r="BG299" s="5"/>
      <c r="BH299" s="5"/>
      <c r="BJ299" s="5"/>
      <c r="BK299" s="5"/>
      <c r="BL299" s="12"/>
      <c r="BM299" s="5"/>
      <c r="BN299" s="5"/>
      <c r="BO299" s="5"/>
      <c r="BQ299" s="5"/>
      <c r="BR299" s="5"/>
      <c r="BT299" s="5"/>
      <c r="BU299" s="5"/>
      <c r="BV299" s="5"/>
      <c r="BX299" s="5"/>
      <c r="BY299" s="5"/>
      <c r="CA299" s="13"/>
      <c r="CB299" s="5"/>
      <c r="CC299" s="11"/>
      <c r="CE299" s="13"/>
      <c r="CF299" s="5"/>
      <c r="CG299" s="12"/>
      <c r="CI299" s="13"/>
      <c r="CJ299" s="5"/>
      <c r="CK299" s="12"/>
      <c r="CM299" s="13"/>
      <c r="CN299" s="5"/>
      <c r="CO299" s="12"/>
      <c r="CQ299" s="13"/>
      <c r="CR299" s="5"/>
      <c r="CS299" s="12"/>
      <c r="CU299" s="13"/>
      <c r="CV299" s="5"/>
      <c r="CW299" s="12"/>
      <c r="CY299" s="13"/>
      <c r="CZ299" s="5"/>
      <c r="DA299" s="12"/>
      <c r="DC299" s="13"/>
      <c r="DD299" s="5"/>
      <c r="DE299" s="12"/>
      <c r="DG299" s="13"/>
      <c r="DH299" s="5"/>
      <c r="DI299" s="12"/>
      <c r="DK299" s="13"/>
      <c r="DL299" s="5"/>
      <c r="DM299" s="12"/>
      <c r="DO299" s="13"/>
      <c r="DP299" s="5"/>
      <c r="DQ299" s="12"/>
      <c r="DS299" s="5"/>
      <c r="DV299" s="5"/>
      <c r="DW299" s="660">
        <f t="shared" si="2"/>
        <v>0</v>
      </c>
    </row>
    <row r="300" spans="1:127" s="6" customFormat="1" ht="15" customHeight="1">
      <c r="A300" s="3"/>
      <c r="B300" s="210" t="s">
        <v>1541</v>
      </c>
      <c r="C300" s="473" t="s">
        <v>515</v>
      </c>
      <c r="D300" s="4"/>
      <c r="E300" s="5"/>
      <c r="F300" s="5"/>
      <c r="G300" s="4"/>
      <c r="H300" s="473"/>
      <c r="I300" s="473"/>
      <c r="J300" s="4"/>
      <c r="K300" s="5"/>
      <c r="L300" s="5"/>
      <c r="M300" s="5"/>
      <c r="O300" s="5"/>
      <c r="P300" s="5"/>
      <c r="Q300" s="5"/>
      <c r="S300" s="5"/>
      <c r="T300" s="5"/>
      <c r="U300" s="5"/>
      <c r="W300" s="5"/>
      <c r="X300" s="5"/>
      <c r="Y300" s="12"/>
      <c r="AA300" s="13"/>
      <c r="AB300" s="12"/>
      <c r="AD300" s="13"/>
      <c r="AE300" s="5"/>
      <c r="AF300" s="5"/>
      <c r="AH300" s="13"/>
      <c r="AI300" s="5"/>
      <c r="AK300" s="5"/>
      <c r="AL300" s="5"/>
      <c r="AM300" s="5"/>
      <c r="AO300" s="5"/>
      <c r="AP300" s="5"/>
      <c r="AR300" s="5"/>
      <c r="AS300" s="5"/>
      <c r="AT300" s="5"/>
      <c r="AV300" s="5"/>
      <c r="AW300" s="5"/>
      <c r="AY300" s="5"/>
      <c r="AZ300" s="5"/>
      <c r="BA300" s="5"/>
      <c r="BC300" s="5"/>
      <c r="BD300" s="5"/>
      <c r="BF300" s="5"/>
      <c r="BG300" s="5"/>
      <c r="BH300" s="5"/>
      <c r="BJ300" s="5"/>
      <c r="BK300" s="5"/>
      <c r="BL300" s="12"/>
      <c r="BM300" s="5"/>
      <c r="BN300" s="5"/>
      <c r="BO300" s="5"/>
      <c r="BQ300" s="5"/>
      <c r="BR300" s="5"/>
      <c r="BT300" s="5"/>
      <c r="BU300" s="5"/>
      <c r="BV300" s="5"/>
      <c r="BX300" s="5"/>
      <c r="BY300" s="5"/>
      <c r="CA300" s="13"/>
      <c r="CB300" s="5"/>
      <c r="CC300" s="11"/>
      <c r="CE300" s="13"/>
      <c r="CF300" s="5"/>
      <c r="CG300" s="12"/>
      <c r="CI300" s="13"/>
      <c r="CJ300" s="5"/>
      <c r="CK300" s="12"/>
      <c r="CM300" s="13"/>
      <c r="CN300" s="5"/>
      <c r="CO300" s="12"/>
      <c r="CQ300" s="13"/>
      <c r="CR300" s="5"/>
      <c r="CS300" s="12"/>
      <c r="CU300" s="13"/>
      <c r="CV300" s="5"/>
      <c r="CW300" s="12"/>
      <c r="CY300" s="13"/>
      <c r="CZ300" s="5"/>
      <c r="DA300" s="12"/>
      <c r="DC300" s="13"/>
      <c r="DD300" s="5"/>
      <c r="DE300" s="12"/>
      <c r="DG300" s="13"/>
      <c r="DH300" s="5"/>
      <c r="DI300" s="12"/>
      <c r="DK300" s="13"/>
      <c r="DL300" s="5"/>
      <c r="DM300" s="12"/>
      <c r="DO300" s="13"/>
      <c r="DP300" s="5"/>
      <c r="DQ300" s="12"/>
      <c r="DS300" s="5"/>
      <c r="DV300" s="5"/>
      <c r="DW300" s="660">
        <f t="shared" si="2"/>
        <v>0</v>
      </c>
    </row>
    <row r="301" spans="1:127" s="6" customFormat="1" ht="15" customHeight="1">
      <c r="A301" s="3">
        <v>124</v>
      </c>
      <c r="B301" s="210" t="s">
        <v>20</v>
      </c>
      <c r="C301" s="473" t="s">
        <v>515</v>
      </c>
      <c r="D301" s="4"/>
      <c r="E301" s="5"/>
      <c r="F301" s="5"/>
      <c r="G301" s="4"/>
      <c r="H301" s="4"/>
      <c r="I301" s="4"/>
      <c r="J301" s="4"/>
      <c r="K301" s="5"/>
      <c r="L301" s="5"/>
      <c r="M301" s="5"/>
      <c r="O301" s="5"/>
      <c r="P301" s="5"/>
      <c r="Q301" s="5"/>
      <c r="S301" s="5">
        <v>1</v>
      </c>
      <c r="T301" s="5">
        <f>T6*S301+T7*S301+T8*S301+T9*S301+T10*S301+T11*S301+T12*S301+T13*S301+T14*S301+T15*S301+T16*S301+T17*S301+T18*S301+T19*S301+T20*S301+T21*S301+T22*S301+T23*S301+T24*S301+T25*S301+T26*S301+T5*S301+U6*S301+U7*S301+U8*S301+U9*S301+U10*S301+U11*S301+U12*S301+U13*S301+U14*S301+U15*S301+U16*S301+U17*S301+U18*S301+U19*S301+U20*S301+U21*S301+U22*S301+U23*S301+U24*S301+U26*S301+U25*S301+U5*S301</f>
        <v>0</v>
      </c>
      <c r="U301" s="5"/>
      <c r="W301" s="5">
        <v>1</v>
      </c>
      <c r="X301" s="5">
        <f>X6*W301+X7*W301+X8*W301+X9*W301+X10*W301+X11*W301+X12*W301+X13*W301+X14*W301+X15*W301+X16*W301+X17*W301+X18*W301+X19*W301+X20*W301+X21*W301+X22*W301+X23*W301+X24*W301+X25*W301+X26*W301+X5*W301+Y6*W301+Y7*W301+Y8*W301+Y9*W301+Y10*W301+Y11*W301+Y12*W301+Y13*W301+Y14*W301+Y15*W301+Y16*W301+Y17*W301+Y18*W301+Y19*W301+Y20*W301+Y21*W301+Y22*W301+Y23*W301+Y24*W301+Y26*W301+Y25*W301+Y5*W301</f>
        <v>0</v>
      </c>
      <c r="Y301" s="12"/>
      <c r="AA301" s="13">
        <v>1</v>
      </c>
      <c r="AB301" s="5">
        <f>AB6*AA301+AB7*AA301+AB8*AA301+AB9*AA301+AB10*AA301+AB11*AA301+AB12*AA301+AB13*AA301+AB14*AA301+AB15*AA301+AB16*AA301+AB17*AA301+AB18*AA301+AB19*AA301+AB20*AA301+AB21*AA301+AB22*AA301+AB23*AA301+AB24*AA301+AB25*AA301+AB26*AA301+AB5*AA301+AC6*AA301+AC7*AA301+AC8*AA301+AC9*AA301+AC10*AA301+AC11*AA301+AC12*AA301+AC13*AA301+AC14*AA301+AC15*AA301+AC16*AA301+AC17*AA301+AC18*AA301+AC19*AA301+AC20*AA301+AC21*AA301+AC22*AA301+AC23*AA301+AC24*AA301+AC26*AA301+AC25*AA301+AC5*AA301</f>
        <v>0</v>
      </c>
      <c r="AD301" s="13">
        <v>1</v>
      </c>
      <c r="AE301" s="5">
        <f>AE6*AD301+AE7*AD301+AE8*AD301+AE9*AD301+AE10*AD301+AE11*AD301+AE12*AD301+AE13*AD301+AE14*AD301+AE15*AD301+AE16*AD301+AE17*AD301+AE18*AD301+AE19*AD301+AE20*AD301+AE21*AD301+AE22*AD301+AE23*AD301+AE24*AD301+AE25*AD301+AE26*AD301+AE5*AD301+AF6*AD301+AF7*AD301+AF8*AD301+AF9*AD301+AF10*AD301+AF11*AD301+AF12*AD301+AF13*AD301+AF14*AD301+AF15*AD301+AF16*AD301+AF17*AD301+AF18*AD301+AF19*AD301+AF20*AD301+AF21*AD301+AF22*AD301+AF23*AD301+AF24*AD301+AF26*AD301+AF25*AD301+AF5*AD301</f>
        <v>0</v>
      </c>
      <c r="AF301" s="5"/>
      <c r="AH301" s="13">
        <v>1</v>
      </c>
      <c r="AI301" s="5">
        <f>AI6*AH301+AI7*AH301+AI8*AH301+AI9*AH301+AI10*AH301+AI11*AH301+AI12*AH301+AI13*AH301+AI14*AH301+AI15*AH301+AI16*AH301+AI17*AH301+AI18*AH301+AI19*AH301+AI20*AH301+AI21*AH301+AI22*AH301+AI23*AH301+AI24*AH301+AI25*AH301+AI26*AH301+AI5*AH301+AJ6*AH301+AJ7*AH301+AJ8*AH301+AJ9*AH301+AJ10*AH301+AJ11*AH301+AJ12*AH301+AJ13*AH301+AJ14*AH301+AJ15*AH301+AJ16*AH301+AJ17*AH301+AJ18*AH301+AJ19*AH301+AJ20*AH301+AJ21*AH301+AJ22*AH301+AJ23*AH301+AJ24*AH301+AJ26*AH301+AJ25*AH301+AJ5*AH301</f>
        <v>0</v>
      </c>
      <c r="AK301" s="5">
        <v>1</v>
      </c>
      <c r="AL301" s="5">
        <f>AL6*AK301+AL7*AK301+AL8*AK301+AL9*AK301+AL10*AK301+AL11*AK301+AL12*AK301+AL13*AK301+AL14*AK301+AL15*AK301+AL16*AK301+AL17*AK301+AL18*AK301+AL19*AK301+AL20*AK301+AL21*AK301+AL22*AK301+AL23*AK301+AL24*AK301+AL25*AK301+AL26*AK301+AL5*AK301+AM6*AK301+AM7*AK301+AM8*AK301+AM9*AK301+AM10*AK301+AM11*AK301+AM12*AK301+AM13*AK301+AM14*AK301+AM15*AK301+AM16*AK301+AM17*AK301+AM18*AK301+AM19*AK301+AM20*AK301+AM21*AK301+AM22*AK301+AM23*AK301+AM24*AK301+AM26*AK301+AM25*AK301+AM5*AK301</f>
        <v>0</v>
      </c>
      <c r="AM301" s="5"/>
      <c r="AO301" s="5">
        <v>1</v>
      </c>
      <c r="AP301" s="5">
        <f>AP6*AO301+AP7*AO301+AP8*AO301+AP9*AO301+AP10*AO301+AP11*AO301+AP12*AO301+AP13*AO301+AP14*AO301+AP15*AO301+AP16*AO301+AP17*AO301+AP18*AO301+AP19*AO301+AP20*AO301+AP21*AO301+AP22*AO301+AP23*AO301+AP24*AO301+AP25*AO301+AP26*AO301+AP5*AO301+AQ6*AO301+AQ7*AO301+AQ8*AO301+AQ9*AO301+AQ10*AO301+AQ11*AO301+AQ12*AO301+AQ13*AO301+AQ14*AO301+AQ15*AO301+AQ16*AO301+AQ17*AO301+AQ18*AO301+AQ19*AO301+AQ20*AO301+AQ21*AO301+AQ22*AO301+AQ23*AO301+AQ24*AO301+AQ26*AO301+AQ25*AO301+AQ5*AO301</f>
        <v>0</v>
      </c>
      <c r="AR301" s="5">
        <v>2</v>
      </c>
      <c r="AS301" s="5">
        <f>AS6*AR301+AS7*AR301+AS8*AR301+AS9*AR301+AS10*AR301+AS11*AR301+AS12*AR301+AS13*AR301+AS14*AR301+AS15*AR301+AS16*AR301+AS17*AR301+AS18*AR301+AS19*AR301+AS20*AR301+AS21*AR301+AS22*AR301+AS23*AR301+AS24*AR301+AS25*AR301+AS26*AR301+AS5*AR301+AT6*AR301+AT7*AR301+AT8*AR301+AT9*AR301+AT10*AR301+AT11*AR301+AT12*AR301+AT13*AR301+AT14*AR301+AT15*AR301+AT16*AR301+AT17*AR301+AT18*AR301+AT19*AR301+AT20*AR301+AT21*AR301+AT22*AR301+AT23*AR301+AT24*AR301+AT26*AR301+AT25*AR301+AT5*AR301</f>
        <v>0</v>
      </c>
      <c r="AT301" s="5"/>
      <c r="AV301" s="5">
        <v>2</v>
      </c>
      <c r="AW301" s="5">
        <f>AW6*AV301+AW7*AV301+AW8*AV301+AW9*AV301+AW10*AV301+AW11*AV301+AW12*AV301+AW13*AV301+AW14*AV301+AW15*AV301+AW16*AV301+AW17*AV301+AW18*AV301+AW19*AV301+AW20*AV301+AW21*AV301+AW22*AV301+AW23*AV301+AW24*AV301+AW25*AV301+AW26*AV301+AW5*AV301+AX6*AV301+AX7*AV301+AX8*AV301+AX9*AV301+AX10*AV301+AX11*AV301+AX12*AV301+AX13*AV301+AX14*AV301+AX15*AV301+AX16*AV301+AX17*AV301+AX18*AV301+AX19*AV301+AX20*AV301+AX21*AV301+AX22*AV301+AX23*AV301+AX24*AV301+AX26*AV301+AX25*AV301+AX5*AV301</f>
        <v>0</v>
      </c>
      <c r="AY301" s="5">
        <v>2</v>
      </c>
      <c r="AZ301" s="5">
        <f>AZ6*AY301+AZ7*AY301+AZ8*AY301+AZ9*AY301+AZ10*AY301+AZ11*AY301+AZ12*AY301+AZ13*AY301+AZ14*AY301+AZ15*AY301+AZ16*AY301+AZ17*AY301+AZ18*AY301+AZ19*AY301+AZ20*AY301+AZ21*AY301+AZ22*AY301+AZ23*AY301+AZ24*AY301+AZ25*AY301+AZ26*AY301+AZ5*AY301+BA6*AY301+BA7*AY301+BA8*AY301+BA9*AY301+BA10*AY301+BA11*AY301+BA12*AY301+BA13*AY301+BA14*AY301+BA15*AY301+BA16*AY301+BA17*AY301+BA18*AY301+BA19*AY301+BA20*AY301+BA21*AY301+BA22*AY301+BA23*AY301+BA24*AY301+BA26*AY301+BA25*AY301+BA5*AY301</f>
        <v>0</v>
      </c>
      <c r="BA301" s="5"/>
      <c r="BC301" s="5">
        <v>2</v>
      </c>
      <c r="BD301" s="5">
        <f>BD6*BC301+BD7*BC301+BD8*BC301+BD9*BC301+BD10*BC301+BD11*BC301+BD12*BC301+BD13*BC301+BD14*BC301+BD15*BC301+BD16*BC301+BD17*BC301+BD18*BC301+BD19*BC301+BD20*BC301+BD21*BC301+BD22*BC301+BD23*BC301+BD24*BC301+BD25*BC301+BD26*BC301+BD5*BC301+BE6*BC301+BE7*BC301+BE8*BC301+BE9*BC301+BE10*BC301+BE11*BC301+BE12*BC301+BE13*BC301+BE14*BC301+BE15*BC301+BE16*BC301+BE17*BC301+BE18*BC301+BE19*BC301+BE20*BC301+BE21*BC301+BE22*BC301+BE23*BC301+BE24*BC301+BE26*BC301+BE25*BC301+BE5*BC301</f>
        <v>0</v>
      </c>
      <c r="BF301" s="5">
        <v>2</v>
      </c>
      <c r="BG301" s="5">
        <f>BG6*BF301+BG7*BF301+BG8*BF301+BG9*BF301+BG10*BF301+BG11*BF301+BG12*BF301+BG13*BF301+BG14*BF301+BG15*BF301+BG16*BF301+BG17*BF301+BG18*BF301+BG19*BF301+BG20*BF301+BG21*BF301+BG22*BF301+BG23*BF301+BG24*BF301+BG25*BF301+BG26*BF301+BG5*BF301+BH6*BF301+BH7*BF301+BH8*BF301+BH9*BF301+BH10*BF301+BH11*BF301+BH12*BF301+BH13*BF301+BH14*BF301+BH15*BF301+BH16*BF301+BH17*BF301+BH18*BF301+BH19*BF301+BH20*BF301+BH21*BF301+BH22*BF301+BH23*BF301+BH24*BF301+BH26*BF301+BH25*BF301+BH5*BF301</f>
        <v>0</v>
      </c>
      <c r="BH301" s="5"/>
      <c r="BJ301" s="5">
        <v>2</v>
      </c>
      <c r="BK301" s="5">
        <f>BK6*BJ301+BK7*BJ301+BK8*BJ301+BK9*BJ301+BK10*BJ301+BK11*BJ301+BK12*BJ301+BK13*BJ301+BK14*BJ301+BK15*BJ301+BK16*BJ301+BK17*BJ301+BK18*BJ301+BK19*BJ301+BK20*BJ301+BK21*BJ301+BK22*BJ301+BK23*BJ301+BK24*BJ301+BK25*BJ301+BK26*BJ301+BK5*BJ301+BL6*BJ301+BL7*BJ301+BL8*BJ301+BL9*BJ301+BL10*BJ301+BL11*BJ301+BL12*BJ301+BL13*BJ301+BL14*BJ301+BL15*BJ301+BL16*BJ301+BL17*BJ301+BL18*BJ301+BL19*BJ301+BL20*BJ301+BL21*BJ301+BL22*BJ301+BL23*BJ301+BL24*BJ301+BL26*BJ301+BL25*BJ301+BL5*BJ301</f>
        <v>0</v>
      </c>
      <c r="BL301" s="12"/>
      <c r="BM301" s="5">
        <v>2</v>
      </c>
      <c r="BN301" s="5">
        <f>BN6*BM301+BN7*BM301+BN8*BM301+BN9*BM301+BN10*BM301+BN11*BM301+BN12*BM301+BN13*BM301+BN14*BM301+BN15*BM301+BN16*BM301+BN17*BM301+BN18*BM301+BN19*BM301+BN20*BM301+BN21*BM301+BN22*BM301+BN23*BM301+BN24*BM301+BN25*BM301+BN26*BM301+BN5*BM301+BO6*BM301+BO7*BM301+BO8*BM301+BO9*BM301+BO10*BM301+BO11*BM301+BO12*BM301+BO13*BM301+BO14*BM301+BO15*BM301+BO16*BM301+BO17*BM301+BO18*BM301+BO19*BM301+BO20*BM301+BO21*BM301+BO22*BM301+BO23*BM301+BO24*BM301+BO26*BM301+BO25*BM301+BO5*BM301</f>
        <v>0</v>
      </c>
      <c r="BO301" s="5"/>
      <c r="BQ301" s="5">
        <v>2</v>
      </c>
      <c r="BR301" s="5">
        <f>BR6*BQ301+BR7*BQ301+BR8*BQ301+BR9*BQ301+BR10*BQ301+BR11*BQ301+BR12*BQ301+BR13*BQ301+BR14*BQ301+BR15*BQ301+BR16*BQ301+BR17*BQ301+BR18*BQ301+BR19*BQ301+BR20*BQ301+BR21*BQ301+BR22*BQ301+BR23*BQ301+BR24*BQ301+BR25*BQ301+BR26*BQ301+BR5*BQ301+BS6*BQ301+BS7*BQ301+BS8*BQ301+BS9*BQ301+BS10*BQ301+BS11*BQ301+BS12*BQ301+BS13*BQ301+BS14*BQ301+BS15*BQ301+BS16*BQ301+BS17*BQ301+BS18*BQ301+BS19*BQ301+BS20*BQ301+BS21*BQ301+BS22*BQ301+BS23*BQ301+BS24*BQ301+BS26*BQ301+BS25*BQ301+BS5*BQ301</f>
        <v>0</v>
      </c>
      <c r="BT301" s="5">
        <v>2</v>
      </c>
      <c r="BU301" s="5">
        <f>BU6*BT301+BU7*BT301+BU8*BT301+BU9*BT301+BU10*BT301+BU11*BT301+BU12*BT301+BU13*BT301+BU14*BT301+BU15*BT301+BU16*BT301+BU17*BT301+BU18*BT301+BU19*BT301+BU20*BT301+BU21*BT301+BU22*BT301+BU23*BT301+BU24*BT301+BU25*BT301+BU26*BT301+BU5*BT301+BV6*BT301+BV7*BT301+BV8*BT301+BV9*BT301+BV10*BT301+BV11*BT301+BV12*BT301+BV13*BT301+BV14*BT301+BV15*BT301+BV16*BT301+BV17*BT301+BV18*BT301+BV19*BT301+BV20*BT301+BV21*BT301+BV22*BT301+BV23*BT301+BV24*BT301+BV26*BT301+BV25*BT301+BV5*BT301</f>
        <v>0</v>
      </c>
      <c r="BV301" s="5"/>
      <c r="BX301" s="5">
        <v>2</v>
      </c>
      <c r="BY301" s="5">
        <f>BY6*BX301+BY7*BX301+BY8*BX301+BY9*BX301+BY10*BX301+BY11*BX301+BY12*BX301+BY13*BX301+BY14*BX301+BY15*BX301+BY16*BX301+BY17*BX301+BY18*BX301+BY19*BX301+BY20*BX301+BY21*BX301+BY22*BX301+BY23*BX301+BY24*BX301+BY25*BX301+BY26*BX301+BY5*BX301+BZ6*BX301+BZ7*BX301+BZ8*BX301+BZ9*BX301+BZ10*BX301+BZ11*BX301+BZ12*BX301+BZ13*BX301+BZ14*BX301+BZ15*BX301+BZ16*BX301+BZ17*BX301+BZ18*BX301+BZ19*BX301+BZ20*BX301+BZ21*BX301+BZ22*BX301+BZ23*BX301+BZ24*BX301+BZ26*BX301+BZ25*BX301+BZ5*BX301</f>
        <v>0</v>
      </c>
      <c r="CA301" s="13">
        <v>2</v>
      </c>
      <c r="CB301" s="5">
        <f>CB6*CA301+CB7*CA301+CB8*CA301+CB9*CA301+CB10*CA301+CB11*CA301+CB12*CA301+CB13*CA301+CB14*CA301+CB15*CA301+CB16*CA301+CB17*CA301+CB18*CA301+CB19*CA301+CB20*CA301+CB21*CA301+CB22*CA301+CB23*CA301+CB24*CA301+CB25*CA301+CB26*CA301+CB5*CA301+CC6*CA301+CC7*CA301+CC8*CA301+CC9*CA301+CC10*CA301+CC11*CA301+CC12*CA301+CC13*CA301+CC14*CA301+CC15*CA301+CC16*CA301+CC17*CA301+CC18*CA301+CC19*CA301+CC20*CA301+CC21*CA301+CC22*CA301+CC23*CA301+CC24*CA301+CC26*CA301+CC25*CA301+CC5*CA301</f>
        <v>0</v>
      </c>
      <c r="CC301" s="11"/>
      <c r="CE301" s="13"/>
      <c r="CF301" s="5"/>
      <c r="CG301" s="12"/>
      <c r="CI301" s="13"/>
      <c r="CJ301" s="5"/>
      <c r="CK301" s="12"/>
      <c r="CM301" s="13"/>
      <c r="CN301" s="5"/>
      <c r="CO301" s="12"/>
      <c r="CQ301" s="13"/>
      <c r="CR301" s="5"/>
      <c r="CS301" s="12"/>
      <c r="CU301" s="13"/>
      <c r="CV301" s="5"/>
      <c r="CW301" s="12"/>
      <c r="CY301" s="13"/>
      <c r="CZ301" s="5"/>
      <c r="DA301" s="12"/>
      <c r="DC301" s="13"/>
      <c r="DD301" s="5"/>
      <c r="DE301" s="12"/>
      <c r="DG301" s="13"/>
      <c r="DH301" s="5"/>
      <c r="DI301" s="12"/>
      <c r="DK301" s="13"/>
      <c r="DL301" s="5"/>
      <c r="DM301" s="12"/>
      <c r="DO301" s="13"/>
      <c r="DP301" s="5"/>
      <c r="DQ301" s="12"/>
      <c r="DS301" s="5"/>
      <c r="DV301" s="5"/>
      <c r="DW301" s="660">
        <f t="shared" si="2"/>
        <v>0</v>
      </c>
    </row>
    <row r="302" spans="1:127" s="6" customFormat="1" ht="15.75" customHeight="1">
      <c r="A302" s="3">
        <v>125</v>
      </c>
      <c r="B302" s="118" t="s">
        <v>1497</v>
      </c>
      <c r="C302" s="4" t="s">
        <v>0</v>
      </c>
      <c r="D302" s="2"/>
      <c r="E302" s="5"/>
      <c r="F302" s="5"/>
      <c r="G302" s="2"/>
      <c r="H302" s="4"/>
      <c r="I302" s="4"/>
      <c r="J302" s="2"/>
      <c r="K302" s="5"/>
      <c r="L302" s="5"/>
      <c r="M302" s="5"/>
      <c r="O302" s="5"/>
      <c r="P302" s="5"/>
      <c r="Q302" s="5"/>
      <c r="S302" s="5"/>
      <c r="T302" s="5"/>
      <c r="U302" s="5"/>
      <c r="W302" s="5"/>
      <c r="X302" s="5"/>
      <c r="Y302" s="12"/>
      <c r="AA302" s="13"/>
      <c r="AB302" s="12"/>
      <c r="AD302" s="13"/>
      <c r="AE302" s="5"/>
      <c r="AF302" s="5"/>
      <c r="AH302" s="13"/>
      <c r="AI302" s="5"/>
      <c r="AK302" s="5"/>
      <c r="AL302" s="5"/>
      <c r="AM302" s="5"/>
      <c r="AO302" s="5"/>
      <c r="AP302" s="5"/>
      <c r="AR302" s="5"/>
      <c r="AS302" s="5"/>
      <c r="AT302" s="5"/>
      <c r="AV302" s="5"/>
      <c r="AW302" s="5"/>
      <c r="AY302" s="5"/>
      <c r="AZ302" s="5"/>
      <c r="BA302" s="5"/>
      <c r="BC302" s="5"/>
      <c r="BD302" s="5"/>
      <c r="BF302" s="5"/>
      <c r="BG302" s="5"/>
      <c r="BH302" s="5"/>
      <c r="BJ302" s="5"/>
      <c r="BK302" s="5"/>
      <c r="BL302" s="12"/>
      <c r="BM302" s="5"/>
      <c r="BN302" s="5"/>
      <c r="BO302" s="5"/>
      <c r="BQ302" s="5"/>
      <c r="BR302" s="5"/>
      <c r="BT302" s="5"/>
      <c r="BU302" s="5"/>
      <c r="BV302" s="5"/>
      <c r="BX302" s="5"/>
      <c r="BY302" s="5"/>
      <c r="CA302" s="13"/>
      <c r="CB302" s="7"/>
      <c r="CC302" s="11"/>
      <c r="CE302" s="13">
        <v>1</v>
      </c>
      <c r="CF302" s="5">
        <f>SUM(CF5:CF26)*CE302</f>
        <v>0</v>
      </c>
      <c r="CG302" s="5"/>
      <c r="CI302" s="13"/>
      <c r="CJ302" s="5"/>
      <c r="CK302" s="12"/>
      <c r="CM302" s="13"/>
      <c r="CN302" s="5"/>
      <c r="CO302" s="12"/>
      <c r="CQ302" s="13"/>
      <c r="CR302" s="5"/>
      <c r="CS302" s="12"/>
      <c r="CU302" s="13"/>
      <c r="CV302" s="5"/>
      <c r="CW302" s="12"/>
      <c r="CY302" s="13">
        <v>1</v>
      </c>
      <c r="CZ302" s="5">
        <f>SUM(CZ5:CZ26)*CY302</f>
        <v>0</v>
      </c>
      <c r="DA302" s="5"/>
      <c r="DC302" s="13"/>
      <c r="DD302" s="5"/>
      <c r="DE302" s="12"/>
      <c r="DG302" s="13"/>
      <c r="DH302" s="5"/>
      <c r="DI302" s="12"/>
      <c r="DK302" s="13"/>
      <c r="DL302" s="5"/>
      <c r="DM302" s="12"/>
      <c r="DO302" s="13"/>
      <c r="DP302" s="5"/>
      <c r="DQ302" s="12"/>
      <c r="DS302" s="5">
        <v>1</v>
      </c>
      <c r="DV302" s="5"/>
      <c r="DW302" s="660">
        <f t="shared" si="2"/>
        <v>0</v>
      </c>
    </row>
    <row r="303" spans="1:127" s="6" customFormat="1" ht="15.75" customHeight="1">
      <c r="A303" s="3">
        <v>126</v>
      </c>
      <c r="B303" s="118" t="s">
        <v>1498</v>
      </c>
      <c r="C303" s="4" t="s">
        <v>0</v>
      </c>
      <c r="D303" s="2"/>
      <c r="E303" s="5"/>
      <c r="F303" s="5"/>
      <c r="G303" s="2"/>
      <c r="H303" s="4"/>
      <c r="I303" s="4"/>
      <c r="J303" s="2"/>
      <c r="K303" s="5"/>
      <c r="L303" s="5"/>
      <c r="M303" s="5"/>
      <c r="O303" s="5"/>
      <c r="P303" s="5"/>
      <c r="Q303" s="5"/>
      <c r="S303" s="5"/>
      <c r="T303" s="5"/>
      <c r="U303" s="5"/>
      <c r="W303" s="5"/>
      <c r="X303" s="5"/>
      <c r="Y303" s="12"/>
      <c r="AA303" s="13"/>
      <c r="AB303" s="12"/>
      <c r="AD303" s="13"/>
      <c r="AE303" s="5"/>
      <c r="AF303" s="5"/>
      <c r="AH303" s="13"/>
      <c r="AI303" s="5"/>
      <c r="AK303" s="5"/>
      <c r="AL303" s="5"/>
      <c r="AM303" s="5"/>
      <c r="AO303" s="5"/>
      <c r="AP303" s="5"/>
      <c r="AR303" s="5"/>
      <c r="AS303" s="5"/>
      <c r="AT303" s="5"/>
      <c r="AV303" s="5"/>
      <c r="AW303" s="5"/>
      <c r="AY303" s="5"/>
      <c r="AZ303" s="5"/>
      <c r="BA303" s="5"/>
      <c r="BC303" s="5"/>
      <c r="BD303" s="5"/>
      <c r="BF303" s="5"/>
      <c r="BG303" s="5"/>
      <c r="BH303" s="5"/>
      <c r="BJ303" s="5"/>
      <c r="BK303" s="5"/>
      <c r="BL303" s="12"/>
      <c r="BM303" s="5"/>
      <c r="BN303" s="5"/>
      <c r="BO303" s="5"/>
      <c r="BQ303" s="5"/>
      <c r="BR303" s="5"/>
      <c r="BT303" s="5"/>
      <c r="BU303" s="5"/>
      <c r="BV303" s="5"/>
      <c r="BX303" s="5"/>
      <c r="BY303" s="5"/>
      <c r="CA303" s="13"/>
      <c r="CB303" s="7"/>
      <c r="CC303" s="11"/>
      <c r="CE303" s="13"/>
      <c r="CF303" s="5"/>
      <c r="CG303" s="5"/>
      <c r="CI303" s="13">
        <v>1</v>
      </c>
      <c r="CJ303" s="5">
        <f>SUM(CJ5:CJ26)*CI303</f>
        <v>0</v>
      </c>
      <c r="CK303" s="12"/>
      <c r="CM303" s="13"/>
      <c r="CN303" s="5"/>
      <c r="CO303" s="12"/>
      <c r="CQ303" s="13"/>
      <c r="CR303" s="5"/>
      <c r="CS303" s="12"/>
      <c r="CU303" s="13"/>
      <c r="CV303" s="5"/>
      <c r="CW303" s="12"/>
      <c r="CY303" s="13"/>
      <c r="CZ303" s="5"/>
      <c r="DA303" s="5"/>
      <c r="DC303" s="13">
        <v>1</v>
      </c>
      <c r="DD303" s="5">
        <f>SUM(DD5:DD26)*DC303</f>
        <v>0</v>
      </c>
      <c r="DE303" s="12"/>
      <c r="DG303" s="13"/>
      <c r="DH303" s="5"/>
      <c r="DI303" s="12"/>
      <c r="DK303" s="13"/>
      <c r="DL303" s="5"/>
      <c r="DM303" s="12"/>
      <c r="DO303" s="13"/>
      <c r="DP303" s="5"/>
      <c r="DQ303" s="12"/>
      <c r="DS303" s="5">
        <v>1</v>
      </c>
      <c r="DV303" s="5"/>
      <c r="DW303" s="660">
        <f t="shared" si="2"/>
        <v>0</v>
      </c>
    </row>
    <row r="304" spans="1:127" s="6" customFormat="1" ht="15.75" customHeight="1">
      <c r="A304" s="3">
        <v>127</v>
      </c>
      <c r="B304" s="118" t="s">
        <v>1499</v>
      </c>
      <c r="C304" s="4" t="s">
        <v>0</v>
      </c>
      <c r="D304" s="2"/>
      <c r="E304" s="5"/>
      <c r="F304" s="5"/>
      <c r="G304" s="2"/>
      <c r="H304" s="4"/>
      <c r="I304" s="4"/>
      <c r="J304" s="2"/>
      <c r="K304" s="5"/>
      <c r="L304" s="5"/>
      <c r="M304" s="5"/>
      <c r="O304" s="5"/>
      <c r="P304" s="5"/>
      <c r="Q304" s="5"/>
      <c r="S304" s="5"/>
      <c r="T304" s="5"/>
      <c r="U304" s="5"/>
      <c r="W304" s="5"/>
      <c r="X304" s="5"/>
      <c r="Y304" s="12"/>
      <c r="AA304" s="13"/>
      <c r="AB304" s="12"/>
      <c r="AD304" s="13"/>
      <c r="AE304" s="5"/>
      <c r="AF304" s="5"/>
      <c r="AH304" s="13"/>
      <c r="AI304" s="5"/>
      <c r="AK304" s="5"/>
      <c r="AL304" s="5"/>
      <c r="AM304" s="5"/>
      <c r="AO304" s="5"/>
      <c r="AP304" s="5"/>
      <c r="AR304" s="5"/>
      <c r="AS304" s="5"/>
      <c r="AT304" s="5"/>
      <c r="AV304" s="5"/>
      <c r="AW304" s="5"/>
      <c r="AY304" s="5"/>
      <c r="AZ304" s="5"/>
      <c r="BA304" s="5"/>
      <c r="BC304" s="5"/>
      <c r="BD304" s="5"/>
      <c r="BF304" s="5"/>
      <c r="BG304" s="5"/>
      <c r="BH304" s="5"/>
      <c r="BJ304" s="5"/>
      <c r="BK304" s="5"/>
      <c r="BL304" s="12"/>
      <c r="BM304" s="5"/>
      <c r="BN304" s="5"/>
      <c r="BO304" s="5"/>
      <c r="BQ304" s="5"/>
      <c r="BR304" s="5"/>
      <c r="BT304" s="5"/>
      <c r="BU304" s="5"/>
      <c r="BV304" s="5"/>
      <c r="BX304" s="5"/>
      <c r="BY304" s="5"/>
      <c r="CA304" s="13"/>
      <c r="CB304" s="7"/>
      <c r="CC304" s="11"/>
      <c r="CE304" s="13"/>
      <c r="CF304" s="5"/>
      <c r="CG304" s="5"/>
      <c r="CI304" s="13"/>
      <c r="CJ304" s="5"/>
      <c r="CK304" s="12"/>
      <c r="CM304" s="13">
        <v>1</v>
      </c>
      <c r="CN304" s="5">
        <f>SUM(CN5:CN26)*CM304</f>
        <v>0</v>
      </c>
      <c r="CO304" s="12"/>
      <c r="CQ304" s="13"/>
      <c r="CR304" s="5"/>
      <c r="CS304" s="12"/>
      <c r="CU304" s="13"/>
      <c r="CV304" s="5"/>
      <c r="CW304" s="12"/>
      <c r="CY304" s="13"/>
      <c r="CZ304" s="5"/>
      <c r="DA304" s="5"/>
      <c r="DC304" s="13"/>
      <c r="DD304" s="5"/>
      <c r="DE304" s="12"/>
      <c r="DG304" s="13">
        <v>1</v>
      </c>
      <c r="DH304" s="5">
        <f>SUM(DH5:DH26)*DG304</f>
        <v>0</v>
      </c>
      <c r="DI304" s="12"/>
      <c r="DK304" s="13"/>
      <c r="DL304" s="5"/>
      <c r="DM304" s="12"/>
      <c r="DO304" s="13"/>
      <c r="DP304" s="5"/>
      <c r="DQ304" s="12"/>
      <c r="DS304" s="5">
        <v>1</v>
      </c>
      <c r="DV304" s="5"/>
      <c r="DW304" s="660">
        <f t="shared" si="2"/>
        <v>0</v>
      </c>
    </row>
    <row r="305" spans="1:127" s="6" customFormat="1" ht="15.75" customHeight="1">
      <c r="A305" s="3">
        <v>128</v>
      </c>
      <c r="B305" s="118" t="s">
        <v>1501</v>
      </c>
      <c r="C305" s="4" t="s">
        <v>0</v>
      </c>
      <c r="D305" s="2"/>
      <c r="E305" s="5"/>
      <c r="F305" s="5"/>
      <c r="G305" s="2"/>
      <c r="H305" s="4"/>
      <c r="I305" s="4"/>
      <c r="J305" s="2"/>
      <c r="K305" s="5"/>
      <c r="L305" s="5"/>
      <c r="M305" s="5"/>
      <c r="O305" s="5"/>
      <c r="P305" s="5"/>
      <c r="Q305" s="5"/>
      <c r="S305" s="5"/>
      <c r="T305" s="5"/>
      <c r="U305" s="5"/>
      <c r="W305" s="5"/>
      <c r="X305" s="5"/>
      <c r="Y305" s="12"/>
      <c r="AA305" s="13"/>
      <c r="AB305" s="12"/>
      <c r="AD305" s="13"/>
      <c r="AE305" s="5"/>
      <c r="AF305" s="5"/>
      <c r="AH305" s="13"/>
      <c r="AI305" s="5"/>
      <c r="AK305" s="5"/>
      <c r="AL305" s="5"/>
      <c r="AM305" s="5"/>
      <c r="AO305" s="5"/>
      <c r="AP305" s="5"/>
      <c r="AR305" s="5"/>
      <c r="AS305" s="5"/>
      <c r="AT305" s="5"/>
      <c r="AV305" s="5"/>
      <c r="AW305" s="5"/>
      <c r="AY305" s="5"/>
      <c r="AZ305" s="5"/>
      <c r="BA305" s="5"/>
      <c r="BC305" s="5"/>
      <c r="BD305" s="5"/>
      <c r="BF305" s="5"/>
      <c r="BG305" s="5"/>
      <c r="BH305" s="5"/>
      <c r="BJ305" s="5"/>
      <c r="BK305" s="5"/>
      <c r="BL305" s="12"/>
      <c r="BM305" s="5"/>
      <c r="BN305" s="5"/>
      <c r="BO305" s="5"/>
      <c r="BQ305" s="5"/>
      <c r="BR305" s="5"/>
      <c r="BT305" s="5"/>
      <c r="BU305" s="5"/>
      <c r="BV305" s="5"/>
      <c r="BX305" s="5"/>
      <c r="BY305" s="5"/>
      <c r="CA305" s="13"/>
      <c r="CB305" s="7"/>
      <c r="CC305" s="11"/>
      <c r="CE305" s="13"/>
      <c r="CF305" s="5"/>
      <c r="CG305" s="5"/>
      <c r="CI305" s="13"/>
      <c r="CJ305" s="5"/>
      <c r="CK305" s="12"/>
      <c r="CM305" s="13"/>
      <c r="CN305" s="5"/>
      <c r="CO305" s="12"/>
      <c r="CQ305" s="13">
        <v>1</v>
      </c>
      <c r="CR305" s="5">
        <f>SUM(CR5:CR26)*CQ305</f>
        <v>0</v>
      </c>
      <c r="CS305" s="12"/>
      <c r="CU305" s="13"/>
      <c r="CV305" s="5"/>
      <c r="CW305" s="12"/>
      <c r="CY305" s="13"/>
      <c r="CZ305" s="5"/>
      <c r="DA305" s="5"/>
      <c r="DC305" s="13"/>
      <c r="DD305" s="5"/>
      <c r="DE305" s="12"/>
      <c r="DG305" s="13"/>
      <c r="DH305" s="5"/>
      <c r="DI305" s="12"/>
      <c r="DK305" s="13">
        <v>1</v>
      </c>
      <c r="DL305" s="5">
        <f>SUM(DL5:DL26)*DK305</f>
        <v>0</v>
      </c>
      <c r="DM305" s="12"/>
      <c r="DO305" s="13"/>
      <c r="DP305" s="5"/>
      <c r="DQ305" s="12"/>
      <c r="DS305" s="5">
        <v>1</v>
      </c>
      <c r="DV305" s="5"/>
      <c r="DW305" s="660">
        <f t="shared" si="2"/>
        <v>0</v>
      </c>
    </row>
    <row r="306" spans="1:127" s="6" customFormat="1" ht="15.75" customHeight="1">
      <c r="A306" s="3"/>
      <c r="B306" s="118" t="s">
        <v>1494</v>
      </c>
      <c r="C306" s="4" t="s">
        <v>0</v>
      </c>
      <c r="D306" s="2"/>
      <c r="E306" s="5"/>
      <c r="F306" s="5"/>
      <c r="G306" s="2"/>
      <c r="H306" s="4"/>
      <c r="I306" s="4"/>
      <c r="J306" s="2"/>
      <c r="K306" s="5"/>
      <c r="L306" s="5"/>
      <c r="M306" s="5"/>
      <c r="O306" s="5"/>
      <c r="P306" s="5"/>
      <c r="Q306" s="5"/>
      <c r="S306" s="5"/>
      <c r="T306" s="5"/>
      <c r="U306" s="5"/>
      <c r="W306" s="5"/>
      <c r="X306" s="5"/>
      <c r="Y306" s="12"/>
      <c r="AA306" s="13"/>
      <c r="AB306" s="12"/>
      <c r="AD306" s="13"/>
      <c r="AE306" s="5"/>
      <c r="AF306" s="5"/>
      <c r="AH306" s="13"/>
      <c r="AI306" s="5"/>
      <c r="AK306" s="5"/>
      <c r="AL306" s="5"/>
      <c r="AM306" s="5"/>
      <c r="AO306" s="5"/>
      <c r="AP306" s="5"/>
      <c r="AR306" s="5"/>
      <c r="AS306" s="5"/>
      <c r="AT306" s="5"/>
      <c r="AV306" s="5"/>
      <c r="AW306" s="5"/>
      <c r="AY306" s="5"/>
      <c r="AZ306" s="5"/>
      <c r="BA306" s="5"/>
      <c r="BC306" s="5"/>
      <c r="BD306" s="5"/>
      <c r="BF306" s="5"/>
      <c r="BG306" s="5"/>
      <c r="BH306" s="5"/>
      <c r="BJ306" s="5"/>
      <c r="BK306" s="5"/>
      <c r="BL306" s="12"/>
      <c r="BM306" s="5"/>
      <c r="BN306" s="5"/>
      <c r="BO306" s="5"/>
      <c r="BQ306" s="5"/>
      <c r="BR306" s="5"/>
      <c r="BT306" s="5"/>
      <c r="BU306" s="5"/>
      <c r="BV306" s="5"/>
      <c r="BX306" s="5"/>
      <c r="BY306" s="5"/>
      <c r="CA306" s="13"/>
      <c r="CB306" s="7"/>
      <c r="CC306" s="11"/>
      <c r="CE306" s="13">
        <v>1</v>
      </c>
      <c r="CF306" s="5">
        <f>SUM(CG5:CG26)*CE306</f>
        <v>0</v>
      </c>
      <c r="CG306" s="12"/>
      <c r="CI306" s="13"/>
      <c r="CJ306" s="5"/>
      <c r="CK306" s="12"/>
      <c r="CM306" s="13"/>
      <c r="CN306" s="5"/>
      <c r="CO306" s="12"/>
      <c r="CQ306" s="13"/>
      <c r="CR306" s="5"/>
      <c r="CS306" s="12"/>
      <c r="CU306" s="13"/>
      <c r="CV306" s="5"/>
      <c r="CW306" s="12"/>
      <c r="CY306" s="13">
        <v>1</v>
      </c>
      <c r="CZ306" s="5">
        <f>SUM(DA5:DA26)*CY306</f>
        <v>0</v>
      </c>
      <c r="DA306" s="12"/>
      <c r="DC306" s="13"/>
      <c r="DD306" s="5"/>
      <c r="DE306" s="12"/>
      <c r="DG306" s="13"/>
      <c r="DH306" s="5"/>
      <c r="DI306" s="12"/>
      <c r="DK306" s="13"/>
      <c r="DL306" s="5"/>
      <c r="DM306" s="12"/>
      <c r="DO306" s="13"/>
      <c r="DP306" s="5"/>
      <c r="DQ306" s="12"/>
      <c r="DS306" s="5"/>
      <c r="DV306" s="5"/>
      <c r="DW306" s="660">
        <f t="shared" si="2"/>
        <v>0</v>
      </c>
    </row>
    <row r="307" spans="1:127" s="6" customFormat="1" ht="15.75" customHeight="1">
      <c r="A307" s="3"/>
      <c r="B307" s="118" t="s">
        <v>1495</v>
      </c>
      <c r="C307" s="4" t="s">
        <v>0</v>
      </c>
      <c r="D307" s="2"/>
      <c r="E307" s="5"/>
      <c r="F307" s="5"/>
      <c r="G307" s="2"/>
      <c r="H307" s="4"/>
      <c r="I307" s="4"/>
      <c r="J307" s="2"/>
      <c r="K307" s="5"/>
      <c r="L307" s="5"/>
      <c r="M307" s="5"/>
      <c r="O307" s="5"/>
      <c r="P307" s="5"/>
      <c r="Q307" s="5"/>
      <c r="S307" s="5"/>
      <c r="T307" s="5"/>
      <c r="U307" s="5"/>
      <c r="W307" s="5"/>
      <c r="X307" s="5"/>
      <c r="Y307" s="12"/>
      <c r="AA307" s="13"/>
      <c r="AB307" s="12"/>
      <c r="AD307" s="13"/>
      <c r="AE307" s="5"/>
      <c r="AF307" s="5"/>
      <c r="AH307" s="13"/>
      <c r="AI307" s="5"/>
      <c r="AK307" s="5"/>
      <c r="AL307" s="5"/>
      <c r="AM307" s="5"/>
      <c r="AO307" s="5"/>
      <c r="AP307" s="5"/>
      <c r="AR307" s="5"/>
      <c r="AS307" s="5"/>
      <c r="AT307" s="5"/>
      <c r="AV307" s="5"/>
      <c r="AW307" s="5"/>
      <c r="AY307" s="5"/>
      <c r="AZ307" s="5"/>
      <c r="BA307" s="5"/>
      <c r="BC307" s="5"/>
      <c r="BD307" s="5"/>
      <c r="BF307" s="5"/>
      <c r="BG307" s="5"/>
      <c r="BH307" s="5"/>
      <c r="BJ307" s="5"/>
      <c r="BK307" s="5"/>
      <c r="BL307" s="12"/>
      <c r="BM307" s="5"/>
      <c r="BN307" s="5"/>
      <c r="BO307" s="5"/>
      <c r="BQ307" s="5"/>
      <c r="BR307" s="5"/>
      <c r="BT307" s="5"/>
      <c r="BU307" s="5"/>
      <c r="BV307" s="5"/>
      <c r="BX307" s="5"/>
      <c r="BY307" s="5"/>
      <c r="CA307" s="13"/>
      <c r="CB307" s="7"/>
      <c r="CC307" s="11"/>
      <c r="CE307" s="13"/>
      <c r="CF307" s="5"/>
      <c r="CG307" s="12"/>
      <c r="CI307" s="13">
        <v>1</v>
      </c>
      <c r="CJ307" s="5">
        <f>SUM(CK5:CK26)*CI307</f>
        <v>0</v>
      </c>
      <c r="CK307" s="12"/>
      <c r="CM307" s="13"/>
      <c r="CN307" s="5"/>
      <c r="CO307" s="12"/>
      <c r="CQ307" s="13"/>
      <c r="CR307" s="5"/>
      <c r="CS307" s="12"/>
      <c r="CU307" s="13"/>
      <c r="CV307" s="5"/>
      <c r="CW307" s="12"/>
      <c r="CY307" s="13"/>
      <c r="CZ307" s="5"/>
      <c r="DA307" s="12"/>
      <c r="DC307" s="13">
        <v>1</v>
      </c>
      <c r="DD307" s="5">
        <f>SUM(DE5:DE26)*DC307</f>
        <v>0</v>
      </c>
      <c r="DE307" s="12"/>
      <c r="DG307" s="13"/>
      <c r="DH307" s="5"/>
      <c r="DI307" s="12"/>
      <c r="DK307" s="13"/>
      <c r="DL307" s="5"/>
      <c r="DM307" s="12"/>
      <c r="DO307" s="13"/>
      <c r="DP307" s="5"/>
      <c r="DQ307" s="12"/>
      <c r="DS307" s="5"/>
      <c r="DV307" s="5"/>
      <c r="DW307" s="660">
        <f t="shared" si="2"/>
        <v>0</v>
      </c>
    </row>
    <row r="308" spans="1:127" s="6" customFormat="1" ht="15.75" customHeight="1">
      <c r="A308" s="3"/>
      <c r="B308" s="118" t="s">
        <v>1496</v>
      </c>
      <c r="C308" s="4" t="s">
        <v>0</v>
      </c>
      <c r="D308" s="2"/>
      <c r="E308" s="5"/>
      <c r="F308" s="5"/>
      <c r="G308" s="2"/>
      <c r="H308" s="4"/>
      <c r="I308" s="4"/>
      <c r="J308" s="2"/>
      <c r="K308" s="5"/>
      <c r="L308" s="5"/>
      <c r="M308" s="5"/>
      <c r="O308" s="5"/>
      <c r="P308" s="5"/>
      <c r="Q308" s="5"/>
      <c r="S308" s="5"/>
      <c r="T308" s="5"/>
      <c r="U308" s="5"/>
      <c r="W308" s="5"/>
      <c r="X308" s="5"/>
      <c r="Y308" s="12"/>
      <c r="AA308" s="13"/>
      <c r="AB308" s="12"/>
      <c r="AD308" s="13"/>
      <c r="AE308" s="5"/>
      <c r="AF308" s="5"/>
      <c r="AH308" s="13"/>
      <c r="AI308" s="5"/>
      <c r="AK308" s="5"/>
      <c r="AL308" s="5"/>
      <c r="AM308" s="5"/>
      <c r="AO308" s="5"/>
      <c r="AP308" s="5"/>
      <c r="AR308" s="5"/>
      <c r="AS308" s="5"/>
      <c r="AT308" s="5"/>
      <c r="AV308" s="5"/>
      <c r="AW308" s="5"/>
      <c r="AY308" s="5"/>
      <c r="AZ308" s="5"/>
      <c r="BA308" s="5"/>
      <c r="BC308" s="5"/>
      <c r="BD308" s="5"/>
      <c r="BF308" s="5"/>
      <c r="BG308" s="5"/>
      <c r="BH308" s="5"/>
      <c r="BJ308" s="5"/>
      <c r="BK308" s="5"/>
      <c r="BL308" s="12"/>
      <c r="BM308" s="5"/>
      <c r="BN308" s="5"/>
      <c r="BO308" s="5"/>
      <c r="BQ308" s="5"/>
      <c r="BR308" s="5"/>
      <c r="BT308" s="5"/>
      <c r="BU308" s="5"/>
      <c r="BV308" s="5"/>
      <c r="BX308" s="5"/>
      <c r="BY308" s="5"/>
      <c r="CA308" s="13"/>
      <c r="CB308" s="7"/>
      <c r="CC308" s="11"/>
      <c r="CE308" s="13"/>
      <c r="CF308" s="5"/>
      <c r="CG308" s="12"/>
      <c r="CI308" s="13"/>
      <c r="CJ308" s="5"/>
      <c r="CK308" s="12"/>
      <c r="CM308" s="13">
        <v>1</v>
      </c>
      <c r="CN308" s="5">
        <f>SUM(CO5:CO26)*CM308</f>
        <v>0</v>
      </c>
      <c r="CO308" s="12"/>
      <c r="CQ308" s="13"/>
      <c r="CR308" s="5"/>
      <c r="CS308" s="12"/>
      <c r="CU308" s="13"/>
      <c r="CV308" s="5"/>
      <c r="CW308" s="12"/>
      <c r="CY308" s="13"/>
      <c r="CZ308" s="5"/>
      <c r="DA308" s="12"/>
      <c r="DC308" s="13"/>
      <c r="DD308" s="5"/>
      <c r="DE308" s="12"/>
      <c r="DG308" s="13">
        <v>1</v>
      </c>
      <c r="DH308" s="5">
        <f>SUM(DI5:DI26)*DG308</f>
        <v>0</v>
      </c>
      <c r="DI308" s="12"/>
      <c r="DK308" s="13"/>
      <c r="DL308" s="5"/>
      <c r="DM308" s="12"/>
      <c r="DO308" s="13"/>
      <c r="DP308" s="5"/>
      <c r="DQ308" s="12"/>
      <c r="DS308" s="5"/>
      <c r="DV308" s="5"/>
      <c r="DW308" s="660">
        <f t="shared" si="2"/>
        <v>0</v>
      </c>
    </row>
    <row r="309" spans="1:127" s="6" customFormat="1" ht="15.75" customHeight="1">
      <c r="A309" s="3"/>
      <c r="B309" s="118" t="s">
        <v>1540</v>
      </c>
      <c r="C309" s="4" t="s">
        <v>0</v>
      </c>
      <c r="D309" s="2"/>
      <c r="E309" s="5"/>
      <c r="F309" s="5"/>
      <c r="G309" s="2"/>
      <c r="H309" s="4"/>
      <c r="I309" s="4"/>
      <c r="J309" s="2"/>
      <c r="K309" s="5"/>
      <c r="L309" s="5"/>
      <c r="M309" s="5"/>
      <c r="O309" s="5"/>
      <c r="P309" s="5"/>
      <c r="Q309" s="5"/>
      <c r="S309" s="5"/>
      <c r="T309" s="5"/>
      <c r="U309" s="5"/>
      <c r="W309" s="5"/>
      <c r="X309" s="5"/>
      <c r="Y309" s="12"/>
      <c r="AA309" s="13"/>
      <c r="AB309" s="12"/>
      <c r="AD309" s="13"/>
      <c r="AE309" s="5"/>
      <c r="AF309" s="5"/>
      <c r="AH309" s="13"/>
      <c r="AI309" s="5"/>
      <c r="AK309" s="5"/>
      <c r="AL309" s="5"/>
      <c r="AM309" s="5"/>
      <c r="AO309" s="5"/>
      <c r="AP309" s="5"/>
      <c r="AR309" s="5"/>
      <c r="AS309" s="5"/>
      <c r="AT309" s="5"/>
      <c r="AV309" s="5"/>
      <c r="AW309" s="5"/>
      <c r="AY309" s="5"/>
      <c r="AZ309" s="5"/>
      <c r="BA309" s="5"/>
      <c r="BC309" s="5"/>
      <c r="BD309" s="5"/>
      <c r="BF309" s="5"/>
      <c r="BG309" s="5"/>
      <c r="BH309" s="5"/>
      <c r="BJ309" s="5"/>
      <c r="BK309" s="5"/>
      <c r="BL309" s="12"/>
      <c r="BM309" s="5"/>
      <c r="BN309" s="5"/>
      <c r="BO309" s="5"/>
      <c r="BQ309" s="5"/>
      <c r="BR309" s="5"/>
      <c r="BT309" s="5"/>
      <c r="BU309" s="5"/>
      <c r="BV309" s="5"/>
      <c r="BX309" s="5"/>
      <c r="BY309" s="5"/>
      <c r="CA309" s="13"/>
      <c r="CB309" s="7"/>
      <c r="CC309" s="11"/>
      <c r="CE309" s="13"/>
      <c r="CF309" s="5"/>
      <c r="CG309" s="12"/>
      <c r="CI309" s="13"/>
      <c r="CJ309" s="5"/>
      <c r="CK309" s="12"/>
      <c r="CM309" s="13"/>
      <c r="CN309" s="5"/>
      <c r="CO309" s="12"/>
      <c r="CQ309" s="13">
        <v>1</v>
      </c>
      <c r="CR309" s="5">
        <f>SUM(CS5:CS26)*CQ309</f>
        <v>0</v>
      </c>
      <c r="CS309" s="12"/>
      <c r="CU309" s="13"/>
      <c r="CV309" s="5"/>
      <c r="CW309" s="12"/>
      <c r="CY309" s="13"/>
      <c r="CZ309" s="5"/>
      <c r="DA309" s="12"/>
      <c r="DC309" s="13"/>
      <c r="DD309" s="5"/>
      <c r="DE309" s="12"/>
      <c r="DG309" s="13"/>
      <c r="DH309" s="5"/>
      <c r="DI309" s="12"/>
      <c r="DK309" s="13">
        <v>1</v>
      </c>
      <c r="DL309" s="5">
        <f>SUM(DM5:DM26)*DK309</f>
        <v>0</v>
      </c>
      <c r="DM309" s="12"/>
      <c r="DO309" s="13"/>
      <c r="DP309" s="5"/>
      <c r="DQ309" s="12"/>
      <c r="DS309" s="5"/>
      <c r="DV309" s="5"/>
      <c r="DW309" s="660">
        <f t="shared" si="2"/>
        <v>0</v>
      </c>
    </row>
    <row r="310" spans="1:127" s="6" customFormat="1" ht="15.75" customHeight="1">
      <c r="A310" s="3"/>
      <c r="B310" s="118" t="s">
        <v>1560</v>
      </c>
      <c r="C310" s="4" t="s">
        <v>0</v>
      </c>
      <c r="D310" s="2"/>
      <c r="E310" s="5"/>
      <c r="F310" s="5"/>
      <c r="G310" s="2"/>
      <c r="H310" s="4"/>
      <c r="I310" s="4"/>
      <c r="J310" s="2"/>
      <c r="K310" s="5"/>
      <c r="L310" s="5"/>
      <c r="M310" s="5"/>
      <c r="O310" s="5"/>
      <c r="P310" s="5"/>
      <c r="Q310" s="5"/>
      <c r="S310" s="5"/>
      <c r="T310" s="5"/>
      <c r="U310" s="5"/>
      <c r="W310" s="5"/>
      <c r="X310" s="5"/>
      <c r="Y310" s="12"/>
      <c r="AA310" s="13"/>
      <c r="AB310" s="12"/>
      <c r="AD310" s="13"/>
      <c r="AE310" s="5"/>
      <c r="AF310" s="5"/>
      <c r="AH310" s="13"/>
      <c r="AI310" s="5"/>
      <c r="AK310" s="5"/>
      <c r="AL310" s="5"/>
      <c r="AM310" s="5"/>
      <c r="AO310" s="5"/>
      <c r="AP310" s="5"/>
      <c r="AR310" s="5"/>
      <c r="AS310" s="5"/>
      <c r="AT310" s="5"/>
      <c r="AV310" s="5"/>
      <c r="AW310" s="5"/>
      <c r="AY310" s="5"/>
      <c r="AZ310" s="5"/>
      <c r="BA310" s="5"/>
      <c r="BC310" s="5"/>
      <c r="BD310" s="5"/>
      <c r="BF310" s="5"/>
      <c r="BG310" s="5"/>
      <c r="BH310" s="5"/>
      <c r="BJ310" s="5"/>
      <c r="BK310" s="5"/>
      <c r="BL310" s="12"/>
      <c r="BM310" s="5"/>
      <c r="BN310" s="5"/>
      <c r="BO310" s="5"/>
      <c r="BQ310" s="5"/>
      <c r="BR310" s="5"/>
      <c r="BT310" s="5"/>
      <c r="BU310" s="5"/>
      <c r="BV310" s="5"/>
      <c r="BX310" s="5"/>
      <c r="BY310" s="5"/>
      <c r="CA310" s="13"/>
      <c r="CB310" s="7"/>
      <c r="CC310" s="11"/>
      <c r="CE310" s="13"/>
      <c r="CF310" s="5"/>
      <c r="CG310" s="12"/>
      <c r="CI310" s="13"/>
      <c r="CJ310" s="5"/>
      <c r="CK310" s="12"/>
      <c r="CM310" s="13"/>
      <c r="CN310" s="5"/>
      <c r="CO310" s="12"/>
      <c r="CQ310" s="13"/>
      <c r="CR310" s="5"/>
      <c r="CS310" s="12"/>
      <c r="CU310" s="13">
        <v>1</v>
      </c>
      <c r="CV310" s="5">
        <f>SUM(CV5:CV26,CW5:CW26)*CU310</f>
        <v>0</v>
      </c>
      <c r="CW310" s="12"/>
      <c r="CY310" s="13"/>
      <c r="CZ310" s="5"/>
      <c r="DA310" s="12"/>
      <c r="DC310" s="13"/>
      <c r="DD310" s="5"/>
      <c r="DE310" s="12"/>
      <c r="DG310" s="13"/>
      <c r="DH310" s="5"/>
      <c r="DI310" s="12"/>
      <c r="DK310" s="13"/>
      <c r="DL310" s="5"/>
      <c r="DM310" s="12"/>
      <c r="DO310" s="13">
        <v>1</v>
      </c>
      <c r="DP310" s="5">
        <f>DO310*SUM(DQ5:DQ26,DP5:DP26)</f>
        <v>0</v>
      </c>
      <c r="DQ310" s="12"/>
      <c r="DS310" s="5"/>
      <c r="DV310" s="5"/>
      <c r="DW310" s="660">
        <f t="shared" si="2"/>
        <v>0</v>
      </c>
    </row>
    <row r="311" spans="1:127" s="6" customFormat="1" ht="15.75" customHeight="1">
      <c r="A311" s="3">
        <v>129</v>
      </c>
      <c r="B311" s="214" t="s">
        <v>305</v>
      </c>
      <c r="C311" s="473" t="s">
        <v>515</v>
      </c>
      <c r="D311" s="2"/>
      <c r="E311" s="5"/>
      <c r="F311" s="5"/>
      <c r="G311" s="2"/>
      <c r="H311" s="4"/>
      <c r="I311" s="4"/>
      <c r="J311" s="2"/>
      <c r="K311" s="5"/>
      <c r="L311" s="5"/>
      <c r="M311" s="5"/>
      <c r="O311" s="5"/>
      <c r="P311" s="5"/>
      <c r="Q311" s="5"/>
      <c r="S311" s="5"/>
      <c r="T311" s="5"/>
      <c r="U311" s="5"/>
      <c r="W311" s="5"/>
      <c r="X311" s="5"/>
      <c r="Y311" s="12"/>
      <c r="AA311" s="13"/>
      <c r="AB311" s="12"/>
      <c r="AD311" s="13"/>
      <c r="AE311" s="5"/>
      <c r="AF311" s="5"/>
      <c r="AH311" s="13"/>
      <c r="AI311" s="5"/>
      <c r="AK311" s="5"/>
      <c r="AL311" s="5"/>
      <c r="AM311" s="5"/>
      <c r="AO311" s="5"/>
      <c r="AP311" s="5"/>
      <c r="AR311" s="5"/>
      <c r="AS311" s="5"/>
      <c r="AT311" s="5"/>
      <c r="AV311" s="5"/>
      <c r="AW311" s="5"/>
      <c r="AY311" s="5"/>
      <c r="AZ311" s="5"/>
      <c r="BA311" s="5"/>
      <c r="BC311" s="5"/>
      <c r="BD311" s="5"/>
      <c r="BF311" s="5"/>
      <c r="BG311" s="5"/>
      <c r="BH311" s="5"/>
      <c r="BJ311" s="5"/>
      <c r="BK311" s="5"/>
      <c r="BL311" s="12"/>
      <c r="BM311" s="5"/>
      <c r="BN311" s="5"/>
      <c r="BO311" s="5"/>
      <c r="BQ311" s="5"/>
      <c r="BR311" s="5"/>
      <c r="BT311" s="5"/>
      <c r="BU311" s="5"/>
      <c r="BV311" s="5"/>
      <c r="BX311" s="5"/>
      <c r="BY311" s="5"/>
      <c r="CA311" s="13"/>
      <c r="CB311" s="7"/>
      <c r="CC311" s="11"/>
      <c r="CE311" s="13"/>
      <c r="CF311" s="5"/>
      <c r="CG311" s="12"/>
      <c r="CI311" s="13"/>
      <c r="CJ311" s="5"/>
      <c r="CK311" s="12"/>
      <c r="CM311" s="13"/>
      <c r="CN311" s="5"/>
      <c r="CO311" s="12"/>
      <c r="CQ311" s="13"/>
      <c r="CR311" s="5"/>
      <c r="CS311" s="12"/>
      <c r="CU311" s="13"/>
      <c r="CV311" s="5"/>
      <c r="CW311" s="12"/>
      <c r="CY311" s="13"/>
      <c r="CZ311" s="5"/>
      <c r="DA311" s="12"/>
      <c r="DC311" s="13"/>
      <c r="DD311" s="5"/>
      <c r="DE311" s="12"/>
      <c r="DG311" s="13"/>
      <c r="DH311" s="5"/>
      <c r="DI311" s="12"/>
      <c r="DK311" s="13"/>
      <c r="DL311" s="5"/>
      <c r="DM311" s="12"/>
      <c r="DO311" s="13"/>
      <c r="DP311" s="5"/>
      <c r="DQ311" s="12"/>
      <c r="DS311" s="5">
        <v>1</v>
      </c>
      <c r="DV311" s="5"/>
      <c r="DW311" s="660">
        <f t="shared" si="2"/>
        <v>0</v>
      </c>
    </row>
    <row r="312" spans="1:127" s="6" customFormat="1" ht="15.75" customHeight="1">
      <c r="A312" s="3">
        <v>130</v>
      </c>
      <c r="B312" s="214" t="s">
        <v>306</v>
      </c>
      <c r="C312" s="473" t="s">
        <v>515</v>
      </c>
      <c r="D312" s="2"/>
      <c r="E312" s="5"/>
      <c r="F312" s="5"/>
      <c r="G312" s="2"/>
      <c r="H312" s="4"/>
      <c r="I312" s="4"/>
      <c r="J312" s="2"/>
      <c r="K312" s="5"/>
      <c r="L312" s="5"/>
      <c r="M312" s="5"/>
      <c r="O312" s="5"/>
      <c r="P312" s="5"/>
      <c r="Q312" s="5"/>
      <c r="S312" s="5"/>
      <c r="T312" s="5"/>
      <c r="U312" s="5"/>
      <c r="W312" s="5"/>
      <c r="X312" s="5"/>
      <c r="Y312" s="12"/>
      <c r="AA312" s="13"/>
      <c r="AB312" s="12"/>
      <c r="AD312" s="13"/>
      <c r="AE312" s="5"/>
      <c r="AF312" s="5"/>
      <c r="AH312" s="13"/>
      <c r="AI312" s="5"/>
      <c r="AK312" s="5"/>
      <c r="AL312" s="5"/>
      <c r="AM312" s="5"/>
      <c r="AO312" s="5"/>
      <c r="AP312" s="5"/>
      <c r="AR312" s="5"/>
      <c r="AS312" s="5"/>
      <c r="AT312" s="5"/>
      <c r="AV312" s="5"/>
      <c r="AW312" s="5"/>
      <c r="AY312" s="5"/>
      <c r="AZ312" s="5"/>
      <c r="BA312" s="5"/>
      <c r="BC312" s="5"/>
      <c r="BD312" s="5"/>
      <c r="BF312" s="5"/>
      <c r="BG312" s="5"/>
      <c r="BH312" s="5"/>
      <c r="BJ312" s="5"/>
      <c r="BK312" s="5"/>
      <c r="BL312" s="12"/>
      <c r="BM312" s="5"/>
      <c r="BN312" s="5"/>
      <c r="BO312" s="5"/>
      <c r="BQ312" s="5"/>
      <c r="BR312" s="5"/>
      <c r="BT312" s="5"/>
      <c r="BU312" s="5"/>
      <c r="BV312" s="5"/>
      <c r="BX312" s="5"/>
      <c r="BY312" s="5"/>
      <c r="CA312" s="13"/>
      <c r="CB312" s="7"/>
      <c r="CC312" s="11"/>
      <c r="CE312" s="13"/>
      <c r="CF312" s="5"/>
      <c r="CG312" s="12"/>
      <c r="CI312" s="13"/>
      <c r="CJ312" s="5"/>
      <c r="CK312" s="12"/>
      <c r="CM312" s="13"/>
      <c r="CN312" s="5"/>
      <c r="CO312" s="12"/>
      <c r="CQ312" s="13"/>
      <c r="CR312" s="5"/>
      <c r="CS312" s="12"/>
      <c r="CU312" s="13"/>
      <c r="CV312" s="5"/>
      <c r="CW312" s="12"/>
      <c r="CY312" s="13"/>
      <c r="CZ312" s="5"/>
      <c r="DA312" s="12"/>
      <c r="DC312" s="13"/>
      <c r="DD312" s="5"/>
      <c r="DE312" s="12"/>
      <c r="DG312" s="13"/>
      <c r="DH312" s="5"/>
      <c r="DI312" s="12"/>
      <c r="DK312" s="13"/>
      <c r="DL312" s="5"/>
      <c r="DM312" s="12"/>
      <c r="DO312" s="13"/>
      <c r="DP312" s="5"/>
      <c r="DQ312" s="12"/>
      <c r="DS312" s="5">
        <v>1</v>
      </c>
      <c r="DV312" s="5"/>
      <c r="DW312" s="660">
        <f t="shared" si="2"/>
        <v>0</v>
      </c>
    </row>
    <row r="313" spans="1:127" s="6" customFormat="1" ht="15.75" customHeight="1">
      <c r="A313" s="3">
        <v>131</v>
      </c>
      <c r="B313" s="214" t="s">
        <v>399</v>
      </c>
      <c r="C313" s="473" t="s">
        <v>515</v>
      </c>
      <c r="D313" s="2"/>
      <c r="E313" s="5"/>
      <c r="F313" s="5"/>
      <c r="G313" s="2"/>
      <c r="H313" s="4"/>
      <c r="I313" s="4"/>
      <c r="J313" s="2"/>
      <c r="K313" s="5"/>
      <c r="L313" s="5"/>
      <c r="M313" s="5"/>
      <c r="O313" s="5"/>
      <c r="P313" s="5"/>
      <c r="Q313" s="5"/>
      <c r="S313" s="5"/>
      <c r="T313" s="5"/>
      <c r="U313" s="5"/>
      <c r="W313" s="5"/>
      <c r="X313" s="5"/>
      <c r="Y313" s="12"/>
      <c r="AA313" s="13"/>
      <c r="AB313" s="12"/>
      <c r="AD313" s="13"/>
      <c r="AE313" s="5"/>
      <c r="AF313" s="5"/>
      <c r="AH313" s="13"/>
      <c r="AI313" s="5"/>
      <c r="AK313" s="5"/>
      <c r="AL313" s="5"/>
      <c r="AM313" s="5"/>
      <c r="AO313" s="5"/>
      <c r="AP313" s="5"/>
      <c r="AR313" s="5"/>
      <c r="AS313" s="5"/>
      <c r="AT313" s="5"/>
      <c r="AV313" s="5"/>
      <c r="AW313" s="5"/>
      <c r="AY313" s="5"/>
      <c r="AZ313" s="5"/>
      <c r="BA313" s="5"/>
      <c r="BC313" s="5"/>
      <c r="BD313" s="5"/>
      <c r="BF313" s="5"/>
      <c r="BG313" s="5"/>
      <c r="BH313" s="5"/>
      <c r="BJ313" s="5"/>
      <c r="BK313" s="5"/>
      <c r="BL313" s="12"/>
      <c r="BM313" s="5"/>
      <c r="BN313" s="5"/>
      <c r="BO313" s="5"/>
      <c r="BQ313" s="5"/>
      <c r="BR313" s="5"/>
      <c r="BT313" s="5"/>
      <c r="BU313" s="5"/>
      <c r="BV313" s="5"/>
      <c r="BX313" s="5"/>
      <c r="BY313" s="5"/>
      <c r="CA313" s="13"/>
      <c r="CB313" s="7"/>
      <c r="CC313" s="11"/>
      <c r="CE313" s="13"/>
      <c r="CF313" s="5"/>
      <c r="CG313" s="12"/>
      <c r="CI313" s="13"/>
      <c r="CJ313" s="5"/>
      <c r="CK313" s="12"/>
      <c r="CM313" s="13"/>
      <c r="CN313" s="5"/>
      <c r="CO313" s="12"/>
      <c r="CQ313" s="13"/>
      <c r="CR313" s="5"/>
      <c r="CS313" s="12"/>
      <c r="CU313" s="13"/>
      <c r="CV313" s="5"/>
      <c r="CW313" s="12"/>
      <c r="CY313" s="13"/>
      <c r="CZ313" s="5"/>
      <c r="DA313" s="12"/>
      <c r="DC313" s="13"/>
      <c r="DD313" s="5"/>
      <c r="DE313" s="12"/>
      <c r="DG313" s="13"/>
      <c r="DH313" s="5"/>
      <c r="DI313" s="12"/>
      <c r="DK313" s="13"/>
      <c r="DL313" s="5"/>
      <c r="DM313" s="12"/>
      <c r="DO313" s="13"/>
      <c r="DP313" s="5"/>
      <c r="DQ313" s="12"/>
      <c r="DS313" s="5">
        <v>1</v>
      </c>
      <c r="DV313" s="5"/>
      <c r="DW313" s="660">
        <f t="shared" si="2"/>
        <v>0</v>
      </c>
    </row>
    <row r="314" spans="1:127" s="6" customFormat="1" ht="15.75" customHeight="1">
      <c r="A314" s="3"/>
      <c r="B314" s="210" t="s">
        <v>1511</v>
      </c>
      <c r="C314" s="473" t="s">
        <v>515</v>
      </c>
      <c r="D314" s="2"/>
      <c r="E314" s="5"/>
      <c r="F314" s="5"/>
      <c r="G314" s="2"/>
      <c r="H314" s="4"/>
      <c r="I314" s="4"/>
      <c r="J314" s="2"/>
      <c r="K314" s="5"/>
      <c r="L314" s="5"/>
      <c r="M314" s="5"/>
      <c r="O314" s="5"/>
      <c r="P314" s="5"/>
      <c r="Q314" s="5"/>
      <c r="S314" s="5"/>
      <c r="T314" s="5"/>
      <c r="U314" s="5"/>
      <c r="W314" s="5"/>
      <c r="X314" s="5"/>
      <c r="Y314" s="12"/>
      <c r="AA314" s="13"/>
      <c r="AB314" s="12"/>
      <c r="AD314" s="13"/>
      <c r="AE314" s="5"/>
      <c r="AF314" s="5"/>
      <c r="AH314" s="13"/>
      <c r="AI314" s="5"/>
      <c r="AK314" s="5"/>
      <c r="AL314" s="5"/>
      <c r="AM314" s="5"/>
      <c r="AO314" s="5"/>
      <c r="AP314" s="5"/>
      <c r="AR314" s="5"/>
      <c r="AS314" s="5"/>
      <c r="AT314" s="5"/>
      <c r="AV314" s="5"/>
      <c r="AW314" s="5"/>
      <c r="AY314" s="5"/>
      <c r="AZ314" s="5"/>
      <c r="BA314" s="5"/>
      <c r="BC314" s="5"/>
      <c r="BD314" s="5"/>
      <c r="BF314" s="5"/>
      <c r="BG314" s="5"/>
      <c r="BH314" s="5"/>
      <c r="BJ314" s="5"/>
      <c r="BK314" s="5"/>
      <c r="BL314" s="12"/>
      <c r="BM314" s="5"/>
      <c r="BN314" s="5"/>
      <c r="BO314" s="5"/>
      <c r="BQ314" s="5"/>
      <c r="BR314" s="5"/>
      <c r="BT314" s="5"/>
      <c r="BU314" s="5"/>
      <c r="BV314" s="5"/>
      <c r="BX314" s="5"/>
      <c r="BY314" s="5"/>
      <c r="CA314" s="13"/>
      <c r="CB314" s="7"/>
      <c r="CC314" s="11"/>
      <c r="CE314" s="13"/>
      <c r="CF314" s="5"/>
      <c r="CG314" s="12"/>
      <c r="CI314" s="13"/>
      <c r="CJ314" s="5"/>
      <c r="CK314" s="12"/>
      <c r="CM314" s="13"/>
      <c r="CN314" s="5"/>
      <c r="CO314" s="12"/>
      <c r="CQ314" s="13"/>
      <c r="CR314" s="5"/>
      <c r="CS314" s="12"/>
      <c r="CU314" s="13"/>
      <c r="CV314" s="5"/>
      <c r="CW314" s="12"/>
      <c r="CY314" s="13"/>
      <c r="CZ314" s="5"/>
      <c r="DA314" s="12"/>
      <c r="DC314" s="13"/>
      <c r="DD314" s="5"/>
      <c r="DE314" s="12"/>
      <c r="DG314" s="13"/>
      <c r="DH314" s="5"/>
      <c r="DI314" s="12"/>
      <c r="DK314" s="13"/>
      <c r="DL314" s="5"/>
      <c r="DM314" s="12"/>
      <c r="DO314" s="13"/>
      <c r="DP314" s="5"/>
      <c r="DQ314" s="12"/>
      <c r="DS314" s="5"/>
      <c r="DV314" s="5"/>
      <c r="DW314" s="660">
        <f t="shared" si="2"/>
        <v>0</v>
      </c>
    </row>
    <row r="315" spans="1:127" s="6" customFormat="1" ht="15.75" customHeight="1">
      <c r="A315" s="3"/>
      <c r="B315" s="210" t="s">
        <v>952</v>
      </c>
      <c r="C315" s="473" t="s">
        <v>515</v>
      </c>
      <c r="D315" s="2"/>
      <c r="E315" s="5"/>
      <c r="F315" s="5"/>
      <c r="G315" s="2"/>
      <c r="H315" s="4"/>
      <c r="I315" s="4"/>
      <c r="J315" s="2"/>
      <c r="K315" s="5"/>
      <c r="L315" s="5"/>
      <c r="M315" s="5"/>
      <c r="O315" s="5"/>
      <c r="P315" s="5"/>
      <c r="Q315" s="5"/>
      <c r="S315" s="5"/>
      <c r="T315" s="5"/>
      <c r="U315" s="5"/>
      <c r="W315" s="5"/>
      <c r="X315" s="5"/>
      <c r="Y315" s="12"/>
      <c r="AA315" s="13"/>
      <c r="AB315" s="12"/>
      <c r="AD315" s="13"/>
      <c r="AE315" s="5"/>
      <c r="AF315" s="5"/>
      <c r="AH315" s="13"/>
      <c r="AI315" s="5"/>
      <c r="AK315" s="5"/>
      <c r="AL315" s="5"/>
      <c r="AM315" s="5"/>
      <c r="AO315" s="5"/>
      <c r="AP315" s="5"/>
      <c r="AR315" s="5"/>
      <c r="AS315" s="5"/>
      <c r="AT315" s="5"/>
      <c r="AV315" s="5"/>
      <c r="AW315" s="5"/>
      <c r="AY315" s="5"/>
      <c r="AZ315" s="5"/>
      <c r="BA315" s="5"/>
      <c r="BC315" s="5"/>
      <c r="BD315" s="5"/>
      <c r="BF315" s="5"/>
      <c r="BG315" s="5"/>
      <c r="BH315" s="5"/>
      <c r="BJ315" s="5"/>
      <c r="BK315" s="5"/>
      <c r="BL315" s="12"/>
      <c r="BM315" s="5"/>
      <c r="BN315" s="5"/>
      <c r="BO315" s="5"/>
      <c r="BQ315" s="5"/>
      <c r="BR315" s="5"/>
      <c r="BT315" s="5"/>
      <c r="BU315" s="5"/>
      <c r="BV315" s="5"/>
      <c r="BX315" s="5"/>
      <c r="BY315" s="5"/>
      <c r="CA315" s="13"/>
      <c r="CB315" s="7"/>
      <c r="CC315" s="11"/>
      <c r="CE315" s="13"/>
      <c r="CF315" s="5"/>
      <c r="CG315" s="12"/>
      <c r="CI315" s="13"/>
      <c r="CJ315" s="5"/>
      <c r="CK315" s="12"/>
      <c r="CM315" s="13"/>
      <c r="CN315" s="5"/>
      <c r="CO315" s="12"/>
      <c r="CQ315" s="13"/>
      <c r="CR315" s="5"/>
      <c r="CS315" s="12"/>
      <c r="CU315" s="13"/>
      <c r="CV315" s="5"/>
      <c r="CW315" s="12"/>
      <c r="CY315" s="13"/>
      <c r="CZ315" s="5"/>
      <c r="DA315" s="12"/>
      <c r="DC315" s="13"/>
      <c r="DD315" s="5"/>
      <c r="DE315" s="12"/>
      <c r="DG315" s="13"/>
      <c r="DH315" s="5"/>
      <c r="DI315" s="12"/>
      <c r="DK315" s="13"/>
      <c r="DL315" s="5"/>
      <c r="DM315" s="12"/>
      <c r="DO315" s="13"/>
      <c r="DP315" s="5"/>
      <c r="DQ315" s="12"/>
      <c r="DS315" s="5"/>
      <c r="DV315" s="5"/>
      <c r="DW315" s="660">
        <f t="shared" si="2"/>
        <v>0</v>
      </c>
    </row>
    <row r="316" spans="1:127" s="6" customFormat="1" ht="15" customHeight="1">
      <c r="A316" s="3">
        <v>132</v>
      </c>
      <c r="B316" s="210" t="s">
        <v>151</v>
      </c>
      <c r="C316" s="473" t="s">
        <v>515</v>
      </c>
      <c r="D316" s="2"/>
      <c r="E316" s="5"/>
      <c r="F316" s="5"/>
      <c r="G316" s="2"/>
      <c r="H316" s="4"/>
      <c r="I316" s="4"/>
      <c r="J316" s="2"/>
      <c r="K316" s="5"/>
      <c r="L316" s="5"/>
      <c r="M316" s="5"/>
      <c r="O316" s="5"/>
      <c r="P316" s="5"/>
      <c r="Q316" s="5"/>
      <c r="S316" s="5"/>
      <c r="T316" s="5"/>
      <c r="U316" s="5"/>
      <c r="W316" s="5"/>
      <c r="X316" s="5"/>
      <c r="Y316" s="12"/>
      <c r="AA316" s="13"/>
      <c r="AB316" s="12"/>
      <c r="AD316" s="13"/>
      <c r="AE316" s="5"/>
      <c r="AF316" s="5"/>
      <c r="AH316" s="13"/>
      <c r="AI316" s="5"/>
      <c r="AK316" s="5"/>
      <c r="AL316" s="5"/>
      <c r="AM316" s="5"/>
      <c r="AO316" s="5"/>
      <c r="AP316" s="5"/>
      <c r="AR316" s="5"/>
      <c r="AS316" s="5"/>
      <c r="AT316" s="5"/>
      <c r="AV316" s="5"/>
      <c r="AW316" s="5"/>
      <c r="AY316" s="5"/>
      <c r="AZ316" s="5"/>
      <c r="BA316" s="5"/>
      <c r="BC316" s="5"/>
      <c r="BD316" s="5"/>
      <c r="BF316" s="5"/>
      <c r="BG316" s="5"/>
      <c r="BH316" s="5"/>
      <c r="BJ316" s="5"/>
      <c r="BK316" s="5"/>
      <c r="BL316" s="12"/>
      <c r="BM316" s="5"/>
      <c r="BN316" s="5"/>
      <c r="BO316" s="5"/>
      <c r="BQ316" s="5"/>
      <c r="BR316" s="5"/>
      <c r="BT316" s="5"/>
      <c r="BU316" s="5"/>
      <c r="BV316" s="5"/>
      <c r="BX316" s="5"/>
      <c r="BY316" s="5"/>
      <c r="CA316" s="13">
        <v>2</v>
      </c>
      <c r="CB316" s="41">
        <f>CB5*CA316+CB6*CA316+CB7*CA316+CB8*CA316+CB9*CA316+CB10*CA316+CB11*CA316+CB12*CA316+CB13*CA316+CB14*CA316+CB15*CA316+CB16*CA316+CB17*CA316+CB18*CA316+CB19*CA316+CB20*CA316+CB21*CA316+CB22*CA316+CB23*CA316+CB24*CA316+CB25*CA316+CB26*CA316+CC5*CA316+CC6*CA316+CC7*CA316+CC8*CA316+CC9*CA316+CC10*CA316+CC11*CA316+CC12*CA316+CC13*CA316+CC14*CA316+CC15*CA316+CC16*CA316+CC17*CA316+CC18*CA316+CC19*CA316+CC20*CA316+CC21*CA316+CC22*CA316+CC23*CA316+CC24*CA316+CC25*CA316+CC26*CA316</f>
        <v>0</v>
      </c>
      <c r="CC316" s="11"/>
      <c r="CE316" s="13"/>
      <c r="CF316" s="5"/>
      <c r="CG316" s="12"/>
      <c r="CI316" s="13"/>
      <c r="CJ316" s="5"/>
      <c r="CK316" s="12"/>
      <c r="CM316" s="13"/>
      <c r="CN316" s="5"/>
      <c r="CO316" s="12"/>
      <c r="CQ316" s="13"/>
      <c r="CR316" s="5"/>
      <c r="CS316" s="12"/>
      <c r="CU316" s="13"/>
      <c r="CV316" s="5"/>
      <c r="CW316" s="12"/>
      <c r="CY316" s="13"/>
      <c r="CZ316" s="5"/>
      <c r="DA316" s="12"/>
      <c r="DC316" s="13"/>
      <c r="DD316" s="5"/>
      <c r="DE316" s="12"/>
      <c r="DG316" s="13"/>
      <c r="DH316" s="5"/>
      <c r="DI316" s="12"/>
      <c r="DK316" s="13"/>
      <c r="DL316" s="5"/>
      <c r="DM316" s="12"/>
      <c r="DO316" s="13"/>
      <c r="DP316" s="5"/>
      <c r="DQ316" s="12"/>
      <c r="DS316" s="5"/>
      <c r="DV316" s="5"/>
      <c r="DW316" s="660">
        <f t="shared" si="2"/>
        <v>0</v>
      </c>
    </row>
    <row r="317" spans="1:127" s="6" customFormat="1" ht="15" customHeight="1">
      <c r="A317" s="3">
        <v>133</v>
      </c>
      <c r="B317" s="210" t="s">
        <v>219</v>
      </c>
      <c r="C317" s="473" t="s">
        <v>515</v>
      </c>
      <c r="D317" s="2"/>
      <c r="E317" s="5"/>
      <c r="F317" s="5"/>
      <c r="G317" s="2"/>
      <c r="H317" s="4"/>
      <c r="I317" s="4"/>
      <c r="J317" s="2"/>
      <c r="K317" s="5"/>
      <c r="L317" s="5"/>
      <c r="M317" s="5"/>
      <c r="O317" s="5"/>
      <c r="P317" s="5"/>
      <c r="Q317" s="5"/>
      <c r="S317" s="5"/>
      <c r="T317" s="5"/>
      <c r="U317" s="5"/>
      <c r="W317" s="5"/>
      <c r="X317" s="5"/>
      <c r="Y317" s="12"/>
      <c r="AA317" s="13"/>
      <c r="AB317" s="12"/>
      <c r="AD317" s="13"/>
      <c r="AE317" s="5"/>
      <c r="AF317" s="5"/>
      <c r="AH317" s="13"/>
      <c r="AI317" s="5"/>
      <c r="AK317" s="5"/>
      <c r="AL317" s="5"/>
      <c r="AM317" s="5"/>
      <c r="AO317" s="5"/>
      <c r="AP317" s="5"/>
      <c r="AR317" s="5"/>
      <c r="AS317" s="5"/>
      <c r="AT317" s="5"/>
      <c r="AV317" s="5"/>
      <c r="AW317" s="5"/>
      <c r="AY317" s="5"/>
      <c r="AZ317" s="5"/>
      <c r="BA317" s="5"/>
      <c r="BC317" s="5"/>
      <c r="BD317" s="5"/>
      <c r="BF317" s="5"/>
      <c r="BG317" s="5"/>
      <c r="BH317" s="5"/>
      <c r="BJ317" s="5"/>
      <c r="BK317" s="5"/>
      <c r="BL317" s="12"/>
      <c r="BM317" s="5"/>
      <c r="BN317" s="5"/>
      <c r="BO317" s="5"/>
      <c r="BQ317" s="5"/>
      <c r="BR317" s="5"/>
      <c r="BT317" s="5"/>
      <c r="BU317" s="5"/>
      <c r="BV317" s="5"/>
      <c r="BX317" s="5"/>
      <c r="BY317" s="5"/>
      <c r="CA317" s="13"/>
      <c r="CB317" s="41"/>
      <c r="CC317" s="11"/>
      <c r="CE317" s="13"/>
      <c r="CF317" s="5"/>
      <c r="CG317" s="12"/>
      <c r="CI317" s="13"/>
      <c r="CJ317" s="5"/>
      <c r="CK317" s="12"/>
      <c r="CM317" s="13"/>
      <c r="CN317" s="5"/>
      <c r="CO317" s="12"/>
      <c r="CQ317" s="13"/>
      <c r="CR317" s="5"/>
      <c r="CS317" s="12"/>
      <c r="CU317" s="13"/>
      <c r="CV317" s="5"/>
      <c r="CW317" s="12"/>
      <c r="CY317" s="13"/>
      <c r="CZ317" s="5"/>
      <c r="DA317" s="12"/>
      <c r="DC317" s="13"/>
      <c r="DD317" s="5"/>
      <c r="DE317" s="12"/>
      <c r="DG317" s="13"/>
      <c r="DH317" s="5"/>
      <c r="DI317" s="12"/>
      <c r="DK317" s="13"/>
      <c r="DL317" s="5"/>
      <c r="DM317" s="12"/>
      <c r="DO317" s="13"/>
      <c r="DP317" s="5"/>
      <c r="DQ317" s="12"/>
      <c r="DS317" s="5"/>
      <c r="DV317" s="5"/>
      <c r="DW317" s="660">
        <f t="shared" si="2"/>
        <v>0</v>
      </c>
    </row>
    <row r="318" spans="1:127" s="6" customFormat="1" ht="15" customHeight="1">
      <c r="A318" s="3"/>
      <c r="B318" s="210" t="s">
        <v>509</v>
      </c>
      <c r="C318" s="473" t="s">
        <v>515</v>
      </c>
      <c r="D318" s="2"/>
      <c r="E318" s="13"/>
      <c r="F318" s="5"/>
      <c r="G318" s="2"/>
      <c r="H318" s="4"/>
      <c r="I318" s="4"/>
      <c r="J318" s="2"/>
      <c r="K318" s="5"/>
      <c r="L318" s="5"/>
      <c r="M318" s="5"/>
      <c r="O318" s="5"/>
      <c r="P318" s="5"/>
      <c r="Q318" s="5"/>
      <c r="S318" s="5"/>
      <c r="T318" s="5"/>
      <c r="U318" s="5"/>
      <c r="W318" s="5"/>
      <c r="X318" s="5"/>
      <c r="Y318" s="12"/>
      <c r="AA318" s="13"/>
      <c r="AB318" s="12"/>
      <c r="AD318" s="13"/>
      <c r="AE318" s="5"/>
      <c r="AF318" s="5"/>
      <c r="AH318" s="13"/>
      <c r="AI318" s="5"/>
      <c r="AK318" s="13"/>
      <c r="AL318" s="5"/>
      <c r="AM318" s="5"/>
      <c r="AO318" s="13"/>
      <c r="AP318" s="5"/>
      <c r="AR318" s="5"/>
      <c r="AS318" s="5"/>
      <c r="AT318" s="5"/>
      <c r="AV318" s="5"/>
      <c r="AW318" s="5"/>
      <c r="AY318" s="5"/>
      <c r="AZ318" s="5"/>
      <c r="BA318" s="5"/>
      <c r="BC318" s="5"/>
      <c r="BD318" s="5"/>
      <c r="BF318" s="5"/>
      <c r="BG318" s="5">
        <f>BG5*BF318+BH5*BF318+BG9*BF318+BH9*BF318+BG6*BF318+BH6*BF318+BG7*BF318+BH8*BF318+BG10*BF318+BH10*BF318+BG11*BF318+BH11*BF318+BG13*BF318+BH13*BF318+BG14*BF318+BH14</f>
        <v>0</v>
      </c>
      <c r="BH318" s="5"/>
      <c r="BJ318" s="5"/>
      <c r="BK318" s="5">
        <f>BK5*BJ318+BL5*BJ318+BK9*BJ318+BL9*BJ318+BK6*BJ318+BL6*BJ318+BK7*BJ318+BL8*BJ318+BK10*BJ318+BL10*BJ318+BK11*BJ318+BL11*BJ318+BK13*BJ318+BL13*BJ318+BK14*BJ318+BL14</f>
        <v>0</v>
      </c>
      <c r="BL318" s="12"/>
      <c r="BM318" s="5"/>
      <c r="BN318" s="5">
        <f>BN5*BM318+BO5*BM318+BN9*BM318+BO9*BM318+BN6*BM318+BO6*BM318+BN7*BM318+BO8*BM318+BN10*BM318+BO10*BM318+BN11*BM318+BO11*BM318+BN13*BM318+BO13*BM318+BN14*BM318+BO14</f>
        <v>0</v>
      </c>
      <c r="BO318" s="5"/>
      <c r="BQ318" s="5"/>
      <c r="BR318" s="5">
        <f>BR5*BQ318+BS5*BQ318+BR9*BQ318+BS9*BQ318+BR6*BQ318+BS6*BQ318+BR7*BQ318+BS8*BQ318+BR10*BQ318+BS10*BQ318+BR11*BQ318+BS11*BQ318+BR13*BQ318+BS13*BQ318+BR14*BQ318+BS14</f>
        <v>0</v>
      </c>
      <c r="BT318" s="5"/>
      <c r="BU318" s="5"/>
      <c r="BV318" s="5"/>
      <c r="BX318" s="5"/>
      <c r="BY318" s="5"/>
      <c r="CA318" s="13"/>
      <c r="CB318" s="41"/>
      <c r="CC318" s="11"/>
      <c r="CE318" s="13"/>
      <c r="CF318" s="5"/>
      <c r="CG318" s="12"/>
      <c r="CI318" s="13"/>
      <c r="CJ318" s="5"/>
      <c r="CK318" s="12"/>
      <c r="CM318" s="13"/>
      <c r="CN318" s="5"/>
      <c r="CO318" s="12"/>
      <c r="CQ318" s="13"/>
      <c r="CR318" s="5"/>
      <c r="CS318" s="12"/>
      <c r="CU318" s="13"/>
      <c r="CV318" s="5"/>
      <c r="CW318" s="12"/>
      <c r="CY318" s="13"/>
      <c r="CZ318" s="5"/>
      <c r="DA318" s="12"/>
      <c r="DC318" s="13"/>
      <c r="DD318" s="5"/>
      <c r="DE318" s="12"/>
      <c r="DG318" s="13"/>
      <c r="DH318" s="5"/>
      <c r="DI318" s="12"/>
      <c r="DK318" s="13"/>
      <c r="DL318" s="5"/>
      <c r="DM318" s="12"/>
      <c r="DO318" s="13"/>
      <c r="DP318" s="5"/>
      <c r="DQ318" s="12"/>
      <c r="DS318" s="5"/>
      <c r="DV318" s="5"/>
      <c r="DW318" s="660">
        <f t="shared" si="2"/>
        <v>0</v>
      </c>
    </row>
    <row r="319" spans="1:127" s="6" customFormat="1" ht="15" customHeight="1">
      <c r="A319" s="3">
        <v>134</v>
      </c>
      <c r="B319" s="210" t="s">
        <v>25</v>
      </c>
      <c r="C319" s="473" t="s">
        <v>515</v>
      </c>
      <c r="D319" s="4"/>
      <c r="E319" s="13">
        <v>0</v>
      </c>
      <c r="F319" s="5">
        <f>F5*E319+G5*E319+F7*E319+G7*E319+F9*E319+G9*E319+F6*E319+G6*E319+F10*E319+G10*E319+F11*E319+G11*E319+F13*E319+G13*E319+F14*E319+G14*E319</f>
        <v>0</v>
      </c>
      <c r="G319" s="4"/>
      <c r="H319" s="4">
        <v>1</v>
      </c>
      <c r="I319" s="658">
        <f>SUM(I5:I6,I9:I10,I13)*H319</f>
        <v>0</v>
      </c>
      <c r="J319" s="4"/>
      <c r="K319" s="5"/>
      <c r="L319" s="5"/>
      <c r="M319" s="5"/>
      <c r="O319" s="5">
        <v>2</v>
      </c>
      <c r="P319" s="5">
        <f>P5*O319+Q5*O319+P9*O319+Q9*O319</f>
        <v>0</v>
      </c>
      <c r="Q319" s="5"/>
      <c r="S319" s="5">
        <v>1</v>
      </c>
      <c r="T319" s="5">
        <f>T5*S319+U5*S319+T7*S319+U7*S319+T9*S319+U9*S319+T6*S319+U6*S319+T10*S319+U10*S319+T11*S319+U11*S319+T13*S319+U13*S319+T14*S319+U14*S319</f>
        <v>0</v>
      </c>
      <c r="U319" s="5"/>
      <c r="W319" s="5">
        <v>1</v>
      </c>
      <c r="X319" s="5">
        <f>X5*W319+Y5*W319+X7*W319+Y7*W319+X9*W319+Y9*W319+X6*W319+Y6*W319+X10*W319+Y10*W319+X11*W319+Y11*W319+X13*W319+Y13*W319+X14*W319+Y14*W319</f>
        <v>0</v>
      </c>
      <c r="Y319" s="12"/>
      <c r="AA319" s="13">
        <v>1</v>
      </c>
      <c r="AB319" s="5">
        <f>AB5*AA319+AC5+AB7*AA319+AB9*AA319+AB6*AA319+AB10*AA319+AB11*AA319+AB13*AA319+AB14*AA319</f>
        <v>0</v>
      </c>
      <c r="AD319" s="13">
        <v>0</v>
      </c>
      <c r="AE319" s="5">
        <f>AE5*AD319+AF5*AD319+AE7*AD319+AF7*AD319+AE9*AD319+AF9*AD319+AE6*AD319+AF6*AD319+AE10*AD319+AF10*AD319+AE11*AD319+AF11*AD319+AE13*AD319+AF13*AD319+AE14*AD319+AF14*AD319</f>
        <v>0</v>
      </c>
      <c r="AF319" s="5"/>
      <c r="AH319" s="13">
        <v>0</v>
      </c>
      <c r="AI319" s="5">
        <f>AI5*AH319+AJ5*AH319+AI7*AH319+AJ7*AH319+AI9*AH319+AJ9*AH319+AI6*AH319+AJ6*AH319+AI10*AH319+AJ10*AH319+AI11*AH319+AJ11*AH319+AI13*AH319+AJ13*AH319+AI14*AH319+AJ14*AH319</f>
        <v>0</v>
      </c>
      <c r="AK319" s="13">
        <v>0</v>
      </c>
      <c r="AL319" s="5">
        <f>AL5*AK319+AM5*AK319+AL7*AK319+AM7*AK319+AL9*AK319+AM9*AK319+AL6*AK319+AM6*AK319+AL10*AK319+AM10*AK319+AL11*AK319+AM11*AK319+AL13*AK319+AM13*AK319+AL14*AK319+AM14*AK319</f>
        <v>0</v>
      </c>
      <c r="AM319" s="5"/>
      <c r="AO319" s="13">
        <v>0</v>
      </c>
      <c r="AP319" s="5">
        <f>AP5*AO319+AQ5*AO319+AP7*AO319+AQ7*AO319+AP9*AO319+AQ9*AO319+AP6*AO319+AQ6*AO319+AP10*AO319+AQ10*AO319+AP11*AO319+AQ11*AO319+AP13*AO319+AQ13*AO319+AP14*AO319+AQ14*AO319</f>
        <v>0</v>
      </c>
      <c r="AR319" s="5">
        <v>0</v>
      </c>
      <c r="AS319" s="5">
        <f>AS5*AR319+AT5*AR319+AS6*AR319+AT6*AR319+AS9*AR319+AT9*AR319+AS10*AR319+AT10*AR319+AS13*AR319+AT13*AR319</f>
        <v>0</v>
      </c>
      <c r="AT319" s="5"/>
      <c r="AV319" s="5">
        <v>0</v>
      </c>
      <c r="AW319" s="5">
        <f>AW5*AV319+AX5*AV319+AW6*AV319+AX6*AV319+AW9*AV319+AX9*AV319+AW10*AV319+AX10*AV319+AW13*AV319+AX13*AV319</f>
        <v>0</v>
      </c>
      <c r="AY319" s="5">
        <v>1</v>
      </c>
      <c r="AZ319" s="5">
        <f>AZ5*AY319+BA5*AY319+AZ6*AY319+BA6*AY319+AZ9*AY319+BA9*AY319+AZ10*AY319+BA10*AY319+AZ13*AY319+BA13*AY319</f>
        <v>0</v>
      </c>
      <c r="BA319" s="5"/>
      <c r="BC319" s="5">
        <v>1</v>
      </c>
      <c r="BD319" s="5">
        <f>BD5*BC319+BE5*BC319+BD6*BC319+BE6*BC319+BD9*BC319+BE9*BC319+BD10*BC319+BE10*BC319+BD13*BC319+BE13*BC319</f>
        <v>0</v>
      </c>
      <c r="BF319" s="5">
        <v>1</v>
      </c>
      <c r="BG319" s="5">
        <f>BG5*BF319+BH5*BF319+BG9*BF319+BH9*BF319+BG6*BF319+BH6*BF319+BG7*BF319+BH8*BF319+BG10*BF319+BH10*BF319+BG11*BF319+BH11*BF319+BG13*BF319+BH13*BF319+BG14*BF319+BH14</f>
        <v>0</v>
      </c>
      <c r="BH319" s="5"/>
      <c r="BJ319" s="5">
        <v>1</v>
      </c>
      <c r="BK319" s="5">
        <f>BK5*BJ319+BL5*BJ319+BK9*BJ319+BL9*BJ319+BK6*BJ319+BL6*BJ319+BK7*BJ319+BL8*BJ319+BK10*BJ319+BL10*BJ319+BK11*BJ319+BL11*BJ319+BK13*BJ319+BL13*BJ319+BK14*BJ319+BL14</f>
        <v>0</v>
      </c>
      <c r="BL319" s="12"/>
      <c r="BM319" s="5">
        <v>1</v>
      </c>
      <c r="BN319" s="5">
        <f>BN5*BM319+BO5*BM319+BN9*BM319+BO9*BM319+BN6*BM319+BO6*BM319+BN7*BM319+BN10*BM319+BO10*BM319+BN11*BM319+BO11*BM319+BN13*BM319+BO13*BM319+BN14*BM319+BO14*BM319+BO7*BM319</f>
        <v>0</v>
      </c>
      <c r="BO319" s="5"/>
      <c r="BQ319" s="5">
        <v>1</v>
      </c>
      <c r="BR319" s="5">
        <f>BR5*BQ319+BS5*BQ319+BR9*BQ319+BS9*BQ319+BR6*BQ319+BS6*BQ319+BR7*BQ319+BR10*BQ319+BS10*BQ319+BR11*BQ319+BS11*BQ319+BR13*BQ319+BS13*BQ319+BR14*BQ319+BS14*BQ319+BS7*BQ319</f>
        <v>0</v>
      </c>
      <c r="BT319" s="5">
        <v>3</v>
      </c>
      <c r="BU319" s="5">
        <f>BU5*BT319+BV5*BT319+BU7*BT319+BV7*BT319+BU9*BT319+BV9*BT319+BU6*BT319+BV6*BT319+BU10*BT319+BV10*BT319+BU11*BT319+BV11*BT319+BU13*BT319+BV13*BT319+BU14*BT319+BV14*BT319</f>
        <v>0</v>
      </c>
      <c r="BV319" s="5"/>
      <c r="BX319" s="5">
        <v>3</v>
      </c>
      <c r="BY319" s="5">
        <f>BY5*BX319+BZ5*BX319+BY7*BX319+BZ7*BX319+BY9*BX319+BZ9*BX319+BY6*BX319+BZ6*BX319+BY10*BX319+BZ10*BX319+BY11*BX319+BZ11*BX319+BY13*BX319+BZ13*BX319+BY14*BX319+BZ14*BX319</f>
        <v>0</v>
      </c>
      <c r="CA319" s="13">
        <v>1</v>
      </c>
      <c r="CB319" s="5">
        <f>CB7*CA319+CC7*CA319+CB6*CA319+CC6*CA319+CB10*CA319+CC10*CA319+CB11*CA319+CC11*CA319+CB13*CA319+CC13*CA319+CB14*CA319+CC14*CA319+CB5*2+CC5*2+CB9*2+CC9*2</f>
        <v>0</v>
      </c>
      <c r="CC319" s="11"/>
      <c r="CE319" s="21" t="s">
        <v>155</v>
      </c>
      <c r="CF319" s="5"/>
      <c r="CG319" s="12"/>
      <c r="CI319" s="13"/>
      <c r="CJ319" s="5"/>
      <c r="CK319" s="12"/>
      <c r="CM319" s="13"/>
      <c r="CN319" s="5"/>
      <c r="CO319" s="12"/>
      <c r="CQ319" s="13"/>
      <c r="CR319" s="5"/>
      <c r="CS319" s="12"/>
      <c r="CU319" s="13"/>
      <c r="CV319" s="5"/>
      <c r="CW319" s="12"/>
      <c r="CY319" s="21" t="s">
        <v>155</v>
      </c>
      <c r="CZ319" s="5">
        <f>CZ5*5+DA5*5+CZ7*2+DA7*2+CZ9*5+DA9*5+CZ6*2+DA6*2+CZ10*2+DA10*2+CZ11*2+DA11*2+CZ13*2+DA13*2+CZ14*2+DA14*2</f>
        <v>0</v>
      </c>
      <c r="DA319" s="12"/>
      <c r="DC319" s="13">
        <v>2</v>
      </c>
      <c r="DD319" s="5">
        <f>DD5*5+DE5*5+DD7*2+DE7*2+DD9*5+DE9*5+DD6*2+DE6*2+DD10*2+DE10*2+DD11*2+DE11*2+DD13*2+DE13*2+DD14*2+DE14*2</f>
        <v>0</v>
      </c>
      <c r="DE319" s="12"/>
      <c r="DG319" s="13">
        <v>2</v>
      </c>
      <c r="DH319" s="5">
        <f>DH5*5+DI5*5+DH7*2+DI7*2+DH9*5+DI9*5+DH6*2+DI6*2+DH10*2+DI10*2+DH11*2+DI11*2+DH13*2+DI13*2+DH14*2+DI14*2</f>
        <v>0</v>
      </c>
      <c r="DI319" s="12"/>
      <c r="DK319" s="13">
        <v>2</v>
      </c>
      <c r="DL319" s="5">
        <f>DL5*5+DM5*5+DL7*2+DM7*2+DL9*5+DM9*5+DL6*2+DM6*2+DL10*2+DM10*2+DL11*2+DM11*2+DL13*2+DM13*2+DL14*2+DM14*2</f>
        <v>0</v>
      </c>
      <c r="DM319" s="12"/>
      <c r="DO319" s="13">
        <v>2</v>
      </c>
      <c r="DP319" s="5">
        <f>DP5*5+DQ5*5+DP7*2+DQ7*2+DP9*5+DQ9*5+DP6*2+DQ6*2+DP10*2+DQ10*2+DP11*2+DQ11*2+DP13*2+DQ13*2+DP14*2+DQ14*2</f>
        <v>0</v>
      </c>
      <c r="DQ319" s="12"/>
      <c r="DS319" s="5"/>
      <c r="DV319" s="5"/>
      <c r="DW319" s="660">
        <f t="shared" si="2"/>
        <v>0</v>
      </c>
    </row>
    <row r="320" spans="1:127" s="6" customFormat="1" ht="15" customHeight="1">
      <c r="A320" s="3">
        <v>135</v>
      </c>
      <c r="B320" s="210" t="s">
        <v>26</v>
      </c>
      <c r="C320" s="473" t="s">
        <v>515</v>
      </c>
      <c r="D320" s="4"/>
      <c r="E320" s="13">
        <v>2</v>
      </c>
      <c r="F320" s="5">
        <f>SUM(F5:F7,F9:F11,F13:F14)*E320</f>
        <v>0</v>
      </c>
      <c r="G320" s="4"/>
      <c r="H320" s="4">
        <v>1</v>
      </c>
      <c r="I320" s="658">
        <f>SUM(I7:I8,I11:I12,I14:I15)*H320</f>
        <v>0</v>
      </c>
      <c r="J320" s="4"/>
      <c r="K320" s="5"/>
      <c r="L320" s="5"/>
      <c r="M320" s="5"/>
      <c r="O320" s="5">
        <v>2</v>
      </c>
      <c r="P320" s="5">
        <f>P6*O320+Q6*O320+P7*O320+Q7*O320+P8*O320+Q8*O320+P10*O320+Q10*O320+P11*O320+Q11*O320+P12*O320+P13*O320+Q13*O320+Q12*O320+P14*O320+Q14*O320+P15*O320+Q15*O320</f>
        <v>0</v>
      </c>
      <c r="Q320" s="5"/>
      <c r="S320" s="5">
        <v>1</v>
      </c>
      <c r="T320" s="5">
        <f>T8*S320+U8*S320+T12*S320+U12*S320+T15*S320+U15*S320</f>
        <v>0</v>
      </c>
      <c r="U320" s="5"/>
      <c r="W320" s="5">
        <v>1</v>
      </c>
      <c r="X320" s="5">
        <f>X8*W320+Y8*W320+X12*W320+Y12*W320+X15*W320+Y15*W320</f>
        <v>0</v>
      </c>
      <c r="Y320" s="12"/>
      <c r="AA320" s="13">
        <v>1</v>
      </c>
      <c r="AB320" s="5">
        <f>AB8*AA320+AB12*AA320+AB15*AA320</f>
        <v>0</v>
      </c>
      <c r="AD320" s="13">
        <v>2</v>
      </c>
      <c r="AE320" s="5">
        <f>AE5*AD320+AF5*AD320+AE7*AD320+AF7*AD320+AE9*AD320+AF9*AD320+AE6*AD320+AF6*AD320+AE10*AD320+AF10*AD320+AE11*AD320+AF11*AD320+AE13*AD320+AF13*AD320+AE14*AD320+AF14*AD320</f>
        <v>0</v>
      </c>
      <c r="AF320" s="5"/>
      <c r="AH320" s="13">
        <v>2</v>
      </c>
      <c r="AI320" s="5">
        <f>AI5*AH320+AJ5*AH320+AI7*AH320+AJ7*AH320+AI9*AH320+AJ9*AH320+AI6*AH320+AJ6*AH320+AI10*AH320+AJ10*AH320+AI11*AH320+AJ11*AH320+AI13*AH320+AJ13*AH320+AI14*AH320+AJ14*AH320</f>
        <v>0</v>
      </c>
      <c r="AK320" s="13">
        <v>2</v>
      </c>
      <c r="AL320" s="5">
        <f>AL5*AK320+AM5*AK320+AL7*AK320+AM7*AK320+AL9*AK320+AM9*AK320+AL6*AK320+AM6*AK320+AL10*AK320+AM10*AK320+AL11*AK320+AM11*AK320+AL13*AK320+AM13*AK320+AL14*AK320+AM14*AK320</f>
        <v>0</v>
      </c>
      <c r="AM320" s="5"/>
      <c r="AO320" s="13">
        <v>2</v>
      </c>
      <c r="AP320" s="5">
        <f>AP5*AO320+AQ5*AO320+AP7*AO320+AQ7*AO320+AP9*AO320+AQ9*AO320+AP6*AO320+AQ6*AO320+AP10*AO320+AQ10*AO320+AP11*AO320+AQ11*AO320+AP13*AO320+AQ13*AO320+AP14*AO320+AQ14*AO320</f>
        <v>0</v>
      </c>
      <c r="AR320" s="13">
        <v>1</v>
      </c>
      <c r="AS320" s="5">
        <f>AS5*AR320+AT5*AR320+AS7*AR320+AT7*AR320+AS9*AR320+AT9*AR320+AS6*AR320+AT6*AR320+AS10*AR320+AT10*AR320+AS11*AR320+AT11*AR320+AS13*AR320+AT13*AR320+AS14*AR320+AT14*AR320</f>
        <v>0</v>
      </c>
      <c r="AT320" s="5"/>
      <c r="AV320" s="13">
        <v>1</v>
      </c>
      <c r="AW320" s="5">
        <f>AW5*AV320+AX5*AV320+AW7*AV320+AX7*AV320+AW9*AV320+AX9*AV320+AW6*AV320+AX6*AV320+AW10*AV320+AX10*AV320+AW11*AV320+AX11*AV320+AW13*AV320+AX13*AV320+AW14*AV320+AX14*AV320</f>
        <v>0</v>
      </c>
      <c r="AY320" s="5">
        <v>2</v>
      </c>
      <c r="AZ320" s="5">
        <f>AZ5*AY320+BA5*AY320+AZ6*AY320+BA6*AY320+AZ9*AY320+BA9*AY320+AZ10*AY320+BA10*AY320+AZ13*AY320+BA13*AY320+AZ8*AY320/2+BA8*AY320/2+AZ12*AY320/2+BA12*AY320/2+AZ15*AY320/2+BA15*AY320/2+AZ7*AY320/2+BA7*AY320/2+AZ11*AY320/2+BA11*AY320/2+AZ14*AY320/2+BA14*AY320/2</f>
        <v>0</v>
      </c>
      <c r="BA320" s="5"/>
      <c r="BC320" s="5">
        <v>2</v>
      </c>
      <c r="BD320" s="5">
        <f>BD5*BC320+BE5*BC320+BD6*BC320+BE6*BC320+BD9*BC320+BE9*BC320+BD10*BC320+BE10*BC320+BD13*BC320+BE13*BC320+BD8*BC320/2+BE8*BC320/2+BD12*BC320/2+BE12*BC320/2+BD15*BC320/2+BE15*BC320/2+BD7*BC320/2+BE7*BC320/2+BD11*BC320/2+BE11*BC320/2+BD14*BC320/2+BE14*BC320/2</f>
        <v>0</v>
      </c>
      <c r="BF320" s="5">
        <v>1</v>
      </c>
      <c r="BG320" s="5">
        <f>BG8*BF320+BH8*BF320+BG12*BF320+BH12*BF320</f>
        <v>0</v>
      </c>
      <c r="BH320" s="5"/>
      <c r="BJ320" s="5">
        <v>1</v>
      </c>
      <c r="BK320" s="5">
        <f>BK8*BJ320+BL8*BJ320+BK12*BJ320+BL12*BJ320</f>
        <v>0</v>
      </c>
      <c r="BL320" s="12"/>
      <c r="BM320" s="5">
        <v>2</v>
      </c>
      <c r="BN320" s="5">
        <f>BN5*BM320+BO5*BM320+BN9*BM320+BO9*BM320+BN6*BM320+BO6*BM320+BN7*BM320+BN10*BM320+BO10*BM320+BN11*BM320+BO11*BM320+BN13*BM320+BO13*BM320+BN14*BM320+BO14*BM320+BO7*BM320+BN8*3+BO8*3+BN12*3+BO12*3+BN15*3+BO15*3</f>
        <v>0</v>
      </c>
      <c r="BO320" s="5"/>
      <c r="BQ320" s="5">
        <v>2</v>
      </c>
      <c r="BR320" s="5">
        <f>BR5*BQ320+BS5*BQ320+BR9*BQ320+BS9*BQ320+BR6*BQ320+BS6*BQ320+BR7*BQ320+BR10*BQ320+BS10*BQ320+BR11*BQ320+BS11*BQ320+BR13*BQ320+BS13*BQ320+BR14*BQ320+BS14*BQ320+BS7*BQ320+BR8*3+BS8*3+BR12*3+BS12*3+BR15*3+BS15*3</f>
        <v>0</v>
      </c>
      <c r="BT320" s="5">
        <v>3</v>
      </c>
      <c r="BU320" s="5">
        <f>BU8*BT320+BV8*BT320+BU12*BT320+BV12*BT320+BU15*BT320+BV15*BT320</f>
        <v>0</v>
      </c>
      <c r="BV320" s="5"/>
      <c r="BX320" s="5">
        <v>3</v>
      </c>
      <c r="BY320" s="5">
        <f>BY8*BX320+BZ8*BX320+BY12*BX320+BZ12*BX320+BY15*BX320+BZ15*BX320</f>
        <v>0</v>
      </c>
      <c r="CA320" s="13">
        <v>1</v>
      </c>
      <c r="CB320" s="7">
        <f>CB5*CA320+CC5*CA320+CB7*CA320+CC7*CA320+CB6*CA320+CC6*CA320+CB8*CA320+CC8*CA320+CB9*CA320+CC9*CA320+CB10*CA320+CC10*CA320+CB11*CA320+CC11*CA320+CB12*CA320+CC12*CA320+CB13*CA320+CC13*CA320+CB14*CA320+CC14*CA320+CB15*CA320+CC15*CA320</f>
        <v>0</v>
      </c>
      <c r="CC320" s="11"/>
      <c r="CE320" s="21" t="s">
        <v>155</v>
      </c>
      <c r="CF320" s="7">
        <f>CF7*3+CG7*3+CF6*3+CG6*3+CF8*2+CG8*2+CF10*3+CG10*3+CF11*3+CG11*3+CF12*2+CG12*2+CF13*3+CG13*3+CF14*3+CG14*3+CF15*2+CG15*2</f>
        <v>0</v>
      </c>
      <c r="CG320" s="12"/>
      <c r="CI320" s="13">
        <v>3</v>
      </c>
      <c r="CJ320" s="7">
        <f>CJ7*3+CK7*3+CJ6*3+CK6*3+CJ8*2+CK8*2+CJ10*3+CK10*3+CJ11*3+CK11*3+CJ12*2+CK12*2+CJ13*3+CK13*3+CJ14*3+CK14*3+CJ15*2+CK15*2</f>
        <v>0</v>
      </c>
      <c r="CK320" s="12"/>
      <c r="CM320" s="13">
        <v>3</v>
      </c>
      <c r="CN320" s="7">
        <f>CN7*3+CO7*3+CN6*3+CO6*3+CN8*2+CO8*2+CN10*3+CO10*3+CN11*3+CO11*3+CN12*2+CO12*2+CN13*3+CO13*3+CN14*3+CO14*3+CN15*2+CO15*2</f>
        <v>0</v>
      </c>
      <c r="CO320" s="12"/>
      <c r="CQ320" s="13">
        <v>3</v>
      </c>
      <c r="CR320" s="7">
        <f>CR7*3+CS7*3+CR6*3+CS6*3+CR8*2+CS8*2+CR10*3+CS10*3+CR11*3+CS11*3+CR12*2+CS12*2+CR13*3+CS13*3+CR14*3+CS14*3+CR15*2+CS15*2</f>
        <v>0</v>
      </c>
      <c r="CS320" s="12"/>
      <c r="CU320" s="13">
        <v>3</v>
      </c>
      <c r="CV320" s="7">
        <f>CV7*3+CW7*3+CV6*3+CW6*3+CV8*2+CW8*2+CV10*3+CW10*3+CV11*3+CW11*3+CV12*2+CW12*2+CV13*3+CW13*3+CV14*3+CW14*3+CV15*2+CW15*2</f>
        <v>0</v>
      </c>
      <c r="CW320" s="12"/>
      <c r="CY320" s="21" t="s">
        <v>155</v>
      </c>
      <c r="CZ320" s="7">
        <f>CZ7*3+DA7*3+CZ6*3+DA6*3+CZ8*2+DA8*2+CZ10*3+DA10*3+CZ11*3+DA11*3+CZ12*2+DA12*2+CZ13*3+DA13*3+CZ14*3+DA14*3+CZ15*2+DA15*2</f>
        <v>0</v>
      </c>
      <c r="DA320" s="12"/>
      <c r="DC320" s="13">
        <v>3</v>
      </c>
      <c r="DD320" s="7">
        <f>DD7*3+DE7*3+DD6*3+DE6*3+DD8*2+DE8*2+DD10*3+DE10*3+DD11*3+DE11*3+DD12*2+DE12*2+DD13*3+DE13*3+DD14*3+DE14*3+DD15*2+DE15*2</f>
        <v>0</v>
      </c>
      <c r="DE320" s="12"/>
      <c r="DG320" s="13">
        <v>3</v>
      </c>
      <c r="DH320" s="7">
        <f>DH7*3+DI7*3+DH6*3+DI6*3+DH8*2+DI8*2+DH10*3+DI10*3+DH11*3+DI11*3+DH12*2+DI12*2+DH13*3+DI13*3+DH14*3+DI14*3+DH15*2+DI15*2</f>
        <v>0</v>
      </c>
      <c r="DI320" s="12"/>
      <c r="DK320" s="13">
        <v>3</v>
      </c>
      <c r="DL320" s="7">
        <f>DL7*3+DM7*3+DL6*3+DM6*3+DL8*2+DM8*2+DL10*3+DM10*3+DL11*3+DM11*3+DL12*2+DM12*2+DL13*3+DM13*3+DL14*3+DM14*3+DL15*2+DM15*2</f>
        <v>0</v>
      </c>
      <c r="DM320" s="12"/>
      <c r="DO320" s="13">
        <v>3</v>
      </c>
      <c r="DP320" s="7">
        <f>DP7*3+DQ7*3+DP6*3+DQ6*3+DP8*2+DQ8*2+DP10*3+DQ10*3+DP11*3+DQ11*3+DP12*2+DQ12*2+DP13*3+DQ13*3+DP14*3+DQ14*3+DP15*2+DQ15*2</f>
        <v>0</v>
      </c>
      <c r="DQ320" s="12"/>
      <c r="DS320" s="5"/>
      <c r="DV320" s="5"/>
      <c r="DW320" s="660">
        <f t="shared" si="2"/>
        <v>0</v>
      </c>
    </row>
    <row r="321" spans="1:128" s="6" customFormat="1" ht="15" customHeight="1">
      <c r="A321" s="3">
        <v>136</v>
      </c>
      <c r="B321" s="210" t="s">
        <v>27</v>
      </c>
      <c r="C321" s="473" t="s">
        <v>515</v>
      </c>
      <c r="D321" s="4"/>
      <c r="E321" s="13">
        <v>2</v>
      </c>
      <c r="F321" s="5">
        <f>F8*E321+G8*E321+F12*E321+G12*E321+F15*E321+G15*E321</f>
        <v>0</v>
      </c>
      <c r="G321" s="4"/>
      <c r="H321" s="4"/>
      <c r="I321" s="4"/>
      <c r="J321" s="4"/>
      <c r="K321" s="5"/>
      <c r="L321" s="5"/>
      <c r="M321" s="5"/>
      <c r="O321" s="5"/>
      <c r="P321" s="5"/>
      <c r="Q321" s="5"/>
      <c r="S321" s="5"/>
      <c r="T321" s="5"/>
      <c r="U321" s="5"/>
      <c r="W321" s="5"/>
      <c r="X321" s="5"/>
      <c r="Y321" s="12"/>
      <c r="AA321" s="13"/>
      <c r="AB321" s="12"/>
      <c r="AD321" s="13">
        <v>2</v>
      </c>
      <c r="AE321" s="5">
        <f>AE8*AD321+AF8*AD321+AE12*AD321+AF12*AD321+AE15*AD321+AF15*AD321</f>
        <v>0</v>
      </c>
      <c r="AF321" s="5"/>
      <c r="AH321" s="13">
        <v>2</v>
      </c>
      <c r="AI321" s="5">
        <f>AI8*AH321+AJ8*AH321+AI12*AH321+AJ12*AH321+AI15*AH321+AJ15*AH321</f>
        <v>0</v>
      </c>
      <c r="AK321" s="13">
        <v>2</v>
      </c>
      <c r="AL321" s="5">
        <f>AL8*AK321+AM8*AK321+AL12*AK321+AM12*AK321+AL15*AK321+AM15*AK321</f>
        <v>0</v>
      </c>
      <c r="AM321" s="5"/>
      <c r="AO321" s="13">
        <v>2</v>
      </c>
      <c r="AP321" s="5">
        <f>AP8*AO321+AQ8*AO321+AP12*AO321+AQ12*AO321+AP15*AO321+AQ15*AO321</f>
        <v>0</v>
      </c>
      <c r="AR321" s="13">
        <v>1</v>
      </c>
      <c r="AS321" s="5">
        <f>AS8*AR321+AT8*AR321+AS12*AR321+AT12*AR321+AS15*AR321+AT15*AR321</f>
        <v>0</v>
      </c>
      <c r="AT321" s="5"/>
      <c r="AV321" s="13">
        <v>1</v>
      </c>
      <c r="AW321" s="5">
        <f>AW8*AV321+AX8*AV321+AW12*AV321+AX12*AV321+AW15*AV321+AX15*AV321</f>
        <v>0</v>
      </c>
      <c r="AY321" s="5">
        <v>2</v>
      </c>
      <c r="AZ321" s="5">
        <f>AZ7*AY321+BA7*AY321+AZ8*AY321+BA8*AY321+AZ11*AY321+BA11*AY321+AZ12*AY321+BA12*AY321+AZ14*AY321+BA14*AY321+AZ15*AY321+BA15*AY321</f>
        <v>0</v>
      </c>
      <c r="BA321" s="5"/>
      <c r="BC321" s="5">
        <v>2</v>
      </c>
      <c r="BD321" s="5">
        <f>BD7*BC321+BE7*BC321+BD8*BC321+BE8*BC321+BD11*BC321+BE11*BC321+BD12*BC321+BE12*BC321+BD14*BC321+BE14*BC321+BD15*BC321+BE15*BC321</f>
        <v>0</v>
      </c>
      <c r="BF321" s="5"/>
      <c r="BG321" s="5"/>
      <c r="BH321" s="5"/>
      <c r="BJ321" s="5"/>
      <c r="BK321" s="5"/>
      <c r="BL321" s="12"/>
      <c r="BM321" s="5"/>
      <c r="BN321" s="5">
        <f>BN8*BM321+BO8*BM321+BN12*BM321+BO12*BM321+BN15*BM321+BO15*BM321</f>
        <v>0</v>
      </c>
      <c r="BO321" s="5"/>
      <c r="BQ321" s="5"/>
      <c r="BR321" s="5">
        <f>BR8*BQ321+BS8*BQ321+BR12*BQ321+BS12*BQ321+BR15*BQ321+BS15*BQ321</f>
        <v>0</v>
      </c>
      <c r="BT321" s="5"/>
      <c r="BU321" s="5">
        <f>BU8*BT321+BV8*BT321+BU12*BT321+BV12*BT321+BU15*BT321+BV15*BT321</f>
        <v>0</v>
      </c>
      <c r="BV321" s="5"/>
      <c r="BX321" s="5"/>
      <c r="BY321" s="5">
        <f>BY8*BX321+BZ8*BX321+BY12*BX321+BZ12*BX321+BY15*BX321+BZ15*BX321</f>
        <v>0</v>
      </c>
      <c r="CA321" s="13">
        <v>1</v>
      </c>
      <c r="CB321" s="7">
        <f>CB6*CA321+CC6*CA321+CB8*CA321+CC8*CA321+CB7*CA321+CC7*CA321+CB10*CA321+CC10*CA321+CB11*CA321+CC11*CA321+CB12*CA321+CC12*CA321+CB13*CA321+CC13*CA321+CB14*CA321+CC14*CA321+CB15*CA321+CC15*CA321</f>
        <v>0</v>
      </c>
      <c r="CC321" s="11"/>
      <c r="CE321" s="13">
        <v>3</v>
      </c>
      <c r="CF321" s="5">
        <f>CF8*CE321+CG8*CE321+CF12*CE321+CG12*CE321+CF15*CE321+CG15*CE321</f>
        <v>0</v>
      </c>
      <c r="CG321" s="12"/>
      <c r="CI321" s="13">
        <v>3</v>
      </c>
      <c r="CJ321" s="5">
        <f>CJ8*CI321+CK8*CI321+CJ12*CI321+CK12*CI321+CJ15*CI321+CK15*CI321</f>
        <v>0</v>
      </c>
      <c r="CK321" s="12"/>
      <c r="CM321" s="13">
        <v>3</v>
      </c>
      <c r="CN321" s="5">
        <f>CN8*CM321+CO8*CM321+CN12*CM321+CO12*CM321+CN15*CM321+CO15*CM321</f>
        <v>0</v>
      </c>
      <c r="CO321" s="12"/>
      <c r="CQ321" s="13">
        <v>3</v>
      </c>
      <c r="CR321" s="5">
        <f>CR8*CQ321+CS8*CQ321+CR12*CQ321+CS12*CQ321+CR15*CQ321+CS15*CQ321</f>
        <v>0</v>
      </c>
      <c r="CS321" s="12"/>
      <c r="CU321" s="13">
        <v>3</v>
      </c>
      <c r="CV321" s="5">
        <f>CV8*CU321+CW8*CU321+CV12*CU321+CW12*CU321+CV15*CU321+CW15*CU321</f>
        <v>0</v>
      </c>
      <c r="CW321" s="12"/>
      <c r="CY321" s="13">
        <v>3</v>
      </c>
      <c r="CZ321" s="5">
        <f>CZ8*CY321+DA8*CY321+CZ12*CY321+DA12*CY321+CZ15*CY321+DA15*CY321</f>
        <v>0</v>
      </c>
      <c r="DA321" s="12"/>
      <c r="DC321" s="13">
        <v>3</v>
      </c>
      <c r="DD321" s="5">
        <f>DD8*DC321+DE8*DC321+DD12*DC321+DE12*DC321+DD15*DC321+DE15*DC321</f>
        <v>0</v>
      </c>
      <c r="DE321" s="12"/>
      <c r="DG321" s="13">
        <v>3</v>
      </c>
      <c r="DH321" s="5">
        <f>DH8*DG321+DI8*DG321+DH12*DG321+DI12*DG321+DH15*DG321+DI15*DG321</f>
        <v>0</v>
      </c>
      <c r="DI321" s="12"/>
      <c r="DK321" s="13">
        <v>3</v>
      </c>
      <c r="DL321" s="5">
        <f>DL8*DK321+DM8*DK321+DL12*DK321+DM12*DK321+DL15*DK321+DM15*DK321</f>
        <v>0</v>
      </c>
      <c r="DM321" s="12"/>
      <c r="DO321" s="13">
        <v>3</v>
      </c>
      <c r="DP321" s="5">
        <f>DP8*DO321+DQ8*DO321+DP12*DO321+DQ12*DO321+DP15*DO321+DQ15*DO321</f>
        <v>0</v>
      </c>
      <c r="DQ321" s="12"/>
      <c r="DS321" s="5"/>
      <c r="DV321" s="5"/>
      <c r="DW321" s="660">
        <f t="shared" si="2"/>
        <v>0</v>
      </c>
    </row>
    <row r="322" spans="1:128" s="6" customFormat="1" ht="15" customHeight="1">
      <c r="A322" s="3">
        <v>137</v>
      </c>
      <c r="B322" s="210" t="s">
        <v>152</v>
      </c>
      <c r="C322" s="473" t="s">
        <v>515</v>
      </c>
      <c r="D322" s="4"/>
      <c r="E322" s="5"/>
      <c r="F322" s="5"/>
      <c r="G322" s="4"/>
      <c r="H322" s="4"/>
      <c r="I322" s="4"/>
      <c r="J322" s="4"/>
      <c r="K322" s="5"/>
      <c r="L322" s="5"/>
      <c r="M322" s="5"/>
      <c r="O322" s="5"/>
      <c r="P322" s="5"/>
      <c r="Q322" s="5"/>
      <c r="S322" s="5"/>
      <c r="T322" s="5"/>
      <c r="U322" s="5"/>
      <c r="W322" s="5"/>
      <c r="X322" s="5"/>
      <c r="Y322" s="12"/>
      <c r="AA322" s="13"/>
      <c r="AB322" s="12"/>
      <c r="AD322" s="13"/>
      <c r="AE322" s="5"/>
      <c r="AF322" s="5"/>
      <c r="AH322" s="13"/>
      <c r="AI322" s="5"/>
      <c r="AK322" s="5"/>
      <c r="AL322" s="5"/>
      <c r="AM322" s="5"/>
      <c r="AO322" s="5"/>
      <c r="AP322" s="5"/>
      <c r="AR322" s="5"/>
      <c r="AS322" s="5"/>
      <c r="AT322" s="5"/>
      <c r="AV322" s="5"/>
      <c r="AW322" s="5"/>
      <c r="AY322" s="5"/>
      <c r="AZ322" s="5"/>
      <c r="BA322" s="5"/>
      <c r="BC322" s="5"/>
      <c r="BD322" s="5"/>
      <c r="BF322" s="5"/>
      <c r="BG322" s="5"/>
      <c r="BH322" s="5"/>
      <c r="BJ322" s="5"/>
      <c r="BK322" s="5"/>
      <c r="BL322" s="12"/>
      <c r="BM322" s="5"/>
      <c r="BN322" s="5"/>
      <c r="BO322" s="5"/>
      <c r="BQ322" s="5"/>
      <c r="BR322" s="5"/>
      <c r="BT322" s="5"/>
      <c r="BU322" s="5"/>
      <c r="BV322" s="5"/>
      <c r="BX322" s="5"/>
      <c r="BY322" s="5"/>
      <c r="CA322" s="13">
        <v>1</v>
      </c>
      <c r="CB322" s="7">
        <f>CB8*CA322+CB12*CA322+CB15*CA322+CC8*CA322+CC12*CA322+CC15*CA322</f>
        <v>0</v>
      </c>
      <c r="CC322" s="11"/>
      <c r="CE322" s="13"/>
      <c r="CF322" s="5"/>
      <c r="CG322" s="12"/>
      <c r="CI322" s="13"/>
      <c r="CJ322" s="5"/>
      <c r="CK322" s="12"/>
      <c r="CM322" s="13"/>
      <c r="CN322" s="5"/>
      <c r="CO322" s="12"/>
      <c r="CQ322" s="13"/>
      <c r="CR322" s="5"/>
      <c r="CS322" s="12"/>
      <c r="CU322" s="13"/>
      <c r="CV322" s="5"/>
      <c r="CW322" s="12"/>
      <c r="CY322" s="13"/>
      <c r="CZ322" s="5"/>
      <c r="DA322" s="12"/>
      <c r="DC322" s="13"/>
      <c r="DD322" s="5"/>
      <c r="DE322" s="12"/>
      <c r="DG322" s="13"/>
      <c r="DH322" s="5"/>
      <c r="DI322" s="12"/>
      <c r="DK322" s="13"/>
      <c r="DL322" s="5"/>
      <c r="DM322" s="12"/>
      <c r="DO322" s="13"/>
      <c r="DP322" s="5"/>
      <c r="DQ322" s="12"/>
      <c r="DS322" s="5"/>
      <c r="DV322" s="5"/>
      <c r="DW322" s="660">
        <f t="shared" si="2"/>
        <v>0</v>
      </c>
    </row>
    <row r="323" spans="1:128" s="6" customFormat="1" ht="15" customHeight="1">
      <c r="A323" s="3"/>
      <c r="B323" s="210" t="s">
        <v>1019</v>
      </c>
      <c r="C323" s="473" t="s">
        <v>515</v>
      </c>
      <c r="D323" s="4"/>
      <c r="E323" s="5"/>
      <c r="F323" s="5"/>
      <c r="G323" s="4"/>
      <c r="H323" s="4"/>
      <c r="I323" s="4"/>
      <c r="J323" s="4"/>
      <c r="K323" s="5"/>
      <c r="L323" s="5"/>
      <c r="M323" s="5"/>
      <c r="O323" s="5"/>
      <c r="P323" s="5"/>
      <c r="Q323" s="5"/>
      <c r="S323" s="5"/>
      <c r="T323" s="5"/>
      <c r="U323" s="5"/>
      <c r="W323" s="5"/>
      <c r="X323" s="5"/>
      <c r="Y323" s="12"/>
      <c r="AA323" s="13"/>
      <c r="AB323" s="12"/>
      <c r="AD323" s="13"/>
      <c r="AE323" s="5"/>
      <c r="AF323" s="5"/>
      <c r="AH323" s="13"/>
      <c r="AI323" s="5"/>
      <c r="AK323" s="5"/>
      <c r="AL323" s="5"/>
      <c r="AM323" s="5"/>
      <c r="AO323" s="5"/>
      <c r="AP323" s="5"/>
      <c r="AR323" s="5"/>
      <c r="AS323" s="5"/>
      <c r="AT323" s="5"/>
      <c r="AV323" s="5"/>
      <c r="AW323" s="5"/>
      <c r="AY323" s="5"/>
      <c r="AZ323" s="5"/>
      <c r="BA323" s="5"/>
      <c r="BC323" s="5"/>
      <c r="BD323" s="5"/>
      <c r="BF323" s="5"/>
      <c r="BG323" s="5"/>
      <c r="BH323" s="5"/>
      <c r="BJ323" s="5"/>
      <c r="BK323" s="5"/>
      <c r="BL323" s="12"/>
      <c r="BM323" s="5"/>
      <c r="BN323" s="5"/>
      <c r="BO323" s="5"/>
      <c r="BQ323" s="5"/>
      <c r="BR323" s="5"/>
      <c r="BT323" s="5"/>
      <c r="BU323" s="5"/>
      <c r="BV323" s="5"/>
      <c r="BX323" s="5"/>
      <c r="BY323" s="5"/>
      <c r="CA323" s="13"/>
      <c r="CB323" s="7"/>
      <c r="CC323" s="11"/>
      <c r="CE323" s="13"/>
      <c r="CF323" s="5"/>
      <c r="CG323" s="12"/>
      <c r="CI323" s="13"/>
      <c r="CJ323" s="5"/>
      <c r="CK323" s="12"/>
      <c r="CM323" s="13"/>
      <c r="CN323" s="5"/>
      <c r="CO323" s="12"/>
      <c r="CQ323" s="13"/>
      <c r="CR323" s="5"/>
      <c r="CS323" s="12"/>
      <c r="CU323" s="13"/>
      <c r="CV323" s="5"/>
      <c r="CW323" s="12"/>
      <c r="CY323" s="13"/>
      <c r="CZ323" s="5"/>
      <c r="DA323" s="12"/>
      <c r="DC323" s="13"/>
      <c r="DD323" s="5"/>
      <c r="DE323" s="12"/>
      <c r="DG323" s="13"/>
      <c r="DH323" s="5"/>
      <c r="DI323" s="12"/>
      <c r="DK323" s="13"/>
      <c r="DL323" s="5"/>
      <c r="DM323" s="12"/>
      <c r="DO323" s="13"/>
      <c r="DP323" s="5"/>
      <c r="DQ323" s="12"/>
      <c r="DS323" s="5"/>
      <c r="DV323" s="5"/>
      <c r="DW323" s="660">
        <f t="shared" si="2"/>
        <v>0</v>
      </c>
    </row>
    <row r="324" spans="1:128" s="6" customFormat="1" ht="15" customHeight="1">
      <c r="A324" s="3">
        <v>138</v>
      </c>
      <c r="B324" s="210" t="s">
        <v>132</v>
      </c>
      <c r="C324" s="473" t="s">
        <v>515</v>
      </c>
      <c r="D324" s="4"/>
      <c r="E324" s="5">
        <v>2</v>
      </c>
      <c r="F324" s="5">
        <f>SUM(F16:F26)*E324</f>
        <v>0</v>
      </c>
      <c r="G324" s="4"/>
      <c r="H324" s="4">
        <v>1</v>
      </c>
      <c r="I324" s="658">
        <f>SUM(I16:I26)*H324</f>
        <v>0</v>
      </c>
      <c r="J324" s="4"/>
      <c r="K324" s="5">
        <v>2</v>
      </c>
      <c r="L324" s="5">
        <f>L16*K324+M16*K324+L17*K324+M17*K324+L18*K324+M18*K324+L19*K324+M19*K324+L20*K324+M20*K324+L21*K324+M21*K324+L22*K324+M22*K324+L23*K324+M23*K324+L24*K324+M24*K324+L25*K324+M25*K324+L26*K324+M26*K324</f>
        <v>0</v>
      </c>
      <c r="M324" s="5"/>
      <c r="O324" s="5">
        <v>2</v>
      </c>
      <c r="P324" s="5">
        <f>P16*O324+Q16*O324+P17*O324+Q17*O324+P18*O324+Q18*O324+P19*O324+Q19*O324+P20*O324+Q20*O324+P21*O324+Q21*O324+P22*O324+Q22*O324+P23*O324+Q23*O324+P24*O324+Q24*O324+P25*O324+Q25*O324+P26*O324+Q26*O324</f>
        <v>0</v>
      </c>
      <c r="Q324" s="5"/>
      <c r="S324" s="5">
        <v>1</v>
      </c>
      <c r="T324" s="5">
        <f>T16*S324+U16*S324+T17*S324+U17*S324+T18*S324+U18*S324+T19*S324+U19*S324+T20*S324+U20*S324+T21*S324+U21*S324+T22*S324+U22*S324+T23*S324+U23*S324+T24*S324+U24*S324+T25*S324+U25*S324+T26*S324+U26*S324</f>
        <v>0</v>
      </c>
      <c r="U324" s="5"/>
      <c r="W324" s="5">
        <v>2</v>
      </c>
      <c r="X324" s="5">
        <f>X16*W324+Y16*W324+X17*W324+Y17*W324+X18*W324+Y18*W324+X19*W324+Y19*W324+X20*W324+Y20*W324+X21*W324+Y21*W324+X22*W324+Y22*W324+X23*W324+Y23*W324+X24*W324+Y24*W324+X25*W324+Y25*W324+X26*W324+Y26*W324</f>
        <v>0</v>
      </c>
      <c r="Y324" s="12"/>
      <c r="AA324" s="13">
        <v>2</v>
      </c>
      <c r="AB324" s="12">
        <f>AB16*AA324+AC16*AA324+AB17*AA324+AC17*AA324+AB18*AA324+AC18*AA324+AB19*AA324+AC19*AA324+AB20*AA324+AC20*AA324+AB21*AA324+AC21*AA324+AB22*AA324+AC22*AA324+AB23*AA324+AC23*AA324+AB24*AA324+AC24*AA324+AB25*AA324+AC25*AA324+AB26*AA324+AC26*AA324</f>
        <v>0</v>
      </c>
      <c r="AD324" s="13">
        <v>1</v>
      </c>
      <c r="AE324" s="5">
        <f>AE16*AD324+AF16*AD324+AE17*AD324+AF17*AD324+AE18*AD324+AF18*AD324+AE19*AD324+AF19*AD324+AE20*AD324+AF20*AD324+AE21*AD324+AF21*AD324+AE22*AD324+AF22*AD324+AE23*AD324+AF23*AD324+AE24*AD324+AF24*AD324+AE25*AD324+AF25*AD324+AE26*AD324+AF26*AD324</f>
        <v>0</v>
      </c>
      <c r="AF324" s="5"/>
      <c r="AH324" s="13">
        <v>1</v>
      </c>
      <c r="AI324" s="5">
        <f>AI16*AH324+AJ16*AH324+AI17*AH324+AJ17*AH324+AI18*AH324+AJ18*AH324+AI19*AH324+AJ19*AH324+AI20*AH324+AJ20*AH324+AI21*AH324+AJ21*AH324+AI22*AH324+AJ22*AH324+AI23*AH324+AJ23*AH324+AI24*AH324+AJ24*AH324+AI25*AH324+AJ25*AH324+AI26*AH324+AJ26*AH324</f>
        <v>0</v>
      </c>
      <c r="AK324" s="5">
        <v>2</v>
      </c>
      <c r="AL324" s="5">
        <f>AL16*AK324+AM16*AK324+AL17*AK324+AM17*AK324+AL18*AK324+AM18*AK324+AL19*AK324+AM19*AK324+AL20*AK324+AM20*AK324+AL21*AK324+AM21*AK324+AL22*AK324+AM22*AK324+AL23*AK324+AM23*AK324+AL24*AK324+AM24*AK324+AL25*AK324+AM25*AK324+AL26*AK324+AM26*AK324</f>
        <v>0</v>
      </c>
      <c r="AM324" s="5"/>
      <c r="AO324" s="5">
        <v>2</v>
      </c>
      <c r="AP324" s="5">
        <f>AP16*AO324+AQ16*AO324+AP17*AO324+AQ17*AO324+AP18*AO324+AQ18*AO324+AP19*AO324+AQ19*AO324+AP20*AO324+AQ20*AO324+AP21*AO324+AQ21*AO324+AP22*AO324+AQ22*AO324+AP23*AO324+AQ23*AO324+AP24*AO324+AQ24*AO324+AP25*AO324+AQ25*AO324+AP26*AO324+AQ26*AO324</f>
        <v>0</v>
      </c>
      <c r="AR324" s="5">
        <v>2</v>
      </c>
      <c r="AS324" s="5">
        <f>AS16*AR324+AT16*AR324+AS17*AR324+AT17*AR324+AS18*AR324+AT18*AR324+AS19*AR324+AT19*AR324+AS20*AR324+AT20*AR324+AS21*AR324+AT21*AR324+AS22*AR324+AT22*AR324+AS23*AR324+AT23*AR324+AS24*AR324+AT24*AR324+AS25*AR324+AT25*AR324+AS26*AR324+AT26*AR324</f>
        <v>0</v>
      </c>
      <c r="AT324" s="5"/>
      <c r="AV324" s="5">
        <v>2</v>
      </c>
      <c r="AW324" s="5">
        <f>AW16*AV324+AX16*AV324+AW17*AV324+AX17*AV324+AW18*AV324+AX18*AV324+AW19*AV324+AX19*AV324+AW20*AV324+AX20*AV324+AW21*AV324+AX21*AV324+AW22*AV324+AX22*AV324+AW23*AV324+AX23*AV324+AW24*AV324+AX24*AV324+AW25*AV324+AX25*AV324+AW26*AV324+AX26*AV324</f>
        <v>0</v>
      </c>
      <c r="AY324" s="5">
        <v>2</v>
      </c>
      <c r="AZ324" s="5">
        <f>AZ16*AY324+BA16*AY324+AZ17*AY324+BA17*AY324+AZ18*AY324+BA18*AY324+AZ19*AY324+BA19*AY324+AZ20*AY324+BA20*AY324+AZ21*AY324+BA21*AY324+AZ22*AY324+BA22*AY324+AZ23*AY324+BA23*AY324+AZ24*AY324+BA24*AY324+AZ25*AY324+BA25*AY324+AZ26*AY324+BA26*AY324</f>
        <v>0</v>
      </c>
      <c r="BA324" s="5"/>
      <c r="BC324" s="5">
        <v>2</v>
      </c>
      <c r="BD324" s="5">
        <f>BD16*BC324+BE16*BC324+BD17*BC324+BE17*BC324+BD18*BC324+BE18*BC324+BD19*BC324+BE19*BC324+BD20*BC324+BE20*BC324+BD21*BC324+BE21*BC324+BD22*BC324+BE22*BC324+BD23*BC324+BE23*BC324+BD24*BC324+BE24*BC324+BD25*BC324+BE25*BC324+BD26*BC324+BE26*BC324</f>
        <v>0</v>
      </c>
      <c r="BF324" s="5">
        <v>4</v>
      </c>
      <c r="BG324" s="5">
        <f>BG16*BF324+BH16*BF324+BG17*BF324+BH17*BF324+BG18*BF324+BH18*BF324+BG19*BF324+BH19*BF324+BG20*BF324+BH20*BF324+BG21*BF324+BH21*BF324+BG22*BF324+BH22*BF324+BG23*BF324+BH23*BF324+BG24*BF324+BH24*BF324+BG25*BF324+BH25*BF324+BG26*BF324+BH26*BF324</f>
        <v>0</v>
      </c>
      <c r="BH324" s="5"/>
      <c r="BJ324" s="5">
        <v>4</v>
      </c>
      <c r="BK324" s="5">
        <f>BK16*BJ324+BL16*BJ324+BK17*BJ324+BL17*BJ324+BK18*BJ324+BL18*BJ324+BK19*BJ324+BL19*BJ324+BK20*BJ324+BL20*BJ324+BK21*BJ324+BL21*BJ324+BK22*BJ324+BL22*BJ324+BK23*BJ324+BL23*BJ324+BK24*BJ324+BL24*BJ324+BK25*BJ324+BL25*BJ324+BK26*BJ324+BL26*BJ324</f>
        <v>0</v>
      </c>
      <c r="BL324" s="12"/>
      <c r="BM324" s="5">
        <v>4</v>
      </c>
      <c r="BN324" s="5">
        <f>BN16*BM324+BO16*BM324+BN17*BM324+BO17*BM324+BN18*BM324+BO18*BM324+BN19*BM324+BO19*BM324+BN20*BM324+BO20*BM324+BN21*BM324+BO21*BM324+BN22*BM324+BO22*BM324+BN23*BM324+BO23*BM324+BN24*BM324+BO24*BM324+BN25*BM324+BO25*BM324+BN26*BM324+BO26*BM324</f>
        <v>0</v>
      </c>
      <c r="BO324" s="5"/>
      <c r="BQ324" s="5">
        <v>4</v>
      </c>
      <c r="BR324" s="5">
        <f>BR16*BQ324+BS16*BQ324+BR17*BQ324+BS17*BQ324+BR18*BQ324+BS18*BQ324+BR19*BQ324+BS19*BQ324+BR20*BQ324+BS20*BQ324+BR21*BQ324+BS21*BQ324+BR22*BQ324+BS22*BQ324+BR23*BQ324+BS23*BQ324+BR24*BQ324+BS24*BQ324+BR25*BQ324+BS25*BQ324+BR26*BQ324+BS26*BQ324</f>
        <v>0</v>
      </c>
      <c r="BT324" s="5">
        <v>4</v>
      </c>
      <c r="BU324" s="5">
        <f>BU16*BT324+BV16*BT324+BU17*BT324+BV17*BT324+BU18*BT324+BV18*BT324+BU19*BT324+BV19*BT324+BU20*BT324+BV20*BT324+BU21*BT324+BV21*BT324+BU22*BT324+BV22*BT324+BU23*BT324+BV23*BT324+BU24*BT324+BV24*BT324+BU25*BT324+BV25*BT324+BU26*BT324+BV26*BT324</f>
        <v>0</v>
      </c>
      <c r="BV324" s="5"/>
      <c r="BX324" s="5">
        <v>4</v>
      </c>
      <c r="BY324" s="5">
        <f>BY16*BX324+BZ16*BX324+BY17*BX324+BZ17*BX324+BY18*BX324+BZ18*BX324+BY19*BX324+BZ19*BX324+BY20*BX324+BZ20*BX324+BY21*BX324+BZ21*BX324+BY22*BX324+BZ22*BX324+BY23*BX324+BZ23*BX324+BY24*BX324+BZ24*BX324+BY25*BX324+BZ25*BX324+BY26*BX324+BZ26*BX324</f>
        <v>0</v>
      </c>
      <c r="CA324" s="13">
        <v>3</v>
      </c>
      <c r="CB324" s="5">
        <f>CB16*CA324+CC16*CA324+CB17*CA324+CC17*CA324+CB18*CA324+CC18*CA324+CB19*CA324+CC19*CA324+CB20*CA324+CC20*CA324+CB21*CA324+CC21*CA324+CB22*CA324+CC22*CA324+CB23*CA324+CC23*CA324+CB24*CA324+CC24*CA324+CB25*CA324+CC25*CA324+CB26*CA324+CC26*CA324</f>
        <v>0</v>
      </c>
      <c r="CC324" s="11"/>
      <c r="CE324" s="5">
        <v>4</v>
      </c>
      <c r="CF324" s="5">
        <f>CF19*CE324+CG19*CE324+CF20*CE324+CG20*CE324+CF21*CE324+CG21*CE324+CF22*CE324+CG22*CE324+CF23*CE324+CG23*CE324+CF24*CE324+CG24*CE324+CF25*CE324+CG25*CE324+CF26*CE324+CG26*CE324+CF27*CE324+CG27*CE324+CF28*CE324+CG28*CE324+CF29*CE324+CG29*CE324</f>
        <v>0</v>
      </c>
      <c r="CG324" s="12"/>
      <c r="CI324" s="5">
        <v>4</v>
      </c>
      <c r="CJ324" s="5">
        <f>CJ19*CI324+CK19*CI324+CJ20*CI324+CK20*CI324+CJ21*CI324+CK21*CI324+CJ22*CI324+CK22*CI324+CJ23*CI324+CK23*CI324+CJ24*CI324+CK24*CI324+CJ25*CI324+CK25*CI324+CJ26*CI324+CK26*CI324+CJ27*CI324+CK27*CI324+CJ28*CI324+CK28*CI324+CJ29*CI324+CK29*CI324</f>
        <v>0</v>
      </c>
      <c r="CK324" s="12"/>
      <c r="CM324" s="5">
        <v>4</v>
      </c>
      <c r="CN324" s="5">
        <f>CN19*CM324+CO19*CM324+CN20*CM324+CO20*CM324+CN21*CM324+CO21*CM324+CN22*CM324+CO22*CM324+CN23*CM324+CO23*CM324+CN24*CM324+CO24*CM324+CN25*CM324+CO25*CM324+CN26*CM324+CO26*CM324+CN27*CM324+CO27*CM324+CN28*CM324+CO28*CM324+CN29*CM324+CO29*CM324</f>
        <v>0</v>
      </c>
      <c r="CO324" s="12"/>
      <c r="CQ324" s="5">
        <v>4</v>
      </c>
      <c r="CR324" s="5">
        <f>CR19*CQ324+CS19*CQ324+CR20*CQ324+CS20*CQ324+CR21*CQ324+CS21*CQ324+CR22*CQ324+CS22*CQ324+CR23*CQ324+CS23*CQ324+CR24*CQ324+CS24*CQ324+CR25*CQ324+CS25*CQ324+CR26*CQ324+CS26*CQ324+CR27*CQ324+CS27*CQ324+CR28*CQ324+CS28*CQ324+CR29*CQ324+CS29*CQ324</f>
        <v>0</v>
      </c>
      <c r="CS324" s="12"/>
      <c r="CU324" s="5">
        <v>4</v>
      </c>
      <c r="CV324" s="5">
        <f>CV19*CU324+CW19*CU324+CV20*CU324+CW20*CU324+CV21*CU324+CW21*CU324+CV22*CU324+CW22*CU324+CV23*CU324+CW23*CU324+CV24*CU324+CW24*CU324+CV25*CU324+CW25*CU324+CV26*CU324+CW26*CU324+CV27*CU324+CW27*CU324+CV28*CU324+CW28*CU324+CV29*CU324+CW29*CU324</f>
        <v>0</v>
      </c>
      <c r="CW324" s="12"/>
      <c r="CY324" s="5">
        <v>5</v>
      </c>
      <c r="CZ324" s="5">
        <f>CZ19*CY324+DA19*CY324+CZ20*CY324+DA20*CY324+CZ21*CY324+DA21*CY324+CZ22*CY324+DA22*CY324+CZ23*CY324+DA23*CY324+CZ24*CY324+DA24*CY324+CZ25*CY324+DA25*CY324+CZ26*CY324+DA26*CY324+CZ27*CY324+DA27*CY324+CZ28*CY324+DA28*CY324+CZ29*CY324+DA29*CY324</f>
        <v>0</v>
      </c>
      <c r="DA324" s="12"/>
      <c r="DC324" s="5">
        <v>5</v>
      </c>
      <c r="DD324" s="5">
        <f>DD19*DC324+DE19*DC324+DD20*DC324+DE20*DC324+DD21*DC324+DE21*DC324+DD22*DC324+DE22*DC324+DD23*DC324+DE23*DC324+DD24*DC324+DE24*DC324+DD25*DC324+DE25*DC324+DD26*DC324+DE26*DC324+DD27*DC324+DE27*DC324+DD28*DC324+DE28*DC324+DD29*DC324+DE29*DC324</f>
        <v>0</v>
      </c>
      <c r="DE324" s="12"/>
      <c r="DG324" s="5">
        <v>5</v>
      </c>
      <c r="DH324" s="5">
        <f>DH19*DG324+DI19*DG324+DH20*DG324+DI20*DG324+DH21*DG324+DI21*DG324+DH22*DG324+DI22*DG324+DH23*DG324+DI23*DG324+DH24*DG324+DI24*DG324+DH25*DG324+DI25*DG324+DH26*DG324+DI26*DG324+DH27*DG324+DI27*DG324+DH28*DG324+DI28*DG324+DH29*DG324+DI29*DG324</f>
        <v>0</v>
      </c>
      <c r="DI324" s="12"/>
      <c r="DK324" s="5">
        <v>5</v>
      </c>
      <c r="DL324" s="5">
        <f>DL19*DK324+DM19*DK324+DL20*DK324+DM20*DK324+DL21*DK324+DM21*DK324+DL22*DK324+DM22*DK324+DL23*DK324+DM23*DK324+DL24*DK324+DM24*DK324+DL25*DK324+DM25*DK324+DL26*DK324+DM26*DK324+DL27*DK324+DM27*DK324+DL28*DK324+DM28*DK324+DL29*DK324+DM29*DK324</f>
        <v>0</v>
      </c>
      <c r="DM324" s="12"/>
      <c r="DO324" s="5">
        <v>5</v>
      </c>
      <c r="DP324" s="5">
        <f>DP19*DO324+DQ19*DO324+DP20*DO324+DQ20*DO324+DP21*DO324+DQ21*DO324+DP22*DO324+DQ22*DO324+DP23*DO324+DQ23*DO324+DP24*DO324+DQ24*DO324+DP25*DO324+DQ25*DO324+DP26*DO324+DQ26*DO324+DP27*DO324+DQ27*DO324+DP28*DO324+DQ28*DO324+DP29*DO324+DQ29*DO324</f>
        <v>0</v>
      </c>
      <c r="DQ324" s="12"/>
      <c r="DS324" s="5"/>
      <c r="DV324" s="5"/>
      <c r="DW324" s="660">
        <f t="shared" si="2"/>
        <v>0</v>
      </c>
    </row>
    <row r="325" spans="1:128" s="6" customFormat="1" ht="15" customHeight="1">
      <c r="A325" s="3">
        <v>139</v>
      </c>
      <c r="B325" s="210" t="s">
        <v>153</v>
      </c>
      <c r="C325" s="473" t="s">
        <v>515</v>
      </c>
      <c r="D325" s="4"/>
      <c r="E325" s="5"/>
      <c r="F325" s="5"/>
      <c r="G325" s="4"/>
      <c r="H325" s="4"/>
      <c r="I325" s="4"/>
      <c r="J325" s="4"/>
      <c r="K325" s="5"/>
      <c r="L325" s="5"/>
      <c r="M325" s="5"/>
      <c r="O325" s="5"/>
      <c r="P325" s="5"/>
      <c r="Q325" s="5"/>
      <c r="S325" s="5"/>
      <c r="T325" s="5"/>
      <c r="U325" s="5"/>
      <c r="W325" s="5"/>
      <c r="X325" s="5"/>
      <c r="Y325" s="12"/>
      <c r="AA325" s="13"/>
      <c r="AB325" s="12"/>
      <c r="AD325" s="13"/>
      <c r="AE325" s="5"/>
      <c r="AF325" s="5"/>
      <c r="AH325" s="13"/>
      <c r="AI325" s="5"/>
      <c r="AK325" s="5"/>
      <c r="AL325" s="5"/>
      <c r="AM325" s="5"/>
      <c r="AO325" s="5"/>
      <c r="AP325" s="5"/>
      <c r="AR325" s="5"/>
      <c r="AS325" s="5"/>
      <c r="AT325" s="5"/>
      <c r="AV325" s="5"/>
      <c r="AW325" s="5"/>
      <c r="AY325" s="5"/>
      <c r="AZ325" s="5"/>
      <c r="BA325" s="5"/>
      <c r="BC325" s="5"/>
      <c r="BD325" s="5"/>
      <c r="BF325" s="5"/>
      <c r="BG325" s="5"/>
      <c r="BH325" s="5"/>
      <c r="BJ325" s="5"/>
      <c r="BK325" s="5"/>
      <c r="BL325" s="12"/>
      <c r="BM325" s="5"/>
      <c r="BN325" s="5"/>
      <c r="BO325" s="5"/>
      <c r="BQ325" s="5"/>
      <c r="BR325" s="5"/>
      <c r="BT325" s="5"/>
      <c r="BU325" s="5"/>
      <c r="BV325" s="5"/>
      <c r="BX325" s="5"/>
      <c r="BY325" s="5"/>
      <c r="CA325" s="13">
        <v>1</v>
      </c>
      <c r="CB325" s="5">
        <f>CB16*CA325+CC16*CA325+CB17*CA325+CC17*CA325+CB18*CA325+CC18*CA325+CB19*CA325+CC19*CA325+CB20*CA325+CC20*CA325+CB21*CA325+CC21*CA325+CB22*CA325+CC22*CA325+CB23*CA325+CC23*CA325+CB24*CA325+CC24*CA325+CB25*CA325+CC25*CA325+CB26*CA325+CC26*CA325</f>
        <v>0</v>
      </c>
      <c r="CC325" s="11"/>
      <c r="CE325" s="13"/>
      <c r="CF325" s="5"/>
      <c r="CG325" s="12"/>
      <c r="CI325" s="13"/>
      <c r="CJ325" s="5"/>
      <c r="CK325" s="12"/>
      <c r="CM325" s="13"/>
      <c r="CN325" s="5"/>
      <c r="CO325" s="12"/>
      <c r="CQ325" s="13"/>
      <c r="CR325" s="5"/>
      <c r="CS325" s="12"/>
      <c r="CU325" s="13"/>
      <c r="CV325" s="5"/>
      <c r="CW325" s="12"/>
      <c r="CY325" s="13"/>
      <c r="CZ325" s="5"/>
      <c r="DA325" s="12"/>
      <c r="DC325" s="13"/>
      <c r="DD325" s="5"/>
      <c r="DE325" s="12"/>
      <c r="DG325" s="13"/>
      <c r="DH325" s="5"/>
      <c r="DI325" s="12"/>
      <c r="DK325" s="13"/>
      <c r="DL325" s="5"/>
      <c r="DM325" s="12"/>
      <c r="DO325" s="13"/>
      <c r="DP325" s="5"/>
      <c r="DQ325" s="12"/>
      <c r="DS325" s="5"/>
      <c r="DV325" s="5"/>
      <c r="DW325" s="660">
        <f t="shared" si="2"/>
        <v>0</v>
      </c>
    </row>
    <row r="326" spans="1:128" s="6" customFormat="1" ht="15" customHeight="1">
      <c r="A326" s="3"/>
      <c r="B326" s="210" t="s">
        <v>1474</v>
      </c>
      <c r="C326" s="473" t="s">
        <v>0</v>
      </c>
      <c r="D326" s="4"/>
      <c r="E326" s="5"/>
      <c r="F326" s="5"/>
      <c r="G326" s="4"/>
      <c r="H326" s="4"/>
      <c r="I326" s="4"/>
      <c r="J326" s="4"/>
      <c r="K326" s="5"/>
      <c r="L326" s="5"/>
      <c r="M326" s="5"/>
      <c r="O326" s="5"/>
      <c r="P326" s="5"/>
      <c r="Q326" s="5"/>
      <c r="S326" s="5"/>
      <c r="T326" s="5"/>
      <c r="U326" s="5"/>
      <c r="W326" s="5"/>
      <c r="X326" s="5"/>
      <c r="Y326" s="12"/>
      <c r="AA326" s="13"/>
      <c r="AB326" s="12"/>
      <c r="AD326" s="13"/>
      <c r="AE326" s="5"/>
      <c r="AF326" s="5"/>
      <c r="AH326" s="13"/>
      <c r="AI326" s="5"/>
      <c r="AK326" s="5"/>
      <c r="AL326" s="5"/>
      <c r="AM326" s="5"/>
      <c r="AO326" s="5"/>
      <c r="AP326" s="5"/>
      <c r="AR326" s="5"/>
      <c r="AS326" s="5"/>
      <c r="AT326" s="5"/>
      <c r="AV326" s="5"/>
      <c r="AW326" s="5"/>
      <c r="AY326" s="5"/>
      <c r="AZ326" s="5"/>
      <c r="BA326" s="5"/>
      <c r="BC326" s="5"/>
      <c r="BD326" s="5"/>
      <c r="BF326" s="5"/>
      <c r="BG326" s="5"/>
      <c r="BH326" s="5"/>
      <c r="BJ326" s="5"/>
      <c r="BK326" s="5"/>
      <c r="BL326" s="12"/>
      <c r="BM326" s="5"/>
      <c r="BN326" s="5"/>
      <c r="BO326" s="5"/>
      <c r="BQ326" s="5"/>
      <c r="BR326" s="5"/>
      <c r="BT326" s="5"/>
      <c r="BU326" s="5"/>
      <c r="BV326" s="5"/>
      <c r="BX326" s="5"/>
      <c r="BY326" s="5"/>
      <c r="CA326" s="13"/>
      <c r="CB326" s="7"/>
      <c r="CC326" s="11"/>
      <c r="CE326" s="13"/>
      <c r="CF326" s="5"/>
      <c r="CG326" s="12"/>
      <c r="CI326" s="13"/>
      <c r="CJ326" s="5"/>
      <c r="CK326" s="12"/>
      <c r="CM326" s="13"/>
      <c r="CN326" s="5"/>
      <c r="CO326" s="12"/>
      <c r="CQ326" s="13"/>
      <c r="CR326" s="5"/>
      <c r="CS326" s="12"/>
      <c r="CU326" s="13"/>
      <c r="CV326" s="5"/>
      <c r="CW326" s="12"/>
      <c r="CY326" s="13"/>
      <c r="CZ326" s="5"/>
      <c r="DA326" s="12"/>
      <c r="DC326" s="13"/>
      <c r="DD326" s="5"/>
      <c r="DE326" s="12"/>
      <c r="DG326" s="13"/>
      <c r="DH326" s="5"/>
      <c r="DI326" s="12"/>
      <c r="DK326" s="13"/>
      <c r="DL326" s="5"/>
      <c r="DM326" s="12"/>
      <c r="DO326" s="13"/>
      <c r="DP326" s="5"/>
      <c r="DQ326" s="12"/>
      <c r="DS326" s="5"/>
      <c r="DV326" s="5"/>
      <c r="DW326" s="660">
        <f t="shared" si="2"/>
        <v>0</v>
      </c>
    </row>
    <row r="327" spans="1:128" s="6" customFormat="1" ht="15" customHeight="1">
      <c r="A327" s="3">
        <v>140</v>
      </c>
      <c r="B327" s="210" t="s">
        <v>236</v>
      </c>
      <c r="C327" s="473" t="s">
        <v>515</v>
      </c>
      <c r="D327" s="4"/>
      <c r="E327" s="5"/>
      <c r="F327" s="5"/>
      <c r="G327" s="4"/>
      <c r="H327" s="4"/>
      <c r="I327" s="4"/>
      <c r="J327" s="4"/>
      <c r="K327" s="5"/>
      <c r="L327" s="5"/>
      <c r="M327" s="5"/>
      <c r="O327" s="5"/>
      <c r="P327" s="5"/>
      <c r="Q327" s="5"/>
      <c r="S327" s="5"/>
      <c r="T327" s="5"/>
      <c r="U327" s="5"/>
      <c r="W327" s="5"/>
      <c r="X327" s="5"/>
      <c r="Y327" s="12"/>
      <c r="AA327" s="13"/>
      <c r="AB327" s="12"/>
      <c r="AD327" s="13"/>
      <c r="AE327" s="5"/>
      <c r="AF327" s="5"/>
      <c r="AH327" s="13"/>
      <c r="AI327" s="5"/>
      <c r="AK327" s="5"/>
      <c r="AL327" s="5"/>
      <c r="AM327" s="5"/>
      <c r="AO327" s="5"/>
      <c r="AP327" s="5"/>
      <c r="AR327" s="5"/>
      <c r="AS327" s="5"/>
      <c r="AT327" s="5"/>
      <c r="AV327" s="5"/>
      <c r="AW327" s="5"/>
      <c r="AY327" s="5"/>
      <c r="AZ327" s="5"/>
      <c r="BA327" s="5"/>
      <c r="BC327" s="5"/>
      <c r="BD327" s="5"/>
      <c r="BF327" s="5"/>
      <c r="BG327" s="5"/>
      <c r="BH327" s="5"/>
      <c r="BJ327" s="5"/>
      <c r="BK327" s="5"/>
      <c r="BL327" s="12"/>
      <c r="BM327" s="5"/>
      <c r="BN327" s="5"/>
      <c r="BO327" s="5"/>
      <c r="BQ327" s="5"/>
      <c r="BR327" s="5"/>
      <c r="BT327" s="5"/>
      <c r="BU327" s="5"/>
      <c r="BV327" s="5"/>
      <c r="BX327" s="5"/>
      <c r="BY327" s="5"/>
      <c r="CA327" s="13"/>
      <c r="CB327" s="7"/>
      <c r="CC327" s="11"/>
      <c r="CE327" s="13"/>
      <c r="CF327" s="5"/>
      <c r="CG327" s="12"/>
      <c r="CI327" s="13"/>
      <c r="CJ327" s="5"/>
      <c r="CK327" s="12"/>
      <c r="CM327" s="13"/>
      <c r="CN327" s="5"/>
      <c r="CO327" s="12"/>
      <c r="CQ327" s="13"/>
      <c r="CR327" s="5"/>
      <c r="CS327" s="12"/>
      <c r="CU327" s="13"/>
      <c r="CV327" s="5"/>
      <c r="CW327" s="12"/>
      <c r="CY327" s="13"/>
      <c r="CZ327" s="5"/>
      <c r="DA327" s="12"/>
      <c r="DC327" s="13"/>
      <c r="DD327" s="5"/>
      <c r="DE327" s="12"/>
      <c r="DG327" s="13"/>
      <c r="DH327" s="5"/>
      <c r="DI327" s="12"/>
      <c r="DK327" s="13"/>
      <c r="DL327" s="5"/>
      <c r="DM327" s="12"/>
      <c r="DO327" s="13"/>
      <c r="DP327" s="5"/>
      <c r="DQ327" s="12"/>
      <c r="DS327" s="5"/>
      <c r="DV327" s="5"/>
      <c r="DW327" s="660">
        <f t="shared" si="2"/>
        <v>0</v>
      </c>
    </row>
    <row r="328" spans="1:128" s="6" customFormat="1" ht="15" customHeight="1">
      <c r="A328" s="3">
        <v>141</v>
      </c>
      <c r="B328" s="210" t="s">
        <v>221</v>
      </c>
      <c r="C328" s="473" t="s">
        <v>515</v>
      </c>
      <c r="D328" s="4"/>
      <c r="E328" s="5"/>
      <c r="F328" s="5"/>
      <c r="G328" s="4"/>
      <c r="H328" s="4"/>
      <c r="I328" s="4"/>
      <c r="J328" s="4"/>
      <c r="K328" s="5"/>
      <c r="L328" s="5"/>
      <c r="M328" s="5"/>
      <c r="O328" s="5"/>
      <c r="P328" s="5"/>
      <c r="Q328" s="5"/>
      <c r="S328" s="5"/>
      <c r="T328" s="5"/>
      <c r="U328" s="5"/>
      <c r="W328" s="5"/>
      <c r="X328" s="5"/>
      <c r="Y328" s="12"/>
      <c r="AA328" s="13"/>
      <c r="AB328" s="12"/>
      <c r="AD328" s="13"/>
      <c r="AE328" s="5"/>
      <c r="AF328" s="5"/>
      <c r="AH328" s="13"/>
      <c r="AI328" s="5"/>
      <c r="AK328" s="5"/>
      <c r="AL328" s="5"/>
      <c r="AM328" s="5"/>
      <c r="AO328" s="5"/>
      <c r="AP328" s="5"/>
      <c r="AR328" s="5"/>
      <c r="AS328" s="5"/>
      <c r="AT328" s="5"/>
      <c r="AV328" s="5"/>
      <c r="AW328" s="5"/>
      <c r="AY328" s="5"/>
      <c r="AZ328" s="5"/>
      <c r="BA328" s="5"/>
      <c r="BC328" s="5"/>
      <c r="BD328" s="5"/>
      <c r="BF328" s="5"/>
      <c r="BG328" s="5"/>
      <c r="BH328" s="5"/>
      <c r="BJ328" s="5"/>
      <c r="BK328" s="5"/>
      <c r="BL328" s="12"/>
      <c r="BM328" s="5"/>
      <c r="BN328" s="5"/>
      <c r="BO328" s="5"/>
      <c r="BQ328" s="5"/>
      <c r="BR328" s="5"/>
      <c r="BT328" s="5"/>
      <c r="BU328" s="5"/>
      <c r="BV328" s="5"/>
      <c r="BX328" s="5"/>
      <c r="BY328" s="5"/>
      <c r="CA328" s="13"/>
      <c r="CB328" s="7"/>
      <c r="CC328" s="11"/>
      <c r="CE328" s="13"/>
      <c r="CF328" s="5"/>
      <c r="CG328" s="12"/>
      <c r="CI328" s="13"/>
      <c r="CJ328" s="5"/>
      <c r="CK328" s="12"/>
      <c r="CM328" s="13"/>
      <c r="CN328" s="5"/>
      <c r="CO328" s="12"/>
      <c r="CQ328" s="13"/>
      <c r="CR328" s="5"/>
      <c r="CS328" s="12"/>
      <c r="CU328" s="13"/>
      <c r="CV328" s="5"/>
      <c r="CW328" s="12"/>
      <c r="CY328" s="13"/>
      <c r="CZ328" s="5"/>
      <c r="DA328" s="12"/>
      <c r="DC328" s="13"/>
      <c r="DD328" s="5"/>
      <c r="DE328" s="12"/>
      <c r="DG328" s="13"/>
      <c r="DH328" s="5"/>
      <c r="DI328" s="12"/>
      <c r="DK328" s="13"/>
      <c r="DL328" s="5"/>
      <c r="DM328" s="12"/>
      <c r="DO328" s="13"/>
      <c r="DP328" s="5"/>
      <c r="DQ328" s="12"/>
      <c r="DS328" s="5"/>
      <c r="DV328" s="5"/>
      <c r="DW328" s="660">
        <f t="shared" si="2"/>
        <v>0</v>
      </c>
    </row>
    <row r="329" spans="1:128" s="6" customFormat="1" ht="15" customHeight="1">
      <c r="A329" s="3">
        <v>142</v>
      </c>
      <c r="B329" s="210" t="s">
        <v>222</v>
      </c>
      <c r="C329" s="473" t="s">
        <v>515</v>
      </c>
      <c r="D329" s="4"/>
      <c r="E329" s="5"/>
      <c r="F329" s="5"/>
      <c r="G329" s="4"/>
      <c r="H329" s="4"/>
      <c r="I329" s="4"/>
      <c r="J329" s="4"/>
      <c r="K329" s="5"/>
      <c r="L329" s="5"/>
      <c r="M329" s="5"/>
      <c r="O329" s="5"/>
      <c r="P329" s="5"/>
      <c r="Q329" s="5"/>
      <c r="S329" s="5"/>
      <c r="T329" s="5"/>
      <c r="U329" s="5"/>
      <c r="W329" s="5"/>
      <c r="X329" s="5"/>
      <c r="Y329" s="12"/>
      <c r="AA329" s="13"/>
      <c r="AB329" s="12"/>
      <c r="AD329" s="13"/>
      <c r="AE329" s="5"/>
      <c r="AF329" s="5"/>
      <c r="AH329" s="13"/>
      <c r="AI329" s="5"/>
      <c r="AK329" s="5"/>
      <c r="AL329" s="5"/>
      <c r="AM329" s="5"/>
      <c r="AO329" s="5"/>
      <c r="AP329" s="5"/>
      <c r="AR329" s="5"/>
      <c r="AS329" s="5"/>
      <c r="AT329" s="5"/>
      <c r="AV329" s="5"/>
      <c r="AW329" s="5"/>
      <c r="AY329" s="5"/>
      <c r="AZ329" s="5"/>
      <c r="BA329" s="5"/>
      <c r="BC329" s="5"/>
      <c r="BD329" s="5"/>
      <c r="BF329" s="5"/>
      <c r="BG329" s="5"/>
      <c r="BH329" s="5"/>
      <c r="BJ329" s="5"/>
      <c r="BK329" s="5"/>
      <c r="BL329" s="12"/>
      <c r="BM329" s="5"/>
      <c r="BN329" s="5"/>
      <c r="BO329" s="5"/>
      <c r="BQ329" s="5"/>
      <c r="BR329" s="5"/>
      <c r="BT329" s="5"/>
      <c r="BU329" s="5"/>
      <c r="BV329" s="5"/>
      <c r="BX329" s="5"/>
      <c r="BY329" s="5"/>
      <c r="CA329" s="13"/>
      <c r="CB329" s="7"/>
      <c r="CC329" s="11"/>
      <c r="CE329" s="13"/>
      <c r="CF329" s="5"/>
      <c r="CG329" s="12"/>
      <c r="CI329" s="13"/>
      <c r="CJ329" s="5"/>
      <c r="CK329" s="12"/>
      <c r="CM329" s="13"/>
      <c r="CN329" s="5"/>
      <c r="CO329" s="12"/>
      <c r="CQ329" s="13"/>
      <c r="CR329" s="5"/>
      <c r="CS329" s="12"/>
      <c r="CU329" s="13"/>
      <c r="CV329" s="5"/>
      <c r="CW329" s="12"/>
      <c r="CY329" s="13"/>
      <c r="CZ329" s="5"/>
      <c r="DA329" s="12"/>
      <c r="DC329" s="13"/>
      <c r="DD329" s="5"/>
      <c r="DE329" s="12"/>
      <c r="DG329" s="13"/>
      <c r="DH329" s="5"/>
      <c r="DI329" s="12"/>
      <c r="DK329" s="13"/>
      <c r="DL329" s="5"/>
      <c r="DM329" s="12"/>
      <c r="DO329" s="13"/>
      <c r="DP329" s="5"/>
      <c r="DQ329" s="12"/>
      <c r="DS329" s="5"/>
      <c r="DV329" s="5"/>
      <c r="DW329" s="660">
        <f t="shared" si="2"/>
        <v>0</v>
      </c>
    </row>
    <row r="330" spans="1:128" s="6" customFormat="1" ht="15" customHeight="1">
      <c r="A330" s="3">
        <v>143</v>
      </c>
      <c r="B330" s="210" t="s">
        <v>223</v>
      </c>
      <c r="C330" s="473" t="s">
        <v>515</v>
      </c>
      <c r="D330" s="4"/>
      <c r="E330" s="5"/>
      <c r="F330" s="5"/>
      <c r="G330" s="4"/>
      <c r="H330" s="4"/>
      <c r="I330" s="4"/>
      <c r="J330" s="4"/>
      <c r="K330" s="5"/>
      <c r="L330" s="5"/>
      <c r="M330" s="5"/>
      <c r="O330" s="5"/>
      <c r="P330" s="5"/>
      <c r="Q330" s="5"/>
      <c r="S330" s="5"/>
      <c r="T330" s="5"/>
      <c r="U330" s="5"/>
      <c r="W330" s="5"/>
      <c r="X330" s="5"/>
      <c r="Y330" s="12"/>
      <c r="AA330" s="13"/>
      <c r="AB330" s="12"/>
      <c r="AD330" s="13"/>
      <c r="AE330" s="5"/>
      <c r="AF330" s="5"/>
      <c r="AH330" s="13"/>
      <c r="AI330" s="5"/>
      <c r="AK330" s="5"/>
      <c r="AL330" s="5"/>
      <c r="AM330" s="5"/>
      <c r="AO330" s="5"/>
      <c r="AP330" s="5"/>
      <c r="AR330" s="5"/>
      <c r="AS330" s="5"/>
      <c r="AT330" s="5"/>
      <c r="AV330" s="5"/>
      <c r="AW330" s="5"/>
      <c r="AY330" s="5"/>
      <c r="AZ330" s="5"/>
      <c r="BA330" s="5"/>
      <c r="BC330" s="5"/>
      <c r="BD330" s="5"/>
      <c r="BF330" s="5"/>
      <c r="BG330" s="5"/>
      <c r="BH330" s="5"/>
      <c r="BJ330" s="5"/>
      <c r="BK330" s="5"/>
      <c r="BL330" s="12"/>
      <c r="BM330" s="5"/>
      <c r="BN330" s="5"/>
      <c r="BO330" s="5"/>
      <c r="BQ330" s="5"/>
      <c r="BR330" s="5"/>
      <c r="BT330" s="5"/>
      <c r="BU330" s="5"/>
      <c r="BV330" s="5"/>
      <c r="BX330" s="5"/>
      <c r="BY330" s="5"/>
      <c r="CA330" s="13"/>
      <c r="CB330" s="7"/>
      <c r="CC330" s="11"/>
      <c r="CE330" s="13"/>
      <c r="CF330" s="5"/>
      <c r="CG330" s="12"/>
      <c r="CI330" s="13"/>
      <c r="CJ330" s="5"/>
      <c r="CK330" s="12"/>
      <c r="CM330" s="13"/>
      <c r="CN330" s="5"/>
      <c r="CO330" s="12"/>
      <c r="CQ330" s="13"/>
      <c r="CR330" s="5"/>
      <c r="CS330" s="12"/>
      <c r="CU330" s="13"/>
      <c r="CV330" s="5"/>
      <c r="CW330" s="12"/>
      <c r="CY330" s="13"/>
      <c r="CZ330" s="5"/>
      <c r="DA330" s="12"/>
      <c r="DC330" s="13"/>
      <c r="DD330" s="5"/>
      <c r="DE330" s="12"/>
      <c r="DG330" s="13"/>
      <c r="DH330" s="5"/>
      <c r="DI330" s="12"/>
      <c r="DK330" s="13"/>
      <c r="DL330" s="5"/>
      <c r="DM330" s="12"/>
      <c r="DO330" s="13"/>
      <c r="DP330" s="5"/>
      <c r="DQ330" s="12"/>
      <c r="DS330" s="5"/>
      <c r="DV330" s="5"/>
      <c r="DW330" s="660">
        <f t="shared" si="2"/>
        <v>0</v>
      </c>
    </row>
    <row r="331" spans="1:128" s="6" customFormat="1" ht="15" customHeight="1">
      <c r="A331" s="3">
        <v>144</v>
      </c>
      <c r="B331" s="210" t="s">
        <v>228</v>
      </c>
      <c r="C331" s="473" t="s">
        <v>515</v>
      </c>
      <c r="D331" s="4"/>
      <c r="E331" s="5"/>
      <c r="F331" s="5"/>
      <c r="G331" s="4"/>
      <c r="H331" s="4"/>
      <c r="I331" s="4"/>
      <c r="J331" s="4"/>
      <c r="K331" s="5"/>
      <c r="L331" s="5"/>
      <c r="M331" s="5"/>
      <c r="O331" s="5"/>
      <c r="P331" s="5"/>
      <c r="Q331" s="5"/>
      <c r="S331" s="5"/>
      <c r="T331" s="5"/>
      <c r="U331" s="5"/>
      <c r="W331" s="5"/>
      <c r="X331" s="5"/>
      <c r="Y331" s="12"/>
      <c r="AA331" s="13"/>
      <c r="AB331" s="12"/>
      <c r="AD331" s="13"/>
      <c r="AE331" s="5"/>
      <c r="AF331" s="5"/>
      <c r="AH331" s="13"/>
      <c r="AI331" s="5"/>
      <c r="AK331" s="5"/>
      <c r="AL331" s="5"/>
      <c r="AM331" s="5"/>
      <c r="AO331" s="5"/>
      <c r="AP331" s="5"/>
      <c r="AR331" s="5"/>
      <c r="AS331" s="5"/>
      <c r="AT331" s="5"/>
      <c r="AV331" s="5"/>
      <c r="AW331" s="5"/>
      <c r="AY331" s="5"/>
      <c r="AZ331" s="5"/>
      <c r="BA331" s="5"/>
      <c r="BC331" s="5"/>
      <c r="BD331" s="5"/>
      <c r="BF331" s="5"/>
      <c r="BG331" s="5"/>
      <c r="BH331" s="5"/>
      <c r="BJ331" s="5"/>
      <c r="BK331" s="5"/>
      <c r="BL331" s="12"/>
      <c r="BM331" s="5"/>
      <c r="BN331" s="5"/>
      <c r="BO331" s="5"/>
      <c r="BQ331" s="5"/>
      <c r="BR331" s="5"/>
      <c r="BT331" s="5"/>
      <c r="BU331" s="5"/>
      <c r="BV331" s="5"/>
      <c r="BX331" s="5"/>
      <c r="BY331" s="5"/>
      <c r="CA331" s="13"/>
      <c r="CB331" s="7"/>
      <c r="CC331" s="11"/>
      <c r="CE331" s="13"/>
      <c r="CF331" s="5"/>
      <c r="CG331" s="12"/>
      <c r="CI331" s="13"/>
      <c r="CJ331" s="5"/>
      <c r="CK331" s="12"/>
      <c r="CM331" s="13"/>
      <c r="CN331" s="5"/>
      <c r="CO331" s="12"/>
      <c r="CQ331" s="13"/>
      <c r="CR331" s="5"/>
      <c r="CS331" s="12"/>
      <c r="CU331" s="13"/>
      <c r="CV331" s="5"/>
      <c r="CW331" s="12"/>
      <c r="CY331" s="13"/>
      <c r="CZ331" s="5"/>
      <c r="DA331" s="12"/>
      <c r="DC331" s="13"/>
      <c r="DD331" s="5"/>
      <c r="DE331" s="12"/>
      <c r="DG331" s="13"/>
      <c r="DH331" s="5"/>
      <c r="DI331" s="12"/>
      <c r="DK331" s="13"/>
      <c r="DL331" s="5"/>
      <c r="DM331" s="12"/>
      <c r="DO331" s="13"/>
      <c r="DP331" s="5"/>
      <c r="DQ331" s="12"/>
      <c r="DS331" s="5"/>
      <c r="DV331" s="5"/>
      <c r="DW331" s="660">
        <f t="shared" si="2"/>
        <v>0</v>
      </c>
    </row>
    <row r="332" spans="1:128" s="6" customFormat="1" ht="15" customHeight="1">
      <c r="A332" s="3"/>
      <c r="B332" s="210" t="s">
        <v>1476</v>
      </c>
      <c r="C332" s="473" t="s">
        <v>515</v>
      </c>
      <c r="D332" s="4"/>
      <c r="E332" s="5"/>
      <c r="F332" s="5"/>
      <c r="G332" s="4"/>
      <c r="H332" s="4"/>
      <c r="I332" s="4"/>
      <c r="J332" s="4"/>
      <c r="K332" s="5"/>
      <c r="L332" s="5"/>
      <c r="M332" s="5"/>
      <c r="O332" s="5"/>
      <c r="P332" s="5"/>
      <c r="Q332" s="5"/>
      <c r="S332" s="5"/>
      <c r="T332" s="5"/>
      <c r="U332" s="5"/>
      <c r="W332" s="5"/>
      <c r="X332" s="5"/>
      <c r="Y332" s="12"/>
      <c r="AA332" s="13"/>
      <c r="AB332" s="12"/>
      <c r="AD332" s="13"/>
      <c r="AE332" s="5"/>
      <c r="AF332" s="5"/>
      <c r="AH332" s="13"/>
      <c r="AI332" s="5"/>
      <c r="AK332" s="5"/>
      <c r="AL332" s="5"/>
      <c r="AM332" s="5"/>
      <c r="AO332" s="5"/>
      <c r="AP332" s="5"/>
      <c r="AR332" s="5"/>
      <c r="AS332" s="5"/>
      <c r="AT332" s="5"/>
      <c r="AV332" s="5"/>
      <c r="AW332" s="5"/>
      <c r="AY332" s="5"/>
      <c r="AZ332" s="5"/>
      <c r="BA332" s="5"/>
      <c r="BC332" s="5"/>
      <c r="BD332" s="5"/>
      <c r="BF332" s="5"/>
      <c r="BG332" s="5"/>
      <c r="BH332" s="5"/>
      <c r="BJ332" s="5"/>
      <c r="BK332" s="5"/>
      <c r="BL332" s="12"/>
      <c r="BM332" s="5"/>
      <c r="BN332" s="5"/>
      <c r="BO332" s="5"/>
      <c r="BQ332" s="5"/>
      <c r="BR332" s="5"/>
      <c r="BT332" s="5"/>
      <c r="BU332" s="5"/>
      <c r="BV332" s="5"/>
      <c r="BX332" s="5"/>
      <c r="BY332" s="5"/>
      <c r="CA332" s="13"/>
      <c r="CB332" s="7"/>
      <c r="CC332" s="11"/>
      <c r="CE332" s="13"/>
      <c r="CF332" s="5"/>
      <c r="CG332" s="12"/>
      <c r="CI332" s="13"/>
      <c r="CJ332" s="5"/>
      <c r="CK332" s="12"/>
      <c r="CM332" s="13"/>
      <c r="CN332" s="5"/>
      <c r="CO332" s="12"/>
      <c r="CQ332" s="13"/>
      <c r="CR332" s="5"/>
      <c r="CS332" s="12"/>
      <c r="CU332" s="13"/>
      <c r="CV332" s="5"/>
      <c r="CW332" s="12"/>
      <c r="CY332" s="13"/>
      <c r="CZ332" s="5"/>
      <c r="DA332" s="12"/>
      <c r="DC332" s="13"/>
      <c r="DD332" s="5"/>
      <c r="DE332" s="12"/>
      <c r="DG332" s="13"/>
      <c r="DH332" s="5"/>
      <c r="DI332" s="12"/>
      <c r="DK332" s="13"/>
      <c r="DL332" s="5"/>
      <c r="DM332" s="12"/>
      <c r="DO332" s="13"/>
      <c r="DP332" s="5"/>
      <c r="DQ332" s="12"/>
      <c r="DS332" s="5"/>
      <c r="DV332" s="5"/>
      <c r="DW332" s="660">
        <f t="shared" si="2"/>
        <v>0</v>
      </c>
    </row>
    <row r="333" spans="1:128" s="6" customFormat="1" ht="15" customHeight="1">
      <c r="A333" s="3"/>
      <c r="B333" s="210" t="s">
        <v>1477</v>
      </c>
      <c r="C333" s="473" t="s">
        <v>515</v>
      </c>
      <c r="D333" s="4"/>
      <c r="E333" s="5"/>
      <c r="F333" s="5"/>
      <c r="G333" s="4"/>
      <c r="H333" s="4"/>
      <c r="I333" s="4"/>
      <c r="J333" s="4"/>
      <c r="K333" s="5"/>
      <c r="L333" s="5"/>
      <c r="M333" s="5"/>
      <c r="O333" s="5"/>
      <c r="P333" s="5"/>
      <c r="Q333" s="5"/>
      <c r="S333" s="5"/>
      <c r="T333" s="5"/>
      <c r="U333" s="5"/>
      <c r="W333" s="5"/>
      <c r="X333" s="5"/>
      <c r="Y333" s="12"/>
      <c r="AA333" s="13"/>
      <c r="AB333" s="12"/>
      <c r="AD333" s="13"/>
      <c r="AE333" s="5"/>
      <c r="AF333" s="5"/>
      <c r="AH333" s="13"/>
      <c r="AI333" s="5"/>
      <c r="AK333" s="5"/>
      <c r="AL333" s="5"/>
      <c r="AM333" s="5"/>
      <c r="AO333" s="5"/>
      <c r="AP333" s="5"/>
      <c r="AR333" s="5"/>
      <c r="AS333" s="5"/>
      <c r="AT333" s="5"/>
      <c r="AV333" s="5"/>
      <c r="AW333" s="5"/>
      <c r="AY333" s="5"/>
      <c r="AZ333" s="5"/>
      <c r="BA333" s="5"/>
      <c r="BC333" s="5"/>
      <c r="BD333" s="5"/>
      <c r="BF333" s="5"/>
      <c r="BG333" s="5"/>
      <c r="BH333" s="5"/>
      <c r="BJ333" s="5"/>
      <c r="BK333" s="5"/>
      <c r="BL333" s="12"/>
      <c r="BM333" s="5"/>
      <c r="BN333" s="5"/>
      <c r="BO333" s="5"/>
      <c r="BQ333" s="5"/>
      <c r="BR333" s="5"/>
      <c r="BT333" s="5"/>
      <c r="BU333" s="5"/>
      <c r="BV333" s="5"/>
      <c r="BX333" s="5"/>
      <c r="BY333" s="5"/>
      <c r="CA333" s="13"/>
      <c r="CB333" s="7"/>
      <c r="CC333" s="11"/>
      <c r="CE333" s="13"/>
      <c r="CF333" s="5"/>
      <c r="CG333" s="12"/>
      <c r="CI333" s="13"/>
      <c r="CJ333" s="5"/>
      <c r="CK333" s="12"/>
      <c r="CM333" s="13"/>
      <c r="CN333" s="5"/>
      <c r="CO333" s="12"/>
      <c r="CQ333" s="13"/>
      <c r="CR333" s="5"/>
      <c r="CS333" s="12"/>
      <c r="CU333" s="13"/>
      <c r="CV333" s="5"/>
      <c r="CW333" s="12"/>
      <c r="CY333" s="13"/>
      <c r="CZ333" s="5"/>
      <c r="DA333" s="12"/>
      <c r="DC333" s="13"/>
      <c r="DD333" s="5"/>
      <c r="DE333" s="12"/>
      <c r="DG333" s="13"/>
      <c r="DH333" s="5"/>
      <c r="DI333" s="12"/>
      <c r="DK333" s="13"/>
      <c r="DL333" s="5"/>
      <c r="DM333" s="12"/>
      <c r="DO333" s="13"/>
      <c r="DP333" s="5"/>
      <c r="DQ333" s="12"/>
      <c r="DS333" s="5"/>
      <c r="DV333" s="5"/>
      <c r="DW333" s="660">
        <f t="shared" si="2"/>
        <v>0</v>
      </c>
    </row>
    <row r="334" spans="1:128" s="6" customFormat="1" ht="15" customHeight="1">
      <c r="A334" s="3">
        <v>145</v>
      </c>
      <c r="B334" s="210" t="s">
        <v>162</v>
      </c>
      <c r="C334" s="473" t="s">
        <v>515</v>
      </c>
      <c r="D334" s="4"/>
      <c r="E334" s="5"/>
      <c r="F334" s="5"/>
      <c r="G334" s="4"/>
      <c r="H334" s="4"/>
      <c r="I334" s="4"/>
      <c r="J334" s="4"/>
      <c r="K334" s="5"/>
      <c r="L334" s="5"/>
      <c r="M334" s="5"/>
      <c r="O334" s="5"/>
      <c r="P334" s="5"/>
      <c r="Q334" s="5"/>
      <c r="S334" s="5"/>
      <c r="T334" s="5"/>
      <c r="U334" s="5"/>
      <c r="W334" s="5"/>
      <c r="X334" s="5"/>
      <c r="Y334" s="12"/>
      <c r="AA334" s="13"/>
      <c r="AB334" s="12"/>
      <c r="AD334" s="13"/>
      <c r="AE334" s="5"/>
      <c r="AF334" s="5"/>
      <c r="AH334" s="13"/>
      <c r="AI334" s="5"/>
      <c r="AK334" s="5"/>
      <c r="AL334" s="5"/>
      <c r="AM334" s="5"/>
      <c r="AO334" s="5"/>
      <c r="AP334" s="5"/>
      <c r="AR334" s="5"/>
      <c r="AS334" s="5"/>
      <c r="AT334" s="5"/>
      <c r="AV334" s="5"/>
      <c r="AW334" s="5"/>
      <c r="AY334" s="5"/>
      <c r="AZ334" s="5"/>
      <c r="BA334" s="5"/>
      <c r="BC334" s="5"/>
      <c r="BD334" s="5"/>
      <c r="BF334" s="5"/>
      <c r="BG334" s="5"/>
      <c r="BH334" s="5"/>
      <c r="BJ334" s="5"/>
      <c r="BK334" s="5"/>
      <c r="BL334" s="12"/>
      <c r="BM334" s="5"/>
      <c r="BN334" s="5"/>
      <c r="BO334" s="5"/>
      <c r="BQ334" s="5"/>
      <c r="BR334" s="5"/>
      <c r="BT334" s="5"/>
      <c r="BU334" s="5"/>
      <c r="BV334" s="5"/>
      <c r="BX334" s="5"/>
      <c r="BY334" s="5"/>
      <c r="CA334" s="13"/>
      <c r="CB334" s="7"/>
      <c r="CC334" s="11"/>
      <c r="CE334" s="13">
        <v>1</v>
      </c>
      <c r="CF334" s="5">
        <f>SUM(CF5:CG26)*CE334</f>
        <v>0</v>
      </c>
      <c r="CG334" s="12"/>
      <c r="CI334" s="13">
        <v>1</v>
      </c>
      <c r="CJ334" s="5">
        <f>SUM(CJ5:CK26)*CI334</f>
        <v>0</v>
      </c>
      <c r="CK334" s="12"/>
      <c r="CM334" s="13">
        <v>1</v>
      </c>
      <c r="CN334" s="5">
        <f>SUM(CN5:CO26)*CM334</f>
        <v>0</v>
      </c>
      <c r="CO334" s="12"/>
      <c r="CQ334" s="13">
        <v>1</v>
      </c>
      <c r="CR334" s="5">
        <f>SUM(CR5:CS26)*CQ334</f>
        <v>0</v>
      </c>
      <c r="CS334" s="12"/>
      <c r="CU334" s="13">
        <v>1</v>
      </c>
      <c r="CV334" s="5">
        <f>SUM(CV5:CW26)*CU334</f>
        <v>0</v>
      </c>
      <c r="CW334" s="12"/>
      <c r="CY334" s="13">
        <v>1</v>
      </c>
      <c r="CZ334" s="5">
        <f>SUM(CZ5:DA26)*CY334</f>
        <v>0</v>
      </c>
      <c r="DA334" s="12"/>
      <c r="DC334" s="13">
        <v>1</v>
      </c>
      <c r="DD334" s="5">
        <f>SUM(DD5:DE26)*DC334</f>
        <v>0</v>
      </c>
      <c r="DE334" s="12"/>
      <c r="DG334" s="13">
        <v>1</v>
      </c>
      <c r="DH334" s="5">
        <f>SUM(DH5:DI26)*DG334</f>
        <v>0</v>
      </c>
      <c r="DI334" s="12"/>
      <c r="DK334" s="13">
        <v>1</v>
      </c>
      <c r="DL334" s="5">
        <f>SUM(DL5:DM26)*DK334</f>
        <v>0</v>
      </c>
      <c r="DM334" s="12"/>
      <c r="DO334" s="13">
        <v>1</v>
      </c>
      <c r="DP334" s="5">
        <f>SUM(DP5:DQ26)*DO334</f>
        <v>0</v>
      </c>
      <c r="DQ334" s="12"/>
      <c r="DS334" s="5"/>
      <c r="DV334" s="5"/>
      <c r="DW334" s="660">
        <f t="shared" si="2"/>
        <v>0</v>
      </c>
      <c r="DX334" s="142">
        <v>13</v>
      </c>
    </row>
    <row r="335" spans="1:128" s="6" customFormat="1" ht="15" customHeight="1">
      <c r="A335" s="3">
        <v>146</v>
      </c>
      <c r="B335" s="210" t="s">
        <v>69</v>
      </c>
      <c r="C335" s="473" t="s">
        <v>515</v>
      </c>
      <c r="D335" s="4"/>
      <c r="E335" s="5"/>
      <c r="F335" s="5"/>
      <c r="G335" s="4"/>
      <c r="H335" s="4"/>
      <c r="I335" s="4"/>
      <c r="J335" s="4"/>
      <c r="K335" s="5"/>
      <c r="L335" s="5"/>
      <c r="M335" s="5"/>
      <c r="O335" s="5"/>
      <c r="P335" s="5"/>
      <c r="Q335" s="5"/>
      <c r="S335" s="5"/>
      <c r="T335" s="5"/>
      <c r="U335" s="5"/>
      <c r="W335" s="5"/>
      <c r="X335" s="5"/>
      <c r="Y335" s="12"/>
      <c r="AA335" s="13"/>
      <c r="AB335" s="12"/>
      <c r="AD335" s="13"/>
      <c r="AE335" s="5"/>
      <c r="AF335" s="5"/>
      <c r="AH335" s="13"/>
      <c r="AI335" s="5"/>
      <c r="AK335" s="5"/>
      <c r="AL335" s="5"/>
      <c r="AM335" s="5"/>
      <c r="AO335" s="5"/>
      <c r="AP335" s="5"/>
      <c r="AR335" s="5"/>
      <c r="AS335" s="5"/>
      <c r="AT335" s="5"/>
      <c r="AV335" s="5"/>
      <c r="AW335" s="5"/>
      <c r="AY335" s="5"/>
      <c r="AZ335" s="5"/>
      <c r="BA335" s="5"/>
      <c r="BC335" s="5"/>
      <c r="BD335" s="5"/>
      <c r="BF335" s="5"/>
      <c r="BG335" s="5"/>
      <c r="BH335" s="5"/>
      <c r="BJ335" s="5"/>
      <c r="BK335" s="5"/>
      <c r="BL335" s="12"/>
      <c r="BM335" s="5"/>
      <c r="BN335" s="5"/>
      <c r="BO335" s="5"/>
      <c r="BQ335" s="5"/>
      <c r="BR335" s="5"/>
      <c r="BT335" s="5"/>
      <c r="BU335" s="5"/>
      <c r="BV335" s="5"/>
      <c r="BX335" s="5"/>
      <c r="BY335" s="5"/>
      <c r="CA335" s="13"/>
      <c r="CB335" s="7"/>
      <c r="CC335" s="11"/>
      <c r="CE335" s="13">
        <v>1</v>
      </c>
      <c r="CF335" s="5">
        <f>SUM(CF5:CG26)*CE335</f>
        <v>0</v>
      </c>
      <c r="CG335" s="12"/>
      <c r="CI335" s="13">
        <v>1</v>
      </c>
      <c r="CJ335" s="5">
        <f>SUM(CJ5:CK26)*CI335</f>
        <v>0</v>
      </c>
      <c r="CK335" s="12"/>
      <c r="CM335" s="13">
        <v>1</v>
      </c>
      <c r="CN335" s="5">
        <f>SUM(CN5:CO26)*CM335</f>
        <v>0</v>
      </c>
      <c r="CO335" s="12"/>
      <c r="CQ335" s="13">
        <v>1</v>
      </c>
      <c r="CR335" s="5">
        <f>SUM(CR5:CS26)*CQ335</f>
        <v>0</v>
      </c>
      <c r="CS335" s="12"/>
      <c r="CU335" s="13">
        <v>1</v>
      </c>
      <c r="CV335" s="5">
        <f>SUM(CV5:CW26)*CU335</f>
        <v>0</v>
      </c>
      <c r="CW335" s="12"/>
      <c r="CY335" s="13">
        <v>1</v>
      </c>
      <c r="CZ335" s="5">
        <f>SUM(CZ5:DA26)*CY335</f>
        <v>0</v>
      </c>
      <c r="DA335" s="12"/>
      <c r="DC335" s="13">
        <v>1</v>
      </c>
      <c r="DD335" s="5">
        <f>SUM(DD5:DE26)*DC335</f>
        <v>0</v>
      </c>
      <c r="DE335" s="12"/>
      <c r="DG335" s="13">
        <v>1</v>
      </c>
      <c r="DH335" s="5">
        <f>SUM(DH5:DI26)*DG335</f>
        <v>0</v>
      </c>
      <c r="DI335" s="12"/>
      <c r="DK335" s="13">
        <v>1</v>
      </c>
      <c r="DL335" s="5">
        <f>SUM(DL5:DM26)*DK335</f>
        <v>0</v>
      </c>
      <c r="DM335" s="12"/>
      <c r="DO335" s="13">
        <v>1</v>
      </c>
      <c r="DP335" s="5">
        <f>SUM(DP5:DQ26)*DO335</f>
        <v>0</v>
      </c>
      <c r="DQ335" s="12"/>
      <c r="DS335" s="5"/>
      <c r="DV335" s="5"/>
      <c r="DW335" s="660">
        <f t="shared" si="2"/>
        <v>0</v>
      </c>
      <c r="DX335" s="116">
        <v>34</v>
      </c>
    </row>
    <row r="336" spans="1:128" s="6" customFormat="1" ht="15" customHeight="1">
      <c r="A336" s="3">
        <v>147</v>
      </c>
      <c r="B336" s="210" t="s">
        <v>556</v>
      </c>
      <c r="C336" s="473" t="s">
        <v>515</v>
      </c>
      <c r="D336" s="4"/>
      <c r="E336" s="5"/>
      <c r="F336" s="5"/>
      <c r="G336" s="4"/>
      <c r="H336" s="4"/>
      <c r="I336" s="4"/>
      <c r="J336" s="4"/>
      <c r="K336" s="5">
        <v>1</v>
      </c>
      <c r="L336" s="5">
        <f>L16*K336+M16*K336+L17*K336+M17*K336+L18*K336+M18*K336+L19*K336+M19*K336+L20*K336+M20*K336+L21*K336+M21*K336+L22*K336+M22*K336+L23*K336+M23*K336+L24*K336+M24*K336+L25*K336+M25*K336+L26*K336+M26*K336</f>
        <v>0</v>
      </c>
      <c r="M336" s="5"/>
      <c r="O336" s="5">
        <v>1</v>
      </c>
      <c r="P336" s="5">
        <f>P16*O336+Q16*O336+P17*O336+Q17*O336+P18*O336+Q18*O336+P19*O336+Q19*O336+P20*O336+Q20*O336+P21*O336+Q21*O336+P22*O336+Q22*O336+P23*O336+Q23*O336+P24*O336+Q24*O336+P25*O336+Q25*O336+P26*O336+Q26*O336+P5*O336+Q5*O336+P6*O336+Q6*O336+P7*O336+Q7*O336+P8*O336+Q8*O336+P9*O336+Q9*O336+P10*O336+Q10*O336+P11*O336+Q11*O336+P12*O336+Q12*O336+P13*O336+Q13*O336+P14*O336+Q14*O336+P15*O336+Q15*O336</f>
        <v>0</v>
      </c>
      <c r="Q336" s="5"/>
      <c r="S336" s="5"/>
      <c r="T336" s="5"/>
      <c r="U336" s="5"/>
      <c r="W336" s="5">
        <v>1</v>
      </c>
      <c r="X336" s="5">
        <f>X16*W336+Y16*W336+X17*W336+Y17*W336+X18*W336+Y18*W336+X19*W336+Y19*W336+X20*W336+Y20*W336+X21*W336+Y21*W336+X22*W336+Y22*W336+X23*W336+Y23*W336+X24*W336+Y24*W336+X25*W336+Y25*W336+X26*W336+Y26*W336</f>
        <v>0</v>
      </c>
      <c r="Y336" s="12"/>
      <c r="AA336" s="13">
        <v>1</v>
      </c>
      <c r="AB336" s="12">
        <f>AB16*AA336+AC16*AA336+AB17*AA336+AC17*AA336+AB18*AA336+AC18*AA336+AB19*AA336+AC19*AA336+AB20*AA336+AC20*AA336+AB21*AA336+AC21*AA336+AB22*AA336+AC22*AA336+AB23*AA336+AC23*AA336+AB24*AA336+AC24*AA336+AB25*AA336+AC25*AA336+AB26*AA336+AC26*AA336</f>
        <v>0</v>
      </c>
      <c r="AD336" s="13"/>
      <c r="AE336" s="5"/>
      <c r="AF336" s="5"/>
      <c r="AH336" s="13"/>
      <c r="AI336" s="5"/>
      <c r="AK336" s="5"/>
      <c r="AL336" s="5"/>
      <c r="AM336" s="5"/>
      <c r="AO336" s="5"/>
      <c r="AP336" s="5"/>
      <c r="AR336" s="5"/>
      <c r="AS336" s="5"/>
      <c r="AT336" s="5"/>
      <c r="AV336" s="5"/>
      <c r="AW336" s="5"/>
      <c r="AY336" s="5"/>
      <c r="AZ336" s="5"/>
      <c r="BA336" s="5"/>
      <c r="BC336" s="5"/>
      <c r="BD336" s="5"/>
      <c r="BF336" s="5">
        <v>1</v>
      </c>
      <c r="BG336" s="5">
        <f>BG16*BF336+BH16*BF336+BG17*BF336+BH17*BF336+BG18*BF336+BH18*BF336+BG19*BF336+BH19*BF336+BG20*BF336+BH20*BF336+BG21*BF336+BH21*BF336+BG22*BF336+BH22*BF336+BG23*BF336+BH23*BF336+BG24*BF336+BH24*BF336+BG25*BF336+BH25*BF336+BG26*BF336+BH26*BF336</f>
        <v>0</v>
      </c>
      <c r="BH336" s="5"/>
      <c r="BJ336" s="5"/>
      <c r="BK336" s="5">
        <f>BK16*BJ336+BL16*BJ336+BK17*BJ336+BL17*BJ336+BK18*BJ336+BL18*BJ336+BK19*BJ336+BL19*BJ336+BK20*BJ336+BL20*BJ336+BK21*BJ336+BL21*BJ336+BK22*BJ336+BL22*BJ336+BK23*BJ336+BL23*BJ336+BK24*BJ336+BL24*BJ336+BK25*BJ336+BL25*BJ336+BK26*BJ336+BL26*BJ336</f>
        <v>0</v>
      </c>
      <c r="BL336" s="12"/>
      <c r="BM336" s="5"/>
      <c r="BN336" s="5">
        <f>BN16*BM336+BO16*BM336+BN17*BM336+BO17*BM336+BN18*BM336+BO18*BM336+BN19*BM336+BO19*BM336+BN20*BM336+BO20*BM336+BN21*BM336+BO21*BM336+BN22*BM336+BO22*BM336+BN23*BM336+BO23*BM336+BN24*BM336+BO24*BM336+BN25*BM336+BO25*BM336+BN26*BM336+BO26*BM336</f>
        <v>0</v>
      </c>
      <c r="BO336" s="5"/>
      <c r="BQ336" s="5"/>
      <c r="BR336" s="5">
        <f>BR16*BQ336+BS16*BQ336+BR17*BQ336+BS17*BQ336+BR18*BQ336+BS18*BQ336+BR19*BQ336+BS19*BQ336+BR20*BQ336+BS20*BQ336+BR21*BQ336+BS21*BQ336+BR22*BQ336+BS22*BQ336+BR23*BQ336+BS23*BQ336+BR24*BQ336+BS24*BQ336+BR25*BQ336+BS25*BQ336+BR26*BQ336+BS26*BQ336</f>
        <v>0</v>
      </c>
      <c r="BT336" s="5"/>
      <c r="BU336" s="5">
        <f>BU16*BT336+BV16*BT336+BU17*BT336+BV17*BT336+BU18*BT336+BV18*BT336+BU19*BT336+BV19*BT336+BU20*BT336+BV20*BT336+BU21*BT336+BV21*BT336+BU22*BT336+BV22*BT336+BU23*BT336+BV23*BT336+BU24*BT336+BV24*BT336+BU25*BT336+BV25*BT336+BU26*BT336+BV26*BT336</f>
        <v>0</v>
      </c>
      <c r="BV336" s="5"/>
      <c r="BX336" s="5"/>
      <c r="BY336" s="5"/>
      <c r="CA336" s="13"/>
      <c r="CB336" s="7"/>
      <c r="CC336" s="5"/>
      <c r="CE336" s="13">
        <v>1</v>
      </c>
      <c r="CF336" s="5">
        <f>SUM(CF16:CF26,CG16:CG26)*CE336</f>
        <v>0</v>
      </c>
      <c r="CG336" s="12"/>
      <c r="CI336" s="13">
        <v>1</v>
      </c>
      <c r="CJ336" s="5">
        <f>SUM(CJ16:CJ26,CK16:CK26)*CI336</f>
        <v>0</v>
      </c>
      <c r="CK336" s="12"/>
      <c r="CM336" s="13">
        <v>1</v>
      </c>
      <c r="CN336" s="5">
        <f>SUM(CN16:CN26,CO16:CO26)*CM336</f>
        <v>0</v>
      </c>
      <c r="CO336" s="12"/>
      <c r="CQ336" s="13">
        <v>1</v>
      </c>
      <c r="CR336" s="5">
        <f>SUM(CR16:CR26,CS16:CS26)*CQ336</f>
        <v>0</v>
      </c>
      <c r="CS336" s="12"/>
      <c r="CU336" s="13">
        <v>1</v>
      </c>
      <c r="CV336" s="5">
        <f>SUM(CV16:CV26,CW16:CW26)*CU336</f>
        <v>0</v>
      </c>
      <c r="CW336" s="12"/>
      <c r="CY336" s="13"/>
      <c r="CZ336" s="5"/>
      <c r="DA336" s="12"/>
      <c r="DC336" s="13"/>
      <c r="DD336" s="5"/>
      <c r="DE336" s="12"/>
      <c r="DG336" s="13"/>
      <c r="DH336" s="5"/>
      <c r="DI336" s="12"/>
      <c r="DK336" s="13"/>
      <c r="DL336" s="5"/>
      <c r="DM336" s="12"/>
      <c r="DO336" s="13"/>
      <c r="DP336" s="5"/>
      <c r="DQ336" s="12"/>
      <c r="DS336" s="5"/>
      <c r="DV336" s="5"/>
      <c r="DW336" s="660">
        <f t="shared" si="2"/>
        <v>0</v>
      </c>
    </row>
    <row r="337" spans="1:127" s="6" customFormat="1" ht="15" customHeight="1">
      <c r="A337" s="3">
        <v>148</v>
      </c>
      <c r="B337" s="210" t="s">
        <v>148</v>
      </c>
      <c r="C337" s="473" t="s">
        <v>515</v>
      </c>
      <c r="D337" s="4"/>
      <c r="E337" s="5"/>
      <c r="F337" s="5"/>
      <c r="G337" s="4"/>
      <c r="H337" s="4"/>
      <c r="I337" s="4"/>
      <c r="J337" s="4"/>
      <c r="K337" s="5"/>
      <c r="L337" s="5"/>
      <c r="M337" s="5"/>
      <c r="O337" s="5"/>
      <c r="P337" s="5"/>
      <c r="Q337" s="5"/>
      <c r="S337" s="5"/>
      <c r="T337" s="5"/>
      <c r="U337" s="5"/>
      <c r="W337" s="5"/>
      <c r="X337" s="5"/>
      <c r="Y337" s="12"/>
      <c r="AA337" s="13"/>
      <c r="AB337" s="12"/>
      <c r="AD337" s="13"/>
      <c r="AE337" s="5"/>
      <c r="AF337" s="5"/>
      <c r="AH337" s="13"/>
      <c r="AI337" s="5"/>
      <c r="AK337" s="5"/>
      <c r="AL337" s="5"/>
      <c r="AM337" s="5"/>
      <c r="AO337" s="5"/>
      <c r="AP337" s="5"/>
      <c r="AR337" s="5"/>
      <c r="AS337" s="5"/>
      <c r="AT337" s="5"/>
      <c r="AV337" s="5"/>
      <c r="AW337" s="5"/>
      <c r="AY337" s="5"/>
      <c r="AZ337" s="5"/>
      <c r="BA337" s="5"/>
      <c r="BC337" s="5"/>
      <c r="BD337" s="5"/>
      <c r="BF337" s="5"/>
      <c r="BG337" s="5"/>
      <c r="BH337" s="5"/>
      <c r="BJ337" s="5"/>
      <c r="BK337" s="5"/>
      <c r="BL337" s="12"/>
      <c r="BM337" s="5"/>
      <c r="BN337" s="5"/>
      <c r="BO337" s="5"/>
      <c r="BQ337" s="5"/>
      <c r="BR337" s="5"/>
      <c r="BT337" s="5"/>
      <c r="BU337" s="5"/>
      <c r="BV337" s="5"/>
      <c r="BX337" s="5"/>
      <c r="BY337" s="5"/>
      <c r="CA337" s="13">
        <v>1</v>
      </c>
      <c r="CB337" s="5">
        <f>CB16*CA337+CC16*CA337+CB17*CA337+CC17*CA337+CB18*CA337+CC18*CA337+CB19*CA337+CC19*CA337+CB20*CA337+CC20*CA337+CB21*CA337+CC21*CA337+CB22*CA337+CC22*CA337+CB23*CA337+CC23*CA337+CB24*CA337+CC24*CA337+CB25*CA337+CC25*CA337+CB26*CA337+CC26*CA337</f>
        <v>0</v>
      </c>
      <c r="CC337" s="5"/>
      <c r="CE337" s="13"/>
      <c r="CF337" s="5"/>
      <c r="CG337" s="12"/>
      <c r="CI337" s="13"/>
      <c r="CJ337" s="5"/>
      <c r="CK337" s="12"/>
      <c r="CM337" s="13"/>
      <c r="CN337" s="5"/>
      <c r="CO337" s="12"/>
      <c r="CQ337" s="13"/>
      <c r="CR337" s="5"/>
      <c r="CS337" s="12"/>
      <c r="CU337" s="13"/>
      <c r="CV337" s="5"/>
      <c r="CW337" s="12"/>
      <c r="CY337" s="13"/>
      <c r="CZ337" s="5"/>
      <c r="DA337" s="12"/>
      <c r="DC337" s="13"/>
      <c r="DD337" s="5"/>
      <c r="DE337" s="12"/>
      <c r="DG337" s="13"/>
      <c r="DH337" s="5"/>
      <c r="DI337" s="12"/>
      <c r="DK337" s="13"/>
      <c r="DL337" s="5"/>
      <c r="DM337" s="12"/>
      <c r="DO337" s="13"/>
      <c r="DP337" s="5"/>
      <c r="DQ337" s="12"/>
      <c r="DS337" s="5"/>
      <c r="DV337" s="5"/>
      <c r="DW337" s="660">
        <f t="shared" ref="DW337:DW400" si="3">IF(DX337=34,0,I337+L337+P337+T337+X337+AB337+AE337+AI337+F337+AL337+CR337+AP337+AS337+AW337+BD337+BG337+BK337+BN337+BR337+AZ337+M337+DL337+BU337+BY337+CB337+CF337+CJ337+CN337+CV337+CZ337+DD337+DH337+DP337+DT337+DU337)</f>
        <v>0</v>
      </c>
    </row>
    <row r="338" spans="1:127" s="6" customFormat="1" ht="15" customHeight="1">
      <c r="A338" s="3">
        <v>149</v>
      </c>
      <c r="B338" s="210" t="s">
        <v>555</v>
      </c>
      <c r="C338" s="473" t="s">
        <v>515</v>
      </c>
      <c r="D338" s="4"/>
      <c r="E338" s="5"/>
      <c r="F338" s="5"/>
      <c r="G338" s="4"/>
      <c r="H338" s="4"/>
      <c r="I338" s="4"/>
      <c r="J338" s="4"/>
      <c r="K338" s="5">
        <v>1</v>
      </c>
      <c r="L338" s="5">
        <f>L5*K338+M5*K338+L6*K338+M6*K338+L7*K338+M7*K338+L9*K338+M9*K338+L10*K338+M10*K338+L11*K338+M11*K338+L13*K338+M13*K338+L14*K338+M14*K338</f>
        <v>0</v>
      </c>
      <c r="M338" s="5"/>
      <c r="O338" s="5"/>
      <c r="P338" s="5"/>
      <c r="Q338" s="5"/>
      <c r="S338" s="5"/>
      <c r="T338" s="5"/>
      <c r="U338" s="5"/>
      <c r="W338" s="5">
        <v>1</v>
      </c>
      <c r="X338" s="5">
        <f>X5*W338+Y5*W338+X6*W338+Y6*W338+X7*W338+Y7*W338+X9*W338+Y9*W338+X10*W338+Y10*W338+X11*W338+Y11*W338+X13*W338+Y13*W338+X14*W338+Y14*W338</f>
        <v>0</v>
      </c>
      <c r="Y338" s="12"/>
      <c r="AA338" s="13">
        <v>1</v>
      </c>
      <c r="AB338" s="12">
        <f>AB5*AA338+AC5*AA338+AB6*AA338+AC6*AA338+AB7*AA338+AC7*AA338+AB9*AA338+AC9*AA338+AB10*AA338+AC10*AA338+AB11*AA338+AC11*AA338+AB13*AA338+AC13*AA338+AB14*AA338+AC14*AA338</f>
        <v>0</v>
      </c>
      <c r="AD338" s="13"/>
      <c r="AE338" s="5"/>
      <c r="AF338" s="5"/>
      <c r="AH338" s="13"/>
      <c r="AI338" s="5"/>
      <c r="AK338" s="5"/>
      <c r="AL338" s="5"/>
      <c r="AM338" s="5"/>
      <c r="AO338" s="5"/>
      <c r="AP338" s="5"/>
      <c r="AR338" s="5"/>
      <c r="AS338" s="5"/>
      <c r="AT338" s="5"/>
      <c r="AV338" s="5"/>
      <c r="AW338" s="5"/>
      <c r="AY338" s="5"/>
      <c r="AZ338" s="5"/>
      <c r="BA338" s="5"/>
      <c r="BC338" s="5"/>
      <c r="BD338" s="5"/>
      <c r="BF338" s="5">
        <v>1</v>
      </c>
      <c r="BG338" s="5">
        <f>BG5*BF338+BH5*BF338+BG6*BF338+BH6*BF338+BG7*BF338+BH7*BF338+BG9*BF338+BH9*BF338+BG10*BF338+BH10*BF338+BG11*BF338+BH11*BF338+BG13*BF338+BH13*BF338+BG14*BF338+BH14*BF338</f>
        <v>0</v>
      </c>
      <c r="BH338" s="5"/>
      <c r="BJ338" s="5">
        <v>1</v>
      </c>
      <c r="BK338" s="5">
        <f>BK5*BJ338+BL5*BJ338+BK6*BJ338+BL6*BJ338+BK7*BJ338+BL7*BJ338+BK9*BJ338+BL9*BJ338+BK10*BJ338+BL10*BJ338+BK11*BJ338+BL11*BJ338+BK13*BJ338+BL13*BJ338+BK14*BJ338+BL14*BJ338</f>
        <v>0</v>
      </c>
      <c r="BL338" s="12"/>
      <c r="BM338" s="5"/>
      <c r="BN338" s="5"/>
      <c r="BO338" s="5"/>
      <c r="BQ338" s="5"/>
      <c r="BR338" s="5"/>
      <c r="BT338" s="5"/>
      <c r="BU338" s="5"/>
      <c r="BV338" s="5"/>
      <c r="BX338" s="5"/>
      <c r="BY338" s="5"/>
      <c r="CA338" s="13"/>
      <c r="CB338" s="7"/>
      <c r="CC338" s="11"/>
      <c r="CE338" s="5">
        <v>1</v>
      </c>
      <c r="CF338" s="5">
        <f>CF5*CE338+CG5*CE338+CF6*CE338+CG6*CE338+CF7*CE338+CG7*CE338+CF9*CE338+CG9*CE338+CF10*CE338+CG10*CE338+CF11*CE338+CG11*CE338+CF13*CE338+CG13*CE338+CF14*CE338+CG14*CE338</f>
        <v>0</v>
      </c>
      <c r="CG338" s="12"/>
      <c r="CI338" s="5">
        <v>1</v>
      </c>
      <c r="CJ338" s="5">
        <f>CJ5*CI338+CK5*CI338+CJ6*CI338+CK6*CI338+CJ7*CI338+CK7*CI338+CJ9*CI338+CK9*CI338+CJ10*CI338+CK10*CI338+CJ11*CI338+CK11*CI338+CJ13*CI338+CK13*CI338+CJ14*CI338+CK14*CI338</f>
        <v>0</v>
      </c>
      <c r="CK338" s="12"/>
      <c r="CM338" s="5">
        <v>1</v>
      </c>
      <c r="CN338" s="5">
        <f>CN5*CM338+CO5*CM338+CN6*CM338+CO6*CM338+CN7*CM338+CO7*CM338+CN9*CM338+CO9*CM338+CN10*CM338+CO10*CM338+CN11*CM338+CO11*CM338+CN13*CM338+CO13*CM338+CN14*CM338+CO14*CM338</f>
        <v>0</v>
      </c>
      <c r="CO338" s="12"/>
      <c r="CQ338" s="5">
        <v>1</v>
      </c>
      <c r="CR338" s="5">
        <f>CR5*CQ338+CS5*CQ338+CR6*CQ338+CS6*CQ338+CR7*CQ338+CS7*CQ338+CR9*CQ338+CS9*CQ338+CR10*CQ338+CS10*CQ338+CR11*CQ338+CS11*CQ338+CR13*CQ338+CS13*CQ338+CR14*CQ338+CS14*CQ338</f>
        <v>0</v>
      </c>
      <c r="CS338" s="12"/>
      <c r="CU338" s="5">
        <v>1</v>
      </c>
      <c r="CV338" s="5">
        <f>CV5*CU338+CW5*CU338+CV6*CU338+CW6*CU338+CV7*CU338+CW7*CU338+CV9*CU338+CW9*CU338+CV10*CU338+CW10*CU338+CV11*CU338+CW11*CU338+CV13*CU338+CW13*CU338+CV14*CU338+CW14*CU338</f>
        <v>0</v>
      </c>
      <c r="CW338" s="12"/>
      <c r="CY338" s="13"/>
      <c r="CZ338" s="5"/>
      <c r="DA338" s="12"/>
      <c r="DC338" s="13"/>
      <c r="DD338" s="5"/>
      <c r="DE338" s="12"/>
      <c r="DG338" s="13"/>
      <c r="DH338" s="5"/>
      <c r="DI338" s="12"/>
      <c r="DK338" s="13"/>
      <c r="DL338" s="5"/>
      <c r="DM338" s="12"/>
      <c r="DO338" s="13"/>
      <c r="DP338" s="5"/>
      <c r="DQ338" s="12"/>
      <c r="DS338" s="5"/>
      <c r="DV338" s="5"/>
      <c r="DW338" s="660">
        <f t="shared" si="3"/>
        <v>0</v>
      </c>
    </row>
    <row r="339" spans="1:127" s="6" customFormat="1" ht="15" customHeight="1">
      <c r="A339" s="3">
        <v>150</v>
      </c>
      <c r="B339" s="210" t="s">
        <v>133</v>
      </c>
      <c r="C339" s="473" t="s">
        <v>515</v>
      </c>
      <c r="D339" s="4"/>
      <c r="E339" s="5"/>
      <c r="F339" s="5"/>
      <c r="G339" s="4"/>
      <c r="H339" s="4"/>
      <c r="I339" s="4"/>
      <c r="J339" s="4"/>
      <c r="K339" s="5">
        <v>1</v>
      </c>
      <c r="L339" s="5">
        <f>L8*K339+M8*K339+L12*K339+M12*K339+L15*K339+M15*K339</f>
        <v>0</v>
      </c>
      <c r="M339" s="5"/>
      <c r="O339" s="5"/>
      <c r="P339" s="5"/>
      <c r="Q339" s="5"/>
      <c r="S339" s="5"/>
      <c r="T339" s="5"/>
      <c r="U339" s="5"/>
      <c r="W339" s="5">
        <v>1</v>
      </c>
      <c r="X339" s="5">
        <f>X8*W339+Y8*W339+X12*W339+Y12*W339+X15*W339+Y15*W339</f>
        <v>0</v>
      </c>
      <c r="Y339" s="12"/>
      <c r="AA339" s="13">
        <v>1</v>
      </c>
      <c r="AB339" s="12">
        <f>AB8*AA339+AC8*AA339+AB12*AA339+AC12*AA339+AB15*AA339+AC15*AA339</f>
        <v>0</v>
      </c>
      <c r="AD339" s="13"/>
      <c r="AE339" s="5"/>
      <c r="AF339" s="5"/>
      <c r="AH339" s="13"/>
      <c r="AI339" s="5"/>
      <c r="AK339" s="5"/>
      <c r="AL339" s="5"/>
      <c r="AM339" s="5"/>
      <c r="AO339" s="5"/>
      <c r="AP339" s="5"/>
      <c r="AR339" s="5"/>
      <c r="AS339" s="5"/>
      <c r="AT339" s="5"/>
      <c r="AV339" s="5"/>
      <c r="AW339" s="5"/>
      <c r="AY339" s="5"/>
      <c r="AZ339" s="5"/>
      <c r="BA339" s="5"/>
      <c r="BC339" s="5"/>
      <c r="BD339" s="5"/>
      <c r="BF339" s="5">
        <v>1</v>
      </c>
      <c r="BG339" s="5">
        <f>BG8*BF339+BH8*BF339+BG12*BF339+BH12*BF339+BG15*BF339+BH15*BF339</f>
        <v>0</v>
      </c>
      <c r="BH339" s="5"/>
      <c r="BJ339" s="5">
        <v>1</v>
      </c>
      <c r="BK339" s="5">
        <f>BK8*BJ339+BL8*BJ339+BK12*BJ339+BL12*BJ339+BK15*BJ339+BL15*BJ339</f>
        <v>0</v>
      </c>
      <c r="BL339" s="12"/>
      <c r="BM339" s="5"/>
      <c r="BN339" s="5"/>
      <c r="BO339" s="5"/>
      <c r="BQ339" s="5"/>
      <c r="BR339" s="5"/>
      <c r="BT339" s="5"/>
      <c r="BU339" s="5"/>
      <c r="BV339" s="5"/>
      <c r="BX339" s="5"/>
      <c r="BY339" s="5"/>
      <c r="CA339" s="13"/>
      <c r="CB339" s="7"/>
      <c r="CC339" s="11"/>
      <c r="CE339" s="5">
        <v>1</v>
      </c>
      <c r="CF339" s="5">
        <f>CF8*CE339+CG8*CE339+CF12*CE339+CG12*CE339+CF15*CE339+CG15*CE339</f>
        <v>0</v>
      </c>
      <c r="CG339" s="12"/>
      <c r="CI339" s="5">
        <v>1</v>
      </c>
      <c r="CJ339" s="5">
        <f>CJ8*CI339+CK8*CI339+CJ12*CI339+CK12*CI339+CJ15*CI339+CK15*CI339</f>
        <v>0</v>
      </c>
      <c r="CK339" s="12"/>
      <c r="CM339" s="5">
        <v>1</v>
      </c>
      <c r="CN339" s="5">
        <f>CN8*CM339+CO8*CM339+CN12*CM339+CO12*CM339+CN15*CM339+CO15*CM339</f>
        <v>0</v>
      </c>
      <c r="CO339" s="12"/>
      <c r="CQ339" s="5">
        <v>1</v>
      </c>
      <c r="CR339" s="5">
        <f>CR8*CQ339+CS8*CQ339+CR12*CQ339+CS12*CQ339+CR15*CQ339+CS15*CQ339</f>
        <v>0</v>
      </c>
      <c r="CS339" s="12"/>
      <c r="CU339" s="5">
        <v>1</v>
      </c>
      <c r="CV339" s="5">
        <f>CV8*CU339+CW8*CU339+CV12*CU339+CW12*CU339+CV15*CU339+CW15*CU339</f>
        <v>0</v>
      </c>
      <c r="CW339" s="12"/>
      <c r="CY339" s="13"/>
      <c r="CZ339" s="5"/>
      <c r="DA339" s="12"/>
      <c r="DC339" s="13"/>
      <c r="DD339" s="5"/>
      <c r="DE339" s="12"/>
      <c r="DG339" s="13"/>
      <c r="DH339" s="5"/>
      <c r="DI339" s="12"/>
      <c r="DK339" s="13"/>
      <c r="DL339" s="5"/>
      <c r="DM339" s="12"/>
      <c r="DO339" s="13"/>
      <c r="DP339" s="5"/>
      <c r="DQ339" s="12"/>
      <c r="DS339" s="5"/>
      <c r="DV339" s="5"/>
      <c r="DW339" s="660">
        <f t="shared" si="3"/>
        <v>0</v>
      </c>
    </row>
    <row r="340" spans="1:127" s="6" customFormat="1" ht="15" customHeight="1">
      <c r="A340" s="3">
        <v>151</v>
      </c>
      <c r="B340" s="210" t="s">
        <v>39</v>
      </c>
      <c r="C340" s="473" t="s">
        <v>515</v>
      </c>
      <c r="D340" s="4"/>
      <c r="E340" s="5"/>
      <c r="F340" s="5"/>
      <c r="G340" s="4"/>
      <c r="H340" s="4">
        <v>1</v>
      </c>
      <c r="I340" s="658">
        <f>SUM(I5:I26)*H340</f>
        <v>0</v>
      </c>
      <c r="J340" s="4"/>
      <c r="K340" s="5">
        <v>2</v>
      </c>
      <c r="L340" s="5">
        <f>SUM(L6:M6,L10:M10,L13:M13,L17:M17,L21:M21,L24:M24)*2</f>
        <v>0</v>
      </c>
      <c r="M340" s="5"/>
      <c r="O340" s="5">
        <v>2</v>
      </c>
      <c r="P340" s="5">
        <f>SUM(P6:Q6,P10:Q10,P13:Q13,P17:Q17,P21:Q21,P24:Q24)*2</f>
        <v>0</v>
      </c>
      <c r="Q340" s="5"/>
      <c r="S340" s="5">
        <v>2</v>
      </c>
      <c r="T340" s="5">
        <f>SUM(T6:U6,T10:U10,T13:U13,T17:U17,T21:U21,T24:U24)*2</f>
        <v>0</v>
      </c>
      <c r="U340" s="5"/>
      <c r="W340" s="5">
        <v>1</v>
      </c>
      <c r="X340" s="5"/>
      <c r="Y340" s="12"/>
      <c r="AA340" s="13">
        <v>1</v>
      </c>
      <c r="AB340" s="5"/>
      <c r="AD340" s="13"/>
      <c r="AE340" s="5"/>
      <c r="AF340" s="5"/>
      <c r="AH340" s="13"/>
      <c r="AI340" s="5"/>
      <c r="AK340" s="5"/>
      <c r="AL340" s="5"/>
      <c r="AM340" s="5"/>
      <c r="AO340" s="5"/>
      <c r="AP340" s="5"/>
      <c r="AR340" s="5">
        <v>2</v>
      </c>
      <c r="AS340" s="5">
        <f>SUM(AS6:AT6,AS10:AT10,AS13:AT13,AS17:AT17,AS21:AT21,AS24:AT24)*2</f>
        <v>0</v>
      </c>
      <c r="AT340" s="5"/>
      <c r="AV340" s="5">
        <v>2</v>
      </c>
      <c r="AW340" s="5">
        <f>SUM(AW6:AX6,AW10:AX10,AW13:AX13,AW17:AX17,AW21:AX21,AW24:AX24)*2</f>
        <v>0</v>
      </c>
      <c r="AY340" s="5">
        <v>2</v>
      </c>
      <c r="AZ340" s="5">
        <f>SUM(AZ6:BA6,AZ10:BA10,AZ13:BA13,AZ17:BA17,AZ21:BA21,AZ24:BA24)*2</f>
        <v>0</v>
      </c>
      <c r="BA340" s="5"/>
      <c r="BC340" s="5">
        <v>2</v>
      </c>
      <c r="BD340" s="5">
        <f>SUM(BD6:BE6,BD10:BE10,BD13:BE13,BD17:BE17,BD21:BE21,BD24:BE24)*2</f>
        <v>0</v>
      </c>
      <c r="BF340" s="5">
        <v>2</v>
      </c>
      <c r="BG340" s="5">
        <f>SUM(BG6:BH6,BG10:BH10,BG13:BH13,BG17:BH17,BG21:BH21,BG24:BH24)*2</f>
        <v>0</v>
      </c>
      <c r="BH340" s="5"/>
      <c r="BJ340" s="5">
        <v>2</v>
      </c>
      <c r="BK340" s="5">
        <f>SUM(BK6:BL6,BK10:BL10,BK13:BL13,BK17:BL17,BK21:BL21,BK24:BL24)*2</f>
        <v>0</v>
      </c>
      <c r="BL340" s="12"/>
      <c r="BM340" s="5">
        <v>2</v>
      </c>
      <c r="BN340" s="5">
        <f>SUM(BN6:BO6,BN10:BO10,BN13:BO13,BN17:BO17,BN21:BO21,BN24:BO24)*2</f>
        <v>0</v>
      </c>
      <c r="BO340" s="5"/>
      <c r="BQ340" s="5">
        <v>2</v>
      </c>
      <c r="BR340" s="5">
        <f>SUM(BR6:BS6,BR10:BS10,BR13:BS13,BR17:BS17,BR21:BS21,BR24:BS24)*2</f>
        <v>0</v>
      </c>
      <c r="BT340" s="5">
        <v>2</v>
      </c>
      <c r="BU340" s="5">
        <f>SUM(BU6:BV6,BU10:BV10,BU13:BV13,BU17:BV17,BU21:BV21,BU24:BV24)*2</f>
        <v>0</v>
      </c>
      <c r="BV340" s="5"/>
      <c r="BX340" s="5">
        <v>2</v>
      </c>
      <c r="BY340" s="5">
        <f>SUM(BY6:BZ6,BY10:BZ10,BY13:BZ13,BY17:BZ17,BY21:BZ21,BY24:BZ24)*2</f>
        <v>0</v>
      </c>
      <c r="CA340" s="13">
        <v>2</v>
      </c>
      <c r="CB340" s="5">
        <f>SUM(CB6:CC6,CB10:CC10,CB13:CC13,CB17:CC17,CB21:CC21,CB24:CC24)*2</f>
        <v>0</v>
      </c>
      <c r="CC340" s="11"/>
      <c r="CE340" s="13"/>
      <c r="CF340" s="5"/>
      <c r="CG340" s="12"/>
      <c r="CI340" s="13"/>
      <c r="CJ340" s="5"/>
      <c r="CK340" s="12"/>
      <c r="CM340" s="13"/>
      <c r="CN340" s="5"/>
      <c r="CO340" s="12"/>
      <c r="CQ340" s="13"/>
      <c r="CR340" s="5"/>
      <c r="CS340" s="12"/>
      <c r="CU340" s="13"/>
      <c r="CV340" s="5"/>
      <c r="CW340" s="12"/>
      <c r="CY340" s="13"/>
      <c r="CZ340" s="5"/>
      <c r="DA340" s="12"/>
      <c r="DC340" s="13"/>
      <c r="DD340" s="5"/>
      <c r="DE340" s="12"/>
      <c r="DG340" s="13"/>
      <c r="DH340" s="5"/>
      <c r="DI340" s="12"/>
      <c r="DK340" s="13"/>
      <c r="DL340" s="5"/>
      <c r="DM340" s="12"/>
      <c r="DO340" s="13"/>
      <c r="DP340" s="5"/>
      <c r="DQ340" s="12"/>
      <c r="DS340" s="5"/>
      <c r="DV340" s="5"/>
      <c r="DW340" s="660">
        <f t="shared" si="3"/>
        <v>0</v>
      </c>
    </row>
    <row r="341" spans="1:127" s="6" customFormat="1" ht="15" customHeight="1">
      <c r="A341" s="3">
        <v>152</v>
      </c>
      <c r="B341" s="210" t="s">
        <v>30</v>
      </c>
      <c r="C341" s="473" t="s">
        <v>515</v>
      </c>
      <c r="D341" s="4"/>
      <c r="E341" s="5"/>
      <c r="F341" s="5"/>
      <c r="G341" s="4"/>
      <c r="H341" s="4"/>
      <c r="I341" s="4"/>
      <c r="J341" s="4"/>
      <c r="K341" s="5">
        <v>1</v>
      </c>
      <c r="L341" s="5">
        <f t="shared" ref="L341:L351" si="4">L5+M5</f>
        <v>0</v>
      </c>
      <c r="M341" s="5"/>
      <c r="O341" s="5">
        <v>1</v>
      </c>
      <c r="P341" s="5">
        <f t="shared" ref="P341:P354" si="5">P5+Q5</f>
        <v>0</v>
      </c>
      <c r="Q341" s="5"/>
      <c r="S341" s="5">
        <v>1</v>
      </c>
      <c r="T341" s="5">
        <f t="shared" ref="T341:T351" si="6">T5+U5</f>
        <v>0</v>
      </c>
      <c r="U341" s="5"/>
      <c r="W341" s="5"/>
      <c r="X341" s="5"/>
      <c r="Y341" s="12"/>
      <c r="AA341" s="13"/>
      <c r="AB341" s="12"/>
      <c r="AD341" s="13"/>
      <c r="AE341" s="5"/>
      <c r="AF341" s="5"/>
      <c r="AH341" s="13"/>
      <c r="AI341" s="5"/>
      <c r="AK341" s="5"/>
      <c r="AL341" s="5"/>
      <c r="AM341" s="5"/>
      <c r="AO341" s="5"/>
      <c r="AP341" s="5"/>
      <c r="AR341" s="5">
        <v>1</v>
      </c>
      <c r="AS341" s="5">
        <f t="shared" ref="AS341:AS351" si="7">AS5+AT5</f>
        <v>0</v>
      </c>
      <c r="AT341" s="5"/>
      <c r="AV341" s="5">
        <v>1</v>
      </c>
      <c r="AW341" s="5">
        <f t="shared" ref="AW341:AW351" si="8">AW5+AX5</f>
        <v>0</v>
      </c>
      <c r="AY341" s="5">
        <v>1</v>
      </c>
      <c r="AZ341" s="5">
        <f t="shared" ref="AZ341:AZ351" si="9">AZ5+BA5</f>
        <v>0</v>
      </c>
      <c r="BA341" s="5"/>
      <c r="BC341" s="5">
        <v>1</v>
      </c>
      <c r="BD341" s="5">
        <f t="shared" ref="BD341:BD351" si="10">BD5+BE5</f>
        <v>0</v>
      </c>
      <c r="BF341" s="5">
        <v>1</v>
      </c>
      <c r="BG341" s="5">
        <f t="shared" ref="BG341:BG351" si="11">BG5+BH5</f>
        <v>0</v>
      </c>
      <c r="BH341" s="5"/>
      <c r="BJ341" s="5">
        <v>1</v>
      </c>
      <c r="BK341" s="5">
        <f t="shared" ref="BK341:BK351" si="12">BK5+BL5</f>
        <v>0</v>
      </c>
      <c r="BL341" s="12"/>
      <c r="BM341" s="5">
        <v>1</v>
      </c>
      <c r="BN341" s="5">
        <f t="shared" ref="BN341:BN351" si="13">BN5+BO5</f>
        <v>0</v>
      </c>
      <c r="BO341" s="5"/>
      <c r="BQ341" s="5">
        <v>1</v>
      </c>
      <c r="BR341" s="5">
        <f t="shared" ref="BR341:BR351" si="14">BR5+BS5</f>
        <v>0</v>
      </c>
      <c r="BT341" s="5">
        <v>1</v>
      </c>
      <c r="BU341" s="5">
        <f t="shared" ref="BU341:BU351" si="15">BU5+BV5</f>
        <v>0</v>
      </c>
      <c r="BV341" s="5"/>
      <c r="BX341" s="5">
        <v>1</v>
      </c>
      <c r="BY341" s="5">
        <f t="shared" ref="BY341:BY351" si="16">BY5+BZ5</f>
        <v>0</v>
      </c>
      <c r="CA341" s="13">
        <v>1</v>
      </c>
      <c r="CB341" s="5">
        <f t="shared" ref="CB341:CB351" si="17">CB5+CC5</f>
        <v>0</v>
      </c>
      <c r="CC341" s="11"/>
      <c r="CE341" s="13"/>
      <c r="CF341" s="5"/>
      <c r="CG341" s="12"/>
      <c r="CI341" s="13"/>
      <c r="CJ341" s="5"/>
      <c r="CK341" s="12"/>
      <c r="CM341" s="13"/>
      <c r="CN341" s="5"/>
      <c r="CO341" s="12"/>
      <c r="CQ341" s="13"/>
      <c r="CR341" s="5"/>
      <c r="CS341" s="12"/>
      <c r="CU341" s="13"/>
      <c r="CV341" s="5"/>
      <c r="CW341" s="12"/>
      <c r="CY341" s="13"/>
      <c r="CZ341" s="5"/>
      <c r="DA341" s="12"/>
      <c r="DC341" s="13"/>
      <c r="DD341" s="5"/>
      <c r="DE341" s="12"/>
      <c r="DG341" s="13"/>
      <c r="DH341" s="5"/>
      <c r="DI341" s="12"/>
      <c r="DK341" s="13"/>
      <c r="DL341" s="5"/>
      <c r="DM341" s="12"/>
      <c r="DO341" s="13"/>
      <c r="DP341" s="5"/>
      <c r="DQ341" s="12"/>
      <c r="DS341" s="5"/>
      <c r="DV341" s="5"/>
      <c r="DW341" s="660">
        <f t="shared" si="3"/>
        <v>0</v>
      </c>
    </row>
    <row r="342" spans="1:127" s="6" customFormat="1" ht="15" customHeight="1">
      <c r="A342" s="3">
        <v>153</v>
      </c>
      <c r="B342" s="210" t="s">
        <v>31</v>
      </c>
      <c r="C342" s="473" t="s">
        <v>515</v>
      </c>
      <c r="D342" s="4"/>
      <c r="E342" s="5"/>
      <c r="F342" s="5"/>
      <c r="G342" s="4"/>
      <c r="H342" s="4"/>
      <c r="I342" s="4"/>
      <c r="J342" s="4"/>
      <c r="K342" s="5">
        <v>1</v>
      </c>
      <c r="L342" s="5">
        <f t="shared" si="4"/>
        <v>0</v>
      </c>
      <c r="M342" s="5"/>
      <c r="O342" s="5">
        <v>1</v>
      </c>
      <c r="P342" s="5">
        <f t="shared" si="5"/>
        <v>0</v>
      </c>
      <c r="Q342" s="5"/>
      <c r="S342" s="5">
        <v>1</v>
      </c>
      <c r="T342" s="5">
        <f t="shared" si="6"/>
        <v>0</v>
      </c>
      <c r="U342" s="5"/>
      <c r="W342" s="5"/>
      <c r="X342" s="5"/>
      <c r="Y342" s="12"/>
      <c r="AA342" s="13"/>
      <c r="AB342" s="12"/>
      <c r="AD342" s="13"/>
      <c r="AE342" s="5"/>
      <c r="AF342" s="5"/>
      <c r="AH342" s="13"/>
      <c r="AI342" s="5"/>
      <c r="AK342" s="5"/>
      <c r="AL342" s="5"/>
      <c r="AM342" s="5"/>
      <c r="AO342" s="5"/>
      <c r="AP342" s="5"/>
      <c r="AR342" s="5">
        <v>1</v>
      </c>
      <c r="AS342" s="5">
        <f t="shared" si="7"/>
        <v>0</v>
      </c>
      <c r="AT342" s="5"/>
      <c r="AV342" s="5">
        <v>1</v>
      </c>
      <c r="AW342" s="5">
        <f t="shared" si="8"/>
        <v>0</v>
      </c>
      <c r="AY342" s="5">
        <v>1</v>
      </c>
      <c r="AZ342" s="5">
        <f t="shared" si="9"/>
        <v>0</v>
      </c>
      <c r="BA342" s="5"/>
      <c r="BC342" s="5">
        <v>1</v>
      </c>
      <c r="BD342" s="5">
        <f t="shared" si="10"/>
        <v>0</v>
      </c>
      <c r="BF342" s="5">
        <v>1</v>
      </c>
      <c r="BG342" s="5">
        <f t="shared" si="11"/>
        <v>0</v>
      </c>
      <c r="BH342" s="5"/>
      <c r="BJ342" s="5">
        <v>1</v>
      </c>
      <c r="BK342" s="5">
        <f t="shared" si="12"/>
        <v>0</v>
      </c>
      <c r="BL342" s="12"/>
      <c r="BM342" s="5">
        <v>1</v>
      </c>
      <c r="BN342" s="5">
        <f t="shared" si="13"/>
        <v>0</v>
      </c>
      <c r="BO342" s="5"/>
      <c r="BQ342" s="5">
        <v>1</v>
      </c>
      <c r="BR342" s="5">
        <f t="shared" si="14"/>
        <v>0</v>
      </c>
      <c r="BT342" s="5">
        <v>1</v>
      </c>
      <c r="BU342" s="5">
        <f t="shared" si="15"/>
        <v>0</v>
      </c>
      <c r="BV342" s="5"/>
      <c r="BX342" s="5">
        <v>1</v>
      </c>
      <c r="BY342" s="5">
        <f t="shared" si="16"/>
        <v>0</v>
      </c>
      <c r="CA342" s="13">
        <v>1</v>
      </c>
      <c r="CB342" s="5">
        <f t="shared" si="17"/>
        <v>0</v>
      </c>
      <c r="CC342" s="11"/>
      <c r="CE342" s="13"/>
      <c r="CF342" s="5"/>
      <c r="CG342" s="12"/>
      <c r="CI342" s="13"/>
      <c r="CJ342" s="5"/>
      <c r="CK342" s="12"/>
      <c r="CM342" s="13"/>
      <c r="CN342" s="5"/>
      <c r="CO342" s="12"/>
      <c r="CQ342" s="13"/>
      <c r="CR342" s="5"/>
      <c r="CS342" s="12"/>
      <c r="CU342" s="13"/>
      <c r="CV342" s="5"/>
      <c r="CW342" s="12"/>
      <c r="CY342" s="13"/>
      <c r="CZ342" s="5"/>
      <c r="DA342" s="12"/>
      <c r="DC342" s="13"/>
      <c r="DD342" s="5"/>
      <c r="DE342" s="12"/>
      <c r="DG342" s="13"/>
      <c r="DH342" s="5"/>
      <c r="DI342" s="12"/>
      <c r="DK342" s="13"/>
      <c r="DL342" s="5"/>
      <c r="DM342" s="12"/>
      <c r="DO342" s="13"/>
      <c r="DP342" s="5"/>
      <c r="DQ342" s="12"/>
      <c r="DS342" s="5"/>
      <c r="DV342" s="5"/>
      <c r="DW342" s="660">
        <f t="shared" si="3"/>
        <v>0</v>
      </c>
    </row>
    <row r="343" spans="1:127" s="6" customFormat="1" ht="15" customHeight="1">
      <c r="A343" s="3">
        <v>154</v>
      </c>
      <c r="B343" s="210" t="s">
        <v>41</v>
      </c>
      <c r="C343" s="473" t="s">
        <v>515</v>
      </c>
      <c r="D343" s="4"/>
      <c r="E343" s="5"/>
      <c r="F343" s="5"/>
      <c r="G343" s="4"/>
      <c r="H343" s="4"/>
      <c r="I343" s="4"/>
      <c r="J343" s="4"/>
      <c r="K343" s="5">
        <v>1</v>
      </c>
      <c r="L343" s="5">
        <f t="shared" si="4"/>
        <v>0</v>
      </c>
      <c r="M343" s="5"/>
      <c r="O343" s="5">
        <v>1</v>
      </c>
      <c r="P343" s="5">
        <f t="shared" si="5"/>
        <v>0</v>
      </c>
      <c r="Q343" s="5"/>
      <c r="S343" s="5">
        <v>1</v>
      </c>
      <c r="T343" s="5">
        <f t="shared" si="6"/>
        <v>0</v>
      </c>
      <c r="U343" s="5"/>
      <c r="W343" s="5"/>
      <c r="X343" s="5"/>
      <c r="Y343" s="12"/>
      <c r="AA343" s="13"/>
      <c r="AB343" s="12"/>
      <c r="AD343" s="13"/>
      <c r="AE343" s="5"/>
      <c r="AF343" s="5"/>
      <c r="AH343" s="13"/>
      <c r="AI343" s="5"/>
      <c r="AK343" s="5"/>
      <c r="AL343" s="5"/>
      <c r="AM343" s="5"/>
      <c r="AO343" s="5"/>
      <c r="AP343" s="5"/>
      <c r="AR343" s="5">
        <v>1</v>
      </c>
      <c r="AS343" s="5">
        <f t="shared" si="7"/>
        <v>0</v>
      </c>
      <c r="AT343" s="5"/>
      <c r="AV343" s="5">
        <v>1</v>
      </c>
      <c r="AW343" s="5">
        <f t="shared" si="8"/>
        <v>0</v>
      </c>
      <c r="AY343" s="5">
        <v>1</v>
      </c>
      <c r="AZ343" s="5">
        <f t="shared" si="9"/>
        <v>0</v>
      </c>
      <c r="BA343" s="5"/>
      <c r="BC343" s="5">
        <v>1</v>
      </c>
      <c r="BD343" s="5">
        <f t="shared" si="10"/>
        <v>0</v>
      </c>
      <c r="BF343" s="5">
        <v>1</v>
      </c>
      <c r="BG343" s="5">
        <f t="shared" si="11"/>
        <v>0</v>
      </c>
      <c r="BH343" s="5"/>
      <c r="BJ343" s="5">
        <v>1</v>
      </c>
      <c r="BK343" s="5">
        <f t="shared" si="12"/>
        <v>0</v>
      </c>
      <c r="BL343" s="12"/>
      <c r="BM343" s="5">
        <v>1</v>
      </c>
      <c r="BN343" s="5">
        <f t="shared" si="13"/>
        <v>0</v>
      </c>
      <c r="BO343" s="5"/>
      <c r="BQ343" s="5">
        <v>1</v>
      </c>
      <c r="BR343" s="5">
        <f t="shared" si="14"/>
        <v>0</v>
      </c>
      <c r="BT343" s="5">
        <v>1</v>
      </c>
      <c r="BU343" s="5">
        <f t="shared" si="15"/>
        <v>0</v>
      </c>
      <c r="BV343" s="5"/>
      <c r="BX343" s="5">
        <v>1</v>
      </c>
      <c r="BY343" s="5">
        <f t="shared" si="16"/>
        <v>0</v>
      </c>
      <c r="CA343" s="13">
        <v>1</v>
      </c>
      <c r="CB343" s="5">
        <f t="shared" si="17"/>
        <v>0</v>
      </c>
      <c r="CC343" s="11"/>
      <c r="CE343" s="13"/>
      <c r="CF343" s="5"/>
      <c r="CG343" s="12"/>
      <c r="CI343" s="13"/>
      <c r="CJ343" s="5"/>
      <c r="CK343" s="12"/>
      <c r="CM343" s="13"/>
      <c r="CN343" s="5"/>
      <c r="CO343" s="12"/>
      <c r="CQ343" s="13"/>
      <c r="CR343" s="5"/>
      <c r="CS343" s="12"/>
      <c r="CU343" s="13"/>
      <c r="CV343" s="5"/>
      <c r="CW343" s="12"/>
      <c r="CY343" s="13"/>
      <c r="CZ343" s="5"/>
      <c r="DA343" s="12"/>
      <c r="DC343" s="13"/>
      <c r="DD343" s="5"/>
      <c r="DE343" s="12"/>
      <c r="DG343" s="13"/>
      <c r="DH343" s="5"/>
      <c r="DI343" s="12"/>
      <c r="DK343" s="13"/>
      <c r="DL343" s="5"/>
      <c r="DM343" s="12"/>
      <c r="DO343" s="13"/>
      <c r="DP343" s="5"/>
      <c r="DQ343" s="12"/>
      <c r="DS343" s="5"/>
      <c r="DV343" s="5"/>
      <c r="DW343" s="660">
        <f t="shared" si="3"/>
        <v>0</v>
      </c>
    </row>
    <row r="344" spans="1:127" s="6" customFormat="1" ht="15" customHeight="1">
      <c r="A344" s="3">
        <v>155</v>
      </c>
      <c r="B344" s="210" t="s">
        <v>98</v>
      </c>
      <c r="C344" s="473" t="s">
        <v>515</v>
      </c>
      <c r="D344" s="4"/>
      <c r="E344" s="5"/>
      <c r="F344" s="5"/>
      <c r="G344" s="4"/>
      <c r="H344" s="4"/>
      <c r="I344" s="4"/>
      <c r="J344" s="4"/>
      <c r="K344" s="5">
        <v>1</v>
      </c>
      <c r="L344" s="5">
        <f t="shared" si="4"/>
        <v>0</v>
      </c>
      <c r="M344" s="5"/>
      <c r="O344" s="5">
        <v>1</v>
      </c>
      <c r="P344" s="5">
        <f t="shared" si="5"/>
        <v>0</v>
      </c>
      <c r="Q344" s="5"/>
      <c r="S344" s="5">
        <v>1</v>
      </c>
      <c r="T344" s="5">
        <f t="shared" si="6"/>
        <v>0</v>
      </c>
      <c r="U344" s="5"/>
      <c r="W344" s="5"/>
      <c r="X344" s="5"/>
      <c r="Y344" s="12"/>
      <c r="AA344" s="13"/>
      <c r="AB344" s="12"/>
      <c r="AD344" s="13"/>
      <c r="AE344" s="5"/>
      <c r="AF344" s="5"/>
      <c r="AH344" s="13"/>
      <c r="AI344" s="5"/>
      <c r="AK344" s="5"/>
      <c r="AL344" s="5"/>
      <c r="AM344" s="5"/>
      <c r="AO344" s="5"/>
      <c r="AP344" s="5"/>
      <c r="AR344" s="5">
        <v>1</v>
      </c>
      <c r="AS344" s="5">
        <f t="shared" si="7"/>
        <v>0</v>
      </c>
      <c r="AT344" s="5"/>
      <c r="AV344" s="5">
        <v>1</v>
      </c>
      <c r="AW344" s="5">
        <f t="shared" si="8"/>
        <v>0</v>
      </c>
      <c r="AY344" s="5">
        <v>1</v>
      </c>
      <c r="AZ344" s="5">
        <f t="shared" si="9"/>
        <v>0</v>
      </c>
      <c r="BA344" s="5"/>
      <c r="BC344" s="5">
        <v>1</v>
      </c>
      <c r="BD344" s="5">
        <f t="shared" si="10"/>
        <v>0</v>
      </c>
      <c r="BF344" s="5">
        <v>1</v>
      </c>
      <c r="BG344" s="5">
        <f t="shared" si="11"/>
        <v>0</v>
      </c>
      <c r="BH344" s="5"/>
      <c r="BJ344" s="5">
        <v>1</v>
      </c>
      <c r="BK344" s="5">
        <f t="shared" si="12"/>
        <v>0</v>
      </c>
      <c r="BL344" s="12"/>
      <c r="BM344" s="5">
        <v>1</v>
      </c>
      <c r="BN344" s="5">
        <f t="shared" si="13"/>
        <v>0</v>
      </c>
      <c r="BO344" s="5"/>
      <c r="BQ344" s="5">
        <v>1</v>
      </c>
      <c r="BR344" s="5">
        <f t="shared" si="14"/>
        <v>0</v>
      </c>
      <c r="BT344" s="5">
        <v>1</v>
      </c>
      <c r="BU344" s="5">
        <f t="shared" si="15"/>
        <v>0</v>
      </c>
      <c r="BV344" s="5"/>
      <c r="BX344" s="5">
        <v>1</v>
      </c>
      <c r="BY344" s="5">
        <f t="shared" si="16"/>
        <v>0</v>
      </c>
      <c r="CA344" s="13">
        <v>1</v>
      </c>
      <c r="CB344" s="5">
        <f t="shared" si="17"/>
        <v>0</v>
      </c>
      <c r="CC344" s="11"/>
      <c r="CE344" s="13"/>
      <c r="CF344" s="5"/>
      <c r="CG344" s="12"/>
      <c r="CI344" s="13"/>
      <c r="CJ344" s="5"/>
      <c r="CK344" s="12"/>
      <c r="CM344" s="13"/>
      <c r="CN344" s="5"/>
      <c r="CO344" s="12"/>
      <c r="CQ344" s="13"/>
      <c r="CR344" s="5"/>
      <c r="CS344" s="12"/>
      <c r="CU344" s="13"/>
      <c r="CV344" s="5"/>
      <c r="CW344" s="12"/>
      <c r="CY344" s="13"/>
      <c r="CZ344" s="5"/>
      <c r="DA344" s="12"/>
      <c r="DC344" s="13"/>
      <c r="DD344" s="5"/>
      <c r="DE344" s="12"/>
      <c r="DG344" s="13"/>
      <c r="DH344" s="5"/>
      <c r="DI344" s="12"/>
      <c r="DK344" s="13"/>
      <c r="DL344" s="5"/>
      <c r="DM344" s="12"/>
      <c r="DO344" s="13"/>
      <c r="DP344" s="5"/>
      <c r="DQ344" s="12"/>
      <c r="DS344" s="5"/>
      <c r="DV344" s="5"/>
      <c r="DW344" s="660">
        <f t="shared" si="3"/>
        <v>0</v>
      </c>
    </row>
    <row r="345" spans="1:127" s="6" customFormat="1" ht="15" customHeight="1">
      <c r="A345" s="3">
        <v>156</v>
      </c>
      <c r="B345" s="210" t="s">
        <v>99</v>
      </c>
      <c r="C345" s="473" t="s">
        <v>515</v>
      </c>
      <c r="D345" s="4"/>
      <c r="E345" s="5"/>
      <c r="F345" s="5"/>
      <c r="G345" s="4"/>
      <c r="H345" s="4"/>
      <c r="I345" s="4"/>
      <c r="J345" s="4"/>
      <c r="K345" s="5">
        <v>1</v>
      </c>
      <c r="L345" s="5">
        <f t="shared" si="4"/>
        <v>0</v>
      </c>
      <c r="M345" s="5"/>
      <c r="O345" s="5">
        <v>1</v>
      </c>
      <c r="P345" s="5">
        <f t="shared" si="5"/>
        <v>0</v>
      </c>
      <c r="Q345" s="5"/>
      <c r="S345" s="5">
        <v>1</v>
      </c>
      <c r="T345" s="5">
        <f t="shared" si="6"/>
        <v>0</v>
      </c>
      <c r="U345" s="5"/>
      <c r="W345" s="5"/>
      <c r="X345" s="5"/>
      <c r="Y345" s="12"/>
      <c r="AA345" s="13"/>
      <c r="AB345" s="12"/>
      <c r="AD345" s="13"/>
      <c r="AE345" s="5"/>
      <c r="AF345" s="5"/>
      <c r="AH345" s="13"/>
      <c r="AI345" s="5"/>
      <c r="AK345" s="5"/>
      <c r="AL345" s="5"/>
      <c r="AM345" s="5"/>
      <c r="AO345" s="5"/>
      <c r="AP345" s="5"/>
      <c r="AR345" s="5">
        <v>1</v>
      </c>
      <c r="AS345" s="5">
        <f t="shared" si="7"/>
        <v>0</v>
      </c>
      <c r="AT345" s="5"/>
      <c r="AV345" s="5">
        <v>1</v>
      </c>
      <c r="AW345" s="5">
        <f t="shared" si="8"/>
        <v>0</v>
      </c>
      <c r="AY345" s="5">
        <v>1</v>
      </c>
      <c r="AZ345" s="5">
        <f t="shared" si="9"/>
        <v>0</v>
      </c>
      <c r="BA345" s="5"/>
      <c r="BC345" s="5">
        <v>1</v>
      </c>
      <c r="BD345" s="5">
        <f t="shared" si="10"/>
        <v>0</v>
      </c>
      <c r="BF345" s="5">
        <v>1</v>
      </c>
      <c r="BG345" s="5">
        <f t="shared" si="11"/>
        <v>0</v>
      </c>
      <c r="BH345" s="5"/>
      <c r="BJ345" s="5">
        <v>1</v>
      </c>
      <c r="BK345" s="5">
        <f t="shared" si="12"/>
        <v>0</v>
      </c>
      <c r="BL345" s="12"/>
      <c r="BM345" s="5">
        <v>1</v>
      </c>
      <c r="BN345" s="5">
        <f t="shared" si="13"/>
        <v>0</v>
      </c>
      <c r="BO345" s="5"/>
      <c r="BQ345" s="5">
        <v>1</v>
      </c>
      <c r="BR345" s="5">
        <f t="shared" si="14"/>
        <v>0</v>
      </c>
      <c r="BT345" s="5">
        <v>1</v>
      </c>
      <c r="BU345" s="5">
        <f t="shared" si="15"/>
        <v>0</v>
      </c>
      <c r="BV345" s="5"/>
      <c r="BX345" s="5">
        <v>1</v>
      </c>
      <c r="BY345" s="5">
        <f t="shared" si="16"/>
        <v>0</v>
      </c>
      <c r="CA345" s="13">
        <v>1</v>
      </c>
      <c r="CB345" s="5">
        <f t="shared" si="17"/>
        <v>0</v>
      </c>
      <c r="CC345" s="11"/>
      <c r="CE345" s="13"/>
      <c r="CF345" s="5"/>
      <c r="CG345" s="12"/>
      <c r="CI345" s="13"/>
      <c r="CJ345" s="5"/>
      <c r="CK345" s="12"/>
      <c r="CM345" s="13"/>
      <c r="CN345" s="5"/>
      <c r="CO345" s="12"/>
      <c r="CQ345" s="13"/>
      <c r="CR345" s="5"/>
      <c r="CS345" s="12"/>
      <c r="CU345" s="13"/>
      <c r="CV345" s="5"/>
      <c r="CW345" s="12"/>
      <c r="CY345" s="13"/>
      <c r="CZ345" s="5"/>
      <c r="DA345" s="12"/>
      <c r="DC345" s="13"/>
      <c r="DD345" s="5"/>
      <c r="DE345" s="12"/>
      <c r="DG345" s="13"/>
      <c r="DH345" s="5"/>
      <c r="DI345" s="12"/>
      <c r="DK345" s="13"/>
      <c r="DL345" s="5"/>
      <c r="DM345" s="12"/>
      <c r="DO345" s="13"/>
      <c r="DP345" s="5"/>
      <c r="DQ345" s="12"/>
      <c r="DS345" s="5"/>
      <c r="DV345" s="5"/>
      <c r="DW345" s="660">
        <f t="shared" si="3"/>
        <v>0</v>
      </c>
    </row>
    <row r="346" spans="1:127" s="6" customFormat="1" ht="15" customHeight="1">
      <c r="A346" s="3">
        <v>157</v>
      </c>
      <c r="B346" s="210" t="s">
        <v>102</v>
      </c>
      <c r="C346" s="473" t="s">
        <v>515</v>
      </c>
      <c r="D346" s="4"/>
      <c r="E346" s="5"/>
      <c r="F346" s="5"/>
      <c r="G346" s="4"/>
      <c r="H346" s="4"/>
      <c r="I346" s="4"/>
      <c r="J346" s="4"/>
      <c r="K346" s="5">
        <v>1</v>
      </c>
      <c r="L346" s="5">
        <f t="shared" si="4"/>
        <v>0</v>
      </c>
      <c r="M346" s="5"/>
      <c r="O346" s="5">
        <v>1</v>
      </c>
      <c r="P346" s="5">
        <f t="shared" si="5"/>
        <v>0</v>
      </c>
      <c r="Q346" s="5"/>
      <c r="S346" s="5">
        <v>1</v>
      </c>
      <c r="T346" s="5">
        <f t="shared" si="6"/>
        <v>0</v>
      </c>
      <c r="U346" s="5"/>
      <c r="W346" s="5"/>
      <c r="X346" s="5"/>
      <c r="Y346" s="12"/>
      <c r="AA346" s="13"/>
      <c r="AB346" s="12"/>
      <c r="AD346" s="13"/>
      <c r="AE346" s="5"/>
      <c r="AF346" s="5"/>
      <c r="AH346" s="13"/>
      <c r="AI346" s="5"/>
      <c r="AK346" s="5"/>
      <c r="AL346" s="5"/>
      <c r="AM346" s="5"/>
      <c r="AO346" s="5"/>
      <c r="AP346" s="5"/>
      <c r="AR346" s="5">
        <v>1</v>
      </c>
      <c r="AS346" s="5">
        <f t="shared" si="7"/>
        <v>0</v>
      </c>
      <c r="AT346" s="5"/>
      <c r="AV346" s="5">
        <v>1</v>
      </c>
      <c r="AW346" s="5">
        <f t="shared" si="8"/>
        <v>0</v>
      </c>
      <c r="AY346" s="5">
        <v>1</v>
      </c>
      <c r="AZ346" s="5">
        <f t="shared" si="9"/>
        <v>0</v>
      </c>
      <c r="BA346" s="5"/>
      <c r="BC346" s="5">
        <v>1</v>
      </c>
      <c r="BD346" s="5">
        <f t="shared" si="10"/>
        <v>0</v>
      </c>
      <c r="BF346" s="5">
        <v>1</v>
      </c>
      <c r="BG346" s="5">
        <f t="shared" si="11"/>
        <v>0</v>
      </c>
      <c r="BH346" s="5"/>
      <c r="BJ346" s="5">
        <v>1</v>
      </c>
      <c r="BK346" s="5">
        <f t="shared" si="12"/>
        <v>0</v>
      </c>
      <c r="BL346" s="12"/>
      <c r="BM346" s="5">
        <v>1</v>
      </c>
      <c r="BN346" s="5">
        <f t="shared" si="13"/>
        <v>0</v>
      </c>
      <c r="BO346" s="5"/>
      <c r="BQ346" s="5">
        <v>1</v>
      </c>
      <c r="BR346" s="5">
        <f t="shared" si="14"/>
        <v>0</v>
      </c>
      <c r="BT346" s="5">
        <v>1</v>
      </c>
      <c r="BU346" s="5">
        <f t="shared" si="15"/>
        <v>0</v>
      </c>
      <c r="BV346" s="5"/>
      <c r="BX346" s="5">
        <v>1</v>
      </c>
      <c r="BY346" s="5">
        <f t="shared" si="16"/>
        <v>0</v>
      </c>
      <c r="CA346" s="13">
        <v>1</v>
      </c>
      <c r="CB346" s="5">
        <f t="shared" si="17"/>
        <v>0</v>
      </c>
      <c r="CC346" s="11"/>
      <c r="CE346" s="13"/>
      <c r="CF346" s="5"/>
      <c r="CG346" s="12"/>
      <c r="CI346" s="13"/>
      <c r="CJ346" s="5"/>
      <c r="CK346" s="12"/>
      <c r="CM346" s="13"/>
      <c r="CN346" s="5"/>
      <c r="CO346" s="12"/>
      <c r="CQ346" s="13"/>
      <c r="CR346" s="5"/>
      <c r="CS346" s="12"/>
      <c r="CU346" s="13"/>
      <c r="CV346" s="5"/>
      <c r="CW346" s="12"/>
      <c r="CY346" s="13"/>
      <c r="CZ346" s="5"/>
      <c r="DA346" s="12"/>
      <c r="DC346" s="13"/>
      <c r="DD346" s="5"/>
      <c r="DE346" s="12"/>
      <c r="DG346" s="13"/>
      <c r="DH346" s="5"/>
      <c r="DI346" s="12"/>
      <c r="DK346" s="13"/>
      <c r="DL346" s="5"/>
      <c r="DM346" s="12"/>
      <c r="DO346" s="13"/>
      <c r="DP346" s="5"/>
      <c r="DQ346" s="12"/>
      <c r="DS346" s="5"/>
      <c r="DV346" s="5"/>
      <c r="DW346" s="660">
        <f t="shared" si="3"/>
        <v>0</v>
      </c>
    </row>
    <row r="347" spans="1:127" s="6" customFormat="1" ht="15" customHeight="1">
      <c r="A347" s="3">
        <v>158</v>
      </c>
      <c r="B347" s="210" t="s">
        <v>103</v>
      </c>
      <c r="C347" s="473" t="s">
        <v>515</v>
      </c>
      <c r="D347" s="4"/>
      <c r="E347" s="5"/>
      <c r="F347" s="5"/>
      <c r="G347" s="4"/>
      <c r="H347" s="4"/>
      <c r="I347" s="4"/>
      <c r="J347" s="4"/>
      <c r="K347" s="5">
        <v>1</v>
      </c>
      <c r="L347" s="5">
        <f t="shared" si="4"/>
        <v>0</v>
      </c>
      <c r="M347" s="5"/>
      <c r="O347" s="5">
        <v>1</v>
      </c>
      <c r="P347" s="5">
        <f t="shared" si="5"/>
        <v>0</v>
      </c>
      <c r="Q347" s="5"/>
      <c r="S347" s="5">
        <v>1</v>
      </c>
      <c r="T347" s="5">
        <f t="shared" si="6"/>
        <v>0</v>
      </c>
      <c r="U347" s="5"/>
      <c r="W347" s="5"/>
      <c r="X347" s="5"/>
      <c r="Y347" s="12"/>
      <c r="AA347" s="13"/>
      <c r="AB347" s="12"/>
      <c r="AD347" s="13"/>
      <c r="AE347" s="5"/>
      <c r="AF347" s="5"/>
      <c r="AH347" s="13"/>
      <c r="AI347" s="5"/>
      <c r="AK347" s="5"/>
      <c r="AL347" s="5"/>
      <c r="AM347" s="5"/>
      <c r="AO347" s="5"/>
      <c r="AP347" s="5"/>
      <c r="AR347" s="5">
        <v>1</v>
      </c>
      <c r="AS347" s="5">
        <f t="shared" si="7"/>
        <v>0</v>
      </c>
      <c r="AT347" s="5"/>
      <c r="AV347" s="5">
        <v>1</v>
      </c>
      <c r="AW347" s="5">
        <f t="shared" si="8"/>
        <v>0</v>
      </c>
      <c r="AY347" s="5">
        <v>1</v>
      </c>
      <c r="AZ347" s="5">
        <f t="shared" si="9"/>
        <v>0</v>
      </c>
      <c r="BA347" s="5"/>
      <c r="BC347" s="5">
        <v>1</v>
      </c>
      <c r="BD347" s="5">
        <f t="shared" si="10"/>
        <v>0</v>
      </c>
      <c r="BF347" s="5">
        <v>1</v>
      </c>
      <c r="BG347" s="5">
        <f t="shared" si="11"/>
        <v>0</v>
      </c>
      <c r="BH347" s="5"/>
      <c r="BJ347" s="5">
        <v>1</v>
      </c>
      <c r="BK347" s="5">
        <f t="shared" si="12"/>
        <v>0</v>
      </c>
      <c r="BL347" s="12"/>
      <c r="BM347" s="5">
        <v>1</v>
      </c>
      <c r="BN347" s="5">
        <f t="shared" si="13"/>
        <v>0</v>
      </c>
      <c r="BO347" s="5"/>
      <c r="BQ347" s="5">
        <v>1</v>
      </c>
      <c r="BR347" s="5">
        <f t="shared" si="14"/>
        <v>0</v>
      </c>
      <c r="BT347" s="5">
        <v>1</v>
      </c>
      <c r="BU347" s="5">
        <f t="shared" si="15"/>
        <v>0</v>
      </c>
      <c r="BV347" s="5"/>
      <c r="BX347" s="5">
        <v>1</v>
      </c>
      <c r="BY347" s="5">
        <f t="shared" si="16"/>
        <v>0</v>
      </c>
      <c r="CA347" s="13">
        <v>1</v>
      </c>
      <c r="CB347" s="5">
        <f t="shared" si="17"/>
        <v>0</v>
      </c>
      <c r="CC347" s="11"/>
      <c r="CE347" s="13"/>
      <c r="CF347" s="5"/>
      <c r="CG347" s="12"/>
      <c r="CI347" s="13"/>
      <c r="CJ347" s="5"/>
      <c r="CK347" s="12"/>
      <c r="CM347" s="13"/>
      <c r="CN347" s="5"/>
      <c r="CO347" s="12"/>
      <c r="CQ347" s="13"/>
      <c r="CR347" s="5"/>
      <c r="CS347" s="12"/>
      <c r="CU347" s="13"/>
      <c r="CV347" s="5"/>
      <c r="CW347" s="12"/>
      <c r="CY347" s="13"/>
      <c r="CZ347" s="5"/>
      <c r="DA347" s="12"/>
      <c r="DC347" s="13"/>
      <c r="DD347" s="5"/>
      <c r="DE347" s="12"/>
      <c r="DG347" s="13"/>
      <c r="DH347" s="5"/>
      <c r="DI347" s="12"/>
      <c r="DK347" s="13"/>
      <c r="DL347" s="5"/>
      <c r="DM347" s="12"/>
      <c r="DO347" s="13"/>
      <c r="DP347" s="5"/>
      <c r="DQ347" s="12"/>
      <c r="DS347" s="5"/>
      <c r="DV347" s="5"/>
      <c r="DW347" s="660">
        <f t="shared" si="3"/>
        <v>0</v>
      </c>
    </row>
    <row r="348" spans="1:127" s="6" customFormat="1" ht="15" customHeight="1">
      <c r="A348" s="3">
        <v>159</v>
      </c>
      <c r="B348" s="210" t="s">
        <v>104</v>
      </c>
      <c r="C348" s="473" t="s">
        <v>515</v>
      </c>
      <c r="D348" s="4"/>
      <c r="E348" s="5"/>
      <c r="F348" s="5"/>
      <c r="G348" s="4"/>
      <c r="H348" s="4"/>
      <c r="I348" s="4"/>
      <c r="J348" s="4"/>
      <c r="K348" s="5">
        <v>1</v>
      </c>
      <c r="L348" s="5">
        <f t="shared" si="4"/>
        <v>0</v>
      </c>
      <c r="M348" s="5"/>
      <c r="O348" s="5">
        <v>1</v>
      </c>
      <c r="P348" s="5">
        <f t="shared" si="5"/>
        <v>0</v>
      </c>
      <c r="Q348" s="5"/>
      <c r="S348" s="5">
        <v>1</v>
      </c>
      <c r="T348" s="5">
        <f t="shared" si="6"/>
        <v>0</v>
      </c>
      <c r="U348" s="5"/>
      <c r="W348" s="5"/>
      <c r="X348" s="5"/>
      <c r="Y348" s="12"/>
      <c r="AA348" s="13"/>
      <c r="AB348" s="12"/>
      <c r="AD348" s="13"/>
      <c r="AE348" s="5"/>
      <c r="AF348" s="5"/>
      <c r="AH348" s="13"/>
      <c r="AI348" s="5"/>
      <c r="AK348" s="5"/>
      <c r="AL348" s="5"/>
      <c r="AM348" s="5"/>
      <c r="AO348" s="5"/>
      <c r="AP348" s="5"/>
      <c r="AR348" s="5">
        <v>1</v>
      </c>
      <c r="AS348" s="5">
        <f t="shared" si="7"/>
        <v>0</v>
      </c>
      <c r="AT348" s="5"/>
      <c r="AV348" s="5">
        <v>1</v>
      </c>
      <c r="AW348" s="5">
        <f t="shared" si="8"/>
        <v>0</v>
      </c>
      <c r="AY348" s="5">
        <v>1</v>
      </c>
      <c r="AZ348" s="5">
        <f t="shared" si="9"/>
        <v>0</v>
      </c>
      <c r="BA348" s="5"/>
      <c r="BC348" s="5">
        <v>1</v>
      </c>
      <c r="BD348" s="5">
        <f t="shared" si="10"/>
        <v>0</v>
      </c>
      <c r="BF348" s="5">
        <v>1</v>
      </c>
      <c r="BG348" s="5">
        <f t="shared" si="11"/>
        <v>0</v>
      </c>
      <c r="BH348" s="5"/>
      <c r="BJ348" s="5">
        <v>1</v>
      </c>
      <c r="BK348" s="5">
        <f t="shared" si="12"/>
        <v>0</v>
      </c>
      <c r="BL348" s="12"/>
      <c r="BM348" s="5">
        <v>1</v>
      </c>
      <c r="BN348" s="5">
        <f t="shared" si="13"/>
        <v>0</v>
      </c>
      <c r="BO348" s="5"/>
      <c r="BQ348" s="5">
        <v>1</v>
      </c>
      <c r="BR348" s="5">
        <f t="shared" si="14"/>
        <v>0</v>
      </c>
      <c r="BT348" s="5">
        <v>1</v>
      </c>
      <c r="BU348" s="5">
        <f t="shared" si="15"/>
        <v>0</v>
      </c>
      <c r="BV348" s="5"/>
      <c r="BX348" s="5">
        <v>1</v>
      </c>
      <c r="BY348" s="5">
        <f t="shared" si="16"/>
        <v>0</v>
      </c>
      <c r="CA348" s="13">
        <v>1</v>
      </c>
      <c r="CB348" s="5">
        <f t="shared" si="17"/>
        <v>0</v>
      </c>
      <c r="CC348" s="11"/>
      <c r="CE348" s="13"/>
      <c r="CF348" s="5"/>
      <c r="CG348" s="12"/>
      <c r="CI348" s="13"/>
      <c r="CJ348" s="5"/>
      <c r="CK348" s="12"/>
      <c r="CM348" s="13"/>
      <c r="CN348" s="5"/>
      <c r="CO348" s="12"/>
      <c r="CQ348" s="13"/>
      <c r="CR348" s="5"/>
      <c r="CS348" s="12"/>
      <c r="CU348" s="13"/>
      <c r="CV348" s="5"/>
      <c r="CW348" s="12"/>
      <c r="CY348" s="13"/>
      <c r="CZ348" s="5"/>
      <c r="DA348" s="12"/>
      <c r="DC348" s="13"/>
      <c r="DD348" s="5"/>
      <c r="DE348" s="12"/>
      <c r="DG348" s="13"/>
      <c r="DH348" s="5"/>
      <c r="DI348" s="12"/>
      <c r="DK348" s="13"/>
      <c r="DL348" s="5"/>
      <c r="DM348" s="12"/>
      <c r="DO348" s="13"/>
      <c r="DP348" s="5"/>
      <c r="DQ348" s="12"/>
      <c r="DS348" s="5"/>
      <c r="DV348" s="5"/>
      <c r="DW348" s="660">
        <f t="shared" si="3"/>
        <v>0</v>
      </c>
    </row>
    <row r="349" spans="1:127" s="6" customFormat="1" ht="15" customHeight="1">
      <c r="A349" s="3">
        <v>160</v>
      </c>
      <c r="B349" s="210" t="s">
        <v>105</v>
      </c>
      <c r="C349" s="473" t="s">
        <v>515</v>
      </c>
      <c r="D349" s="4"/>
      <c r="E349" s="5"/>
      <c r="F349" s="5"/>
      <c r="G349" s="4"/>
      <c r="H349" s="4"/>
      <c r="I349" s="4"/>
      <c r="J349" s="4"/>
      <c r="K349" s="5">
        <v>1</v>
      </c>
      <c r="L349" s="5">
        <f t="shared" si="4"/>
        <v>0</v>
      </c>
      <c r="M349" s="5"/>
      <c r="O349" s="5">
        <v>1</v>
      </c>
      <c r="P349" s="5">
        <f t="shared" si="5"/>
        <v>0</v>
      </c>
      <c r="Q349" s="5"/>
      <c r="S349" s="5">
        <v>1</v>
      </c>
      <c r="T349" s="5">
        <f t="shared" si="6"/>
        <v>0</v>
      </c>
      <c r="U349" s="5"/>
      <c r="W349" s="5"/>
      <c r="X349" s="5"/>
      <c r="Y349" s="12"/>
      <c r="AA349" s="13"/>
      <c r="AB349" s="12"/>
      <c r="AD349" s="13"/>
      <c r="AE349" s="5"/>
      <c r="AF349" s="5"/>
      <c r="AH349" s="13"/>
      <c r="AI349" s="5"/>
      <c r="AK349" s="5"/>
      <c r="AL349" s="5"/>
      <c r="AM349" s="5"/>
      <c r="AO349" s="5"/>
      <c r="AP349" s="5"/>
      <c r="AR349" s="5">
        <v>1</v>
      </c>
      <c r="AS349" s="5">
        <f t="shared" si="7"/>
        <v>0</v>
      </c>
      <c r="AT349" s="5"/>
      <c r="AV349" s="5">
        <v>1</v>
      </c>
      <c r="AW349" s="5">
        <f t="shared" si="8"/>
        <v>0</v>
      </c>
      <c r="AY349" s="5">
        <v>1</v>
      </c>
      <c r="AZ349" s="5">
        <f t="shared" si="9"/>
        <v>0</v>
      </c>
      <c r="BA349" s="5"/>
      <c r="BC349" s="5">
        <v>1</v>
      </c>
      <c r="BD349" s="5">
        <f t="shared" si="10"/>
        <v>0</v>
      </c>
      <c r="BF349" s="5">
        <v>1</v>
      </c>
      <c r="BG349" s="5">
        <f t="shared" si="11"/>
        <v>0</v>
      </c>
      <c r="BH349" s="5"/>
      <c r="BJ349" s="5">
        <v>1</v>
      </c>
      <c r="BK349" s="5">
        <f t="shared" si="12"/>
        <v>0</v>
      </c>
      <c r="BL349" s="12"/>
      <c r="BM349" s="5">
        <v>1</v>
      </c>
      <c r="BN349" s="5">
        <f t="shared" si="13"/>
        <v>0</v>
      </c>
      <c r="BO349" s="5"/>
      <c r="BQ349" s="5">
        <v>1</v>
      </c>
      <c r="BR349" s="5">
        <f t="shared" si="14"/>
        <v>0</v>
      </c>
      <c r="BT349" s="5">
        <v>1</v>
      </c>
      <c r="BU349" s="5">
        <f t="shared" si="15"/>
        <v>0</v>
      </c>
      <c r="BV349" s="5"/>
      <c r="BX349" s="5">
        <v>1</v>
      </c>
      <c r="BY349" s="5">
        <f t="shared" si="16"/>
        <v>0</v>
      </c>
      <c r="CA349" s="13">
        <v>1</v>
      </c>
      <c r="CB349" s="5">
        <f t="shared" si="17"/>
        <v>0</v>
      </c>
      <c r="CC349" s="11"/>
      <c r="CE349" s="13"/>
      <c r="CF349" s="5"/>
      <c r="CG349" s="12"/>
      <c r="CI349" s="13"/>
      <c r="CJ349" s="5"/>
      <c r="CK349" s="12"/>
      <c r="CM349" s="13"/>
      <c r="CN349" s="5"/>
      <c r="CO349" s="12"/>
      <c r="CQ349" s="13"/>
      <c r="CR349" s="5"/>
      <c r="CS349" s="12"/>
      <c r="CU349" s="13"/>
      <c r="CV349" s="5"/>
      <c r="CW349" s="12"/>
      <c r="CY349" s="13"/>
      <c r="CZ349" s="5"/>
      <c r="DA349" s="12"/>
      <c r="DC349" s="13"/>
      <c r="DD349" s="5"/>
      <c r="DE349" s="12"/>
      <c r="DG349" s="13"/>
      <c r="DH349" s="5"/>
      <c r="DI349" s="12"/>
      <c r="DK349" s="13"/>
      <c r="DL349" s="5"/>
      <c r="DM349" s="12"/>
      <c r="DO349" s="13"/>
      <c r="DP349" s="5"/>
      <c r="DQ349" s="12"/>
      <c r="DS349" s="5"/>
      <c r="DV349" s="5"/>
      <c r="DW349" s="660">
        <f t="shared" si="3"/>
        <v>0</v>
      </c>
    </row>
    <row r="350" spans="1:127" s="6" customFormat="1" ht="15" customHeight="1">
      <c r="A350" s="3">
        <v>161</v>
      </c>
      <c r="B350" s="210" t="s">
        <v>106</v>
      </c>
      <c r="C350" s="473" t="s">
        <v>515</v>
      </c>
      <c r="D350" s="4"/>
      <c r="E350" s="5"/>
      <c r="F350" s="5"/>
      <c r="G350" s="4"/>
      <c r="H350" s="4"/>
      <c r="I350" s="4"/>
      <c r="J350" s="4"/>
      <c r="K350" s="5">
        <v>1</v>
      </c>
      <c r="L350" s="5">
        <f t="shared" si="4"/>
        <v>0</v>
      </c>
      <c r="M350" s="5"/>
      <c r="O350" s="5">
        <v>1</v>
      </c>
      <c r="P350" s="5">
        <f t="shared" si="5"/>
        <v>0</v>
      </c>
      <c r="Q350" s="5"/>
      <c r="S350" s="5">
        <v>1</v>
      </c>
      <c r="T350" s="5">
        <f t="shared" si="6"/>
        <v>0</v>
      </c>
      <c r="U350" s="5"/>
      <c r="W350" s="5"/>
      <c r="X350" s="5"/>
      <c r="Y350" s="12"/>
      <c r="AA350" s="13"/>
      <c r="AB350" s="12"/>
      <c r="AD350" s="13"/>
      <c r="AE350" s="5"/>
      <c r="AF350" s="5"/>
      <c r="AH350" s="13"/>
      <c r="AI350" s="5"/>
      <c r="AK350" s="5"/>
      <c r="AL350" s="5"/>
      <c r="AM350" s="5"/>
      <c r="AO350" s="5"/>
      <c r="AP350" s="5"/>
      <c r="AR350" s="5">
        <v>1</v>
      </c>
      <c r="AS350" s="5">
        <f t="shared" si="7"/>
        <v>0</v>
      </c>
      <c r="AT350" s="5"/>
      <c r="AV350" s="5">
        <v>1</v>
      </c>
      <c r="AW350" s="5">
        <f t="shared" si="8"/>
        <v>0</v>
      </c>
      <c r="AY350" s="5">
        <v>1</v>
      </c>
      <c r="AZ350" s="5">
        <f t="shared" si="9"/>
        <v>0</v>
      </c>
      <c r="BA350" s="5"/>
      <c r="BC350" s="5">
        <v>1</v>
      </c>
      <c r="BD350" s="5">
        <f t="shared" si="10"/>
        <v>0</v>
      </c>
      <c r="BF350" s="5">
        <v>1</v>
      </c>
      <c r="BG350" s="5">
        <f t="shared" si="11"/>
        <v>0</v>
      </c>
      <c r="BH350" s="5"/>
      <c r="BJ350" s="5">
        <v>1</v>
      </c>
      <c r="BK350" s="5">
        <f t="shared" si="12"/>
        <v>0</v>
      </c>
      <c r="BL350" s="12"/>
      <c r="BM350" s="5">
        <v>1</v>
      </c>
      <c r="BN350" s="5">
        <f t="shared" si="13"/>
        <v>0</v>
      </c>
      <c r="BO350" s="5"/>
      <c r="BQ350" s="5">
        <v>1</v>
      </c>
      <c r="BR350" s="5">
        <f t="shared" si="14"/>
        <v>0</v>
      </c>
      <c r="BT350" s="5">
        <v>1</v>
      </c>
      <c r="BU350" s="5">
        <f t="shared" si="15"/>
        <v>0</v>
      </c>
      <c r="BV350" s="5"/>
      <c r="BX350" s="5">
        <v>1</v>
      </c>
      <c r="BY350" s="5">
        <f t="shared" si="16"/>
        <v>0</v>
      </c>
      <c r="CA350" s="13">
        <v>1</v>
      </c>
      <c r="CB350" s="5">
        <f t="shared" si="17"/>
        <v>0</v>
      </c>
      <c r="CC350" s="11"/>
      <c r="CE350" s="13"/>
      <c r="CF350" s="5"/>
      <c r="CG350" s="12"/>
      <c r="CI350" s="13"/>
      <c r="CJ350" s="5"/>
      <c r="CK350" s="12"/>
      <c r="CM350" s="13"/>
      <c r="CN350" s="5"/>
      <c r="CO350" s="12"/>
      <c r="CQ350" s="13"/>
      <c r="CR350" s="5"/>
      <c r="CS350" s="12"/>
      <c r="CU350" s="13"/>
      <c r="CV350" s="5"/>
      <c r="CW350" s="12"/>
      <c r="CY350" s="13"/>
      <c r="CZ350" s="5"/>
      <c r="DA350" s="12"/>
      <c r="DC350" s="13"/>
      <c r="DD350" s="5"/>
      <c r="DE350" s="12"/>
      <c r="DG350" s="13"/>
      <c r="DH350" s="5"/>
      <c r="DI350" s="12"/>
      <c r="DK350" s="13"/>
      <c r="DL350" s="5"/>
      <c r="DM350" s="12"/>
      <c r="DO350" s="13"/>
      <c r="DP350" s="5"/>
      <c r="DQ350" s="12"/>
      <c r="DS350" s="5"/>
      <c r="DV350" s="5"/>
      <c r="DW350" s="660">
        <f t="shared" si="3"/>
        <v>0</v>
      </c>
    </row>
    <row r="351" spans="1:127" s="6" customFormat="1" ht="15" customHeight="1">
      <c r="A351" s="3">
        <v>162</v>
      </c>
      <c r="B351" s="210" t="s">
        <v>107</v>
      </c>
      <c r="C351" s="473" t="s">
        <v>515</v>
      </c>
      <c r="D351" s="4"/>
      <c r="E351" s="5"/>
      <c r="F351" s="5"/>
      <c r="G351" s="4"/>
      <c r="H351" s="4"/>
      <c r="I351" s="4"/>
      <c r="J351" s="4"/>
      <c r="K351" s="5">
        <v>1</v>
      </c>
      <c r="L351" s="5">
        <f t="shared" si="4"/>
        <v>0</v>
      </c>
      <c r="M351" s="5"/>
      <c r="O351" s="5">
        <v>1</v>
      </c>
      <c r="P351" s="5">
        <f t="shared" si="5"/>
        <v>0</v>
      </c>
      <c r="Q351" s="5"/>
      <c r="S351" s="5">
        <v>1</v>
      </c>
      <c r="T351" s="5">
        <f t="shared" si="6"/>
        <v>0</v>
      </c>
      <c r="U351" s="5"/>
      <c r="W351" s="5"/>
      <c r="X351" s="5"/>
      <c r="Y351" s="12"/>
      <c r="AA351" s="13"/>
      <c r="AB351" s="12"/>
      <c r="AD351" s="13"/>
      <c r="AE351" s="5"/>
      <c r="AF351" s="5"/>
      <c r="AH351" s="13"/>
      <c r="AI351" s="5"/>
      <c r="AK351" s="5"/>
      <c r="AL351" s="5"/>
      <c r="AM351" s="5"/>
      <c r="AO351" s="5"/>
      <c r="AP351" s="5"/>
      <c r="AR351" s="5">
        <v>1</v>
      </c>
      <c r="AS351" s="5">
        <f t="shared" si="7"/>
        <v>0</v>
      </c>
      <c r="AT351" s="5"/>
      <c r="AV351" s="5">
        <v>1</v>
      </c>
      <c r="AW351" s="5">
        <f t="shared" si="8"/>
        <v>0</v>
      </c>
      <c r="AY351" s="5">
        <v>1</v>
      </c>
      <c r="AZ351" s="5">
        <f t="shared" si="9"/>
        <v>0</v>
      </c>
      <c r="BA351" s="5"/>
      <c r="BC351" s="5">
        <v>1</v>
      </c>
      <c r="BD351" s="5">
        <f t="shared" si="10"/>
        <v>0</v>
      </c>
      <c r="BF351" s="5">
        <v>1</v>
      </c>
      <c r="BG351" s="5">
        <f t="shared" si="11"/>
        <v>0</v>
      </c>
      <c r="BH351" s="5"/>
      <c r="BJ351" s="5">
        <v>1</v>
      </c>
      <c r="BK351" s="5">
        <f t="shared" si="12"/>
        <v>0</v>
      </c>
      <c r="BL351" s="12"/>
      <c r="BM351" s="5">
        <v>1</v>
      </c>
      <c r="BN351" s="5">
        <f t="shared" si="13"/>
        <v>0</v>
      </c>
      <c r="BO351" s="5"/>
      <c r="BQ351" s="5">
        <v>1</v>
      </c>
      <c r="BR351" s="5">
        <f t="shared" si="14"/>
        <v>0</v>
      </c>
      <c r="BT351" s="5">
        <v>1</v>
      </c>
      <c r="BU351" s="5">
        <f t="shared" si="15"/>
        <v>0</v>
      </c>
      <c r="BV351" s="5"/>
      <c r="BX351" s="5">
        <v>1</v>
      </c>
      <c r="BY351" s="5">
        <f t="shared" si="16"/>
        <v>0</v>
      </c>
      <c r="CA351" s="13">
        <v>1</v>
      </c>
      <c r="CB351" s="5">
        <f t="shared" si="17"/>
        <v>0</v>
      </c>
      <c r="CC351" s="11"/>
      <c r="CE351" s="13"/>
      <c r="CF351" s="5"/>
      <c r="CG351" s="12"/>
      <c r="CI351" s="13"/>
      <c r="CJ351" s="5"/>
      <c r="CK351" s="12"/>
      <c r="CM351" s="13"/>
      <c r="CN351" s="5"/>
      <c r="CO351" s="12"/>
      <c r="CQ351" s="13"/>
      <c r="CR351" s="5"/>
      <c r="CS351" s="12"/>
      <c r="CU351" s="13"/>
      <c r="CV351" s="5"/>
      <c r="CW351" s="12"/>
      <c r="CY351" s="13"/>
      <c r="CZ351" s="5"/>
      <c r="DA351" s="12"/>
      <c r="DC351" s="13"/>
      <c r="DD351" s="5"/>
      <c r="DE351" s="12"/>
      <c r="DG351" s="13"/>
      <c r="DH351" s="5"/>
      <c r="DI351" s="12"/>
      <c r="DK351" s="13"/>
      <c r="DL351" s="5"/>
      <c r="DM351" s="12"/>
      <c r="DO351" s="13"/>
      <c r="DP351" s="5"/>
      <c r="DQ351" s="12"/>
      <c r="DS351" s="5"/>
      <c r="DV351" s="5"/>
      <c r="DW351" s="660">
        <f t="shared" si="3"/>
        <v>0</v>
      </c>
    </row>
    <row r="352" spans="1:127" s="6" customFormat="1" ht="15" customHeight="1">
      <c r="A352" s="3"/>
      <c r="B352" s="210" t="s">
        <v>401</v>
      </c>
      <c r="C352" s="473" t="s">
        <v>515</v>
      </c>
      <c r="D352" s="4"/>
      <c r="E352" s="5"/>
      <c r="F352" s="5"/>
      <c r="G352" s="4"/>
      <c r="H352" s="4"/>
      <c r="I352" s="4"/>
      <c r="J352" s="4"/>
      <c r="K352" s="5"/>
      <c r="L352" s="5"/>
      <c r="M352" s="5"/>
      <c r="O352" s="5">
        <v>1</v>
      </c>
      <c r="P352" s="5">
        <f t="shared" si="5"/>
        <v>0</v>
      </c>
      <c r="Q352" s="5"/>
      <c r="S352" s="5"/>
      <c r="T352" s="5"/>
      <c r="U352" s="5"/>
      <c r="W352" s="5"/>
      <c r="X352" s="5"/>
      <c r="Y352" s="12"/>
      <c r="AA352" s="13"/>
      <c r="AB352" s="12"/>
      <c r="AD352" s="13"/>
      <c r="AE352" s="5"/>
      <c r="AF352" s="5"/>
      <c r="AH352" s="13"/>
      <c r="AI352" s="5"/>
      <c r="AK352" s="5"/>
      <c r="AL352" s="5"/>
      <c r="AM352" s="5"/>
      <c r="AO352" s="5"/>
      <c r="AP352" s="5"/>
      <c r="AR352" s="5"/>
      <c r="AS352" s="5"/>
      <c r="AT352" s="5"/>
      <c r="AV352" s="5"/>
      <c r="AW352" s="5"/>
      <c r="AY352" s="5"/>
      <c r="AZ352" s="5"/>
      <c r="BA352" s="5"/>
      <c r="BC352" s="5"/>
      <c r="BD352" s="5"/>
      <c r="BF352" s="5"/>
      <c r="BG352" s="5"/>
      <c r="BH352" s="5"/>
      <c r="BJ352" s="5"/>
      <c r="BK352" s="5"/>
      <c r="BL352" s="12"/>
      <c r="BM352" s="5"/>
      <c r="BN352" s="5"/>
      <c r="BO352" s="5"/>
      <c r="BQ352" s="5"/>
      <c r="BR352" s="5"/>
      <c r="BT352" s="5"/>
      <c r="BU352" s="5"/>
      <c r="BV352" s="5"/>
      <c r="BX352" s="5"/>
      <c r="BY352" s="5"/>
      <c r="CA352" s="13"/>
      <c r="CB352" s="5"/>
      <c r="CC352" s="11"/>
      <c r="CE352" s="13"/>
      <c r="CF352" s="5"/>
      <c r="CG352" s="12"/>
      <c r="CI352" s="13"/>
      <c r="CJ352" s="5"/>
      <c r="CK352" s="12"/>
      <c r="CM352" s="13"/>
      <c r="CN352" s="5"/>
      <c r="CO352" s="12"/>
      <c r="CQ352" s="13"/>
      <c r="CR352" s="5"/>
      <c r="CS352" s="12"/>
      <c r="CU352" s="13"/>
      <c r="CV352" s="5"/>
      <c r="CW352" s="12"/>
      <c r="CY352" s="13"/>
      <c r="CZ352" s="5"/>
      <c r="DA352" s="12"/>
      <c r="DC352" s="13"/>
      <c r="DD352" s="5"/>
      <c r="DE352" s="12"/>
      <c r="DG352" s="13"/>
      <c r="DH352" s="5"/>
      <c r="DI352" s="12"/>
      <c r="DK352" s="13"/>
      <c r="DL352" s="5"/>
      <c r="DM352" s="12"/>
      <c r="DO352" s="13"/>
      <c r="DP352" s="5"/>
      <c r="DQ352" s="12"/>
      <c r="DS352" s="5"/>
      <c r="DV352" s="5"/>
      <c r="DW352" s="660">
        <f t="shared" si="3"/>
        <v>0</v>
      </c>
    </row>
    <row r="353" spans="1:127" s="6" customFormat="1" ht="15" customHeight="1">
      <c r="A353" s="3"/>
      <c r="B353" s="210" t="s">
        <v>402</v>
      </c>
      <c r="C353" s="473" t="s">
        <v>515</v>
      </c>
      <c r="D353" s="4"/>
      <c r="E353" s="5"/>
      <c r="F353" s="5"/>
      <c r="G353" s="4"/>
      <c r="H353" s="4"/>
      <c r="I353" s="4"/>
      <c r="J353" s="4"/>
      <c r="K353" s="5"/>
      <c r="L353" s="5"/>
      <c r="M353" s="5"/>
      <c r="O353" s="5">
        <v>1</v>
      </c>
      <c r="P353" s="5">
        <f t="shared" si="5"/>
        <v>0</v>
      </c>
      <c r="Q353" s="5"/>
      <c r="S353" s="5"/>
      <c r="T353" s="5"/>
      <c r="U353" s="5"/>
      <c r="W353" s="5"/>
      <c r="X353" s="5"/>
      <c r="Y353" s="12"/>
      <c r="AA353" s="13"/>
      <c r="AB353" s="12"/>
      <c r="AD353" s="13"/>
      <c r="AE353" s="5"/>
      <c r="AF353" s="5"/>
      <c r="AH353" s="13"/>
      <c r="AI353" s="5"/>
      <c r="AK353" s="5"/>
      <c r="AL353" s="5"/>
      <c r="AM353" s="5"/>
      <c r="AO353" s="5"/>
      <c r="AP353" s="5"/>
      <c r="AR353" s="5"/>
      <c r="AS353" s="5"/>
      <c r="AT353" s="5"/>
      <c r="AV353" s="5"/>
      <c r="AW353" s="5"/>
      <c r="AY353" s="5"/>
      <c r="AZ353" s="5"/>
      <c r="BA353" s="5"/>
      <c r="BC353" s="5"/>
      <c r="BD353" s="5"/>
      <c r="BF353" s="5"/>
      <c r="BG353" s="5"/>
      <c r="BH353" s="5"/>
      <c r="BJ353" s="5"/>
      <c r="BK353" s="5"/>
      <c r="BL353" s="12"/>
      <c r="BM353" s="5"/>
      <c r="BN353" s="5"/>
      <c r="BO353" s="5"/>
      <c r="BQ353" s="5"/>
      <c r="BR353" s="5"/>
      <c r="BT353" s="5"/>
      <c r="BU353" s="5"/>
      <c r="BV353" s="5"/>
      <c r="BX353" s="5"/>
      <c r="BY353" s="5"/>
      <c r="CA353" s="13"/>
      <c r="CB353" s="5"/>
      <c r="CC353" s="11"/>
      <c r="CE353" s="13"/>
      <c r="CF353" s="5"/>
      <c r="CG353" s="12"/>
      <c r="CI353" s="13"/>
      <c r="CJ353" s="5"/>
      <c r="CK353" s="12"/>
      <c r="CM353" s="13"/>
      <c r="CN353" s="5"/>
      <c r="CO353" s="12"/>
      <c r="CQ353" s="13"/>
      <c r="CR353" s="5"/>
      <c r="CS353" s="12"/>
      <c r="CU353" s="13"/>
      <c r="CV353" s="5"/>
      <c r="CW353" s="12"/>
      <c r="CY353" s="13"/>
      <c r="CZ353" s="5"/>
      <c r="DA353" s="12"/>
      <c r="DC353" s="13"/>
      <c r="DD353" s="5"/>
      <c r="DE353" s="12"/>
      <c r="DG353" s="13"/>
      <c r="DH353" s="5"/>
      <c r="DI353" s="12"/>
      <c r="DK353" s="13"/>
      <c r="DL353" s="5"/>
      <c r="DM353" s="12"/>
      <c r="DO353" s="13"/>
      <c r="DP353" s="5"/>
      <c r="DQ353" s="12"/>
      <c r="DS353" s="5"/>
      <c r="DV353" s="5"/>
      <c r="DW353" s="660">
        <f t="shared" si="3"/>
        <v>0</v>
      </c>
    </row>
    <row r="354" spans="1:127" s="6" customFormat="1" ht="15" customHeight="1">
      <c r="A354" s="3"/>
      <c r="B354" s="210" t="s">
        <v>403</v>
      </c>
      <c r="C354" s="473" t="s">
        <v>515</v>
      </c>
      <c r="D354" s="4"/>
      <c r="E354" s="5"/>
      <c r="F354" s="5"/>
      <c r="G354" s="4"/>
      <c r="H354" s="4"/>
      <c r="I354" s="4"/>
      <c r="J354" s="4"/>
      <c r="K354" s="5"/>
      <c r="L354" s="5"/>
      <c r="M354" s="5"/>
      <c r="O354" s="5">
        <v>1</v>
      </c>
      <c r="P354" s="5">
        <f t="shared" si="5"/>
        <v>0</v>
      </c>
      <c r="Q354" s="5"/>
      <c r="S354" s="5"/>
      <c r="T354" s="5"/>
      <c r="U354" s="5"/>
      <c r="W354" s="5"/>
      <c r="X354" s="5"/>
      <c r="Y354" s="12"/>
      <c r="AA354" s="13"/>
      <c r="AB354" s="12"/>
      <c r="AD354" s="13"/>
      <c r="AE354" s="5"/>
      <c r="AF354" s="5"/>
      <c r="AH354" s="13"/>
      <c r="AI354" s="5"/>
      <c r="AK354" s="5"/>
      <c r="AL354" s="5"/>
      <c r="AM354" s="5"/>
      <c r="AO354" s="5"/>
      <c r="AP354" s="5"/>
      <c r="AR354" s="5"/>
      <c r="AS354" s="5"/>
      <c r="AT354" s="5"/>
      <c r="AV354" s="5"/>
      <c r="AW354" s="5"/>
      <c r="AY354" s="5"/>
      <c r="AZ354" s="5"/>
      <c r="BA354" s="5"/>
      <c r="BC354" s="5"/>
      <c r="BD354" s="5"/>
      <c r="BF354" s="5"/>
      <c r="BG354" s="5"/>
      <c r="BH354" s="5"/>
      <c r="BJ354" s="5"/>
      <c r="BK354" s="5"/>
      <c r="BL354" s="12"/>
      <c r="BM354" s="5"/>
      <c r="BN354" s="5"/>
      <c r="BO354" s="5"/>
      <c r="BQ354" s="5"/>
      <c r="BR354" s="5"/>
      <c r="BT354" s="5"/>
      <c r="BU354" s="5"/>
      <c r="BV354" s="5"/>
      <c r="BX354" s="5"/>
      <c r="BY354" s="5"/>
      <c r="CA354" s="13"/>
      <c r="CB354" s="5"/>
      <c r="CC354" s="11"/>
      <c r="CE354" s="13"/>
      <c r="CF354" s="5"/>
      <c r="CG354" s="12"/>
      <c r="CI354" s="13"/>
      <c r="CJ354" s="5"/>
      <c r="CK354" s="12"/>
      <c r="CM354" s="13"/>
      <c r="CN354" s="5"/>
      <c r="CO354" s="12"/>
      <c r="CQ354" s="13"/>
      <c r="CR354" s="5"/>
      <c r="CS354" s="12"/>
      <c r="CU354" s="13"/>
      <c r="CV354" s="5"/>
      <c r="CW354" s="12"/>
      <c r="CY354" s="13"/>
      <c r="CZ354" s="5"/>
      <c r="DA354" s="12"/>
      <c r="DC354" s="13"/>
      <c r="DD354" s="5"/>
      <c r="DE354" s="12"/>
      <c r="DG354" s="13"/>
      <c r="DH354" s="5"/>
      <c r="DI354" s="12"/>
      <c r="DK354" s="13"/>
      <c r="DL354" s="5"/>
      <c r="DM354" s="12"/>
      <c r="DO354" s="13"/>
      <c r="DP354" s="5"/>
      <c r="DQ354" s="12"/>
      <c r="DS354" s="5"/>
      <c r="DV354" s="5"/>
      <c r="DW354" s="660">
        <f t="shared" si="3"/>
        <v>0</v>
      </c>
    </row>
    <row r="355" spans="1:127" s="6" customFormat="1" ht="15" customHeight="1">
      <c r="A355" s="3">
        <v>163</v>
      </c>
      <c r="B355" s="210" t="s">
        <v>108</v>
      </c>
      <c r="C355" s="473" t="s">
        <v>515</v>
      </c>
      <c r="D355" s="4"/>
      <c r="E355" s="5"/>
      <c r="F355" s="5"/>
      <c r="G355" s="4"/>
      <c r="H355" s="4"/>
      <c r="I355" s="4"/>
      <c r="J355" s="4"/>
      <c r="K355" s="5">
        <v>1</v>
      </c>
      <c r="L355" s="5">
        <f t="shared" ref="L355:L365" si="18">L16+M16</f>
        <v>0</v>
      </c>
      <c r="M355" s="5"/>
      <c r="O355" s="5">
        <v>1</v>
      </c>
      <c r="P355" s="5">
        <f t="shared" ref="P355:P365" si="19">P16+Q16</f>
        <v>0</v>
      </c>
      <c r="Q355" s="5"/>
      <c r="S355" s="5">
        <v>1</v>
      </c>
      <c r="T355" s="5">
        <f t="shared" ref="T355:T365" si="20">T16+U16</f>
        <v>0</v>
      </c>
      <c r="U355" s="5"/>
      <c r="W355" s="5"/>
      <c r="X355" s="5"/>
      <c r="Y355" s="12"/>
      <c r="AA355" s="13"/>
      <c r="AB355" s="12"/>
      <c r="AD355" s="13"/>
      <c r="AE355" s="5"/>
      <c r="AF355" s="5"/>
      <c r="AH355" s="13"/>
      <c r="AI355" s="5"/>
      <c r="AK355" s="5"/>
      <c r="AL355" s="5"/>
      <c r="AM355" s="5"/>
      <c r="AO355" s="5"/>
      <c r="AP355" s="5"/>
      <c r="AR355" s="5">
        <v>1</v>
      </c>
      <c r="AS355" s="5">
        <f t="shared" ref="AS355:AS365" si="21">AS16+AT16</f>
        <v>0</v>
      </c>
      <c r="AT355" s="5"/>
      <c r="AV355" s="5">
        <v>1</v>
      </c>
      <c r="AW355" s="5">
        <f t="shared" ref="AW355:AW365" si="22">AW16+AX16</f>
        <v>0</v>
      </c>
      <c r="AY355" s="5">
        <v>1</v>
      </c>
      <c r="AZ355" s="5">
        <f t="shared" ref="AZ355:AZ365" si="23">AZ16+BA16</f>
        <v>0</v>
      </c>
      <c r="BA355" s="5"/>
      <c r="BC355" s="5">
        <v>1</v>
      </c>
      <c r="BD355" s="5">
        <f t="shared" ref="BD355:BD365" si="24">BD16+BE16</f>
        <v>0</v>
      </c>
      <c r="BF355" s="5">
        <v>1</v>
      </c>
      <c r="BG355" s="5">
        <f t="shared" ref="BG355:BG365" si="25">BG16+BH16</f>
        <v>0</v>
      </c>
      <c r="BH355" s="5"/>
      <c r="BJ355" s="5">
        <v>1</v>
      </c>
      <c r="BK355" s="5">
        <f t="shared" ref="BK355:BK365" si="26">BK16+BL16</f>
        <v>0</v>
      </c>
      <c r="BL355" s="12"/>
      <c r="BM355" s="5">
        <v>1</v>
      </c>
      <c r="BN355" s="5">
        <f t="shared" ref="BN355:BN365" si="27">BN16+BO16</f>
        <v>0</v>
      </c>
      <c r="BO355" s="5"/>
      <c r="BQ355" s="5">
        <v>1</v>
      </c>
      <c r="BR355" s="5">
        <f t="shared" ref="BR355:BR365" si="28">BR16+BS16</f>
        <v>0</v>
      </c>
      <c r="BT355" s="5">
        <v>1</v>
      </c>
      <c r="BU355" s="5">
        <f t="shared" ref="BU355:BU365" si="29">BU16+BV16</f>
        <v>0</v>
      </c>
      <c r="BV355" s="5"/>
      <c r="BX355" s="5">
        <v>1</v>
      </c>
      <c r="BY355" s="5">
        <f t="shared" ref="BY355:BY365" si="30">BY16+BZ16</f>
        <v>0</v>
      </c>
      <c r="CA355" s="13">
        <v>1</v>
      </c>
      <c r="CB355" s="5">
        <f t="shared" ref="CB355:CB365" si="31">CB16+CC16</f>
        <v>0</v>
      </c>
      <c r="CC355" s="11"/>
      <c r="CE355" s="13"/>
      <c r="CF355" s="5"/>
      <c r="CG355" s="12"/>
      <c r="CI355" s="13"/>
      <c r="CJ355" s="5"/>
      <c r="CK355" s="12"/>
      <c r="CM355" s="13"/>
      <c r="CN355" s="5"/>
      <c r="CO355" s="12"/>
      <c r="CQ355" s="13"/>
      <c r="CR355" s="5"/>
      <c r="CS355" s="12"/>
      <c r="CU355" s="13"/>
      <c r="CV355" s="5"/>
      <c r="CW355" s="12"/>
      <c r="CY355" s="13"/>
      <c r="CZ355" s="5"/>
      <c r="DA355" s="12"/>
      <c r="DC355" s="13"/>
      <c r="DD355" s="5"/>
      <c r="DE355" s="12"/>
      <c r="DG355" s="13"/>
      <c r="DH355" s="5"/>
      <c r="DI355" s="12"/>
      <c r="DK355" s="13"/>
      <c r="DL355" s="5"/>
      <c r="DM355" s="12"/>
      <c r="DO355" s="13"/>
      <c r="DP355" s="5"/>
      <c r="DQ355" s="12"/>
      <c r="DS355" s="5"/>
      <c r="DV355" s="5"/>
      <c r="DW355" s="660">
        <f t="shared" si="3"/>
        <v>0</v>
      </c>
    </row>
    <row r="356" spans="1:127" s="6" customFormat="1" ht="15" customHeight="1">
      <c r="A356" s="3">
        <v>164</v>
      </c>
      <c r="B356" s="210" t="s">
        <v>109</v>
      </c>
      <c r="C356" s="473" t="s">
        <v>515</v>
      </c>
      <c r="D356" s="4"/>
      <c r="E356" s="5"/>
      <c r="F356" s="5"/>
      <c r="G356" s="4"/>
      <c r="H356" s="4"/>
      <c r="I356" s="4"/>
      <c r="J356" s="4"/>
      <c r="K356" s="5">
        <v>1</v>
      </c>
      <c r="L356" s="5">
        <f t="shared" si="18"/>
        <v>0</v>
      </c>
      <c r="M356" s="5"/>
      <c r="O356" s="5">
        <v>1</v>
      </c>
      <c r="P356" s="5">
        <f t="shared" si="19"/>
        <v>0</v>
      </c>
      <c r="Q356" s="5"/>
      <c r="S356" s="5">
        <v>1</v>
      </c>
      <c r="T356" s="5">
        <f t="shared" si="20"/>
        <v>0</v>
      </c>
      <c r="U356" s="5"/>
      <c r="W356" s="5"/>
      <c r="X356" s="5"/>
      <c r="Y356" s="12"/>
      <c r="AA356" s="13"/>
      <c r="AB356" s="12"/>
      <c r="AD356" s="13"/>
      <c r="AE356" s="5"/>
      <c r="AF356" s="5"/>
      <c r="AH356" s="13"/>
      <c r="AI356" s="5"/>
      <c r="AK356" s="5"/>
      <c r="AL356" s="5"/>
      <c r="AM356" s="5"/>
      <c r="AO356" s="5"/>
      <c r="AP356" s="5"/>
      <c r="AR356" s="5">
        <v>1</v>
      </c>
      <c r="AS356" s="5">
        <f t="shared" si="21"/>
        <v>0</v>
      </c>
      <c r="AT356" s="5"/>
      <c r="AV356" s="5">
        <v>1</v>
      </c>
      <c r="AW356" s="5">
        <f t="shared" si="22"/>
        <v>0</v>
      </c>
      <c r="AY356" s="5">
        <v>1</v>
      </c>
      <c r="AZ356" s="5">
        <f t="shared" si="23"/>
        <v>0</v>
      </c>
      <c r="BA356" s="5"/>
      <c r="BC356" s="5">
        <v>1</v>
      </c>
      <c r="BD356" s="5">
        <f t="shared" si="24"/>
        <v>0</v>
      </c>
      <c r="BF356" s="5">
        <v>1</v>
      </c>
      <c r="BG356" s="5">
        <f t="shared" si="25"/>
        <v>0</v>
      </c>
      <c r="BH356" s="5"/>
      <c r="BJ356" s="5">
        <v>1</v>
      </c>
      <c r="BK356" s="5">
        <f t="shared" si="26"/>
        <v>0</v>
      </c>
      <c r="BL356" s="12"/>
      <c r="BM356" s="5">
        <v>1</v>
      </c>
      <c r="BN356" s="5">
        <f t="shared" si="27"/>
        <v>0</v>
      </c>
      <c r="BO356" s="5"/>
      <c r="BQ356" s="5">
        <v>1</v>
      </c>
      <c r="BR356" s="5">
        <f t="shared" si="28"/>
        <v>0</v>
      </c>
      <c r="BT356" s="5">
        <v>1</v>
      </c>
      <c r="BU356" s="5">
        <f t="shared" si="29"/>
        <v>0</v>
      </c>
      <c r="BV356" s="5"/>
      <c r="BX356" s="5">
        <v>1</v>
      </c>
      <c r="BY356" s="5">
        <f t="shared" si="30"/>
        <v>0</v>
      </c>
      <c r="CA356" s="13">
        <v>1</v>
      </c>
      <c r="CB356" s="5">
        <f t="shared" si="31"/>
        <v>0</v>
      </c>
      <c r="CC356" s="11"/>
      <c r="CE356" s="13"/>
      <c r="CF356" s="5"/>
      <c r="CG356" s="12"/>
      <c r="CI356" s="13"/>
      <c r="CJ356" s="5"/>
      <c r="CK356" s="12"/>
      <c r="CM356" s="13"/>
      <c r="CN356" s="5"/>
      <c r="CO356" s="12"/>
      <c r="CQ356" s="13"/>
      <c r="CR356" s="5"/>
      <c r="CS356" s="12"/>
      <c r="CU356" s="13"/>
      <c r="CV356" s="5"/>
      <c r="CW356" s="12"/>
      <c r="CY356" s="13"/>
      <c r="CZ356" s="5"/>
      <c r="DA356" s="12"/>
      <c r="DC356" s="13"/>
      <c r="DD356" s="5"/>
      <c r="DE356" s="12"/>
      <c r="DG356" s="13"/>
      <c r="DH356" s="5"/>
      <c r="DI356" s="12"/>
      <c r="DK356" s="13"/>
      <c r="DL356" s="5"/>
      <c r="DM356" s="12"/>
      <c r="DO356" s="13"/>
      <c r="DP356" s="5"/>
      <c r="DQ356" s="12"/>
      <c r="DS356" s="5"/>
      <c r="DV356" s="5"/>
      <c r="DW356" s="660">
        <f t="shared" si="3"/>
        <v>0</v>
      </c>
    </row>
    <row r="357" spans="1:127" s="6" customFormat="1" ht="15" customHeight="1">
      <c r="A357" s="3">
        <v>165</v>
      </c>
      <c r="B357" s="210" t="s">
        <v>32</v>
      </c>
      <c r="C357" s="473" t="s">
        <v>515</v>
      </c>
      <c r="D357" s="4"/>
      <c r="E357" s="5"/>
      <c r="F357" s="5"/>
      <c r="G357" s="4"/>
      <c r="H357" s="4"/>
      <c r="I357" s="4"/>
      <c r="J357" s="4"/>
      <c r="K357" s="5">
        <v>1</v>
      </c>
      <c r="L357" s="5">
        <f t="shared" si="18"/>
        <v>0</v>
      </c>
      <c r="M357" s="5"/>
      <c r="O357" s="5">
        <v>1</v>
      </c>
      <c r="P357" s="5">
        <f t="shared" si="19"/>
        <v>0</v>
      </c>
      <c r="Q357" s="5"/>
      <c r="S357" s="5">
        <v>1</v>
      </c>
      <c r="T357" s="5">
        <f t="shared" si="20"/>
        <v>0</v>
      </c>
      <c r="U357" s="5"/>
      <c r="W357" s="5"/>
      <c r="X357" s="5"/>
      <c r="Y357" s="12"/>
      <c r="AA357" s="13"/>
      <c r="AB357" s="12"/>
      <c r="AD357" s="13"/>
      <c r="AE357" s="5"/>
      <c r="AF357" s="5"/>
      <c r="AH357" s="13"/>
      <c r="AI357" s="5"/>
      <c r="AK357" s="5"/>
      <c r="AL357" s="5"/>
      <c r="AM357" s="5"/>
      <c r="AO357" s="5"/>
      <c r="AP357" s="5"/>
      <c r="AR357" s="5">
        <v>1</v>
      </c>
      <c r="AS357" s="5">
        <f t="shared" si="21"/>
        <v>0</v>
      </c>
      <c r="AT357" s="5"/>
      <c r="AV357" s="5">
        <v>1</v>
      </c>
      <c r="AW357" s="5">
        <f t="shared" si="22"/>
        <v>0</v>
      </c>
      <c r="AY357" s="5">
        <v>1</v>
      </c>
      <c r="AZ357" s="5">
        <f t="shared" si="23"/>
        <v>0</v>
      </c>
      <c r="BA357" s="5"/>
      <c r="BC357" s="5">
        <v>1</v>
      </c>
      <c r="BD357" s="5">
        <f t="shared" si="24"/>
        <v>0</v>
      </c>
      <c r="BF357" s="5">
        <v>1</v>
      </c>
      <c r="BG357" s="5">
        <f t="shared" si="25"/>
        <v>0</v>
      </c>
      <c r="BH357" s="5"/>
      <c r="BJ357" s="5">
        <v>1</v>
      </c>
      <c r="BK357" s="5">
        <f t="shared" si="26"/>
        <v>0</v>
      </c>
      <c r="BL357" s="12"/>
      <c r="BM357" s="5">
        <v>1</v>
      </c>
      <c r="BN357" s="5">
        <f t="shared" si="27"/>
        <v>0</v>
      </c>
      <c r="BO357" s="5"/>
      <c r="BQ357" s="5">
        <v>1</v>
      </c>
      <c r="BR357" s="5">
        <f t="shared" si="28"/>
        <v>0</v>
      </c>
      <c r="BT357" s="5">
        <v>1</v>
      </c>
      <c r="BU357" s="5">
        <f t="shared" si="29"/>
        <v>0</v>
      </c>
      <c r="BV357" s="5"/>
      <c r="BX357" s="5">
        <v>1</v>
      </c>
      <c r="BY357" s="5">
        <f t="shared" si="30"/>
        <v>0</v>
      </c>
      <c r="CA357" s="13">
        <v>1</v>
      </c>
      <c r="CB357" s="5">
        <f t="shared" si="31"/>
        <v>0</v>
      </c>
      <c r="CC357" s="11"/>
      <c r="CE357" s="13"/>
      <c r="CF357" s="5"/>
      <c r="CG357" s="12"/>
      <c r="CI357" s="13"/>
      <c r="CJ357" s="5"/>
      <c r="CK357" s="12"/>
      <c r="CM357" s="13"/>
      <c r="CN357" s="5"/>
      <c r="CO357" s="12"/>
      <c r="CQ357" s="13"/>
      <c r="CR357" s="5"/>
      <c r="CS357" s="12"/>
      <c r="CU357" s="13"/>
      <c r="CV357" s="5"/>
      <c r="CW357" s="12"/>
      <c r="CY357" s="13"/>
      <c r="CZ357" s="5"/>
      <c r="DA357" s="12"/>
      <c r="DC357" s="13"/>
      <c r="DD357" s="5"/>
      <c r="DE357" s="12"/>
      <c r="DG357" s="13"/>
      <c r="DH357" s="5"/>
      <c r="DI357" s="12"/>
      <c r="DK357" s="13"/>
      <c r="DL357" s="5"/>
      <c r="DM357" s="12"/>
      <c r="DO357" s="13"/>
      <c r="DP357" s="5"/>
      <c r="DQ357" s="12"/>
      <c r="DS357" s="5"/>
      <c r="DV357" s="5"/>
      <c r="DW357" s="660">
        <f t="shared" si="3"/>
        <v>0</v>
      </c>
    </row>
    <row r="358" spans="1:127" s="6" customFormat="1" ht="15" customHeight="1">
      <c r="A358" s="3">
        <v>166</v>
      </c>
      <c r="B358" s="210" t="s">
        <v>110</v>
      </c>
      <c r="C358" s="473" t="s">
        <v>515</v>
      </c>
      <c r="D358" s="4"/>
      <c r="E358" s="5"/>
      <c r="F358" s="5"/>
      <c r="G358" s="4"/>
      <c r="H358" s="4"/>
      <c r="I358" s="4"/>
      <c r="J358" s="4"/>
      <c r="K358" s="5">
        <v>1</v>
      </c>
      <c r="L358" s="5">
        <f t="shared" si="18"/>
        <v>0</v>
      </c>
      <c r="M358" s="5"/>
      <c r="O358" s="5">
        <v>1</v>
      </c>
      <c r="P358" s="5">
        <f t="shared" si="19"/>
        <v>0</v>
      </c>
      <c r="Q358" s="5"/>
      <c r="S358" s="5">
        <v>1</v>
      </c>
      <c r="T358" s="5">
        <f t="shared" si="20"/>
        <v>0</v>
      </c>
      <c r="U358" s="5"/>
      <c r="W358" s="5"/>
      <c r="X358" s="5"/>
      <c r="Y358" s="12"/>
      <c r="AA358" s="13"/>
      <c r="AB358" s="12"/>
      <c r="AD358" s="13"/>
      <c r="AE358" s="5"/>
      <c r="AF358" s="5"/>
      <c r="AH358" s="13"/>
      <c r="AI358" s="5"/>
      <c r="AK358" s="5"/>
      <c r="AL358" s="5"/>
      <c r="AM358" s="5"/>
      <c r="AO358" s="5"/>
      <c r="AP358" s="5"/>
      <c r="AR358" s="5">
        <v>1</v>
      </c>
      <c r="AS358" s="5">
        <f t="shared" si="21"/>
        <v>0</v>
      </c>
      <c r="AT358" s="5"/>
      <c r="AV358" s="5">
        <v>1</v>
      </c>
      <c r="AW358" s="5">
        <f t="shared" si="22"/>
        <v>0</v>
      </c>
      <c r="AY358" s="5">
        <v>1</v>
      </c>
      <c r="AZ358" s="5">
        <f t="shared" si="23"/>
        <v>0</v>
      </c>
      <c r="BA358" s="5"/>
      <c r="BC358" s="5">
        <v>1</v>
      </c>
      <c r="BD358" s="5">
        <f t="shared" si="24"/>
        <v>0</v>
      </c>
      <c r="BF358" s="5">
        <v>1</v>
      </c>
      <c r="BG358" s="5">
        <f t="shared" si="25"/>
        <v>0</v>
      </c>
      <c r="BH358" s="5"/>
      <c r="BJ358" s="5">
        <v>1</v>
      </c>
      <c r="BK358" s="5">
        <f t="shared" si="26"/>
        <v>0</v>
      </c>
      <c r="BL358" s="12"/>
      <c r="BM358" s="5">
        <v>1</v>
      </c>
      <c r="BN358" s="5">
        <f t="shared" si="27"/>
        <v>0</v>
      </c>
      <c r="BO358" s="5"/>
      <c r="BQ358" s="5">
        <v>1</v>
      </c>
      <c r="BR358" s="5">
        <f t="shared" si="28"/>
        <v>0</v>
      </c>
      <c r="BT358" s="5">
        <v>1</v>
      </c>
      <c r="BU358" s="5">
        <f t="shared" si="29"/>
        <v>0</v>
      </c>
      <c r="BV358" s="5"/>
      <c r="BX358" s="5">
        <v>1</v>
      </c>
      <c r="BY358" s="5">
        <f t="shared" si="30"/>
        <v>0</v>
      </c>
      <c r="CA358" s="13">
        <v>1</v>
      </c>
      <c r="CB358" s="5">
        <f t="shared" si="31"/>
        <v>0</v>
      </c>
      <c r="CC358" s="11"/>
      <c r="CE358" s="13"/>
      <c r="CF358" s="5"/>
      <c r="CG358" s="12"/>
      <c r="CI358" s="13"/>
      <c r="CJ358" s="5"/>
      <c r="CK358" s="12"/>
      <c r="CM358" s="13"/>
      <c r="CN358" s="5"/>
      <c r="CO358" s="12"/>
      <c r="CQ358" s="13"/>
      <c r="CR358" s="5"/>
      <c r="CS358" s="12"/>
      <c r="CU358" s="13"/>
      <c r="CV358" s="5"/>
      <c r="CW358" s="12"/>
      <c r="CY358" s="13"/>
      <c r="CZ358" s="5"/>
      <c r="DA358" s="12"/>
      <c r="DC358" s="13"/>
      <c r="DD358" s="5"/>
      <c r="DE358" s="12"/>
      <c r="DG358" s="13"/>
      <c r="DH358" s="5"/>
      <c r="DI358" s="12"/>
      <c r="DK358" s="13"/>
      <c r="DL358" s="5"/>
      <c r="DM358" s="12"/>
      <c r="DO358" s="13"/>
      <c r="DP358" s="5"/>
      <c r="DQ358" s="12"/>
      <c r="DS358" s="5"/>
      <c r="DV358" s="5"/>
      <c r="DW358" s="660">
        <f t="shared" si="3"/>
        <v>0</v>
      </c>
    </row>
    <row r="359" spans="1:127" s="6" customFormat="1" ht="15" customHeight="1">
      <c r="A359" s="3">
        <v>167</v>
      </c>
      <c r="B359" s="210" t="s">
        <v>111</v>
      </c>
      <c r="C359" s="473" t="s">
        <v>515</v>
      </c>
      <c r="D359" s="4"/>
      <c r="E359" s="5"/>
      <c r="F359" s="5"/>
      <c r="G359" s="4"/>
      <c r="H359" s="4"/>
      <c r="I359" s="4"/>
      <c r="J359" s="4"/>
      <c r="K359" s="5">
        <v>1</v>
      </c>
      <c r="L359" s="5">
        <f t="shared" si="18"/>
        <v>0</v>
      </c>
      <c r="M359" s="5"/>
      <c r="O359" s="5">
        <v>1</v>
      </c>
      <c r="P359" s="5">
        <f t="shared" si="19"/>
        <v>0</v>
      </c>
      <c r="Q359" s="5"/>
      <c r="S359" s="5">
        <v>1</v>
      </c>
      <c r="T359" s="5">
        <f t="shared" si="20"/>
        <v>0</v>
      </c>
      <c r="U359" s="5"/>
      <c r="W359" s="5"/>
      <c r="X359" s="5"/>
      <c r="Y359" s="12"/>
      <c r="AA359" s="13"/>
      <c r="AB359" s="12"/>
      <c r="AD359" s="13"/>
      <c r="AE359" s="5"/>
      <c r="AF359" s="5"/>
      <c r="AH359" s="13"/>
      <c r="AI359" s="5"/>
      <c r="AK359" s="5"/>
      <c r="AL359" s="5"/>
      <c r="AM359" s="5"/>
      <c r="AO359" s="5"/>
      <c r="AP359" s="5"/>
      <c r="AR359" s="5">
        <v>1</v>
      </c>
      <c r="AS359" s="5">
        <f t="shared" si="21"/>
        <v>0</v>
      </c>
      <c r="AT359" s="5"/>
      <c r="AV359" s="5">
        <v>1</v>
      </c>
      <c r="AW359" s="5">
        <f t="shared" si="22"/>
        <v>0</v>
      </c>
      <c r="AY359" s="5">
        <v>1</v>
      </c>
      <c r="AZ359" s="5">
        <f t="shared" si="23"/>
        <v>0</v>
      </c>
      <c r="BA359" s="5"/>
      <c r="BC359" s="5">
        <v>1</v>
      </c>
      <c r="BD359" s="5">
        <f t="shared" si="24"/>
        <v>0</v>
      </c>
      <c r="BF359" s="5">
        <v>1</v>
      </c>
      <c r="BG359" s="5">
        <f t="shared" si="25"/>
        <v>0</v>
      </c>
      <c r="BH359" s="5"/>
      <c r="BJ359" s="5">
        <v>1</v>
      </c>
      <c r="BK359" s="5">
        <f t="shared" si="26"/>
        <v>0</v>
      </c>
      <c r="BL359" s="12"/>
      <c r="BM359" s="5">
        <v>1</v>
      </c>
      <c r="BN359" s="5">
        <f t="shared" si="27"/>
        <v>0</v>
      </c>
      <c r="BO359" s="5"/>
      <c r="BQ359" s="5">
        <v>1</v>
      </c>
      <c r="BR359" s="5">
        <f t="shared" si="28"/>
        <v>0</v>
      </c>
      <c r="BT359" s="5">
        <v>1</v>
      </c>
      <c r="BU359" s="5">
        <f t="shared" si="29"/>
        <v>0</v>
      </c>
      <c r="BV359" s="5"/>
      <c r="BX359" s="5">
        <v>1</v>
      </c>
      <c r="BY359" s="5">
        <f t="shared" si="30"/>
        <v>0</v>
      </c>
      <c r="CA359" s="13">
        <v>1</v>
      </c>
      <c r="CB359" s="5">
        <f t="shared" si="31"/>
        <v>0</v>
      </c>
      <c r="CC359" s="11"/>
      <c r="CE359" s="13"/>
      <c r="CF359" s="5"/>
      <c r="CG359" s="12"/>
      <c r="CI359" s="13"/>
      <c r="CJ359" s="5"/>
      <c r="CK359" s="12"/>
      <c r="CM359" s="13"/>
      <c r="CN359" s="5"/>
      <c r="CO359" s="12"/>
      <c r="CQ359" s="13"/>
      <c r="CR359" s="5"/>
      <c r="CS359" s="12"/>
      <c r="CU359" s="13"/>
      <c r="CV359" s="5"/>
      <c r="CW359" s="12"/>
      <c r="CY359" s="13"/>
      <c r="CZ359" s="5"/>
      <c r="DA359" s="12"/>
      <c r="DC359" s="13"/>
      <c r="DD359" s="5"/>
      <c r="DE359" s="12"/>
      <c r="DG359" s="13"/>
      <c r="DH359" s="5"/>
      <c r="DI359" s="12"/>
      <c r="DK359" s="13"/>
      <c r="DL359" s="5"/>
      <c r="DM359" s="12"/>
      <c r="DO359" s="13"/>
      <c r="DP359" s="5"/>
      <c r="DQ359" s="12"/>
      <c r="DS359" s="5"/>
      <c r="DV359" s="5"/>
      <c r="DW359" s="660">
        <f t="shared" si="3"/>
        <v>0</v>
      </c>
    </row>
    <row r="360" spans="1:127" s="6" customFormat="1" ht="15" customHeight="1">
      <c r="A360" s="3">
        <v>168</v>
      </c>
      <c r="B360" s="210" t="s">
        <v>112</v>
      </c>
      <c r="C360" s="473" t="s">
        <v>515</v>
      </c>
      <c r="D360" s="4"/>
      <c r="E360" s="5"/>
      <c r="F360" s="5"/>
      <c r="G360" s="4"/>
      <c r="H360" s="4"/>
      <c r="I360" s="4"/>
      <c r="J360" s="4"/>
      <c r="K360" s="5">
        <v>1</v>
      </c>
      <c r="L360" s="5">
        <f t="shared" si="18"/>
        <v>0</v>
      </c>
      <c r="M360" s="5"/>
      <c r="O360" s="5">
        <v>1</v>
      </c>
      <c r="P360" s="5">
        <f t="shared" si="19"/>
        <v>0</v>
      </c>
      <c r="Q360" s="5"/>
      <c r="S360" s="5">
        <v>1</v>
      </c>
      <c r="T360" s="5">
        <f t="shared" si="20"/>
        <v>0</v>
      </c>
      <c r="U360" s="5"/>
      <c r="W360" s="5"/>
      <c r="X360" s="5"/>
      <c r="Y360" s="12"/>
      <c r="AA360" s="13"/>
      <c r="AB360" s="12"/>
      <c r="AD360" s="13"/>
      <c r="AE360" s="5"/>
      <c r="AF360" s="5"/>
      <c r="AH360" s="13"/>
      <c r="AI360" s="5"/>
      <c r="AK360" s="5"/>
      <c r="AL360" s="5"/>
      <c r="AM360" s="5"/>
      <c r="AO360" s="5"/>
      <c r="AP360" s="5"/>
      <c r="AR360" s="5">
        <v>1</v>
      </c>
      <c r="AS360" s="5">
        <f t="shared" si="21"/>
        <v>0</v>
      </c>
      <c r="AT360" s="5"/>
      <c r="AV360" s="5">
        <v>1</v>
      </c>
      <c r="AW360" s="5">
        <f t="shared" si="22"/>
        <v>0</v>
      </c>
      <c r="AY360" s="5">
        <v>1</v>
      </c>
      <c r="AZ360" s="5">
        <f t="shared" si="23"/>
        <v>0</v>
      </c>
      <c r="BA360" s="5"/>
      <c r="BC360" s="5">
        <v>1</v>
      </c>
      <c r="BD360" s="5">
        <f t="shared" si="24"/>
        <v>0</v>
      </c>
      <c r="BF360" s="5">
        <v>1</v>
      </c>
      <c r="BG360" s="5">
        <f t="shared" si="25"/>
        <v>0</v>
      </c>
      <c r="BH360" s="5"/>
      <c r="BJ360" s="5">
        <v>1</v>
      </c>
      <c r="BK360" s="5">
        <f t="shared" si="26"/>
        <v>0</v>
      </c>
      <c r="BL360" s="12"/>
      <c r="BM360" s="5">
        <v>1</v>
      </c>
      <c r="BN360" s="5">
        <f t="shared" si="27"/>
        <v>0</v>
      </c>
      <c r="BO360" s="5"/>
      <c r="BQ360" s="5">
        <v>1</v>
      </c>
      <c r="BR360" s="5">
        <f t="shared" si="28"/>
        <v>0</v>
      </c>
      <c r="BT360" s="5">
        <v>1</v>
      </c>
      <c r="BU360" s="5">
        <f t="shared" si="29"/>
        <v>0</v>
      </c>
      <c r="BV360" s="5"/>
      <c r="BX360" s="5">
        <v>1</v>
      </c>
      <c r="BY360" s="5">
        <f t="shared" si="30"/>
        <v>0</v>
      </c>
      <c r="CA360" s="13">
        <v>1</v>
      </c>
      <c r="CB360" s="5">
        <f t="shared" si="31"/>
        <v>0</v>
      </c>
      <c r="CC360" s="11"/>
      <c r="CE360" s="13"/>
      <c r="CF360" s="5"/>
      <c r="CG360" s="12"/>
      <c r="CI360" s="13"/>
      <c r="CJ360" s="5"/>
      <c r="CK360" s="12"/>
      <c r="CM360" s="13"/>
      <c r="CN360" s="5"/>
      <c r="CO360" s="12"/>
      <c r="CQ360" s="13"/>
      <c r="CR360" s="5"/>
      <c r="CS360" s="12"/>
      <c r="CU360" s="13"/>
      <c r="CV360" s="5"/>
      <c r="CW360" s="12"/>
      <c r="CY360" s="13"/>
      <c r="CZ360" s="5"/>
      <c r="DA360" s="12"/>
      <c r="DC360" s="13"/>
      <c r="DD360" s="5"/>
      <c r="DE360" s="12"/>
      <c r="DG360" s="13"/>
      <c r="DH360" s="5"/>
      <c r="DI360" s="12"/>
      <c r="DK360" s="13"/>
      <c r="DL360" s="5"/>
      <c r="DM360" s="12"/>
      <c r="DO360" s="13"/>
      <c r="DP360" s="5"/>
      <c r="DQ360" s="12"/>
      <c r="DS360" s="5"/>
      <c r="DV360" s="5"/>
      <c r="DW360" s="660">
        <f t="shared" si="3"/>
        <v>0</v>
      </c>
    </row>
    <row r="361" spans="1:127" s="6" customFormat="1" ht="15" customHeight="1">
      <c r="A361" s="3">
        <v>169</v>
      </c>
      <c r="B361" s="210" t="s">
        <v>38</v>
      </c>
      <c r="C361" s="473" t="s">
        <v>515</v>
      </c>
      <c r="D361" s="4"/>
      <c r="E361" s="5"/>
      <c r="F361" s="5"/>
      <c r="G361" s="4"/>
      <c r="H361" s="4"/>
      <c r="I361" s="4"/>
      <c r="J361" s="4"/>
      <c r="K361" s="5">
        <v>1</v>
      </c>
      <c r="L361" s="5">
        <f t="shared" si="18"/>
        <v>0</v>
      </c>
      <c r="M361" s="5"/>
      <c r="O361" s="5">
        <v>1</v>
      </c>
      <c r="P361" s="5">
        <f t="shared" si="19"/>
        <v>0</v>
      </c>
      <c r="Q361" s="5"/>
      <c r="S361" s="5">
        <v>1</v>
      </c>
      <c r="T361" s="5">
        <f t="shared" si="20"/>
        <v>0</v>
      </c>
      <c r="U361" s="5"/>
      <c r="W361" s="5"/>
      <c r="X361" s="5"/>
      <c r="Y361" s="12"/>
      <c r="AA361" s="13"/>
      <c r="AB361" s="12"/>
      <c r="AD361" s="13"/>
      <c r="AE361" s="5"/>
      <c r="AF361" s="5"/>
      <c r="AH361" s="13"/>
      <c r="AI361" s="5"/>
      <c r="AK361" s="5"/>
      <c r="AL361" s="5"/>
      <c r="AM361" s="5"/>
      <c r="AO361" s="5"/>
      <c r="AP361" s="5"/>
      <c r="AR361" s="5">
        <v>1</v>
      </c>
      <c r="AS361" s="5">
        <f t="shared" si="21"/>
        <v>0</v>
      </c>
      <c r="AT361" s="5"/>
      <c r="AV361" s="5">
        <v>1</v>
      </c>
      <c r="AW361" s="5">
        <f t="shared" si="22"/>
        <v>0</v>
      </c>
      <c r="AY361" s="5">
        <v>1</v>
      </c>
      <c r="AZ361" s="5">
        <f t="shared" si="23"/>
        <v>0</v>
      </c>
      <c r="BA361" s="5"/>
      <c r="BC361" s="5">
        <v>1</v>
      </c>
      <c r="BD361" s="5">
        <f t="shared" si="24"/>
        <v>0</v>
      </c>
      <c r="BF361" s="5">
        <v>1</v>
      </c>
      <c r="BG361" s="5">
        <f t="shared" si="25"/>
        <v>0</v>
      </c>
      <c r="BH361" s="5"/>
      <c r="BJ361" s="5">
        <v>1</v>
      </c>
      <c r="BK361" s="5">
        <f t="shared" si="26"/>
        <v>0</v>
      </c>
      <c r="BL361" s="12"/>
      <c r="BM361" s="5">
        <v>1</v>
      </c>
      <c r="BN361" s="5">
        <f t="shared" si="27"/>
        <v>0</v>
      </c>
      <c r="BO361" s="5"/>
      <c r="BQ361" s="5">
        <v>1</v>
      </c>
      <c r="BR361" s="5">
        <f t="shared" si="28"/>
        <v>0</v>
      </c>
      <c r="BT361" s="5">
        <v>1</v>
      </c>
      <c r="BU361" s="5">
        <f t="shared" si="29"/>
        <v>0</v>
      </c>
      <c r="BV361" s="5"/>
      <c r="BX361" s="5">
        <v>1</v>
      </c>
      <c r="BY361" s="5">
        <f t="shared" si="30"/>
        <v>0</v>
      </c>
      <c r="CA361" s="13">
        <v>1</v>
      </c>
      <c r="CB361" s="5">
        <f t="shared" si="31"/>
        <v>0</v>
      </c>
      <c r="CC361" s="11"/>
      <c r="CE361" s="13"/>
      <c r="CF361" s="5"/>
      <c r="CG361" s="12"/>
      <c r="CI361" s="13"/>
      <c r="CJ361" s="5"/>
      <c r="CK361" s="12"/>
      <c r="CM361" s="13"/>
      <c r="CN361" s="5"/>
      <c r="CO361" s="12"/>
      <c r="CQ361" s="13"/>
      <c r="CR361" s="5"/>
      <c r="CS361" s="12"/>
      <c r="CU361" s="13"/>
      <c r="CV361" s="5"/>
      <c r="CW361" s="12"/>
      <c r="CY361" s="13"/>
      <c r="CZ361" s="5"/>
      <c r="DA361" s="12"/>
      <c r="DC361" s="13"/>
      <c r="DD361" s="5"/>
      <c r="DE361" s="12"/>
      <c r="DG361" s="13"/>
      <c r="DH361" s="5"/>
      <c r="DI361" s="12"/>
      <c r="DK361" s="13"/>
      <c r="DL361" s="5"/>
      <c r="DM361" s="12"/>
      <c r="DO361" s="13"/>
      <c r="DP361" s="5"/>
      <c r="DQ361" s="12"/>
      <c r="DS361" s="5"/>
      <c r="DV361" s="5"/>
      <c r="DW361" s="660">
        <f t="shared" si="3"/>
        <v>0</v>
      </c>
    </row>
    <row r="362" spans="1:127" s="6" customFormat="1" ht="15" customHeight="1">
      <c r="A362" s="3">
        <v>170</v>
      </c>
      <c r="B362" s="210" t="s">
        <v>113</v>
      </c>
      <c r="C362" s="473" t="s">
        <v>515</v>
      </c>
      <c r="D362" s="4"/>
      <c r="E362" s="5"/>
      <c r="F362" s="5"/>
      <c r="G362" s="4"/>
      <c r="H362" s="4"/>
      <c r="I362" s="4"/>
      <c r="J362" s="4"/>
      <c r="K362" s="5">
        <v>1</v>
      </c>
      <c r="L362" s="5">
        <f t="shared" si="18"/>
        <v>0</v>
      </c>
      <c r="M362" s="5"/>
      <c r="O362" s="5">
        <v>1</v>
      </c>
      <c r="P362" s="5">
        <f t="shared" si="19"/>
        <v>0</v>
      </c>
      <c r="Q362" s="5"/>
      <c r="S362" s="5">
        <v>1</v>
      </c>
      <c r="T362" s="5">
        <f t="shared" si="20"/>
        <v>0</v>
      </c>
      <c r="U362" s="5"/>
      <c r="W362" s="5"/>
      <c r="X362" s="5"/>
      <c r="Y362" s="12"/>
      <c r="AA362" s="13"/>
      <c r="AB362" s="12"/>
      <c r="AD362" s="13"/>
      <c r="AE362" s="5"/>
      <c r="AF362" s="5"/>
      <c r="AH362" s="13"/>
      <c r="AI362" s="5"/>
      <c r="AK362" s="5"/>
      <c r="AL362" s="5"/>
      <c r="AM362" s="5"/>
      <c r="AO362" s="5"/>
      <c r="AP362" s="5"/>
      <c r="AR362" s="5">
        <v>1</v>
      </c>
      <c r="AS362" s="5">
        <f t="shared" si="21"/>
        <v>0</v>
      </c>
      <c r="AT362" s="5"/>
      <c r="AV362" s="5">
        <v>1</v>
      </c>
      <c r="AW362" s="5">
        <f t="shared" si="22"/>
        <v>0</v>
      </c>
      <c r="AY362" s="5">
        <v>1</v>
      </c>
      <c r="AZ362" s="5">
        <f t="shared" si="23"/>
        <v>0</v>
      </c>
      <c r="BA362" s="5"/>
      <c r="BC362" s="5">
        <v>1</v>
      </c>
      <c r="BD362" s="5">
        <f t="shared" si="24"/>
        <v>0</v>
      </c>
      <c r="BF362" s="5">
        <v>1</v>
      </c>
      <c r="BG362" s="5">
        <f t="shared" si="25"/>
        <v>0</v>
      </c>
      <c r="BH362" s="5"/>
      <c r="BJ362" s="5">
        <v>1</v>
      </c>
      <c r="BK362" s="5">
        <f t="shared" si="26"/>
        <v>0</v>
      </c>
      <c r="BL362" s="12"/>
      <c r="BM362" s="5">
        <v>1</v>
      </c>
      <c r="BN362" s="5">
        <f t="shared" si="27"/>
        <v>0</v>
      </c>
      <c r="BO362" s="5"/>
      <c r="BQ362" s="5">
        <v>1</v>
      </c>
      <c r="BR362" s="5">
        <f t="shared" si="28"/>
        <v>0</v>
      </c>
      <c r="BT362" s="5">
        <v>1</v>
      </c>
      <c r="BU362" s="5">
        <f t="shared" si="29"/>
        <v>0</v>
      </c>
      <c r="BV362" s="5"/>
      <c r="BX362" s="5">
        <v>1</v>
      </c>
      <c r="BY362" s="5">
        <f t="shared" si="30"/>
        <v>0</v>
      </c>
      <c r="CA362" s="13">
        <v>1</v>
      </c>
      <c r="CB362" s="5">
        <f t="shared" si="31"/>
        <v>0</v>
      </c>
      <c r="CC362" s="11"/>
      <c r="CE362" s="13"/>
      <c r="CF362" s="5"/>
      <c r="CG362" s="12"/>
      <c r="CI362" s="13"/>
      <c r="CJ362" s="5"/>
      <c r="CK362" s="12"/>
      <c r="CM362" s="13"/>
      <c r="CN362" s="5"/>
      <c r="CO362" s="12"/>
      <c r="CQ362" s="13"/>
      <c r="CR362" s="5"/>
      <c r="CS362" s="12"/>
      <c r="CU362" s="13"/>
      <c r="CV362" s="5"/>
      <c r="CW362" s="12"/>
      <c r="CY362" s="13"/>
      <c r="CZ362" s="5"/>
      <c r="DA362" s="12"/>
      <c r="DC362" s="13"/>
      <c r="DD362" s="5"/>
      <c r="DE362" s="12"/>
      <c r="DG362" s="13"/>
      <c r="DH362" s="5"/>
      <c r="DI362" s="12"/>
      <c r="DK362" s="13"/>
      <c r="DL362" s="5"/>
      <c r="DM362" s="12"/>
      <c r="DO362" s="13"/>
      <c r="DP362" s="5"/>
      <c r="DQ362" s="12"/>
      <c r="DS362" s="5"/>
      <c r="DV362" s="5"/>
      <c r="DW362" s="660">
        <f t="shared" si="3"/>
        <v>0</v>
      </c>
    </row>
    <row r="363" spans="1:127" s="6" customFormat="1" ht="15" customHeight="1">
      <c r="A363" s="3">
        <v>171</v>
      </c>
      <c r="B363" s="210" t="s">
        <v>114</v>
      </c>
      <c r="C363" s="473" t="s">
        <v>515</v>
      </c>
      <c r="D363" s="4"/>
      <c r="E363" s="5"/>
      <c r="F363" s="5"/>
      <c r="G363" s="4"/>
      <c r="H363" s="4"/>
      <c r="I363" s="4"/>
      <c r="J363" s="4"/>
      <c r="K363" s="5">
        <v>1</v>
      </c>
      <c r="L363" s="5">
        <f t="shared" si="18"/>
        <v>0</v>
      </c>
      <c r="M363" s="5"/>
      <c r="O363" s="5">
        <v>1</v>
      </c>
      <c r="P363" s="5">
        <f t="shared" si="19"/>
        <v>0</v>
      </c>
      <c r="Q363" s="5"/>
      <c r="S363" s="5">
        <v>1</v>
      </c>
      <c r="T363" s="5">
        <f t="shared" si="20"/>
        <v>0</v>
      </c>
      <c r="U363" s="5"/>
      <c r="W363" s="5"/>
      <c r="X363" s="5"/>
      <c r="Y363" s="12"/>
      <c r="AA363" s="13"/>
      <c r="AB363" s="12"/>
      <c r="AD363" s="13"/>
      <c r="AE363" s="5"/>
      <c r="AF363" s="5"/>
      <c r="AH363" s="13"/>
      <c r="AI363" s="5"/>
      <c r="AK363" s="5"/>
      <c r="AL363" s="5"/>
      <c r="AM363" s="5"/>
      <c r="AO363" s="5"/>
      <c r="AP363" s="5"/>
      <c r="AR363" s="5">
        <v>1</v>
      </c>
      <c r="AS363" s="5">
        <f t="shared" si="21"/>
        <v>0</v>
      </c>
      <c r="AT363" s="5"/>
      <c r="AV363" s="5">
        <v>1</v>
      </c>
      <c r="AW363" s="5">
        <f t="shared" si="22"/>
        <v>0</v>
      </c>
      <c r="AY363" s="5">
        <v>1</v>
      </c>
      <c r="AZ363" s="5">
        <f t="shared" si="23"/>
        <v>0</v>
      </c>
      <c r="BA363" s="5"/>
      <c r="BC363" s="5">
        <v>1</v>
      </c>
      <c r="BD363" s="5">
        <f t="shared" si="24"/>
        <v>0</v>
      </c>
      <c r="BF363" s="5">
        <v>1</v>
      </c>
      <c r="BG363" s="5">
        <f t="shared" si="25"/>
        <v>0</v>
      </c>
      <c r="BH363" s="5"/>
      <c r="BJ363" s="5">
        <v>1</v>
      </c>
      <c r="BK363" s="5">
        <f t="shared" si="26"/>
        <v>0</v>
      </c>
      <c r="BL363" s="12"/>
      <c r="BM363" s="5">
        <v>1</v>
      </c>
      <c r="BN363" s="5">
        <f t="shared" si="27"/>
        <v>0</v>
      </c>
      <c r="BO363" s="5"/>
      <c r="BQ363" s="5">
        <v>1</v>
      </c>
      <c r="BR363" s="5">
        <f t="shared" si="28"/>
        <v>0</v>
      </c>
      <c r="BT363" s="5">
        <v>1</v>
      </c>
      <c r="BU363" s="5">
        <f t="shared" si="29"/>
        <v>0</v>
      </c>
      <c r="BV363" s="5"/>
      <c r="BX363" s="5">
        <v>1</v>
      </c>
      <c r="BY363" s="5">
        <f t="shared" si="30"/>
        <v>0</v>
      </c>
      <c r="CA363" s="13">
        <v>1</v>
      </c>
      <c r="CB363" s="5">
        <f t="shared" si="31"/>
        <v>0</v>
      </c>
      <c r="CC363" s="11"/>
      <c r="CE363" s="13"/>
      <c r="CF363" s="5"/>
      <c r="CG363" s="12"/>
      <c r="CI363" s="13"/>
      <c r="CJ363" s="5"/>
      <c r="CK363" s="12"/>
      <c r="CM363" s="13"/>
      <c r="CN363" s="5"/>
      <c r="CO363" s="12"/>
      <c r="CQ363" s="13"/>
      <c r="CR363" s="5"/>
      <c r="CS363" s="12"/>
      <c r="CU363" s="13"/>
      <c r="CV363" s="5"/>
      <c r="CW363" s="12"/>
      <c r="CY363" s="13"/>
      <c r="CZ363" s="5"/>
      <c r="DA363" s="12"/>
      <c r="DC363" s="13"/>
      <c r="DD363" s="5"/>
      <c r="DE363" s="12"/>
      <c r="DG363" s="13"/>
      <c r="DH363" s="5"/>
      <c r="DI363" s="12"/>
      <c r="DK363" s="13"/>
      <c r="DL363" s="5"/>
      <c r="DM363" s="12"/>
      <c r="DO363" s="13"/>
      <c r="DP363" s="5"/>
      <c r="DQ363" s="12"/>
      <c r="DS363" s="5"/>
      <c r="DV363" s="5"/>
      <c r="DW363" s="660">
        <f t="shared" si="3"/>
        <v>0</v>
      </c>
    </row>
    <row r="364" spans="1:127" s="6" customFormat="1" ht="15" customHeight="1">
      <c r="A364" s="3">
        <v>172</v>
      </c>
      <c r="B364" s="210" t="s">
        <v>115</v>
      </c>
      <c r="C364" s="473" t="s">
        <v>515</v>
      </c>
      <c r="D364" s="4"/>
      <c r="E364" s="5"/>
      <c r="F364" s="5"/>
      <c r="G364" s="4"/>
      <c r="H364" s="4"/>
      <c r="I364" s="4"/>
      <c r="J364" s="4"/>
      <c r="K364" s="5">
        <v>1</v>
      </c>
      <c r="L364" s="5">
        <f t="shared" si="18"/>
        <v>0</v>
      </c>
      <c r="M364" s="5"/>
      <c r="O364" s="5">
        <v>1</v>
      </c>
      <c r="P364" s="5">
        <f t="shared" si="19"/>
        <v>0</v>
      </c>
      <c r="Q364" s="5"/>
      <c r="S364" s="5">
        <v>1</v>
      </c>
      <c r="T364" s="5">
        <f t="shared" si="20"/>
        <v>0</v>
      </c>
      <c r="U364" s="5"/>
      <c r="W364" s="5"/>
      <c r="X364" s="5"/>
      <c r="Y364" s="12"/>
      <c r="AA364" s="13"/>
      <c r="AB364" s="12"/>
      <c r="AD364" s="13"/>
      <c r="AE364" s="5"/>
      <c r="AF364" s="5"/>
      <c r="AH364" s="13"/>
      <c r="AI364" s="5"/>
      <c r="AK364" s="5"/>
      <c r="AL364" s="5"/>
      <c r="AM364" s="5"/>
      <c r="AO364" s="5"/>
      <c r="AP364" s="5"/>
      <c r="AR364" s="5">
        <v>1</v>
      </c>
      <c r="AS364" s="5">
        <f t="shared" si="21"/>
        <v>0</v>
      </c>
      <c r="AT364" s="5"/>
      <c r="AV364" s="5">
        <v>1</v>
      </c>
      <c r="AW364" s="5">
        <f t="shared" si="22"/>
        <v>0</v>
      </c>
      <c r="AY364" s="5">
        <v>1</v>
      </c>
      <c r="AZ364" s="5">
        <f t="shared" si="23"/>
        <v>0</v>
      </c>
      <c r="BA364" s="5"/>
      <c r="BC364" s="5">
        <v>1</v>
      </c>
      <c r="BD364" s="5">
        <f t="shared" si="24"/>
        <v>0</v>
      </c>
      <c r="BF364" s="5">
        <v>1</v>
      </c>
      <c r="BG364" s="5">
        <f t="shared" si="25"/>
        <v>0</v>
      </c>
      <c r="BH364" s="5"/>
      <c r="BJ364" s="5">
        <v>1</v>
      </c>
      <c r="BK364" s="5">
        <f t="shared" si="26"/>
        <v>0</v>
      </c>
      <c r="BL364" s="12"/>
      <c r="BM364" s="5">
        <v>1</v>
      </c>
      <c r="BN364" s="5">
        <f t="shared" si="27"/>
        <v>0</v>
      </c>
      <c r="BO364" s="5"/>
      <c r="BQ364" s="5">
        <v>1</v>
      </c>
      <c r="BR364" s="5">
        <f t="shared" si="28"/>
        <v>0</v>
      </c>
      <c r="BT364" s="5">
        <v>1</v>
      </c>
      <c r="BU364" s="5">
        <f t="shared" si="29"/>
        <v>0</v>
      </c>
      <c r="BV364" s="5"/>
      <c r="BX364" s="5">
        <v>1</v>
      </c>
      <c r="BY364" s="5">
        <f t="shared" si="30"/>
        <v>0</v>
      </c>
      <c r="CA364" s="13">
        <v>1</v>
      </c>
      <c r="CB364" s="5">
        <f t="shared" si="31"/>
        <v>0</v>
      </c>
      <c r="CC364" s="11"/>
      <c r="CE364" s="13"/>
      <c r="CF364" s="5"/>
      <c r="CG364" s="12"/>
      <c r="CI364" s="13"/>
      <c r="CJ364" s="5"/>
      <c r="CK364" s="12"/>
      <c r="CM364" s="13"/>
      <c r="CN364" s="5"/>
      <c r="CO364" s="12"/>
      <c r="CQ364" s="13"/>
      <c r="CR364" s="5"/>
      <c r="CS364" s="12"/>
      <c r="CU364" s="13"/>
      <c r="CV364" s="5"/>
      <c r="CW364" s="12"/>
      <c r="CY364" s="13"/>
      <c r="CZ364" s="5"/>
      <c r="DA364" s="12"/>
      <c r="DC364" s="13"/>
      <c r="DD364" s="5"/>
      <c r="DE364" s="12"/>
      <c r="DG364" s="13"/>
      <c r="DH364" s="5"/>
      <c r="DI364" s="12"/>
      <c r="DK364" s="13"/>
      <c r="DL364" s="5"/>
      <c r="DM364" s="12"/>
      <c r="DO364" s="13"/>
      <c r="DP364" s="5"/>
      <c r="DQ364" s="12"/>
      <c r="DS364" s="5"/>
      <c r="DV364" s="5"/>
      <c r="DW364" s="660">
        <f t="shared" si="3"/>
        <v>0</v>
      </c>
    </row>
    <row r="365" spans="1:127" s="6" customFormat="1" ht="15" customHeight="1">
      <c r="A365" s="3">
        <v>173</v>
      </c>
      <c r="B365" s="210" t="s">
        <v>116</v>
      </c>
      <c r="C365" s="473" t="s">
        <v>515</v>
      </c>
      <c r="D365" s="4"/>
      <c r="E365" s="5"/>
      <c r="F365" s="5"/>
      <c r="G365" s="4"/>
      <c r="H365" s="4"/>
      <c r="I365" s="4"/>
      <c r="J365" s="4"/>
      <c r="K365" s="5">
        <v>1</v>
      </c>
      <c r="L365" s="5">
        <f t="shared" si="18"/>
        <v>0</v>
      </c>
      <c r="M365" s="5"/>
      <c r="O365" s="5">
        <v>1</v>
      </c>
      <c r="P365" s="5">
        <f t="shared" si="19"/>
        <v>0</v>
      </c>
      <c r="Q365" s="5"/>
      <c r="S365" s="5">
        <v>1</v>
      </c>
      <c r="T365" s="5">
        <f t="shared" si="20"/>
        <v>0</v>
      </c>
      <c r="U365" s="5"/>
      <c r="W365" s="5"/>
      <c r="X365" s="5"/>
      <c r="Y365" s="12"/>
      <c r="AA365" s="13"/>
      <c r="AB365" s="12"/>
      <c r="AD365" s="13"/>
      <c r="AE365" s="5"/>
      <c r="AF365" s="5"/>
      <c r="AH365" s="13"/>
      <c r="AI365" s="5"/>
      <c r="AK365" s="5"/>
      <c r="AL365" s="5"/>
      <c r="AM365" s="5"/>
      <c r="AO365" s="5"/>
      <c r="AP365" s="5"/>
      <c r="AR365" s="5">
        <v>1</v>
      </c>
      <c r="AS365" s="5">
        <f t="shared" si="21"/>
        <v>0</v>
      </c>
      <c r="AT365" s="5"/>
      <c r="AV365" s="5">
        <v>1</v>
      </c>
      <c r="AW365" s="5">
        <f t="shared" si="22"/>
        <v>0</v>
      </c>
      <c r="AY365" s="5">
        <v>1</v>
      </c>
      <c r="AZ365" s="5">
        <f t="shared" si="23"/>
        <v>0</v>
      </c>
      <c r="BA365" s="5"/>
      <c r="BC365" s="5">
        <v>1</v>
      </c>
      <c r="BD365" s="5">
        <f t="shared" si="24"/>
        <v>0</v>
      </c>
      <c r="BF365" s="5">
        <v>1</v>
      </c>
      <c r="BG365" s="5">
        <f t="shared" si="25"/>
        <v>0</v>
      </c>
      <c r="BH365" s="5"/>
      <c r="BJ365" s="5">
        <v>1</v>
      </c>
      <c r="BK365" s="5">
        <f t="shared" si="26"/>
        <v>0</v>
      </c>
      <c r="BL365" s="12"/>
      <c r="BM365" s="5">
        <v>1</v>
      </c>
      <c r="BN365" s="5">
        <f t="shared" si="27"/>
        <v>0</v>
      </c>
      <c r="BO365" s="5"/>
      <c r="BQ365" s="5">
        <v>1</v>
      </c>
      <c r="BR365" s="5">
        <f t="shared" si="28"/>
        <v>0</v>
      </c>
      <c r="BT365" s="5">
        <v>1</v>
      </c>
      <c r="BU365" s="5">
        <f t="shared" si="29"/>
        <v>0</v>
      </c>
      <c r="BV365" s="5"/>
      <c r="BX365" s="5">
        <v>1</v>
      </c>
      <c r="BY365" s="5">
        <f t="shared" si="30"/>
        <v>0</v>
      </c>
      <c r="CA365" s="13">
        <v>1</v>
      </c>
      <c r="CB365" s="5">
        <f t="shared" si="31"/>
        <v>0</v>
      </c>
      <c r="CC365" s="11"/>
      <c r="CE365" s="13"/>
      <c r="CF365" s="5"/>
      <c r="CG365" s="12"/>
      <c r="CI365" s="13"/>
      <c r="CJ365" s="5"/>
      <c r="CK365" s="12"/>
      <c r="CM365" s="13"/>
      <c r="CN365" s="5"/>
      <c r="CO365" s="12"/>
      <c r="CQ365" s="13"/>
      <c r="CR365" s="5"/>
      <c r="CS365" s="12"/>
      <c r="CU365" s="13"/>
      <c r="CV365" s="5"/>
      <c r="CW365" s="12"/>
      <c r="CY365" s="13"/>
      <c r="CZ365" s="5"/>
      <c r="DA365" s="12"/>
      <c r="DC365" s="13"/>
      <c r="DD365" s="5"/>
      <c r="DE365" s="12"/>
      <c r="DG365" s="13"/>
      <c r="DH365" s="5"/>
      <c r="DI365" s="12"/>
      <c r="DK365" s="13"/>
      <c r="DL365" s="5"/>
      <c r="DM365" s="12"/>
      <c r="DO365" s="13"/>
      <c r="DP365" s="5"/>
      <c r="DQ365" s="12"/>
      <c r="DS365" s="5"/>
      <c r="DV365" s="5"/>
      <c r="DW365" s="660">
        <f t="shared" si="3"/>
        <v>0</v>
      </c>
    </row>
    <row r="366" spans="1:127" s="6" customFormat="1" ht="15" customHeight="1">
      <c r="A366" s="3"/>
      <c r="B366" s="210" t="s">
        <v>404</v>
      </c>
      <c r="C366" s="473" t="s">
        <v>515</v>
      </c>
      <c r="D366" s="4"/>
      <c r="E366" s="5"/>
      <c r="F366" s="5"/>
      <c r="G366" s="4"/>
      <c r="H366" s="4"/>
      <c r="I366" s="4"/>
      <c r="J366" s="4"/>
      <c r="K366" s="5"/>
      <c r="L366" s="5"/>
      <c r="M366" s="5"/>
      <c r="O366" s="5">
        <v>1</v>
      </c>
      <c r="P366" s="5"/>
      <c r="Q366" s="5"/>
      <c r="S366" s="5"/>
      <c r="T366" s="5"/>
      <c r="U366" s="5"/>
      <c r="W366" s="5"/>
      <c r="X366" s="5"/>
      <c r="Y366" s="12"/>
      <c r="AA366" s="13"/>
      <c r="AB366" s="12"/>
      <c r="AD366" s="13"/>
      <c r="AE366" s="5"/>
      <c r="AF366" s="5"/>
      <c r="AH366" s="13"/>
      <c r="AI366" s="5"/>
      <c r="AK366" s="5"/>
      <c r="AL366" s="5"/>
      <c r="AM366" s="5"/>
      <c r="AO366" s="5"/>
      <c r="AP366" s="5"/>
      <c r="AR366" s="5"/>
      <c r="AS366" s="5"/>
      <c r="AT366" s="5"/>
      <c r="AV366" s="5"/>
      <c r="AW366" s="5"/>
      <c r="AY366" s="5"/>
      <c r="AZ366" s="5"/>
      <c r="BA366" s="5"/>
      <c r="BC366" s="5"/>
      <c r="BD366" s="5"/>
      <c r="BF366" s="5"/>
      <c r="BG366" s="5"/>
      <c r="BH366" s="5"/>
      <c r="BJ366" s="5"/>
      <c r="BK366" s="5"/>
      <c r="BL366" s="12"/>
      <c r="BM366" s="5"/>
      <c r="BN366" s="5"/>
      <c r="BO366" s="5"/>
      <c r="BQ366" s="5"/>
      <c r="BR366" s="5"/>
      <c r="BT366" s="5"/>
      <c r="BU366" s="5"/>
      <c r="BV366" s="5"/>
      <c r="BX366" s="5"/>
      <c r="BY366" s="5"/>
      <c r="CA366" s="13"/>
      <c r="CB366" s="7"/>
      <c r="CC366" s="11"/>
      <c r="CE366" s="13"/>
      <c r="CF366" s="5"/>
      <c r="CG366" s="12"/>
      <c r="CI366" s="13"/>
      <c r="CJ366" s="5"/>
      <c r="CK366" s="12"/>
      <c r="CM366" s="13"/>
      <c r="CN366" s="5"/>
      <c r="CO366" s="12"/>
      <c r="CQ366" s="13"/>
      <c r="CR366" s="5"/>
      <c r="CS366" s="12"/>
      <c r="CU366" s="13"/>
      <c r="CV366" s="5"/>
      <c r="CW366" s="12"/>
      <c r="CY366" s="13"/>
      <c r="CZ366" s="5"/>
      <c r="DA366" s="12"/>
      <c r="DC366" s="13"/>
      <c r="DD366" s="5"/>
      <c r="DE366" s="12"/>
      <c r="DG366" s="13"/>
      <c r="DH366" s="5"/>
      <c r="DI366" s="12"/>
      <c r="DK366" s="13"/>
      <c r="DL366" s="5"/>
      <c r="DM366" s="12"/>
      <c r="DO366" s="13"/>
      <c r="DP366" s="5"/>
      <c r="DQ366" s="12"/>
      <c r="DS366" s="5"/>
      <c r="DV366" s="5"/>
      <c r="DW366" s="660">
        <f t="shared" si="3"/>
        <v>0</v>
      </c>
    </row>
    <row r="367" spans="1:127" s="6" customFormat="1" ht="15" customHeight="1">
      <c r="A367" s="3"/>
      <c r="B367" s="210" t="s">
        <v>405</v>
      </c>
      <c r="C367" s="473" t="s">
        <v>515</v>
      </c>
      <c r="D367" s="4"/>
      <c r="E367" s="5"/>
      <c r="F367" s="5"/>
      <c r="G367" s="4"/>
      <c r="H367" s="4"/>
      <c r="I367" s="4"/>
      <c r="J367" s="4"/>
      <c r="K367" s="5"/>
      <c r="L367" s="5"/>
      <c r="M367" s="5"/>
      <c r="O367" s="5">
        <v>1</v>
      </c>
      <c r="P367" s="5"/>
      <c r="Q367" s="5"/>
      <c r="S367" s="5"/>
      <c r="T367" s="5"/>
      <c r="U367" s="5"/>
      <c r="W367" s="5"/>
      <c r="X367" s="5"/>
      <c r="Y367" s="12"/>
      <c r="AA367" s="13"/>
      <c r="AB367" s="12"/>
      <c r="AD367" s="13"/>
      <c r="AE367" s="5"/>
      <c r="AF367" s="5"/>
      <c r="AH367" s="13"/>
      <c r="AI367" s="5"/>
      <c r="AK367" s="5"/>
      <c r="AL367" s="5"/>
      <c r="AM367" s="5"/>
      <c r="AO367" s="5"/>
      <c r="AP367" s="5"/>
      <c r="AR367" s="5"/>
      <c r="AS367" s="5"/>
      <c r="AT367" s="5"/>
      <c r="AV367" s="5"/>
      <c r="AW367" s="5"/>
      <c r="AY367" s="5"/>
      <c r="AZ367" s="5"/>
      <c r="BA367" s="5"/>
      <c r="BC367" s="5"/>
      <c r="BD367" s="5"/>
      <c r="BF367" s="5"/>
      <c r="BG367" s="5"/>
      <c r="BH367" s="5"/>
      <c r="BJ367" s="5"/>
      <c r="BK367" s="5"/>
      <c r="BL367" s="12"/>
      <c r="BM367" s="5"/>
      <c r="BN367" s="5"/>
      <c r="BO367" s="5"/>
      <c r="BQ367" s="5"/>
      <c r="BR367" s="5"/>
      <c r="BT367" s="5"/>
      <c r="BU367" s="5"/>
      <c r="BV367" s="5"/>
      <c r="BX367" s="5"/>
      <c r="BY367" s="5"/>
      <c r="CA367" s="13"/>
      <c r="CB367" s="7"/>
      <c r="CC367" s="11"/>
      <c r="CE367" s="13"/>
      <c r="CF367" s="5"/>
      <c r="CG367" s="12"/>
      <c r="CI367" s="13"/>
      <c r="CJ367" s="5"/>
      <c r="CK367" s="12"/>
      <c r="CM367" s="13"/>
      <c r="CN367" s="5"/>
      <c r="CO367" s="12"/>
      <c r="CQ367" s="13"/>
      <c r="CR367" s="5"/>
      <c r="CS367" s="12"/>
      <c r="CU367" s="13"/>
      <c r="CV367" s="5"/>
      <c r="CW367" s="12"/>
      <c r="CY367" s="13"/>
      <c r="CZ367" s="5"/>
      <c r="DA367" s="12"/>
      <c r="DC367" s="13"/>
      <c r="DD367" s="5"/>
      <c r="DE367" s="12"/>
      <c r="DG367" s="13"/>
      <c r="DH367" s="5"/>
      <c r="DI367" s="12"/>
      <c r="DK367" s="13"/>
      <c r="DL367" s="5"/>
      <c r="DM367" s="12"/>
      <c r="DO367" s="13"/>
      <c r="DP367" s="5"/>
      <c r="DQ367" s="12"/>
      <c r="DS367" s="5"/>
      <c r="DV367" s="5"/>
      <c r="DW367" s="660">
        <f t="shared" si="3"/>
        <v>0</v>
      </c>
    </row>
    <row r="368" spans="1:127" s="6" customFormat="1" ht="15" customHeight="1">
      <c r="A368" s="3"/>
      <c r="B368" s="210" t="s">
        <v>406</v>
      </c>
      <c r="C368" s="473" t="s">
        <v>515</v>
      </c>
      <c r="D368" s="4"/>
      <c r="E368" s="5"/>
      <c r="F368" s="5"/>
      <c r="G368" s="4"/>
      <c r="H368" s="4"/>
      <c r="I368" s="4"/>
      <c r="J368" s="4"/>
      <c r="K368" s="5"/>
      <c r="L368" s="5"/>
      <c r="M368" s="5"/>
      <c r="O368" s="5">
        <v>1</v>
      </c>
      <c r="P368" s="5"/>
      <c r="Q368" s="5"/>
      <c r="S368" s="5"/>
      <c r="T368" s="5"/>
      <c r="U368" s="5"/>
      <c r="W368" s="5"/>
      <c r="X368" s="5"/>
      <c r="Y368" s="12"/>
      <c r="AA368" s="13"/>
      <c r="AB368" s="12"/>
      <c r="AD368" s="13"/>
      <c r="AE368" s="5"/>
      <c r="AF368" s="5"/>
      <c r="AH368" s="13"/>
      <c r="AI368" s="5"/>
      <c r="AK368" s="5"/>
      <c r="AL368" s="5"/>
      <c r="AM368" s="5"/>
      <c r="AO368" s="5"/>
      <c r="AP368" s="5"/>
      <c r="AR368" s="5"/>
      <c r="AS368" s="5"/>
      <c r="AT368" s="5"/>
      <c r="AV368" s="5"/>
      <c r="AW368" s="5"/>
      <c r="AY368" s="5"/>
      <c r="AZ368" s="5"/>
      <c r="BA368" s="5"/>
      <c r="BC368" s="5"/>
      <c r="BD368" s="5"/>
      <c r="BF368" s="5"/>
      <c r="BG368" s="5"/>
      <c r="BH368" s="5"/>
      <c r="BJ368" s="5"/>
      <c r="BK368" s="5"/>
      <c r="BL368" s="12"/>
      <c r="BM368" s="5"/>
      <c r="BN368" s="5"/>
      <c r="BO368" s="5"/>
      <c r="BQ368" s="5"/>
      <c r="BR368" s="5"/>
      <c r="BT368" s="5"/>
      <c r="BU368" s="5"/>
      <c r="BV368" s="5"/>
      <c r="BX368" s="5"/>
      <c r="BY368" s="5"/>
      <c r="CA368" s="13"/>
      <c r="CB368" s="7"/>
      <c r="CC368" s="11"/>
      <c r="CE368" s="13"/>
      <c r="CF368" s="5"/>
      <c r="CG368" s="12"/>
      <c r="CI368" s="13"/>
      <c r="CJ368" s="5"/>
      <c r="CK368" s="12"/>
      <c r="CM368" s="13"/>
      <c r="CN368" s="5"/>
      <c r="CO368" s="12"/>
      <c r="CQ368" s="13"/>
      <c r="CR368" s="5"/>
      <c r="CS368" s="12"/>
      <c r="CU368" s="13"/>
      <c r="CV368" s="5"/>
      <c r="CW368" s="12"/>
      <c r="CY368" s="13"/>
      <c r="CZ368" s="5"/>
      <c r="DA368" s="12"/>
      <c r="DC368" s="13"/>
      <c r="DD368" s="5"/>
      <c r="DE368" s="12"/>
      <c r="DG368" s="13"/>
      <c r="DH368" s="5"/>
      <c r="DI368" s="12"/>
      <c r="DK368" s="13"/>
      <c r="DL368" s="5"/>
      <c r="DM368" s="12"/>
      <c r="DO368" s="13"/>
      <c r="DP368" s="5"/>
      <c r="DQ368" s="12"/>
      <c r="DS368" s="5"/>
      <c r="DV368" s="5"/>
      <c r="DW368" s="660">
        <f t="shared" si="3"/>
        <v>0</v>
      </c>
    </row>
    <row r="369" spans="1:128" s="6" customFormat="1" ht="15" customHeight="1">
      <c r="A369" s="3">
        <v>174</v>
      </c>
      <c r="B369" s="210" t="s">
        <v>33</v>
      </c>
      <c r="C369" s="473" t="s">
        <v>515</v>
      </c>
      <c r="D369" s="4"/>
      <c r="E369" s="5"/>
      <c r="F369" s="5"/>
      <c r="G369" s="4"/>
      <c r="H369" s="4"/>
      <c r="I369" s="4"/>
      <c r="J369" s="4"/>
      <c r="K369" s="5"/>
      <c r="L369" s="5"/>
      <c r="M369" s="5"/>
      <c r="O369" s="5"/>
      <c r="P369" s="5"/>
      <c r="Q369" s="5"/>
      <c r="S369" s="5"/>
      <c r="T369" s="5"/>
      <c r="U369" s="5"/>
      <c r="W369" s="5"/>
      <c r="X369" s="5"/>
      <c r="Y369" s="12"/>
      <c r="AA369" s="13"/>
      <c r="AB369" s="12"/>
      <c r="AD369" s="13"/>
      <c r="AE369" s="5"/>
      <c r="AF369" s="5"/>
      <c r="AH369" s="13"/>
      <c r="AI369" s="5"/>
      <c r="AK369" s="5"/>
      <c r="AL369" s="5"/>
      <c r="AM369" s="5"/>
      <c r="AO369" s="5"/>
      <c r="AP369" s="5"/>
      <c r="AR369" s="5"/>
      <c r="AS369" s="5"/>
      <c r="AT369" s="5"/>
      <c r="AV369" s="5"/>
      <c r="AW369" s="5"/>
      <c r="AY369" s="5"/>
      <c r="AZ369" s="5"/>
      <c r="BA369" s="5"/>
      <c r="BC369" s="5"/>
      <c r="BD369" s="5"/>
      <c r="BF369" s="5"/>
      <c r="BG369" s="5"/>
      <c r="BH369" s="5"/>
      <c r="BJ369" s="5"/>
      <c r="BK369" s="5"/>
      <c r="BL369" s="12"/>
      <c r="BM369" s="5"/>
      <c r="BN369" s="5"/>
      <c r="BO369" s="5"/>
      <c r="BQ369" s="5"/>
      <c r="BR369" s="5"/>
      <c r="BT369" s="5"/>
      <c r="BU369" s="5"/>
      <c r="BV369" s="5"/>
      <c r="BX369" s="5"/>
      <c r="BY369" s="5"/>
      <c r="CA369" s="13"/>
      <c r="CB369" s="7"/>
      <c r="CC369" s="11"/>
      <c r="CE369" s="13">
        <v>2</v>
      </c>
      <c r="CF369" s="5">
        <f>SUM(CF5:CG26)*CE369</f>
        <v>0</v>
      </c>
      <c r="CG369" s="12"/>
      <c r="CI369" s="13">
        <v>2</v>
      </c>
      <c r="CJ369" s="5">
        <f>SUM(CJ5:CK26)*CI369</f>
        <v>0</v>
      </c>
      <c r="CK369" s="12"/>
      <c r="CM369" s="13">
        <v>2</v>
      </c>
      <c r="CN369" s="5">
        <f>SUM(CN5:CO26)*CM369</f>
        <v>0</v>
      </c>
      <c r="CO369" s="12"/>
      <c r="CQ369" s="13">
        <v>2</v>
      </c>
      <c r="CR369" s="5">
        <f>SUM(CR5:CS26)*CQ369</f>
        <v>0</v>
      </c>
      <c r="CS369" s="12"/>
      <c r="CU369" s="13">
        <v>2</v>
      </c>
      <c r="CV369" s="5">
        <f>SUM(CV5:CW26)*CU369</f>
        <v>0</v>
      </c>
      <c r="CW369" s="12"/>
      <c r="CY369" s="13">
        <v>2</v>
      </c>
      <c r="CZ369" s="5">
        <f>SUM(CZ5:DA26)*CY369</f>
        <v>0</v>
      </c>
      <c r="DA369" s="12"/>
      <c r="DC369" s="13">
        <v>2</v>
      </c>
      <c r="DD369" s="5">
        <f>SUM(DD5:DE26)*DC369</f>
        <v>0</v>
      </c>
      <c r="DE369" s="12"/>
      <c r="DG369" s="13">
        <v>2</v>
      </c>
      <c r="DH369" s="5">
        <f>SUM(DH5:DI26)*DG369</f>
        <v>0</v>
      </c>
      <c r="DI369" s="12"/>
      <c r="DK369" s="13">
        <v>2</v>
      </c>
      <c r="DL369" s="5">
        <f>SUM(DL5:DM26)*DK369</f>
        <v>0</v>
      </c>
      <c r="DM369" s="12"/>
      <c r="DO369" s="13">
        <v>2</v>
      </c>
      <c r="DP369" s="5">
        <f>SUM(DP5:DQ26)*DO369</f>
        <v>0</v>
      </c>
      <c r="DQ369" s="12"/>
      <c r="DS369" s="5"/>
      <c r="DV369" s="5"/>
      <c r="DW369" s="660">
        <f t="shared" si="3"/>
        <v>0</v>
      </c>
    </row>
    <row r="370" spans="1:128" s="6" customFormat="1" ht="15" customHeight="1">
      <c r="A370" s="3"/>
      <c r="B370" s="210" t="s">
        <v>1512</v>
      </c>
      <c r="C370" s="473" t="s">
        <v>0</v>
      </c>
      <c r="D370" s="4"/>
      <c r="E370" s="5"/>
      <c r="F370" s="5"/>
      <c r="G370" s="4"/>
      <c r="H370" s="4"/>
      <c r="I370" s="4"/>
      <c r="J370" s="4"/>
      <c r="K370" s="5"/>
      <c r="L370" s="5"/>
      <c r="M370" s="5"/>
      <c r="O370" s="5"/>
      <c r="P370" s="5"/>
      <c r="Q370" s="5"/>
      <c r="S370" s="5"/>
      <c r="T370" s="5"/>
      <c r="U370" s="5"/>
      <c r="W370" s="5"/>
      <c r="X370" s="5"/>
      <c r="Y370" s="12"/>
      <c r="AA370" s="13"/>
      <c r="AB370" s="12"/>
      <c r="AD370" s="13"/>
      <c r="AE370" s="5"/>
      <c r="AF370" s="5"/>
      <c r="AH370" s="13"/>
      <c r="AI370" s="5"/>
      <c r="AK370" s="5"/>
      <c r="AL370" s="5"/>
      <c r="AM370" s="5"/>
      <c r="AO370" s="5"/>
      <c r="AP370" s="5"/>
      <c r="AR370" s="5"/>
      <c r="AS370" s="5"/>
      <c r="AT370" s="5"/>
      <c r="AV370" s="5"/>
      <c r="AW370" s="5"/>
      <c r="AY370" s="5"/>
      <c r="AZ370" s="5"/>
      <c r="BA370" s="5"/>
      <c r="BC370" s="5"/>
      <c r="BD370" s="5"/>
      <c r="BF370" s="5"/>
      <c r="BG370" s="5"/>
      <c r="BH370" s="5"/>
      <c r="BJ370" s="5"/>
      <c r="BK370" s="5"/>
      <c r="BL370" s="12"/>
      <c r="BM370" s="5"/>
      <c r="BN370" s="5"/>
      <c r="BO370" s="5"/>
      <c r="BQ370" s="5"/>
      <c r="BR370" s="5"/>
      <c r="BT370" s="5"/>
      <c r="BU370" s="5"/>
      <c r="BV370" s="5"/>
      <c r="BX370" s="5"/>
      <c r="BY370" s="5"/>
      <c r="CA370" s="13"/>
      <c r="CB370" s="7"/>
      <c r="CC370" s="11"/>
      <c r="CE370" s="13"/>
      <c r="CF370" s="5"/>
      <c r="CG370" s="12"/>
      <c r="CI370" s="13"/>
      <c r="CJ370" s="5"/>
      <c r="CK370" s="12"/>
      <c r="CM370" s="13"/>
      <c r="CN370" s="5"/>
      <c r="CO370" s="12"/>
      <c r="CQ370" s="13"/>
      <c r="CR370" s="5"/>
      <c r="CS370" s="12"/>
      <c r="CU370" s="13"/>
      <c r="CV370" s="5"/>
      <c r="CW370" s="12"/>
      <c r="CY370" s="13"/>
      <c r="CZ370" s="5"/>
      <c r="DA370" s="12"/>
      <c r="DC370" s="13"/>
      <c r="DD370" s="5"/>
      <c r="DE370" s="12"/>
      <c r="DG370" s="13"/>
      <c r="DH370" s="5"/>
      <c r="DI370" s="12"/>
      <c r="DK370" s="13"/>
      <c r="DL370" s="5"/>
      <c r="DM370" s="12"/>
      <c r="DO370" s="13"/>
      <c r="DP370" s="5"/>
      <c r="DQ370" s="12"/>
      <c r="DS370" s="5"/>
      <c r="DV370" s="5"/>
      <c r="DW370" s="660">
        <f t="shared" si="3"/>
        <v>0</v>
      </c>
    </row>
    <row r="371" spans="1:128" s="6" customFormat="1" ht="15" customHeight="1">
      <c r="A371" s="3"/>
      <c r="B371" s="210" t="s">
        <v>1513</v>
      </c>
      <c r="C371" s="473" t="s">
        <v>0</v>
      </c>
      <c r="D371" s="4"/>
      <c r="E371" s="5"/>
      <c r="F371" s="5"/>
      <c r="G371" s="4"/>
      <c r="H371" s="4"/>
      <c r="I371" s="4"/>
      <c r="J371" s="4"/>
      <c r="K371" s="5"/>
      <c r="L371" s="5"/>
      <c r="M371" s="5"/>
      <c r="O371" s="5"/>
      <c r="P371" s="5"/>
      <c r="Q371" s="5"/>
      <c r="S371" s="5"/>
      <c r="T371" s="5"/>
      <c r="U371" s="5"/>
      <c r="W371" s="5"/>
      <c r="X371" s="5"/>
      <c r="Y371" s="12"/>
      <c r="AA371" s="13"/>
      <c r="AB371" s="12"/>
      <c r="AD371" s="13"/>
      <c r="AE371" s="5"/>
      <c r="AF371" s="5"/>
      <c r="AH371" s="13"/>
      <c r="AI371" s="5"/>
      <c r="AK371" s="5"/>
      <c r="AL371" s="5"/>
      <c r="AM371" s="5"/>
      <c r="AO371" s="5"/>
      <c r="AP371" s="5"/>
      <c r="AR371" s="5"/>
      <c r="AS371" s="5"/>
      <c r="AT371" s="5"/>
      <c r="AV371" s="5"/>
      <c r="AW371" s="5"/>
      <c r="AY371" s="5"/>
      <c r="AZ371" s="5"/>
      <c r="BA371" s="5"/>
      <c r="BC371" s="5"/>
      <c r="BD371" s="5"/>
      <c r="BF371" s="5"/>
      <c r="BG371" s="5"/>
      <c r="BH371" s="5"/>
      <c r="BJ371" s="5"/>
      <c r="BK371" s="5"/>
      <c r="BL371" s="12"/>
      <c r="BM371" s="5"/>
      <c r="BN371" s="5"/>
      <c r="BO371" s="5"/>
      <c r="BQ371" s="5"/>
      <c r="BR371" s="5"/>
      <c r="BT371" s="5"/>
      <c r="BU371" s="5"/>
      <c r="BV371" s="5"/>
      <c r="BX371" s="5"/>
      <c r="BY371" s="5"/>
      <c r="CA371" s="13"/>
      <c r="CB371" s="7"/>
      <c r="CC371" s="11"/>
      <c r="CE371" s="13"/>
      <c r="CF371" s="5"/>
      <c r="CG371" s="12"/>
      <c r="CI371" s="13"/>
      <c r="CJ371" s="5"/>
      <c r="CK371" s="12"/>
      <c r="CM371" s="13"/>
      <c r="CN371" s="5"/>
      <c r="CO371" s="12"/>
      <c r="CQ371" s="13"/>
      <c r="CR371" s="5"/>
      <c r="CS371" s="12"/>
      <c r="CU371" s="13"/>
      <c r="CV371" s="5"/>
      <c r="CW371" s="12"/>
      <c r="CY371" s="13"/>
      <c r="CZ371" s="5"/>
      <c r="DA371" s="12"/>
      <c r="DC371" s="13"/>
      <c r="DD371" s="5"/>
      <c r="DE371" s="12"/>
      <c r="DG371" s="13"/>
      <c r="DH371" s="5"/>
      <c r="DI371" s="12"/>
      <c r="DK371" s="13"/>
      <c r="DL371" s="5"/>
      <c r="DM371" s="12"/>
      <c r="DO371" s="13"/>
      <c r="DP371" s="5"/>
      <c r="DQ371" s="12"/>
      <c r="DS371" s="5"/>
      <c r="DV371" s="5"/>
      <c r="DW371" s="660">
        <f t="shared" si="3"/>
        <v>0</v>
      </c>
    </row>
    <row r="372" spans="1:128" s="6" customFormat="1" ht="15" customHeight="1">
      <c r="A372" s="3"/>
      <c r="B372" s="210" t="s">
        <v>1514</v>
      </c>
      <c r="C372" s="473" t="s">
        <v>0</v>
      </c>
      <c r="D372" s="4"/>
      <c r="E372" s="5"/>
      <c r="F372" s="5"/>
      <c r="G372" s="4"/>
      <c r="H372" s="4"/>
      <c r="I372" s="4"/>
      <c r="J372" s="4"/>
      <c r="K372" s="5"/>
      <c r="L372" s="5"/>
      <c r="M372" s="5"/>
      <c r="O372" s="5"/>
      <c r="P372" s="5"/>
      <c r="Q372" s="5"/>
      <c r="S372" s="5"/>
      <c r="T372" s="5"/>
      <c r="U372" s="5"/>
      <c r="W372" s="5"/>
      <c r="X372" s="5"/>
      <c r="Y372" s="12"/>
      <c r="AA372" s="13"/>
      <c r="AB372" s="12"/>
      <c r="AD372" s="13"/>
      <c r="AE372" s="5"/>
      <c r="AF372" s="5"/>
      <c r="AH372" s="13"/>
      <c r="AI372" s="5"/>
      <c r="AK372" s="5"/>
      <c r="AL372" s="5"/>
      <c r="AM372" s="5"/>
      <c r="AO372" s="5"/>
      <c r="AP372" s="5"/>
      <c r="AR372" s="5"/>
      <c r="AS372" s="5"/>
      <c r="AT372" s="5"/>
      <c r="AV372" s="5"/>
      <c r="AW372" s="5"/>
      <c r="AY372" s="5"/>
      <c r="AZ372" s="5"/>
      <c r="BA372" s="5"/>
      <c r="BC372" s="5"/>
      <c r="BD372" s="5"/>
      <c r="BF372" s="5"/>
      <c r="BG372" s="5"/>
      <c r="BH372" s="5"/>
      <c r="BJ372" s="5"/>
      <c r="BK372" s="5"/>
      <c r="BL372" s="12"/>
      <c r="BM372" s="5"/>
      <c r="BN372" s="5"/>
      <c r="BO372" s="5"/>
      <c r="BQ372" s="5"/>
      <c r="BR372" s="5"/>
      <c r="BT372" s="5"/>
      <c r="BU372" s="5"/>
      <c r="BV372" s="5"/>
      <c r="BX372" s="5"/>
      <c r="BY372" s="5"/>
      <c r="CA372" s="13"/>
      <c r="CB372" s="7"/>
      <c r="CC372" s="11"/>
      <c r="CE372" s="13"/>
      <c r="CF372" s="5"/>
      <c r="CG372" s="12"/>
      <c r="CI372" s="13"/>
      <c r="CJ372" s="5"/>
      <c r="CK372" s="12"/>
      <c r="CM372" s="13"/>
      <c r="CN372" s="5"/>
      <c r="CO372" s="12"/>
      <c r="CQ372" s="13"/>
      <c r="CR372" s="5"/>
      <c r="CS372" s="12"/>
      <c r="CU372" s="13"/>
      <c r="CV372" s="5"/>
      <c r="CW372" s="12"/>
      <c r="CY372" s="13"/>
      <c r="CZ372" s="5"/>
      <c r="DA372" s="12"/>
      <c r="DC372" s="13"/>
      <c r="DD372" s="5"/>
      <c r="DE372" s="12"/>
      <c r="DG372" s="13"/>
      <c r="DH372" s="5"/>
      <c r="DI372" s="12"/>
      <c r="DK372" s="13"/>
      <c r="DL372" s="5"/>
      <c r="DM372" s="12"/>
      <c r="DO372" s="13"/>
      <c r="DP372" s="5"/>
      <c r="DQ372" s="12"/>
      <c r="DS372" s="5"/>
      <c r="DV372" s="5"/>
      <c r="DW372" s="660">
        <f t="shared" si="3"/>
        <v>0</v>
      </c>
    </row>
    <row r="373" spans="1:128" s="6" customFormat="1">
      <c r="A373" s="3" t="s">
        <v>225</v>
      </c>
      <c r="B373" s="210" t="s">
        <v>225</v>
      </c>
      <c r="C373" s="473" t="s">
        <v>515</v>
      </c>
      <c r="D373" s="4"/>
      <c r="E373" s="5"/>
      <c r="F373" s="5"/>
      <c r="G373" s="4"/>
      <c r="H373" s="4"/>
      <c r="I373" s="4"/>
      <c r="J373" s="4"/>
      <c r="K373" s="5"/>
      <c r="L373" s="5"/>
      <c r="M373" s="5"/>
      <c r="O373" s="5"/>
      <c r="P373" s="5"/>
      <c r="Q373" s="5"/>
      <c r="S373" s="5"/>
      <c r="T373" s="5"/>
      <c r="U373" s="5"/>
      <c r="W373" s="5"/>
      <c r="X373" s="5"/>
      <c r="Y373" s="12"/>
      <c r="AA373" s="13"/>
      <c r="AB373" s="5"/>
      <c r="AD373" s="13"/>
      <c r="AE373" s="5"/>
      <c r="AF373" s="5"/>
      <c r="AH373" s="13"/>
      <c r="AI373" s="5"/>
      <c r="AK373" s="5"/>
      <c r="AL373" s="5"/>
      <c r="AM373" s="5"/>
      <c r="AO373" s="5"/>
      <c r="AP373" s="5"/>
      <c r="AR373" s="5"/>
      <c r="AS373" s="5"/>
      <c r="AT373" s="5"/>
      <c r="AV373" s="5"/>
      <c r="AW373" s="5"/>
      <c r="AY373" s="5"/>
      <c r="AZ373" s="5"/>
      <c r="BA373" s="5"/>
      <c r="BC373" s="5"/>
      <c r="BD373" s="5"/>
      <c r="BF373" s="5"/>
      <c r="BG373" s="5"/>
      <c r="BH373" s="5"/>
      <c r="BJ373" s="5"/>
      <c r="BK373" s="5"/>
      <c r="BL373" s="12"/>
      <c r="BM373" s="5"/>
      <c r="BN373" s="5"/>
      <c r="BO373" s="5"/>
      <c r="BQ373" s="5"/>
      <c r="BR373" s="5"/>
      <c r="BT373" s="5"/>
      <c r="BU373" s="5"/>
      <c r="BV373" s="5"/>
      <c r="BX373" s="5"/>
      <c r="BY373" s="5"/>
      <c r="CA373" s="13"/>
      <c r="CB373" s="5"/>
      <c r="CC373" s="11"/>
      <c r="CE373" s="13"/>
      <c r="CF373" s="5"/>
      <c r="CG373" s="12"/>
      <c r="CI373" s="13"/>
      <c r="CJ373" s="5"/>
      <c r="CK373" s="12"/>
      <c r="CM373" s="13"/>
      <c r="CN373" s="5"/>
      <c r="CO373" s="12"/>
      <c r="CQ373" s="13"/>
      <c r="CR373" s="5"/>
      <c r="CS373" s="12"/>
      <c r="CU373" s="13"/>
      <c r="CV373" s="5"/>
      <c r="CW373" s="12"/>
      <c r="CY373" s="13"/>
      <c r="CZ373" s="5"/>
      <c r="DA373" s="12"/>
      <c r="DC373" s="13"/>
      <c r="DD373" s="5"/>
      <c r="DE373" s="12"/>
      <c r="DG373" s="13"/>
      <c r="DH373" s="5"/>
      <c r="DI373" s="12"/>
      <c r="DK373" s="13"/>
      <c r="DL373" s="5"/>
      <c r="DM373" s="12"/>
      <c r="DO373" s="13"/>
      <c r="DP373" s="5"/>
      <c r="DQ373" s="12"/>
      <c r="DS373" s="5"/>
      <c r="DV373" s="5"/>
      <c r="DW373" s="660">
        <f t="shared" si="3"/>
        <v>0</v>
      </c>
    </row>
    <row r="374" spans="1:128" s="6" customFormat="1" ht="15" customHeight="1">
      <c r="A374" s="3">
        <v>176</v>
      </c>
      <c r="B374" s="210" t="s">
        <v>34</v>
      </c>
      <c r="C374" s="473" t="s">
        <v>515</v>
      </c>
      <c r="D374" s="4"/>
      <c r="E374" s="5"/>
      <c r="F374" s="5"/>
      <c r="G374" s="4"/>
      <c r="H374" s="4"/>
      <c r="I374" s="4"/>
      <c r="J374" s="4"/>
      <c r="K374" s="5"/>
      <c r="L374" s="5"/>
      <c r="M374" s="5">
        <f>C14</f>
        <v>0</v>
      </c>
      <c r="O374" s="5"/>
      <c r="P374" s="5"/>
      <c r="Q374" s="5"/>
      <c r="S374" s="5"/>
      <c r="T374" s="5"/>
      <c r="U374" s="5"/>
      <c r="W374" s="5"/>
      <c r="X374" s="5"/>
      <c r="Y374" s="12"/>
      <c r="AA374" s="13"/>
      <c r="AB374" s="12"/>
      <c r="AD374" s="13"/>
      <c r="AE374" s="5"/>
      <c r="AF374" s="5"/>
      <c r="AH374" s="13"/>
      <c r="AI374" s="5"/>
      <c r="AK374" s="5"/>
      <c r="AL374" s="5"/>
      <c r="AM374" s="5"/>
      <c r="AO374" s="5"/>
      <c r="AP374" s="5"/>
      <c r="AR374" s="5"/>
      <c r="AS374" s="5"/>
      <c r="AT374" s="5"/>
      <c r="AV374" s="5"/>
      <c r="AW374" s="5"/>
      <c r="AY374" s="5"/>
      <c r="AZ374" s="5"/>
      <c r="BA374" s="5"/>
      <c r="BC374" s="5"/>
      <c r="BD374" s="5"/>
      <c r="BF374" s="5"/>
      <c r="BG374" s="5"/>
      <c r="BH374" s="5"/>
      <c r="BJ374" s="5"/>
      <c r="BK374" s="5"/>
      <c r="BL374" s="12"/>
      <c r="BM374" s="5"/>
      <c r="BN374" s="5"/>
      <c r="BO374" s="5"/>
      <c r="BQ374" s="5"/>
      <c r="BR374" s="5"/>
      <c r="BT374" s="5"/>
      <c r="BU374" s="5"/>
      <c r="BV374" s="5"/>
      <c r="BX374" s="5"/>
      <c r="BY374" s="5"/>
      <c r="CA374" s="13"/>
      <c r="CB374" s="7"/>
      <c r="CC374" s="11"/>
      <c r="CE374" s="13"/>
      <c r="CF374" s="5"/>
      <c r="CG374" s="12"/>
      <c r="CI374" s="13"/>
      <c r="CJ374" s="5"/>
      <c r="CK374" s="12"/>
      <c r="CM374" s="13"/>
      <c r="CN374" s="5"/>
      <c r="CO374" s="12"/>
      <c r="CQ374" s="13"/>
      <c r="CR374" s="5"/>
      <c r="CS374" s="12"/>
      <c r="CU374" s="13"/>
      <c r="CV374" s="5"/>
      <c r="CW374" s="12"/>
      <c r="CY374" s="13"/>
      <c r="CZ374" s="5"/>
      <c r="DA374" s="12"/>
      <c r="DC374" s="13"/>
      <c r="DD374" s="5"/>
      <c r="DE374" s="12"/>
      <c r="DG374" s="13"/>
      <c r="DH374" s="5"/>
      <c r="DI374" s="12"/>
      <c r="DK374" s="13"/>
      <c r="DL374" s="5"/>
      <c r="DM374" s="12"/>
      <c r="DO374" s="13"/>
      <c r="DP374" s="5"/>
      <c r="DQ374" s="12"/>
      <c r="DS374" s="5"/>
      <c r="DV374" s="5"/>
      <c r="DW374" s="660">
        <f t="shared" si="3"/>
        <v>0</v>
      </c>
    </row>
    <row r="375" spans="1:128" s="6" customFormat="1" ht="15" customHeight="1">
      <c r="A375" s="3">
        <v>177</v>
      </c>
      <c r="B375" s="210" t="s">
        <v>230</v>
      </c>
      <c r="C375" s="473" t="s">
        <v>515</v>
      </c>
      <c r="D375" s="4"/>
      <c r="E375" s="5"/>
      <c r="F375" s="5"/>
      <c r="G375" s="4"/>
      <c r="H375" s="4"/>
      <c r="I375" s="4"/>
      <c r="J375" s="4"/>
      <c r="K375" s="5"/>
      <c r="L375" s="5"/>
      <c r="M375" s="5"/>
      <c r="O375" s="5"/>
      <c r="P375" s="5"/>
      <c r="Q375" s="5"/>
      <c r="S375" s="5"/>
      <c r="T375" s="5"/>
      <c r="U375" s="5"/>
      <c r="W375" s="5"/>
      <c r="X375" s="5"/>
      <c r="Y375" s="12"/>
      <c r="AA375" s="13"/>
      <c r="AB375" s="12"/>
      <c r="AD375" s="13"/>
      <c r="AE375" s="5"/>
      <c r="AF375" s="5"/>
      <c r="AH375" s="13"/>
      <c r="AI375" s="5"/>
      <c r="AK375" s="5"/>
      <c r="AL375" s="5"/>
      <c r="AM375" s="5"/>
      <c r="AO375" s="5"/>
      <c r="AP375" s="5"/>
      <c r="AR375" s="5"/>
      <c r="AS375" s="5"/>
      <c r="AT375" s="5"/>
      <c r="AV375" s="5"/>
      <c r="AW375" s="5"/>
      <c r="AY375" s="5"/>
      <c r="AZ375" s="5"/>
      <c r="BA375" s="5"/>
      <c r="BC375" s="5"/>
      <c r="BD375" s="5"/>
      <c r="BF375" s="5"/>
      <c r="BG375" s="5"/>
      <c r="BH375" s="5"/>
      <c r="BJ375" s="5"/>
      <c r="BK375" s="5"/>
      <c r="BL375" s="12"/>
      <c r="BM375" s="5"/>
      <c r="BN375" s="5"/>
      <c r="BO375" s="5"/>
      <c r="BQ375" s="5"/>
      <c r="BR375" s="5"/>
      <c r="BT375" s="5"/>
      <c r="BU375" s="5"/>
      <c r="BV375" s="5"/>
      <c r="BX375" s="5"/>
      <c r="BY375" s="5"/>
      <c r="CA375" s="13">
        <v>1</v>
      </c>
      <c r="CB375" s="5">
        <f>CB16*CA375+CC16*CA375+CB17*CA375+CC17*CA375+CB18*CA375+CC18*CA375+CB19*CA375+CC19*CA375+CB20*CA375+CC20*CA375+CB21*CA375+CC21*CA375+CB22*CA375+CC22*CA375+CB23*CA375+CC23*CA375+CB24*CA375+CC24*CA375+CB25*CA375+CC25*CA375+CB26*CA375+CC26*CA375</f>
        <v>0</v>
      </c>
      <c r="CC375" s="11"/>
      <c r="CE375" s="13"/>
      <c r="CF375" s="5"/>
      <c r="CG375" s="12"/>
      <c r="CI375" s="13"/>
      <c r="CJ375" s="5"/>
      <c r="CK375" s="12"/>
      <c r="CM375" s="13"/>
      <c r="CN375" s="5"/>
      <c r="CO375" s="12"/>
      <c r="CQ375" s="13"/>
      <c r="CR375" s="5"/>
      <c r="CS375" s="12"/>
      <c r="CU375" s="13"/>
      <c r="CV375" s="5"/>
      <c r="CW375" s="12"/>
      <c r="CY375" s="13"/>
      <c r="CZ375" s="5"/>
      <c r="DA375" s="12"/>
      <c r="DC375" s="13"/>
      <c r="DD375" s="5"/>
      <c r="DE375" s="12"/>
      <c r="DG375" s="13"/>
      <c r="DH375" s="5"/>
      <c r="DI375" s="12"/>
      <c r="DK375" s="13"/>
      <c r="DL375" s="5"/>
      <c r="DM375" s="12"/>
      <c r="DO375" s="13"/>
      <c r="DP375" s="5"/>
      <c r="DQ375" s="12"/>
      <c r="DS375" s="5"/>
      <c r="DV375" s="5"/>
      <c r="DW375" s="660">
        <f t="shared" si="3"/>
        <v>0</v>
      </c>
    </row>
    <row r="376" spans="1:128" s="6" customFormat="1" ht="15" customHeight="1">
      <c r="A376" s="3">
        <v>178</v>
      </c>
      <c r="B376" s="210" t="s">
        <v>238</v>
      </c>
      <c r="C376" s="473" t="s">
        <v>515</v>
      </c>
      <c r="D376" s="4"/>
      <c r="E376" s="5"/>
      <c r="F376" s="5"/>
      <c r="G376" s="4"/>
      <c r="H376" s="4"/>
      <c r="I376" s="4"/>
      <c r="J376" s="4"/>
      <c r="K376" s="5"/>
      <c r="L376" s="5"/>
      <c r="M376" s="5"/>
      <c r="O376" s="5"/>
      <c r="P376" s="5"/>
      <c r="Q376" s="5"/>
      <c r="S376" s="5"/>
      <c r="T376" s="5"/>
      <c r="U376" s="5"/>
      <c r="W376" s="5"/>
      <c r="X376" s="5"/>
      <c r="Y376" s="12"/>
      <c r="AA376" s="13"/>
      <c r="AB376" s="12"/>
      <c r="AD376" s="13"/>
      <c r="AE376" s="5"/>
      <c r="AF376" s="5"/>
      <c r="AH376" s="13"/>
      <c r="AI376" s="5"/>
      <c r="AK376" s="5"/>
      <c r="AL376" s="5"/>
      <c r="AM376" s="5"/>
      <c r="AO376" s="5"/>
      <c r="AP376" s="5"/>
      <c r="AR376" s="5"/>
      <c r="AS376" s="5"/>
      <c r="AT376" s="5"/>
      <c r="AV376" s="5"/>
      <c r="AW376" s="5"/>
      <c r="AY376" s="5"/>
      <c r="AZ376" s="5"/>
      <c r="BA376" s="5"/>
      <c r="BC376" s="5"/>
      <c r="BD376" s="5"/>
      <c r="BF376" s="5"/>
      <c r="BG376" s="5"/>
      <c r="BH376" s="5"/>
      <c r="BJ376" s="5"/>
      <c r="BK376" s="5"/>
      <c r="BL376" s="12"/>
      <c r="BM376" s="5"/>
      <c r="BN376" s="5"/>
      <c r="BO376" s="5"/>
      <c r="BQ376" s="5"/>
      <c r="BR376" s="5"/>
      <c r="BT376" s="5"/>
      <c r="BU376" s="5"/>
      <c r="BV376" s="5"/>
      <c r="BX376" s="5"/>
      <c r="BY376" s="5"/>
      <c r="CA376" s="13"/>
      <c r="CB376" s="7"/>
      <c r="CC376" s="11"/>
      <c r="CE376" s="13"/>
      <c r="CF376" s="5"/>
      <c r="CG376" s="12"/>
      <c r="CI376" s="13"/>
      <c r="CJ376" s="5"/>
      <c r="CK376" s="12"/>
      <c r="CM376" s="13"/>
      <c r="CN376" s="5"/>
      <c r="CO376" s="12"/>
      <c r="CQ376" s="13"/>
      <c r="CR376" s="5"/>
      <c r="CS376" s="12"/>
      <c r="CU376" s="13"/>
      <c r="CV376" s="5"/>
      <c r="CW376" s="12"/>
      <c r="CY376" s="13"/>
      <c r="CZ376" s="5"/>
      <c r="DA376" s="12"/>
      <c r="DC376" s="13"/>
      <c r="DD376" s="5"/>
      <c r="DE376" s="12"/>
      <c r="DG376" s="13"/>
      <c r="DH376" s="5"/>
      <c r="DI376" s="12"/>
      <c r="DK376" s="13"/>
      <c r="DL376" s="5"/>
      <c r="DM376" s="12"/>
      <c r="DO376" s="13"/>
      <c r="DP376" s="5"/>
      <c r="DQ376" s="12"/>
      <c r="DS376" s="5"/>
      <c r="DV376" s="5"/>
      <c r="DW376" s="660">
        <f t="shared" si="3"/>
        <v>0</v>
      </c>
    </row>
    <row r="377" spans="1:128" s="6" customFormat="1" ht="15" customHeight="1">
      <c r="A377" s="3">
        <v>179</v>
      </c>
      <c r="B377" s="210" t="s">
        <v>239</v>
      </c>
      <c r="C377" s="473" t="s">
        <v>515</v>
      </c>
      <c r="D377" s="4"/>
      <c r="E377" s="5"/>
      <c r="F377" s="5"/>
      <c r="G377" s="4"/>
      <c r="H377" s="4"/>
      <c r="I377" s="4"/>
      <c r="J377" s="4"/>
      <c r="K377" s="5"/>
      <c r="L377" s="5"/>
      <c r="M377" s="5"/>
      <c r="O377" s="5"/>
      <c r="P377" s="5"/>
      <c r="Q377" s="5"/>
      <c r="S377" s="5"/>
      <c r="T377" s="5"/>
      <c r="U377" s="5"/>
      <c r="W377" s="5"/>
      <c r="X377" s="5"/>
      <c r="Y377" s="12"/>
      <c r="AA377" s="13"/>
      <c r="AB377" s="12"/>
      <c r="AD377" s="13"/>
      <c r="AE377" s="5"/>
      <c r="AF377" s="5"/>
      <c r="AH377" s="13"/>
      <c r="AI377" s="5"/>
      <c r="AK377" s="5"/>
      <c r="AL377" s="5"/>
      <c r="AM377" s="5"/>
      <c r="AO377" s="5"/>
      <c r="AP377" s="5"/>
      <c r="AR377" s="5"/>
      <c r="AS377" s="5"/>
      <c r="AT377" s="5"/>
      <c r="AV377" s="5"/>
      <c r="AW377" s="5"/>
      <c r="AY377" s="5"/>
      <c r="AZ377" s="5"/>
      <c r="BA377" s="5"/>
      <c r="BC377" s="5"/>
      <c r="BD377" s="5"/>
      <c r="BF377" s="5"/>
      <c r="BG377" s="5"/>
      <c r="BH377" s="5"/>
      <c r="BJ377" s="5"/>
      <c r="BK377" s="5"/>
      <c r="BL377" s="12"/>
      <c r="BM377" s="5"/>
      <c r="BN377" s="5"/>
      <c r="BO377" s="5"/>
      <c r="BQ377" s="5"/>
      <c r="BR377" s="5"/>
      <c r="BT377" s="5"/>
      <c r="BU377" s="5"/>
      <c r="BV377" s="5"/>
      <c r="BX377" s="5"/>
      <c r="BY377" s="5"/>
      <c r="CA377" s="13"/>
      <c r="CB377" s="7"/>
      <c r="CC377" s="11"/>
      <c r="CE377" s="13"/>
      <c r="CF377" s="5"/>
      <c r="CG377" s="12"/>
      <c r="CI377" s="13"/>
      <c r="CJ377" s="5"/>
      <c r="CK377" s="12"/>
      <c r="CM377" s="13"/>
      <c r="CN377" s="5"/>
      <c r="CO377" s="12"/>
      <c r="CQ377" s="13"/>
      <c r="CR377" s="5"/>
      <c r="CS377" s="12"/>
      <c r="CU377" s="13"/>
      <c r="CV377" s="5"/>
      <c r="CW377" s="12"/>
      <c r="CY377" s="13"/>
      <c r="CZ377" s="5"/>
      <c r="DA377" s="12"/>
      <c r="DC377" s="13"/>
      <c r="DD377" s="5"/>
      <c r="DE377" s="12"/>
      <c r="DG377" s="13"/>
      <c r="DH377" s="5"/>
      <c r="DI377" s="12"/>
      <c r="DK377" s="13"/>
      <c r="DL377" s="5"/>
      <c r="DM377" s="12"/>
      <c r="DO377" s="13"/>
      <c r="DP377" s="5"/>
      <c r="DQ377" s="12"/>
      <c r="DS377" s="5"/>
      <c r="DV377" s="5"/>
      <c r="DW377" s="660">
        <f t="shared" si="3"/>
        <v>0</v>
      </c>
    </row>
    <row r="378" spans="1:128" s="6" customFormat="1" ht="15" customHeight="1">
      <c r="A378" s="3">
        <v>180</v>
      </c>
      <c r="B378" s="210" t="s">
        <v>240</v>
      </c>
      <c r="C378" s="473" t="s">
        <v>515</v>
      </c>
      <c r="D378" s="4"/>
      <c r="E378" s="5"/>
      <c r="F378" s="5"/>
      <c r="G378" s="4"/>
      <c r="H378" s="4"/>
      <c r="I378" s="4"/>
      <c r="J378" s="4"/>
      <c r="K378" s="5"/>
      <c r="L378" s="5"/>
      <c r="M378" s="5"/>
      <c r="O378" s="5"/>
      <c r="P378" s="5"/>
      <c r="Q378" s="5"/>
      <c r="S378" s="5"/>
      <c r="T378" s="5"/>
      <c r="U378" s="5"/>
      <c r="W378" s="5"/>
      <c r="X378" s="5"/>
      <c r="Y378" s="12"/>
      <c r="AA378" s="13"/>
      <c r="AB378" s="12"/>
      <c r="AD378" s="13"/>
      <c r="AE378" s="5"/>
      <c r="AF378" s="5"/>
      <c r="AH378" s="13"/>
      <c r="AI378" s="5"/>
      <c r="AK378" s="5"/>
      <c r="AL378" s="5"/>
      <c r="AM378" s="5"/>
      <c r="AO378" s="5"/>
      <c r="AP378" s="5"/>
      <c r="AR378" s="5"/>
      <c r="AS378" s="5"/>
      <c r="AT378" s="5"/>
      <c r="AV378" s="5"/>
      <c r="AW378" s="5"/>
      <c r="AY378" s="5"/>
      <c r="AZ378" s="5"/>
      <c r="BA378" s="5"/>
      <c r="BC378" s="5"/>
      <c r="BD378" s="5"/>
      <c r="BF378" s="5"/>
      <c r="BG378" s="5"/>
      <c r="BH378" s="5"/>
      <c r="BJ378" s="5"/>
      <c r="BK378" s="5"/>
      <c r="BL378" s="12"/>
      <c r="BM378" s="5"/>
      <c r="BN378" s="5"/>
      <c r="BO378" s="5"/>
      <c r="BQ378" s="5"/>
      <c r="BR378" s="5"/>
      <c r="BT378" s="5"/>
      <c r="BU378" s="5"/>
      <c r="BV378" s="5"/>
      <c r="BX378" s="5"/>
      <c r="BY378" s="5"/>
      <c r="CA378" s="13"/>
      <c r="CB378" s="7"/>
      <c r="CC378" s="11"/>
      <c r="CE378" s="13"/>
      <c r="CF378" s="5"/>
      <c r="CG378" s="12"/>
      <c r="CI378" s="13"/>
      <c r="CJ378" s="5"/>
      <c r="CK378" s="12"/>
      <c r="CM378" s="13"/>
      <c r="CN378" s="5"/>
      <c r="CO378" s="12"/>
      <c r="CQ378" s="13"/>
      <c r="CR378" s="5"/>
      <c r="CS378" s="12"/>
      <c r="CU378" s="13"/>
      <c r="CV378" s="5"/>
      <c r="CW378" s="12"/>
      <c r="CY378" s="13"/>
      <c r="CZ378" s="5"/>
      <c r="DA378" s="12"/>
      <c r="DC378" s="13"/>
      <c r="DD378" s="5"/>
      <c r="DE378" s="12"/>
      <c r="DG378" s="13"/>
      <c r="DH378" s="5"/>
      <c r="DI378" s="12"/>
      <c r="DK378" s="13"/>
      <c r="DL378" s="5"/>
      <c r="DM378" s="12"/>
      <c r="DO378" s="13"/>
      <c r="DP378" s="5"/>
      <c r="DQ378" s="12"/>
      <c r="DS378" s="5"/>
      <c r="DV378" s="5"/>
      <c r="DW378" s="660">
        <f t="shared" si="3"/>
        <v>0</v>
      </c>
    </row>
    <row r="379" spans="1:128" s="6" customFormat="1" ht="15" customHeight="1">
      <c r="A379" s="3"/>
      <c r="B379" s="210" t="s">
        <v>1515</v>
      </c>
      <c r="C379" s="473" t="s">
        <v>0</v>
      </c>
      <c r="D379" s="4"/>
      <c r="E379" s="5"/>
      <c r="F379" s="5"/>
      <c r="G379" s="4"/>
      <c r="H379" s="4"/>
      <c r="I379" s="4"/>
      <c r="J379" s="4"/>
      <c r="K379" s="5"/>
      <c r="L379" s="5"/>
      <c r="M379" s="5"/>
      <c r="O379" s="5"/>
      <c r="P379" s="5"/>
      <c r="Q379" s="5"/>
      <c r="S379" s="5"/>
      <c r="T379" s="5"/>
      <c r="U379" s="5"/>
      <c r="W379" s="5"/>
      <c r="X379" s="5"/>
      <c r="Y379" s="12"/>
      <c r="AA379" s="13"/>
      <c r="AB379" s="12"/>
      <c r="AD379" s="13"/>
      <c r="AE379" s="5"/>
      <c r="AF379" s="5"/>
      <c r="AH379" s="13"/>
      <c r="AI379" s="5"/>
      <c r="AK379" s="5"/>
      <c r="AL379" s="5"/>
      <c r="AM379" s="5"/>
      <c r="AO379" s="5"/>
      <c r="AP379" s="5"/>
      <c r="AR379" s="5"/>
      <c r="AS379" s="5"/>
      <c r="AT379" s="5"/>
      <c r="AV379" s="5"/>
      <c r="AW379" s="5"/>
      <c r="AY379" s="5"/>
      <c r="AZ379" s="5"/>
      <c r="BA379" s="5"/>
      <c r="BC379" s="5"/>
      <c r="BD379" s="5"/>
      <c r="BF379" s="5"/>
      <c r="BG379" s="5"/>
      <c r="BH379" s="5"/>
      <c r="BJ379" s="5"/>
      <c r="BK379" s="5"/>
      <c r="BL379" s="12"/>
      <c r="BM379" s="5"/>
      <c r="BN379" s="5"/>
      <c r="BO379" s="5"/>
      <c r="BQ379" s="5"/>
      <c r="BR379" s="5"/>
      <c r="BT379" s="5"/>
      <c r="BU379" s="5"/>
      <c r="BV379" s="5"/>
      <c r="BX379" s="5"/>
      <c r="BY379" s="5"/>
      <c r="CA379" s="13"/>
      <c r="CB379" s="7"/>
      <c r="CC379" s="11"/>
      <c r="CE379" s="13"/>
      <c r="CF379" s="5"/>
      <c r="CG379" s="12"/>
      <c r="CI379" s="13"/>
      <c r="CJ379" s="5"/>
      <c r="CK379" s="12"/>
      <c r="CM379" s="13"/>
      <c r="CN379" s="5"/>
      <c r="CO379" s="12"/>
      <c r="CQ379" s="13"/>
      <c r="CR379" s="5"/>
      <c r="CS379" s="12"/>
      <c r="CU379" s="13"/>
      <c r="CV379" s="5"/>
      <c r="CW379" s="12"/>
      <c r="CY379" s="13"/>
      <c r="CZ379" s="5"/>
      <c r="DA379" s="12"/>
      <c r="DC379" s="13"/>
      <c r="DD379" s="5"/>
      <c r="DE379" s="12"/>
      <c r="DG379" s="13"/>
      <c r="DH379" s="5"/>
      <c r="DI379" s="12"/>
      <c r="DK379" s="13"/>
      <c r="DL379" s="5"/>
      <c r="DM379" s="12"/>
      <c r="DO379" s="13"/>
      <c r="DP379" s="5"/>
      <c r="DQ379" s="12"/>
      <c r="DS379" s="5"/>
      <c r="DV379" s="5"/>
      <c r="DW379" s="660">
        <f t="shared" si="3"/>
        <v>0</v>
      </c>
    </row>
    <row r="380" spans="1:128" s="6" customFormat="1" ht="15" customHeight="1">
      <c r="A380" s="3">
        <v>181</v>
      </c>
      <c r="B380" s="210" t="s">
        <v>241</v>
      </c>
      <c r="C380" s="473" t="s">
        <v>515</v>
      </c>
      <c r="D380" s="4"/>
      <c r="E380" s="5"/>
      <c r="F380" s="5"/>
      <c r="G380" s="4"/>
      <c r="H380" s="4"/>
      <c r="I380" s="4"/>
      <c r="J380" s="4"/>
      <c r="K380" s="5"/>
      <c r="L380" s="5"/>
      <c r="M380" s="5"/>
      <c r="O380" s="5"/>
      <c r="P380" s="5"/>
      <c r="Q380" s="5"/>
      <c r="S380" s="5"/>
      <c r="T380" s="5"/>
      <c r="U380" s="5"/>
      <c r="W380" s="5"/>
      <c r="X380" s="5"/>
      <c r="Y380" s="12"/>
      <c r="AA380" s="13"/>
      <c r="AB380" s="12"/>
      <c r="AD380" s="13"/>
      <c r="AE380" s="5"/>
      <c r="AF380" s="5"/>
      <c r="AH380" s="13"/>
      <c r="AI380" s="5"/>
      <c r="AK380" s="5"/>
      <c r="AL380" s="5"/>
      <c r="AM380" s="5"/>
      <c r="AO380" s="5"/>
      <c r="AP380" s="5"/>
      <c r="AR380" s="5"/>
      <c r="AS380" s="5"/>
      <c r="AT380" s="5"/>
      <c r="AV380" s="5"/>
      <c r="AW380" s="5"/>
      <c r="AY380" s="5"/>
      <c r="AZ380" s="5"/>
      <c r="BA380" s="5"/>
      <c r="BC380" s="5"/>
      <c r="BD380" s="5"/>
      <c r="BF380" s="5"/>
      <c r="BG380" s="5"/>
      <c r="BH380" s="5"/>
      <c r="BJ380" s="5"/>
      <c r="BK380" s="5"/>
      <c r="BL380" s="12"/>
      <c r="BM380" s="5"/>
      <c r="BN380" s="5"/>
      <c r="BO380" s="5"/>
      <c r="BQ380" s="5"/>
      <c r="BR380" s="5"/>
      <c r="BT380" s="5"/>
      <c r="BU380" s="5"/>
      <c r="BV380" s="5"/>
      <c r="BX380" s="5"/>
      <c r="BY380" s="5"/>
      <c r="CA380" s="13"/>
      <c r="CB380" s="7"/>
      <c r="CC380" s="11"/>
      <c r="CE380" s="13"/>
      <c r="CF380" s="5"/>
      <c r="CG380" s="12"/>
      <c r="CI380" s="13"/>
      <c r="CJ380" s="5"/>
      <c r="CK380" s="12"/>
      <c r="CM380" s="13"/>
      <c r="CN380" s="5"/>
      <c r="CO380" s="12"/>
      <c r="CQ380" s="13"/>
      <c r="CR380" s="5"/>
      <c r="CS380" s="12"/>
      <c r="CU380" s="13"/>
      <c r="CV380" s="5"/>
      <c r="CW380" s="12"/>
      <c r="CY380" s="13"/>
      <c r="CZ380" s="5"/>
      <c r="DA380" s="12"/>
      <c r="DC380" s="13"/>
      <c r="DD380" s="5"/>
      <c r="DE380" s="12"/>
      <c r="DG380" s="13"/>
      <c r="DH380" s="5"/>
      <c r="DI380" s="12"/>
      <c r="DK380" s="13"/>
      <c r="DL380" s="5"/>
      <c r="DM380" s="12"/>
      <c r="DO380" s="13"/>
      <c r="DP380" s="5"/>
      <c r="DQ380" s="12"/>
      <c r="DS380" s="5"/>
      <c r="DV380" s="5"/>
      <c r="DW380" s="660">
        <f t="shared" si="3"/>
        <v>0</v>
      </c>
    </row>
    <row r="381" spans="1:128" s="6" customFormat="1" ht="15" customHeight="1">
      <c r="A381" s="3">
        <v>182</v>
      </c>
      <c r="B381" s="210" t="s">
        <v>237</v>
      </c>
      <c r="C381" s="473" t="s">
        <v>515</v>
      </c>
      <c r="D381" s="4"/>
      <c r="E381" s="5"/>
      <c r="F381" s="5"/>
      <c r="G381" s="4"/>
      <c r="H381" s="4"/>
      <c r="I381" s="4"/>
      <c r="J381" s="4"/>
      <c r="K381" s="5"/>
      <c r="L381" s="5"/>
      <c r="M381" s="5"/>
      <c r="O381" s="5"/>
      <c r="P381" s="5"/>
      <c r="Q381" s="5"/>
      <c r="S381" s="5"/>
      <c r="T381" s="5"/>
      <c r="U381" s="5"/>
      <c r="W381" s="5"/>
      <c r="X381" s="5"/>
      <c r="Y381" s="12"/>
      <c r="AA381" s="13"/>
      <c r="AB381" s="12"/>
      <c r="AD381" s="13"/>
      <c r="AE381" s="5"/>
      <c r="AF381" s="5"/>
      <c r="AH381" s="13"/>
      <c r="AI381" s="5"/>
      <c r="AK381" s="5"/>
      <c r="AL381" s="5"/>
      <c r="AM381" s="5"/>
      <c r="AO381" s="5"/>
      <c r="AP381" s="5"/>
      <c r="AR381" s="5"/>
      <c r="AS381" s="5"/>
      <c r="AT381" s="5"/>
      <c r="AV381" s="5"/>
      <c r="AW381" s="5"/>
      <c r="AY381" s="5"/>
      <c r="AZ381" s="5"/>
      <c r="BA381" s="5"/>
      <c r="BC381" s="5"/>
      <c r="BD381" s="5"/>
      <c r="BF381" s="5"/>
      <c r="BG381" s="5"/>
      <c r="BH381" s="5"/>
      <c r="BJ381" s="5"/>
      <c r="BK381" s="5"/>
      <c r="BL381" s="12"/>
      <c r="BM381" s="5"/>
      <c r="BN381" s="5"/>
      <c r="BO381" s="5"/>
      <c r="BQ381" s="5"/>
      <c r="BR381" s="5"/>
      <c r="BT381" s="5"/>
      <c r="BU381" s="5"/>
      <c r="BV381" s="5"/>
      <c r="BX381" s="5"/>
      <c r="BY381" s="5"/>
      <c r="CA381" s="13"/>
      <c r="CB381" s="7"/>
      <c r="CC381" s="11"/>
      <c r="CE381" s="13"/>
      <c r="CF381" s="5"/>
      <c r="CG381" s="12"/>
      <c r="CI381" s="13"/>
      <c r="CJ381" s="5"/>
      <c r="CK381" s="12"/>
      <c r="CM381" s="13"/>
      <c r="CN381" s="5"/>
      <c r="CO381" s="12"/>
      <c r="CQ381" s="13"/>
      <c r="CR381" s="5"/>
      <c r="CS381" s="12"/>
      <c r="CU381" s="13"/>
      <c r="CV381" s="5"/>
      <c r="CW381" s="12"/>
      <c r="CY381" s="13"/>
      <c r="CZ381" s="5"/>
      <c r="DA381" s="12"/>
      <c r="DC381" s="13"/>
      <c r="DD381" s="5"/>
      <c r="DE381" s="12"/>
      <c r="DG381" s="13"/>
      <c r="DH381" s="5"/>
      <c r="DI381" s="12"/>
      <c r="DK381" s="13"/>
      <c r="DL381" s="5"/>
      <c r="DM381" s="12"/>
      <c r="DO381" s="13"/>
      <c r="DP381" s="5"/>
      <c r="DQ381" s="12"/>
      <c r="DS381" s="5"/>
      <c r="DV381" s="5"/>
      <c r="DW381" s="660">
        <f t="shared" si="3"/>
        <v>0</v>
      </c>
    </row>
    <row r="382" spans="1:128" s="6" customFormat="1" ht="15" customHeight="1">
      <c r="A382" s="3"/>
      <c r="B382" s="210" t="s">
        <v>1516</v>
      </c>
      <c r="C382" s="473" t="s">
        <v>0</v>
      </c>
      <c r="D382" s="4"/>
      <c r="E382" s="5"/>
      <c r="F382" s="5"/>
      <c r="G382" s="4"/>
      <c r="H382" s="4"/>
      <c r="I382" s="4"/>
      <c r="J382" s="4"/>
      <c r="K382" s="5"/>
      <c r="L382" s="5"/>
      <c r="M382" s="5"/>
      <c r="O382" s="5"/>
      <c r="P382" s="5"/>
      <c r="Q382" s="5"/>
      <c r="S382" s="5"/>
      <c r="T382" s="5"/>
      <c r="U382" s="5"/>
      <c r="W382" s="5"/>
      <c r="X382" s="5"/>
      <c r="Y382" s="12"/>
      <c r="AA382" s="13"/>
      <c r="AB382" s="12"/>
      <c r="AD382" s="13"/>
      <c r="AE382" s="5"/>
      <c r="AF382" s="5"/>
      <c r="AH382" s="13"/>
      <c r="AI382" s="5"/>
      <c r="AK382" s="5"/>
      <c r="AL382" s="5"/>
      <c r="AM382" s="5"/>
      <c r="AO382" s="5"/>
      <c r="AP382" s="5"/>
      <c r="AR382" s="5"/>
      <c r="AS382" s="5"/>
      <c r="AT382" s="5"/>
      <c r="AV382" s="5"/>
      <c r="AW382" s="5"/>
      <c r="AY382" s="5"/>
      <c r="AZ382" s="5"/>
      <c r="BA382" s="5"/>
      <c r="BC382" s="5"/>
      <c r="BD382" s="5"/>
      <c r="BF382" s="5"/>
      <c r="BG382" s="5"/>
      <c r="BH382" s="5"/>
      <c r="BJ382" s="5"/>
      <c r="BK382" s="5"/>
      <c r="BL382" s="12"/>
      <c r="BM382" s="5"/>
      <c r="BN382" s="5"/>
      <c r="BO382" s="5"/>
      <c r="BQ382" s="5"/>
      <c r="BR382" s="5"/>
      <c r="BT382" s="5"/>
      <c r="BU382" s="5"/>
      <c r="BV382" s="5"/>
      <c r="BX382" s="5"/>
      <c r="BY382" s="5"/>
      <c r="CA382" s="13"/>
      <c r="CB382" s="7"/>
      <c r="CC382" s="11"/>
      <c r="CE382" s="13"/>
      <c r="CF382" s="5"/>
      <c r="CG382" s="12"/>
      <c r="CI382" s="13"/>
      <c r="CJ382" s="5"/>
      <c r="CK382" s="12"/>
      <c r="CM382" s="13"/>
      <c r="CN382" s="5"/>
      <c r="CO382" s="12"/>
      <c r="CQ382" s="13"/>
      <c r="CR382" s="5"/>
      <c r="CS382" s="12"/>
      <c r="CU382" s="13"/>
      <c r="CV382" s="5"/>
      <c r="CW382" s="12"/>
      <c r="CY382" s="13"/>
      <c r="CZ382" s="5"/>
      <c r="DA382" s="12"/>
      <c r="DC382" s="13"/>
      <c r="DD382" s="5"/>
      <c r="DE382" s="12"/>
      <c r="DG382" s="13"/>
      <c r="DH382" s="5"/>
      <c r="DI382" s="12"/>
      <c r="DK382" s="13"/>
      <c r="DL382" s="5"/>
      <c r="DM382" s="12"/>
      <c r="DO382" s="13"/>
      <c r="DP382" s="5"/>
      <c r="DQ382" s="12"/>
      <c r="DS382" s="5"/>
      <c r="DV382" s="5"/>
      <c r="DW382" s="660">
        <f t="shared" si="3"/>
        <v>0</v>
      </c>
    </row>
    <row r="383" spans="1:128" s="6" customFormat="1" ht="15" customHeight="1">
      <c r="A383" s="3"/>
      <c r="B383" s="210" t="s">
        <v>1517</v>
      </c>
      <c r="C383" s="473" t="s">
        <v>0</v>
      </c>
      <c r="D383" s="4"/>
      <c r="E383" s="5"/>
      <c r="F383" s="5"/>
      <c r="G383" s="4"/>
      <c r="H383" s="4"/>
      <c r="I383" s="4"/>
      <c r="J383" s="4"/>
      <c r="K383" s="5"/>
      <c r="L383" s="5"/>
      <c r="M383" s="5"/>
      <c r="O383" s="5"/>
      <c r="P383" s="5"/>
      <c r="Q383" s="5"/>
      <c r="S383" s="5"/>
      <c r="T383" s="5"/>
      <c r="U383" s="5"/>
      <c r="W383" s="5"/>
      <c r="X383" s="5"/>
      <c r="Y383" s="12"/>
      <c r="AA383" s="13"/>
      <c r="AB383" s="12"/>
      <c r="AD383" s="13"/>
      <c r="AE383" s="5"/>
      <c r="AF383" s="5"/>
      <c r="AH383" s="13"/>
      <c r="AI383" s="5"/>
      <c r="AK383" s="5"/>
      <c r="AL383" s="5"/>
      <c r="AM383" s="5"/>
      <c r="AO383" s="5"/>
      <c r="AP383" s="5"/>
      <c r="AR383" s="5"/>
      <c r="AS383" s="5"/>
      <c r="AT383" s="5"/>
      <c r="AV383" s="5"/>
      <c r="AW383" s="5"/>
      <c r="AY383" s="5"/>
      <c r="AZ383" s="5"/>
      <c r="BA383" s="5"/>
      <c r="BC383" s="5"/>
      <c r="BD383" s="5"/>
      <c r="BF383" s="5"/>
      <c r="BG383" s="5"/>
      <c r="BH383" s="5"/>
      <c r="BJ383" s="5"/>
      <c r="BK383" s="5"/>
      <c r="BL383" s="12"/>
      <c r="BM383" s="5"/>
      <c r="BN383" s="5"/>
      <c r="BO383" s="5"/>
      <c r="BQ383" s="5"/>
      <c r="BR383" s="5"/>
      <c r="BT383" s="5"/>
      <c r="BU383" s="5"/>
      <c r="BV383" s="5"/>
      <c r="BX383" s="5"/>
      <c r="BY383" s="5"/>
      <c r="CA383" s="13"/>
      <c r="CB383" s="7"/>
      <c r="CC383" s="11"/>
      <c r="CE383" s="13"/>
      <c r="CF383" s="5"/>
      <c r="CG383" s="12"/>
      <c r="CI383" s="13"/>
      <c r="CJ383" s="5"/>
      <c r="CK383" s="12"/>
      <c r="CM383" s="13"/>
      <c r="CN383" s="5"/>
      <c r="CO383" s="12"/>
      <c r="CQ383" s="13"/>
      <c r="CR383" s="5"/>
      <c r="CS383" s="12"/>
      <c r="CU383" s="13"/>
      <c r="CV383" s="5"/>
      <c r="CW383" s="12"/>
      <c r="CY383" s="13"/>
      <c r="CZ383" s="5"/>
      <c r="DA383" s="12"/>
      <c r="DC383" s="13"/>
      <c r="DD383" s="5"/>
      <c r="DE383" s="12"/>
      <c r="DG383" s="13"/>
      <c r="DH383" s="5"/>
      <c r="DI383" s="12"/>
      <c r="DK383" s="13"/>
      <c r="DL383" s="5"/>
      <c r="DM383" s="12"/>
      <c r="DO383" s="13"/>
      <c r="DP383" s="5"/>
      <c r="DQ383" s="12"/>
      <c r="DS383" s="5"/>
      <c r="DV383" s="5"/>
      <c r="DW383" s="660">
        <f t="shared" si="3"/>
        <v>0</v>
      </c>
    </row>
    <row r="384" spans="1:128" s="6" customFormat="1" ht="15" customHeight="1">
      <c r="A384" s="3">
        <v>183</v>
      </c>
      <c r="B384" s="210" t="s">
        <v>160</v>
      </c>
      <c r="C384" s="473" t="s">
        <v>515</v>
      </c>
      <c r="D384" s="4"/>
      <c r="E384" s="5">
        <v>1</v>
      </c>
      <c r="F384" s="5">
        <f>SUM(F5:F26)*E384</f>
        <v>0</v>
      </c>
      <c r="G384" s="4"/>
      <c r="H384" s="4"/>
      <c r="I384" s="4"/>
      <c r="J384" s="4"/>
      <c r="K384" s="5"/>
      <c r="L384" s="5"/>
      <c r="M384" s="5"/>
      <c r="O384" s="5"/>
      <c r="P384" s="5"/>
      <c r="Q384" s="5"/>
      <c r="S384" s="5"/>
      <c r="T384" s="5"/>
      <c r="U384" s="5"/>
      <c r="W384" s="5"/>
      <c r="X384" s="5"/>
      <c r="Y384" s="12"/>
      <c r="AA384" s="13"/>
      <c r="AB384" s="12"/>
      <c r="AD384" s="13"/>
      <c r="AE384" s="5"/>
      <c r="AF384" s="5"/>
      <c r="AH384" s="13"/>
      <c r="AI384" s="5"/>
      <c r="AK384" s="5">
        <v>1</v>
      </c>
      <c r="AL384" s="5">
        <f>AL26*AK384+AM26*AK384+AL5*AK384+AM5*AK384+AL6*AK384+AM6*AK384+AL7*AK384+AM7*AK384+AL8*AK384+AM8*AK384+AL9*AK384+AM9*AK384+AL10*AK384+AM10*AK384+AL11*AK384+AM11*AK384+AL12*AK384+AM12*AK384+AL13*AK384+AM13*AK384+AL14*AK384+AM14*AK384+AL15*AK384+AM15*AK384+AL16*AK384+AM16*AK384+AL17*AK384+AM17*AK384+AL18*AK384+AM18*AK384+AL19*AK384+AM19*AK384+AL20*AK384+AM20*AK384+AL21*AK384+AM21*AK384+AL22*AK384+AM22*AK384+AL23*AK384+AM23*AK384+AL24*AK384+AM24*AK384+AL25*AK384+AM25*AK384</f>
        <v>0</v>
      </c>
      <c r="AM384" s="5"/>
      <c r="AO384" s="5">
        <v>1</v>
      </c>
      <c r="AP384" s="5">
        <f>AP26*AO384+AQ26*AO384+AP5*AO384+AQ5*AO384+AP6*AO384+AQ6*AO384+AP7*AO384+AQ7*AO384+AP8*AO384+AQ8*AO384+AP9*AO384+AQ9*AO384+AP10*AO384+AQ10*AO384+AP11*AO384+AQ11*AO384+AP12*AO384+AQ12*AO384+AP13*AO384+AQ13*AO384+AP14*AO384+AQ14*AO384+AP15*AO384+AQ15*AO384+AP16*AO384+AQ16*AO384+AP17*AO384+AQ17*AO384+AP18*AO384+AQ18*AO384+AP19*AO384+AQ19*AO384+AP20*AO384+AQ20*AO384+AP21*AO384+AQ21*AO384+AP22*AO384+AQ22*AO384+AP23*AO384+AQ23*AO384+AP24*AO384+AQ24*AO384+AP25*AO384+AQ25*AO384</f>
        <v>0</v>
      </c>
      <c r="AR384" s="5"/>
      <c r="AS384" s="5"/>
      <c r="AT384" s="5"/>
      <c r="AV384" s="5"/>
      <c r="AW384" s="5"/>
      <c r="AY384" s="5">
        <v>1</v>
      </c>
      <c r="AZ384" s="5">
        <f>AZ26*AY384+BA26*AY384+AZ5*AY384+BA5*AY384+AZ6*AY384+BA6*AY384+AZ7*AY384+BA7*AY384+AZ8*AY384+BA8*AY384+AZ9*AY384+BA9*AY384+AZ10*AY384+BA10*AY384+AZ11*AY384+BA11*AY384+AZ12*AY384+BA12*AY384+AZ13*AY384+BA13*AY384+AZ14*AY384+BA14*AY384+AZ15*AY384+BA15*AY384+AZ16*AY384+BA16*AY384+AZ17*AY384+BA17*AY384+AZ18*AY384+BA18*AY384+AZ19*AY384+BA19*AY384+AZ20*AY384+BA20*AY384+AZ21*AY384+BA21*AY384+AZ22*AY384+BA22*AY384+AZ23*AY384+BA23*AY384+AZ24*AY384+BA24*AY384+AZ25*AY384+BA25*AY384</f>
        <v>0</v>
      </c>
      <c r="BA384" s="5"/>
      <c r="BC384" s="5">
        <v>1</v>
      </c>
      <c r="BD384" s="5">
        <f>BD26*BC384+BE26*BC384+BD5*BC384+BE5*BC384+BD6*BC384+BE6*BC384+BD7*BC384+BE7*BC384+BD8*BC384+BE8*BC384+BD9*BC384+BE9*BC384+BD10*BC384+BE10*BC384+BD11*BC384+BE11*BC384+BD12*BC384+BE12*BC384+BD13*BC384+BE13*BC384+BD14*BC384+BE14*BC384+BD15*BC384+BE15*BC384+BD16*BC384+BE16*BC384+BD17*BC384+BE17*BC384+BD18*BC384+BE18*BC384+BD19*BC384+BE19*BC384+BD20*BC384+BE20*BC384+BD21*BC384+BE21*BC384+BD22*BC384+BE22*BC384+BD23*BC384+BE23*BC384+BD24*BC384+BE24*BC384+BD25*BC384+BE25*BC384</f>
        <v>0</v>
      </c>
      <c r="BF384" s="5"/>
      <c r="BG384" s="5">
        <f>BG26*BF384+BH26*BF384+BG5*BF384+BH5*BF384+BG6*BF384+BH6*BF384+BG7*BF384+BH7*BF384+BG8*BF384+BH8*BF384+BG9*BF384+BH9*BF384+BG10*BF384+BH10*BF384+BG11*BF384+BH11*BF384+BG12*BF384+BH12*BF384+BG13*BF384+BH13*BF384+BG14*BF384+BH14*BF384+BG15*BF384+BH15*BF384+BG16*BF384+BH16*BF384+BG17*BF384+BH17*BF384+BG18*BF384+BH18*BF384+BG19*BF384+BH19*BF384+BG20*BF384+BH20*BF384+BG21*BF384+BH21*BF384+BG22*BF384+BH22*BF384+BG23*BF384+BH23*BF384+BG24*BF384+BH24*BF384+BG25*BF384+BH25*BF384</f>
        <v>0</v>
      </c>
      <c r="BH384" s="5"/>
      <c r="BJ384" s="5"/>
      <c r="BK384" s="5">
        <f>BK26*BJ384+BL26*BJ384+BK5*BJ384+BL5*BJ384+BK6*BJ384+BL6*BJ384+BK7*BJ384+BL7*BJ384+BK8*BJ384+BL8*BJ384+BK9*BJ384+BL9*BJ384+BK10*BJ384+BL10*BJ384+BK11*BJ384+BL11*BJ384+BK12*BJ384+BL12*BJ384+BK13*BJ384+BL13*BJ384+BK14*BJ384+BL14*BJ384+BK15*BJ384+BL15*BJ384+BK16*BJ384+BL16*BJ384+BK17*BJ384+BL17*BJ384+BK18*BJ384+BL18*BJ384+BK19*BJ384+BL19*BJ384+BK20*BJ384+BL20*BJ384+BK21*BJ384+BL21*BJ384+BK22*BJ384+BL22*BJ384+BK23*BJ384+BL23*BJ384+BK24*BJ384+BL24*BJ384+BK25*BJ384+BL25*BJ384</f>
        <v>0</v>
      </c>
      <c r="BL384" s="12"/>
      <c r="BM384" s="5">
        <v>1</v>
      </c>
      <c r="BN384" s="5">
        <f>BN26*BM384+BO26*BM384+BN5*BM384+BO5*BM384+BN6*BM384+BO6*BM384+BN7*BM384+BO7*BM384+BN8*BM384+BO8*BM384+BN9*BM384+BO9*BM384+BN10*BM384+BO10*BM384+BN11*BM384+BO11*BM384+BN12*BM384+BO12*BM384+BN13*BM384+BO13*BM384+BN14*BM384+BO14*BM384+BN15*BM384+BO15*BM384+BN16*BM384+BO16*BM384+BN17*BM384+BO17*BM384+BN18*BM384+BO18*BM384+BN19*BM384+BO19*BM384+BN20*BM384+BO20*BM384+BN21*BM384+BO21*BM384+BN22*BM384+BO22*BM384+BN23*BM384+BO23*BM384+BN24*BM384+BO24*BM384+BN25*BM384+BO25*BM384</f>
        <v>0</v>
      </c>
      <c r="BO384" s="5"/>
      <c r="BQ384" s="5">
        <v>1</v>
      </c>
      <c r="BR384" s="5">
        <f>BR26*BQ384+BS26*BQ384+BR5*BQ384+BS5*BQ384+BR6*BQ384+BS6*BQ384+BR7*BQ384+BS7*BQ384+BR8*BQ384+BS8*BQ384+BR9*BQ384+BS9*BQ384+BR10*BQ384+BS10*BQ384+BR11*BQ384+BS11*BQ384+BR12*BQ384+BS12*BQ384+BR13*BQ384+BS13*BQ384+BR14*BQ384+BS14*BQ384+BR15*BQ384+BS15*BQ384+BR16*BQ384+BS16*BQ384+BR17*BQ384+BS17*BQ384+BR18*BQ384+BS18*BQ384+BR19*BQ384+BS19*BQ384+BR20*BQ384+BS20*BQ384+BR21*BQ384+BS21*BQ384+BR22*BQ384+BS22*BQ384+BR23*BQ384+BS23*BQ384+BR24*BQ384+BS24*BQ384+BR25*BQ384+BS25*BQ384</f>
        <v>0</v>
      </c>
      <c r="BT384" s="5"/>
      <c r="BU384" s="5"/>
      <c r="BV384" s="5"/>
      <c r="BX384" s="5"/>
      <c r="BY384" s="5"/>
      <c r="CA384" s="13"/>
      <c r="CB384" s="7"/>
      <c r="CC384" s="11"/>
      <c r="CE384" s="5"/>
      <c r="CF384" s="5"/>
      <c r="CG384" s="12"/>
      <c r="CI384" s="5"/>
      <c r="CJ384" s="5"/>
      <c r="CK384" s="12"/>
      <c r="CM384" s="5"/>
      <c r="CN384" s="5"/>
      <c r="CO384" s="12"/>
      <c r="CQ384" s="5"/>
      <c r="CR384" s="5"/>
      <c r="CS384" s="12"/>
      <c r="CU384" s="5"/>
      <c r="CV384" s="5"/>
      <c r="CW384" s="12"/>
      <c r="CY384" s="5">
        <v>1</v>
      </c>
      <c r="CZ384" s="5">
        <f>SUM(CZ5:DA26)*CY384</f>
        <v>0</v>
      </c>
      <c r="DA384" s="12"/>
      <c r="DC384" s="5">
        <v>1</v>
      </c>
      <c r="DD384" s="5">
        <f>SUM(DD5:DE26)*DC384</f>
        <v>0</v>
      </c>
      <c r="DE384" s="12"/>
      <c r="DG384" s="5">
        <v>1</v>
      </c>
      <c r="DH384" s="5">
        <f>SUM(DH5:DI26)*DG384</f>
        <v>0</v>
      </c>
      <c r="DI384" s="12"/>
      <c r="DK384" s="5">
        <v>1</v>
      </c>
      <c r="DL384" s="5">
        <f>SUM(DL5:DM26)*DK384</f>
        <v>0</v>
      </c>
      <c r="DM384" s="12"/>
      <c r="DO384" s="5">
        <v>1</v>
      </c>
      <c r="DP384" s="5">
        <f>SUM(DP5:DQ26)*DO384</f>
        <v>0</v>
      </c>
      <c r="DQ384" s="12"/>
      <c r="DS384" s="5"/>
      <c r="DV384" s="5"/>
      <c r="DW384" s="660">
        <f t="shared" si="3"/>
        <v>0</v>
      </c>
      <c r="DX384" s="142">
        <v>13</v>
      </c>
    </row>
    <row r="385" spans="1:128" s="6" customFormat="1" ht="15" customHeight="1">
      <c r="A385" s="3">
        <v>184</v>
      </c>
      <c r="B385" s="210" t="s">
        <v>161</v>
      </c>
      <c r="C385" s="473" t="s">
        <v>515</v>
      </c>
      <c r="D385" s="4"/>
      <c r="E385" s="5">
        <v>1</v>
      </c>
      <c r="F385" s="5">
        <f>SUM(F5:F26)*E385</f>
        <v>0</v>
      </c>
      <c r="G385" s="4"/>
      <c r="H385" s="4"/>
      <c r="I385" s="4"/>
      <c r="J385" s="4"/>
      <c r="K385" s="5"/>
      <c r="L385" s="5"/>
      <c r="M385" s="5"/>
      <c r="O385" s="5"/>
      <c r="P385" s="5"/>
      <c r="Q385" s="5"/>
      <c r="S385" s="5"/>
      <c r="T385" s="5"/>
      <c r="U385" s="5"/>
      <c r="W385" s="5"/>
      <c r="X385" s="5"/>
      <c r="Y385" s="12"/>
      <c r="AA385" s="13"/>
      <c r="AB385" s="12"/>
      <c r="AD385" s="13"/>
      <c r="AE385" s="5"/>
      <c r="AF385" s="5"/>
      <c r="AH385" s="13"/>
      <c r="AI385" s="5"/>
      <c r="AK385" s="5">
        <v>1</v>
      </c>
      <c r="AL385" s="5">
        <f>AL5*AK385+AM5*AK385+AL6*AK385+AM6*AK385+AL7*AK385+AM7*AK385+AL8*AK385+AM8*AK385+AL9*AK385+AM9*AK385+AL10*AK385+AM10*AK385+AL11*AK385+AM11*AK385+AL12*AK385+AM12*AK385+AL13*AK385+AM13*AK385+AL14*AK385+AM14*AK385+AL15*AK385+AM15*AK385+AL16*AK385+AM16*AK385+AL17*AK385+AM17*AK385+AL18*AK385+AM18*AK385+AL19*AK385+AM19*AK385+AL20*AK385+AM20*AK385+AL21*AK385+AM21*AK385+AL22*AK385+AM22*AK385+AL23*AK385+AM23*AK385+AL24*AK385+AM24*AK385+AL25*AK385+AM25*AK385+AL26*AK385+AM26*AK385</f>
        <v>0</v>
      </c>
      <c r="AM385" s="5"/>
      <c r="AO385" s="5">
        <v>1</v>
      </c>
      <c r="AP385" s="5">
        <f>AP5*AO385+AQ5*AO385+AP6*AO385+AQ6*AO385+AP7*AO385+AQ7*AO385+AP8*AO385+AQ8*AO385+AP9*AO385+AQ9*AO385+AP10*AO385+AQ10*AO385+AP11*AO385+AQ11*AO385+AP12*AO385+AQ12*AO385+AP13*AO385+AQ13*AO385+AP14*AO385+AQ14*AO385+AP15*AO385+AQ15*AO385+AP16*AO385+AQ16*AO385+AP17*AO385+AQ17*AO385+AP18*AO385+AQ18*AO385+AP19*AO385+AQ19*AO385+AP20*AO385+AQ20*AO385+AP21*AO385+AQ21*AO385+AP22*AO385+AQ22*AO385+AP23*AO385+AQ23*AO385+AP24*AO385+AQ24*AO385+AP25*AO385+AQ25*AO385+AP26*AO385+AQ26*AO385</f>
        <v>0</v>
      </c>
      <c r="AR385" s="5"/>
      <c r="AS385" s="5"/>
      <c r="AT385" s="5"/>
      <c r="AV385" s="5"/>
      <c r="AW385" s="5"/>
      <c r="AY385" s="5">
        <v>1</v>
      </c>
      <c r="AZ385" s="5">
        <f>AZ5*AY385+BA5*AY385+AZ6*AY385+BA6*AY385+AZ7*AY385+BA7*AY385+AZ8*AY385+BA8*AY385+AZ9*AY385+BA9*AY385+AZ10*AY385+BA10*AY385+AZ11*AY385+BA11*AY385+AZ12*AY385+BA12*AY385+AZ13*AY385+BA13*AY385+AZ14*AY385+BA14*AY385+AZ15*AY385+BA15*AY385+AZ16*AY385+BA16*AY385+AZ17*AY385+BA17*AY385+AZ18*AY385+BA18*AY385+AZ19*AY385+BA19*AY385+AZ20*AY385+BA20*AY385+AZ21*AY385+BA21*AY385+AZ22*AY385+BA22*AY385+AZ23*AY385+BA23*AY385+AZ24*AY385+BA24*AY385+AZ25*AY385+BA25*AY385+AZ26*AY385+BA26*AY385</f>
        <v>0</v>
      </c>
      <c r="BA385" s="5"/>
      <c r="BC385" s="5">
        <v>1</v>
      </c>
      <c r="BD385" s="5">
        <f>BD5*BC385+BE5*BC385+BD6*BC385+BE6*BC385+BD7*BC385+BE7*BC385+BD8*BC385+BE8*BC385+BD9*BC385+BE9*BC385+BD10*BC385+BE10*BC385+BD11*BC385+BE11*BC385+BD12*BC385+BE12*BC385+BD13*BC385+BE13*BC385+BD14*BC385+BE14*BC385+BD15*BC385+BE15*BC385+BD16*BC385+BE16*BC385+BD17*BC385+BE17*BC385+BD18*BC385+BE18*BC385+BD19*BC385+BE19*BC385+BD20*BC385+BE20*BC385+BD21*BC385+BE21*BC385+BD22*BC385+BE22*BC385+BD23*BC385+BE23*BC385+BD24*BC385+BE24*BC385+BD25*BC385+BE25*BC385+BD26*BC385+BE26*BC385</f>
        <v>0</v>
      </c>
      <c r="BF385" s="5"/>
      <c r="BG385" s="5">
        <f>BG27*BF385+BH27*BF385+BG6*BF385+BH6*BF385+BG7*BF385+BH7*BF385+BG8*BF385+BH8*BF385+BG9*BF385+BH9*BF385+BG10*BF385+BH10*BF385+BG11*BF385+BH11*BF385+BG12*BF385+BH12*BF385+BG13*BF385+BH13*BF385+BG14*BF385+BH14*BF385+BG15*BF385+BH15*BF385+BG16*BF385+BH16*BF385+BG17*BF385+BH17*BF385+BG18*BF385+BH18*BF385+BG19*BF385+BH19*BF385+BG20*BF385+BH20*BF385+BG21*BF385+BH21*BF385+BG22*BF385+BH22*BF385+BG23*BF385+BH23*BF385+BG24*BF385+BH24*BF385+BG25*BF385+BH25*BF385+BG26*BF385+BH26*BF385</f>
        <v>0</v>
      </c>
      <c r="BH385" s="5"/>
      <c r="BJ385" s="5"/>
      <c r="BK385" s="5">
        <f>BK27*BJ385+BL27*BJ385+BK6*BJ385+BL6*BJ385+BK7*BJ385+BL7*BJ385+BK8*BJ385+BL8*BJ385+BK9*BJ385+BL9*BJ385+BK10*BJ385+BL10*BJ385+BK11*BJ385+BL11*BJ385+BK12*BJ385+BL12*BJ385+BK13*BJ385+BL13*BJ385+BK14*BJ385+BL14*BJ385+BK15*BJ385+BL15*BJ385+BK16*BJ385+BL16*BJ385+BK17*BJ385+BL17*BJ385+BK18*BJ385+BL18*BJ385+BK19*BJ385+BL19*BJ385+BK20*BJ385+BL20*BJ385+BK21*BJ385+BL21*BJ385+BK22*BJ385+BL22*BJ385+BK23*BJ385+BL23*BJ385+BK24*BJ385+BL24*BJ385+BK25*BJ385+BL25*BJ385+BK26*BJ385+BL26*BJ385</f>
        <v>0</v>
      </c>
      <c r="BL385" s="12"/>
      <c r="BM385" s="5">
        <v>1</v>
      </c>
      <c r="BN385" s="5">
        <f>BN5*BM385+BO5*BM385+BN6*BM385+BO6*BM385+BN7*BM385+BO7*BM385+BN8*BM385+BO8*BM385+BN9*BM385+BO9*BM385+BN10*BM385+BO10*BM385+BN11*BM385+BO11*BM385+BN12*BM385+BO12*BM385+BN13*BM385+BO13*BM385+BN14*BM385+BO14*BM385+BN15*BM385+BO15*BM385+BN16*BM385+BO16*BM385+BN17*BM385+BO17*BM385+BN18*BM385+BO18*BM385+BN19*BM385+BO19*BM385+BN20*BM385+BO20*BM385+BN21*BM385+BO21*BM385+BN22*BM385+BO22*BM385+BN23*BM385+BO23*BM385+BN24*BM385+BO24*BM385+BN25*BM385+BO25*BM385+BN26*BM385+BO26*BM385</f>
        <v>0</v>
      </c>
      <c r="BO385" s="5"/>
      <c r="BQ385" s="5">
        <v>1</v>
      </c>
      <c r="BR385" s="5">
        <f>BR5*BQ385+BS5*BQ385+BR6*BQ385+BS6*BQ385+BR7*BQ385+BS7*BQ385+BR8*BQ385+BS8*BQ385+BR9*BQ385+BS9*BQ385+BR10*BQ385+BS10*BQ385+BR11*BQ385+BS11*BQ385+BR12*BQ385+BS12*BQ385+BR13*BQ385+BS13*BQ385+BR14*BQ385+BS14*BQ385+BR15*BQ385+BS15*BQ385+BR16*BQ385+BS16*BQ385+BR17*BQ385+BS17*BQ385+BR18*BQ385+BS18*BQ385+BR19*BQ385+BS19*BQ385+BR20*BQ385+BS20*BQ385+BR21*BQ385+BS21*BQ385+BR22*BQ385+BS22*BQ385+BR23*BQ385+BS23*BQ385+BR24*BQ385+BS24*BQ385+BR25*BQ385+BS25*BQ385+BR26*BQ385+BS26*BQ385</f>
        <v>0</v>
      </c>
      <c r="BT385" s="5"/>
      <c r="BU385" s="5"/>
      <c r="BV385" s="5"/>
      <c r="BX385" s="5"/>
      <c r="BY385" s="5"/>
      <c r="CA385" s="13"/>
      <c r="CB385" s="7"/>
      <c r="CC385" s="11"/>
      <c r="CE385" s="13"/>
      <c r="CF385" s="5"/>
      <c r="CG385" s="12"/>
      <c r="CI385" s="13"/>
      <c r="CJ385" s="5"/>
      <c r="CK385" s="12"/>
      <c r="CM385" s="13"/>
      <c r="CN385" s="5"/>
      <c r="CO385" s="12"/>
      <c r="CQ385" s="13"/>
      <c r="CR385" s="5"/>
      <c r="CS385" s="12"/>
      <c r="CU385" s="13"/>
      <c r="CV385" s="5"/>
      <c r="CW385" s="12"/>
      <c r="CY385" s="13">
        <v>1</v>
      </c>
      <c r="CZ385" s="5">
        <f>SUM(CZ5:DA26)*CY385</f>
        <v>0</v>
      </c>
      <c r="DA385" s="12"/>
      <c r="DC385" s="13">
        <v>1</v>
      </c>
      <c r="DD385" s="5">
        <f>SUM(DD5:DE26)*DC385</f>
        <v>0</v>
      </c>
      <c r="DE385" s="12"/>
      <c r="DG385" s="13">
        <v>1</v>
      </c>
      <c r="DH385" s="5">
        <f>SUM(DH5:DI26)*DG385</f>
        <v>0</v>
      </c>
      <c r="DI385" s="12"/>
      <c r="DK385" s="13">
        <v>1</v>
      </c>
      <c r="DL385" s="5">
        <f>SUM(DL5:DM26)*DK385</f>
        <v>0</v>
      </c>
      <c r="DM385" s="12"/>
      <c r="DO385" s="13">
        <v>1</v>
      </c>
      <c r="DP385" s="5">
        <f>SUM(DP5:DQ26)*DO385</f>
        <v>0</v>
      </c>
      <c r="DQ385" s="12"/>
      <c r="DS385" s="5"/>
      <c r="DV385" s="5"/>
      <c r="DW385" s="660">
        <f t="shared" si="3"/>
        <v>0</v>
      </c>
      <c r="DX385" s="116">
        <v>34</v>
      </c>
    </row>
    <row r="386" spans="1:128" s="6" customFormat="1" ht="15" customHeight="1">
      <c r="A386" s="3">
        <v>185</v>
      </c>
      <c r="B386" s="210" t="s">
        <v>128</v>
      </c>
      <c r="C386" s="473" t="s">
        <v>515</v>
      </c>
      <c r="D386" s="4"/>
      <c r="E386" s="5"/>
      <c r="F386" s="5"/>
      <c r="G386" s="4"/>
      <c r="H386" s="4"/>
      <c r="I386" s="4"/>
      <c r="J386" s="4"/>
      <c r="K386" s="5">
        <v>1</v>
      </c>
      <c r="L386" s="5">
        <f>L16*K386+M16*K386+L17*K386+M17*K386+L18*K386+M18*K386+L19*K386+M19*K386+L20*K386+M20*K386+L21*K386+M21*K386+L22*K386+M22*K386+L23*K386+M23*K386+L24*K386+M24*K386+L25*K386+M25*K386+L26*K386+M26*K386</f>
        <v>0</v>
      </c>
      <c r="M386" s="5"/>
      <c r="O386" s="5"/>
      <c r="P386" s="5"/>
      <c r="Q386" s="5"/>
      <c r="S386" s="5"/>
      <c r="T386" s="5"/>
      <c r="U386" s="5"/>
      <c r="W386" s="5"/>
      <c r="X386" s="5"/>
      <c r="Y386" s="12"/>
      <c r="AA386" s="13"/>
      <c r="AB386" s="12"/>
      <c r="AD386" s="13"/>
      <c r="AE386" s="5"/>
      <c r="AF386" s="5"/>
      <c r="AH386" s="13"/>
      <c r="AI386" s="5"/>
      <c r="AK386" s="5"/>
      <c r="AL386" s="5"/>
      <c r="AM386" s="5"/>
      <c r="AO386" s="5"/>
      <c r="AP386" s="5"/>
      <c r="AR386" s="5"/>
      <c r="AS386" s="5"/>
      <c r="AT386" s="5"/>
      <c r="AV386" s="5"/>
      <c r="AW386" s="5"/>
      <c r="AY386" s="5"/>
      <c r="AZ386" s="5"/>
      <c r="BA386" s="5"/>
      <c r="BC386" s="5"/>
      <c r="BD386" s="5"/>
      <c r="BF386" s="5">
        <v>1</v>
      </c>
      <c r="BG386" s="5">
        <f>BG16*BF386+BH16*BF386+BG17*BF386+BH17*BF386+BG18*BF386+BH18*BF386+BG19*BF386+BH19*BF386+BG20*BF386+BH20*BF386+BG21*BF386+BH21*BF386+BG22*BF386+BH22*BF386+BG23*BF386+BH23*BF386+BG24*BF386+BH24*BF386+BG25*BF386+BH25*BF386+BG26*BF386+BH26*BF386</f>
        <v>0</v>
      </c>
      <c r="BH386" s="5"/>
      <c r="BJ386" s="5">
        <v>1</v>
      </c>
      <c r="BK386" s="5">
        <f>BK16*BJ386+BL16*BJ386+BK17*BJ386+BL17*BJ386+BK18*BJ386+BL18*BJ386+BK19*BJ386+BL19*BJ386+BK20*BJ386+BL20*BJ386+BK21*BJ386+BL21*BJ386+BK22*BJ386+BL22*BJ386+BK23*BJ386+BL23*BJ386+BK24*BJ386+BL24*BJ386+BK25*BJ386+BL25*BJ386+BK26*BJ386+BL26*BJ386</f>
        <v>0</v>
      </c>
      <c r="BL386" s="12"/>
      <c r="BM386" s="5"/>
      <c r="BN386" s="5">
        <f>BN16*BM386+BO16*BM386+BN17*BM386+BO17*BM386+BN18*BM386+BO18*BM386+BN19*BM386+BO19*BM386+BN20*BM386+BO20*BM386+BN21*BM386+BO21*BM386+BN22*BM386+BO22*BM386+BN23*BM386+BO23*BM386+BN24*BM386+BO24*BM386+BN25*BM386+BO25*BM386+BN26*BM386+BO26*BM386</f>
        <v>0</v>
      </c>
      <c r="BO386" s="5"/>
      <c r="BQ386" s="5"/>
      <c r="BR386" s="5">
        <f>BR16*BQ386+BS16*BQ386+BR17*BQ386+BS17*BQ386+BR18*BQ386+BS18*BQ386+BR19*BQ386+BS19*BQ386+BR20*BQ386+BS20*BQ386+BR21*BQ386+BS21*BQ386+BR22*BQ386+BS22*BQ386+BR23*BQ386+BS23*BQ386+BR24*BQ386+BS24*BQ386+BR25*BQ386+BS25*BQ386+BR26*BQ386+BS26*BQ386</f>
        <v>0</v>
      </c>
      <c r="BT386" s="5"/>
      <c r="BU386" s="5">
        <f>BU16*BT386+BV16*BT386+BU17*BT386+BV17*BT386+BU18*BT386+BV18*BT386+BU19*BT386+BV19*BT386+BU20*BT386+BV20*BT386+BU21*BT386+BV21*BT386+BU22*BT386+BV22*BT386+BU23*BT386+BV23*BT386+BU24*BT386+BV24*BT386+BU25*BT386+BV25*BT386+BU26*BT386+BV26*BT386</f>
        <v>0</v>
      </c>
      <c r="BV386" s="5"/>
      <c r="BX386" s="5"/>
      <c r="BY386" s="5">
        <f>BY16*BX386+BZ16*BX386+BY17*BX386+BZ17*BX386+BY18*BX386+BZ18*BX386+BY19*BX386+BZ19*BX386+BY20*BX386+BZ20*BX386+BY21*BX386+BZ21*BX386+BY22*BX386+BZ22*BX386+BY23*BX386+BZ23*BX386+BY24*BX386+BZ24*BX386+BY25*BX386+BZ25*BX386+BY26*BX386+BZ26*BX386</f>
        <v>0</v>
      </c>
      <c r="CA386" s="13"/>
      <c r="CB386" s="5"/>
      <c r="CC386" s="11"/>
      <c r="CE386" s="13"/>
      <c r="CF386" s="5"/>
      <c r="CG386" s="12"/>
      <c r="CI386" s="13"/>
      <c r="CJ386" s="5"/>
      <c r="CK386" s="12"/>
      <c r="CM386" s="13"/>
      <c r="CN386" s="5"/>
      <c r="CO386" s="12"/>
      <c r="CQ386" s="13"/>
      <c r="CR386" s="5"/>
      <c r="CS386" s="12"/>
      <c r="CU386" s="13"/>
      <c r="CV386" s="5"/>
      <c r="CW386" s="12"/>
      <c r="CY386" s="13"/>
      <c r="CZ386" s="5"/>
      <c r="DA386" s="12"/>
      <c r="DC386" s="13"/>
      <c r="DD386" s="5"/>
      <c r="DE386" s="12"/>
      <c r="DG386" s="13"/>
      <c r="DH386" s="5"/>
      <c r="DI386" s="12"/>
      <c r="DK386" s="13"/>
      <c r="DL386" s="5"/>
      <c r="DM386" s="12"/>
      <c r="DO386" s="13"/>
      <c r="DP386" s="5"/>
      <c r="DQ386" s="12"/>
      <c r="DS386" s="5"/>
      <c r="DV386" s="5"/>
      <c r="DW386" s="660">
        <f t="shared" si="3"/>
        <v>0</v>
      </c>
    </row>
    <row r="387" spans="1:128" s="6" customFormat="1" ht="15" customHeight="1">
      <c r="A387" s="3">
        <v>186</v>
      </c>
      <c r="B387" s="210" t="s">
        <v>35</v>
      </c>
      <c r="C387" s="473" t="s">
        <v>515</v>
      </c>
      <c r="D387" s="4"/>
      <c r="E387" s="5"/>
      <c r="F387" s="5"/>
      <c r="G387" s="4"/>
      <c r="H387" s="4"/>
      <c r="I387" s="4"/>
      <c r="J387" s="4"/>
      <c r="K387" s="5"/>
      <c r="L387" s="5"/>
      <c r="M387" s="5"/>
      <c r="O387" s="5">
        <v>1</v>
      </c>
      <c r="P387" s="47">
        <f>P5*O387+P6*O387+P7*O387+P8*O387+P9*O387+P10*O387+P11*O387+P12*O387+P13*O387+P14*O387+P15*O387+P16*O387+P17*O387+P18*O387+P19*O387+P20*O387+P21*O387+P22*O387+P23*O387+P24*O387+P25*O387+P26*O387+Q5*O387+Q6*O387+Q7*O387+Q8*O387+Q9*O387+Q10*O387+Q11*O387+Q12*O387+Q13*O387+Q14*O387+Q15*O387+Q16*O387+Q17*O387+Q18*O387+Q19*O387+Q20*O387+Q21*O387+Q22*O387+Q23*O387+Q24*O387+Q25*O387+Q26*O387</f>
        <v>0</v>
      </c>
      <c r="Q387" s="47"/>
      <c r="S387" s="5"/>
      <c r="T387" s="5"/>
      <c r="U387" s="5"/>
      <c r="W387" s="5"/>
      <c r="X387" s="5"/>
      <c r="Y387" s="12"/>
      <c r="AA387" s="13"/>
      <c r="AB387" s="12"/>
      <c r="AD387" s="13"/>
      <c r="AE387" s="5"/>
      <c r="AF387" s="5"/>
      <c r="AH387" s="13"/>
      <c r="AI387" s="5"/>
      <c r="AK387" s="5"/>
      <c r="AL387" s="5"/>
      <c r="AM387" s="5"/>
      <c r="AO387" s="5"/>
      <c r="AP387" s="5"/>
      <c r="AR387" s="5"/>
      <c r="AS387" s="5"/>
      <c r="AT387" s="5"/>
      <c r="AV387" s="5"/>
      <c r="AW387" s="5"/>
      <c r="AY387" s="5"/>
      <c r="AZ387" s="5"/>
      <c r="BA387" s="5"/>
      <c r="BC387" s="5"/>
      <c r="BD387" s="5"/>
      <c r="BF387" s="5"/>
      <c r="BG387" s="5"/>
      <c r="BH387" s="5"/>
      <c r="BJ387" s="5"/>
      <c r="BK387" s="5"/>
      <c r="BL387" s="12"/>
      <c r="BM387" s="5"/>
      <c r="BN387" s="5"/>
      <c r="BO387" s="5"/>
      <c r="BQ387" s="5"/>
      <c r="BR387" s="5"/>
      <c r="BT387" s="5"/>
      <c r="BU387" s="5"/>
      <c r="BV387" s="5"/>
      <c r="BX387" s="5"/>
      <c r="BY387" s="5"/>
      <c r="CA387" s="13"/>
      <c r="CB387" s="7"/>
      <c r="CC387" s="11"/>
      <c r="CE387" s="13"/>
      <c r="CF387" s="5"/>
      <c r="CG387" s="12"/>
      <c r="CI387" s="13"/>
      <c r="CJ387" s="5"/>
      <c r="CK387" s="12"/>
      <c r="CM387" s="13"/>
      <c r="CN387" s="5"/>
      <c r="CO387" s="12"/>
      <c r="CQ387" s="13"/>
      <c r="CR387" s="5"/>
      <c r="CS387" s="12"/>
      <c r="CU387" s="13"/>
      <c r="CV387" s="5"/>
      <c r="CW387" s="12"/>
      <c r="CY387" s="13"/>
      <c r="CZ387" s="5"/>
      <c r="DA387" s="12"/>
      <c r="DC387" s="13"/>
      <c r="DD387" s="5"/>
      <c r="DE387" s="12"/>
      <c r="DG387" s="13"/>
      <c r="DH387" s="5"/>
      <c r="DI387" s="12"/>
      <c r="DK387" s="13"/>
      <c r="DL387" s="5"/>
      <c r="DM387" s="12"/>
      <c r="DO387" s="13"/>
      <c r="DP387" s="5"/>
      <c r="DQ387" s="12"/>
      <c r="DS387" s="5"/>
      <c r="DV387" s="5"/>
      <c r="DW387" s="660">
        <f t="shared" si="3"/>
        <v>0</v>
      </c>
    </row>
    <row r="388" spans="1:128" s="6" customFormat="1" ht="15" customHeight="1">
      <c r="A388" s="3">
        <v>187</v>
      </c>
      <c r="B388" s="210" t="s">
        <v>40</v>
      </c>
      <c r="C388" s="473" t="s">
        <v>515</v>
      </c>
      <c r="D388" s="4"/>
      <c r="E388" s="5"/>
      <c r="F388" s="5"/>
      <c r="G388" s="4"/>
      <c r="H388" s="4"/>
      <c r="I388" s="4"/>
      <c r="J388" s="4"/>
      <c r="K388" s="5"/>
      <c r="L388" s="5"/>
      <c r="M388" s="5"/>
      <c r="O388" s="5"/>
      <c r="P388" s="5"/>
      <c r="Q388" s="5"/>
      <c r="S388" s="5"/>
      <c r="T388" s="5"/>
      <c r="U388" s="5"/>
      <c r="W388" s="5"/>
      <c r="X388" s="5"/>
      <c r="Y388" s="12"/>
      <c r="AA388" s="13"/>
      <c r="AB388" s="12"/>
      <c r="AD388" s="13"/>
      <c r="AE388" s="5"/>
      <c r="AF388" s="5"/>
      <c r="AH388" s="13"/>
      <c r="AI388" s="5"/>
      <c r="AK388" s="5"/>
      <c r="AL388" s="5"/>
      <c r="AM388" s="5"/>
      <c r="AO388" s="5"/>
      <c r="AP388" s="5"/>
      <c r="AR388" s="5"/>
      <c r="AS388" s="5"/>
      <c r="AT388" s="5"/>
      <c r="AV388" s="5"/>
      <c r="AW388" s="5"/>
      <c r="AY388" s="5"/>
      <c r="AZ388" s="5"/>
      <c r="BA388" s="5"/>
      <c r="BC388" s="5"/>
      <c r="BD388" s="5"/>
      <c r="BF388" s="5"/>
      <c r="BG388" s="5"/>
      <c r="BH388" s="5"/>
      <c r="BJ388" s="5"/>
      <c r="BK388" s="5"/>
      <c r="BL388" s="12"/>
      <c r="BM388" s="5"/>
      <c r="BN388" s="5"/>
      <c r="BO388" s="5"/>
      <c r="BQ388" s="5"/>
      <c r="BR388" s="5"/>
      <c r="BT388" s="5">
        <v>1</v>
      </c>
      <c r="BU388" s="5">
        <f>BU5*BT388+BU6*BT388+BU7*BT388+BU8*BT388+BU9*BT388+BU10*BT388+BU11*BT388+BU12*BT388+BU13*BT388+BU14*BT388+BU15*BT388+BU16*BT388+BU17*BT388+BU18*BT388+BU19*BT388+BU20*BT388+BU21*BT388+BU22*BT388+BU23*BT388+BU24*BT388+BU25*BT388+BU26*BT388+BV5*BT388+BV6*BT388+BV7*BT388+BV8*BT388+BV9*BT388+BV10*BT388+BV11*BT388+BV12*BT388+BV13*BT388+BV14*BT388+BV15*BT388+BV16*BT388+BV17*BT388+BV18*BT388+BV19*BT388+BV20*BT388+BV21*BT388+BV22*BT388+BV23*BT388+BV24*BT388+BV25*BT388+BV26*BT388</f>
        <v>0</v>
      </c>
      <c r="BV388" s="5"/>
      <c r="BX388" s="5">
        <v>1</v>
      </c>
      <c r="BY388" s="5">
        <f>BY5*BX388+BY6*BX388+BY7*BX388+BY8*BX388+BY9*BX388+BY10*BX388+BY11*BX388+BY12*BX388+BY13*BX388+BY14*BX388+BY15*BX388+BY16*BX388+BY17*BX388+BY18*BX388+BY19*BX388+BY20*BX388+BY21*BX388+BY22*BX388+BY23*BX388+BY24*BX388+BY25*BX388+BY26*BX388</f>
        <v>0</v>
      </c>
      <c r="CA388" s="13"/>
      <c r="CB388" s="7"/>
      <c r="CC388" s="11"/>
      <c r="CE388" s="13"/>
      <c r="CF388" s="5"/>
      <c r="CG388" s="12"/>
      <c r="CI388" s="13"/>
      <c r="CJ388" s="5"/>
      <c r="CK388" s="12"/>
      <c r="CM388" s="13"/>
      <c r="CN388" s="5"/>
      <c r="CO388" s="12"/>
      <c r="CQ388" s="13"/>
      <c r="CR388" s="5"/>
      <c r="CS388" s="12"/>
      <c r="CU388" s="13"/>
      <c r="CV388" s="5"/>
      <c r="CW388" s="12"/>
      <c r="CY388" s="13"/>
      <c r="CZ388" s="5"/>
      <c r="DA388" s="12"/>
      <c r="DC388" s="13"/>
      <c r="DD388" s="5"/>
      <c r="DE388" s="12"/>
      <c r="DG388" s="13"/>
      <c r="DH388" s="5"/>
      <c r="DI388" s="12"/>
      <c r="DK388" s="13"/>
      <c r="DL388" s="5"/>
      <c r="DM388" s="12"/>
      <c r="DO388" s="13"/>
      <c r="DP388" s="5"/>
      <c r="DQ388" s="12"/>
      <c r="DS388" s="5"/>
      <c r="DV388" s="5"/>
      <c r="DW388" s="660">
        <f t="shared" si="3"/>
        <v>0</v>
      </c>
    </row>
    <row r="389" spans="1:128" s="6" customFormat="1" ht="15" customHeight="1">
      <c r="A389" s="3">
        <v>188</v>
      </c>
      <c r="B389" s="210" t="s">
        <v>156</v>
      </c>
      <c r="C389" s="473" t="s">
        <v>515</v>
      </c>
      <c r="D389" s="4"/>
      <c r="E389" s="5"/>
      <c r="F389" s="5"/>
      <c r="G389" s="4"/>
      <c r="H389" s="4"/>
      <c r="I389" s="4"/>
      <c r="J389" s="4"/>
      <c r="K389" s="5"/>
      <c r="L389" s="5"/>
      <c r="M389" s="5"/>
      <c r="O389" s="5"/>
      <c r="P389" s="5"/>
      <c r="Q389" s="5"/>
      <c r="S389" s="5"/>
      <c r="T389" s="5"/>
      <c r="U389" s="5"/>
      <c r="W389" s="5"/>
      <c r="X389" s="5"/>
      <c r="Y389" s="12"/>
      <c r="AA389" s="13"/>
      <c r="AB389" s="12"/>
      <c r="AD389" s="13"/>
      <c r="AE389" s="5"/>
      <c r="AF389" s="5"/>
      <c r="AH389" s="13"/>
      <c r="AI389" s="5"/>
      <c r="AK389" s="5"/>
      <c r="AL389" s="5"/>
      <c r="AM389" s="5"/>
      <c r="AO389" s="5"/>
      <c r="AP389" s="5"/>
      <c r="AR389" s="5"/>
      <c r="AS389" s="5"/>
      <c r="AT389" s="5"/>
      <c r="AV389" s="5"/>
      <c r="AW389" s="5"/>
      <c r="AY389" s="5"/>
      <c r="AZ389" s="5"/>
      <c r="BA389" s="5"/>
      <c r="BC389" s="5"/>
      <c r="BD389" s="5"/>
      <c r="BF389" s="5"/>
      <c r="BG389" s="5"/>
      <c r="BH389" s="5"/>
      <c r="BJ389" s="5"/>
      <c r="BK389" s="5"/>
      <c r="BL389" s="12"/>
      <c r="BM389" s="5"/>
      <c r="BN389" s="5"/>
      <c r="BO389" s="5"/>
      <c r="BQ389" s="5"/>
      <c r="BR389" s="5"/>
      <c r="BT389" s="5"/>
      <c r="BU389" s="5"/>
      <c r="BV389" s="5"/>
      <c r="BX389" s="5"/>
      <c r="BY389" s="5"/>
      <c r="CA389" s="13"/>
      <c r="CB389" s="7"/>
      <c r="CC389" s="11"/>
      <c r="CE389" s="13">
        <v>1</v>
      </c>
      <c r="CF389" s="5">
        <f>CF26*CE389+CG26*CE389+CF5*CE389+CG5*CE389+CF6*CE389+CG6*CE389+CF7*CE389+CG7*CE389+CF8*CE389+CG8*CE389+CF9*CE389+CG9*CE389+CF10*CE389+CG10*CE389+CF11*CE389+CG11*CE389+CF12*CE389+CG12*CE389+CF13*CE389+CG13*CE389+CF14*CE389+CG14*CE389+CF15*CE389+CG15*CE389+CF16*CE389+CG16*CE389+CF17*CE389+CG17*CE389+CF18*CE389+CG18*CE389+CF19*CE389+CG19*CE389+CF20*CE389+CG20*CE389+CF21*CE389+CG21*CE389+CF22*CE389+CG22*CE389+CF23*CE389+CG23*CE389+CF24*CE389+CG24*CE389+CF25*CE389+CG25*CE389</f>
        <v>0</v>
      </c>
      <c r="CG389" s="12"/>
      <c r="CI389" s="13"/>
      <c r="CJ389" s="5"/>
      <c r="CK389" s="12"/>
      <c r="CM389" s="13"/>
      <c r="CN389" s="5"/>
      <c r="CO389" s="12"/>
      <c r="CQ389" s="13"/>
      <c r="CR389" s="5"/>
      <c r="CS389" s="12"/>
      <c r="CU389" s="13"/>
      <c r="CV389" s="5"/>
      <c r="CW389" s="12"/>
      <c r="CY389" s="13">
        <v>1</v>
      </c>
      <c r="CZ389" s="5">
        <f>SUM(CZ5:DA26)*CY389</f>
        <v>0</v>
      </c>
      <c r="DA389" s="12"/>
      <c r="DC389" s="13"/>
      <c r="DD389" s="5"/>
      <c r="DE389" s="12"/>
      <c r="DG389" s="13"/>
      <c r="DH389" s="5"/>
      <c r="DI389" s="12"/>
      <c r="DK389" s="13"/>
      <c r="DL389" s="5"/>
      <c r="DM389" s="12"/>
      <c r="DO389" s="13"/>
      <c r="DP389" s="5"/>
      <c r="DQ389" s="12"/>
      <c r="DS389" s="5"/>
      <c r="DV389" s="5"/>
      <c r="DW389" s="660">
        <f t="shared" si="3"/>
        <v>0</v>
      </c>
      <c r="DX389" s="142">
        <v>13</v>
      </c>
    </row>
    <row r="390" spans="1:128" s="6" customFormat="1" ht="15" customHeight="1">
      <c r="A390" s="3">
        <v>189</v>
      </c>
      <c r="B390" s="210" t="s">
        <v>70</v>
      </c>
      <c r="C390" s="473" t="s">
        <v>515</v>
      </c>
      <c r="D390" s="4"/>
      <c r="E390" s="5"/>
      <c r="F390" s="5"/>
      <c r="G390" s="4"/>
      <c r="H390" s="4"/>
      <c r="I390" s="4"/>
      <c r="J390" s="4"/>
      <c r="K390" s="5"/>
      <c r="L390" s="5"/>
      <c r="M390" s="5"/>
      <c r="O390" s="5"/>
      <c r="P390" s="5"/>
      <c r="Q390" s="5"/>
      <c r="S390" s="5"/>
      <c r="T390" s="5"/>
      <c r="U390" s="5"/>
      <c r="W390" s="5"/>
      <c r="X390" s="5"/>
      <c r="Y390" s="12"/>
      <c r="AA390" s="13"/>
      <c r="AB390" s="12"/>
      <c r="AD390" s="13"/>
      <c r="AE390" s="5"/>
      <c r="AF390" s="5"/>
      <c r="AH390" s="13"/>
      <c r="AI390" s="5"/>
      <c r="AK390" s="5"/>
      <c r="AL390" s="5"/>
      <c r="AM390" s="5"/>
      <c r="AO390" s="5"/>
      <c r="AP390" s="5"/>
      <c r="AR390" s="5"/>
      <c r="AS390" s="5"/>
      <c r="AT390" s="5"/>
      <c r="AV390" s="5"/>
      <c r="AW390" s="5"/>
      <c r="AY390" s="5"/>
      <c r="AZ390" s="5"/>
      <c r="BA390" s="5"/>
      <c r="BC390" s="5"/>
      <c r="BD390" s="5"/>
      <c r="BF390" s="5"/>
      <c r="BG390" s="5"/>
      <c r="BH390" s="5"/>
      <c r="BJ390" s="5"/>
      <c r="BK390" s="5"/>
      <c r="BL390" s="12"/>
      <c r="BM390" s="5"/>
      <c r="BN390" s="5"/>
      <c r="BO390" s="5"/>
      <c r="BQ390" s="5"/>
      <c r="BR390" s="5"/>
      <c r="BT390" s="5"/>
      <c r="BU390" s="5"/>
      <c r="BV390" s="5"/>
      <c r="BX390" s="5"/>
      <c r="BY390" s="5"/>
      <c r="CA390" s="13"/>
      <c r="CB390" s="7"/>
      <c r="CC390" s="11"/>
      <c r="CE390" s="13">
        <v>1</v>
      </c>
      <c r="CF390" s="5">
        <f>CF5*CE390+CG5*CE390+CF6*CE390+CG6*CE390+CF7*CE390+CG7*CE390+CF8*CE390+CG8*CE390+CF9*CE390+CG9*CE390+CF10*CE390+CG10*CE390+CF11*CE390+CG11*CE390+CF12*CE390+CG12*CE390+CF13*CE390+CG13*CE390+CF14*CE390+CG14*CE390+CF15*CE390+CG15*CE390+CF16*CE390+CG16*CE390+CF17*CE390+CG17*CE390+CF18*CE390+CG18*CE390+CF19*CE390+CG19*CE390+CF20*CE390+CG20*CE390+CF21*CE390+CG21*CE390+CF22*CE390+CG22*CE390+CF23*CE390+CG23*CE390+CF24*CE390+CG24*CE390+CF25*CE390+CG25*CE390+CF26*CE390+CG26*CE390</f>
        <v>0</v>
      </c>
      <c r="CG390" s="12"/>
      <c r="CI390" s="13"/>
      <c r="CJ390" s="5"/>
      <c r="CK390" s="12"/>
      <c r="CM390" s="13"/>
      <c r="CN390" s="5"/>
      <c r="CO390" s="12"/>
      <c r="CQ390" s="13"/>
      <c r="CR390" s="5"/>
      <c r="CS390" s="12"/>
      <c r="CU390" s="13"/>
      <c r="CV390" s="5"/>
      <c r="CW390" s="12"/>
      <c r="CY390" s="13">
        <v>1</v>
      </c>
      <c r="CZ390" s="5">
        <f>SUM(CZ5:DA26)*CY390</f>
        <v>0</v>
      </c>
      <c r="DA390" s="12"/>
      <c r="DC390" s="13"/>
      <c r="DD390" s="5"/>
      <c r="DE390" s="12"/>
      <c r="DG390" s="13"/>
      <c r="DH390" s="5"/>
      <c r="DI390" s="12"/>
      <c r="DK390" s="13"/>
      <c r="DL390" s="5"/>
      <c r="DM390" s="12"/>
      <c r="DO390" s="13"/>
      <c r="DP390" s="5"/>
      <c r="DQ390" s="12"/>
      <c r="DS390" s="5"/>
      <c r="DV390" s="5"/>
      <c r="DW390" s="660">
        <f t="shared" si="3"/>
        <v>0</v>
      </c>
      <c r="DX390" s="116">
        <v>34</v>
      </c>
    </row>
    <row r="391" spans="1:128" s="6" customFormat="1" ht="15" customHeight="1">
      <c r="A391" s="3">
        <v>190</v>
      </c>
      <c r="B391" s="210" t="s">
        <v>157</v>
      </c>
      <c r="C391" s="473" t="s">
        <v>515</v>
      </c>
      <c r="D391" s="4"/>
      <c r="E391" s="5"/>
      <c r="F391" s="5"/>
      <c r="G391" s="4"/>
      <c r="H391" s="4"/>
      <c r="I391" s="4"/>
      <c r="J391" s="4"/>
      <c r="K391" s="5"/>
      <c r="L391" s="5"/>
      <c r="M391" s="5"/>
      <c r="O391" s="5"/>
      <c r="P391" s="5"/>
      <c r="Q391" s="5"/>
      <c r="S391" s="5"/>
      <c r="T391" s="5"/>
      <c r="U391" s="5"/>
      <c r="W391" s="5"/>
      <c r="X391" s="5"/>
      <c r="Y391" s="12"/>
      <c r="AA391" s="13"/>
      <c r="AB391" s="12"/>
      <c r="AD391" s="13"/>
      <c r="AE391" s="5"/>
      <c r="AF391" s="5"/>
      <c r="AH391" s="13"/>
      <c r="AI391" s="5"/>
      <c r="AK391" s="5"/>
      <c r="AL391" s="5"/>
      <c r="AM391" s="5"/>
      <c r="AO391" s="5"/>
      <c r="AP391" s="5"/>
      <c r="AR391" s="5"/>
      <c r="AS391" s="5"/>
      <c r="AT391" s="5"/>
      <c r="AV391" s="5"/>
      <c r="AW391" s="5"/>
      <c r="AY391" s="5"/>
      <c r="AZ391" s="5"/>
      <c r="BA391" s="5"/>
      <c r="BC391" s="5"/>
      <c r="BD391" s="5"/>
      <c r="BF391" s="5"/>
      <c r="BG391" s="5"/>
      <c r="BH391" s="5"/>
      <c r="BJ391" s="5"/>
      <c r="BK391" s="5"/>
      <c r="BL391" s="12"/>
      <c r="BM391" s="5"/>
      <c r="BN391" s="5"/>
      <c r="BO391" s="5"/>
      <c r="BQ391" s="5"/>
      <c r="BR391" s="5"/>
      <c r="BT391" s="5"/>
      <c r="BU391" s="5"/>
      <c r="BV391" s="5"/>
      <c r="BX391" s="5"/>
      <c r="BY391" s="5"/>
      <c r="CA391" s="13"/>
      <c r="CB391" s="7"/>
      <c r="CC391" s="11"/>
      <c r="CE391" s="13"/>
      <c r="CF391" s="5"/>
      <c r="CG391" s="12"/>
      <c r="CI391" s="13">
        <v>1</v>
      </c>
      <c r="CJ391" s="5">
        <f>CJ26*CI391+CK26*CI391+CJ5*CI391+CK5*CI391+CJ6*CI391+CK6*CI391+CJ7*CI391+CK7*CI391+CJ8*CI391+CK8*CI391+CJ9*CI391+CK9*CI391+CJ10*CI391+CK10*CI391+CJ11*CI391+CK11*CI391+CJ12*CI391+CK12*CI391+CJ13*CI391+CK13*CI391+CJ14*CI391+CK14*CI391+CJ15*CI391+CK15*CI391+CJ16*CI391+CK16*CI391+CJ17*CI391+CK17*CI391+CJ18*CI391+CK18*CI391+CJ19*CI391+CK19*CI391+CJ20*CI391+CK20*CI391+CJ21*CI391+CK21*CI391+CJ22*CI391+CK22*CI391+CJ23*CI391+CK23*CI391+CJ24*CI391+CK24*CI391+CJ25*CI391+CK25*CI391</f>
        <v>0</v>
      </c>
      <c r="CK391" s="12"/>
      <c r="CM391" s="13"/>
      <c r="CN391" s="5"/>
      <c r="CO391" s="12"/>
      <c r="CQ391" s="13"/>
      <c r="CR391" s="5"/>
      <c r="CS391" s="12"/>
      <c r="CU391" s="13"/>
      <c r="CV391" s="5"/>
      <c r="CW391" s="12"/>
      <c r="CY391" s="13"/>
      <c r="CZ391" s="5"/>
      <c r="DA391" s="12"/>
      <c r="DC391" s="13">
        <v>1</v>
      </c>
      <c r="DD391" s="5">
        <f>SUM(DD5:DE26)*DC391</f>
        <v>0</v>
      </c>
      <c r="DE391" s="12"/>
      <c r="DG391" s="13"/>
      <c r="DH391" s="5"/>
      <c r="DI391" s="12"/>
      <c r="DK391" s="13"/>
      <c r="DL391" s="5"/>
      <c r="DM391" s="12"/>
      <c r="DO391" s="13"/>
      <c r="DP391" s="5"/>
      <c r="DQ391" s="12"/>
      <c r="DS391" s="5"/>
      <c r="DV391" s="5"/>
      <c r="DW391" s="660">
        <f t="shared" si="3"/>
        <v>0</v>
      </c>
      <c r="DX391" s="142">
        <v>13</v>
      </c>
    </row>
    <row r="392" spans="1:128" s="6" customFormat="1" ht="15" customHeight="1">
      <c r="A392" s="3">
        <v>191</v>
      </c>
      <c r="B392" s="210" t="s">
        <v>71</v>
      </c>
      <c r="C392" s="473" t="s">
        <v>515</v>
      </c>
      <c r="D392" s="4"/>
      <c r="E392" s="5"/>
      <c r="F392" s="5"/>
      <c r="G392" s="4"/>
      <c r="H392" s="4"/>
      <c r="I392" s="4"/>
      <c r="J392" s="4"/>
      <c r="K392" s="5"/>
      <c r="L392" s="5"/>
      <c r="M392" s="5"/>
      <c r="O392" s="5"/>
      <c r="P392" s="5"/>
      <c r="Q392" s="5"/>
      <c r="S392" s="5"/>
      <c r="T392" s="5"/>
      <c r="U392" s="5"/>
      <c r="W392" s="5"/>
      <c r="X392" s="5"/>
      <c r="Y392" s="12"/>
      <c r="AA392" s="13"/>
      <c r="AB392" s="12"/>
      <c r="AD392" s="13"/>
      <c r="AE392" s="5"/>
      <c r="AF392" s="5"/>
      <c r="AH392" s="13"/>
      <c r="AI392" s="5"/>
      <c r="AK392" s="5"/>
      <c r="AL392" s="5"/>
      <c r="AM392" s="5"/>
      <c r="AO392" s="5"/>
      <c r="AP392" s="5"/>
      <c r="AR392" s="5"/>
      <c r="AS392" s="5"/>
      <c r="AT392" s="5"/>
      <c r="AV392" s="5"/>
      <c r="AW392" s="5"/>
      <c r="AY392" s="5"/>
      <c r="AZ392" s="5"/>
      <c r="BA392" s="5"/>
      <c r="BC392" s="5"/>
      <c r="BD392" s="5"/>
      <c r="BF392" s="5"/>
      <c r="BG392" s="5"/>
      <c r="BH392" s="5"/>
      <c r="BJ392" s="5"/>
      <c r="BK392" s="5"/>
      <c r="BL392" s="12"/>
      <c r="BM392" s="5"/>
      <c r="BN392" s="5"/>
      <c r="BO392" s="5"/>
      <c r="BQ392" s="5"/>
      <c r="BR392" s="5"/>
      <c r="BT392" s="5"/>
      <c r="BU392" s="5"/>
      <c r="BV392" s="5"/>
      <c r="BX392" s="5"/>
      <c r="BY392" s="5"/>
      <c r="CA392" s="13"/>
      <c r="CB392" s="7"/>
      <c r="CC392" s="11"/>
      <c r="CE392" s="13"/>
      <c r="CF392" s="5"/>
      <c r="CG392" s="12"/>
      <c r="CI392" s="13">
        <v>1</v>
      </c>
      <c r="CJ392" s="5">
        <f>CJ5*CI392+CK5*CI392+CJ6*CI392+CK6*CI392+CJ7*CI392+CK7*CI392+CJ8*CI392+CK8*CI392+CJ9*CI392+CK9*CI392+CJ10*CI392+CK10*CI392+CJ11*CI392+CK11*CI392+CJ12*CI392+CK12*CI392+CJ13*CI392+CK13*CI392+CJ14*CI392+CK14*CI392+CJ15*CI392+CK15*CI392+CJ16*CI392+CK16*CI392+CJ17*CI392+CK17*CI392+CJ18*CI392+CK18*CI392+CJ19*CI392+CK19*CI392+CJ20*CI392+CK20*CI392+CJ21*CI392+CK21*CI392+CJ22*CI392+CK22*CI392+CJ23*CI392+CK23*CI392+CJ24*CI392+CK24*CI392+CJ25*CI392+CK25*CI392+CJ26*CI392+CK26*CI392</f>
        <v>0</v>
      </c>
      <c r="CK392" s="12"/>
      <c r="CM392" s="13"/>
      <c r="CN392" s="5"/>
      <c r="CO392" s="12"/>
      <c r="CQ392" s="13"/>
      <c r="CR392" s="5"/>
      <c r="CS392" s="12"/>
      <c r="CU392" s="13"/>
      <c r="CV392" s="5"/>
      <c r="CW392" s="12"/>
      <c r="CY392" s="13"/>
      <c r="CZ392" s="5"/>
      <c r="DA392" s="12"/>
      <c r="DC392" s="13">
        <v>1</v>
      </c>
      <c r="DD392" s="5">
        <f>SUM(DD5:DE26)*DC392</f>
        <v>0</v>
      </c>
      <c r="DE392" s="12"/>
      <c r="DG392" s="13"/>
      <c r="DH392" s="5"/>
      <c r="DI392" s="12"/>
      <c r="DK392" s="13"/>
      <c r="DL392" s="5"/>
      <c r="DM392" s="12"/>
      <c r="DO392" s="13"/>
      <c r="DP392" s="5"/>
      <c r="DQ392" s="12"/>
      <c r="DS392" s="5"/>
      <c r="DV392" s="5"/>
      <c r="DW392" s="660">
        <f t="shared" si="3"/>
        <v>0</v>
      </c>
      <c r="DX392" s="116">
        <v>34</v>
      </c>
    </row>
    <row r="393" spans="1:128" s="6" customFormat="1" ht="15" customHeight="1">
      <c r="A393" s="3">
        <v>192</v>
      </c>
      <c r="B393" s="210" t="s">
        <v>158</v>
      </c>
      <c r="C393" s="473" t="s">
        <v>515</v>
      </c>
      <c r="D393" s="4"/>
      <c r="E393" s="5"/>
      <c r="F393" s="5"/>
      <c r="G393" s="4"/>
      <c r="H393" s="4"/>
      <c r="I393" s="4"/>
      <c r="J393" s="4"/>
      <c r="K393" s="5"/>
      <c r="L393" s="5"/>
      <c r="M393" s="5"/>
      <c r="O393" s="5"/>
      <c r="P393" s="5"/>
      <c r="Q393" s="5"/>
      <c r="S393" s="5"/>
      <c r="T393" s="5"/>
      <c r="U393" s="5"/>
      <c r="W393" s="5"/>
      <c r="X393" s="5"/>
      <c r="Y393" s="12"/>
      <c r="AA393" s="13"/>
      <c r="AB393" s="12"/>
      <c r="AD393" s="13"/>
      <c r="AE393" s="5"/>
      <c r="AF393" s="5"/>
      <c r="AH393" s="13"/>
      <c r="AI393" s="5"/>
      <c r="AK393" s="5"/>
      <c r="AL393" s="5"/>
      <c r="AM393" s="5"/>
      <c r="AO393" s="5"/>
      <c r="AP393" s="5"/>
      <c r="AR393" s="5"/>
      <c r="AS393" s="5"/>
      <c r="AT393" s="5"/>
      <c r="AV393" s="5"/>
      <c r="AW393" s="5"/>
      <c r="AY393" s="5"/>
      <c r="AZ393" s="5"/>
      <c r="BA393" s="5"/>
      <c r="BC393" s="5"/>
      <c r="BD393" s="5"/>
      <c r="BF393" s="5"/>
      <c r="BG393" s="5"/>
      <c r="BH393" s="5"/>
      <c r="BJ393" s="5"/>
      <c r="BK393" s="5"/>
      <c r="BL393" s="12"/>
      <c r="BM393" s="5"/>
      <c r="BN393" s="5"/>
      <c r="BO393" s="5"/>
      <c r="BQ393" s="5"/>
      <c r="BR393" s="5"/>
      <c r="BT393" s="5"/>
      <c r="BU393" s="5"/>
      <c r="BV393" s="5"/>
      <c r="BX393" s="5"/>
      <c r="BY393" s="5"/>
      <c r="CA393" s="13"/>
      <c r="CB393" s="7"/>
      <c r="CC393" s="11"/>
      <c r="CE393" s="13"/>
      <c r="CF393" s="5"/>
      <c r="CG393" s="12"/>
      <c r="CI393" s="13"/>
      <c r="CJ393" s="5"/>
      <c r="CK393" s="12"/>
      <c r="CM393" s="13">
        <v>1</v>
      </c>
      <c r="CN393" s="5">
        <f>CN26*CM393+CO26*CM393+CN5*CM393+CO5*CM393+CN6*CM393+CO6*CM393+CN7*CM393+CO7*CM393+CN8*CM393+CO8*CM393+CN9*CM393+CO9*CM393+CN10*CM393+CO10*CM393+CN11*CM393+CO11*CM393+CN12*CM393+CO12*CM393+CN13*CM393+CO13*CM393+CN14*CM393+CO14*CM393+CN15*CM393+CO15*CM393+CN16*CM393+CO16*CM393+CN17*CM393+CO17*CM393+CN18*CM393+CO18*CM393+CN19*CM393+CO19*CM393+CN20*CM393+CO20*CM393+CN21*CM393+CO21*CM393+CN22*CM393+CO22*CM393+CN23*CM393+CO23*CM393+CN24*CM393+CO24*CM393+CN25*CM393+CO25*CM393</f>
        <v>0</v>
      </c>
      <c r="CO393" s="12"/>
      <c r="CQ393" s="13"/>
      <c r="CR393" s="5"/>
      <c r="CS393" s="12"/>
      <c r="CU393" s="13"/>
      <c r="CV393" s="5"/>
      <c r="CW393" s="12"/>
      <c r="CY393" s="13"/>
      <c r="CZ393" s="5"/>
      <c r="DA393" s="12"/>
      <c r="DC393" s="13"/>
      <c r="DD393" s="5"/>
      <c r="DE393" s="12"/>
      <c r="DG393" s="13">
        <v>1</v>
      </c>
      <c r="DH393" s="5">
        <f>SUM(DH5:DI26)*DG393</f>
        <v>0</v>
      </c>
      <c r="DI393" s="12"/>
      <c r="DK393" s="13"/>
      <c r="DL393" s="5"/>
      <c r="DM393" s="12"/>
      <c r="DO393" s="13"/>
      <c r="DP393" s="5"/>
      <c r="DQ393" s="12"/>
      <c r="DS393" s="5"/>
      <c r="DV393" s="5"/>
      <c r="DW393" s="660">
        <f t="shared" si="3"/>
        <v>0</v>
      </c>
      <c r="DX393" s="142">
        <v>13</v>
      </c>
    </row>
    <row r="394" spans="1:128" s="6" customFormat="1" ht="15" customHeight="1">
      <c r="A394" s="3">
        <v>193</v>
      </c>
      <c r="B394" s="210" t="s">
        <v>72</v>
      </c>
      <c r="C394" s="473" t="s">
        <v>515</v>
      </c>
      <c r="D394" s="4"/>
      <c r="E394" s="5"/>
      <c r="F394" s="5"/>
      <c r="G394" s="4"/>
      <c r="H394" s="4"/>
      <c r="I394" s="4"/>
      <c r="J394" s="4"/>
      <c r="K394" s="5"/>
      <c r="L394" s="5"/>
      <c r="M394" s="5"/>
      <c r="O394" s="5"/>
      <c r="P394" s="5"/>
      <c r="Q394" s="5"/>
      <c r="S394" s="5"/>
      <c r="T394" s="5"/>
      <c r="U394" s="5"/>
      <c r="W394" s="5"/>
      <c r="X394" s="5"/>
      <c r="Y394" s="12"/>
      <c r="AA394" s="13"/>
      <c r="AB394" s="12"/>
      <c r="AD394" s="13"/>
      <c r="AE394" s="5"/>
      <c r="AF394" s="5"/>
      <c r="AH394" s="13"/>
      <c r="AI394" s="5"/>
      <c r="AK394" s="5"/>
      <c r="AL394" s="5"/>
      <c r="AM394" s="5"/>
      <c r="AO394" s="5"/>
      <c r="AP394" s="5"/>
      <c r="AR394" s="5"/>
      <c r="AS394" s="5"/>
      <c r="AT394" s="5"/>
      <c r="AV394" s="5"/>
      <c r="AW394" s="5"/>
      <c r="AY394" s="5"/>
      <c r="AZ394" s="5"/>
      <c r="BA394" s="5"/>
      <c r="BC394" s="5"/>
      <c r="BD394" s="5"/>
      <c r="BF394" s="5"/>
      <c r="BG394" s="5"/>
      <c r="BH394" s="5"/>
      <c r="BJ394" s="5"/>
      <c r="BK394" s="5"/>
      <c r="BL394" s="12"/>
      <c r="BM394" s="5"/>
      <c r="BN394" s="5"/>
      <c r="BO394" s="5"/>
      <c r="BQ394" s="5"/>
      <c r="BR394" s="5"/>
      <c r="BT394" s="5"/>
      <c r="BU394" s="5"/>
      <c r="BV394" s="5"/>
      <c r="BX394" s="5"/>
      <c r="BY394" s="5"/>
      <c r="CA394" s="13"/>
      <c r="CB394" s="7"/>
      <c r="CC394" s="11"/>
      <c r="CE394" s="13"/>
      <c r="CF394" s="5"/>
      <c r="CG394" s="12"/>
      <c r="CI394" s="13"/>
      <c r="CJ394" s="5"/>
      <c r="CK394" s="12"/>
      <c r="CM394" s="13">
        <v>1</v>
      </c>
      <c r="CN394" s="5">
        <f>CN5*CM394+CO5*CM394+CN6*CM394+CO6*CM394+CN7*CM394+CO7*CM394+CN8*CM394+CO8*CM394+CN9*CM394+CO9*CM394+CN10*CM394+CO10*CM394+CN11*CM394+CO11*CM394+CN12*CM394+CO12*CM394+CN13*CM394+CO13*CM394+CN14*CM394+CO14*CM394+CN15*CM394+CO15*CM394+CN16*CM394+CO16*CM394+CN17*CM394+CO17*CM394+CN18*CM394+CO18*CM394+CN19*CM394+CO19*CM394+CN20*CM394+CO20*CM394+CN21*CM394+CO21*CM394+CN22*CM394+CO22*CM394+CN23*CM394+CO23*CM394+CN24*CM394+CO24*CM394+CN25*CM394+CO25*CM394+CN26*CM394+CO26*CM394</f>
        <v>0</v>
      </c>
      <c r="CO394" s="12"/>
      <c r="CQ394" s="13"/>
      <c r="CR394" s="5"/>
      <c r="CS394" s="12"/>
      <c r="CU394" s="13"/>
      <c r="CV394" s="5"/>
      <c r="CW394" s="12"/>
      <c r="CY394" s="13"/>
      <c r="CZ394" s="5"/>
      <c r="DA394" s="12"/>
      <c r="DC394" s="13"/>
      <c r="DD394" s="5"/>
      <c r="DE394" s="12"/>
      <c r="DG394" s="13">
        <v>1</v>
      </c>
      <c r="DH394" s="5">
        <f>SUM(DH5:DI26)*DG394</f>
        <v>0</v>
      </c>
      <c r="DI394" s="12"/>
      <c r="DK394" s="13"/>
      <c r="DL394" s="5"/>
      <c r="DM394" s="12"/>
      <c r="DO394" s="13"/>
      <c r="DP394" s="5"/>
      <c r="DQ394" s="12"/>
      <c r="DS394" s="5"/>
      <c r="DV394" s="5"/>
      <c r="DW394" s="660">
        <f t="shared" si="3"/>
        <v>0</v>
      </c>
      <c r="DX394" s="116">
        <v>34</v>
      </c>
    </row>
    <row r="395" spans="1:128" s="6" customFormat="1" ht="15" customHeight="1">
      <c r="A395" s="3">
        <v>194</v>
      </c>
      <c r="B395" s="210" t="s">
        <v>159</v>
      </c>
      <c r="C395" s="473" t="s">
        <v>515</v>
      </c>
      <c r="D395" s="4"/>
      <c r="E395" s="5"/>
      <c r="F395" s="5"/>
      <c r="G395" s="4"/>
      <c r="H395" s="4"/>
      <c r="I395" s="4"/>
      <c r="J395" s="4"/>
      <c r="K395" s="5"/>
      <c r="L395" s="5"/>
      <c r="M395" s="5"/>
      <c r="O395" s="5"/>
      <c r="P395" s="5"/>
      <c r="Q395" s="5"/>
      <c r="S395" s="5"/>
      <c r="T395" s="5"/>
      <c r="U395" s="5"/>
      <c r="W395" s="5"/>
      <c r="X395" s="5"/>
      <c r="Y395" s="12"/>
      <c r="AA395" s="13"/>
      <c r="AB395" s="12"/>
      <c r="AD395" s="13"/>
      <c r="AE395" s="5"/>
      <c r="AF395" s="5"/>
      <c r="AH395" s="13"/>
      <c r="AI395" s="5"/>
      <c r="AK395" s="5"/>
      <c r="AL395" s="5"/>
      <c r="AM395" s="5"/>
      <c r="AO395" s="5"/>
      <c r="AP395" s="5"/>
      <c r="AR395" s="5"/>
      <c r="AS395" s="5"/>
      <c r="AT395" s="5"/>
      <c r="AV395" s="5"/>
      <c r="AW395" s="5"/>
      <c r="AY395" s="5"/>
      <c r="AZ395" s="5"/>
      <c r="BA395" s="5"/>
      <c r="BC395" s="5"/>
      <c r="BD395" s="5"/>
      <c r="BF395" s="5"/>
      <c r="BG395" s="5"/>
      <c r="BH395" s="5"/>
      <c r="BJ395" s="5"/>
      <c r="BK395" s="5"/>
      <c r="BL395" s="12"/>
      <c r="BM395" s="5"/>
      <c r="BN395" s="5"/>
      <c r="BO395" s="5"/>
      <c r="BQ395" s="5"/>
      <c r="BR395" s="5"/>
      <c r="BT395" s="5"/>
      <c r="BU395" s="5"/>
      <c r="BV395" s="5"/>
      <c r="BX395" s="5"/>
      <c r="BY395" s="5"/>
      <c r="CA395" s="13"/>
      <c r="CB395" s="7"/>
      <c r="CC395" s="11"/>
      <c r="CE395" s="13"/>
      <c r="CF395" s="5"/>
      <c r="CG395" s="12"/>
      <c r="CI395" s="13"/>
      <c r="CJ395" s="5"/>
      <c r="CK395" s="12"/>
      <c r="CM395" s="13"/>
      <c r="CN395" s="5"/>
      <c r="CO395" s="12"/>
      <c r="CQ395" s="13">
        <v>1</v>
      </c>
      <c r="CR395" s="5">
        <f>CR26*CQ395+CS26*CQ395+CR5*CQ395+CS5*CQ395+CR6*CQ395+CS6*CQ395+CR7*CQ395+CS7*CQ395+CR8*CQ395+CS8*CQ395+CR9*CQ395+CS9*CQ395+CR10*CQ395+CS10*CQ395+CR11*CQ395+CS11*CQ395+CR12*CQ395+CS12*CQ395+CR13*CQ395+CS13*CQ395+CR14*CQ395+CS14*CQ395+CR15*CQ395+CS15*CQ395+CR16*CQ395+CS16*CQ395+CR17*CQ395+CS17*CQ395+CR18*CQ395+CS18*CQ395+CR19*CQ395+CS19*CQ395+CR20*CQ395+CS20*CQ395+CR21*CQ395+CS21*CQ395+CR22*CQ395+CS22*CQ395+CR23*CQ395+CS23*CQ395+CR24*CQ395+CS24*CQ395+CR25*CQ395+CS25*CQ395</f>
        <v>0</v>
      </c>
      <c r="CS395" s="12"/>
      <c r="CU395" s="13"/>
      <c r="CV395" s="5"/>
      <c r="CW395" s="12"/>
      <c r="CY395" s="13"/>
      <c r="CZ395" s="5"/>
      <c r="DA395" s="12"/>
      <c r="DC395" s="13"/>
      <c r="DD395" s="5"/>
      <c r="DE395" s="12"/>
      <c r="DG395" s="13"/>
      <c r="DH395" s="5"/>
      <c r="DI395" s="12"/>
      <c r="DK395" s="13">
        <v>1</v>
      </c>
      <c r="DL395" s="5">
        <f>SUM(DL5:DM26)*DK395</f>
        <v>0</v>
      </c>
      <c r="DM395" s="12"/>
      <c r="DO395" s="13"/>
      <c r="DP395" s="5"/>
      <c r="DQ395" s="12"/>
      <c r="DS395" s="5"/>
      <c r="DV395" s="5"/>
      <c r="DW395" s="660">
        <f t="shared" si="3"/>
        <v>0</v>
      </c>
      <c r="DX395" s="142">
        <v>13</v>
      </c>
    </row>
    <row r="396" spans="1:128" s="6" customFormat="1" ht="15" customHeight="1">
      <c r="A396" s="3">
        <v>195</v>
      </c>
      <c r="B396" s="210" t="s">
        <v>73</v>
      </c>
      <c r="C396" s="473" t="s">
        <v>515</v>
      </c>
      <c r="D396" s="4"/>
      <c r="E396" s="5"/>
      <c r="F396" s="5"/>
      <c r="G396" s="4"/>
      <c r="H396" s="4"/>
      <c r="I396" s="4"/>
      <c r="J396" s="4"/>
      <c r="K396" s="5"/>
      <c r="L396" s="5"/>
      <c r="M396" s="5"/>
      <c r="O396" s="5"/>
      <c r="P396" s="5"/>
      <c r="Q396" s="5"/>
      <c r="S396" s="5"/>
      <c r="T396" s="5"/>
      <c r="U396" s="5"/>
      <c r="W396" s="5"/>
      <c r="X396" s="5"/>
      <c r="Y396" s="12"/>
      <c r="AA396" s="13"/>
      <c r="AB396" s="12"/>
      <c r="AD396" s="13"/>
      <c r="AE396" s="5"/>
      <c r="AF396" s="5"/>
      <c r="AH396" s="13"/>
      <c r="AI396" s="5"/>
      <c r="AK396" s="5"/>
      <c r="AL396" s="5"/>
      <c r="AM396" s="5"/>
      <c r="AO396" s="5"/>
      <c r="AP396" s="5"/>
      <c r="AR396" s="5"/>
      <c r="AS396" s="5"/>
      <c r="AT396" s="5"/>
      <c r="AV396" s="5"/>
      <c r="AW396" s="5"/>
      <c r="AY396" s="5"/>
      <c r="AZ396" s="5"/>
      <c r="BA396" s="5"/>
      <c r="BC396" s="5"/>
      <c r="BD396" s="5"/>
      <c r="BF396" s="5"/>
      <c r="BG396" s="5"/>
      <c r="BH396" s="5"/>
      <c r="BJ396" s="5"/>
      <c r="BK396" s="5"/>
      <c r="BL396" s="12"/>
      <c r="BM396" s="5"/>
      <c r="BN396" s="5"/>
      <c r="BO396" s="5"/>
      <c r="BQ396" s="5"/>
      <c r="BR396" s="5"/>
      <c r="BT396" s="5"/>
      <c r="BU396" s="5"/>
      <c r="BV396" s="5"/>
      <c r="BX396" s="5"/>
      <c r="BY396" s="5"/>
      <c r="CA396" s="13"/>
      <c r="CB396" s="7"/>
      <c r="CC396" s="11"/>
      <c r="CE396" s="13"/>
      <c r="CF396" s="5"/>
      <c r="CG396" s="12"/>
      <c r="CI396" s="13"/>
      <c r="CJ396" s="5"/>
      <c r="CK396" s="12"/>
      <c r="CM396" s="13"/>
      <c r="CN396" s="5"/>
      <c r="CO396" s="12"/>
      <c r="CQ396" s="13">
        <v>1</v>
      </c>
      <c r="CR396" s="5">
        <f>CR5*CQ396+CS5*CQ396+CR6*CQ396+CS6*CQ396+CR7*CQ396+CS7*CQ396+CR8*CQ396+CS8*CQ396+CR9*CQ396+CS9*CQ396+CR10*CQ396+CS10*CQ396+CR11*CQ396+CS11*CQ396+CR12*CQ396+CS12*CQ396+CR13*CQ396+CS13*CQ396+CR14*CQ396+CS14*CQ396+CR15*CQ396+CS15*CQ396+CR16*CQ396+CS16*CQ396+CR17*CQ396+CS17*CQ396+CR18*CQ396+CS18*CQ396+CR19*CQ396+CS19*CQ396+CR20*CQ396+CS20*CQ396+CR21*CQ396+CS21*CQ396+CR22*CQ396+CS22*CQ396+CR23*CQ396+CS23*CQ396+CR24*CQ396+CS24*CQ396+CR25*CQ396+CS25*CQ396+CR26*CQ396+CS26*CQ396</f>
        <v>0</v>
      </c>
      <c r="CS396" s="12"/>
      <c r="CU396" s="13"/>
      <c r="CV396" s="5"/>
      <c r="CW396" s="12"/>
      <c r="CY396" s="13"/>
      <c r="CZ396" s="5"/>
      <c r="DA396" s="12"/>
      <c r="DC396" s="13"/>
      <c r="DD396" s="5"/>
      <c r="DE396" s="12"/>
      <c r="DG396" s="13"/>
      <c r="DH396" s="5"/>
      <c r="DI396" s="12"/>
      <c r="DK396" s="13">
        <v>1</v>
      </c>
      <c r="DL396" s="5">
        <f>SUM(DL5:DM26)*DK396</f>
        <v>0</v>
      </c>
      <c r="DM396" s="12"/>
      <c r="DO396" s="13"/>
      <c r="DP396" s="5"/>
      <c r="DQ396" s="12"/>
      <c r="DS396" s="5"/>
      <c r="DV396" s="5"/>
      <c r="DW396" s="660">
        <f t="shared" si="3"/>
        <v>0</v>
      </c>
      <c r="DX396" s="116">
        <v>34</v>
      </c>
    </row>
    <row r="397" spans="1:128" s="6" customFormat="1" ht="15" customHeight="1">
      <c r="A397" s="3"/>
      <c r="B397" s="210" t="s">
        <v>1552</v>
      </c>
      <c r="C397" s="473" t="s">
        <v>515</v>
      </c>
      <c r="D397" s="138"/>
      <c r="G397" s="138"/>
      <c r="H397" s="138"/>
      <c r="I397" s="138"/>
      <c r="J397" s="138"/>
      <c r="CU397" s="6">
        <v>1</v>
      </c>
      <c r="CV397" s="6">
        <f>SUM(CV5:CV26,CW5:CW26)*CU397</f>
        <v>0</v>
      </c>
      <c r="DO397" s="6">
        <v>1</v>
      </c>
      <c r="DP397" s="6">
        <f>SUM(DP5:DQ26)*DO397</f>
        <v>0</v>
      </c>
      <c r="DW397" s="660">
        <f t="shared" si="3"/>
        <v>0</v>
      </c>
      <c r="DX397" s="148">
        <v>13</v>
      </c>
    </row>
    <row r="398" spans="1:128" s="6" customFormat="1" ht="15" customHeight="1">
      <c r="A398" s="3"/>
      <c r="B398" s="210" t="s">
        <v>1553</v>
      </c>
      <c r="C398" s="473" t="s">
        <v>515</v>
      </c>
      <c r="D398" s="138"/>
      <c r="G398" s="138"/>
      <c r="H398" s="138"/>
      <c r="I398" s="138"/>
      <c r="J398" s="138"/>
      <c r="DW398" s="660">
        <f t="shared" si="3"/>
        <v>0</v>
      </c>
      <c r="DX398" s="148">
        <v>34</v>
      </c>
    </row>
    <row r="399" spans="1:128" s="6" customFormat="1" ht="15" customHeight="1">
      <c r="A399" s="3">
        <v>196</v>
      </c>
      <c r="B399" s="214" t="s">
        <v>374</v>
      </c>
      <c r="C399" s="473" t="s">
        <v>515</v>
      </c>
      <c r="E399" s="138"/>
      <c r="F399" s="138"/>
      <c r="H399" s="138"/>
      <c r="I399" s="138"/>
      <c r="DW399" s="660">
        <f t="shared" si="3"/>
        <v>0</v>
      </c>
      <c r="DX399" s="142">
        <v>13</v>
      </c>
    </row>
    <row r="400" spans="1:128">
      <c r="A400" s="3">
        <v>197</v>
      </c>
      <c r="B400" s="214" t="s">
        <v>375</v>
      </c>
      <c r="C400" s="473" t="s">
        <v>515</v>
      </c>
      <c r="E400" s="138"/>
      <c r="F400" s="138"/>
      <c r="H400" s="138"/>
      <c r="I400" s="138"/>
      <c r="DR400" s="6"/>
      <c r="DW400" s="660">
        <f t="shared" si="3"/>
        <v>0</v>
      </c>
      <c r="DX400" s="116">
        <v>34</v>
      </c>
    </row>
    <row r="401" spans="1:128" ht="15" customHeight="1">
      <c r="A401" s="3">
        <v>198</v>
      </c>
      <c r="B401" s="214" t="s">
        <v>376</v>
      </c>
      <c r="C401" s="473" t="s">
        <v>515</v>
      </c>
      <c r="E401" s="138"/>
      <c r="F401" s="138"/>
      <c r="H401" s="138"/>
      <c r="I401" s="138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  <c r="BC401" s="6"/>
      <c r="BD401" s="6"/>
      <c r="BE401" s="6"/>
      <c r="BF401" s="6"/>
      <c r="BG401" s="6"/>
      <c r="BH401" s="6"/>
      <c r="BI401" s="6"/>
      <c r="BJ401" s="6"/>
      <c r="BK401" s="6"/>
      <c r="BL401" s="6"/>
      <c r="BM401" s="6"/>
      <c r="BN401" s="6"/>
      <c r="BO401" s="6"/>
      <c r="BP401" s="6"/>
      <c r="BQ401" s="6"/>
      <c r="BR401" s="6"/>
      <c r="BS401" s="6"/>
      <c r="BT401" s="6"/>
      <c r="BU401" s="6"/>
      <c r="BV401" s="6"/>
      <c r="BW401" s="6"/>
      <c r="BX401" s="6"/>
      <c r="BY401" s="6"/>
      <c r="BZ401" s="6"/>
      <c r="CA401" s="6"/>
      <c r="CB401" s="6"/>
      <c r="CC401" s="6"/>
      <c r="DR401" s="6"/>
      <c r="DW401" s="660">
        <f t="shared" ref="DW401:DW448" si="32">IF(DX401=34,0,I401+L401+P401+T401+X401+AB401+AE401+AI401+F401+AL401+CR401+AP401+AS401+AW401+BD401+BG401+BK401+BN401+BR401+AZ401+M401+DL401+BU401+BY401+CB401+CF401+CJ401+CN401+CV401+CZ401+DD401+DH401+DP401+DT401+DU401)</f>
        <v>0</v>
      </c>
      <c r="DX401" s="142">
        <v>13</v>
      </c>
    </row>
    <row r="402" spans="1:128" ht="15" customHeight="1">
      <c r="A402" s="3">
        <v>199</v>
      </c>
      <c r="B402" s="214" t="s">
        <v>490</v>
      </c>
      <c r="C402" s="473" t="s">
        <v>515</v>
      </c>
      <c r="E402" s="138"/>
      <c r="F402" s="138"/>
      <c r="H402" s="138"/>
      <c r="I402" s="138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  <c r="BC402" s="6"/>
      <c r="BD402" s="6"/>
      <c r="BE402" s="6"/>
      <c r="BF402" s="6"/>
      <c r="BG402" s="6"/>
      <c r="BH402" s="6"/>
      <c r="BI402" s="6"/>
      <c r="BJ402" s="6"/>
      <c r="BK402" s="6"/>
      <c r="BL402" s="6"/>
      <c r="BM402" s="6"/>
      <c r="BN402" s="6"/>
      <c r="BO402" s="6"/>
      <c r="BP402" s="6"/>
      <c r="BQ402" s="6"/>
      <c r="BR402" s="6"/>
      <c r="BS402" s="6"/>
      <c r="BT402" s="6"/>
      <c r="BU402" s="6"/>
      <c r="BV402" s="6"/>
      <c r="BW402" s="6"/>
      <c r="BX402" s="6"/>
      <c r="BY402" s="6"/>
      <c r="BZ402" s="6"/>
      <c r="CA402" s="6"/>
      <c r="CB402" s="6"/>
      <c r="CC402" s="6"/>
      <c r="DR402" s="6"/>
      <c r="DW402" s="660">
        <f t="shared" si="32"/>
        <v>0</v>
      </c>
      <c r="DX402" s="116">
        <v>34</v>
      </c>
    </row>
    <row r="403" spans="1:128" ht="15" customHeight="1">
      <c r="A403" s="3">
        <v>200</v>
      </c>
      <c r="B403" s="214" t="s">
        <v>258</v>
      </c>
      <c r="C403" s="473" t="s">
        <v>515</v>
      </c>
      <c r="E403" s="138"/>
      <c r="F403" s="138"/>
      <c r="H403" s="138"/>
      <c r="I403" s="138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  <c r="BC403" s="6"/>
      <c r="BD403" s="6"/>
      <c r="BE403" s="6"/>
      <c r="BF403" s="6"/>
      <c r="BG403" s="6"/>
      <c r="BH403" s="6"/>
      <c r="BI403" s="6"/>
      <c r="BJ403" s="6"/>
      <c r="BK403" s="6"/>
      <c r="BL403" s="6"/>
      <c r="BM403" s="6"/>
      <c r="BN403" s="6"/>
      <c r="BO403" s="6"/>
      <c r="BP403" s="6"/>
      <c r="BQ403" s="6"/>
      <c r="BR403" s="6"/>
      <c r="BS403" s="6"/>
      <c r="BT403" s="6"/>
      <c r="BU403" s="6"/>
      <c r="BV403" s="6"/>
      <c r="BW403" s="6"/>
      <c r="BX403" s="6"/>
      <c r="BY403" s="6"/>
      <c r="BZ403" s="6"/>
      <c r="CA403" s="6"/>
      <c r="CB403" s="6"/>
      <c r="CC403" s="6"/>
      <c r="DR403" s="6"/>
      <c r="DW403" s="660">
        <f t="shared" si="32"/>
        <v>0</v>
      </c>
      <c r="DX403" s="142">
        <v>13</v>
      </c>
    </row>
    <row r="404" spans="1:128" ht="15" customHeight="1">
      <c r="A404" s="3">
        <v>201</v>
      </c>
      <c r="B404" s="214" t="s">
        <v>491</v>
      </c>
      <c r="C404" s="473" t="s">
        <v>515</v>
      </c>
      <c r="E404" s="138"/>
      <c r="F404" s="138"/>
      <c r="H404" s="138"/>
      <c r="I404" s="138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  <c r="BC404" s="6"/>
      <c r="BD404" s="6"/>
      <c r="BE404" s="6"/>
      <c r="BF404" s="6"/>
      <c r="BG404" s="6"/>
      <c r="BH404" s="6"/>
      <c r="BI404" s="6"/>
      <c r="BJ404" s="6"/>
      <c r="BK404" s="6"/>
      <c r="BL404" s="6"/>
      <c r="BM404" s="6"/>
      <c r="BN404" s="6"/>
      <c r="BO404" s="6"/>
      <c r="BP404" s="6"/>
      <c r="BQ404" s="6"/>
      <c r="BR404" s="6"/>
      <c r="BS404" s="6"/>
      <c r="BT404" s="6"/>
      <c r="BU404" s="6"/>
      <c r="BV404" s="6"/>
      <c r="BW404" s="6"/>
      <c r="BX404" s="6"/>
      <c r="BY404" s="6"/>
      <c r="BZ404" s="6"/>
      <c r="CA404" s="6"/>
      <c r="CB404" s="6"/>
      <c r="CC404" s="6"/>
      <c r="DW404" s="660">
        <f t="shared" si="32"/>
        <v>0</v>
      </c>
      <c r="DX404" s="116">
        <v>34</v>
      </c>
    </row>
    <row r="405" spans="1:128" ht="15" customHeight="1">
      <c r="A405" s="3">
        <v>202</v>
      </c>
      <c r="B405" s="214" t="s">
        <v>260</v>
      </c>
      <c r="C405" s="473" t="s">
        <v>515</v>
      </c>
      <c r="E405" s="138"/>
      <c r="F405" s="138"/>
      <c r="H405" s="138"/>
      <c r="I405" s="138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  <c r="BC405" s="6"/>
      <c r="BD405" s="6"/>
      <c r="BE405" s="6"/>
      <c r="BF405" s="6"/>
      <c r="BG405" s="6"/>
      <c r="BH405" s="6"/>
      <c r="BI405" s="6"/>
      <c r="BJ405" s="6"/>
      <c r="BK405" s="6"/>
      <c r="BL405" s="6"/>
      <c r="BM405" s="6"/>
      <c r="BN405" s="6"/>
      <c r="BO405" s="6"/>
      <c r="BP405" s="6"/>
      <c r="BQ405" s="6"/>
      <c r="BR405" s="6"/>
      <c r="BS405" s="6"/>
      <c r="BT405" s="6"/>
      <c r="BU405" s="6"/>
      <c r="BV405" s="6"/>
      <c r="BW405" s="6"/>
      <c r="BX405" s="6"/>
      <c r="BY405" s="6"/>
      <c r="BZ405" s="6"/>
      <c r="CA405" s="6"/>
      <c r="CB405" s="6"/>
      <c r="CC405" s="6"/>
      <c r="DW405" s="660">
        <f t="shared" si="32"/>
        <v>0</v>
      </c>
      <c r="DX405" s="142">
        <v>13</v>
      </c>
    </row>
    <row r="406" spans="1:128" ht="15" customHeight="1">
      <c r="A406" s="3">
        <v>203</v>
      </c>
      <c r="B406" s="214" t="s">
        <v>492</v>
      </c>
      <c r="C406" s="473" t="s">
        <v>515</v>
      </c>
      <c r="E406" s="138"/>
      <c r="F406" s="138"/>
      <c r="H406" s="138"/>
      <c r="I406" s="138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  <c r="BC406" s="6"/>
      <c r="BD406" s="6"/>
      <c r="BE406" s="6"/>
      <c r="BF406" s="6"/>
      <c r="BG406" s="6"/>
      <c r="BH406" s="6"/>
      <c r="BI406" s="6"/>
      <c r="BJ406" s="6"/>
      <c r="BK406" s="6"/>
      <c r="BL406" s="6"/>
      <c r="BM406" s="6"/>
      <c r="BN406" s="6"/>
      <c r="BO406" s="6"/>
      <c r="BP406" s="6"/>
      <c r="BQ406" s="6"/>
      <c r="BR406" s="6"/>
      <c r="BS406" s="6"/>
      <c r="BT406" s="6"/>
      <c r="BU406" s="6"/>
      <c r="BV406" s="6"/>
      <c r="BW406" s="6"/>
      <c r="BX406" s="6"/>
      <c r="BY406" s="6"/>
      <c r="BZ406" s="6"/>
      <c r="CA406" s="6"/>
      <c r="CB406" s="6"/>
      <c r="CC406" s="6"/>
      <c r="DW406" s="660">
        <f t="shared" si="32"/>
        <v>0</v>
      </c>
      <c r="DX406" s="116">
        <v>34</v>
      </c>
    </row>
    <row r="407" spans="1:128" ht="15" customHeight="1">
      <c r="A407" s="3">
        <v>204</v>
      </c>
      <c r="B407" s="214" t="s">
        <v>262</v>
      </c>
      <c r="C407" s="473" t="s">
        <v>515</v>
      </c>
      <c r="E407" s="138"/>
      <c r="F407" s="138"/>
      <c r="H407" s="138"/>
      <c r="I407" s="138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  <c r="BC407" s="6"/>
      <c r="BD407" s="6"/>
      <c r="BE407" s="6"/>
      <c r="BF407" s="6"/>
      <c r="BG407" s="6"/>
      <c r="BH407" s="6"/>
      <c r="BI407" s="6"/>
      <c r="BJ407" s="6"/>
      <c r="BK407" s="6"/>
      <c r="BL407" s="6"/>
      <c r="BM407" s="6"/>
      <c r="BN407" s="6"/>
      <c r="BO407" s="6"/>
      <c r="BP407" s="6"/>
      <c r="BQ407" s="6"/>
      <c r="BR407" s="6"/>
      <c r="BS407" s="6"/>
      <c r="BT407" s="6"/>
      <c r="BU407" s="6"/>
      <c r="BV407" s="6"/>
      <c r="BW407" s="6"/>
      <c r="BX407" s="6"/>
      <c r="BY407" s="6"/>
      <c r="BZ407" s="6"/>
      <c r="CA407" s="6"/>
      <c r="CB407" s="6"/>
      <c r="CC407" s="6"/>
      <c r="DW407" s="660">
        <f t="shared" si="32"/>
        <v>0</v>
      </c>
      <c r="DX407" s="142">
        <v>13</v>
      </c>
    </row>
    <row r="408" spans="1:128" ht="15" customHeight="1">
      <c r="A408" s="3">
        <v>205</v>
      </c>
      <c r="B408" s="214" t="s">
        <v>493</v>
      </c>
      <c r="C408" s="473" t="s">
        <v>515</v>
      </c>
      <c r="E408" s="138"/>
      <c r="F408" s="138"/>
      <c r="H408" s="138"/>
      <c r="I408" s="138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  <c r="BC408" s="6"/>
      <c r="BD408" s="6"/>
      <c r="BE408" s="6"/>
      <c r="BF408" s="6"/>
      <c r="BG408" s="6"/>
      <c r="BH408" s="6"/>
      <c r="BI408" s="6"/>
      <c r="BJ408" s="6"/>
      <c r="BK408" s="6"/>
      <c r="BL408" s="6"/>
      <c r="BM408" s="6"/>
      <c r="BN408" s="6"/>
      <c r="BO408" s="6"/>
      <c r="BP408" s="6"/>
      <c r="BQ408" s="6"/>
      <c r="BR408" s="6"/>
      <c r="BS408" s="6"/>
      <c r="BT408" s="6"/>
      <c r="BU408" s="6"/>
      <c r="BV408" s="6"/>
      <c r="BW408" s="6"/>
      <c r="BX408" s="6"/>
      <c r="BY408" s="6"/>
      <c r="BZ408" s="6"/>
      <c r="CA408" s="6"/>
      <c r="CB408" s="6"/>
      <c r="CC408" s="6"/>
      <c r="DW408" s="660">
        <f t="shared" si="32"/>
        <v>0</v>
      </c>
      <c r="DX408" s="116">
        <v>34</v>
      </c>
    </row>
    <row r="409" spans="1:128" ht="15" customHeight="1">
      <c r="A409" s="3">
        <v>206</v>
      </c>
      <c r="B409" s="214" t="s">
        <v>264</v>
      </c>
      <c r="C409" s="473" t="s">
        <v>515</v>
      </c>
      <c r="E409" s="138"/>
      <c r="F409" s="138"/>
      <c r="H409" s="138"/>
      <c r="I409" s="138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  <c r="BC409" s="6"/>
      <c r="BD409" s="6"/>
      <c r="BE409" s="6"/>
      <c r="BF409" s="6"/>
      <c r="BG409" s="6"/>
      <c r="BH409" s="6"/>
      <c r="BI409" s="6"/>
      <c r="BJ409" s="6"/>
      <c r="BK409" s="6"/>
      <c r="BL409" s="6"/>
      <c r="BM409" s="6"/>
      <c r="BN409" s="6"/>
      <c r="BO409" s="6"/>
      <c r="BP409" s="6"/>
      <c r="BQ409" s="6"/>
      <c r="BR409" s="6"/>
      <c r="BS409" s="6"/>
      <c r="BT409" s="6"/>
      <c r="BU409" s="6"/>
      <c r="BV409" s="6"/>
      <c r="BW409" s="6"/>
      <c r="BX409" s="6"/>
      <c r="BY409" s="6"/>
      <c r="BZ409" s="6"/>
      <c r="CA409" s="6"/>
      <c r="CB409" s="6"/>
      <c r="CC409" s="6"/>
      <c r="DW409" s="660">
        <f t="shared" si="32"/>
        <v>0</v>
      </c>
      <c r="DX409" s="142">
        <v>13</v>
      </c>
    </row>
    <row r="410" spans="1:128" ht="15" customHeight="1">
      <c r="A410" s="3">
        <v>207</v>
      </c>
      <c r="B410" s="214" t="s">
        <v>494</v>
      </c>
      <c r="C410" s="473" t="s">
        <v>515</v>
      </c>
      <c r="E410" s="138"/>
      <c r="F410" s="138"/>
      <c r="H410" s="138"/>
      <c r="I410" s="138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  <c r="BC410" s="6"/>
      <c r="BD410" s="6"/>
      <c r="BE410" s="6"/>
      <c r="BF410" s="6"/>
      <c r="BG410" s="6"/>
      <c r="BH410" s="6"/>
      <c r="BI410" s="6"/>
      <c r="BJ410" s="6"/>
      <c r="BK410" s="6"/>
      <c r="BL410" s="6"/>
      <c r="BM410" s="6"/>
      <c r="BN410" s="6"/>
      <c r="BO410" s="6"/>
      <c r="BP410" s="6"/>
      <c r="BQ410" s="6"/>
      <c r="BR410" s="6"/>
      <c r="BS410" s="6"/>
      <c r="BT410" s="6"/>
      <c r="BU410" s="6"/>
      <c r="BV410" s="6"/>
      <c r="BW410" s="6"/>
      <c r="BX410" s="6"/>
      <c r="BY410" s="6"/>
      <c r="BZ410" s="6"/>
      <c r="CA410" s="6"/>
      <c r="CB410" s="6"/>
      <c r="CC410" s="6"/>
      <c r="DW410" s="660">
        <f t="shared" si="32"/>
        <v>0</v>
      </c>
      <c r="DX410" s="116">
        <v>34</v>
      </c>
    </row>
    <row r="411" spans="1:128" ht="15" customHeight="1">
      <c r="A411" s="3">
        <v>208</v>
      </c>
      <c r="B411" s="214" t="s">
        <v>266</v>
      </c>
      <c r="C411" s="473" t="s">
        <v>515</v>
      </c>
      <c r="E411" s="138"/>
      <c r="F411" s="138"/>
      <c r="H411" s="138"/>
      <c r="I411" s="138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  <c r="BC411" s="6"/>
      <c r="BD411" s="6"/>
      <c r="BE411" s="6"/>
      <c r="BF411" s="6"/>
      <c r="BG411" s="6"/>
      <c r="BH411" s="6"/>
      <c r="BI411" s="6"/>
      <c r="BJ411" s="6"/>
      <c r="BK411" s="6"/>
      <c r="BL411" s="6"/>
      <c r="BM411" s="6"/>
      <c r="BN411" s="6"/>
      <c r="BO411" s="6"/>
      <c r="BP411" s="6"/>
      <c r="BQ411" s="6"/>
      <c r="BR411" s="6"/>
      <c r="BS411" s="6"/>
      <c r="BT411" s="6"/>
      <c r="BU411" s="6"/>
      <c r="BV411" s="6"/>
      <c r="BW411" s="6"/>
      <c r="BX411" s="6"/>
      <c r="BY411" s="6"/>
      <c r="BZ411" s="6"/>
      <c r="CA411" s="6"/>
      <c r="CB411" s="6"/>
      <c r="CC411" s="6"/>
      <c r="DW411" s="660">
        <f t="shared" si="32"/>
        <v>0</v>
      </c>
      <c r="DX411" s="142">
        <v>13</v>
      </c>
    </row>
    <row r="412" spans="1:128" ht="15" customHeight="1">
      <c r="A412" s="3">
        <v>209</v>
      </c>
      <c r="B412" s="214" t="s">
        <v>495</v>
      </c>
      <c r="C412" s="473" t="s">
        <v>515</v>
      </c>
      <c r="E412" s="138"/>
      <c r="F412" s="138"/>
      <c r="H412" s="138"/>
      <c r="I412" s="138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  <c r="BC412" s="6"/>
      <c r="BD412" s="6"/>
      <c r="BE412" s="6"/>
      <c r="BF412" s="6"/>
      <c r="BG412" s="6"/>
      <c r="BH412" s="6"/>
      <c r="BI412" s="6"/>
      <c r="BJ412" s="6"/>
      <c r="BK412" s="6"/>
      <c r="BL412" s="6"/>
      <c r="BM412" s="6"/>
      <c r="BN412" s="6"/>
      <c r="BO412" s="6"/>
      <c r="BP412" s="6"/>
      <c r="BQ412" s="6"/>
      <c r="BR412" s="6"/>
      <c r="BS412" s="6"/>
      <c r="BT412" s="6"/>
      <c r="BU412" s="6"/>
      <c r="BV412" s="6"/>
      <c r="BW412" s="6"/>
      <c r="BX412" s="6"/>
      <c r="BY412" s="6"/>
      <c r="BZ412" s="6"/>
      <c r="CA412" s="6"/>
      <c r="CB412" s="6"/>
      <c r="CC412" s="6"/>
      <c r="DW412" s="660">
        <f t="shared" si="32"/>
        <v>0</v>
      </c>
      <c r="DX412" s="116">
        <v>34</v>
      </c>
    </row>
    <row r="413" spans="1:128" ht="15" customHeight="1">
      <c r="A413" s="3">
        <v>210</v>
      </c>
      <c r="B413" s="214" t="s">
        <v>268</v>
      </c>
      <c r="C413" s="473" t="s">
        <v>515</v>
      </c>
      <c r="E413" s="138"/>
      <c r="F413" s="138"/>
      <c r="H413" s="138"/>
      <c r="I413" s="138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  <c r="BC413" s="6"/>
      <c r="BD413" s="6"/>
      <c r="BE413" s="6"/>
      <c r="BF413" s="6"/>
      <c r="BG413" s="6"/>
      <c r="BH413" s="6"/>
      <c r="BI413" s="6"/>
      <c r="BJ413" s="6"/>
      <c r="BK413" s="6"/>
      <c r="BL413" s="6"/>
      <c r="BM413" s="6"/>
      <c r="BN413" s="6"/>
      <c r="BO413" s="6"/>
      <c r="BP413" s="6"/>
      <c r="BQ413" s="6"/>
      <c r="BR413" s="6"/>
      <c r="BS413" s="6"/>
      <c r="BT413" s="6"/>
      <c r="BU413" s="6"/>
      <c r="BV413" s="6"/>
      <c r="BW413" s="6"/>
      <c r="BX413" s="6"/>
      <c r="BY413" s="6"/>
      <c r="BZ413" s="6"/>
      <c r="CA413" s="6"/>
      <c r="CB413" s="6"/>
      <c r="CC413" s="6"/>
      <c r="DW413" s="660">
        <f t="shared" si="32"/>
        <v>0</v>
      </c>
      <c r="DX413" s="142">
        <v>13</v>
      </c>
    </row>
    <row r="414" spans="1:128" ht="15" customHeight="1">
      <c r="A414" s="3">
        <v>211</v>
      </c>
      <c r="B414" s="214" t="s">
        <v>496</v>
      </c>
      <c r="C414" s="473" t="s">
        <v>515</v>
      </c>
      <c r="E414" s="138"/>
      <c r="F414" s="138"/>
      <c r="H414" s="138"/>
      <c r="I414" s="138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  <c r="BC414" s="6"/>
      <c r="BD414" s="6"/>
      <c r="BE414" s="6"/>
      <c r="BF414" s="6"/>
      <c r="BG414" s="6"/>
      <c r="BH414" s="6"/>
      <c r="BI414" s="6"/>
      <c r="BJ414" s="6"/>
      <c r="BK414" s="6"/>
      <c r="BL414" s="6"/>
      <c r="BM414" s="6"/>
      <c r="BN414" s="6"/>
      <c r="BO414" s="6"/>
      <c r="BP414" s="6"/>
      <c r="BQ414" s="6"/>
      <c r="BR414" s="6"/>
      <c r="BS414" s="6"/>
      <c r="BT414" s="6"/>
      <c r="BU414" s="6"/>
      <c r="BV414" s="6"/>
      <c r="BW414" s="6"/>
      <c r="BX414" s="6"/>
      <c r="BY414" s="6"/>
      <c r="BZ414" s="6"/>
      <c r="CA414" s="6"/>
      <c r="CB414" s="6"/>
      <c r="CC414" s="6"/>
      <c r="DW414" s="660">
        <f t="shared" si="32"/>
        <v>0</v>
      </c>
      <c r="DX414" s="116">
        <v>34</v>
      </c>
    </row>
    <row r="415" spans="1:128" ht="15" customHeight="1">
      <c r="A415" s="3">
        <v>212</v>
      </c>
      <c r="B415" s="214" t="s">
        <v>270</v>
      </c>
      <c r="C415" s="473" t="s">
        <v>515</v>
      </c>
      <c r="E415" s="138"/>
      <c r="F415" s="138"/>
      <c r="H415" s="138"/>
      <c r="I415" s="138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  <c r="BC415" s="6"/>
      <c r="BD415" s="6"/>
      <c r="BE415" s="6"/>
      <c r="BF415" s="6"/>
      <c r="BG415" s="6"/>
      <c r="BH415" s="6"/>
      <c r="BI415" s="6"/>
      <c r="BJ415" s="6"/>
      <c r="BK415" s="6"/>
      <c r="BL415" s="6"/>
      <c r="BM415" s="6"/>
      <c r="BN415" s="6"/>
      <c r="BO415" s="6"/>
      <c r="BP415" s="6"/>
      <c r="BQ415" s="6"/>
      <c r="BR415" s="6"/>
      <c r="BS415" s="6"/>
      <c r="BT415" s="6"/>
      <c r="BU415" s="6"/>
      <c r="BV415" s="6"/>
      <c r="BW415" s="6"/>
      <c r="BX415" s="6"/>
      <c r="BY415" s="6"/>
      <c r="BZ415" s="6"/>
      <c r="CA415" s="6"/>
      <c r="CB415" s="6"/>
      <c r="CC415" s="6"/>
      <c r="DW415" s="660">
        <f t="shared" si="32"/>
        <v>0</v>
      </c>
      <c r="DX415" s="142">
        <v>13</v>
      </c>
    </row>
    <row r="416" spans="1:128" ht="15" customHeight="1">
      <c r="A416" s="3">
        <v>213</v>
      </c>
      <c r="B416" s="214" t="s">
        <v>497</v>
      </c>
      <c r="C416" s="473" t="s">
        <v>515</v>
      </c>
      <c r="E416" s="138"/>
      <c r="F416" s="138"/>
      <c r="H416" s="138"/>
      <c r="I416" s="138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  <c r="BC416" s="6"/>
      <c r="BD416" s="6"/>
      <c r="BE416" s="6"/>
      <c r="BF416" s="6"/>
      <c r="BG416" s="6"/>
      <c r="BH416" s="6"/>
      <c r="BI416" s="6"/>
      <c r="BJ416" s="6"/>
      <c r="BK416" s="6"/>
      <c r="BL416" s="6"/>
      <c r="BM416" s="6"/>
      <c r="BN416" s="6"/>
      <c r="BO416" s="6"/>
      <c r="BP416" s="6"/>
      <c r="BQ416" s="6"/>
      <c r="BR416" s="6"/>
      <c r="BS416" s="6"/>
      <c r="BT416" s="6"/>
      <c r="BU416" s="6"/>
      <c r="BV416" s="6"/>
      <c r="BW416" s="6"/>
      <c r="BX416" s="6"/>
      <c r="BY416" s="6"/>
      <c r="BZ416" s="6"/>
      <c r="CA416" s="6"/>
      <c r="CB416" s="6"/>
      <c r="CC416" s="6"/>
      <c r="DW416" s="660">
        <f t="shared" si="32"/>
        <v>0</v>
      </c>
      <c r="DX416" s="116">
        <v>34</v>
      </c>
    </row>
    <row r="417" spans="1:128" ht="15" customHeight="1">
      <c r="A417" s="3">
        <v>214</v>
      </c>
      <c r="B417" s="214" t="s">
        <v>272</v>
      </c>
      <c r="C417" s="473" t="s">
        <v>515</v>
      </c>
      <c r="E417" s="138"/>
      <c r="F417" s="138"/>
      <c r="H417" s="138"/>
      <c r="I417" s="138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  <c r="BC417" s="6"/>
      <c r="BD417" s="6"/>
      <c r="BE417" s="6"/>
      <c r="BF417" s="6"/>
      <c r="BG417" s="6"/>
      <c r="BH417" s="6"/>
      <c r="BI417" s="6"/>
      <c r="BJ417" s="6"/>
      <c r="BK417" s="6"/>
      <c r="BL417" s="6"/>
      <c r="BM417" s="6"/>
      <c r="BN417" s="6"/>
      <c r="BO417" s="6"/>
      <c r="BP417" s="6"/>
      <c r="BQ417" s="6"/>
      <c r="BR417" s="6"/>
      <c r="BS417" s="6"/>
      <c r="BT417" s="6"/>
      <c r="BU417" s="6"/>
      <c r="BV417" s="6"/>
      <c r="BW417" s="6"/>
      <c r="BX417" s="6"/>
      <c r="BY417" s="6"/>
      <c r="BZ417" s="6"/>
      <c r="CA417" s="6"/>
      <c r="CB417" s="6"/>
      <c r="CC417" s="6"/>
      <c r="DW417" s="660">
        <f t="shared" si="32"/>
        <v>0</v>
      </c>
      <c r="DX417" s="142">
        <v>13</v>
      </c>
    </row>
    <row r="418" spans="1:128" ht="15" customHeight="1">
      <c r="A418" s="3">
        <v>215</v>
      </c>
      <c r="B418" s="214" t="s">
        <v>498</v>
      </c>
      <c r="C418" s="473" t="s">
        <v>515</v>
      </c>
      <c r="E418" s="138"/>
      <c r="F418" s="138"/>
      <c r="H418" s="138"/>
      <c r="I418" s="138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  <c r="BC418" s="6"/>
      <c r="BD418" s="6"/>
      <c r="BE418" s="6"/>
      <c r="BF418" s="6"/>
      <c r="BG418" s="6"/>
      <c r="BH418" s="6"/>
      <c r="BI418" s="6"/>
      <c r="BJ418" s="6"/>
      <c r="BK418" s="6"/>
      <c r="BL418" s="6"/>
      <c r="BM418" s="6"/>
      <c r="BN418" s="6"/>
      <c r="BO418" s="6"/>
      <c r="BP418" s="6"/>
      <c r="BQ418" s="6"/>
      <c r="BR418" s="6"/>
      <c r="BS418" s="6"/>
      <c r="BT418" s="6"/>
      <c r="BU418" s="6"/>
      <c r="BV418" s="6"/>
      <c r="BW418" s="6"/>
      <c r="BX418" s="6"/>
      <c r="BY418" s="6"/>
      <c r="BZ418" s="6"/>
      <c r="CA418" s="6"/>
      <c r="CB418" s="6"/>
      <c r="CC418" s="6"/>
      <c r="DW418" s="660">
        <f t="shared" si="32"/>
        <v>0</v>
      </c>
      <c r="DX418" s="116">
        <v>34</v>
      </c>
    </row>
    <row r="419" spans="1:128" ht="15" customHeight="1">
      <c r="A419" s="3">
        <v>216</v>
      </c>
      <c r="B419" s="214" t="s">
        <v>274</v>
      </c>
      <c r="C419" s="473" t="s">
        <v>515</v>
      </c>
      <c r="E419" s="138"/>
      <c r="F419" s="138"/>
      <c r="H419" s="138"/>
      <c r="I419" s="138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  <c r="BC419" s="6"/>
      <c r="BD419" s="6"/>
      <c r="BE419" s="6"/>
      <c r="BF419" s="6"/>
      <c r="BG419" s="6"/>
      <c r="BH419" s="6"/>
      <c r="BI419" s="6"/>
      <c r="BJ419" s="6"/>
      <c r="BK419" s="6"/>
      <c r="BL419" s="6"/>
      <c r="BM419" s="6"/>
      <c r="BN419" s="6"/>
      <c r="BO419" s="6"/>
      <c r="BP419" s="6"/>
      <c r="BQ419" s="6"/>
      <c r="BR419" s="6"/>
      <c r="BS419" s="6"/>
      <c r="BT419" s="6"/>
      <c r="BU419" s="6"/>
      <c r="BV419" s="6"/>
      <c r="BW419" s="6"/>
      <c r="BX419" s="6"/>
      <c r="BY419" s="6"/>
      <c r="BZ419" s="6"/>
      <c r="CA419" s="6"/>
      <c r="CB419" s="6"/>
      <c r="CC419" s="6"/>
      <c r="DW419" s="660">
        <f t="shared" si="32"/>
        <v>0</v>
      </c>
      <c r="DX419" s="142">
        <v>13</v>
      </c>
    </row>
    <row r="420" spans="1:128" ht="15" customHeight="1">
      <c r="A420" s="3">
        <v>217</v>
      </c>
      <c r="B420" s="214" t="s">
        <v>499</v>
      </c>
      <c r="C420" s="473" t="s">
        <v>515</v>
      </c>
      <c r="E420" s="138"/>
      <c r="F420" s="138"/>
      <c r="H420" s="138"/>
      <c r="I420" s="138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  <c r="BC420" s="6"/>
      <c r="BD420" s="6"/>
      <c r="BE420" s="6"/>
      <c r="BF420" s="6"/>
      <c r="BG420" s="6"/>
      <c r="BH420" s="6"/>
      <c r="BI420" s="6"/>
      <c r="BJ420" s="6"/>
      <c r="BK420" s="6"/>
      <c r="BL420" s="6"/>
      <c r="BM420" s="6"/>
      <c r="BN420" s="6"/>
      <c r="BO420" s="6"/>
      <c r="BP420" s="6"/>
      <c r="BQ420" s="6"/>
      <c r="BR420" s="6"/>
      <c r="BS420" s="6"/>
      <c r="BT420" s="6"/>
      <c r="BU420" s="6"/>
      <c r="BV420" s="6"/>
      <c r="BW420" s="6"/>
      <c r="BX420" s="6"/>
      <c r="BY420" s="6"/>
      <c r="BZ420" s="6"/>
      <c r="CA420" s="6"/>
      <c r="CB420" s="6"/>
      <c r="CC420" s="6"/>
      <c r="DW420" s="660">
        <f t="shared" si="32"/>
        <v>0</v>
      </c>
      <c r="DX420" s="116">
        <v>34</v>
      </c>
    </row>
    <row r="421" spans="1:128" ht="15" customHeight="1">
      <c r="A421" s="3">
        <v>218</v>
      </c>
      <c r="B421" s="214" t="s">
        <v>276</v>
      </c>
      <c r="C421" s="473" t="s">
        <v>515</v>
      </c>
      <c r="E421" s="138"/>
      <c r="F421" s="138"/>
      <c r="H421" s="138"/>
      <c r="I421" s="138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  <c r="BC421" s="6"/>
      <c r="BD421" s="6"/>
      <c r="BE421" s="6"/>
      <c r="BF421" s="6"/>
      <c r="BG421" s="6"/>
      <c r="BH421" s="6"/>
      <c r="BI421" s="6"/>
      <c r="BJ421" s="6"/>
      <c r="BK421" s="6"/>
      <c r="BL421" s="6"/>
      <c r="BM421" s="6"/>
      <c r="BN421" s="6"/>
      <c r="BO421" s="6"/>
      <c r="BP421" s="6"/>
      <c r="BQ421" s="6"/>
      <c r="BR421" s="6"/>
      <c r="BS421" s="6"/>
      <c r="BT421" s="6"/>
      <c r="BU421" s="6"/>
      <c r="BV421" s="6"/>
      <c r="BW421" s="6"/>
      <c r="BX421" s="6"/>
      <c r="BY421" s="6"/>
      <c r="BZ421" s="6"/>
      <c r="CA421" s="6"/>
      <c r="CB421" s="6"/>
      <c r="CC421" s="6"/>
      <c r="DW421" s="660">
        <f t="shared" si="32"/>
        <v>0</v>
      </c>
      <c r="DX421" s="142">
        <v>13</v>
      </c>
    </row>
    <row r="422" spans="1:128" ht="15" customHeight="1">
      <c r="A422" s="3">
        <v>219</v>
      </c>
      <c r="B422" s="214" t="s">
        <v>500</v>
      </c>
      <c r="C422" s="473" t="s">
        <v>515</v>
      </c>
      <c r="E422" s="138"/>
      <c r="F422" s="138"/>
      <c r="H422" s="138"/>
      <c r="I422" s="138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  <c r="BC422" s="6"/>
      <c r="BD422" s="6"/>
      <c r="BE422" s="6"/>
      <c r="BF422" s="6"/>
      <c r="BG422" s="6"/>
      <c r="BH422" s="6"/>
      <c r="BI422" s="6"/>
      <c r="BJ422" s="6"/>
      <c r="BK422" s="6"/>
      <c r="BL422" s="6"/>
      <c r="BM422" s="6"/>
      <c r="BN422" s="6"/>
      <c r="BO422" s="6"/>
      <c r="BP422" s="6"/>
      <c r="BQ422" s="6"/>
      <c r="BR422" s="6"/>
      <c r="BS422" s="6"/>
      <c r="BT422" s="6"/>
      <c r="BU422" s="6"/>
      <c r="BV422" s="6"/>
      <c r="BW422" s="6"/>
      <c r="BX422" s="6"/>
      <c r="BY422" s="6"/>
      <c r="BZ422" s="6"/>
      <c r="CA422" s="6"/>
      <c r="CB422" s="6"/>
      <c r="CC422" s="6"/>
      <c r="DW422" s="660">
        <f t="shared" si="32"/>
        <v>0</v>
      </c>
      <c r="DX422" s="116">
        <v>34</v>
      </c>
    </row>
    <row r="423" spans="1:128" ht="15" customHeight="1">
      <c r="A423" s="3">
        <v>220</v>
      </c>
      <c r="B423" s="214" t="s">
        <v>278</v>
      </c>
      <c r="C423" s="473" t="s">
        <v>515</v>
      </c>
      <c r="E423" s="138"/>
      <c r="F423" s="138"/>
      <c r="H423" s="138"/>
      <c r="I423" s="138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  <c r="BC423" s="6"/>
      <c r="BD423" s="6"/>
      <c r="BE423" s="6"/>
      <c r="BF423" s="6"/>
      <c r="BG423" s="6"/>
      <c r="BH423" s="6"/>
      <c r="BI423" s="6"/>
      <c r="BJ423" s="6"/>
      <c r="BK423" s="6"/>
      <c r="BL423" s="6"/>
      <c r="BM423" s="6"/>
      <c r="BN423" s="6"/>
      <c r="BO423" s="6"/>
      <c r="BP423" s="6"/>
      <c r="BQ423" s="6"/>
      <c r="BR423" s="6"/>
      <c r="BS423" s="6"/>
      <c r="BT423" s="6"/>
      <c r="BU423" s="6"/>
      <c r="BV423" s="6"/>
      <c r="BW423" s="6"/>
      <c r="BX423" s="6"/>
      <c r="BY423" s="6"/>
      <c r="BZ423" s="6"/>
      <c r="CA423" s="6"/>
      <c r="CB423" s="6"/>
      <c r="CC423" s="6"/>
      <c r="DW423" s="660">
        <f t="shared" si="32"/>
        <v>0</v>
      </c>
      <c r="DX423" s="142">
        <v>13</v>
      </c>
    </row>
    <row r="424" spans="1:128" ht="15" customHeight="1">
      <c r="A424" s="3">
        <v>221</v>
      </c>
      <c r="B424" s="214" t="s">
        <v>501</v>
      </c>
      <c r="C424" s="473" t="s">
        <v>515</v>
      </c>
      <c r="E424" s="138"/>
      <c r="F424" s="138"/>
      <c r="H424" s="138"/>
      <c r="I424" s="138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  <c r="BC424" s="6"/>
      <c r="BD424" s="6"/>
      <c r="BE424" s="6"/>
      <c r="BF424" s="6"/>
      <c r="BG424" s="6"/>
      <c r="BH424" s="6"/>
      <c r="BI424" s="6"/>
      <c r="BJ424" s="6"/>
      <c r="BK424" s="6"/>
      <c r="BL424" s="6"/>
      <c r="BM424" s="6"/>
      <c r="BN424" s="6"/>
      <c r="BO424" s="6"/>
      <c r="BP424" s="6"/>
      <c r="BQ424" s="6"/>
      <c r="BR424" s="6"/>
      <c r="BS424" s="6"/>
      <c r="BT424" s="6"/>
      <c r="BU424" s="6"/>
      <c r="BV424" s="6"/>
      <c r="BW424" s="6"/>
      <c r="BX424" s="6"/>
      <c r="BY424" s="6"/>
      <c r="BZ424" s="6"/>
      <c r="CA424" s="6"/>
      <c r="CB424" s="6"/>
      <c r="CC424" s="6"/>
      <c r="DW424" s="660">
        <f t="shared" si="32"/>
        <v>0</v>
      </c>
      <c r="DX424" s="116">
        <v>34</v>
      </c>
    </row>
    <row r="425" spans="1:128" ht="15" customHeight="1">
      <c r="A425" s="3">
        <v>222</v>
      </c>
      <c r="B425" s="214" t="s">
        <v>280</v>
      </c>
      <c r="C425" s="473" t="s">
        <v>515</v>
      </c>
      <c r="E425" s="138"/>
      <c r="F425" s="138"/>
      <c r="H425" s="138"/>
      <c r="I425" s="138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  <c r="BC425" s="6"/>
      <c r="BD425" s="6"/>
      <c r="BE425" s="6"/>
      <c r="BF425" s="6"/>
      <c r="BG425" s="6"/>
      <c r="BH425" s="6"/>
      <c r="BI425" s="6"/>
      <c r="BJ425" s="6"/>
      <c r="BK425" s="6"/>
      <c r="BL425" s="6"/>
      <c r="BM425" s="6"/>
      <c r="BN425" s="6"/>
      <c r="BO425" s="6"/>
      <c r="BP425" s="6"/>
      <c r="BQ425" s="6"/>
      <c r="BR425" s="6"/>
      <c r="BS425" s="6"/>
      <c r="BT425" s="6"/>
      <c r="BU425" s="6"/>
      <c r="BV425" s="6"/>
      <c r="BW425" s="6"/>
      <c r="BX425" s="6"/>
      <c r="BY425" s="6"/>
      <c r="BZ425" s="6"/>
      <c r="CA425" s="6"/>
      <c r="CB425" s="6"/>
      <c r="CC425" s="6"/>
      <c r="DW425" s="660">
        <f t="shared" si="32"/>
        <v>0</v>
      </c>
      <c r="DX425" s="142">
        <v>13</v>
      </c>
    </row>
    <row r="426" spans="1:128" ht="15" customHeight="1">
      <c r="A426" s="3">
        <v>223</v>
      </c>
      <c r="B426" s="214" t="s">
        <v>502</v>
      </c>
      <c r="C426" s="473" t="s">
        <v>515</v>
      </c>
      <c r="E426" s="138"/>
      <c r="F426" s="138"/>
      <c r="H426" s="138"/>
      <c r="I426" s="138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  <c r="BC426" s="6"/>
      <c r="BD426" s="6"/>
      <c r="BE426" s="6"/>
      <c r="BF426" s="6"/>
      <c r="BG426" s="6"/>
      <c r="BH426" s="6"/>
      <c r="BI426" s="6"/>
      <c r="BJ426" s="6"/>
      <c r="BK426" s="6"/>
      <c r="BL426" s="6"/>
      <c r="BM426" s="6"/>
      <c r="BN426" s="6"/>
      <c r="BO426" s="6"/>
      <c r="BP426" s="6"/>
      <c r="BQ426" s="6"/>
      <c r="BR426" s="6"/>
      <c r="BS426" s="6"/>
      <c r="BT426" s="6"/>
      <c r="BU426" s="6"/>
      <c r="BV426" s="6"/>
      <c r="BW426" s="6"/>
      <c r="BX426" s="6"/>
      <c r="BY426" s="6"/>
      <c r="BZ426" s="6"/>
      <c r="CA426" s="6"/>
      <c r="CB426" s="6"/>
      <c r="CC426" s="6"/>
      <c r="DW426" s="660">
        <f t="shared" si="32"/>
        <v>0</v>
      </c>
      <c r="DX426" s="116">
        <v>34</v>
      </c>
    </row>
    <row r="427" spans="1:128" ht="15" customHeight="1">
      <c r="A427" s="3">
        <v>224</v>
      </c>
      <c r="B427" s="214" t="s">
        <v>282</v>
      </c>
      <c r="C427" s="473" t="s">
        <v>515</v>
      </c>
      <c r="E427" s="138"/>
      <c r="F427" s="138"/>
      <c r="H427" s="138"/>
      <c r="I427" s="138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  <c r="BC427" s="6"/>
      <c r="BD427" s="6"/>
      <c r="BE427" s="6"/>
      <c r="BF427" s="6"/>
      <c r="BG427" s="6"/>
      <c r="BH427" s="6"/>
      <c r="BI427" s="6"/>
      <c r="BJ427" s="6"/>
      <c r="BK427" s="6"/>
      <c r="BL427" s="6"/>
      <c r="BM427" s="6"/>
      <c r="BN427" s="6"/>
      <c r="BO427" s="6"/>
      <c r="BP427" s="6"/>
      <c r="BQ427" s="6"/>
      <c r="BR427" s="6"/>
      <c r="BS427" s="6"/>
      <c r="BT427" s="6"/>
      <c r="BU427" s="6"/>
      <c r="BV427" s="6"/>
      <c r="BW427" s="6"/>
      <c r="BX427" s="6"/>
      <c r="BY427" s="6"/>
      <c r="BZ427" s="6"/>
      <c r="CA427" s="6"/>
      <c r="CB427" s="6"/>
      <c r="CC427" s="6"/>
      <c r="DW427" s="660">
        <f t="shared" si="32"/>
        <v>0</v>
      </c>
      <c r="DX427" s="142">
        <v>13</v>
      </c>
    </row>
    <row r="428" spans="1:128" ht="15" customHeight="1">
      <c r="A428" s="3">
        <v>225</v>
      </c>
      <c r="B428" s="214" t="s">
        <v>503</v>
      </c>
      <c r="C428" s="473" t="s">
        <v>515</v>
      </c>
      <c r="E428" s="138"/>
      <c r="F428" s="138"/>
      <c r="H428" s="138"/>
      <c r="I428" s="138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  <c r="BC428" s="6"/>
      <c r="BD428" s="6"/>
      <c r="BE428" s="6"/>
      <c r="BF428" s="6"/>
      <c r="BG428" s="6"/>
      <c r="BH428" s="6"/>
      <c r="BI428" s="6"/>
      <c r="BJ428" s="6"/>
      <c r="BK428" s="6"/>
      <c r="BL428" s="6"/>
      <c r="BM428" s="6"/>
      <c r="BN428" s="6"/>
      <c r="BO428" s="6"/>
      <c r="BP428" s="6"/>
      <c r="BQ428" s="6"/>
      <c r="BR428" s="6"/>
      <c r="BS428" s="6"/>
      <c r="BT428" s="6"/>
      <c r="BU428" s="6"/>
      <c r="BV428" s="6"/>
      <c r="BW428" s="6"/>
      <c r="BX428" s="6"/>
      <c r="BY428" s="6"/>
      <c r="BZ428" s="6"/>
      <c r="CA428" s="6"/>
      <c r="CB428" s="6"/>
      <c r="CC428" s="6"/>
      <c r="DW428" s="660">
        <f t="shared" si="32"/>
        <v>0</v>
      </c>
      <c r="DX428" s="116">
        <v>34</v>
      </c>
    </row>
    <row r="429" spans="1:128" ht="15" customHeight="1">
      <c r="A429" s="3">
        <v>226</v>
      </c>
      <c r="B429" s="214" t="s">
        <v>284</v>
      </c>
      <c r="C429" s="473" t="s">
        <v>515</v>
      </c>
      <c r="E429" s="138"/>
      <c r="F429" s="138"/>
      <c r="H429" s="138"/>
      <c r="I429" s="138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  <c r="BC429" s="6"/>
      <c r="BD429" s="6"/>
      <c r="BE429" s="6"/>
      <c r="BF429" s="6"/>
      <c r="BG429" s="6"/>
      <c r="BH429" s="6"/>
      <c r="BI429" s="6"/>
      <c r="BJ429" s="6"/>
      <c r="BK429" s="6"/>
      <c r="BL429" s="6"/>
      <c r="BM429" s="6"/>
      <c r="BN429" s="6"/>
      <c r="BO429" s="6"/>
      <c r="BP429" s="6"/>
      <c r="BQ429" s="6"/>
      <c r="BR429" s="6"/>
      <c r="BS429" s="6"/>
      <c r="BT429" s="6"/>
      <c r="BU429" s="6"/>
      <c r="BV429" s="6"/>
      <c r="BW429" s="6"/>
      <c r="BX429" s="6"/>
      <c r="BY429" s="6"/>
      <c r="BZ429" s="6"/>
      <c r="CA429" s="6"/>
      <c r="CB429" s="6"/>
      <c r="CC429" s="6"/>
      <c r="DW429" s="660">
        <f t="shared" si="32"/>
        <v>0</v>
      </c>
      <c r="DX429" s="142">
        <v>13</v>
      </c>
    </row>
    <row r="430" spans="1:128" ht="15" customHeight="1">
      <c r="A430" s="3">
        <v>227</v>
      </c>
      <c r="B430" s="214" t="s">
        <v>504</v>
      </c>
      <c r="C430" s="473" t="s">
        <v>515</v>
      </c>
      <c r="E430" s="138"/>
      <c r="F430" s="138"/>
      <c r="H430" s="138"/>
      <c r="I430" s="138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  <c r="BC430" s="6"/>
      <c r="BD430" s="6"/>
      <c r="BE430" s="6"/>
      <c r="BF430" s="6"/>
      <c r="BG430" s="6"/>
      <c r="BH430" s="6"/>
      <c r="BI430" s="6"/>
      <c r="BJ430" s="6"/>
      <c r="BK430" s="6"/>
      <c r="BL430" s="6"/>
      <c r="BM430" s="6"/>
      <c r="BN430" s="6"/>
      <c r="BO430" s="6"/>
      <c r="BP430" s="6"/>
      <c r="BQ430" s="6"/>
      <c r="BR430" s="6"/>
      <c r="BS430" s="6"/>
      <c r="BT430" s="6"/>
      <c r="BU430" s="6"/>
      <c r="BV430" s="6"/>
      <c r="BW430" s="6"/>
      <c r="BX430" s="6"/>
      <c r="BY430" s="6"/>
      <c r="BZ430" s="6"/>
      <c r="CA430" s="6"/>
      <c r="CB430" s="6"/>
      <c r="CC430" s="6"/>
      <c r="DW430" s="660">
        <f t="shared" si="32"/>
        <v>0</v>
      </c>
      <c r="DX430" s="116">
        <v>34</v>
      </c>
    </row>
    <row r="431" spans="1:128" ht="15" customHeight="1">
      <c r="A431" s="3">
        <v>228</v>
      </c>
      <c r="B431" s="210" t="s">
        <v>378</v>
      </c>
      <c r="C431" s="473" t="s">
        <v>515</v>
      </c>
      <c r="E431" s="138"/>
      <c r="F431" s="138"/>
      <c r="H431" s="138"/>
      <c r="I431" s="138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  <c r="BC431" s="6"/>
      <c r="BD431" s="6"/>
      <c r="BE431" s="6"/>
      <c r="BF431" s="6"/>
      <c r="BG431" s="6"/>
      <c r="BH431" s="6"/>
      <c r="BI431" s="6"/>
      <c r="BJ431" s="6"/>
      <c r="BK431" s="6"/>
      <c r="BL431" s="6"/>
      <c r="BM431" s="6"/>
      <c r="BN431" s="6"/>
      <c r="BO431" s="6"/>
      <c r="BP431" s="6"/>
      <c r="BQ431" s="6"/>
      <c r="BR431" s="6"/>
      <c r="BS431" s="6"/>
      <c r="BT431" s="6"/>
      <c r="BU431" s="6"/>
      <c r="BV431" s="6"/>
      <c r="BW431" s="6"/>
      <c r="BX431" s="6"/>
      <c r="BY431" s="6"/>
      <c r="BZ431" s="6"/>
      <c r="CA431" s="6"/>
      <c r="CB431" s="6"/>
      <c r="CC431" s="6"/>
      <c r="DW431" s="660">
        <f t="shared" si="32"/>
        <v>0</v>
      </c>
      <c r="DX431" s="142">
        <v>13</v>
      </c>
    </row>
    <row r="432" spans="1:128" ht="15" customHeight="1">
      <c r="A432" s="3">
        <v>229</v>
      </c>
      <c r="B432" s="210" t="s">
        <v>379</v>
      </c>
      <c r="C432" s="473" t="s">
        <v>515</v>
      </c>
      <c r="E432" s="138"/>
      <c r="F432" s="138"/>
      <c r="H432" s="138"/>
      <c r="I432" s="138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  <c r="BC432" s="6"/>
      <c r="BD432" s="6"/>
      <c r="BE432" s="6"/>
      <c r="BF432" s="6"/>
      <c r="BG432" s="6"/>
      <c r="BH432" s="6"/>
      <c r="BI432" s="6"/>
      <c r="BJ432" s="6"/>
      <c r="BK432" s="6"/>
      <c r="BL432" s="6"/>
      <c r="BM432" s="6"/>
      <c r="BN432" s="6"/>
      <c r="BO432" s="6"/>
      <c r="BP432" s="6"/>
      <c r="BQ432" s="6"/>
      <c r="BR432" s="6"/>
      <c r="BS432" s="6"/>
      <c r="BT432" s="6"/>
      <c r="BU432" s="6"/>
      <c r="BV432" s="6"/>
      <c r="BW432" s="6"/>
      <c r="BX432" s="6"/>
      <c r="BY432" s="6"/>
      <c r="BZ432" s="6"/>
      <c r="CA432" s="6"/>
      <c r="CB432" s="6"/>
      <c r="CC432" s="6"/>
      <c r="DW432" s="660">
        <f t="shared" si="32"/>
        <v>0</v>
      </c>
      <c r="DX432" s="142">
        <v>13</v>
      </c>
    </row>
    <row r="433" spans="1:128" ht="15" customHeight="1">
      <c r="A433" s="3"/>
      <c r="B433" s="748" t="s">
        <v>1346</v>
      </c>
      <c r="C433" s="4"/>
      <c r="E433" s="138"/>
      <c r="F433" s="138"/>
      <c r="H433" s="138"/>
      <c r="I433" s="138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  <c r="BC433" s="6"/>
      <c r="BD433" s="6"/>
      <c r="BE433" s="6"/>
      <c r="BF433" s="6"/>
      <c r="BG433" s="6"/>
      <c r="BH433" s="6"/>
      <c r="BI433" s="6"/>
      <c r="BJ433" s="6"/>
      <c r="BK433" s="6"/>
      <c r="BL433" s="6"/>
      <c r="BM433" s="6"/>
      <c r="BN433" s="6"/>
      <c r="BO433" s="6"/>
      <c r="BP433" s="6"/>
      <c r="BQ433" s="6"/>
      <c r="BR433" s="6"/>
      <c r="BS433" s="6"/>
      <c r="BT433" s="6"/>
      <c r="BU433" s="6"/>
      <c r="BV433" s="6"/>
      <c r="BW433" s="6"/>
      <c r="BX433" s="6"/>
      <c r="BY433" s="6"/>
      <c r="BZ433" s="6"/>
      <c r="CA433" s="6"/>
      <c r="CB433" s="6"/>
      <c r="CC433" s="6"/>
      <c r="DW433" s="660">
        <f t="shared" si="32"/>
        <v>0</v>
      </c>
      <c r="DX433" s="116">
        <v>34</v>
      </c>
    </row>
    <row r="434" spans="1:128" ht="15" customHeight="1">
      <c r="A434" s="3"/>
      <c r="B434" s="748" t="s">
        <v>1347</v>
      </c>
      <c r="C434" s="4"/>
      <c r="E434" s="138"/>
      <c r="F434" s="138"/>
      <c r="H434" s="138"/>
      <c r="I434" s="138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  <c r="BC434" s="6"/>
      <c r="BD434" s="6"/>
      <c r="BE434" s="6"/>
      <c r="BF434" s="6"/>
      <c r="BG434" s="6"/>
      <c r="BH434" s="6"/>
      <c r="BI434" s="6"/>
      <c r="BJ434" s="6"/>
      <c r="BK434" s="6"/>
      <c r="BL434" s="6"/>
      <c r="BM434" s="6"/>
      <c r="BN434" s="6"/>
      <c r="BO434" s="6"/>
      <c r="BP434" s="6"/>
      <c r="BQ434" s="6"/>
      <c r="BR434" s="6"/>
      <c r="BS434" s="6"/>
      <c r="BT434" s="6"/>
      <c r="BU434" s="6"/>
      <c r="BV434" s="6"/>
      <c r="BW434" s="6"/>
      <c r="BX434" s="6"/>
      <c r="BY434" s="6"/>
      <c r="BZ434" s="6"/>
      <c r="CA434" s="6"/>
      <c r="CB434" s="6"/>
      <c r="CC434" s="6"/>
      <c r="DW434" s="660">
        <f t="shared" si="32"/>
        <v>0</v>
      </c>
      <c r="DX434" s="142">
        <v>13</v>
      </c>
    </row>
    <row r="435" spans="1:128" ht="15" customHeight="1">
      <c r="A435" s="3"/>
      <c r="B435" s="748" t="s">
        <v>1348</v>
      </c>
      <c r="C435" s="4"/>
      <c r="E435" s="138"/>
      <c r="F435" s="138"/>
      <c r="H435" s="138"/>
      <c r="I435" s="138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  <c r="BC435" s="6"/>
      <c r="BD435" s="6"/>
      <c r="BE435" s="6"/>
      <c r="BF435" s="6"/>
      <c r="BG435" s="6"/>
      <c r="BH435" s="6"/>
      <c r="BI435" s="6"/>
      <c r="BJ435" s="6"/>
      <c r="BK435" s="6"/>
      <c r="BL435" s="6"/>
      <c r="BM435" s="6"/>
      <c r="BN435" s="6"/>
      <c r="BO435" s="6"/>
      <c r="BP435" s="6"/>
      <c r="BQ435" s="6"/>
      <c r="BR435" s="6"/>
      <c r="BS435" s="6"/>
      <c r="BT435" s="6"/>
      <c r="BU435" s="6"/>
      <c r="BV435" s="6"/>
      <c r="BW435" s="6"/>
      <c r="BX435" s="6"/>
      <c r="BY435" s="6"/>
      <c r="BZ435" s="6"/>
      <c r="CA435" s="6"/>
      <c r="CB435" s="6"/>
      <c r="CC435" s="6"/>
      <c r="DW435" s="660">
        <f t="shared" si="32"/>
        <v>0</v>
      </c>
      <c r="DX435" s="116">
        <v>34</v>
      </c>
    </row>
    <row r="436" spans="1:128" ht="15" customHeight="1">
      <c r="A436" s="3"/>
      <c r="B436" s="748" t="s">
        <v>1349</v>
      </c>
      <c r="C436" s="4"/>
      <c r="E436" s="138"/>
      <c r="F436" s="138"/>
      <c r="H436" s="138"/>
      <c r="I436" s="138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  <c r="BC436" s="6"/>
      <c r="BD436" s="6"/>
      <c r="BE436" s="6"/>
      <c r="BF436" s="6"/>
      <c r="BG436" s="6"/>
      <c r="BH436" s="6"/>
      <c r="BI436" s="6"/>
      <c r="BJ436" s="6"/>
      <c r="BK436" s="6"/>
      <c r="BL436" s="6"/>
      <c r="BM436" s="6"/>
      <c r="BN436" s="6"/>
      <c r="BO436" s="6"/>
      <c r="BP436" s="6"/>
      <c r="BQ436" s="6"/>
      <c r="BR436" s="6"/>
      <c r="BS436" s="6"/>
      <c r="BT436" s="6"/>
      <c r="BU436" s="6"/>
      <c r="BV436" s="6"/>
      <c r="BW436" s="6"/>
      <c r="BX436" s="6"/>
      <c r="BY436" s="6"/>
      <c r="BZ436" s="6"/>
      <c r="CA436" s="6"/>
      <c r="CB436" s="6"/>
      <c r="CC436" s="6"/>
      <c r="DW436" s="660">
        <f t="shared" si="32"/>
        <v>0</v>
      </c>
      <c r="DX436" s="142">
        <v>13</v>
      </c>
    </row>
    <row r="437" spans="1:128" ht="15" customHeight="1">
      <c r="A437" s="3"/>
      <c r="B437" s="748" t="s">
        <v>1350</v>
      </c>
      <c r="C437" s="4"/>
      <c r="E437" s="138"/>
      <c r="F437" s="138"/>
      <c r="H437" s="138"/>
      <c r="I437" s="138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  <c r="BC437" s="6"/>
      <c r="BD437" s="6"/>
      <c r="BE437" s="6"/>
      <c r="BF437" s="6"/>
      <c r="BG437" s="6"/>
      <c r="BH437" s="6"/>
      <c r="BI437" s="6"/>
      <c r="BJ437" s="6"/>
      <c r="BK437" s="6"/>
      <c r="BL437" s="6"/>
      <c r="BM437" s="6"/>
      <c r="BN437" s="6"/>
      <c r="BO437" s="6"/>
      <c r="BP437" s="6"/>
      <c r="BQ437" s="6"/>
      <c r="BR437" s="6"/>
      <c r="BS437" s="6"/>
      <c r="BT437" s="6"/>
      <c r="BU437" s="6"/>
      <c r="BV437" s="6"/>
      <c r="BW437" s="6"/>
      <c r="BX437" s="6"/>
      <c r="BY437" s="6"/>
      <c r="BZ437" s="6"/>
      <c r="CA437" s="6"/>
      <c r="CB437" s="6"/>
      <c r="CC437" s="6"/>
      <c r="DW437" s="660">
        <f t="shared" si="32"/>
        <v>0</v>
      </c>
      <c r="DX437" s="116">
        <v>34</v>
      </c>
    </row>
    <row r="438" spans="1:128" ht="15" customHeight="1">
      <c r="A438" s="3"/>
      <c r="B438" s="748" t="s">
        <v>1351</v>
      </c>
      <c r="C438" s="4"/>
      <c r="E438" s="138"/>
      <c r="F438" s="138"/>
      <c r="H438" s="138"/>
      <c r="I438" s="138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  <c r="BC438" s="6"/>
      <c r="BD438" s="6"/>
      <c r="BE438" s="6"/>
      <c r="BF438" s="6"/>
      <c r="BG438" s="6"/>
      <c r="BH438" s="6"/>
      <c r="BI438" s="6"/>
      <c r="BJ438" s="6"/>
      <c r="BK438" s="6"/>
      <c r="BL438" s="6"/>
      <c r="BM438" s="6"/>
      <c r="BN438" s="6"/>
      <c r="BO438" s="6"/>
      <c r="BP438" s="6"/>
      <c r="BQ438" s="6"/>
      <c r="BR438" s="6"/>
      <c r="BS438" s="6"/>
      <c r="BT438" s="6"/>
      <c r="BU438" s="6"/>
      <c r="BV438" s="6"/>
      <c r="BW438" s="6"/>
      <c r="BX438" s="6"/>
      <c r="BY438" s="6"/>
      <c r="BZ438" s="6"/>
      <c r="CA438" s="6"/>
      <c r="CB438" s="6"/>
      <c r="CC438" s="6"/>
      <c r="DW438" s="660">
        <f t="shared" si="32"/>
        <v>0</v>
      </c>
      <c r="DX438" s="142">
        <v>13</v>
      </c>
    </row>
    <row r="439" spans="1:128" ht="15" customHeight="1">
      <c r="A439" s="3">
        <v>230</v>
      </c>
      <c r="B439" s="117" t="s">
        <v>352</v>
      </c>
      <c r="C439" s="4" t="s">
        <v>0</v>
      </c>
      <c r="E439" s="138"/>
      <c r="F439" s="138"/>
      <c r="H439" s="138"/>
      <c r="I439" s="138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  <c r="BC439" s="6"/>
      <c r="BD439" s="6"/>
      <c r="BE439" s="6"/>
      <c r="BF439" s="6"/>
      <c r="BG439" s="6"/>
      <c r="BH439" s="6"/>
      <c r="BI439" s="6"/>
      <c r="BJ439" s="6"/>
      <c r="BK439" s="6"/>
      <c r="BL439" s="6"/>
      <c r="BM439" s="6"/>
      <c r="BN439" s="6"/>
      <c r="BO439" s="6"/>
      <c r="BP439" s="6"/>
      <c r="BQ439" s="6"/>
      <c r="BR439" s="6"/>
      <c r="BS439" s="6"/>
      <c r="BT439" s="6"/>
      <c r="BU439" s="6"/>
      <c r="BV439" s="6"/>
      <c r="BW439" s="6"/>
      <c r="BX439" s="6"/>
      <c r="BY439" s="6"/>
      <c r="BZ439" s="6"/>
      <c r="CA439" s="6"/>
      <c r="CB439" s="6"/>
      <c r="CC439" s="6"/>
      <c r="DW439" s="660">
        <f t="shared" si="32"/>
        <v>0</v>
      </c>
      <c r="DX439" s="116">
        <v>34</v>
      </c>
    </row>
    <row r="440" spans="1:128" ht="15" customHeight="1">
      <c r="A440" s="3">
        <v>231</v>
      </c>
      <c r="B440" s="117" t="s">
        <v>353</v>
      </c>
      <c r="C440" s="4" t="s">
        <v>0</v>
      </c>
      <c r="E440" s="138"/>
      <c r="F440" s="138"/>
      <c r="H440" s="138"/>
      <c r="I440" s="138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  <c r="BC440" s="6"/>
      <c r="BD440" s="6"/>
      <c r="BE440" s="6"/>
      <c r="BF440" s="6"/>
      <c r="BG440" s="6"/>
      <c r="BH440" s="6"/>
      <c r="BI440" s="6"/>
      <c r="BJ440" s="6"/>
      <c r="BK440" s="6"/>
      <c r="BL440" s="6"/>
      <c r="BM440" s="6"/>
      <c r="BN440" s="6"/>
      <c r="BO440" s="6"/>
      <c r="BP440" s="6"/>
      <c r="BQ440" s="6"/>
      <c r="BR440" s="6"/>
      <c r="BS440" s="6"/>
      <c r="BT440" s="6"/>
      <c r="BU440" s="6"/>
      <c r="BV440" s="6"/>
      <c r="BW440" s="6"/>
      <c r="BX440" s="6"/>
      <c r="BY440" s="6"/>
      <c r="BZ440" s="6"/>
      <c r="CA440" s="6"/>
      <c r="CB440" s="6"/>
      <c r="CC440" s="6"/>
      <c r="DW440" s="660">
        <f t="shared" si="32"/>
        <v>0</v>
      </c>
      <c r="DX440" s="142">
        <v>13</v>
      </c>
    </row>
    <row r="441" spans="1:128" ht="15" customHeight="1">
      <c r="A441" s="3">
        <v>232</v>
      </c>
      <c r="B441" s="117" t="s">
        <v>354</v>
      </c>
      <c r="C441" s="4" t="s">
        <v>0</v>
      </c>
      <c r="E441" s="138"/>
      <c r="F441" s="138"/>
      <c r="H441" s="138"/>
      <c r="I441" s="138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  <c r="BC441" s="6"/>
      <c r="BD441" s="6"/>
      <c r="BE441" s="6"/>
      <c r="BF441" s="6"/>
      <c r="BG441" s="6"/>
      <c r="BH441" s="6"/>
      <c r="BI441" s="6"/>
      <c r="BJ441" s="6"/>
      <c r="BK441" s="6"/>
      <c r="BL441" s="6"/>
      <c r="BM441" s="6"/>
      <c r="BN441" s="6"/>
      <c r="BO441" s="6"/>
      <c r="BP441" s="6"/>
      <c r="BQ441" s="6"/>
      <c r="BR441" s="6"/>
      <c r="BS441" s="6"/>
      <c r="BT441" s="6"/>
      <c r="BU441" s="6"/>
      <c r="BV441" s="6"/>
      <c r="BW441" s="6"/>
      <c r="BX441" s="6"/>
      <c r="BY441" s="6"/>
      <c r="BZ441" s="6"/>
      <c r="CA441" s="6"/>
      <c r="CB441" s="6"/>
      <c r="CC441" s="6"/>
      <c r="DW441" s="660">
        <f t="shared" si="32"/>
        <v>0</v>
      </c>
      <c r="DX441" s="116">
        <v>34</v>
      </c>
    </row>
    <row r="442" spans="1:128" ht="15" customHeight="1">
      <c r="A442" s="3">
        <v>233</v>
      </c>
      <c r="B442" s="117" t="s">
        <v>355</v>
      </c>
      <c r="C442" s="4" t="s">
        <v>0</v>
      </c>
      <c r="E442" s="138"/>
      <c r="F442" s="138"/>
      <c r="H442" s="138"/>
      <c r="I442" s="138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  <c r="BC442" s="6"/>
      <c r="BD442" s="6"/>
      <c r="BE442" s="6"/>
      <c r="BF442" s="6"/>
      <c r="BG442" s="6"/>
      <c r="BH442" s="6"/>
      <c r="BI442" s="6"/>
      <c r="BJ442" s="6"/>
      <c r="BK442" s="6"/>
      <c r="BL442" s="6"/>
      <c r="BM442" s="6"/>
      <c r="BN442" s="6"/>
      <c r="BO442" s="6"/>
      <c r="BP442" s="6"/>
      <c r="BQ442" s="6"/>
      <c r="BR442" s="6"/>
      <c r="BS442" s="6"/>
      <c r="BT442" s="6"/>
      <c r="BU442" s="6"/>
      <c r="BV442" s="6"/>
      <c r="BW442" s="6"/>
      <c r="BX442" s="6"/>
      <c r="BY442" s="6"/>
      <c r="BZ442" s="6"/>
      <c r="CA442" s="6"/>
      <c r="CB442" s="6"/>
      <c r="CC442" s="6"/>
      <c r="DW442" s="660">
        <f t="shared" si="32"/>
        <v>0</v>
      </c>
      <c r="DX442" s="142">
        <v>13</v>
      </c>
    </row>
    <row r="443" spans="1:128" ht="15" customHeight="1">
      <c r="A443" s="3">
        <v>234</v>
      </c>
      <c r="B443" s="117" t="s">
        <v>356</v>
      </c>
      <c r="C443" s="4" t="s">
        <v>0</v>
      </c>
      <c r="E443" s="138"/>
      <c r="F443" s="138"/>
      <c r="H443" s="138"/>
      <c r="I443" s="138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  <c r="BC443" s="6"/>
      <c r="BD443" s="6"/>
      <c r="BE443" s="6"/>
      <c r="BF443" s="6"/>
      <c r="BG443" s="6"/>
      <c r="BH443" s="6"/>
      <c r="BI443" s="6"/>
      <c r="BJ443" s="6"/>
      <c r="BK443" s="6"/>
      <c r="BL443" s="6"/>
      <c r="BM443" s="6"/>
      <c r="BN443" s="6"/>
      <c r="BO443" s="6"/>
      <c r="BP443" s="6"/>
      <c r="BQ443" s="6"/>
      <c r="BR443" s="6"/>
      <c r="BS443" s="6"/>
      <c r="BT443" s="6"/>
      <c r="BU443" s="6"/>
      <c r="BV443" s="6"/>
      <c r="BW443" s="6"/>
      <c r="BX443" s="6"/>
      <c r="BY443" s="6"/>
      <c r="BZ443" s="6"/>
      <c r="CA443" s="6"/>
      <c r="CB443" s="6"/>
      <c r="CC443" s="6"/>
      <c r="DW443" s="660">
        <f t="shared" si="32"/>
        <v>0</v>
      </c>
      <c r="DX443" s="116">
        <v>34</v>
      </c>
    </row>
    <row r="444" spans="1:128" ht="15" customHeight="1">
      <c r="A444" s="3">
        <v>235</v>
      </c>
      <c r="B444" s="117" t="s">
        <v>357</v>
      </c>
      <c r="C444" s="4" t="s">
        <v>0</v>
      </c>
      <c r="E444" s="138"/>
      <c r="F444" s="138"/>
      <c r="H444" s="138"/>
      <c r="I444" s="138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  <c r="BC444" s="6"/>
      <c r="BD444" s="6"/>
      <c r="BE444" s="6"/>
      <c r="BF444" s="6"/>
      <c r="BG444" s="6"/>
      <c r="BH444" s="6"/>
      <c r="BI444" s="6"/>
      <c r="BJ444" s="6"/>
      <c r="BK444" s="6"/>
      <c r="BL444" s="6"/>
      <c r="BM444" s="6"/>
      <c r="BN444" s="6"/>
      <c r="BO444" s="6"/>
      <c r="BP444" s="6"/>
      <c r="BQ444" s="6"/>
      <c r="BR444" s="6"/>
      <c r="BS444" s="6"/>
      <c r="BT444" s="6"/>
      <c r="BU444" s="6"/>
      <c r="BV444" s="6"/>
      <c r="BW444" s="6"/>
      <c r="BX444" s="6"/>
      <c r="BY444" s="6"/>
      <c r="BZ444" s="6"/>
      <c r="CA444" s="6"/>
      <c r="CB444" s="6"/>
      <c r="CC444" s="6"/>
      <c r="DW444" s="660">
        <f t="shared" si="32"/>
        <v>0</v>
      </c>
      <c r="DX444" s="142">
        <v>13</v>
      </c>
    </row>
    <row r="445" spans="1:128" ht="15" customHeight="1" thickBot="1"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  <c r="BC445" s="6"/>
      <c r="BD445" s="6"/>
      <c r="BE445" s="6"/>
      <c r="BF445" s="6"/>
      <c r="BG445" s="6"/>
      <c r="BH445" s="6"/>
      <c r="BI445" s="6"/>
      <c r="BJ445" s="6"/>
      <c r="BK445" s="6"/>
      <c r="BL445" s="6"/>
      <c r="BM445" s="6"/>
      <c r="BN445" s="6"/>
      <c r="BO445" s="6"/>
      <c r="BP445" s="6"/>
      <c r="BQ445" s="6"/>
      <c r="BR445" s="6"/>
      <c r="BS445" s="6"/>
      <c r="BT445" s="6"/>
      <c r="BU445" s="6"/>
      <c r="BV445" s="6"/>
      <c r="BW445" s="6"/>
      <c r="BX445" s="6"/>
      <c r="BY445" s="6"/>
      <c r="BZ445" s="6"/>
      <c r="CA445" s="6"/>
      <c r="CB445" s="6"/>
      <c r="CC445" s="6"/>
      <c r="DW445" s="660">
        <f t="shared" si="32"/>
        <v>0</v>
      </c>
      <c r="DX445" s="116">
        <v>34</v>
      </c>
    </row>
    <row r="446" spans="1:128" ht="21.95" customHeight="1" thickBot="1">
      <c r="B446" s="1539" t="s">
        <v>367</v>
      </c>
      <c r="C446" s="1540"/>
      <c r="D446" s="1540"/>
      <c r="E446" s="1540"/>
      <c r="F446" s="1540"/>
      <c r="G446" s="1540"/>
      <c r="H446" s="1540"/>
      <c r="I446" s="1540"/>
      <c r="J446" s="1540"/>
      <c r="K446" s="1540"/>
      <c r="L446" s="1540"/>
      <c r="M446" s="1540"/>
      <c r="N446" s="1540"/>
      <c r="O446" s="1540"/>
      <c r="P446" s="1540"/>
      <c r="Q446" s="1540"/>
      <c r="R446" s="1540"/>
      <c r="S446" s="1540"/>
      <c r="T446" s="1540"/>
      <c r="U446" s="1540"/>
      <c r="V446" s="1540"/>
      <c r="W446" s="1540"/>
      <c r="X446" s="1540"/>
      <c r="Y446" s="1540"/>
      <c r="Z446" s="1540"/>
      <c r="AA446" s="1541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  <c r="BC446" s="6"/>
      <c r="BD446" s="6"/>
      <c r="BE446" s="6"/>
      <c r="BF446" s="6"/>
      <c r="BG446" s="6"/>
      <c r="BH446" s="6"/>
      <c r="BI446" s="6"/>
      <c r="BJ446" s="6"/>
      <c r="BK446" s="6"/>
      <c r="BL446" s="6"/>
      <c r="BM446" s="6"/>
      <c r="BN446" s="6"/>
      <c r="BO446" s="6"/>
      <c r="BP446" s="6"/>
      <c r="BQ446" s="6"/>
      <c r="BR446" s="6"/>
      <c r="BS446" s="6"/>
      <c r="BT446" s="6"/>
      <c r="BU446" s="6"/>
      <c r="BV446" s="6"/>
      <c r="BW446" s="6"/>
      <c r="BX446" s="6"/>
      <c r="BY446" s="6"/>
      <c r="BZ446" s="6"/>
      <c r="CA446" s="6"/>
      <c r="CB446" s="6"/>
      <c r="CC446" s="6"/>
      <c r="DW446" s="660">
        <f t="shared" si="32"/>
        <v>0</v>
      </c>
      <c r="DX446" s="142">
        <v>13</v>
      </c>
    </row>
    <row r="447" spans="1:128" ht="15" customHeight="1"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  <c r="BC447" s="6"/>
      <c r="BD447" s="6"/>
      <c r="BE447" s="6"/>
      <c r="BF447" s="6"/>
      <c r="BG447" s="6"/>
      <c r="BH447" s="6"/>
      <c r="BI447" s="6"/>
      <c r="BJ447" s="6"/>
      <c r="BK447" s="6"/>
      <c r="BL447" s="6"/>
      <c r="BM447" s="6"/>
      <c r="BN447" s="6"/>
      <c r="BO447" s="6"/>
      <c r="BP447" s="6"/>
      <c r="BQ447" s="6"/>
      <c r="BR447" s="6"/>
      <c r="BS447" s="6"/>
      <c r="BT447" s="6"/>
      <c r="BU447" s="6"/>
      <c r="BV447" s="6"/>
      <c r="BW447" s="6"/>
      <c r="BX447" s="6"/>
      <c r="BY447" s="6"/>
      <c r="BZ447" s="6"/>
      <c r="CA447" s="6"/>
      <c r="CB447" s="6"/>
      <c r="CC447" s="6"/>
      <c r="DW447" s="660">
        <f t="shared" si="32"/>
        <v>0</v>
      </c>
      <c r="DX447" s="116">
        <v>34</v>
      </c>
    </row>
    <row r="448" spans="1:128" ht="15" customHeight="1"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  <c r="BC448" s="6"/>
      <c r="BD448" s="6"/>
      <c r="BE448" s="6"/>
      <c r="BF448" s="6"/>
      <c r="BG448" s="6"/>
      <c r="BH448" s="6"/>
      <c r="BI448" s="6"/>
      <c r="BJ448" s="6"/>
      <c r="BK448" s="6"/>
      <c r="BL448" s="6"/>
      <c r="BM448" s="6"/>
      <c r="BN448" s="6"/>
      <c r="BO448" s="6"/>
      <c r="BP448" s="6"/>
      <c r="BQ448" s="6"/>
      <c r="BR448" s="6"/>
      <c r="BS448" s="6"/>
      <c r="BT448" s="6"/>
      <c r="BU448" s="6"/>
      <c r="BV448" s="6"/>
      <c r="BW448" s="6"/>
      <c r="BX448" s="6"/>
      <c r="BY448" s="6"/>
      <c r="BZ448" s="6"/>
      <c r="CA448" s="6"/>
      <c r="CB448" s="6"/>
      <c r="CC448" s="6"/>
      <c r="DW448" s="660">
        <f t="shared" si="32"/>
        <v>0</v>
      </c>
      <c r="DX448" s="142">
        <v>13</v>
      </c>
    </row>
    <row r="449" spans="40:81" ht="15" customHeight="1"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  <c r="BC449" s="6"/>
      <c r="BD449" s="6"/>
      <c r="BE449" s="6"/>
      <c r="BF449" s="6"/>
      <c r="BG449" s="6"/>
      <c r="BH449" s="6"/>
      <c r="BI449" s="6"/>
      <c r="BJ449" s="6"/>
      <c r="BK449" s="6"/>
      <c r="BL449" s="6"/>
      <c r="BM449" s="6"/>
      <c r="BN449" s="6"/>
      <c r="BO449" s="6"/>
      <c r="BP449" s="6"/>
      <c r="BQ449" s="6"/>
      <c r="BR449" s="6"/>
      <c r="BS449" s="6"/>
      <c r="BT449" s="6"/>
      <c r="BU449" s="6"/>
      <c r="BV449" s="6"/>
      <c r="BW449" s="6"/>
      <c r="BX449" s="6"/>
      <c r="BY449" s="6"/>
      <c r="BZ449" s="6"/>
      <c r="CA449" s="6"/>
      <c r="CB449" s="6"/>
      <c r="CC449" s="6"/>
    </row>
    <row r="450" spans="40:81" ht="15" customHeight="1"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  <c r="BC450" s="6"/>
      <c r="BD450" s="6"/>
      <c r="BE450" s="6"/>
      <c r="BF450" s="6"/>
      <c r="BG450" s="6"/>
      <c r="BH450" s="6"/>
      <c r="BI450" s="6"/>
      <c r="BJ450" s="6"/>
      <c r="BK450" s="6"/>
      <c r="BL450" s="6"/>
      <c r="BM450" s="6"/>
      <c r="BN450" s="6"/>
      <c r="BO450" s="6"/>
      <c r="BP450" s="6"/>
      <c r="BQ450" s="6"/>
      <c r="BR450" s="6"/>
      <c r="BS450" s="6"/>
      <c r="BT450" s="6"/>
      <c r="BU450" s="6"/>
      <c r="BV450" s="6"/>
      <c r="BW450" s="6"/>
      <c r="BX450" s="6"/>
      <c r="BY450" s="6"/>
      <c r="BZ450" s="6"/>
      <c r="CA450" s="6"/>
      <c r="CB450" s="6"/>
      <c r="CC450" s="6"/>
    </row>
    <row r="451" spans="40:81" ht="15" customHeight="1"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  <c r="BC451" s="6"/>
      <c r="BD451" s="6"/>
      <c r="BE451" s="6"/>
      <c r="BF451" s="6"/>
      <c r="BG451" s="6"/>
      <c r="BH451" s="6"/>
      <c r="BI451" s="6"/>
      <c r="BJ451" s="6"/>
      <c r="BK451" s="6"/>
      <c r="BL451" s="6"/>
      <c r="BM451" s="6"/>
      <c r="BN451" s="6"/>
      <c r="BO451" s="6"/>
      <c r="BP451" s="6"/>
      <c r="BQ451" s="6"/>
      <c r="BR451" s="6"/>
      <c r="BS451" s="6"/>
      <c r="BT451" s="6"/>
      <c r="BU451" s="6"/>
      <c r="BV451" s="6"/>
      <c r="BW451" s="6"/>
      <c r="BX451" s="6"/>
      <c r="BY451" s="6"/>
      <c r="BZ451" s="6"/>
      <c r="CA451" s="6"/>
      <c r="CB451" s="6"/>
      <c r="CC451" s="6"/>
    </row>
    <row r="452" spans="40:81" ht="15" customHeight="1"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  <c r="BC452" s="6"/>
      <c r="BD452" s="6"/>
      <c r="BE452" s="6"/>
      <c r="BF452" s="6"/>
      <c r="BG452" s="6"/>
      <c r="BH452" s="6"/>
      <c r="BI452" s="6"/>
      <c r="BJ452" s="6"/>
      <c r="BK452" s="6"/>
      <c r="BL452" s="6"/>
      <c r="BM452" s="6"/>
      <c r="BN452" s="6"/>
      <c r="BO452" s="6"/>
      <c r="BP452" s="6"/>
      <c r="BQ452" s="6"/>
      <c r="BR452" s="6"/>
      <c r="BS452" s="6"/>
      <c r="BT452" s="6"/>
      <c r="BU452" s="6"/>
      <c r="BV452" s="6"/>
      <c r="BW452" s="6"/>
      <c r="BX452" s="6"/>
      <c r="BY452" s="6"/>
      <c r="BZ452" s="6"/>
      <c r="CA452" s="6"/>
      <c r="CB452" s="6"/>
      <c r="CC452" s="6"/>
    </row>
    <row r="453" spans="40:81" ht="15" customHeight="1"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  <c r="BC453" s="6"/>
      <c r="BD453" s="6"/>
      <c r="BE453" s="6"/>
      <c r="BF453" s="6"/>
      <c r="BG453" s="6"/>
      <c r="BH453" s="6"/>
      <c r="BI453" s="6"/>
      <c r="BJ453" s="6"/>
      <c r="BK453" s="6"/>
      <c r="BL453" s="6"/>
      <c r="BM453" s="6"/>
      <c r="BN453" s="6"/>
      <c r="BO453" s="6"/>
      <c r="BP453" s="6"/>
      <c r="BQ453" s="6"/>
      <c r="BR453" s="6"/>
      <c r="BS453" s="6"/>
      <c r="BT453" s="6"/>
      <c r="BU453" s="6"/>
      <c r="BV453" s="6"/>
      <c r="BW453" s="6"/>
      <c r="BX453" s="6"/>
      <c r="BY453" s="6"/>
      <c r="BZ453" s="6"/>
      <c r="CA453" s="6"/>
      <c r="CB453" s="6"/>
      <c r="CC453" s="6"/>
    </row>
    <row r="454" spans="40:81" ht="15" customHeight="1"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  <c r="BC454" s="6"/>
      <c r="BD454" s="6"/>
      <c r="BE454" s="6"/>
      <c r="BF454" s="6"/>
      <c r="BG454" s="6"/>
      <c r="BH454" s="6"/>
      <c r="BI454" s="6"/>
      <c r="BJ454" s="6"/>
      <c r="BK454" s="6"/>
      <c r="BL454" s="6"/>
      <c r="BM454" s="6"/>
      <c r="BN454" s="6"/>
      <c r="BO454" s="6"/>
      <c r="BP454" s="6"/>
      <c r="BQ454" s="6"/>
      <c r="BR454" s="6"/>
      <c r="BS454" s="6"/>
      <c r="BT454" s="6"/>
      <c r="BU454" s="6"/>
      <c r="BV454" s="6"/>
      <c r="BW454" s="6"/>
      <c r="BX454" s="6"/>
      <c r="BY454" s="6"/>
      <c r="BZ454" s="6"/>
      <c r="CA454" s="6"/>
      <c r="CB454" s="6"/>
      <c r="CC454" s="6"/>
    </row>
    <row r="455" spans="40:81" ht="15" customHeight="1"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  <c r="BC455" s="6"/>
      <c r="BD455" s="6"/>
      <c r="BE455" s="6"/>
      <c r="BF455" s="6"/>
      <c r="BG455" s="6"/>
      <c r="BH455" s="6"/>
      <c r="BI455" s="6"/>
      <c r="BJ455" s="6"/>
      <c r="BK455" s="6"/>
      <c r="BL455" s="6"/>
      <c r="BM455" s="6"/>
      <c r="BN455" s="6"/>
      <c r="BO455" s="6"/>
      <c r="BP455" s="6"/>
      <c r="BQ455" s="6"/>
      <c r="BR455" s="6"/>
      <c r="BS455" s="6"/>
      <c r="BT455" s="6"/>
      <c r="BU455" s="6"/>
      <c r="BV455" s="6"/>
      <c r="BW455" s="6"/>
      <c r="BX455" s="6"/>
      <c r="BY455" s="6"/>
      <c r="BZ455" s="6"/>
      <c r="CA455" s="6"/>
      <c r="CB455" s="6"/>
      <c r="CC455" s="6"/>
    </row>
    <row r="456" spans="40:81" ht="15" customHeight="1"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  <c r="BC456" s="6"/>
      <c r="BD456" s="6"/>
      <c r="BE456" s="6"/>
      <c r="BF456" s="6"/>
      <c r="BG456" s="6"/>
      <c r="BH456" s="6"/>
      <c r="BI456" s="6"/>
      <c r="BJ456" s="6"/>
      <c r="BK456" s="6"/>
      <c r="BL456" s="6"/>
      <c r="BM456" s="6"/>
      <c r="BN456" s="6"/>
      <c r="BO456" s="6"/>
      <c r="BP456" s="6"/>
      <c r="BQ456" s="6"/>
      <c r="BR456" s="6"/>
      <c r="BS456" s="6"/>
      <c r="BT456" s="6"/>
      <c r="BU456" s="6"/>
      <c r="BV456" s="6"/>
      <c r="BW456" s="6"/>
      <c r="BX456" s="6"/>
      <c r="BY456" s="6"/>
      <c r="BZ456" s="6"/>
      <c r="CA456" s="6"/>
      <c r="CB456" s="6"/>
      <c r="CC456" s="6"/>
    </row>
    <row r="457" spans="40:81" ht="15" customHeight="1"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  <c r="BC457" s="6"/>
      <c r="BD457" s="6"/>
      <c r="BE457" s="6"/>
      <c r="BF457" s="6"/>
      <c r="BG457" s="6"/>
      <c r="BH457" s="6"/>
      <c r="BI457" s="6"/>
      <c r="BJ457" s="6"/>
      <c r="BK457" s="6"/>
      <c r="BL457" s="6"/>
      <c r="BM457" s="6"/>
      <c r="BN457" s="6"/>
      <c r="BO457" s="6"/>
      <c r="BP457" s="6"/>
      <c r="BQ457" s="6"/>
      <c r="BR457" s="6"/>
      <c r="BS457" s="6"/>
      <c r="BT457" s="6"/>
      <c r="BU457" s="6"/>
      <c r="BV457" s="6"/>
      <c r="BW457" s="6"/>
      <c r="BX457" s="6"/>
      <c r="BY457" s="6"/>
      <c r="BZ457" s="6"/>
      <c r="CA457" s="6"/>
      <c r="CB457" s="6"/>
      <c r="CC457" s="6"/>
    </row>
    <row r="458" spans="40:81" ht="15" customHeight="1"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  <c r="BC458" s="6"/>
      <c r="BD458" s="6"/>
      <c r="BE458" s="6"/>
      <c r="BF458" s="6"/>
      <c r="BG458" s="6"/>
      <c r="BH458" s="6"/>
      <c r="BI458" s="6"/>
      <c r="BJ458" s="6"/>
      <c r="BK458" s="6"/>
      <c r="BL458" s="6"/>
      <c r="BM458" s="6"/>
      <c r="BN458" s="6"/>
      <c r="BO458" s="6"/>
      <c r="BP458" s="6"/>
      <c r="BQ458" s="6"/>
      <c r="BR458" s="6"/>
      <c r="BS458" s="6"/>
      <c r="BT458" s="6"/>
      <c r="BU458" s="6"/>
      <c r="BV458" s="6"/>
      <c r="BW458" s="6"/>
      <c r="BX458" s="6"/>
      <c r="BY458" s="6"/>
      <c r="BZ458" s="6"/>
      <c r="CA458" s="6"/>
      <c r="CB458" s="6"/>
      <c r="CC458" s="6"/>
    </row>
    <row r="459" spans="40:81" ht="15" customHeight="1"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  <c r="BC459" s="6"/>
      <c r="BD459" s="6"/>
      <c r="BE459" s="6"/>
      <c r="BF459" s="6"/>
      <c r="BG459" s="6"/>
      <c r="BH459" s="6"/>
      <c r="BI459" s="6"/>
      <c r="BJ459" s="6"/>
      <c r="BK459" s="6"/>
      <c r="BL459" s="6"/>
      <c r="BM459" s="6"/>
      <c r="BN459" s="6"/>
      <c r="BO459" s="6"/>
      <c r="BP459" s="6"/>
      <c r="BQ459" s="6"/>
      <c r="BR459" s="6"/>
      <c r="BS459" s="6"/>
      <c r="BT459" s="6"/>
      <c r="BU459" s="6"/>
      <c r="BV459" s="6"/>
      <c r="BW459" s="6"/>
      <c r="BX459" s="6"/>
      <c r="BY459" s="6"/>
      <c r="BZ459" s="6"/>
      <c r="CA459" s="6"/>
      <c r="CB459" s="6"/>
      <c r="CC459" s="6"/>
    </row>
    <row r="460" spans="40:81" ht="15" customHeight="1"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  <c r="BC460" s="6"/>
      <c r="BD460" s="6"/>
      <c r="BE460" s="6"/>
      <c r="BF460" s="6"/>
      <c r="BG460" s="6"/>
      <c r="BH460" s="6"/>
      <c r="BI460" s="6"/>
      <c r="BJ460" s="6"/>
      <c r="BK460" s="6"/>
      <c r="BL460" s="6"/>
      <c r="BM460" s="6"/>
      <c r="BN460" s="6"/>
      <c r="BO460" s="6"/>
      <c r="BP460" s="6"/>
      <c r="BQ460" s="6"/>
      <c r="BR460" s="6"/>
      <c r="BS460" s="6"/>
      <c r="BT460" s="6"/>
      <c r="BU460" s="6"/>
      <c r="BV460" s="6"/>
      <c r="BW460" s="6"/>
      <c r="BX460" s="6"/>
      <c r="BY460" s="6"/>
      <c r="BZ460" s="6"/>
      <c r="CA460" s="6"/>
      <c r="CB460" s="6"/>
      <c r="CC460" s="6"/>
    </row>
    <row r="461" spans="40:81" ht="15" customHeight="1"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  <c r="BC461" s="6"/>
      <c r="BD461" s="6"/>
      <c r="BE461" s="6"/>
      <c r="BF461" s="6"/>
      <c r="BG461" s="6"/>
      <c r="BH461" s="6"/>
      <c r="BI461" s="6"/>
      <c r="BJ461" s="6"/>
      <c r="BK461" s="6"/>
      <c r="BL461" s="6"/>
      <c r="BM461" s="6"/>
      <c r="BN461" s="6"/>
      <c r="BO461" s="6"/>
      <c r="BP461" s="6"/>
      <c r="BQ461" s="6"/>
      <c r="BR461" s="6"/>
      <c r="BS461" s="6"/>
      <c r="BT461" s="6"/>
      <c r="BU461" s="6"/>
      <c r="BV461" s="6"/>
      <c r="BW461" s="6"/>
      <c r="BX461" s="6"/>
      <c r="BY461" s="6"/>
      <c r="BZ461" s="6"/>
      <c r="CA461" s="6"/>
      <c r="CB461" s="6"/>
      <c r="CC461" s="6"/>
    </row>
    <row r="462" spans="40:81" ht="15" customHeight="1"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  <c r="BC462" s="6"/>
      <c r="BD462" s="6"/>
      <c r="BE462" s="6"/>
      <c r="BF462" s="6"/>
      <c r="BG462" s="6"/>
      <c r="BH462" s="6"/>
      <c r="BI462" s="6"/>
      <c r="BJ462" s="6"/>
      <c r="BK462" s="6"/>
      <c r="BL462" s="6"/>
      <c r="BM462" s="6"/>
      <c r="BN462" s="6"/>
      <c r="BO462" s="6"/>
      <c r="BP462" s="6"/>
      <c r="BQ462" s="6"/>
      <c r="BR462" s="6"/>
      <c r="BS462" s="6"/>
      <c r="BT462" s="6"/>
      <c r="BU462" s="6"/>
      <c r="BV462" s="6"/>
      <c r="BW462" s="6"/>
      <c r="BX462" s="6"/>
      <c r="BY462" s="6"/>
      <c r="BZ462" s="6"/>
      <c r="CA462" s="6"/>
      <c r="CB462" s="6"/>
      <c r="CC462" s="6"/>
    </row>
    <row r="463" spans="40:81"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  <c r="BC463" s="6"/>
      <c r="BD463" s="6"/>
      <c r="BE463" s="6"/>
      <c r="BF463" s="6"/>
      <c r="BG463" s="6"/>
      <c r="BH463" s="6"/>
      <c r="BI463" s="6"/>
      <c r="BJ463" s="6"/>
      <c r="BK463" s="6"/>
      <c r="BL463" s="6"/>
      <c r="BM463" s="6"/>
      <c r="BN463" s="6"/>
      <c r="BO463" s="6"/>
      <c r="BP463" s="6"/>
      <c r="BQ463" s="6"/>
      <c r="BR463" s="6"/>
      <c r="BS463" s="6"/>
      <c r="BT463" s="6"/>
      <c r="BU463" s="6"/>
      <c r="BV463" s="6"/>
      <c r="BW463" s="6"/>
      <c r="BX463" s="6"/>
      <c r="BY463" s="6"/>
      <c r="BZ463" s="6"/>
      <c r="CA463" s="6"/>
      <c r="CB463" s="6"/>
      <c r="CC463" s="6"/>
    </row>
    <row r="464" spans="40:81"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  <c r="BC464" s="6"/>
      <c r="BD464" s="6"/>
      <c r="BE464" s="6"/>
      <c r="BF464" s="6"/>
      <c r="BG464" s="6"/>
      <c r="BH464" s="6"/>
      <c r="BI464" s="6"/>
      <c r="BJ464" s="6"/>
      <c r="BK464" s="6"/>
      <c r="BL464" s="6"/>
      <c r="BM464" s="6"/>
      <c r="BN464" s="6"/>
      <c r="BO464" s="6"/>
      <c r="BP464" s="6"/>
      <c r="BQ464" s="6"/>
      <c r="BR464" s="6"/>
      <c r="BS464" s="6"/>
      <c r="BT464" s="6"/>
      <c r="BU464" s="6"/>
      <c r="BV464" s="6"/>
      <c r="BW464" s="6"/>
      <c r="BX464" s="6"/>
      <c r="BY464" s="6"/>
      <c r="BZ464" s="6"/>
      <c r="CA464" s="6"/>
      <c r="CB464" s="6"/>
      <c r="CC464" s="6"/>
    </row>
    <row r="465" spans="40:81"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  <c r="BC465" s="6"/>
      <c r="BD465" s="6"/>
      <c r="BE465" s="6"/>
      <c r="BF465" s="6"/>
      <c r="BG465" s="6"/>
      <c r="BH465" s="6"/>
      <c r="BI465" s="6"/>
      <c r="BJ465" s="6"/>
      <c r="BK465" s="6"/>
      <c r="BL465" s="6"/>
      <c r="BM465" s="6"/>
      <c r="BN465" s="6"/>
      <c r="BO465" s="6"/>
      <c r="BP465" s="6"/>
      <c r="BQ465" s="6"/>
      <c r="BR465" s="6"/>
      <c r="BS465" s="6"/>
      <c r="BT465" s="6"/>
      <c r="BU465" s="6"/>
      <c r="BV465" s="6"/>
      <c r="BW465" s="6"/>
      <c r="BX465" s="6"/>
      <c r="BY465" s="6"/>
      <c r="BZ465" s="6"/>
      <c r="CA465" s="6"/>
      <c r="CB465" s="6"/>
      <c r="CC465" s="6"/>
    </row>
  </sheetData>
  <sheetProtection selectLockedCells="1"/>
  <mergeCells count="53">
    <mergeCell ref="A1:A23"/>
    <mergeCell ref="AC3:AC26"/>
    <mergeCell ref="B6:C6"/>
    <mergeCell ref="W3:Y3"/>
    <mergeCell ref="K3:M3"/>
    <mergeCell ref="B25:C26"/>
    <mergeCell ref="E3:F3"/>
    <mergeCell ref="CE2:CW2"/>
    <mergeCell ref="CF3:CG3"/>
    <mergeCell ref="CJ3:CK3"/>
    <mergeCell ref="CN3:CO3"/>
    <mergeCell ref="CZ3:DA3"/>
    <mergeCell ref="CY2:DQ2"/>
    <mergeCell ref="DH3:DI3"/>
    <mergeCell ref="DL3:DM3"/>
    <mergeCell ref="B446:AA446"/>
    <mergeCell ref="AA4:AB4"/>
    <mergeCell ref="B4:C4"/>
    <mergeCell ref="B5:C5"/>
    <mergeCell ref="H3:I3"/>
    <mergeCell ref="AD3:AF3"/>
    <mergeCell ref="AA3:AB3"/>
    <mergeCell ref="O3:Q3"/>
    <mergeCell ref="B2:C3"/>
    <mergeCell ref="S3:U3"/>
    <mergeCell ref="BQ4:BR4"/>
    <mergeCell ref="BX4:BY4"/>
    <mergeCell ref="BX3:BY3"/>
    <mergeCell ref="BT3:BV3"/>
    <mergeCell ref="BJ3:BK3"/>
    <mergeCell ref="BJ4:BK4"/>
    <mergeCell ref="CA3:CC3"/>
    <mergeCell ref="BQ3:BR3"/>
    <mergeCell ref="BM3:BO3"/>
    <mergeCell ref="AH3:AI3"/>
    <mergeCell ref="AO4:AP4"/>
    <mergeCell ref="AV4:AW4"/>
    <mergeCell ref="AQ2:AQ26"/>
    <mergeCell ref="AY3:BA3"/>
    <mergeCell ref="AV3:AW3"/>
    <mergeCell ref="BF3:BH3"/>
    <mergeCell ref="AR3:AT3"/>
    <mergeCell ref="AO3:AP3"/>
    <mergeCell ref="AH4:AI4"/>
    <mergeCell ref="AK3:AM3"/>
    <mergeCell ref="BC3:BD3"/>
    <mergeCell ref="BC4:BD4"/>
    <mergeCell ref="DO4:DQ4"/>
    <mergeCell ref="CR3:CS3"/>
    <mergeCell ref="CU3:CW3"/>
    <mergeCell ref="CU4:CW4"/>
    <mergeCell ref="DO3:DQ3"/>
    <mergeCell ref="DD3:DE3"/>
  </mergeCells>
  <pageMargins left="0.511811024" right="0.511811024" top="0.78740157499999996" bottom="0.78740157499999996" header="0.31496062000000002" footer="0.31496062000000002"/>
  <pageSetup paperSize="9" scale="1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Macro10">
                <anchor moveWithCells="1" sizeWithCells="1">
                  <from>
                    <xdr:col>0</xdr:col>
                    <xdr:colOff>47625</xdr:colOff>
                    <xdr:row>0</xdr:row>
                    <xdr:rowOff>38100</xdr:rowOff>
                  </from>
                  <to>
                    <xdr:col>0</xdr:col>
                    <xdr:colOff>762000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 13">
              <controlPr defaultSize="0" print="0" autoFill="0" autoPict="0" macro="[0]!Macro4">
                <anchor moveWithCells="1" sizeWithCells="1">
                  <from>
                    <xdr:col>0</xdr:col>
                    <xdr:colOff>57150</xdr:colOff>
                    <xdr:row>7</xdr:row>
                    <xdr:rowOff>57150</xdr:rowOff>
                  </from>
                  <to>
                    <xdr:col>0</xdr:col>
                    <xdr:colOff>762000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Macro5">
                <anchor moveWithCells="1" sizeWithCells="1">
                  <from>
                    <xdr:col>0</xdr:col>
                    <xdr:colOff>57150</xdr:colOff>
                    <xdr:row>9</xdr:row>
                    <xdr:rowOff>85725</xdr:rowOff>
                  </from>
                  <to>
                    <xdr:col>0</xdr:col>
                    <xdr:colOff>762000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Macro17gg">
                <anchor moveWithCells="1" sizeWithCells="1">
                  <from>
                    <xdr:col>0</xdr:col>
                    <xdr:colOff>47625</xdr:colOff>
                    <xdr:row>3</xdr:row>
                    <xdr:rowOff>142875</xdr:rowOff>
                  </from>
                  <to>
                    <xdr:col>0</xdr:col>
                    <xdr:colOff>752475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Button 16">
              <controlPr defaultSize="0" print="0" autoFill="0" autoPict="0" macro="[0]!Macro12">
                <anchor moveWithCells="1" sizeWithCells="1">
                  <from>
                    <xdr:col>0</xdr:col>
                    <xdr:colOff>57150</xdr:colOff>
                    <xdr:row>5</xdr:row>
                    <xdr:rowOff>114300</xdr:rowOff>
                  </from>
                  <to>
                    <xdr:col>0</xdr:col>
                    <xdr:colOff>762000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" name="Button 18">
              <controlPr defaultSize="0" print="0" autoFill="0" autoPict="0" macro="[0]!Macro6">
                <anchor moveWithCells="1" sizeWithCells="1">
                  <from>
                    <xdr:col>0</xdr:col>
                    <xdr:colOff>47625</xdr:colOff>
                    <xdr:row>11</xdr:row>
                    <xdr:rowOff>85725</xdr:rowOff>
                  </from>
                  <to>
                    <xdr:col>0</xdr:col>
                    <xdr:colOff>752475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0" name="Button 20">
              <controlPr defaultSize="0" print="0" autoFill="0" autoPict="0" macro="[0]!Macro7">
                <anchor moveWithCells="1" sizeWithCells="1">
                  <from>
                    <xdr:col>0</xdr:col>
                    <xdr:colOff>85725</xdr:colOff>
                    <xdr:row>13</xdr:row>
                    <xdr:rowOff>95250</xdr:rowOff>
                  </from>
                  <to>
                    <xdr:col>0</xdr:col>
                    <xdr:colOff>390525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1" name="Button 21">
              <controlPr defaultSize="0" print="0" autoFill="0" autoPict="0" macro="[0]!Macro14">
                <anchor moveWithCells="1" sizeWithCells="1">
                  <from>
                    <xdr:col>0</xdr:col>
                    <xdr:colOff>466725</xdr:colOff>
                    <xdr:row>13</xdr:row>
                    <xdr:rowOff>95250</xdr:rowOff>
                  </from>
                  <to>
                    <xdr:col>0</xdr:col>
                    <xdr:colOff>762000</xdr:colOff>
                    <xdr:row>21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12700-3A90-4511-8C20-A3EA7AF4DF1E}">
  <sheetPr codeName="Plan2"/>
  <dimension ref="A1:EH529"/>
  <sheetViews>
    <sheetView showGridLines="0" zoomScale="80" zoomScaleNormal="80" workbookViewId="0">
      <pane xSplit="2" ySplit="17" topLeftCell="C18" activePane="bottomRight" state="frozen"/>
      <selection pane="topRight" activeCell="C1" sqref="C1"/>
      <selection pane="bottomLeft" activeCell="A18" sqref="A18"/>
      <selection pane="bottomRight" activeCell="B2" sqref="B2:C3"/>
    </sheetView>
  </sheetViews>
  <sheetFormatPr defaultRowHeight="15"/>
  <cols>
    <col min="1" max="1" width="11.7109375" customWidth="1"/>
    <col min="2" max="2" width="58.28515625" customWidth="1"/>
    <col min="3" max="3" width="8.7109375" customWidth="1"/>
    <col min="4" max="4" width="1.7109375" customWidth="1"/>
    <col min="5" max="5" width="12.28515625" customWidth="1"/>
    <col min="6" max="6" width="7.42578125" customWidth="1"/>
    <col min="7" max="7" width="1.7109375" customWidth="1"/>
    <col min="8" max="8" width="12.28515625" customWidth="1"/>
    <col min="9" max="9" width="7.28515625" customWidth="1"/>
    <col min="10" max="10" width="1.7109375" customWidth="1"/>
    <col min="11" max="11" width="12.28515625" customWidth="1"/>
    <col min="12" max="13" width="6.7109375" customWidth="1"/>
    <col min="14" max="14" width="1.7109375" customWidth="1"/>
    <col min="15" max="15" width="12.28515625" customWidth="1"/>
    <col min="16" max="17" width="6.7109375" customWidth="1"/>
    <col min="18" max="18" width="1.7109375" customWidth="1"/>
    <col min="19" max="19" width="12.28515625" customWidth="1"/>
    <col min="20" max="21" width="6.7109375" customWidth="1"/>
    <col min="22" max="22" width="1.7109375" customWidth="1"/>
    <col min="23" max="23" width="12.28515625" customWidth="1"/>
    <col min="24" max="25" width="6.7109375" customWidth="1"/>
    <col min="26" max="26" width="1.7109375" customWidth="1"/>
    <col min="27" max="27" width="12.28515625" customWidth="1"/>
    <col min="28" max="28" width="6.7109375" customWidth="1"/>
    <col min="29" max="29" width="1.7109375" customWidth="1"/>
    <col min="30" max="30" width="12.28515625" customWidth="1"/>
    <col min="31" max="32" width="6.7109375" customWidth="1"/>
    <col min="33" max="33" width="1.7109375" customWidth="1"/>
    <col min="34" max="34" width="12.28515625" customWidth="1"/>
    <col min="35" max="35" width="6.7109375" customWidth="1"/>
    <col min="36" max="36" width="1.7109375" customWidth="1"/>
    <col min="37" max="37" width="12.28515625" customWidth="1"/>
    <col min="38" max="39" width="6.7109375" customWidth="1"/>
    <col min="40" max="40" width="1.7109375" customWidth="1"/>
    <col min="41" max="41" width="12.28515625" customWidth="1"/>
    <col min="42" max="42" width="6.7109375" customWidth="1"/>
    <col min="43" max="43" width="1.7109375" customWidth="1"/>
    <col min="44" max="44" width="12.28515625" customWidth="1"/>
    <col min="45" max="46" width="6.7109375" customWidth="1"/>
    <col min="47" max="47" width="1.7109375" customWidth="1"/>
    <col min="48" max="48" width="12.28515625" customWidth="1"/>
    <col min="49" max="49" width="6.7109375" customWidth="1"/>
    <col min="50" max="50" width="1.7109375" customWidth="1"/>
    <col min="51" max="51" width="12.28515625" customWidth="1"/>
    <col min="52" max="53" width="6.7109375" customWidth="1"/>
    <col min="54" max="54" width="1.7109375" customWidth="1"/>
    <col min="55" max="55" width="12.28515625" customWidth="1"/>
    <col min="56" max="56" width="6.7109375" customWidth="1"/>
    <col min="57" max="57" width="1.7109375" customWidth="1"/>
    <col min="58" max="58" width="12.28515625" customWidth="1"/>
    <col min="59" max="60" width="6.7109375" customWidth="1"/>
    <col min="61" max="61" width="1.7109375" customWidth="1"/>
    <col min="62" max="62" width="12.28515625" customWidth="1"/>
    <col min="63" max="63" width="6.7109375" customWidth="1"/>
    <col min="64" max="64" width="1.7109375" customWidth="1"/>
    <col min="65" max="65" width="12.28515625" customWidth="1"/>
    <col min="66" max="67" width="6.7109375" customWidth="1"/>
    <col min="68" max="68" width="1.7109375" customWidth="1"/>
    <col min="69" max="69" width="12.28515625" customWidth="1"/>
    <col min="70" max="70" width="6.7109375" customWidth="1"/>
    <col min="71" max="71" width="1.7109375" customWidth="1"/>
    <col min="72" max="72" width="12.28515625" customWidth="1"/>
    <col min="73" max="74" width="6.7109375" customWidth="1"/>
    <col min="75" max="75" width="1.7109375" customWidth="1"/>
    <col min="76" max="76" width="12.28515625" customWidth="1"/>
    <col min="77" max="77" width="6.7109375" customWidth="1"/>
    <col min="78" max="78" width="1.7109375" customWidth="1"/>
    <col min="79" max="79" width="12.28515625" customWidth="1"/>
    <col min="80" max="81" width="6.7109375" customWidth="1"/>
    <col min="82" max="82" width="1.7109375" customWidth="1"/>
    <col min="83" max="83" width="12.28515625" customWidth="1"/>
    <col min="84" max="85" width="6.7109375" customWidth="1"/>
    <col min="86" max="86" width="1.7109375" customWidth="1"/>
    <col min="87" max="87" width="12.28515625" customWidth="1"/>
    <col min="88" max="89" width="6.7109375" customWidth="1"/>
    <col min="90" max="90" width="1.7109375" customWidth="1"/>
    <col min="91" max="91" width="12.28515625" customWidth="1"/>
    <col min="92" max="93" width="6.7109375" customWidth="1"/>
    <col min="94" max="94" width="1.28515625" customWidth="1"/>
    <col min="95" max="95" width="12.140625" customWidth="1"/>
    <col min="96" max="97" width="7.140625" customWidth="1"/>
    <col min="98" max="98" width="1.7109375" customWidth="1"/>
    <col min="99" max="99" width="12.28515625" customWidth="1"/>
    <col min="100" max="101" width="6.7109375" customWidth="1"/>
    <col min="102" max="102" width="1.7109375" customWidth="1"/>
    <col min="103" max="103" width="12.28515625" customWidth="1"/>
    <col min="104" max="105" width="6.7109375" customWidth="1"/>
    <col min="106" max="106" width="1.7109375" customWidth="1"/>
    <col min="107" max="107" width="12.28515625" customWidth="1"/>
    <col min="108" max="109" width="6.7109375" customWidth="1"/>
    <col min="110" max="110" width="1.7109375" customWidth="1"/>
    <col min="111" max="111" width="12.28515625" customWidth="1"/>
    <col min="112" max="113" width="6.7109375" customWidth="1"/>
    <col min="114" max="114" width="1.7109375" customWidth="1"/>
    <col min="115" max="115" width="12.28515625" customWidth="1"/>
    <col min="116" max="116" width="6.7109375" customWidth="1"/>
    <col min="117" max="117" width="7" customWidth="1"/>
    <col min="118" max="118" width="1.7109375" customWidth="1"/>
    <col min="119" max="119" width="13.5703125" customWidth="1"/>
    <col min="120" max="121" width="6.7109375" customWidth="1"/>
    <col min="122" max="122" width="1.7109375" customWidth="1"/>
    <col min="123" max="123" width="13.140625" style="112" hidden="1" customWidth="1"/>
    <col min="124" max="125" width="5.85546875" style="112" hidden="1" customWidth="1"/>
    <col min="126" max="126" width="15.5703125" hidden="1" customWidth="1"/>
    <col min="127" max="127" width="7.85546875" hidden="1" customWidth="1"/>
    <col min="128" max="128" width="9.140625" hidden="1" customWidth="1"/>
    <col min="129" max="132" width="9.140625" customWidth="1"/>
    <col min="138" max="138" width="7.140625" customWidth="1"/>
  </cols>
  <sheetData>
    <row r="1" spans="1:128" ht="3.95" customHeight="1" thickBot="1">
      <c r="A1" s="1559"/>
    </row>
    <row r="2" spans="1:128" ht="22.5" customHeight="1" thickBot="1">
      <c r="A2" s="1559"/>
      <c r="B2" s="1547" t="s">
        <v>365</v>
      </c>
      <c r="C2" s="1548"/>
      <c r="D2" s="1061"/>
      <c r="E2" s="1061"/>
      <c r="F2" s="1061"/>
      <c r="G2" s="1061"/>
      <c r="H2" s="1061"/>
      <c r="I2" s="1061"/>
      <c r="J2" s="1061"/>
      <c r="K2" s="1062"/>
      <c r="L2" s="1062"/>
      <c r="M2" s="1062"/>
      <c r="N2" s="1063"/>
      <c r="O2" s="1064"/>
      <c r="P2" s="1064"/>
      <c r="Q2" s="1064"/>
      <c r="R2" s="1064"/>
      <c r="S2" s="1065"/>
      <c r="T2" s="1065"/>
      <c r="U2" s="1065"/>
      <c r="V2" s="1065"/>
      <c r="W2" s="1066"/>
      <c r="X2" s="1066"/>
      <c r="Y2" s="1066"/>
      <c r="Z2" s="1066"/>
      <c r="AA2" s="1066"/>
      <c r="AB2" s="1066"/>
      <c r="AC2" s="1064"/>
      <c r="AD2" s="1064"/>
      <c r="AE2" s="1067"/>
      <c r="AF2" s="1067"/>
      <c r="AG2" s="1065"/>
      <c r="AH2" s="1065"/>
      <c r="AI2" s="1065"/>
      <c r="AJ2" s="1065"/>
      <c r="AK2" s="1065"/>
      <c r="AL2" s="1062"/>
      <c r="AM2" s="1062"/>
      <c r="AN2" s="1062"/>
      <c r="AO2" s="1062"/>
      <c r="AP2" s="1062"/>
      <c r="AQ2" s="1530"/>
      <c r="AR2" s="1062"/>
      <c r="AS2" s="1065"/>
      <c r="AT2" s="1065"/>
      <c r="AU2" s="1068"/>
      <c r="AV2" s="1068"/>
      <c r="AW2" s="1068"/>
      <c r="AX2" s="1068"/>
      <c r="AY2" s="1068"/>
      <c r="AZ2" s="1068"/>
      <c r="BA2" s="1068"/>
      <c r="BB2" s="1068"/>
      <c r="BC2" s="1068"/>
      <c r="BD2" s="1068"/>
      <c r="BE2" s="1068"/>
      <c r="BF2" s="1068"/>
      <c r="BG2" s="1068"/>
      <c r="BH2" s="1068"/>
      <c r="BI2" s="1068"/>
      <c r="BJ2" s="1068"/>
      <c r="BK2" s="1068"/>
      <c r="BL2" s="1068"/>
      <c r="BM2" s="1067"/>
      <c r="BN2" s="1067"/>
      <c r="BO2" s="1067"/>
      <c r="BP2" s="1067"/>
      <c r="BQ2" s="1067"/>
      <c r="BR2" s="1067"/>
      <c r="BS2" s="1065"/>
      <c r="BT2" s="1065"/>
      <c r="BU2" s="1065"/>
      <c r="BV2" s="1065"/>
      <c r="BW2" s="1065"/>
      <c r="BX2" s="1065"/>
      <c r="BY2" s="1065"/>
      <c r="BZ2" s="1065"/>
      <c r="CA2" s="1065"/>
      <c r="CB2" s="1065"/>
      <c r="CC2" s="1065"/>
      <c r="CD2" s="1065"/>
      <c r="CE2" s="1551" t="s">
        <v>478</v>
      </c>
      <c r="CF2" s="1552"/>
      <c r="CG2" s="1552"/>
      <c r="CH2" s="1553"/>
      <c r="CI2" s="1553"/>
      <c r="CJ2" s="1553"/>
      <c r="CK2" s="1553"/>
      <c r="CL2" s="1553"/>
      <c r="CM2" s="1553"/>
      <c r="CN2" s="1553"/>
      <c r="CO2" s="1553"/>
      <c r="CP2" s="1553"/>
      <c r="CQ2" s="1553"/>
      <c r="CR2" s="1553"/>
      <c r="CS2" s="1553"/>
      <c r="CT2" s="1553"/>
      <c r="CU2" s="1553"/>
      <c r="CV2" s="1553"/>
      <c r="CW2" s="1572"/>
      <c r="CX2" s="1065"/>
      <c r="CY2" s="1555" t="s">
        <v>479</v>
      </c>
      <c r="CZ2" s="1556"/>
      <c r="DA2" s="1556"/>
      <c r="DB2" s="1557"/>
      <c r="DC2" s="1556"/>
      <c r="DD2" s="1556"/>
      <c r="DE2" s="1556"/>
      <c r="DF2" s="1557"/>
      <c r="DG2" s="1556"/>
      <c r="DH2" s="1556"/>
      <c r="DI2" s="1556"/>
      <c r="DJ2" s="1557"/>
      <c r="DK2" s="1556"/>
      <c r="DL2" s="1556"/>
      <c r="DM2" s="1556"/>
      <c r="DN2" s="1556"/>
      <c r="DO2" s="1556"/>
      <c r="DP2" s="1556"/>
      <c r="DQ2" s="1558"/>
      <c r="DR2" s="19"/>
    </row>
    <row r="3" spans="1:128" ht="19.5" customHeight="1" thickBot="1">
      <c r="A3" s="1559"/>
      <c r="B3" s="1549"/>
      <c r="C3" s="1550"/>
      <c r="D3" s="1069"/>
      <c r="E3" s="1545" t="s">
        <v>1471</v>
      </c>
      <c r="F3" s="1546"/>
      <c r="G3" s="1070"/>
      <c r="H3" s="1545" t="s">
        <v>1250</v>
      </c>
      <c r="I3" s="1546"/>
      <c r="J3" s="1070"/>
      <c r="K3" s="1520" t="s">
        <v>136</v>
      </c>
      <c r="L3" s="1521"/>
      <c r="M3" s="1522"/>
      <c r="N3" s="1064"/>
      <c r="O3" s="1531" t="s">
        <v>135</v>
      </c>
      <c r="P3" s="1532"/>
      <c r="Q3" s="1533"/>
      <c r="R3" s="1064"/>
      <c r="S3" s="1531" t="s">
        <v>360</v>
      </c>
      <c r="T3" s="1532"/>
      <c r="U3" s="1533"/>
      <c r="V3" s="1071"/>
      <c r="W3" s="1520" t="s">
        <v>138</v>
      </c>
      <c r="X3" s="1521"/>
      <c r="Y3" s="1522"/>
      <c r="Z3" s="1072"/>
      <c r="AA3" s="1516" t="s">
        <v>138</v>
      </c>
      <c r="AB3" s="1517"/>
      <c r="AC3" s="1560"/>
      <c r="AD3" s="1531" t="s">
        <v>139</v>
      </c>
      <c r="AE3" s="1532"/>
      <c r="AF3" s="1533"/>
      <c r="AG3" s="1064"/>
      <c r="AH3" s="1516" t="s">
        <v>142</v>
      </c>
      <c r="AI3" s="1517"/>
      <c r="AJ3" s="1073"/>
      <c r="AK3" s="1520" t="s">
        <v>130</v>
      </c>
      <c r="AL3" s="1521"/>
      <c r="AM3" s="1522"/>
      <c r="AN3" s="1064"/>
      <c r="AO3" s="1516" t="s">
        <v>130</v>
      </c>
      <c r="AP3" s="1517"/>
      <c r="AQ3" s="1530"/>
      <c r="AR3" s="1513" t="s">
        <v>94</v>
      </c>
      <c r="AS3" s="1514"/>
      <c r="AT3" s="1515"/>
      <c r="AU3" s="1064"/>
      <c r="AV3" s="1516" t="s">
        <v>94</v>
      </c>
      <c r="AW3" s="1517"/>
      <c r="AX3" s="1064"/>
      <c r="AY3" s="1531" t="s">
        <v>129</v>
      </c>
      <c r="AZ3" s="1532"/>
      <c r="BA3" s="1533"/>
      <c r="BB3" s="1064"/>
      <c r="BC3" s="1516" t="s">
        <v>129</v>
      </c>
      <c r="BD3" s="1517"/>
      <c r="BE3" s="1064"/>
      <c r="BF3" s="1513" t="s">
        <v>97</v>
      </c>
      <c r="BG3" s="1514"/>
      <c r="BH3" s="1515"/>
      <c r="BI3" s="1064"/>
      <c r="BJ3" s="1528" t="s">
        <v>97</v>
      </c>
      <c r="BK3" s="1529"/>
      <c r="BL3" s="1064"/>
      <c r="BM3" s="1513" t="s">
        <v>143</v>
      </c>
      <c r="BN3" s="1514"/>
      <c r="BO3" s="1515"/>
      <c r="BP3" s="1064"/>
      <c r="BQ3" s="1528" t="s">
        <v>143</v>
      </c>
      <c r="BR3" s="1529"/>
      <c r="BS3" s="1064"/>
      <c r="BT3" s="1536" t="s">
        <v>131</v>
      </c>
      <c r="BU3" s="1537"/>
      <c r="BV3" s="1538"/>
      <c r="BW3" s="1064"/>
      <c r="BX3" s="1528" t="s">
        <v>131</v>
      </c>
      <c r="BY3" s="1529"/>
      <c r="BZ3" s="1064"/>
      <c r="CA3" s="1525" t="s">
        <v>146</v>
      </c>
      <c r="CB3" s="1526"/>
      <c r="CC3" s="1527"/>
      <c r="CD3" s="1064"/>
      <c r="CE3" s="1074" t="s">
        <v>1487</v>
      </c>
      <c r="CF3" s="1502" t="s">
        <v>1490</v>
      </c>
      <c r="CG3" s="1503"/>
      <c r="CH3" s="1075"/>
      <c r="CI3" s="1076" t="s">
        <v>1491</v>
      </c>
      <c r="CJ3" s="1502" t="s">
        <v>1490</v>
      </c>
      <c r="CK3" s="1503"/>
      <c r="CL3" s="1075"/>
      <c r="CM3" s="1076" t="s">
        <v>1492</v>
      </c>
      <c r="CN3" s="1502" t="s">
        <v>1490</v>
      </c>
      <c r="CO3" s="1503"/>
      <c r="CP3" s="1077"/>
      <c r="CQ3" s="1076" t="s">
        <v>1493</v>
      </c>
      <c r="CR3" s="1502" t="s">
        <v>1490</v>
      </c>
      <c r="CS3" s="1503"/>
      <c r="CT3" s="1075"/>
      <c r="CU3" s="1502" t="s">
        <v>1563</v>
      </c>
      <c r="CV3" s="1504"/>
      <c r="CW3" s="1503"/>
      <c r="CX3" s="1064"/>
      <c r="CY3" s="1078" t="s">
        <v>1487</v>
      </c>
      <c r="CZ3" s="1511" t="s">
        <v>1490</v>
      </c>
      <c r="DA3" s="1512"/>
      <c r="DB3" s="1075"/>
      <c r="DC3" s="1078" t="s">
        <v>1491</v>
      </c>
      <c r="DD3" s="1511" t="s">
        <v>1490</v>
      </c>
      <c r="DE3" s="1512"/>
      <c r="DF3" s="1075"/>
      <c r="DG3" s="1078" t="s">
        <v>1492</v>
      </c>
      <c r="DH3" s="1511" t="s">
        <v>1490</v>
      </c>
      <c r="DI3" s="1512"/>
      <c r="DJ3" s="1075"/>
      <c r="DK3" s="1078" t="s">
        <v>1493</v>
      </c>
      <c r="DL3" s="1511" t="s">
        <v>1490</v>
      </c>
      <c r="DM3" s="1512"/>
      <c r="DN3" s="1075"/>
      <c r="DO3" s="1508" t="s">
        <v>1565</v>
      </c>
      <c r="DP3" s="1509"/>
      <c r="DQ3" s="1510"/>
      <c r="DR3" s="14"/>
    </row>
    <row r="4" spans="1:128" ht="17.100000000000001" customHeight="1" thickBot="1">
      <c r="A4" s="1559"/>
      <c r="B4" s="1542"/>
      <c r="C4" s="1542"/>
      <c r="D4" s="1069"/>
      <c r="E4" s="1079" t="s">
        <v>206</v>
      </c>
      <c r="F4" s="1080" t="s">
        <v>1251</v>
      </c>
      <c r="G4" s="1069"/>
      <c r="H4" s="1079" t="s">
        <v>206</v>
      </c>
      <c r="I4" s="1080" t="s">
        <v>1251</v>
      </c>
      <c r="J4" s="1069"/>
      <c r="K4" s="1081" t="s">
        <v>137</v>
      </c>
      <c r="L4" s="1082" t="s">
        <v>95</v>
      </c>
      <c r="M4" s="1082" t="s">
        <v>96</v>
      </c>
      <c r="N4" s="1083"/>
      <c r="O4" s="1084" t="s">
        <v>137</v>
      </c>
      <c r="P4" s="1085" t="s">
        <v>95</v>
      </c>
      <c r="Q4" s="1086" t="s">
        <v>96</v>
      </c>
      <c r="R4" s="1072"/>
      <c r="S4" s="1084" t="s">
        <v>137</v>
      </c>
      <c r="T4" s="1087" t="s">
        <v>95</v>
      </c>
      <c r="U4" s="1087" t="s">
        <v>96</v>
      </c>
      <c r="V4" s="1088"/>
      <c r="W4" s="1082" t="s">
        <v>137</v>
      </c>
      <c r="X4" s="1082" t="s">
        <v>95</v>
      </c>
      <c r="Y4" s="1082" t="s">
        <v>96</v>
      </c>
      <c r="Z4" s="1089"/>
      <c r="AA4" s="1523" t="s">
        <v>52</v>
      </c>
      <c r="AB4" s="1524"/>
      <c r="AC4" s="1560"/>
      <c r="AD4" s="1090" t="s">
        <v>137</v>
      </c>
      <c r="AE4" s="1085" t="s">
        <v>95</v>
      </c>
      <c r="AF4" s="1086" t="s">
        <v>96</v>
      </c>
      <c r="AG4" s="1091"/>
      <c r="AH4" s="1518" t="s">
        <v>52</v>
      </c>
      <c r="AI4" s="1519"/>
      <c r="AJ4" s="1091"/>
      <c r="AK4" s="1082" t="s">
        <v>137</v>
      </c>
      <c r="AL4" s="1092" t="s">
        <v>95</v>
      </c>
      <c r="AM4" s="1093" t="s">
        <v>96</v>
      </c>
      <c r="AN4" s="1091"/>
      <c r="AO4" s="1523" t="s">
        <v>52</v>
      </c>
      <c r="AP4" s="1524"/>
      <c r="AQ4" s="1530"/>
      <c r="AR4" s="1094" t="s">
        <v>137</v>
      </c>
      <c r="AS4" s="1095" t="s">
        <v>95</v>
      </c>
      <c r="AT4" s="1095" t="s">
        <v>96</v>
      </c>
      <c r="AU4" s="1096"/>
      <c r="AV4" s="1523" t="s">
        <v>52</v>
      </c>
      <c r="AW4" s="1524"/>
      <c r="AX4" s="1096"/>
      <c r="AY4" s="1097" t="s">
        <v>137</v>
      </c>
      <c r="AZ4" s="1097" t="s">
        <v>95</v>
      </c>
      <c r="BA4" s="1097" t="s">
        <v>96</v>
      </c>
      <c r="BB4" s="1096"/>
      <c r="BC4" s="1523" t="s">
        <v>52</v>
      </c>
      <c r="BD4" s="1524"/>
      <c r="BE4" s="1096"/>
      <c r="BF4" s="1095" t="s">
        <v>137</v>
      </c>
      <c r="BG4" s="1095" t="s">
        <v>95</v>
      </c>
      <c r="BH4" s="1095" t="s">
        <v>96</v>
      </c>
      <c r="BI4" s="1096"/>
      <c r="BJ4" s="1534" t="s">
        <v>52</v>
      </c>
      <c r="BK4" s="1535"/>
      <c r="BL4" s="1096"/>
      <c r="BM4" s="1095" t="s">
        <v>137</v>
      </c>
      <c r="BN4" s="1095" t="s">
        <v>95</v>
      </c>
      <c r="BO4" s="1095" t="s">
        <v>96</v>
      </c>
      <c r="BP4" s="1091"/>
      <c r="BQ4" s="1534" t="s">
        <v>52</v>
      </c>
      <c r="BR4" s="1535"/>
      <c r="BS4" s="1096"/>
      <c r="BT4" s="1098" t="s">
        <v>137</v>
      </c>
      <c r="BU4" s="1098" t="s">
        <v>95</v>
      </c>
      <c r="BV4" s="1098" t="s">
        <v>96</v>
      </c>
      <c r="BW4" s="1096"/>
      <c r="BX4" s="1534" t="s">
        <v>52</v>
      </c>
      <c r="BY4" s="1535"/>
      <c r="BZ4" s="1096"/>
      <c r="CA4" s="1098" t="s">
        <v>137</v>
      </c>
      <c r="CB4" s="1099" t="s">
        <v>95</v>
      </c>
      <c r="CC4" s="1099" t="s">
        <v>96</v>
      </c>
      <c r="CD4" s="1096"/>
      <c r="CE4" s="1100" t="s">
        <v>1486</v>
      </c>
      <c r="CF4" s="1101" t="s">
        <v>1488</v>
      </c>
      <c r="CG4" s="1102" t="s">
        <v>1489</v>
      </c>
      <c r="CH4" s="1091"/>
      <c r="CI4" s="1103" t="s">
        <v>1486</v>
      </c>
      <c r="CJ4" s="1101" t="s">
        <v>1488</v>
      </c>
      <c r="CK4" s="1102" t="s">
        <v>1489</v>
      </c>
      <c r="CL4" s="1096"/>
      <c r="CM4" s="1103" t="s">
        <v>1486</v>
      </c>
      <c r="CN4" s="1101" t="s">
        <v>1488</v>
      </c>
      <c r="CO4" s="1102" t="s">
        <v>1489</v>
      </c>
      <c r="CP4" s="1104"/>
      <c r="CQ4" s="1103" t="s">
        <v>1486</v>
      </c>
      <c r="CR4" s="1101" t="s">
        <v>1488</v>
      </c>
      <c r="CS4" s="1102" t="s">
        <v>1489</v>
      </c>
      <c r="CT4" s="1091"/>
      <c r="CU4" s="1505" t="s">
        <v>1567</v>
      </c>
      <c r="CV4" s="1506"/>
      <c r="CW4" s="1507"/>
      <c r="CX4" s="1096"/>
      <c r="CY4" s="1105" t="s">
        <v>1507</v>
      </c>
      <c r="CZ4" s="1106" t="s">
        <v>1488</v>
      </c>
      <c r="DA4" s="1107" t="s">
        <v>1489</v>
      </c>
      <c r="DB4" s="1091"/>
      <c r="DC4" s="1105" t="s">
        <v>1507</v>
      </c>
      <c r="DD4" s="1106" t="s">
        <v>1488</v>
      </c>
      <c r="DE4" s="1107" t="s">
        <v>1489</v>
      </c>
      <c r="DF4" s="1096"/>
      <c r="DG4" s="1105" t="s">
        <v>1507</v>
      </c>
      <c r="DH4" s="1106" t="s">
        <v>1488</v>
      </c>
      <c r="DI4" s="1107" t="s">
        <v>1489</v>
      </c>
      <c r="DJ4" s="1091"/>
      <c r="DK4" s="1105" t="s">
        <v>1507</v>
      </c>
      <c r="DL4" s="1106" t="s">
        <v>1488</v>
      </c>
      <c r="DM4" s="1107" t="s">
        <v>1489</v>
      </c>
      <c r="DN4" s="1091"/>
      <c r="DO4" s="1499" t="s">
        <v>1566</v>
      </c>
      <c r="DP4" s="1500"/>
      <c r="DQ4" s="1501"/>
      <c r="DR4" s="15"/>
    </row>
    <row r="5" spans="1:128" s="6" customFormat="1" ht="15" customHeight="1" thickBot="1">
      <c r="A5" s="1559"/>
      <c r="B5" s="1543" t="s">
        <v>385</v>
      </c>
      <c r="C5" s="1544"/>
      <c r="D5" s="1069"/>
      <c r="E5" s="1108" t="s">
        <v>74</v>
      </c>
      <c r="F5" s="1109"/>
      <c r="G5" s="1070"/>
      <c r="H5" s="1108" t="s">
        <v>74</v>
      </c>
      <c r="I5" s="1109"/>
      <c r="J5" s="1070"/>
      <c r="K5" s="1108" t="s">
        <v>74</v>
      </c>
      <c r="L5" s="1110"/>
      <c r="M5" s="1111"/>
      <c r="N5" s="1112"/>
      <c r="O5" s="1113" t="s">
        <v>74</v>
      </c>
      <c r="P5" s="1110"/>
      <c r="Q5" s="1111"/>
      <c r="R5" s="1114"/>
      <c r="S5" s="1113" t="s">
        <v>74</v>
      </c>
      <c r="T5" s="1110"/>
      <c r="U5" s="1111"/>
      <c r="V5" s="1112"/>
      <c r="W5" s="1113" t="s">
        <v>74</v>
      </c>
      <c r="X5" s="1110"/>
      <c r="Y5" s="1111"/>
      <c r="Z5" s="1114"/>
      <c r="AA5" s="1113" t="s">
        <v>74</v>
      </c>
      <c r="AB5" s="1111"/>
      <c r="AC5" s="1560"/>
      <c r="AD5" s="1115" t="s">
        <v>74</v>
      </c>
      <c r="AE5" s="1110"/>
      <c r="AF5" s="1111"/>
      <c r="AG5" s="1116"/>
      <c r="AH5" s="1115" t="s">
        <v>74</v>
      </c>
      <c r="AI5" s="1111"/>
      <c r="AJ5" s="1116"/>
      <c r="AK5" s="1113" t="s">
        <v>74</v>
      </c>
      <c r="AL5" s="1110"/>
      <c r="AM5" s="1111"/>
      <c r="AN5" s="1116"/>
      <c r="AO5" s="1113" t="s">
        <v>74</v>
      </c>
      <c r="AP5" s="1111"/>
      <c r="AQ5" s="1530"/>
      <c r="AR5" s="1113" t="s">
        <v>74</v>
      </c>
      <c r="AS5" s="1110"/>
      <c r="AT5" s="1111"/>
      <c r="AU5" s="1116"/>
      <c r="AV5" s="1113" t="s">
        <v>74</v>
      </c>
      <c r="AW5" s="1111"/>
      <c r="AX5" s="1116"/>
      <c r="AY5" s="1113" t="s">
        <v>74</v>
      </c>
      <c r="AZ5" s="1110"/>
      <c r="BA5" s="1111"/>
      <c r="BB5" s="1116"/>
      <c r="BC5" s="1113" t="s">
        <v>74</v>
      </c>
      <c r="BD5" s="1111"/>
      <c r="BE5" s="1116">
        <v>0</v>
      </c>
      <c r="BF5" s="1113" t="s">
        <v>74</v>
      </c>
      <c r="BG5" s="1110"/>
      <c r="BH5" s="1111"/>
      <c r="BI5" s="1116"/>
      <c r="BJ5" s="1113" t="s">
        <v>74</v>
      </c>
      <c r="BK5" s="1111"/>
      <c r="BL5" s="1116"/>
      <c r="BM5" s="1113" t="s">
        <v>74</v>
      </c>
      <c r="BN5" s="1110"/>
      <c r="BO5" s="1111"/>
      <c r="BP5" s="1116"/>
      <c r="BQ5" s="1113" t="s">
        <v>74</v>
      </c>
      <c r="BR5" s="1111"/>
      <c r="BS5" s="1116"/>
      <c r="BT5" s="1113" t="s">
        <v>74</v>
      </c>
      <c r="BU5" s="1110"/>
      <c r="BV5" s="1111"/>
      <c r="BW5" s="1116"/>
      <c r="BX5" s="1113" t="s">
        <v>74</v>
      </c>
      <c r="BY5" s="1111"/>
      <c r="BZ5" s="1116"/>
      <c r="CA5" s="1113" t="s">
        <v>74</v>
      </c>
      <c r="CB5" s="1110"/>
      <c r="CC5" s="1111"/>
      <c r="CD5" s="1116"/>
      <c r="CE5" s="1117" t="s">
        <v>74</v>
      </c>
      <c r="CF5" s="1118"/>
      <c r="CG5" s="1119"/>
      <c r="CH5" s="1116"/>
      <c r="CI5" s="1120" t="s">
        <v>74</v>
      </c>
      <c r="CJ5" s="1121"/>
      <c r="CK5" s="1122"/>
      <c r="CL5" s="1116"/>
      <c r="CM5" s="1120" t="s">
        <v>74</v>
      </c>
      <c r="CN5" s="1121"/>
      <c r="CO5" s="1122"/>
      <c r="CP5" s="1114"/>
      <c r="CQ5" s="1120" t="s">
        <v>74</v>
      </c>
      <c r="CR5" s="1121"/>
      <c r="CS5" s="1122"/>
      <c r="CT5" s="1116"/>
      <c r="CU5" s="1120" t="s">
        <v>74</v>
      </c>
      <c r="CV5" s="1121"/>
      <c r="CW5" s="1122"/>
      <c r="CX5" s="1116"/>
      <c r="CY5" s="1123" t="s">
        <v>74</v>
      </c>
      <c r="CZ5" s="1110"/>
      <c r="DA5" s="1124"/>
      <c r="DB5" s="1116"/>
      <c r="DC5" s="1123" t="s">
        <v>74</v>
      </c>
      <c r="DD5" s="1110"/>
      <c r="DE5" s="1124"/>
      <c r="DF5" s="1116"/>
      <c r="DG5" s="1123" t="s">
        <v>74</v>
      </c>
      <c r="DH5" s="1110"/>
      <c r="DI5" s="1124"/>
      <c r="DJ5" s="1116"/>
      <c r="DK5" s="1123" t="s">
        <v>74</v>
      </c>
      <c r="DL5" s="1110"/>
      <c r="DM5" s="1124"/>
      <c r="DN5" s="1116"/>
      <c r="DO5" s="1123" t="s">
        <v>74</v>
      </c>
      <c r="DP5" s="1110"/>
      <c r="DQ5" s="1124"/>
      <c r="DR5" s="6">
        <f>SUM(CZ5:CZ26,DA5:DA26,CF5:CF26,CG5:CG26)*5+SUM(DD5:DD26,DE5:DE26,CJ5:CJ26,CK5:CK26)*10+SUM(DH5:DH26,DI5:DI26,CN5:CN26,CO5:CO26)*15+SUM(DP5:DP26,DQ5:DQ26,CV5:CV26,CW5:CW26)*37.5+SUM(DL5:DM26,CR5:CS26)*25</f>
        <v>0</v>
      </c>
      <c r="DS5" s="74" t="s">
        <v>74</v>
      </c>
      <c r="DT5" s="113">
        <f>EXTRAS!D211</f>
        <v>0</v>
      </c>
      <c r="DU5" s="114">
        <f>EXTRAS!E211</f>
        <v>0</v>
      </c>
      <c r="DV5" s="109" t="s">
        <v>371</v>
      </c>
      <c r="DW5" s="111"/>
      <c r="DX5" s="111"/>
    </row>
    <row r="6" spans="1:128" s="8" customFormat="1" ht="15" customHeight="1" thickBot="1">
      <c r="A6" s="1559"/>
      <c r="B6" s="1570" t="s">
        <v>384</v>
      </c>
      <c r="C6" s="1571"/>
      <c r="D6" s="1069"/>
      <c r="E6" s="1125" t="s">
        <v>75</v>
      </c>
      <c r="F6" s="1109"/>
      <c r="G6" s="1070"/>
      <c r="H6" s="1125" t="s">
        <v>75</v>
      </c>
      <c r="I6" s="1109"/>
      <c r="J6" s="1070"/>
      <c r="K6" s="1125" t="s">
        <v>75</v>
      </c>
      <c r="L6" s="1110"/>
      <c r="M6" s="1111"/>
      <c r="N6" s="1112"/>
      <c r="O6" s="1126" t="s">
        <v>75</v>
      </c>
      <c r="P6" s="1110"/>
      <c r="Q6" s="1111"/>
      <c r="R6" s="1114"/>
      <c r="S6" s="1126" t="s">
        <v>75</v>
      </c>
      <c r="T6" s="1110"/>
      <c r="U6" s="1111"/>
      <c r="V6" s="1112"/>
      <c r="W6" s="1126" t="s">
        <v>75</v>
      </c>
      <c r="X6" s="1110"/>
      <c r="Y6" s="1111"/>
      <c r="Z6" s="1114"/>
      <c r="AA6" s="1126" t="s">
        <v>75</v>
      </c>
      <c r="AB6" s="1111"/>
      <c r="AC6" s="1560"/>
      <c r="AD6" s="1127" t="s">
        <v>75</v>
      </c>
      <c r="AE6" s="1110"/>
      <c r="AF6" s="1111"/>
      <c r="AG6" s="1128"/>
      <c r="AH6" s="1127" t="s">
        <v>75</v>
      </c>
      <c r="AI6" s="1111"/>
      <c r="AJ6" s="1128"/>
      <c r="AK6" s="1126" t="s">
        <v>75</v>
      </c>
      <c r="AL6" s="1110"/>
      <c r="AM6" s="1111"/>
      <c r="AN6" s="1128"/>
      <c r="AO6" s="1126" t="s">
        <v>75</v>
      </c>
      <c r="AP6" s="1111"/>
      <c r="AQ6" s="1530"/>
      <c r="AR6" s="1126" t="s">
        <v>75</v>
      </c>
      <c r="AS6" s="1110"/>
      <c r="AT6" s="1111"/>
      <c r="AU6" s="1128"/>
      <c r="AV6" s="1126" t="s">
        <v>75</v>
      </c>
      <c r="AW6" s="1111"/>
      <c r="AX6" s="1128"/>
      <c r="AY6" s="1126" t="s">
        <v>75</v>
      </c>
      <c r="AZ6" s="1110"/>
      <c r="BA6" s="1111"/>
      <c r="BB6" s="1128"/>
      <c r="BC6" s="1126" t="s">
        <v>75</v>
      </c>
      <c r="BD6" s="1111"/>
      <c r="BE6" s="1128">
        <v>0</v>
      </c>
      <c r="BF6" s="1126" t="s">
        <v>75</v>
      </c>
      <c r="BG6" s="1110"/>
      <c r="BH6" s="1111"/>
      <c r="BI6" s="1128"/>
      <c r="BJ6" s="1126" t="s">
        <v>75</v>
      </c>
      <c r="BK6" s="1111"/>
      <c r="BL6" s="1128"/>
      <c r="BM6" s="1126" t="s">
        <v>75</v>
      </c>
      <c r="BN6" s="1110"/>
      <c r="BO6" s="1111"/>
      <c r="BP6" s="1128"/>
      <c r="BQ6" s="1126" t="s">
        <v>75</v>
      </c>
      <c r="BR6" s="1111"/>
      <c r="BS6" s="1128"/>
      <c r="BT6" s="1126" t="s">
        <v>75</v>
      </c>
      <c r="BU6" s="1110"/>
      <c r="BV6" s="1111"/>
      <c r="BW6" s="1128"/>
      <c r="BX6" s="1126" t="s">
        <v>75</v>
      </c>
      <c r="BY6" s="1111"/>
      <c r="BZ6" s="1128"/>
      <c r="CA6" s="1126" t="s">
        <v>75</v>
      </c>
      <c r="CB6" s="1110"/>
      <c r="CC6" s="1111"/>
      <c r="CD6" s="1128"/>
      <c r="CE6" s="1129" t="s">
        <v>75</v>
      </c>
      <c r="CF6" s="1130"/>
      <c r="CG6" s="1131"/>
      <c r="CH6" s="1128"/>
      <c r="CI6" s="1129" t="s">
        <v>75</v>
      </c>
      <c r="CJ6" s="1130"/>
      <c r="CK6" s="1131"/>
      <c r="CL6" s="1128"/>
      <c r="CM6" s="1129" t="s">
        <v>75</v>
      </c>
      <c r="CN6" s="1130"/>
      <c r="CO6" s="1131"/>
      <c r="CP6" s="1114"/>
      <c r="CQ6" s="1129" t="s">
        <v>75</v>
      </c>
      <c r="CR6" s="1130"/>
      <c r="CS6" s="1131"/>
      <c r="CT6" s="1128"/>
      <c r="CU6" s="1129" t="s">
        <v>75</v>
      </c>
      <c r="CV6" s="1130"/>
      <c r="CW6" s="1131"/>
      <c r="CX6" s="1128"/>
      <c r="CY6" s="1129" t="s">
        <v>75</v>
      </c>
      <c r="CZ6" s="1110"/>
      <c r="DA6" s="1124"/>
      <c r="DB6" s="1128"/>
      <c r="DC6" s="1129" t="s">
        <v>75</v>
      </c>
      <c r="DD6" s="1110"/>
      <c r="DE6" s="1124"/>
      <c r="DF6" s="1128"/>
      <c r="DG6" s="1129" t="s">
        <v>75</v>
      </c>
      <c r="DH6" s="1110"/>
      <c r="DI6" s="1124"/>
      <c r="DJ6" s="1128"/>
      <c r="DK6" s="1129" t="s">
        <v>75</v>
      </c>
      <c r="DL6" s="1110"/>
      <c r="DM6" s="1124"/>
      <c r="DN6" s="1128"/>
      <c r="DO6" s="1129" t="s">
        <v>75</v>
      </c>
      <c r="DP6" s="1110"/>
      <c r="DQ6" s="1124"/>
      <c r="DR6" s="8">
        <f>SUM(CZ5:CZ26,DA5:DA26,CF5:CF26,CG5:CG26,DD5:DD26,DE5:DE26,CJ5:CJ26,CK5:CK26,DH5:DH26,DI5:DI26,CN5:CN26,CR5:CS26,CO5:CO26,DP5:DP26,DQ5:DQ26,CV5:CV26,CW5:CW26,DL5:DM26)*1</f>
        <v>0</v>
      </c>
      <c r="DS6" s="77" t="s">
        <v>75</v>
      </c>
      <c r="DT6" s="113">
        <f>EXTRAS!D212</f>
        <v>0</v>
      </c>
      <c r="DU6" s="114">
        <f>EXTRAS!E212</f>
        <v>0</v>
      </c>
      <c r="DV6" s="100" t="s">
        <v>297</v>
      </c>
      <c r="DW6" s="99" t="s">
        <v>372</v>
      </c>
      <c r="DX6" s="99" t="s">
        <v>373</v>
      </c>
    </row>
    <row r="7" spans="1:128" s="8" customFormat="1" ht="15" customHeight="1" thickBot="1">
      <c r="A7" s="1559"/>
      <c r="B7" s="1132" t="s">
        <v>297</v>
      </c>
      <c r="C7" s="1132" t="s">
        <v>1470</v>
      </c>
      <c r="D7" s="1069"/>
      <c r="E7" s="1108" t="s">
        <v>76</v>
      </c>
      <c r="F7" s="1109"/>
      <c r="G7" s="1070"/>
      <c r="H7" s="1108" t="s">
        <v>76</v>
      </c>
      <c r="I7" s="1109"/>
      <c r="J7" s="1070"/>
      <c r="K7" s="1108" t="s">
        <v>76</v>
      </c>
      <c r="L7" s="1110"/>
      <c r="M7" s="1111"/>
      <c r="N7" s="1112"/>
      <c r="O7" s="1113" t="s">
        <v>76</v>
      </c>
      <c r="P7" s="1110"/>
      <c r="Q7" s="1111"/>
      <c r="R7" s="1114"/>
      <c r="S7" s="1113" t="s">
        <v>76</v>
      </c>
      <c r="T7" s="1110"/>
      <c r="U7" s="1111"/>
      <c r="V7" s="1112"/>
      <c r="W7" s="1113" t="s">
        <v>76</v>
      </c>
      <c r="X7" s="1110"/>
      <c r="Y7" s="1111"/>
      <c r="Z7" s="1114"/>
      <c r="AA7" s="1113" t="s">
        <v>76</v>
      </c>
      <c r="AB7" s="1111"/>
      <c r="AC7" s="1560"/>
      <c r="AD7" s="1115" t="s">
        <v>76</v>
      </c>
      <c r="AE7" s="1110"/>
      <c r="AF7" s="1111"/>
      <c r="AG7" s="1128"/>
      <c r="AH7" s="1115" t="s">
        <v>76</v>
      </c>
      <c r="AI7" s="1111"/>
      <c r="AJ7" s="1128"/>
      <c r="AK7" s="1113" t="s">
        <v>76</v>
      </c>
      <c r="AL7" s="1110"/>
      <c r="AM7" s="1111"/>
      <c r="AN7" s="1128"/>
      <c r="AO7" s="1113" t="s">
        <v>76</v>
      </c>
      <c r="AP7" s="1111"/>
      <c r="AQ7" s="1530"/>
      <c r="AR7" s="1113" t="s">
        <v>76</v>
      </c>
      <c r="AS7" s="1110"/>
      <c r="AT7" s="1111"/>
      <c r="AU7" s="1128"/>
      <c r="AV7" s="1113" t="s">
        <v>76</v>
      </c>
      <c r="AW7" s="1111"/>
      <c r="AX7" s="1128"/>
      <c r="AY7" s="1113" t="s">
        <v>76</v>
      </c>
      <c r="AZ7" s="1110"/>
      <c r="BA7" s="1111"/>
      <c r="BB7" s="1128"/>
      <c r="BC7" s="1113" t="s">
        <v>76</v>
      </c>
      <c r="BD7" s="1111"/>
      <c r="BE7" s="1128">
        <v>0</v>
      </c>
      <c r="BF7" s="1113" t="s">
        <v>76</v>
      </c>
      <c r="BG7" s="1110"/>
      <c r="BH7" s="1111"/>
      <c r="BI7" s="1128"/>
      <c r="BJ7" s="1113" t="s">
        <v>76</v>
      </c>
      <c r="BK7" s="1111"/>
      <c r="BL7" s="1128"/>
      <c r="BM7" s="1113" t="s">
        <v>76</v>
      </c>
      <c r="BN7" s="1110"/>
      <c r="BO7" s="1111"/>
      <c r="BP7" s="1128"/>
      <c r="BQ7" s="1113" t="s">
        <v>76</v>
      </c>
      <c r="BR7" s="1111"/>
      <c r="BS7" s="1128"/>
      <c r="BT7" s="1113" t="s">
        <v>76</v>
      </c>
      <c r="BU7" s="1110"/>
      <c r="BV7" s="1111"/>
      <c r="BW7" s="1128"/>
      <c r="BX7" s="1113" t="s">
        <v>76</v>
      </c>
      <c r="BY7" s="1111"/>
      <c r="BZ7" s="1128"/>
      <c r="CA7" s="1113" t="s">
        <v>76</v>
      </c>
      <c r="CB7" s="1110"/>
      <c r="CC7" s="1111"/>
      <c r="CD7" s="1128"/>
      <c r="CE7" s="1123" t="s">
        <v>76</v>
      </c>
      <c r="CF7" s="1130"/>
      <c r="CG7" s="1131"/>
      <c r="CH7" s="1128"/>
      <c r="CI7" s="1123" t="s">
        <v>76</v>
      </c>
      <c r="CJ7" s="1130"/>
      <c r="CK7" s="1131"/>
      <c r="CL7" s="1128"/>
      <c r="CM7" s="1123" t="s">
        <v>76</v>
      </c>
      <c r="CN7" s="1130"/>
      <c r="CO7" s="1131"/>
      <c r="CP7" s="1114"/>
      <c r="CQ7" s="1123" t="s">
        <v>76</v>
      </c>
      <c r="CR7" s="1130"/>
      <c r="CS7" s="1131"/>
      <c r="CT7" s="1128"/>
      <c r="CU7" s="1123" t="s">
        <v>76</v>
      </c>
      <c r="CV7" s="1130"/>
      <c r="CW7" s="1131"/>
      <c r="CX7" s="1128"/>
      <c r="CY7" s="1123" t="s">
        <v>76</v>
      </c>
      <c r="CZ7" s="1110"/>
      <c r="DA7" s="1124"/>
      <c r="DB7" s="1128"/>
      <c r="DC7" s="1123" t="s">
        <v>76</v>
      </c>
      <c r="DD7" s="1110"/>
      <c r="DE7" s="1124"/>
      <c r="DF7" s="1128"/>
      <c r="DG7" s="1123" t="s">
        <v>76</v>
      </c>
      <c r="DH7" s="1110"/>
      <c r="DI7" s="1124"/>
      <c r="DJ7" s="1128"/>
      <c r="DK7" s="1123" t="s">
        <v>76</v>
      </c>
      <c r="DL7" s="1110"/>
      <c r="DM7" s="1124"/>
      <c r="DN7" s="1128"/>
      <c r="DO7" s="1123" t="s">
        <v>76</v>
      </c>
      <c r="DP7" s="1110"/>
      <c r="DQ7" s="1124"/>
      <c r="DR7" s="8">
        <f>SUM(CN5:CN26,CO5:CO26,DH5:DH26,DI5:DI26)*15</f>
        <v>0</v>
      </c>
      <c r="DS7" s="74" t="s">
        <v>76</v>
      </c>
      <c r="DT7" s="113">
        <f>EXTRAS!D213</f>
        <v>0</v>
      </c>
      <c r="DU7" s="114">
        <f>EXTRAS!E213</f>
        <v>0</v>
      </c>
      <c r="DV7" s="101" t="s">
        <v>301</v>
      </c>
      <c r="DW7" s="110">
        <f>EXTRAS!D172+EXTRAS!D176</f>
        <v>0</v>
      </c>
      <c r="DX7" s="110">
        <f>EXTRAS!E172+EXTRAS!E176</f>
        <v>0</v>
      </c>
    </row>
    <row r="8" spans="1:128" s="8" customFormat="1" ht="15" customHeight="1" thickBot="1">
      <c r="A8" s="1559"/>
      <c r="B8" s="1133" t="s">
        <v>520</v>
      </c>
      <c r="C8" s="1134">
        <v>0</v>
      </c>
      <c r="D8" s="1069"/>
      <c r="E8" s="1125" t="s">
        <v>77</v>
      </c>
      <c r="F8" s="1109"/>
      <c r="G8" s="1070"/>
      <c r="H8" s="1125" t="s">
        <v>77</v>
      </c>
      <c r="I8" s="1109"/>
      <c r="J8" s="1070"/>
      <c r="K8" s="1125" t="s">
        <v>77</v>
      </c>
      <c r="L8" s="1110"/>
      <c r="M8" s="1111"/>
      <c r="N8" s="1112"/>
      <c r="O8" s="1126" t="s">
        <v>77</v>
      </c>
      <c r="P8" s="1110"/>
      <c r="Q8" s="1111"/>
      <c r="R8" s="1114"/>
      <c r="S8" s="1126" t="s">
        <v>77</v>
      </c>
      <c r="T8" s="1110"/>
      <c r="U8" s="1111"/>
      <c r="V8" s="1112"/>
      <c r="W8" s="1126" t="s">
        <v>77</v>
      </c>
      <c r="X8" s="1110"/>
      <c r="Y8" s="1111"/>
      <c r="Z8" s="1114"/>
      <c r="AA8" s="1126" t="s">
        <v>77</v>
      </c>
      <c r="AB8" s="1111"/>
      <c r="AC8" s="1560"/>
      <c r="AD8" s="1127" t="s">
        <v>77</v>
      </c>
      <c r="AE8" s="1110"/>
      <c r="AF8" s="1111"/>
      <c r="AG8" s="1128"/>
      <c r="AH8" s="1127" t="s">
        <v>77</v>
      </c>
      <c r="AI8" s="1111"/>
      <c r="AJ8" s="1128"/>
      <c r="AK8" s="1126" t="s">
        <v>77</v>
      </c>
      <c r="AL8" s="1110"/>
      <c r="AM8" s="1111"/>
      <c r="AN8" s="1128"/>
      <c r="AO8" s="1126" t="s">
        <v>77</v>
      </c>
      <c r="AP8" s="1111"/>
      <c r="AQ8" s="1530"/>
      <c r="AR8" s="1126" t="s">
        <v>77</v>
      </c>
      <c r="AS8" s="1110"/>
      <c r="AT8" s="1111"/>
      <c r="AU8" s="1128"/>
      <c r="AV8" s="1126" t="s">
        <v>77</v>
      </c>
      <c r="AW8" s="1111"/>
      <c r="AX8" s="1128"/>
      <c r="AY8" s="1126" t="s">
        <v>77</v>
      </c>
      <c r="AZ8" s="1110"/>
      <c r="BA8" s="1111"/>
      <c r="BB8" s="1128"/>
      <c r="BC8" s="1126" t="s">
        <v>77</v>
      </c>
      <c r="BD8" s="1111"/>
      <c r="BE8" s="1128">
        <v>0</v>
      </c>
      <c r="BF8" s="1126" t="s">
        <v>77</v>
      </c>
      <c r="BG8" s="1110"/>
      <c r="BH8" s="1111"/>
      <c r="BI8" s="1128"/>
      <c r="BJ8" s="1126" t="s">
        <v>77</v>
      </c>
      <c r="BK8" s="1111"/>
      <c r="BL8" s="1128"/>
      <c r="BM8" s="1126" t="s">
        <v>77</v>
      </c>
      <c r="BN8" s="1110"/>
      <c r="BO8" s="1111"/>
      <c r="BP8" s="1128"/>
      <c r="BQ8" s="1126" t="s">
        <v>77</v>
      </c>
      <c r="BR8" s="1111"/>
      <c r="BS8" s="1128"/>
      <c r="BT8" s="1126" t="s">
        <v>77</v>
      </c>
      <c r="BU8" s="1110"/>
      <c r="BV8" s="1111"/>
      <c r="BW8" s="1128"/>
      <c r="BX8" s="1126" t="s">
        <v>77</v>
      </c>
      <c r="BY8" s="1111"/>
      <c r="BZ8" s="1128"/>
      <c r="CA8" s="1126" t="s">
        <v>77</v>
      </c>
      <c r="CB8" s="1110"/>
      <c r="CC8" s="1111"/>
      <c r="CD8" s="1128"/>
      <c r="CE8" s="1129" t="s">
        <v>77</v>
      </c>
      <c r="CF8" s="1130"/>
      <c r="CG8" s="1131"/>
      <c r="CH8" s="1128"/>
      <c r="CI8" s="1129" t="s">
        <v>77</v>
      </c>
      <c r="CJ8" s="1130"/>
      <c r="CK8" s="1131"/>
      <c r="CL8" s="1128"/>
      <c r="CM8" s="1129" t="s">
        <v>77</v>
      </c>
      <c r="CN8" s="1130"/>
      <c r="CO8" s="1131"/>
      <c r="CP8" s="1114"/>
      <c r="CQ8" s="1129" t="s">
        <v>77</v>
      </c>
      <c r="CR8" s="1130"/>
      <c r="CS8" s="1131"/>
      <c r="CT8" s="1128"/>
      <c r="CU8" s="1129" t="s">
        <v>77</v>
      </c>
      <c r="CV8" s="1130"/>
      <c r="CW8" s="1131"/>
      <c r="CX8" s="1128"/>
      <c r="CY8" s="1129" t="s">
        <v>77</v>
      </c>
      <c r="CZ8" s="1110"/>
      <c r="DA8" s="1124"/>
      <c r="DB8" s="1128"/>
      <c r="DC8" s="1129" t="s">
        <v>77</v>
      </c>
      <c r="DD8" s="1110"/>
      <c r="DE8" s="1124"/>
      <c r="DF8" s="1128"/>
      <c r="DG8" s="1129" t="s">
        <v>77</v>
      </c>
      <c r="DH8" s="1110"/>
      <c r="DI8" s="1124"/>
      <c r="DJ8" s="1128"/>
      <c r="DK8" s="1129" t="s">
        <v>77</v>
      </c>
      <c r="DL8" s="1110"/>
      <c r="DM8" s="1124"/>
      <c r="DN8" s="1128"/>
      <c r="DO8" s="1129" t="s">
        <v>77</v>
      </c>
      <c r="DP8" s="1110"/>
      <c r="DQ8" s="1124"/>
      <c r="DR8" s="8">
        <f>SUM(CV5:CV26,CW5:CW26,DP5:DP26,DQ5:DQ26)*25</f>
        <v>0</v>
      </c>
      <c r="DS8" s="77" t="s">
        <v>77</v>
      </c>
      <c r="DT8" s="113">
        <f>EXTRAS!D214</f>
        <v>0</v>
      </c>
      <c r="DU8" s="114">
        <f>EXTRAS!E214</f>
        <v>0</v>
      </c>
      <c r="DV8" s="102" t="s">
        <v>298</v>
      </c>
      <c r="DW8" s="110">
        <f>EXTRAS!D173+EXTRAS!D177</f>
        <v>0</v>
      </c>
      <c r="DX8" s="110">
        <f>EXTRAS!E173+EXTRAS!E177</f>
        <v>0</v>
      </c>
    </row>
    <row r="9" spans="1:128" s="8" customFormat="1" ht="15" customHeight="1" thickBot="1">
      <c r="A9" s="1559"/>
      <c r="B9" s="1135" t="s">
        <v>521</v>
      </c>
      <c r="C9" s="1134">
        <v>0</v>
      </c>
      <c r="D9" s="1069"/>
      <c r="E9" s="1108" t="s">
        <v>100</v>
      </c>
      <c r="F9" s="1109"/>
      <c r="G9" s="1070"/>
      <c r="H9" s="1108" t="s">
        <v>100</v>
      </c>
      <c r="I9" s="1109"/>
      <c r="J9" s="1070"/>
      <c r="K9" s="1108" t="s">
        <v>100</v>
      </c>
      <c r="L9" s="1110"/>
      <c r="M9" s="1111"/>
      <c r="N9" s="1112"/>
      <c r="O9" s="1113" t="s">
        <v>100</v>
      </c>
      <c r="P9" s="1110"/>
      <c r="Q9" s="1111"/>
      <c r="R9" s="1114"/>
      <c r="S9" s="1113" t="s">
        <v>100</v>
      </c>
      <c r="T9" s="1110"/>
      <c r="U9" s="1111"/>
      <c r="V9" s="1112"/>
      <c r="W9" s="1113" t="s">
        <v>100</v>
      </c>
      <c r="X9" s="1110"/>
      <c r="Y9" s="1111"/>
      <c r="Z9" s="1114"/>
      <c r="AA9" s="1113" t="s">
        <v>100</v>
      </c>
      <c r="AB9" s="1111"/>
      <c r="AC9" s="1560"/>
      <c r="AD9" s="1115" t="s">
        <v>100</v>
      </c>
      <c r="AE9" s="1110"/>
      <c r="AF9" s="1111"/>
      <c r="AG9" s="1128"/>
      <c r="AH9" s="1115" t="s">
        <v>100</v>
      </c>
      <c r="AI9" s="1111"/>
      <c r="AJ9" s="1128"/>
      <c r="AK9" s="1113" t="s">
        <v>100</v>
      </c>
      <c r="AL9" s="1110"/>
      <c r="AM9" s="1111"/>
      <c r="AN9" s="1128"/>
      <c r="AO9" s="1113" t="s">
        <v>100</v>
      </c>
      <c r="AP9" s="1111"/>
      <c r="AQ9" s="1530"/>
      <c r="AR9" s="1113" t="s">
        <v>100</v>
      </c>
      <c r="AS9" s="1110"/>
      <c r="AT9" s="1111"/>
      <c r="AU9" s="1128"/>
      <c r="AV9" s="1113" t="s">
        <v>100</v>
      </c>
      <c r="AW9" s="1111"/>
      <c r="AX9" s="1128"/>
      <c r="AY9" s="1113" t="s">
        <v>100</v>
      </c>
      <c r="AZ9" s="1110"/>
      <c r="BA9" s="1111"/>
      <c r="BB9" s="1128"/>
      <c r="BC9" s="1113" t="s">
        <v>100</v>
      </c>
      <c r="BD9" s="1111"/>
      <c r="BE9" s="1128">
        <v>0</v>
      </c>
      <c r="BF9" s="1113" t="s">
        <v>100</v>
      </c>
      <c r="BG9" s="1110"/>
      <c r="BH9" s="1111"/>
      <c r="BI9" s="1128"/>
      <c r="BJ9" s="1113" t="s">
        <v>100</v>
      </c>
      <c r="BK9" s="1111"/>
      <c r="BL9" s="1128"/>
      <c r="BM9" s="1113" t="s">
        <v>100</v>
      </c>
      <c r="BN9" s="1110"/>
      <c r="BO9" s="1111"/>
      <c r="BP9" s="1128"/>
      <c r="BQ9" s="1113" t="s">
        <v>100</v>
      </c>
      <c r="BR9" s="1111"/>
      <c r="BS9" s="1128"/>
      <c r="BT9" s="1113" t="s">
        <v>100</v>
      </c>
      <c r="BU9" s="1110"/>
      <c r="BV9" s="1111"/>
      <c r="BW9" s="1128"/>
      <c r="BX9" s="1113" t="s">
        <v>100</v>
      </c>
      <c r="BY9" s="1111"/>
      <c r="BZ9" s="1128"/>
      <c r="CA9" s="1113" t="s">
        <v>100</v>
      </c>
      <c r="CB9" s="1110"/>
      <c r="CC9" s="1111"/>
      <c r="CD9" s="1128"/>
      <c r="CE9" s="1123" t="s">
        <v>100</v>
      </c>
      <c r="CF9" s="1130"/>
      <c r="CG9" s="1131"/>
      <c r="CH9" s="1128"/>
      <c r="CI9" s="1123" t="s">
        <v>100</v>
      </c>
      <c r="CJ9" s="1130"/>
      <c r="CK9" s="1131"/>
      <c r="CL9" s="1128"/>
      <c r="CM9" s="1123" t="s">
        <v>100</v>
      </c>
      <c r="CN9" s="1130"/>
      <c r="CO9" s="1131"/>
      <c r="CP9" s="1114"/>
      <c r="CQ9" s="1123" t="s">
        <v>100</v>
      </c>
      <c r="CR9" s="1130"/>
      <c r="CS9" s="1131"/>
      <c r="CT9" s="1128"/>
      <c r="CU9" s="1123" t="s">
        <v>100</v>
      </c>
      <c r="CV9" s="1130"/>
      <c r="CW9" s="1131"/>
      <c r="CX9" s="1128"/>
      <c r="CY9" s="1123" t="s">
        <v>100</v>
      </c>
      <c r="CZ9" s="1110"/>
      <c r="DA9" s="1124"/>
      <c r="DB9" s="1128"/>
      <c r="DC9" s="1123" t="s">
        <v>100</v>
      </c>
      <c r="DD9" s="1110"/>
      <c r="DE9" s="1124"/>
      <c r="DF9" s="1128"/>
      <c r="DG9" s="1123" t="s">
        <v>100</v>
      </c>
      <c r="DH9" s="1110"/>
      <c r="DI9" s="1124"/>
      <c r="DJ9" s="1128"/>
      <c r="DK9" s="1123" t="s">
        <v>100</v>
      </c>
      <c r="DL9" s="1110"/>
      <c r="DM9" s="1124"/>
      <c r="DN9" s="1128"/>
      <c r="DO9" s="1123" t="s">
        <v>100</v>
      </c>
      <c r="DP9" s="1110"/>
      <c r="DQ9" s="1124"/>
      <c r="DS9" s="74" t="s">
        <v>100</v>
      </c>
      <c r="DT9" s="113">
        <f>EXTRAS!D215</f>
        <v>0</v>
      </c>
      <c r="DU9" s="114">
        <f>EXTRAS!E215</f>
        <v>0</v>
      </c>
      <c r="DV9" s="101" t="s">
        <v>299</v>
      </c>
      <c r="DW9" s="110">
        <f>EXTRAS!D174+EXTRAS!D178</f>
        <v>0</v>
      </c>
      <c r="DX9" s="110">
        <f>EXTRAS!E174+EXTRAS!E178</f>
        <v>0</v>
      </c>
    </row>
    <row r="10" spans="1:128" s="8" customFormat="1" ht="15" customHeight="1" thickBot="1">
      <c r="A10" s="1559"/>
      <c r="B10" s="1133" t="s">
        <v>522</v>
      </c>
      <c r="C10" s="1134">
        <v>0</v>
      </c>
      <c r="D10" s="1069"/>
      <c r="E10" s="1125" t="s">
        <v>78</v>
      </c>
      <c r="F10" s="1109"/>
      <c r="G10" s="1070"/>
      <c r="H10" s="1125" t="s">
        <v>78</v>
      </c>
      <c r="I10" s="1109"/>
      <c r="J10" s="1070"/>
      <c r="K10" s="1125" t="s">
        <v>78</v>
      </c>
      <c r="L10" s="1110"/>
      <c r="M10" s="1111"/>
      <c r="N10" s="1112"/>
      <c r="O10" s="1126" t="s">
        <v>78</v>
      </c>
      <c r="P10" s="1110"/>
      <c r="Q10" s="1111"/>
      <c r="R10" s="1114"/>
      <c r="S10" s="1126" t="s">
        <v>78</v>
      </c>
      <c r="T10" s="1110"/>
      <c r="U10" s="1111"/>
      <c r="V10" s="1112"/>
      <c r="W10" s="1126" t="s">
        <v>78</v>
      </c>
      <c r="X10" s="1110"/>
      <c r="Y10" s="1111"/>
      <c r="Z10" s="1114"/>
      <c r="AA10" s="1126" t="s">
        <v>78</v>
      </c>
      <c r="AB10" s="1111"/>
      <c r="AC10" s="1560"/>
      <c r="AD10" s="1127" t="s">
        <v>78</v>
      </c>
      <c r="AE10" s="1110"/>
      <c r="AF10" s="1111"/>
      <c r="AG10" s="1128"/>
      <c r="AH10" s="1127" t="s">
        <v>78</v>
      </c>
      <c r="AI10" s="1111"/>
      <c r="AJ10" s="1128"/>
      <c r="AK10" s="1126" t="s">
        <v>78</v>
      </c>
      <c r="AL10" s="1110"/>
      <c r="AM10" s="1111"/>
      <c r="AN10" s="1128"/>
      <c r="AO10" s="1126" t="s">
        <v>78</v>
      </c>
      <c r="AP10" s="1111"/>
      <c r="AQ10" s="1530"/>
      <c r="AR10" s="1126" t="s">
        <v>78</v>
      </c>
      <c r="AS10" s="1110"/>
      <c r="AT10" s="1111"/>
      <c r="AU10" s="1128"/>
      <c r="AV10" s="1126" t="s">
        <v>78</v>
      </c>
      <c r="AW10" s="1111"/>
      <c r="AX10" s="1128"/>
      <c r="AY10" s="1126" t="s">
        <v>78</v>
      </c>
      <c r="AZ10" s="1110"/>
      <c r="BA10" s="1111"/>
      <c r="BB10" s="1128"/>
      <c r="BC10" s="1126" t="s">
        <v>78</v>
      </c>
      <c r="BD10" s="1111"/>
      <c r="BE10" s="1128">
        <v>0</v>
      </c>
      <c r="BF10" s="1126" t="s">
        <v>78</v>
      </c>
      <c r="BG10" s="1110"/>
      <c r="BH10" s="1111"/>
      <c r="BI10" s="1128"/>
      <c r="BJ10" s="1126" t="s">
        <v>78</v>
      </c>
      <c r="BK10" s="1111"/>
      <c r="BL10" s="1128"/>
      <c r="BM10" s="1126" t="s">
        <v>78</v>
      </c>
      <c r="BN10" s="1110"/>
      <c r="BO10" s="1111"/>
      <c r="BP10" s="1128"/>
      <c r="BQ10" s="1126" t="s">
        <v>78</v>
      </c>
      <c r="BR10" s="1111"/>
      <c r="BS10" s="1128"/>
      <c r="BT10" s="1126" t="s">
        <v>78</v>
      </c>
      <c r="BU10" s="1110"/>
      <c r="BV10" s="1111"/>
      <c r="BW10" s="1128"/>
      <c r="BX10" s="1126" t="s">
        <v>78</v>
      </c>
      <c r="BY10" s="1111"/>
      <c r="BZ10" s="1128"/>
      <c r="CA10" s="1126" t="s">
        <v>78</v>
      </c>
      <c r="CB10" s="1110"/>
      <c r="CC10" s="1111"/>
      <c r="CD10" s="1128"/>
      <c r="CE10" s="1129" t="s">
        <v>78</v>
      </c>
      <c r="CF10" s="1130"/>
      <c r="CG10" s="1131"/>
      <c r="CH10" s="1128"/>
      <c r="CI10" s="1129" t="s">
        <v>78</v>
      </c>
      <c r="CJ10" s="1130"/>
      <c r="CK10" s="1131"/>
      <c r="CL10" s="1128"/>
      <c r="CM10" s="1129" t="s">
        <v>78</v>
      </c>
      <c r="CN10" s="1130"/>
      <c r="CO10" s="1131"/>
      <c r="CP10" s="1114"/>
      <c r="CQ10" s="1129" t="s">
        <v>78</v>
      </c>
      <c r="CR10" s="1130"/>
      <c r="CS10" s="1131"/>
      <c r="CT10" s="1128"/>
      <c r="CU10" s="1129" t="s">
        <v>78</v>
      </c>
      <c r="CV10" s="1130"/>
      <c r="CW10" s="1131"/>
      <c r="CX10" s="1128"/>
      <c r="CY10" s="1129" t="s">
        <v>78</v>
      </c>
      <c r="CZ10" s="1110"/>
      <c r="DA10" s="1124"/>
      <c r="DB10" s="1128"/>
      <c r="DC10" s="1129" t="s">
        <v>78</v>
      </c>
      <c r="DD10" s="1110"/>
      <c r="DE10" s="1124"/>
      <c r="DF10" s="1128"/>
      <c r="DG10" s="1129" t="s">
        <v>78</v>
      </c>
      <c r="DH10" s="1110"/>
      <c r="DI10" s="1124"/>
      <c r="DJ10" s="1128"/>
      <c r="DK10" s="1129" t="s">
        <v>78</v>
      </c>
      <c r="DL10" s="1110"/>
      <c r="DM10" s="1124"/>
      <c r="DN10" s="1128"/>
      <c r="DO10" s="1129" t="s">
        <v>78</v>
      </c>
      <c r="DP10" s="1110"/>
      <c r="DQ10" s="1124"/>
      <c r="DS10" s="77" t="s">
        <v>78</v>
      </c>
      <c r="DT10" s="113">
        <f>EXTRAS!D216</f>
        <v>0</v>
      </c>
      <c r="DU10" s="114">
        <f>EXTRAS!E216</f>
        <v>0</v>
      </c>
      <c r="DV10" s="102" t="s">
        <v>300</v>
      </c>
      <c r="DW10" s="110">
        <f>EXTRAS!D175+EXTRAS!D179</f>
        <v>0</v>
      </c>
      <c r="DX10" s="110">
        <f>EXTRAS!E175+EXTRAS!E179</f>
        <v>0</v>
      </c>
    </row>
    <row r="11" spans="1:128" s="8" customFormat="1" ht="15" customHeight="1" thickBot="1">
      <c r="A11" s="1559"/>
      <c r="B11" s="1135" t="s">
        <v>523</v>
      </c>
      <c r="C11" s="1134">
        <v>0</v>
      </c>
      <c r="D11" s="1069"/>
      <c r="E11" s="1108" t="s">
        <v>79</v>
      </c>
      <c r="F11" s="1109"/>
      <c r="G11" s="1070"/>
      <c r="H11" s="1108" t="s">
        <v>79</v>
      </c>
      <c r="I11" s="1109"/>
      <c r="J11" s="1070"/>
      <c r="K11" s="1108" t="s">
        <v>79</v>
      </c>
      <c r="L11" s="1110"/>
      <c r="M11" s="1111"/>
      <c r="N11" s="1112"/>
      <c r="O11" s="1113" t="s">
        <v>79</v>
      </c>
      <c r="P11" s="1110"/>
      <c r="Q11" s="1111"/>
      <c r="R11" s="1114"/>
      <c r="S11" s="1113" t="s">
        <v>79</v>
      </c>
      <c r="T11" s="1110"/>
      <c r="U11" s="1111"/>
      <c r="V11" s="1112"/>
      <c r="W11" s="1113" t="s">
        <v>79</v>
      </c>
      <c r="X11" s="1110"/>
      <c r="Y11" s="1111"/>
      <c r="Z11" s="1114"/>
      <c r="AA11" s="1113" t="s">
        <v>79</v>
      </c>
      <c r="AB11" s="1111"/>
      <c r="AC11" s="1560"/>
      <c r="AD11" s="1136" t="s">
        <v>79</v>
      </c>
      <c r="AE11" s="1110"/>
      <c r="AF11" s="1111"/>
      <c r="AG11" s="1128"/>
      <c r="AH11" s="1136" t="s">
        <v>79</v>
      </c>
      <c r="AI11" s="1111"/>
      <c r="AJ11" s="1128"/>
      <c r="AK11" s="1113" t="s">
        <v>79</v>
      </c>
      <c r="AL11" s="1110"/>
      <c r="AM11" s="1111"/>
      <c r="AN11" s="1128"/>
      <c r="AO11" s="1113" t="s">
        <v>79</v>
      </c>
      <c r="AP11" s="1111"/>
      <c r="AQ11" s="1530"/>
      <c r="AR11" s="1113" t="s">
        <v>79</v>
      </c>
      <c r="AS11" s="1110"/>
      <c r="AT11" s="1111"/>
      <c r="AU11" s="1128"/>
      <c r="AV11" s="1113" t="s">
        <v>79</v>
      </c>
      <c r="AW11" s="1111"/>
      <c r="AX11" s="1128"/>
      <c r="AY11" s="1113" t="s">
        <v>79</v>
      </c>
      <c r="AZ11" s="1110"/>
      <c r="BA11" s="1111"/>
      <c r="BB11" s="1128"/>
      <c r="BC11" s="1113" t="s">
        <v>79</v>
      </c>
      <c r="BD11" s="1111"/>
      <c r="BE11" s="1128">
        <v>0</v>
      </c>
      <c r="BF11" s="1113" t="s">
        <v>79</v>
      </c>
      <c r="BG11" s="1110"/>
      <c r="BH11" s="1111"/>
      <c r="BI11" s="1128"/>
      <c r="BJ11" s="1113" t="s">
        <v>79</v>
      </c>
      <c r="BK11" s="1111"/>
      <c r="BL11" s="1128"/>
      <c r="BM11" s="1113" t="s">
        <v>79</v>
      </c>
      <c r="BN11" s="1110"/>
      <c r="BO11" s="1111"/>
      <c r="BP11" s="1128"/>
      <c r="BQ11" s="1113" t="s">
        <v>79</v>
      </c>
      <c r="BR11" s="1111"/>
      <c r="BS11" s="1128"/>
      <c r="BT11" s="1113" t="s">
        <v>79</v>
      </c>
      <c r="BU11" s="1110"/>
      <c r="BV11" s="1111"/>
      <c r="BW11" s="1128"/>
      <c r="BX11" s="1113" t="s">
        <v>79</v>
      </c>
      <c r="BY11" s="1111"/>
      <c r="BZ11" s="1128"/>
      <c r="CA11" s="1113" t="s">
        <v>79</v>
      </c>
      <c r="CB11" s="1110"/>
      <c r="CC11" s="1111"/>
      <c r="CD11" s="1128"/>
      <c r="CE11" s="1123" t="s">
        <v>79</v>
      </c>
      <c r="CF11" s="1130"/>
      <c r="CG11" s="1131"/>
      <c r="CH11" s="1128"/>
      <c r="CI11" s="1123" t="s">
        <v>79</v>
      </c>
      <c r="CJ11" s="1130"/>
      <c r="CK11" s="1131"/>
      <c r="CL11" s="1128"/>
      <c r="CM11" s="1123" t="s">
        <v>79</v>
      </c>
      <c r="CN11" s="1130"/>
      <c r="CO11" s="1131"/>
      <c r="CP11" s="1114"/>
      <c r="CQ11" s="1123" t="s">
        <v>79</v>
      </c>
      <c r="CR11" s="1130"/>
      <c r="CS11" s="1131"/>
      <c r="CT11" s="1128"/>
      <c r="CU11" s="1123" t="s">
        <v>79</v>
      </c>
      <c r="CV11" s="1130"/>
      <c r="CW11" s="1131"/>
      <c r="CX11" s="1128"/>
      <c r="CY11" s="1123" t="s">
        <v>79</v>
      </c>
      <c r="CZ11" s="1110"/>
      <c r="DA11" s="1124"/>
      <c r="DB11" s="1128"/>
      <c r="DC11" s="1123" t="s">
        <v>79</v>
      </c>
      <c r="DD11" s="1110"/>
      <c r="DE11" s="1124"/>
      <c r="DF11" s="1128"/>
      <c r="DG11" s="1123" t="s">
        <v>79</v>
      </c>
      <c r="DH11" s="1110"/>
      <c r="DI11" s="1124"/>
      <c r="DJ11" s="1128"/>
      <c r="DK11" s="1123" t="s">
        <v>79</v>
      </c>
      <c r="DL11" s="1110"/>
      <c r="DM11" s="1124"/>
      <c r="DN11" s="1128"/>
      <c r="DO11" s="1123" t="s">
        <v>79</v>
      </c>
      <c r="DP11" s="1110"/>
      <c r="DQ11" s="1124"/>
      <c r="DS11" s="74" t="s">
        <v>79</v>
      </c>
      <c r="DT11" s="113">
        <f>EXTRAS!D217</f>
        <v>0</v>
      </c>
      <c r="DU11" s="114">
        <f>EXTRAS!E217</f>
        <v>0</v>
      </c>
      <c r="DV11" s="103" t="s">
        <v>1558</v>
      </c>
      <c r="DW11" s="110">
        <f>EXTRAS!D180</f>
        <v>0</v>
      </c>
      <c r="DX11" s="110">
        <f>EXTRAS!E180</f>
        <v>0</v>
      </c>
    </row>
    <row r="12" spans="1:128" s="8" customFormat="1" ht="15" customHeight="1" thickBot="1">
      <c r="A12" s="1559"/>
      <c r="B12" s="1113" t="s">
        <v>1804</v>
      </c>
      <c r="C12" s="1134">
        <v>0</v>
      </c>
      <c r="D12" s="1069"/>
      <c r="E12" s="1125" t="s">
        <v>80</v>
      </c>
      <c r="F12" s="1109"/>
      <c r="G12" s="1070"/>
      <c r="H12" s="1125" t="s">
        <v>80</v>
      </c>
      <c r="I12" s="1109"/>
      <c r="J12" s="1070"/>
      <c r="K12" s="1125" t="s">
        <v>80</v>
      </c>
      <c r="L12" s="1110"/>
      <c r="M12" s="1111"/>
      <c r="N12" s="1112"/>
      <c r="O12" s="1126" t="s">
        <v>80</v>
      </c>
      <c r="P12" s="1110"/>
      <c r="Q12" s="1111"/>
      <c r="R12" s="1114"/>
      <c r="S12" s="1126" t="s">
        <v>80</v>
      </c>
      <c r="T12" s="1110"/>
      <c r="U12" s="1111"/>
      <c r="V12" s="1112"/>
      <c r="W12" s="1126" t="s">
        <v>80</v>
      </c>
      <c r="X12" s="1110"/>
      <c r="Y12" s="1111"/>
      <c r="Z12" s="1114"/>
      <c r="AA12" s="1126" t="s">
        <v>80</v>
      </c>
      <c r="AB12" s="1111"/>
      <c r="AC12" s="1560"/>
      <c r="AD12" s="1137" t="s">
        <v>80</v>
      </c>
      <c r="AE12" s="1110"/>
      <c r="AF12" s="1111"/>
      <c r="AG12" s="1128"/>
      <c r="AH12" s="1137" t="s">
        <v>80</v>
      </c>
      <c r="AI12" s="1111"/>
      <c r="AJ12" s="1128"/>
      <c r="AK12" s="1126" t="s">
        <v>80</v>
      </c>
      <c r="AL12" s="1110"/>
      <c r="AM12" s="1111"/>
      <c r="AN12" s="1128"/>
      <c r="AO12" s="1126" t="s">
        <v>80</v>
      </c>
      <c r="AP12" s="1111"/>
      <c r="AQ12" s="1530"/>
      <c r="AR12" s="1126" t="s">
        <v>80</v>
      </c>
      <c r="AS12" s="1110"/>
      <c r="AT12" s="1111"/>
      <c r="AU12" s="1138"/>
      <c r="AV12" s="1126" t="s">
        <v>80</v>
      </c>
      <c r="AW12" s="1111"/>
      <c r="AX12" s="1138"/>
      <c r="AY12" s="1126" t="s">
        <v>80</v>
      </c>
      <c r="AZ12" s="1110"/>
      <c r="BA12" s="1111"/>
      <c r="BB12" s="1138"/>
      <c r="BC12" s="1126" t="s">
        <v>80</v>
      </c>
      <c r="BD12" s="1111"/>
      <c r="BE12" s="1138">
        <v>0</v>
      </c>
      <c r="BF12" s="1126" t="s">
        <v>80</v>
      </c>
      <c r="BG12" s="1110"/>
      <c r="BH12" s="1111"/>
      <c r="BI12" s="1128"/>
      <c r="BJ12" s="1126" t="s">
        <v>80</v>
      </c>
      <c r="BK12" s="1111"/>
      <c r="BL12" s="1128"/>
      <c r="BM12" s="1126" t="s">
        <v>80</v>
      </c>
      <c r="BN12" s="1110"/>
      <c r="BO12" s="1111"/>
      <c r="BP12" s="1128"/>
      <c r="BQ12" s="1126" t="s">
        <v>80</v>
      </c>
      <c r="BR12" s="1111"/>
      <c r="BS12" s="1128"/>
      <c r="BT12" s="1126" t="s">
        <v>80</v>
      </c>
      <c r="BU12" s="1110"/>
      <c r="BV12" s="1111"/>
      <c r="BW12" s="1128"/>
      <c r="BX12" s="1126" t="s">
        <v>80</v>
      </c>
      <c r="BY12" s="1111"/>
      <c r="BZ12" s="1128"/>
      <c r="CA12" s="1126" t="s">
        <v>80</v>
      </c>
      <c r="CB12" s="1110"/>
      <c r="CC12" s="1111"/>
      <c r="CD12" s="1128"/>
      <c r="CE12" s="1129" t="s">
        <v>80</v>
      </c>
      <c r="CF12" s="1130"/>
      <c r="CG12" s="1131"/>
      <c r="CH12" s="1128"/>
      <c r="CI12" s="1129" t="s">
        <v>80</v>
      </c>
      <c r="CJ12" s="1130"/>
      <c r="CK12" s="1131"/>
      <c r="CL12" s="1128"/>
      <c r="CM12" s="1129" t="s">
        <v>80</v>
      </c>
      <c r="CN12" s="1130"/>
      <c r="CO12" s="1131"/>
      <c r="CP12" s="1114"/>
      <c r="CQ12" s="1129" t="s">
        <v>80</v>
      </c>
      <c r="CR12" s="1130"/>
      <c r="CS12" s="1131"/>
      <c r="CT12" s="1128"/>
      <c r="CU12" s="1129" t="s">
        <v>80</v>
      </c>
      <c r="CV12" s="1130"/>
      <c r="CW12" s="1131"/>
      <c r="CX12" s="1128"/>
      <c r="CY12" s="1129" t="s">
        <v>80</v>
      </c>
      <c r="CZ12" s="1110"/>
      <c r="DA12" s="1124"/>
      <c r="DB12" s="1128"/>
      <c r="DC12" s="1129" t="s">
        <v>80</v>
      </c>
      <c r="DD12" s="1110"/>
      <c r="DE12" s="1124"/>
      <c r="DF12" s="1128"/>
      <c r="DG12" s="1129" t="s">
        <v>80</v>
      </c>
      <c r="DH12" s="1110"/>
      <c r="DI12" s="1124"/>
      <c r="DJ12" s="1128"/>
      <c r="DK12" s="1129" t="s">
        <v>80</v>
      </c>
      <c r="DL12" s="1110"/>
      <c r="DM12" s="1124"/>
      <c r="DN12" s="1128"/>
      <c r="DO12" s="1129" t="s">
        <v>80</v>
      </c>
      <c r="DP12" s="1110"/>
      <c r="DQ12" s="1124"/>
      <c r="DS12" s="77" t="s">
        <v>80</v>
      </c>
      <c r="DT12" s="113">
        <f>EXTRAS!D218</f>
        <v>0</v>
      </c>
      <c r="DU12" s="114">
        <f>EXTRAS!E218</f>
        <v>0</v>
      </c>
      <c r="DV12" s="104" t="s">
        <v>302</v>
      </c>
      <c r="DW12" s="110">
        <f>EXTRAS!D181</f>
        <v>0</v>
      </c>
      <c r="DX12" s="110">
        <f>EXTRAS!E181</f>
        <v>0</v>
      </c>
    </row>
    <row r="13" spans="1:128" s="8" customFormat="1" ht="15" customHeight="1" thickBot="1">
      <c r="A13" s="1559"/>
      <c r="B13" s="1496" t="s">
        <v>1803</v>
      </c>
      <c r="C13" s="1134">
        <v>0</v>
      </c>
      <c r="D13" s="1069"/>
      <c r="E13" s="1108" t="s">
        <v>81</v>
      </c>
      <c r="F13" s="1109"/>
      <c r="G13" s="1070"/>
      <c r="H13" s="1108" t="s">
        <v>81</v>
      </c>
      <c r="I13" s="1109"/>
      <c r="J13" s="1070"/>
      <c r="K13" s="1108" t="s">
        <v>81</v>
      </c>
      <c r="L13" s="1110"/>
      <c r="M13" s="1111"/>
      <c r="N13" s="1112"/>
      <c r="O13" s="1113" t="s">
        <v>81</v>
      </c>
      <c r="P13" s="1110"/>
      <c r="Q13" s="1111"/>
      <c r="R13" s="1114"/>
      <c r="S13" s="1113" t="s">
        <v>81</v>
      </c>
      <c r="T13" s="1110"/>
      <c r="U13" s="1111"/>
      <c r="V13" s="1112"/>
      <c r="W13" s="1113" t="s">
        <v>81</v>
      </c>
      <c r="X13" s="1110"/>
      <c r="Y13" s="1111"/>
      <c r="Z13" s="1114"/>
      <c r="AA13" s="1113" t="s">
        <v>81</v>
      </c>
      <c r="AB13" s="1111"/>
      <c r="AC13" s="1560"/>
      <c r="AD13" s="1140" t="s">
        <v>81</v>
      </c>
      <c r="AE13" s="1110"/>
      <c r="AF13" s="1111"/>
      <c r="AG13" s="1128"/>
      <c r="AH13" s="1140" t="s">
        <v>81</v>
      </c>
      <c r="AI13" s="1111"/>
      <c r="AJ13" s="1128"/>
      <c r="AK13" s="1113" t="s">
        <v>81</v>
      </c>
      <c r="AL13" s="1110"/>
      <c r="AM13" s="1111"/>
      <c r="AN13" s="1128"/>
      <c r="AO13" s="1113" t="s">
        <v>81</v>
      </c>
      <c r="AP13" s="1111"/>
      <c r="AQ13" s="1530"/>
      <c r="AR13" s="1113" t="s">
        <v>81</v>
      </c>
      <c r="AS13" s="1110"/>
      <c r="AT13" s="1111"/>
      <c r="AU13" s="1128"/>
      <c r="AV13" s="1113" t="s">
        <v>81</v>
      </c>
      <c r="AW13" s="1111"/>
      <c r="AX13" s="1128"/>
      <c r="AY13" s="1113" t="s">
        <v>81</v>
      </c>
      <c r="AZ13" s="1110"/>
      <c r="BA13" s="1111"/>
      <c r="BB13" s="1128"/>
      <c r="BC13" s="1113" t="s">
        <v>81</v>
      </c>
      <c r="BD13" s="1111"/>
      <c r="BE13" s="1128">
        <v>0</v>
      </c>
      <c r="BF13" s="1113" t="s">
        <v>81</v>
      </c>
      <c r="BG13" s="1110"/>
      <c r="BH13" s="1111"/>
      <c r="BI13" s="1128"/>
      <c r="BJ13" s="1113" t="s">
        <v>81</v>
      </c>
      <c r="BK13" s="1111"/>
      <c r="BL13" s="1128"/>
      <c r="BM13" s="1113" t="s">
        <v>81</v>
      </c>
      <c r="BN13" s="1110"/>
      <c r="BO13" s="1111"/>
      <c r="BP13" s="1128"/>
      <c r="BQ13" s="1113" t="s">
        <v>81</v>
      </c>
      <c r="BR13" s="1111"/>
      <c r="BS13" s="1128"/>
      <c r="BT13" s="1113" t="s">
        <v>81</v>
      </c>
      <c r="BU13" s="1110"/>
      <c r="BV13" s="1111"/>
      <c r="BW13" s="1128"/>
      <c r="BX13" s="1113" t="s">
        <v>81</v>
      </c>
      <c r="BY13" s="1111"/>
      <c r="BZ13" s="1128"/>
      <c r="CA13" s="1113" t="s">
        <v>81</v>
      </c>
      <c r="CB13" s="1110"/>
      <c r="CC13" s="1111"/>
      <c r="CD13" s="1128"/>
      <c r="CE13" s="1123" t="s">
        <v>81</v>
      </c>
      <c r="CF13" s="1130"/>
      <c r="CG13" s="1131"/>
      <c r="CH13" s="1128"/>
      <c r="CI13" s="1123" t="s">
        <v>81</v>
      </c>
      <c r="CJ13" s="1130"/>
      <c r="CK13" s="1131"/>
      <c r="CL13" s="1128"/>
      <c r="CM13" s="1123" t="s">
        <v>81</v>
      </c>
      <c r="CN13" s="1130"/>
      <c r="CO13" s="1131"/>
      <c r="CP13" s="1114"/>
      <c r="CQ13" s="1123" t="s">
        <v>81</v>
      </c>
      <c r="CR13" s="1130"/>
      <c r="CS13" s="1131"/>
      <c r="CT13" s="1128"/>
      <c r="CU13" s="1123" t="s">
        <v>81</v>
      </c>
      <c r="CV13" s="1130"/>
      <c r="CW13" s="1131"/>
      <c r="CX13" s="1128"/>
      <c r="CY13" s="1123" t="s">
        <v>81</v>
      </c>
      <c r="CZ13" s="1110"/>
      <c r="DA13" s="1124"/>
      <c r="DB13" s="1128"/>
      <c r="DC13" s="1123" t="s">
        <v>81</v>
      </c>
      <c r="DD13" s="1110"/>
      <c r="DE13" s="1124"/>
      <c r="DF13" s="1128"/>
      <c r="DG13" s="1123" t="s">
        <v>81</v>
      </c>
      <c r="DH13" s="1110"/>
      <c r="DI13" s="1124"/>
      <c r="DJ13" s="1128"/>
      <c r="DK13" s="1123" t="s">
        <v>81</v>
      </c>
      <c r="DL13" s="1110"/>
      <c r="DM13" s="1124"/>
      <c r="DN13" s="1128"/>
      <c r="DO13" s="1123" t="s">
        <v>81</v>
      </c>
      <c r="DP13" s="1110"/>
      <c r="DQ13" s="1124"/>
      <c r="DS13" s="74" t="s">
        <v>81</v>
      </c>
      <c r="DT13" s="113">
        <f>EXTRAS!D219</f>
        <v>0</v>
      </c>
      <c r="DU13" s="114">
        <f>EXTRAS!E219</f>
        <v>0</v>
      </c>
      <c r="DV13" s="103" t="s">
        <v>303</v>
      </c>
      <c r="DW13" s="110">
        <f>EXTRAS!D182</f>
        <v>0</v>
      </c>
      <c r="DX13" s="110">
        <f>EXTRAS!E182</f>
        <v>0</v>
      </c>
    </row>
    <row r="14" spans="1:128" s="8" customFormat="1" ht="15" customHeight="1" thickBot="1">
      <c r="A14" s="1559"/>
      <c r="B14" s="1113" t="s">
        <v>178</v>
      </c>
      <c r="C14" s="1134">
        <v>0</v>
      </c>
      <c r="D14" s="1069"/>
      <c r="E14" s="1125" t="s">
        <v>82</v>
      </c>
      <c r="F14" s="1109"/>
      <c r="G14" s="1070"/>
      <c r="H14" s="1125" t="s">
        <v>82</v>
      </c>
      <c r="I14" s="1109"/>
      <c r="J14" s="1070"/>
      <c r="K14" s="1125" t="s">
        <v>82</v>
      </c>
      <c r="L14" s="1110"/>
      <c r="M14" s="1111"/>
      <c r="N14" s="1112"/>
      <c r="O14" s="1126" t="s">
        <v>82</v>
      </c>
      <c r="P14" s="1110"/>
      <c r="Q14" s="1111"/>
      <c r="R14" s="1114"/>
      <c r="S14" s="1126" t="s">
        <v>82</v>
      </c>
      <c r="T14" s="1110"/>
      <c r="U14" s="1111"/>
      <c r="V14" s="1112"/>
      <c r="W14" s="1126" t="s">
        <v>82</v>
      </c>
      <c r="X14" s="1110"/>
      <c r="Y14" s="1111"/>
      <c r="Z14" s="1114"/>
      <c r="AA14" s="1126" t="s">
        <v>82</v>
      </c>
      <c r="AB14" s="1111"/>
      <c r="AC14" s="1560"/>
      <c r="AD14" s="1137" t="s">
        <v>82</v>
      </c>
      <c r="AE14" s="1110"/>
      <c r="AF14" s="1111"/>
      <c r="AG14" s="1128"/>
      <c r="AH14" s="1137" t="s">
        <v>82</v>
      </c>
      <c r="AI14" s="1111"/>
      <c r="AJ14" s="1128"/>
      <c r="AK14" s="1126" t="s">
        <v>82</v>
      </c>
      <c r="AL14" s="1110"/>
      <c r="AM14" s="1111"/>
      <c r="AN14" s="1128"/>
      <c r="AO14" s="1126" t="s">
        <v>82</v>
      </c>
      <c r="AP14" s="1111"/>
      <c r="AQ14" s="1530"/>
      <c r="AR14" s="1126" t="s">
        <v>82</v>
      </c>
      <c r="AS14" s="1110"/>
      <c r="AT14" s="1111"/>
      <c r="AU14" s="1128"/>
      <c r="AV14" s="1126" t="s">
        <v>82</v>
      </c>
      <c r="AW14" s="1111"/>
      <c r="AX14" s="1128"/>
      <c r="AY14" s="1126" t="s">
        <v>82</v>
      </c>
      <c r="AZ14" s="1110"/>
      <c r="BA14" s="1111"/>
      <c r="BB14" s="1128"/>
      <c r="BC14" s="1126" t="s">
        <v>82</v>
      </c>
      <c r="BD14" s="1111"/>
      <c r="BE14" s="1128">
        <v>0</v>
      </c>
      <c r="BF14" s="1126" t="s">
        <v>82</v>
      </c>
      <c r="BG14" s="1110"/>
      <c r="BH14" s="1111"/>
      <c r="BI14" s="1128"/>
      <c r="BJ14" s="1126" t="s">
        <v>82</v>
      </c>
      <c r="BK14" s="1111"/>
      <c r="BL14" s="1128"/>
      <c r="BM14" s="1126" t="s">
        <v>82</v>
      </c>
      <c r="BN14" s="1110"/>
      <c r="BO14" s="1111"/>
      <c r="BP14" s="1128"/>
      <c r="BQ14" s="1126" t="s">
        <v>82</v>
      </c>
      <c r="BR14" s="1111"/>
      <c r="BS14" s="1128"/>
      <c r="BT14" s="1126" t="s">
        <v>82</v>
      </c>
      <c r="BU14" s="1110"/>
      <c r="BV14" s="1111"/>
      <c r="BW14" s="1128"/>
      <c r="BX14" s="1126" t="s">
        <v>82</v>
      </c>
      <c r="BY14" s="1111"/>
      <c r="BZ14" s="1128"/>
      <c r="CA14" s="1126" t="s">
        <v>82</v>
      </c>
      <c r="CB14" s="1110"/>
      <c r="CC14" s="1111"/>
      <c r="CD14" s="1128"/>
      <c r="CE14" s="1129" t="s">
        <v>82</v>
      </c>
      <c r="CF14" s="1130"/>
      <c r="CG14" s="1131"/>
      <c r="CH14" s="1128"/>
      <c r="CI14" s="1129" t="s">
        <v>82</v>
      </c>
      <c r="CJ14" s="1130"/>
      <c r="CK14" s="1131"/>
      <c r="CL14" s="1128"/>
      <c r="CM14" s="1129" t="s">
        <v>82</v>
      </c>
      <c r="CN14" s="1130"/>
      <c r="CO14" s="1131"/>
      <c r="CP14" s="1114"/>
      <c r="CQ14" s="1129" t="s">
        <v>82</v>
      </c>
      <c r="CR14" s="1130"/>
      <c r="CS14" s="1131"/>
      <c r="CT14" s="1128"/>
      <c r="CU14" s="1129" t="s">
        <v>82</v>
      </c>
      <c r="CV14" s="1130"/>
      <c r="CW14" s="1131"/>
      <c r="CX14" s="1128"/>
      <c r="CY14" s="1129" t="s">
        <v>82</v>
      </c>
      <c r="CZ14" s="1110"/>
      <c r="DA14" s="1124"/>
      <c r="DB14" s="1128"/>
      <c r="DC14" s="1129" t="s">
        <v>82</v>
      </c>
      <c r="DD14" s="1110"/>
      <c r="DE14" s="1124"/>
      <c r="DF14" s="1128"/>
      <c r="DG14" s="1129" t="s">
        <v>82</v>
      </c>
      <c r="DH14" s="1110"/>
      <c r="DI14" s="1124"/>
      <c r="DJ14" s="1128"/>
      <c r="DK14" s="1129" t="s">
        <v>82</v>
      </c>
      <c r="DL14" s="1110"/>
      <c r="DM14" s="1124"/>
      <c r="DN14" s="1128"/>
      <c r="DO14" s="1129" t="s">
        <v>82</v>
      </c>
      <c r="DP14" s="1110"/>
      <c r="DQ14" s="1124"/>
      <c r="DS14" s="77" t="s">
        <v>82</v>
      </c>
      <c r="DT14" s="113">
        <f>EXTRAS!D220</f>
        <v>0</v>
      </c>
      <c r="DU14" s="114">
        <f>EXTRAS!E220</f>
        <v>0</v>
      </c>
      <c r="DV14" s="104" t="s">
        <v>304</v>
      </c>
      <c r="DW14" s="110">
        <f>EXTRAS!D183</f>
        <v>0</v>
      </c>
      <c r="DX14" s="110">
        <f>EXTRAS!E183</f>
        <v>0</v>
      </c>
    </row>
    <row r="15" spans="1:128" s="8" customFormat="1" ht="15" customHeight="1" thickBot="1">
      <c r="A15" s="1559"/>
      <c r="B15" s="1139" t="s">
        <v>358</v>
      </c>
      <c r="C15" s="1134">
        <v>0</v>
      </c>
      <c r="D15" s="1069"/>
      <c r="E15" s="1108" t="s">
        <v>83</v>
      </c>
      <c r="F15" s="1109"/>
      <c r="G15" s="1070"/>
      <c r="H15" s="1108" t="s">
        <v>83</v>
      </c>
      <c r="I15" s="1109"/>
      <c r="J15" s="1070"/>
      <c r="K15" s="1108" t="s">
        <v>83</v>
      </c>
      <c r="L15" s="1110"/>
      <c r="M15" s="1111"/>
      <c r="N15" s="1112"/>
      <c r="O15" s="1113" t="s">
        <v>83</v>
      </c>
      <c r="P15" s="1110"/>
      <c r="Q15" s="1111"/>
      <c r="R15" s="1114"/>
      <c r="S15" s="1113" t="s">
        <v>83</v>
      </c>
      <c r="T15" s="1110"/>
      <c r="U15" s="1111"/>
      <c r="V15" s="1112"/>
      <c r="W15" s="1113" t="s">
        <v>83</v>
      </c>
      <c r="X15" s="1110"/>
      <c r="Y15" s="1111"/>
      <c r="Z15" s="1114"/>
      <c r="AA15" s="1113" t="s">
        <v>83</v>
      </c>
      <c r="AB15" s="1111"/>
      <c r="AC15" s="1560"/>
      <c r="AD15" s="1115" t="s">
        <v>83</v>
      </c>
      <c r="AE15" s="1110"/>
      <c r="AF15" s="1111"/>
      <c r="AG15" s="1128"/>
      <c r="AH15" s="1115" t="s">
        <v>83</v>
      </c>
      <c r="AI15" s="1111"/>
      <c r="AJ15" s="1128"/>
      <c r="AK15" s="1113" t="s">
        <v>83</v>
      </c>
      <c r="AL15" s="1110"/>
      <c r="AM15" s="1111"/>
      <c r="AN15" s="1128"/>
      <c r="AO15" s="1113" t="s">
        <v>83</v>
      </c>
      <c r="AP15" s="1111"/>
      <c r="AQ15" s="1530"/>
      <c r="AR15" s="1113" t="s">
        <v>83</v>
      </c>
      <c r="AS15" s="1110"/>
      <c r="AT15" s="1111"/>
      <c r="AU15" s="1128"/>
      <c r="AV15" s="1113" t="s">
        <v>83</v>
      </c>
      <c r="AW15" s="1111"/>
      <c r="AX15" s="1128"/>
      <c r="AY15" s="1113" t="s">
        <v>83</v>
      </c>
      <c r="AZ15" s="1110"/>
      <c r="BA15" s="1111"/>
      <c r="BB15" s="1128"/>
      <c r="BC15" s="1113" t="s">
        <v>83</v>
      </c>
      <c r="BD15" s="1111"/>
      <c r="BE15" s="1128">
        <v>0</v>
      </c>
      <c r="BF15" s="1113" t="s">
        <v>83</v>
      </c>
      <c r="BG15" s="1110"/>
      <c r="BH15" s="1111"/>
      <c r="BI15" s="1128"/>
      <c r="BJ15" s="1113" t="s">
        <v>83</v>
      </c>
      <c r="BK15" s="1111"/>
      <c r="BL15" s="1128"/>
      <c r="BM15" s="1113" t="s">
        <v>83</v>
      </c>
      <c r="BN15" s="1110"/>
      <c r="BO15" s="1111"/>
      <c r="BP15" s="1128"/>
      <c r="BQ15" s="1113" t="s">
        <v>83</v>
      </c>
      <c r="BR15" s="1111"/>
      <c r="BS15" s="1128"/>
      <c r="BT15" s="1113" t="s">
        <v>83</v>
      </c>
      <c r="BU15" s="1110"/>
      <c r="BV15" s="1111"/>
      <c r="BW15" s="1128"/>
      <c r="BX15" s="1113" t="s">
        <v>83</v>
      </c>
      <c r="BY15" s="1111"/>
      <c r="BZ15" s="1128"/>
      <c r="CA15" s="1113" t="s">
        <v>83</v>
      </c>
      <c r="CB15" s="1110"/>
      <c r="CC15" s="1111"/>
      <c r="CD15" s="1128"/>
      <c r="CE15" s="1123" t="s">
        <v>83</v>
      </c>
      <c r="CF15" s="1130"/>
      <c r="CG15" s="1131"/>
      <c r="CH15" s="1128"/>
      <c r="CI15" s="1123" t="s">
        <v>83</v>
      </c>
      <c r="CJ15" s="1130"/>
      <c r="CK15" s="1131"/>
      <c r="CL15" s="1128"/>
      <c r="CM15" s="1123" t="s">
        <v>83</v>
      </c>
      <c r="CN15" s="1130"/>
      <c r="CO15" s="1131"/>
      <c r="CP15" s="1114"/>
      <c r="CQ15" s="1123" t="s">
        <v>83</v>
      </c>
      <c r="CR15" s="1130"/>
      <c r="CS15" s="1131"/>
      <c r="CT15" s="1128"/>
      <c r="CU15" s="1123" t="s">
        <v>83</v>
      </c>
      <c r="CV15" s="1130"/>
      <c r="CW15" s="1131"/>
      <c r="CX15" s="1128"/>
      <c r="CY15" s="1123" t="s">
        <v>83</v>
      </c>
      <c r="CZ15" s="1110"/>
      <c r="DA15" s="1124"/>
      <c r="DB15" s="1128"/>
      <c r="DC15" s="1123" t="s">
        <v>83</v>
      </c>
      <c r="DD15" s="1110"/>
      <c r="DE15" s="1124"/>
      <c r="DF15" s="1128"/>
      <c r="DG15" s="1123" t="s">
        <v>83</v>
      </c>
      <c r="DH15" s="1110"/>
      <c r="DI15" s="1124"/>
      <c r="DJ15" s="1128"/>
      <c r="DK15" s="1123" t="s">
        <v>83</v>
      </c>
      <c r="DL15" s="1110"/>
      <c r="DM15" s="1124"/>
      <c r="DN15" s="1128"/>
      <c r="DO15" s="1123" t="s">
        <v>83</v>
      </c>
      <c r="DP15" s="1110"/>
      <c r="DQ15" s="1124"/>
      <c r="DR15" s="8">
        <f>SUM(DR5:DR14)</f>
        <v>0</v>
      </c>
      <c r="DS15" s="74" t="s">
        <v>83</v>
      </c>
      <c r="DT15" s="113">
        <f>EXTRAS!D221</f>
        <v>0</v>
      </c>
      <c r="DU15" s="114">
        <f>EXTRAS!E221</f>
        <v>0</v>
      </c>
      <c r="DV15" s="23"/>
      <c r="DW15" s="76"/>
      <c r="DX15" s="76"/>
    </row>
    <row r="16" spans="1:128" s="8" customFormat="1" ht="15" customHeight="1" thickBot="1">
      <c r="A16" s="1559"/>
      <c r="B16" s="1113" t="s">
        <v>179</v>
      </c>
      <c r="C16" s="1134">
        <v>0</v>
      </c>
      <c r="D16" s="1069"/>
      <c r="E16" s="1125" t="s">
        <v>85</v>
      </c>
      <c r="F16" s="1109"/>
      <c r="G16" s="1070"/>
      <c r="H16" s="1125" t="s">
        <v>85</v>
      </c>
      <c r="I16" s="1109"/>
      <c r="J16" s="1070"/>
      <c r="K16" s="1125" t="s">
        <v>85</v>
      </c>
      <c r="L16" s="1110"/>
      <c r="M16" s="1111"/>
      <c r="N16" s="1112"/>
      <c r="O16" s="1126" t="s">
        <v>85</v>
      </c>
      <c r="P16" s="1110"/>
      <c r="Q16" s="1111"/>
      <c r="R16" s="1114"/>
      <c r="S16" s="1126" t="s">
        <v>85</v>
      </c>
      <c r="T16" s="1110"/>
      <c r="U16" s="1111"/>
      <c r="V16" s="1112"/>
      <c r="W16" s="1126" t="s">
        <v>85</v>
      </c>
      <c r="X16" s="1110"/>
      <c r="Y16" s="1111"/>
      <c r="Z16" s="1114"/>
      <c r="AA16" s="1126" t="s">
        <v>85</v>
      </c>
      <c r="AB16" s="1111"/>
      <c r="AC16" s="1560"/>
      <c r="AD16" s="1137" t="s">
        <v>85</v>
      </c>
      <c r="AE16" s="1110"/>
      <c r="AF16" s="1111"/>
      <c r="AG16" s="1128"/>
      <c r="AH16" s="1137" t="s">
        <v>85</v>
      </c>
      <c r="AI16" s="1111"/>
      <c r="AJ16" s="1128"/>
      <c r="AK16" s="1126" t="s">
        <v>85</v>
      </c>
      <c r="AL16" s="1110"/>
      <c r="AM16" s="1111"/>
      <c r="AN16" s="1128"/>
      <c r="AO16" s="1126" t="s">
        <v>85</v>
      </c>
      <c r="AP16" s="1111"/>
      <c r="AQ16" s="1530"/>
      <c r="AR16" s="1126" t="s">
        <v>85</v>
      </c>
      <c r="AS16" s="1110"/>
      <c r="AT16" s="1111"/>
      <c r="AU16" s="1128"/>
      <c r="AV16" s="1126" t="s">
        <v>85</v>
      </c>
      <c r="AW16" s="1111"/>
      <c r="AX16" s="1128"/>
      <c r="AY16" s="1126" t="s">
        <v>85</v>
      </c>
      <c r="AZ16" s="1110"/>
      <c r="BA16" s="1111"/>
      <c r="BB16" s="1128"/>
      <c r="BC16" s="1126" t="s">
        <v>85</v>
      </c>
      <c r="BD16" s="1111"/>
      <c r="BE16" s="1128">
        <v>0</v>
      </c>
      <c r="BF16" s="1126" t="s">
        <v>85</v>
      </c>
      <c r="BG16" s="1110"/>
      <c r="BH16" s="1111"/>
      <c r="BI16" s="1128"/>
      <c r="BJ16" s="1126" t="s">
        <v>85</v>
      </c>
      <c r="BK16" s="1111"/>
      <c r="BL16" s="1128"/>
      <c r="BM16" s="1126" t="s">
        <v>85</v>
      </c>
      <c r="BN16" s="1110"/>
      <c r="BO16" s="1111"/>
      <c r="BP16" s="1128"/>
      <c r="BQ16" s="1126" t="s">
        <v>85</v>
      </c>
      <c r="BR16" s="1111"/>
      <c r="BS16" s="1128"/>
      <c r="BT16" s="1126" t="s">
        <v>85</v>
      </c>
      <c r="BU16" s="1110"/>
      <c r="BV16" s="1111"/>
      <c r="BW16" s="1128"/>
      <c r="BX16" s="1126" t="s">
        <v>85</v>
      </c>
      <c r="BY16" s="1111"/>
      <c r="BZ16" s="1128"/>
      <c r="CA16" s="1126" t="s">
        <v>85</v>
      </c>
      <c r="CB16" s="1110"/>
      <c r="CC16" s="1111"/>
      <c r="CD16" s="1128"/>
      <c r="CE16" s="1129" t="s">
        <v>85</v>
      </c>
      <c r="CF16" s="1130"/>
      <c r="CG16" s="1131"/>
      <c r="CH16" s="1141"/>
      <c r="CI16" s="1129" t="s">
        <v>85</v>
      </c>
      <c r="CJ16" s="1130"/>
      <c r="CK16" s="1131"/>
      <c r="CL16" s="1141"/>
      <c r="CM16" s="1129" t="s">
        <v>85</v>
      </c>
      <c r="CN16" s="1130"/>
      <c r="CO16" s="1131"/>
      <c r="CP16" s="1114"/>
      <c r="CQ16" s="1129" t="s">
        <v>85</v>
      </c>
      <c r="CR16" s="1130"/>
      <c r="CS16" s="1131"/>
      <c r="CT16" s="1141"/>
      <c r="CU16" s="1129" t="s">
        <v>85</v>
      </c>
      <c r="CV16" s="1130"/>
      <c r="CW16" s="1131"/>
      <c r="CX16" s="1128"/>
      <c r="CY16" s="1129" t="s">
        <v>85</v>
      </c>
      <c r="CZ16" s="1110"/>
      <c r="DA16" s="1124"/>
      <c r="DB16" s="1141"/>
      <c r="DC16" s="1129" t="s">
        <v>85</v>
      </c>
      <c r="DD16" s="1110"/>
      <c r="DE16" s="1124"/>
      <c r="DF16" s="1141"/>
      <c r="DG16" s="1129" t="s">
        <v>85</v>
      </c>
      <c r="DH16" s="1110"/>
      <c r="DI16" s="1124"/>
      <c r="DJ16" s="1141"/>
      <c r="DK16" s="1129" t="s">
        <v>85</v>
      </c>
      <c r="DL16" s="1110"/>
      <c r="DM16" s="1124"/>
      <c r="DN16" s="1141"/>
      <c r="DO16" s="1129" t="s">
        <v>85</v>
      </c>
      <c r="DP16" s="1110"/>
      <c r="DQ16" s="1124"/>
      <c r="DS16" s="77" t="s">
        <v>396</v>
      </c>
      <c r="DT16" s="113">
        <f>EXTRAS!D222</f>
        <v>0</v>
      </c>
      <c r="DU16" s="114">
        <f>EXTRAS!E222</f>
        <v>0</v>
      </c>
      <c r="DV16" s="23"/>
      <c r="DW16" s="76"/>
      <c r="DX16" s="76"/>
    </row>
    <row r="17" spans="1:128" s="8" customFormat="1" ht="15" customHeight="1" thickBot="1">
      <c r="A17" s="1559"/>
      <c r="B17" s="1139"/>
      <c r="C17" s="1134">
        <v>0</v>
      </c>
      <c r="D17" s="1069"/>
      <c r="E17" s="1108" t="s">
        <v>84</v>
      </c>
      <c r="F17" s="1109"/>
      <c r="G17" s="1070"/>
      <c r="H17" s="1108" t="s">
        <v>84</v>
      </c>
      <c r="I17" s="1109"/>
      <c r="J17" s="1070"/>
      <c r="K17" s="1108" t="s">
        <v>84</v>
      </c>
      <c r="L17" s="1110"/>
      <c r="M17" s="1111"/>
      <c r="N17" s="1112"/>
      <c r="O17" s="1113" t="s">
        <v>84</v>
      </c>
      <c r="P17" s="1110"/>
      <c r="Q17" s="1111"/>
      <c r="R17" s="1114"/>
      <c r="S17" s="1113" t="s">
        <v>84</v>
      </c>
      <c r="T17" s="1110"/>
      <c r="U17" s="1111"/>
      <c r="V17" s="1112"/>
      <c r="W17" s="1113" t="s">
        <v>84</v>
      </c>
      <c r="X17" s="1110"/>
      <c r="Y17" s="1111"/>
      <c r="Z17" s="1114"/>
      <c r="AA17" s="1113" t="s">
        <v>84</v>
      </c>
      <c r="AB17" s="1111"/>
      <c r="AC17" s="1560"/>
      <c r="AD17" s="1115" t="s">
        <v>84</v>
      </c>
      <c r="AE17" s="1110"/>
      <c r="AF17" s="1111"/>
      <c r="AG17" s="1128"/>
      <c r="AH17" s="1115" t="s">
        <v>84</v>
      </c>
      <c r="AI17" s="1111"/>
      <c r="AJ17" s="1128"/>
      <c r="AK17" s="1113" t="s">
        <v>84</v>
      </c>
      <c r="AL17" s="1110"/>
      <c r="AM17" s="1111"/>
      <c r="AN17" s="1128"/>
      <c r="AO17" s="1113" t="s">
        <v>84</v>
      </c>
      <c r="AP17" s="1111"/>
      <c r="AQ17" s="1530"/>
      <c r="AR17" s="1113" t="s">
        <v>84</v>
      </c>
      <c r="AS17" s="1110"/>
      <c r="AT17" s="1111"/>
      <c r="AU17" s="1128"/>
      <c r="AV17" s="1113" t="s">
        <v>84</v>
      </c>
      <c r="AW17" s="1111"/>
      <c r="AX17" s="1128"/>
      <c r="AY17" s="1113" t="s">
        <v>84</v>
      </c>
      <c r="AZ17" s="1110"/>
      <c r="BA17" s="1111"/>
      <c r="BB17" s="1128"/>
      <c r="BC17" s="1113" t="s">
        <v>84</v>
      </c>
      <c r="BD17" s="1111"/>
      <c r="BE17" s="1128">
        <v>0</v>
      </c>
      <c r="BF17" s="1113" t="s">
        <v>84</v>
      </c>
      <c r="BG17" s="1110"/>
      <c r="BH17" s="1111"/>
      <c r="BI17" s="1128"/>
      <c r="BJ17" s="1113" t="s">
        <v>84</v>
      </c>
      <c r="BK17" s="1111"/>
      <c r="BL17" s="1128"/>
      <c r="BM17" s="1113" t="s">
        <v>84</v>
      </c>
      <c r="BN17" s="1110"/>
      <c r="BO17" s="1111"/>
      <c r="BP17" s="1128"/>
      <c r="BQ17" s="1113" t="s">
        <v>84</v>
      </c>
      <c r="BR17" s="1111"/>
      <c r="BS17" s="1128"/>
      <c r="BT17" s="1113" t="s">
        <v>84</v>
      </c>
      <c r="BU17" s="1110"/>
      <c r="BV17" s="1111"/>
      <c r="BW17" s="1128"/>
      <c r="BX17" s="1113" t="s">
        <v>84</v>
      </c>
      <c r="BY17" s="1111"/>
      <c r="BZ17" s="1128"/>
      <c r="CA17" s="1113" t="s">
        <v>84</v>
      </c>
      <c r="CB17" s="1110"/>
      <c r="CC17" s="1111"/>
      <c r="CD17" s="1128"/>
      <c r="CE17" s="1123" t="s">
        <v>84</v>
      </c>
      <c r="CF17" s="1130"/>
      <c r="CG17" s="1131"/>
      <c r="CH17" s="1141"/>
      <c r="CI17" s="1123" t="s">
        <v>84</v>
      </c>
      <c r="CJ17" s="1130"/>
      <c r="CK17" s="1131"/>
      <c r="CL17" s="1141"/>
      <c r="CM17" s="1123" t="s">
        <v>84</v>
      </c>
      <c r="CN17" s="1130"/>
      <c r="CO17" s="1131"/>
      <c r="CP17" s="1114"/>
      <c r="CQ17" s="1123" t="s">
        <v>84</v>
      </c>
      <c r="CR17" s="1130"/>
      <c r="CS17" s="1131"/>
      <c r="CT17" s="1141"/>
      <c r="CU17" s="1123" t="s">
        <v>84</v>
      </c>
      <c r="CV17" s="1130"/>
      <c r="CW17" s="1131"/>
      <c r="CX17" s="1128"/>
      <c r="CY17" s="1123" t="s">
        <v>84</v>
      </c>
      <c r="CZ17" s="1110"/>
      <c r="DA17" s="1124"/>
      <c r="DB17" s="1141"/>
      <c r="DC17" s="1123" t="s">
        <v>84</v>
      </c>
      <c r="DD17" s="1110"/>
      <c r="DE17" s="1124"/>
      <c r="DF17" s="1141"/>
      <c r="DG17" s="1123" t="s">
        <v>84</v>
      </c>
      <c r="DH17" s="1110"/>
      <c r="DI17" s="1124"/>
      <c r="DJ17" s="1141"/>
      <c r="DK17" s="1123" t="s">
        <v>84</v>
      </c>
      <c r="DL17" s="1110"/>
      <c r="DM17" s="1124"/>
      <c r="DN17" s="1141"/>
      <c r="DO17" s="1123" t="s">
        <v>84</v>
      </c>
      <c r="DP17" s="1110"/>
      <c r="DQ17" s="1124"/>
      <c r="DS17" s="74" t="s">
        <v>397</v>
      </c>
      <c r="DT17" s="113">
        <f>EXTRAS!D223</f>
        <v>0</v>
      </c>
      <c r="DU17" s="114">
        <f>EXTRAS!E223</f>
        <v>0</v>
      </c>
      <c r="DV17" s="23"/>
      <c r="DW17" s="76"/>
      <c r="DX17" s="76"/>
    </row>
    <row r="18" spans="1:128" s="8" customFormat="1" ht="15" customHeight="1" thickBot="1">
      <c r="A18" s="1559"/>
      <c r="B18" s="1113" t="s">
        <v>180</v>
      </c>
      <c r="C18" s="1134">
        <v>0</v>
      </c>
      <c r="D18" s="1069"/>
      <c r="E18" s="1125" t="s">
        <v>86</v>
      </c>
      <c r="F18" s="1109"/>
      <c r="G18" s="1070"/>
      <c r="H18" s="1125" t="s">
        <v>86</v>
      </c>
      <c r="I18" s="1109"/>
      <c r="J18" s="1070"/>
      <c r="K18" s="1125" t="s">
        <v>86</v>
      </c>
      <c r="L18" s="1110"/>
      <c r="M18" s="1111"/>
      <c r="N18" s="1112"/>
      <c r="O18" s="1126" t="s">
        <v>86</v>
      </c>
      <c r="P18" s="1110"/>
      <c r="Q18" s="1111"/>
      <c r="R18" s="1114"/>
      <c r="S18" s="1126" t="s">
        <v>86</v>
      </c>
      <c r="T18" s="1110"/>
      <c r="U18" s="1111"/>
      <c r="V18" s="1112"/>
      <c r="W18" s="1126" t="s">
        <v>86</v>
      </c>
      <c r="X18" s="1110"/>
      <c r="Y18" s="1111"/>
      <c r="Z18" s="1114"/>
      <c r="AA18" s="1126" t="s">
        <v>86</v>
      </c>
      <c r="AB18" s="1111"/>
      <c r="AC18" s="1560"/>
      <c r="AD18" s="1137" t="s">
        <v>86</v>
      </c>
      <c r="AE18" s="1110"/>
      <c r="AF18" s="1111"/>
      <c r="AG18" s="1128"/>
      <c r="AH18" s="1137" t="s">
        <v>86</v>
      </c>
      <c r="AI18" s="1111"/>
      <c r="AJ18" s="1128"/>
      <c r="AK18" s="1126" t="s">
        <v>86</v>
      </c>
      <c r="AL18" s="1110"/>
      <c r="AM18" s="1111"/>
      <c r="AN18" s="1128"/>
      <c r="AO18" s="1126" t="s">
        <v>86</v>
      </c>
      <c r="AP18" s="1111"/>
      <c r="AQ18" s="1530"/>
      <c r="AR18" s="1126" t="s">
        <v>86</v>
      </c>
      <c r="AS18" s="1110"/>
      <c r="AT18" s="1111"/>
      <c r="AU18" s="1128"/>
      <c r="AV18" s="1126" t="s">
        <v>86</v>
      </c>
      <c r="AW18" s="1111"/>
      <c r="AX18" s="1128"/>
      <c r="AY18" s="1126" t="s">
        <v>86</v>
      </c>
      <c r="AZ18" s="1110"/>
      <c r="BA18" s="1111"/>
      <c r="BB18" s="1128"/>
      <c r="BC18" s="1126" t="s">
        <v>86</v>
      </c>
      <c r="BD18" s="1111"/>
      <c r="BE18" s="1128">
        <v>0</v>
      </c>
      <c r="BF18" s="1126" t="s">
        <v>86</v>
      </c>
      <c r="BG18" s="1110"/>
      <c r="BH18" s="1111"/>
      <c r="BI18" s="1128"/>
      <c r="BJ18" s="1126" t="s">
        <v>86</v>
      </c>
      <c r="BK18" s="1111"/>
      <c r="BL18" s="1128"/>
      <c r="BM18" s="1126" t="s">
        <v>86</v>
      </c>
      <c r="BN18" s="1110"/>
      <c r="BO18" s="1111"/>
      <c r="BP18" s="1128"/>
      <c r="BQ18" s="1126" t="s">
        <v>86</v>
      </c>
      <c r="BR18" s="1111"/>
      <c r="BS18" s="1128"/>
      <c r="BT18" s="1126" t="s">
        <v>86</v>
      </c>
      <c r="BU18" s="1110"/>
      <c r="BV18" s="1111"/>
      <c r="BW18" s="1128"/>
      <c r="BX18" s="1126" t="s">
        <v>86</v>
      </c>
      <c r="BY18" s="1111"/>
      <c r="BZ18" s="1128"/>
      <c r="CA18" s="1126" t="s">
        <v>86</v>
      </c>
      <c r="CB18" s="1110"/>
      <c r="CC18" s="1111"/>
      <c r="CD18" s="1128"/>
      <c r="CE18" s="1129" t="s">
        <v>86</v>
      </c>
      <c r="CF18" s="1130"/>
      <c r="CG18" s="1131"/>
      <c r="CH18" s="1141"/>
      <c r="CI18" s="1129" t="s">
        <v>86</v>
      </c>
      <c r="CJ18" s="1130"/>
      <c r="CK18" s="1131"/>
      <c r="CL18" s="1141"/>
      <c r="CM18" s="1129" t="s">
        <v>86</v>
      </c>
      <c r="CN18" s="1130"/>
      <c r="CO18" s="1131"/>
      <c r="CP18" s="1114"/>
      <c r="CQ18" s="1129" t="s">
        <v>86</v>
      </c>
      <c r="CR18" s="1130"/>
      <c r="CS18" s="1131"/>
      <c r="CT18" s="1141"/>
      <c r="CU18" s="1129" t="s">
        <v>86</v>
      </c>
      <c r="CV18" s="1130"/>
      <c r="CW18" s="1131"/>
      <c r="CX18" s="1128"/>
      <c r="CY18" s="1129" t="s">
        <v>86</v>
      </c>
      <c r="CZ18" s="1110"/>
      <c r="DA18" s="1124"/>
      <c r="DB18" s="1141"/>
      <c r="DC18" s="1129" t="s">
        <v>86</v>
      </c>
      <c r="DD18" s="1110"/>
      <c r="DE18" s="1124"/>
      <c r="DF18" s="1141"/>
      <c r="DG18" s="1129" t="s">
        <v>86</v>
      </c>
      <c r="DH18" s="1110"/>
      <c r="DI18" s="1124"/>
      <c r="DJ18" s="1141"/>
      <c r="DK18" s="1129" t="s">
        <v>86</v>
      </c>
      <c r="DL18" s="1110"/>
      <c r="DM18" s="1124"/>
      <c r="DN18" s="1141"/>
      <c r="DO18" s="1129" t="s">
        <v>86</v>
      </c>
      <c r="DP18" s="1110"/>
      <c r="DQ18" s="1124"/>
      <c r="DS18" s="77" t="s">
        <v>398</v>
      </c>
      <c r="DT18" s="113">
        <f>EXTRAS!D224</f>
        <v>0</v>
      </c>
      <c r="DU18" s="114">
        <f>EXTRAS!E224</f>
        <v>0</v>
      </c>
    </row>
    <row r="19" spans="1:128" s="8" customFormat="1" ht="15" customHeight="1" thickBot="1">
      <c r="A19" s="1559"/>
      <c r="B19" s="1142"/>
      <c r="C19" s="1134">
        <v>0</v>
      </c>
      <c r="D19" s="1069"/>
      <c r="E19" s="1108" t="s">
        <v>87</v>
      </c>
      <c r="F19" s="1109"/>
      <c r="G19" s="1070"/>
      <c r="H19" s="1108" t="s">
        <v>87</v>
      </c>
      <c r="I19" s="1109"/>
      <c r="J19" s="1070"/>
      <c r="K19" s="1108" t="s">
        <v>87</v>
      </c>
      <c r="L19" s="1110"/>
      <c r="M19" s="1111"/>
      <c r="N19" s="1112"/>
      <c r="O19" s="1113" t="s">
        <v>87</v>
      </c>
      <c r="P19" s="1110"/>
      <c r="Q19" s="1111"/>
      <c r="R19" s="1114"/>
      <c r="S19" s="1113" t="s">
        <v>87</v>
      </c>
      <c r="T19" s="1110"/>
      <c r="U19" s="1111"/>
      <c r="V19" s="1112"/>
      <c r="W19" s="1113" t="s">
        <v>87</v>
      </c>
      <c r="X19" s="1110"/>
      <c r="Y19" s="1111"/>
      <c r="Z19" s="1114"/>
      <c r="AA19" s="1113" t="s">
        <v>87</v>
      </c>
      <c r="AB19" s="1111"/>
      <c r="AC19" s="1560"/>
      <c r="AD19" s="1115" t="s">
        <v>87</v>
      </c>
      <c r="AE19" s="1110"/>
      <c r="AF19" s="1111"/>
      <c r="AG19" s="1128"/>
      <c r="AH19" s="1115" t="s">
        <v>87</v>
      </c>
      <c r="AI19" s="1111"/>
      <c r="AJ19" s="1128"/>
      <c r="AK19" s="1113" t="s">
        <v>87</v>
      </c>
      <c r="AL19" s="1110"/>
      <c r="AM19" s="1111"/>
      <c r="AN19" s="1128"/>
      <c r="AO19" s="1113" t="s">
        <v>87</v>
      </c>
      <c r="AP19" s="1111"/>
      <c r="AQ19" s="1530"/>
      <c r="AR19" s="1113" t="s">
        <v>87</v>
      </c>
      <c r="AS19" s="1110"/>
      <c r="AT19" s="1111"/>
      <c r="AU19" s="1128"/>
      <c r="AV19" s="1113" t="s">
        <v>87</v>
      </c>
      <c r="AW19" s="1111"/>
      <c r="AX19" s="1128"/>
      <c r="AY19" s="1113" t="s">
        <v>87</v>
      </c>
      <c r="AZ19" s="1110"/>
      <c r="BA19" s="1111"/>
      <c r="BB19" s="1128"/>
      <c r="BC19" s="1113" t="s">
        <v>87</v>
      </c>
      <c r="BD19" s="1111"/>
      <c r="BE19" s="1128">
        <v>0</v>
      </c>
      <c r="BF19" s="1113" t="s">
        <v>87</v>
      </c>
      <c r="BG19" s="1110"/>
      <c r="BH19" s="1111"/>
      <c r="BI19" s="1128"/>
      <c r="BJ19" s="1113" t="s">
        <v>87</v>
      </c>
      <c r="BK19" s="1111"/>
      <c r="BL19" s="1128"/>
      <c r="BM19" s="1113" t="s">
        <v>87</v>
      </c>
      <c r="BN19" s="1110"/>
      <c r="BO19" s="1111"/>
      <c r="BP19" s="1128"/>
      <c r="BQ19" s="1113" t="s">
        <v>87</v>
      </c>
      <c r="BR19" s="1111"/>
      <c r="BS19" s="1128"/>
      <c r="BT19" s="1113" t="s">
        <v>87</v>
      </c>
      <c r="BU19" s="1110"/>
      <c r="BV19" s="1111"/>
      <c r="BW19" s="1128"/>
      <c r="BX19" s="1113" t="s">
        <v>87</v>
      </c>
      <c r="BY19" s="1111"/>
      <c r="BZ19" s="1128"/>
      <c r="CA19" s="1113" t="s">
        <v>87</v>
      </c>
      <c r="CB19" s="1110"/>
      <c r="CC19" s="1111"/>
      <c r="CD19" s="1128"/>
      <c r="CE19" s="1123" t="s">
        <v>87</v>
      </c>
      <c r="CF19" s="1130"/>
      <c r="CG19" s="1131"/>
      <c r="CH19" s="1141"/>
      <c r="CI19" s="1123" t="s">
        <v>87</v>
      </c>
      <c r="CJ19" s="1130"/>
      <c r="CK19" s="1131"/>
      <c r="CL19" s="1141"/>
      <c r="CM19" s="1123" t="s">
        <v>87</v>
      </c>
      <c r="CN19" s="1130"/>
      <c r="CO19" s="1131"/>
      <c r="CP19" s="1114"/>
      <c r="CQ19" s="1123" t="s">
        <v>87</v>
      </c>
      <c r="CR19" s="1130"/>
      <c r="CS19" s="1131"/>
      <c r="CT19" s="1141"/>
      <c r="CU19" s="1123" t="s">
        <v>87</v>
      </c>
      <c r="CV19" s="1130"/>
      <c r="CW19" s="1131"/>
      <c r="CX19" s="1128"/>
      <c r="CY19" s="1123" t="s">
        <v>87</v>
      </c>
      <c r="CZ19" s="1110"/>
      <c r="DA19" s="1124"/>
      <c r="DB19" s="1141"/>
      <c r="DC19" s="1123" t="s">
        <v>87</v>
      </c>
      <c r="DD19" s="1110"/>
      <c r="DE19" s="1124"/>
      <c r="DF19" s="1141"/>
      <c r="DG19" s="1123" t="s">
        <v>87</v>
      </c>
      <c r="DH19" s="1110"/>
      <c r="DI19" s="1124"/>
      <c r="DJ19" s="1141"/>
      <c r="DK19" s="1123" t="s">
        <v>87</v>
      </c>
      <c r="DL19" s="1110"/>
      <c r="DM19" s="1124"/>
      <c r="DN19" s="1141"/>
      <c r="DO19" s="1123" t="s">
        <v>87</v>
      </c>
      <c r="DP19" s="1110"/>
      <c r="DQ19" s="1124"/>
      <c r="DS19" s="466" t="s">
        <v>85</v>
      </c>
      <c r="DT19" s="113">
        <f>EXTRAS!D225</f>
        <v>0</v>
      </c>
      <c r="DU19" s="114">
        <f>EXTRAS!E225</f>
        <v>0</v>
      </c>
    </row>
    <row r="20" spans="1:128" s="8" customFormat="1" ht="15" customHeight="1" thickBot="1">
      <c r="A20" s="1559"/>
      <c r="B20" s="1143" t="s">
        <v>181</v>
      </c>
      <c r="C20" s="1144">
        <v>0</v>
      </c>
      <c r="D20" s="1069"/>
      <c r="E20" s="1125" t="s">
        <v>101</v>
      </c>
      <c r="F20" s="1109"/>
      <c r="G20" s="1070"/>
      <c r="H20" s="1125" t="s">
        <v>101</v>
      </c>
      <c r="I20" s="1109"/>
      <c r="J20" s="1070"/>
      <c r="K20" s="1125" t="s">
        <v>101</v>
      </c>
      <c r="L20" s="1110"/>
      <c r="M20" s="1111"/>
      <c r="N20" s="1112"/>
      <c r="O20" s="1126" t="s">
        <v>101</v>
      </c>
      <c r="P20" s="1110"/>
      <c r="Q20" s="1111"/>
      <c r="R20" s="1114"/>
      <c r="S20" s="1126" t="s">
        <v>101</v>
      </c>
      <c r="T20" s="1110"/>
      <c r="U20" s="1111"/>
      <c r="V20" s="1112"/>
      <c r="W20" s="1126" t="s">
        <v>101</v>
      </c>
      <c r="X20" s="1110"/>
      <c r="Y20" s="1111"/>
      <c r="Z20" s="1114"/>
      <c r="AA20" s="1126" t="s">
        <v>101</v>
      </c>
      <c r="AB20" s="1111"/>
      <c r="AC20" s="1560"/>
      <c r="AD20" s="1137" t="s">
        <v>101</v>
      </c>
      <c r="AE20" s="1110"/>
      <c r="AF20" s="1111"/>
      <c r="AG20" s="1128"/>
      <c r="AH20" s="1137" t="s">
        <v>101</v>
      </c>
      <c r="AI20" s="1111"/>
      <c r="AJ20" s="1128"/>
      <c r="AK20" s="1126" t="s">
        <v>101</v>
      </c>
      <c r="AL20" s="1110"/>
      <c r="AM20" s="1111"/>
      <c r="AN20" s="1128"/>
      <c r="AO20" s="1126" t="s">
        <v>101</v>
      </c>
      <c r="AP20" s="1111"/>
      <c r="AQ20" s="1530"/>
      <c r="AR20" s="1126" t="s">
        <v>101</v>
      </c>
      <c r="AS20" s="1110"/>
      <c r="AT20" s="1111"/>
      <c r="AU20" s="1128"/>
      <c r="AV20" s="1126" t="s">
        <v>101</v>
      </c>
      <c r="AW20" s="1111"/>
      <c r="AX20" s="1128"/>
      <c r="AY20" s="1126" t="s">
        <v>101</v>
      </c>
      <c r="AZ20" s="1110"/>
      <c r="BA20" s="1111"/>
      <c r="BB20" s="1128"/>
      <c r="BC20" s="1126" t="s">
        <v>101</v>
      </c>
      <c r="BD20" s="1111"/>
      <c r="BE20" s="1128">
        <v>0</v>
      </c>
      <c r="BF20" s="1126" t="s">
        <v>101</v>
      </c>
      <c r="BG20" s="1110"/>
      <c r="BH20" s="1111"/>
      <c r="BI20" s="1128"/>
      <c r="BJ20" s="1126" t="s">
        <v>101</v>
      </c>
      <c r="BK20" s="1111"/>
      <c r="BL20" s="1128"/>
      <c r="BM20" s="1126" t="s">
        <v>101</v>
      </c>
      <c r="BN20" s="1110"/>
      <c r="BO20" s="1111"/>
      <c r="BP20" s="1128"/>
      <c r="BQ20" s="1126" t="s">
        <v>101</v>
      </c>
      <c r="BR20" s="1111"/>
      <c r="BS20" s="1128"/>
      <c r="BT20" s="1126" t="s">
        <v>101</v>
      </c>
      <c r="BU20" s="1110"/>
      <c r="BV20" s="1111"/>
      <c r="BW20" s="1128"/>
      <c r="BX20" s="1126" t="s">
        <v>101</v>
      </c>
      <c r="BY20" s="1111"/>
      <c r="BZ20" s="1128"/>
      <c r="CA20" s="1126" t="s">
        <v>101</v>
      </c>
      <c r="CB20" s="1110"/>
      <c r="CC20" s="1111"/>
      <c r="CD20" s="1128"/>
      <c r="CE20" s="1129" t="s">
        <v>101</v>
      </c>
      <c r="CF20" s="1130"/>
      <c r="CG20" s="1131"/>
      <c r="CH20" s="1145"/>
      <c r="CI20" s="1129" t="s">
        <v>101</v>
      </c>
      <c r="CJ20" s="1130"/>
      <c r="CK20" s="1131"/>
      <c r="CL20" s="1145"/>
      <c r="CM20" s="1129" t="s">
        <v>101</v>
      </c>
      <c r="CN20" s="1130"/>
      <c r="CO20" s="1131"/>
      <c r="CP20" s="1114"/>
      <c r="CQ20" s="1129" t="s">
        <v>101</v>
      </c>
      <c r="CR20" s="1130"/>
      <c r="CS20" s="1131"/>
      <c r="CT20" s="1145"/>
      <c r="CU20" s="1129" t="s">
        <v>101</v>
      </c>
      <c r="CV20" s="1130"/>
      <c r="CW20" s="1131"/>
      <c r="CX20" s="1128"/>
      <c r="CY20" s="1129" t="s">
        <v>101</v>
      </c>
      <c r="CZ20" s="1110"/>
      <c r="DA20" s="1124"/>
      <c r="DB20" s="1145"/>
      <c r="DC20" s="1129" t="s">
        <v>101</v>
      </c>
      <c r="DD20" s="1110"/>
      <c r="DE20" s="1124"/>
      <c r="DF20" s="1145"/>
      <c r="DG20" s="1129" t="s">
        <v>101</v>
      </c>
      <c r="DH20" s="1110"/>
      <c r="DI20" s="1124"/>
      <c r="DJ20" s="1145"/>
      <c r="DK20" s="1129" t="s">
        <v>101</v>
      </c>
      <c r="DL20" s="1110"/>
      <c r="DM20" s="1124"/>
      <c r="DN20" s="1145"/>
      <c r="DO20" s="1129" t="s">
        <v>101</v>
      </c>
      <c r="DP20" s="1110"/>
      <c r="DQ20" s="1124"/>
      <c r="DS20" s="74" t="s">
        <v>84</v>
      </c>
      <c r="DT20" s="113">
        <f>EXTRAS!D226</f>
        <v>0</v>
      </c>
      <c r="DU20" s="114">
        <f>EXTRAS!E226</f>
        <v>0</v>
      </c>
    </row>
    <row r="21" spans="1:128" s="8" customFormat="1" ht="15" customHeight="1" thickBot="1">
      <c r="A21" s="1559"/>
      <c r="B21" s="1143" t="s">
        <v>182</v>
      </c>
      <c r="C21" s="1144">
        <v>0</v>
      </c>
      <c r="D21" s="1069"/>
      <c r="E21" s="1108" t="s">
        <v>88</v>
      </c>
      <c r="F21" s="1109"/>
      <c r="G21" s="1070"/>
      <c r="H21" s="1108" t="s">
        <v>88</v>
      </c>
      <c r="I21" s="1109"/>
      <c r="J21" s="1070"/>
      <c r="K21" s="1108" t="s">
        <v>88</v>
      </c>
      <c r="L21" s="1110"/>
      <c r="M21" s="1111"/>
      <c r="N21" s="1112"/>
      <c r="O21" s="1113" t="s">
        <v>88</v>
      </c>
      <c r="P21" s="1110"/>
      <c r="Q21" s="1111"/>
      <c r="R21" s="1114"/>
      <c r="S21" s="1113" t="s">
        <v>88</v>
      </c>
      <c r="T21" s="1110"/>
      <c r="U21" s="1111"/>
      <c r="V21" s="1112"/>
      <c r="W21" s="1113" t="s">
        <v>88</v>
      </c>
      <c r="X21" s="1110"/>
      <c r="Y21" s="1111"/>
      <c r="Z21" s="1114"/>
      <c r="AA21" s="1113" t="s">
        <v>88</v>
      </c>
      <c r="AB21" s="1111"/>
      <c r="AC21" s="1560"/>
      <c r="AD21" s="1115" t="s">
        <v>88</v>
      </c>
      <c r="AE21" s="1110"/>
      <c r="AF21" s="1111"/>
      <c r="AG21" s="1128"/>
      <c r="AH21" s="1115" t="s">
        <v>88</v>
      </c>
      <c r="AI21" s="1111"/>
      <c r="AJ21" s="1128"/>
      <c r="AK21" s="1113" t="s">
        <v>88</v>
      </c>
      <c r="AL21" s="1110"/>
      <c r="AM21" s="1111"/>
      <c r="AN21" s="1128"/>
      <c r="AO21" s="1113" t="s">
        <v>88</v>
      </c>
      <c r="AP21" s="1111"/>
      <c r="AQ21" s="1530"/>
      <c r="AR21" s="1113" t="s">
        <v>88</v>
      </c>
      <c r="AS21" s="1110"/>
      <c r="AT21" s="1111"/>
      <c r="AU21" s="1128"/>
      <c r="AV21" s="1113" t="s">
        <v>88</v>
      </c>
      <c r="AW21" s="1111"/>
      <c r="AX21" s="1128"/>
      <c r="AY21" s="1113" t="s">
        <v>88</v>
      </c>
      <c r="AZ21" s="1110"/>
      <c r="BA21" s="1111"/>
      <c r="BB21" s="1128"/>
      <c r="BC21" s="1113" t="s">
        <v>88</v>
      </c>
      <c r="BD21" s="1111"/>
      <c r="BE21" s="1128">
        <v>0</v>
      </c>
      <c r="BF21" s="1113" t="s">
        <v>88</v>
      </c>
      <c r="BG21" s="1110"/>
      <c r="BH21" s="1111"/>
      <c r="BI21" s="1128"/>
      <c r="BJ21" s="1113" t="s">
        <v>88</v>
      </c>
      <c r="BK21" s="1111"/>
      <c r="BL21" s="1128"/>
      <c r="BM21" s="1113" t="s">
        <v>88</v>
      </c>
      <c r="BN21" s="1110"/>
      <c r="BO21" s="1111"/>
      <c r="BP21" s="1128"/>
      <c r="BQ21" s="1113" t="s">
        <v>88</v>
      </c>
      <c r="BR21" s="1111"/>
      <c r="BS21" s="1128"/>
      <c r="BT21" s="1113" t="s">
        <v>88</v>
      </c>
      <c r="BU21" s="1110"/>
      <c r="BV21" s="1111"/>
      <c r="BW21" s="1128"/>
      <c r="BX21" s="1113" t="s">
        <v>88</v>
      </c>
      <c r="BY21" s="1111"/>
      <c r="BZ21" s="1128"/>
      <c r="CA21" s="1113" t="s">
        <v>88</v>
      </c>
      <c r="CB21" s="1110"/>
      <c r="CC21" s="1111"/>
      <c r="CD21" s="1128"/>
      <c r="CE21" s="1123" t="s">
        <v>88</v>
      </c>
      <c r="CF21" s="1130"/>
      <c r="CG21" s="1131"/>
      <c r="CH21" s="1145"/>
      <c r="CI21" s="1123" t="s">
        <v>88</v>
      </c>
      <c r="CJ21" s="1130"/>
      <c r="CK21" s="1131"/>
      <c r="CL21" s="1145"/>
      <c r="CM21" s="1123" t="s">
        <v>88</v>
      </c>
      <c r="CN21" s="1130"/>
      <c r="CO21" s="1131"/>
      <c r="CP21" s="1114"/>
      <c r="CQ21" s="1123" t="s">
        <v>88</v>
      </c>
      <c r="CR21" s="1130"/>
      <c r="CS21" s="1131"/>
      <c r="CT21" s="1145"/>
      <c r="CU21" s="1123" t="s">
        <v>88</v>
      </c>
      <c r="CV21" s="1130"/>
      <c r="CW21" s="1131"/>
      <c r="CX21" s="1128"/>
      <c r="CY21" s="1123" t="s">
        <v>88</v>
      </c>
      <c r="CZ21" s="1110"/>
      <c r="DA21" s="1124"/>
      <c r="DB21" s="1145"/>
      <c r="DC21" s="1123" t="s">
        <v>88</v>
      </c>
      <c r="DD21" s="1110"/>
      <c r="DE21" s="1124"/>
      <c r="DF21" s="1145"/>
      <c r="DG21" s="1123" t="s">
        <v>88</v>
      </c>
      <c r="DH21" s="1110"/>
      <c r="DI21" s="1124"/>
      <c r="DJ21" s="1145"/>
      <c r="DK21" s="1123" t="s">
        <v>88</v>
      </c>
      <c r="DL21" s="1110"/>
      <c r="DM21" s="1124"/>
      <c r="DN21" s="1145"/>
      <c r="DO21" s="1123" t="s">
        <v>88</v>
      </c>
      <c r="DP21" s="1110"/>
      <c r="DQ21" s="1124"/>
      <c r="DS21" s="77" t="s">
        <v>86</v>
      </c>
      <c r="DT21" s="113">
        <f>EXTRAS!D227</f>
        <v>0</v>
      </c>
      <c r="DU21" s="114">
        <f>EXTRAS!E227</f>
        <v>0</v>
      </c>
    </row>
    <row r="22" spans="1:128" s="8" customFormat="1" ht="15" customHeight="1" thickBot="1">
      <c r="A22" s="1559"/>
      <c r="B22" s="1143" t="s">
        <v>183</v>
      </c>
      <c r="C22" s="1144">
        <v>0</v>
      </c>
      <c r="D22" s="1069"/>
      <c r="E22" s="1125" t="s">
        <v>89</v>
      </c>
      <c r="F22" s="1109"/>
      <c r="G22" s="1070"/>
      <c r="H22" s="1125" t="s">
        <v>89</v>
      </c>
      <c r="I22" s="1109"/>
      <c r="J22" s="1070"/>
      <c r="K22" s="1125" t="s">
        <v>89</v>
      </c>
      <c r="L22" s="1110"/>
      <c r="M22" s="1111"/>
      <c r="N22" s="1112"/>
      <c r="O22" s="1126" t="s">
        <v>89</v>
      </c>
      <c r="P22" s="1110"/>
      <c r="Q22" s="1111"/>
      <c r="R22" s="1114"/>
      <c r="S22" s="1126" t="s">
        <v>89</v>
      </c>
      <c r="T22" s="1110"/>
      <c r="U22" s="1111"/>
      <c r="V22" s="1112"/>
      <c r="W22" s="1126" t="s">
        <v>89</v>
      </c>
      <c r="X22" s="1110"/>
      <c r="Y22" s="1111"/>
      <c r="Z22" s="1114"/>
      <c r="AA22" s="1126" t="s">
        <v>89</v>
      </c>
      <c r="AB22" s="1111"/>
      <c r="AC22" s="1560"/>
      <c r="AD22" s="1127" t="s">
        <v>89</v>
      </c>
      <c r="AE22" s="1110"/>
      <c r="AF22" s="1111"/>
      <c r="AG22" s="1128"/>
      <c r="AH22" s="1127" t="s">
        <v>89</v>
      </c>
      <c r="AI22" s="1111"/>
      <c r="AJ22" s="1128"/>
      <c r="AK22" s="1126" t="s">
        <v>89</v>
      </c>
      <c r="AL22" s="1110"/>
      <c r="AM22" s="1111"/>
      <c r="AN22" s="1128"/>
      <c r="AO22" s="1126" t="s">
        <v>89</v>
      </c>
      <c r="AP22" s="1111"/>
      <c r="AQ22" s="1530"/>
      <c r="AR22" s="1126" t="s">
        <v>89</v>
      </c>
      <c r="AS22" s="1110"/>
      <c r="AT22" s="1111"/>
      <c r="AU22" s="1128"/>
      <c r="AV22" s="1126" t="s">
        <v>89</v>
      </c>
      <c r="AW22" s="1111"/>
      <c r="AX22" s="1128"/>
      <c r="AY22" s="1126" t="s">
        <v>89</v>
      </c>
      <c r="AZ22" s="1110"/>
      <c r="BA22" s="1111"/>
      <c r="BB22" s="1128"/>
      <c r="BC22" s="1126" t="s">
        <v>89</v>
      </c>
      <c r="BD22" s="1111"/>
      <c r="BE22" s="1128">
        <v>0</v>
      </c>
      <c r="BF22" s="1126" t="s">
        <v>89</v>
      </c>
      <c r="BG22" s="1110"/>
      <c r="BH22" s="1111"/>
      <c r="BI22" s="1128"/>
      <c r="BJ22" s="1126" t="s">
        <v>89</v>
      </c>
      <c r="BK22" s="1111"/>
      <c r="BL22" s="1128"/>
      <c r="BM22" s="1126" t="s">
        <v>89</v>
      </c>
      <c r="BN22" s="1110"/>
      <c r="BO22" s="1111"/>
      <c r="BP22" s="1128"/>
      <c r="BQ22" s="1126" t="s">
        <v>89</v>
      </c>
      <c r="BR22" s="1111"/>
      <c r="BS22" s="1128"/>
      <c r="BT22" s="1126" t="s">
        <v>89</v>
      </c>
      <c r="BU22" s="1110"/>
      <c r="BV22" s="1111"/>
      <c r="BW22" s="1128"/>
      <c r="BX22" s="1126" t="s">
        <v>89</v>
      </c>
      <c r="BY22" s="1111"/>
      <c r="BZ22" s="1128"/>
      <c r="CA22" s="1126" t="s">
        <v>89</v>
      </c>
      <c r="CB22" s="1110"/>
      <c r="CC22" s="1111"/>
      <c r="CD22" s="1128"/>
      <c r="CE22" s="1129" t="s">
        <v>89</v>
      </c>
      <c r="CF22" s="1130"/>
      <c r="CG22" s="1131"/>
      <c r="CH22" s="1145"/>
      <c r="CI22" s="1129" t="s">
        <v>89</v>
      </c>
      <c r="CJ22" s="1130"/>
      <c r="CK22" s="1131"/>
      <c r="CL22" s="1145"/>
      <c r="CM22" s="1129" t="s">
        <v>89</v>
      </c>
      <c r="CN22" s="1130"/>
      <c r="CO22" s="1131"/>
      <c r="CP22" s="1114"/>
      <c r="CQ22" s="1129" t="s">
        <v>89</v>
      </c>
      <c r="CR22" s="1130"/>
      <c r="CS22" s="1131"/>
      <c r="CT22" s="1145"/>
      <c r="CU22" s="1129" t="s">
        <v>89</v>
      </c>
      <c r="CV22" s="1130"/>
      <c r="CW22" s="1131"/>
      <c r="CX22" s="1128"/>
      <c r="CY22" s="1129" t="s">
        <v>89</v>
      </c>
      <c r="CZ22" s="1110"/>
      <c r="DA22" s="1124"/>
      <c r="DB22" s="1145"/>
      <c r="DC22" s="1129" t="s">
        <v>89</v>
      </c>
      <c r="DD22" s="1110"/>
      <c r="DE22" s="1124"/>
      <c r="DF22" s="1145"/>
      <c r="DG22" s="1129" t="s">
        <v>89</v>
      </c>
      <c r="DH22" s="1110"/>
      <c r="DI22" s="1124"/>
      <c r="DJ22" s="1145"/>
      <c r="DK22" s="1129" t="s">
        <v>89</v>
      </c>
      <c r="DL22" s="1110"/>
      <c r="DM22" s="1124"/>
      <c r="DN22" s="1145"/>
      <c r="DO22" s="1129" t="s">
        <v>89</v>
      </c>
      <c r="DP22" s="1110"/>
      <c r="DQ22" s="1124"/>
      <c r="DS22" s="74" t="s">
        <v>87</v>
      </c>
      <c r="DT22" s="113">
        <f>EXTRAS!D228</f>
        <v>0</v>
      </c>
      <c r="DU22" s="114">
        <f>EXTRAS!E228</f>
        <v>0</v>
      </c>
    </row>
    <row r="23" spans="1:128" s="8" customFormat="1" ht="15" customHeight="1" thickBot="1">
      <c r="A23" s="1559"/>
      <c r="B23" s="1146" t="s">
        <v>462</v>
      </c>
      <c r="C23" s="1144">
        <v>0</v>
      </c>
      <c r="D23" s="1069"/>
      <c r="E23" s="1108" t="s">
        <v>90</v>
      </c>
      <c r="F23" s="1109"/>
      <c r="G23" s="1070"/>
      <c r="H23" s="1108" t="s">
        <v>90</v>
      </c>
      <c r="I23" s="1109"/>
      <c r="J23" s="1070"/>
      <c r="K23" s="1108" t="s">
        <v>90</v>
      </c>
      <c r="L23" s="1110"/>
      <c r="M23" s="1111"/>
      <c r="N23" s="1112"/>
      <c r="O23" s="1113" t="s">
        <v>90</v>
      </c>
      <c r="P23" s="1110"/>
      <c r="Q23" s="1111"/>
      <c r="R23" s="1114"/>
      <c r="S23" s="1113" t="s">
        <v>90</v>
      </c>
      <c r="T23" s="1110"/>
      <c r="U23" s="1111"/>
      <c r="V23" s="1112"/>
      <c r="W23" s="1113" t="s">
        <v>90</v>
      </c>
      <c r="X23" s="1110"/>
      <c r="Y23" s="1111"/>
      <c r="Z23" s="1114"/>
      <c r="AA23" s="1113" t="s">
        <v>90</v>
      </c>
      <c r="AB23" s="1111"/>
      <c r="AC23" s="1560"/>
      <c r="AD23" s="1115" t="s">
        <v>90</v>
      </c>
      <c r="AE23" s="1110"/>
      <c r="AF23" s="1111"/>
      <c r="AG23" s="1128"/>
      <c r="AH23" s="1115" t="s">
        <v>90</v>
      </c>
      <c r="AI23" s="1111"/>
      <c r="AJ23" s="1128"/>
      <c r="AK23" s="1113" t="s">
        <v>90</v>
      </c>
      <c r="AL23" s="1110"/>
      <c r="AM23" s="1111"/>
      <c r="AN23" s="1128"/>
      <c r="AO23" s="1113" t="s">
        <v>90</v>
      </c>
      <c r="AP23" s="1111"/>
      <c r="AQ23" s="1530"/>
      <c r="AR23" s="1113" t="s">
        <v>90</v>
      </c>
      <c r="AS23" s="1110"/>
      <c r="AT23" s="1111"/>
      <c r="AU23" s="1128"/>
      <c r="AV23" s="1113" t="s">
        <v>90</v>
      </c>
      <c r="AW23" s="1111"/>
      <c r="AX23" s="1128"/>
      <c r="AY23" s="1113" t="s">
        <v>90</v>
      </c>
      <c r="AZ23" s="1110"/>
      <c r="BA23" s="1111"/>
      <c r="BB23" s="1128"/>
      <c r="BC23" s="1113" t="s">
        <v>90</v>
      </c>
      <c r="BD23" s="1111"/>
      <c r="BE23" s="1128">
        <v>0</v>
      </c>
      <c r="BF23" s="1113" t="s">
        <v>90</v>
      </c>
      <c r="BG23" s="1110"/>
      <c r="BH23" s="1111"/>
      <c r="BI23" s="1128"/>
      <c r="BJ23" s="1113" t="s">
        <v>90</v>
      </c>
      <c r="BK23" s="1111"/>
      <c r="BL23" s="1128"/>
      <c r="BM23" s="1113" t="s">
        <v>90</v>
      </c>
      <c r="BN23" s="1110"/>
      <c r="BO23" s="1111"/>
      <c r="BP23" s="1128"/>
      <c r="BQ23" s="1113" t="s">
        <v>90</v>
      </c>
      <c r="BR23" s="1111"/>
      <c r="BS23" s="1128"/>
      <c r="BT23" s="1113" t="s">
        <v>90</v>
      </c>
      <c r="BU23" s="1110"/>
      <c r="BV23" s="1111"/>
      <c r="BW23" s="1128"/>
      <c r="BX23" s="1113" t="s">
        <v>90</v>
      </c>
      <c r="BY23" s="1111"/>
      <c r="BZ23" s="1128"/>
      <c r="CA23" s="1113" t="s">
        <v>90</v>
      </c>
      <c r="CB23" s="1110"/>
      <c r="CC23" s="1111"/>
      <c r="CD23" s="1128"/>
      <c r="CE23" s="1123" t="s">
        <v>90</v>
      </c>
      <c r="CF23" s="1130"/>
      <c r="CG23" s="1131"/>
      <c r="CH23" s="1145"/>
      <c r="CI23" s="1123" t="s">
        <v>90</v>
      </c>
      <c r="CJ23" s="1130"/>
      <c r="CK23" s="1131"/>
      <c r="CL23" s="1145"/>
      <c r="CM23" s="1123" t="s">
        <v>90</v>
      </c>
      <c r="CN23" s="1130"/>
      <c r="CO23" s="1131"/>
      <c r="CP23" s="1114"/>
      <c r="CQ23" s="1123" t="s">
        <v>90</v>
      </c>
      <c r="CR23" s="1130"/>
      <c r="CS23" s="1131"/>
      <c r="CT23" s="1145"/>
      <c r="CU23" s="1123" t="s">
        <v>90</v>
      </c>
      <c r="CV23" s="1130"/>
      <c r="CW23" s="1131"/>
      <c r="CX23" s="1128"/>
      <c r="CY23" s="1123" t="s">
        <v>90</v>
      </c>
      <c r="CZ23" s="1110"/>
      <c r="DA23" s="1124"/>
      <c r="DB23" s="1145"/>
      <c r="DC23" s="1123" t="s">
        <v>90</v>
      </c>
      <c r="DD23" s="1110"/>
      <c r="DE23" s="1124"/>
      <c r="DF23" s="1145"/>
      <c r="DG23" s="1123" t="s">
        <v>90</v>
      </c>
      <c r="DH23" s="1110"/>
      <c r="DI23" s="1124"/>
      <c r="DJ23" s="1145"/>
      <c r="DK23" s="1123" t="s">
        <v>90</v>
      </c>
      <c r="DL23" s="1110"/>
      <c r="DM23" s="1124"/>
      <c r="DN23" s="1145"/>
      <c r="DO23" s="1123" t="s">
        <v>90</v>
      </c>
      <c r="DP23" s="1110"/>
      <c r="DQ23" s="1124"/>
      <c r="DS23" s="77" t="s">
        <v>101</v>
      </c>
      <c r="DT23" s="113">
        <f>EXTRAS!D229</f>
        <v>0</v>
      </c>
      <c r="DU23" s="114">
        <f>EXTRAS!E229</f>
        <v>0</v>
      </c>
    </row>
    <row r="24" spans="1:128" s="8" customFormat="1" ht="15" customHeight="1" thickBot="1">
      <c r="A24" s="1559"/>
      <c r="B24" s="1148"/>
      <c r="C24" s="1148"/>
      <c r="D24" s="1069"/>
      <c r="E24" s="1125" t="s">
        <v>93</v>
      </c>
      <c r="F24" s="1109"/>
      <c r="G24" s="1070"/>
      <c r="H24" s="1125" t="s">
        <v>93</v>
      </c>
      <c r="I24" s="1109"/>
      <c r="J24" s="1070"/>
      <c r="K24" s="1125" t="s">
        <v>93</v>
      </c>
      <c r="L24" s="1110"/>
      <c r="M24" s="1111"/>
      <c r="N24" s="1112"/>
      <c r="O24" s="1126" t="s">
        <v>93</v>
      </c>
      <c r="P24" s="1110"/>
      <c r="Q24" s="1111"/>
      <c r="R24" s="1114"/>
      <c r="S24" s="1126" t="s">
        <v>93</v>
      </c>
      <c r="T24" s="1110"/>
      <c r="U24" s="1111"/>
      <c r="V24" s="1112"/>
      <c r="W24" s="1126" t="s">
        <v>93</v>
      </c>
      <c r="X24" s="1110"/>
      <c r="Y24" s="1111"/>
      <c r="Z24" s="1114"/>
      <c r="AA24" s="1126" t="s">
        <v>93</v>
      </c>
      <c r="AB24" s="1111"/>
      <c r="AC24" s="1560"/>
      <c r="AD24" s="1137" t="s">
        <v>93</v>
      </c>
      <c r="AE24" s="1110"/>
      <c r="AF24" s="1111"/>
      <c r="AG24" s="1128"/>
      <c r="AH24" s="1158" t="s">
        <v>93</v>
      </c>
      <c r="AI24" s="1159"/>
      <c r="AJ24" s="1128"/>
      <c r="AK24" s="1126" t="s">
        <v>93</v>
      </c>
      <c r="AL24" s="1110"/>
      <c r="AM24" s="1111"/>
      <c r="AN24" s="1128"/>
      <c r="AO24" s="1126" t="s">
        <v>93</v>
      </c>
      <c r="AP24" s="1111"/>
      <c r="AQ24" s="1530"/>
      <c r="AR24" s="1126" t="s">
        <v>93</v>
      </c>
      <c r="AS24" s="1110"/>
      <c r="AT24" s="1111"/>
      <c r="AU24" s="1128"/>
      <c r="AV24" s="1126" t="s">
        <v>93</v>
      </c>
      <c r="AW24" s="1111"/>
      <c r="AX24" s="1128"/>
      <c r="AY24" s="1126" t="s">
        <v>93</v>
      </c>
      <c r="AZ24" s="1110"/>
      <c r="BA24" s="1111"/>
      <c r="BB24" s="1128"/>
      <c r="BC24" s="1126" t="s">
        <v>93</v>
      </c>
      <c r="BD24" s="1111"/>
      <c r="BE24" s="1128">
        <v>0</v>
      </c>
      <c r="BF24" s="1126" t="s">
        <v>93</v>
      </c>
      <c r="BG24" s="1110"/>
      <c r="BH24" s="1111"/>
      <c r="BI24" s="1128"/>
      <c r="BJ24" s="1126" t="s">
        <v>93</v>
      </c>
      <c r="BK24" s="1111"/>
      <c r="BL24" s="1128"/>
      <c r="BM24" s="1126" t="s">
        <v>93</v>
      </c>
      <c r="BN24" s="1110"/>
      <c r="BO24" s="1111"/>
      <c r="BP24" s="1128"/>
      <c r="BQ24" s="1126" t="s">
        <v>93</v>
      </c>
      <c r="BR24" s="1111"/>
      <c r="BS24" s="1128"/>
      <c r="BT24" s="1126" t="s">
        <v>93</v>
      </c>
      <c r="BU24" s="1110"/>
      <c r="BV24" s="1111"/>
      <c r="BW24" s="1128"/>
      <c r="BX24" s="1126" t="s">
        <v>93</v>
      </c>
      <c r="BY24" s="1111"/>
      <c r="BZ24" s="1128"/>
      <c r="CA24" s="1126" t="s">
        <v>93</v>
      </c>
      <c r="CB24" s="1110"/>
      <c r="CC24" s="1111"/>
      <c r="CD24" s="1128"/>
      <c r="CE24" s="1129" t="s">
        <v>93</v>
      </c>
      <c r="CF24" s="1130"/>
      <c r="CG24" s="1131"/>
      <c r="CH24" s="1149"/>
      <c r="CI24" s="1129" t="s">
        <v>93</v>
      </c>
      <c r="CJ24" s="1130"/>
      <c r="CK24" s="1131"/>
      <c r="CL24" s="1149"/>
      <c r="CM24" s="1129" t="s">
        <v>93</v>
      </c>
      <c r="CN24" s="1130"/>
      <c r="CO24" s="1131"/>
      <c r="CP24" s="1114"/>
      <c r="CQ24" s="1129" t="s">
        <v>93</v>
      </c>
      <c r="CR24" s="1130"/>
      <c r="CS24" s="1131"/>
      <c r="CT24" s="1149"/>
      <c r="CU24" s="1129" t="s">
        <v>93</v>
      </c>
      <c r="CV24" s="1130"/>
      <c r="CW24" s="1131"/>
      <c r="CX24" s="1128"/>
      <c r="CY24" s="1129" t="s">
        <v>93</v>
      </c>
      <c r="CZ24" s="1110"/>
      <c r="DA24" s="1124"/>
      <c r="DB24" s="1149"/>
      <c r="DC24" s="1129" t="s">
        <v>93</v>
      </c>
      <c r="DD24" s="1110"/>
      <c r="DE24" s="1124"/>
      <c r="DF24" s="1149"/>
      <c r="DG24" s="1129" t="s">
        <v>93</v>
      </c>
      <c r="DH24" s="1110"/>
      <c r="DI24" s="1124"/>
      <c r="DJ24" s="1149"/>
      <c r="DK24" s="1129" t="s">
        <v>93</v>
      </c>
      <c r="DL24" s="1110"/>
      <c r="DM24" s="1124"/>
      <c r="DN24" s="1149"/>
      <c r="DO24" s="1129" t="s">
        <v>93</v>
      </c>
      <c r="DP24" s="1110"/>
      <c r="DQ24" s="1124"/>
      <c r="DS24" s="74" t="s">
        <v>88</v>
      </c>
      <c r="DT24" s="113">
        <f>EXTRAS!D230</f>
        <v>0</v>
      </c>
      <c r="DU24" s="114">
        <f>EXTRAS!E230</f>
        <v>0</v>
      </c>
    </row>
    <row r="25" spans="1:128" s="8" customFormat="1" ht="15" customHeight="1">
      <c r="A25" s="1559"/>
      <c r="B25" s="1563" t="s">
        <v>359</v>
      </c>
      <c r="C25" s="1564"/>
      <c r="D25" s="1069"/>
      <c r="E25" s="1108" t="s">
        <v>91</v>
      </c>
      <c r="F25" s="1109"/>
      <c r="G25" s="1070"/>
      <c r="H25" s="1108" t="s">
        <v>91</v>
      </c>
      <c r="I25" s="1109"/>
      <c r="J25" s="1070"/>
      <c r="K25" s="1108" t="s">
        <v>91</v>
      </c>
      <c r="L25" s="1110"/>
      <c r="M25" s="1111"/>
      <c r="N25" s="1112"/>
      <c r="O25" s="1113" t="s">
        <v>91</v>
      </c>
      <c r="P25" s="1110"/>
      <c r="Q25" s="1111"/>
      <c r="R25" s="1114"/>
      <c r="S25" s="1113" t="s">
        <v>91</v>
      </c>
      <c r="T25" s="1110"/>
      <c r="U25" s="1111"/>
      <c r="V25" s="1112"/>
      <c r="W25" s="1113" t="s">
        <v>91</v>
      </c>
      <c r="X25" s="1110"/>
      <c r="Y25" s="1111"/>
      <c r="Z25" s="1114"/>
      <c r="AA25" s="1113" t="s">
        <v>91</v>
      </c>
      <c r="AB25" s="1111"/>
      <c r="AC25" s="1560"/>
      <c r="AD25" s="1150" t="s">
        <v>91</v>
      </c>
      <c r="AE25" s="1160"/>
      <c r="AF25" s="1159"/>
      <c r="AG25" s="1128"/>
      <c r="AH25" s="1113" t="s">
        <v>91</v>
      </c>
      <c r="AI25" s="1111"/>
      <c r="AJ25" s="1128"/>
      <c r="AK25" s="1113" t="s">
        <v>91</v>
      </c>
      <c r="AL25" s="1110"/>
      <c r="AM25" s="1111"/>
      <c r="AN25" s="1128"/>
      <c r="AO25" s="1113" t="s">
        <v>91</v>
      </c>
      <c r="AP25" s="1111"/>
      <c r="AQ25" s="1530"/>
      <c r="AR25" s="1113" t="s">
        <v>91</v>
      </c>
      <c r="AS25" s="1110"/>
      <c r="AT25" s="1111"/>
      <c r="AU25" s="1128"/>
      <c r="AV25" s="1113" t="s">
        <v>91</v>
      </c>
      <c r="AW25" s="1111"/>
      <c r="AX25" s="1128"/>
      <c r="AY25" s="1113" t="s">
        <v>91</v>
      </c>
      <c r="AZ25" s="1110"/>
      <c r="BA25" s="1111"/>
      <c r="BB25" s="1128"/>
      <c r="BC25" s="1113" t="s">
        <v>91</v>
      </c>
      <c r="BD25" s="1111"/>
      <c r="BE25" s="1128">
        <v>0</v>
      </c>
      <c r="BF25" s="1113" t="s">
        <v>91</v>
      </c>
      <c r="BG25" s="1110"/>
      <c r="BH25" s="1111"/>
      <c r="BI25" s="1128"/>
      <c r="BJ25" s="1113" t="s">
        <v>91</v>
      </c>
      <c r="BK25" s="1111"/>
      <c r="BL25" s="1128"/>
      <c r="BM25" s="1113" t="s">
        <v>91</v>
      </c>
      <c r="BN25" s="1110"/>
      <c r="BO25" s="1111"/>
      <c r="BP25" s="1128"/>
      <c r="BQ25" s="1113" t="s">
        <v>91</v>
      </c>
      <c r="BR25" s="1111"/>
      <c r="BS25" s="1128"/>
      <c r="BT25" s="1113" t="s">
        <v>91</v>
      </c>
      <c r="BU25" s="1110"/>
      <c r="BV25" s="1111"/>
      <c r="BW25" s="1128"/>
      <c r="BX25" s="1113" t="s">
        <v>91</v>
      </c>
      <c r="BY25" s="1111"/>
      <c r="BZ25" s="1128"/>
      <c r="CA25" s="1113" t="s">
        <v>91</v>
      </c>
      <c r="CB25" s="1110"/>
      <c r="CC25" s="1111"/>
      <c r="CD25" s="1128"/>
      <c r="CE25" s="1123" t="s">
        <v>91</v>
      </c>
      <c r="CF25" s="1130"/>
      <c r="CG25" s="1131"/>
      <c r="CH25" s="1149"/>
      <c r="CI25" s="1123" t="s">
        <v>91</v>
      </c>
      <c r="CJ25" s="1130"/>
      <c r="CK25" s="1131"/>
      <c r="CL25" s="1149"/>
      <c r="CM25" s="1123" t="s">
        <v>91</v>
      </c>
      <c r="CN25" s="1130"/>
      <c r="CO25" s="1131"/>
      <c r="CP25" s="1114"/>
      <c r="CQ25" s="1123" t="s">
        <v>91</v>
      </c>
      <c r="CR25" s="1130"/>
      <c r="CS25" s="1131"/>
      <c r="CT25" s="1149"/>
      <c r="CU25" s="1123" t="s">
        <v>91</v>
      </c>
      <c r="CV25" s="1130"/>
      <c r="CW25" s="1131"/>
      <c r="CX25" s="1128"/>
      <c r="CY25" s="1123" t="s">
        <v>91</v>
      </c>
      <c r="CZ25" s="1110"/>
      <c r="DA25" s="1124"/>
      <c r="DB25" s="1149"/>
      <c r="DC25" s="1123" t="s">
        <v>91</v>
      </c>
      <c r="DD25" s="1110"/>
      <c r="DE25" s="1124"/>
      <c r="DF25" s="1149"/>
      <c r="DG25" s="1123" t="s">
        <v>91</v>
      </c>
      <c r="DH25" s="1110"/>
      <c r="DI25" s="1124"/>
      <c r="DJ25" s="1149"/>
      <c r="DK25" s="1123" t="s">
        <v>91</v>
      </c>
      <c r="DL25" s="1110"/>
      <c r="DM25" s="1124"/>
      <c r="DN25" s="1149"/>
      <c r="DO25" s="1123" t="s">
        <v>91</v>
      </c>
      <c r="DP25" s="1110"/>
      <c r="DQ25" s="1124"/>
      <c r="DS25" s="77" t="s">
        <v>89</v>
      </c>
      <c r="DT25" s="113">
        <f>EXTRAS!D231</f>
        <v>0</v>
      </c>
      <c r="DU25" s="114">
        <f>EXTRAS!E231</f>
        <v>0</v>
      </c>
    </row>
    <row r="26" spans="1:128" s="8" customFormat="1" ht="15" customHeight="1" thickBot="1">
      <c r="A26" s="227"/>
      <c r="B26" s="1565"/>
      <c r="C26" s="1566"/>
      <c r="D26" s="1069"/>
      <c r="E26" s="1125" t="s">
        <v>92</v>
      </c>
      <c r="F26" s="1109"/>
      <c r="G26" s="1070"/>
      <c r="H26" s="1125" t="s">
        <v>92</v>
      </c>
      <c r="I26" s="1109"/>
      <c r="J26" s="1070"/>
      <c r="K26" s="1125" t="s">
        <v>92</v>
      </c>
      <c r="L26" s="1110"/>
      <c r="M26" s="1111"/>
      <c r="N26" s="1112"/>
      <c r="O26" s="1126" t="s">
        <v>92</v>
      </c>
      <c r="P26" s="1110"/>
      <c r="Q26" s="1111"/>
      <c r="R26" s="1114"/>
      <c r="S26" s="1126" t="s">
        <v>92</v>
      </c>
      <c r="T26" s="1110"/>
      <c r="U26" s="1111"/>
      <c r="V26" s="1112"/>
      <c r="W26" s="1126" t="s">
        <v>92</v>
      </c>
      <c r="X26" s="1110"/>
      <c r="Y26" s="1111"/>
      <c r="Z26" s="1114"/>
      <c r="AA26" s="1126" t="s">
        <v>92</v>
      </c>
      <c r="AB26" s="1111"/>
      <c r="AC26" s="1573"/>
      <c r="AD26" s="1126" t="s">
        <v>92</v>
      </c>
      <c r="AE26" s="1110"/>
      <c r="AF26" s="1111"/>
      <c r="AG26" s="1128"/>
      <c r="AH26" s="1126" t="s">
        <v>92</v>
      </c>
      <c r="AI26" s="1111"/>
      <c r="AJ26" s="1128"/>
      <c r="AK26" s="1161" t="s">
        <v>92</v>
      </c>
      <c r="AL26" s="1160"/>
      <c r="AM26" s="1159"/>
      <c r="AN26" s="1128"/>
      <c r="AO26" s="1161" t="s">
        <v>92</v>
      </c>
      <c r="AP26" s="1159"/>
      <c r="AQ26" s="1530"/>
      <c r="AR26" s="1161" t="s">
        <v>92</v>
      </c>
      <c r="AS26" s="1160"/>
      <c r="AT26" s="1159"/>
      <c r="AU26" s="1128"/>
      <c r="AV26" s="1161" t="s">
        <v>92</v>
      </c>
      <c r="AW26" s="1159"/>
      <c r="AX26" s="1128"/>
      <c r="AY26" s="1161" t="s">
        <v>92</v>
      </c>
      <c r="AZ26" s="1160"/>
      <c r="BA26" s="1159"/>
      <c r="BB26" s="1128"/>
      <c r="BC26" s="1161" t="s">
        <v>92</v>
      </c>
      <c r="BD26" s="1159"/>
      <c r="BE26" s="1128">
        <v>0</v>
      </c>
      <c r="BF26" s="1161" t="s">
        <v>92</v>
      </c>
      <c r="BG26" s="1160"/>
      <c r="BH26" s="1159"/>
      <c r="BI26" s="1128"/>
      <c r="BJ26" s="1161" t="s">
        <v>92</v>
      </c>
      <c r="BK26" s="1159"/>
      <c r="BL26" s="1128"/>
      <c r="BM26" s="1161" t="s">
        <v>92</v>
      </c>
      <c r="BN26" s="1160"/>
      <c r="BO26" s="1159"/>
      <c r="BP26" s="1128"/>
      <c r="BQ26" s="1161" t="s">
        <v>92</v>
      </c>
      <c r="BR26" s="1159"/>
      <c r="BS26" s="1128"/>
      <c r="BT26" s="1161" t="s">
        <v>92</v>
      </c>
      <c r="BU26" s="1160"/>
      <c r="BV26" s="1159"/>
      <c r="BW26" s="1128"/>
      <c r="BX26" s="1161" t="s">
        <v>92</v>
      </c>
      <c r="BY26" s="1159"/>
      <c r="BZ26" s="1128"/>
      <c r="CA26" s="1161" t="s">
        <v>92</v>
      </c>
      <c r="CB26" s="1160"/>
      <c r="CC26" s="1159"/>
      <c r="CD26" s="1128"/>
      <c r="CE26" s="1151" t="s">
        <v>92</v>
      </c>
      <c r="CF26" s="1152"/>
      <c r="CG26" s="1153"/>
      <c r="CH26" s="1154"/>
      <c r="CI26" s="1151" t="s">
        <v>92</v>
      </c>
      <c r="CJ26" s="1152"/>
      <c r="CK26" s="1153"/>
      <c r="CL26" s="1154"/>
      <c r="CM26" s="1151" t="s">
        <v>92</v>
      </c>
      <c r="CN26" s="1152"/>
      <c r="CO26" s="1153"/>
      <c r="CP26" s="1155"/>
      <c r="CQ26" s="1151" t="s">
        <v>92</v>
      </c>
      <c r="CR26" s="1152"/>
      <c r="CS26" s="1153"/>
      <c r="CT26" s="1154"/>
      <c r="CU26" s="1151" t="s">
        <v>92</v>
      </c>
      <c r="CV26" s="1152"/>
      <c r="CW26" s="1153"/>
      <c r="CX26" s="1128"/>
      <c r="CY26" s="1151" t="s">
        <v>92</v>
      </c>
      <c r="CZ26" s="1156"/>
      <c r="DA26" s="1157"/>
      <c r="DB26" s="1154"/>
      <c r="DC26" s="1151" t="s">
        <v>92</v>
      </c>
      <c r="DD26" s="1156"/>
      <c r="DE26" s="1157"/>
      <c r="DF26" s="1154"/>
      <c r="DG26" s="1151" t="s">
        <v>92</v>
      </c>
      <c r="DH26" s="1156"/>
      <c r="DI26" s="1157"/>
      <c r="DJ26" s="1154"/>
      <c r="DK26" s="1151" t="s">
        <v>92</v>
      </c>
      <c r="DL26" s="1156"/>
      <c r="DM26" s="1157"/>
      <c r="DN26" s="1154"/>
      <c r="DO26" s="1151" t="s">
        <v>92</v>
      </c>
      <c r="DP26" s="1156"/>
      <c r="DQ26" s="1157"/>
      <c r="DS26" s="74" t="s">
        <v>90</v>
      </c>
      <c r="DT26" s="113">
        <f>EXTRAS!D232</f>
        <v>0</v>
      </c>
      <c r="DU26" s="114">
        <f>EXTRAS!E232</f>
        <v>0</v>
      </c>
    </row>
    <row r="27" spans="1:128" s="8" customFormat="1" ht="15" customHeight="1">
      <c r="A27"/>
      <c r="B27" s="10"/>
      <c r="C27" s="10"/>
      <c r="D27" s="10"/>
      <c r="E27" s="10"/>
      <c r="F27" s="10"/>
      <c r="G27" s="10"/>
      <c r="H27" s="10"/>
      <c r="I27" s="10"/>
      <c r="J27" s="10"/>
      <c r="K27" s="130"/>
      <c r="L27" s="38"/>
      <c r="M27" s="38"/>
      <c r="O27" s="130"/>
      <c r="P27" s="38"/>
      <c r="Q27" s="38"/>
      <c r="S27" s="130"/>
      <c r="T27" s="38"/>
      <c r="U27" s="38"/>
      <c r="W27" s="130"/>
      <c r="X27" s="38"/>
      <c r="Y27" s="38"/>
      <c r="AA27" s="130"/>
      <c r="AB27" s="38"/>
      <c r="AC27" s="38"/>
      <c r="AD27" s="130"/>
      <c r="AE27" s="38"/>
      <c r="AF27" s="38"/>
      <c r="AH27" s="130"/>
      <c r="AI27" s="38"/>
      <c r="AJ27" s="38"/>
      <c r="AK27" s="130"/>
      <c r="AL27" s="38"/>
      <c r="AM27" s="38"/>
      <c r="AO27" s="130"/>
      <c r="AP27" s="38"/>
      <c r="AQ27" s="38"/>
      <c r="AR27" s="130"/>
      <c r="AS27" s="38"/>
      <c r="AT27" s="38"/>
      <c r="AV27" s="130"/>
      <c r="AW27" s="38"/>
      <c r="AX27" s="38"/>
      <c r="AY27" s="130"/>
      <c r="AZ27" s="38"/>
      <c r="BA27" s="38"/>
      <c r="BC27" s="130"/>
      <c r="BD27" s="38"/>
      <c r="BE27" s="38"/>
      <c r="BF27" s="130"/>
      <c r="BG27" s="38"/>
      <c r="BH27" s="38"/>
      <c r="BJ27" s="130"/>
      <c r="BK27" s="38"/>
      <c r="BL27" s="38"/>
      <c r="BM27" s="130"/>
      <c r="BN27" s="38"/>
      <c r="BO27" s="38"/>
      <c r="BQ27" s="130"/>
      <c r="BR27" s="38"/>
      <c r="BS27" s="38"/>
      <c r="BT27" s="130"/>
      <c r="BU27" s="38"/>
      <c r="BV27" s="38"/>
      <c r="BX27" s="130"/>
      <c r="BY27" s="38"/>
      <c r="BZ27" s="38"/>
      <c r="CA27" s="130"/>
      <c r="CB27" s="38"/>
      <c r="CC27" s="38"/>
      <c r="DG27" s="277"/>
      <c r="DS27" s="77" t="s">
        <v>93</v>
      </c>
      <c r="DT27" s="113">
        <f>EXTRAS!D233</f>
        <v>0</v>
      </c>
      <c r="DU27" s="114">
        <f>EXTRAS!E233</f>
        <v>0</v>
      </c>
    </row>
    <row r="28" spans="1:128" s="8" customFormat="1" ht="15" customHeight="1">
      <c r="A28"/>
      <c r="B28" s="10"/>
      <c r="C28" s="10"/>
      <c r="D28" s="10"/>
      <c r="E28" s="10"/>
      <c r="F28" s="10"/>
      <c r="G28" s="10"/>
      <c r="H28" s="10"/>
      <c r="I28" s="10"/>
      <c r="J28" s="10"/>
      <c r="K28" s="130"/>
      <c r="L28" s="38"/>
      <c r="M28" s="38"/>
      <c r="O28" s="130"/>
      <c r="P28" s="38"/>
      <c r="Q28" s="38"/>
      <c r="S28" s="130"/>
      <c r="T28" s="38"/>
      <c r="U28" s="38"/>
      <c r="W28" s="130"/>
      <c r="X28" s="38"/>
      <c r="Y28" s="38"/>
      <c r="AA28" s="130"/>
      <c r="AB28" s="38"/>
      <c r="AC28" s="38"/>
      <c r="AD28" s="130"/>
      <c r="AE28" s="38"/>
      <c r="AF28" s="38"/>
      <c r="AH28" s="130"/>
      <c r="AI28" s="38"/>
      <c r="AJ28" s="38"/>
      <c r="AK28" s="130"/>
      <c r="AL28" s="38"/>
      <c r="AM28" s="38"/>
      <c r="AO28" s="130"/>
      <c r="AP28" s="38"/>
      <c r="AQ28" s="38"/>
      <c r="AR28" s="130"/>
      <c r="AS28" s="38"/>
      <c r="AT28" s="38"/>
      <c r="AV28" s="130"/>
      <c r="AW28" s="38"/>
      <c r="AX28" s="38"/>
      <c r="AY28" s="130"/>
      <c r="AZ28" s="38"/>
      <c r="BA28" s="38"/>
      <c r="BC28" s="130"/>
      <c r="BD28" s="38"/>
      <c r="BE28" s="38"/>
      <c r="BF28" s="130"/>
      <c r="BG28" s="38"/>
      <c r="BH28" s="38"/>
      <c r="BJ28" s="130"/>
      <c r="BK28" s="38"/>
      <c r="BL28" s="38"/>
      <c r="BM28" s="130"/>
      <c r="BN28" s="38"/>
      <c r="BO28" s="38"/>
      <c r="BQ28" s="130"/>
      <c r="BR28" s="38"/>
      <c r="BS28" s="38"/>
      <c r="BT28" s="130"/>
      <c r="BU28" s="38"/>
      <c r="BV28" s="38"/>
      <c r="BX28" s="130"/>
      <c r="BY28" s="38"/>
      <c r="BZ28" s="38"/>
      <c r="CA28" s="130"/>
      <c r="CB28" s="38"/>
      <c r="CC28" s="38"/>
      <c r="DG28" s="277"/>
      <c r="DS28" s="74" t="s">
        <v>91</v>
      </c>
      <c r="DT28" s="113">
        <f>EXTRAS!D234</f>
        <v>0</v>
      </c>
      <c r="DU28" s="114">
        <f>EXTRAS!E234</f>
        <v>0</v>
      </c>
    </row>
    <row r="29" spans="1:128" s="8" customFormat="1" ht="15" customHeight="1">
      <c r="A29"/>
      <c r="B29" s="10"/>
      <c r="C29" s="10"/>
      <c r="D29" s="10"/>
      <c r="E29" s="10"/>
      <c r="F29" s="10"/>
      <c r="G29" s="10"/>
      <c r="H29" s="10"/>
      <c r="I29" s="10"/>
      <c r="J29" s="10"/>
      <c r="K29" s="130"/>
      <c r="L29" s="38"/>
      <c r="M29" s="38"/>
      <c r="O29" s="130"/>
      <c r="P29" s="38"/>
      <c r="Q29" s="38"/>
      <c r="S29" s="130"/>
      <c r="T29" s="38"/>
      <c r="U29" s="38"/>
      <c r="W29" s="130"/>
      <c r="X29" s="38"/>
      <c r="Y29" s="38"/>
      <c r="AA29" s="130"/>
      <c r="AB29" s="38"/>
      <c r="AC29" s="38"/>
      <c r="AD29" s="130"/>
      <c r="AE29" s="38"/>
      <c r="AF29" s="38"/>
      <c r="AH29" s="130"/>
      <c r="AI29" s="38"/>
      <c r="AJ29" s="38"/>
      <c r="AK29" s="130"/>
      <c r="AL29" s="38"/>
      <c r="AM29" s="38"/>
      <c r="AO29" s="130"/>
      <c r="AP29" s="38"/>
      <c r="AQ29" s="38"/>
      <c r="AR29" s="130"/>
      <c r="AS29" s="38"/>
      <c r="AT29" s="38"/>
      <c r="AV29" s="130"/>
      <c r="AW29" s="38"/>
      <c r="AX29" s="38"/>
      <c r="AY29" s="130"/>
      <c r="AZ29" s="38"/>
      <c r="BA29" s="38"/>
      <c r="BC29" s="130"/>
      <c r="BD29" s="38"/>
      <c r="BE29" s="38"/>
      <c r="BF29" s="130"/>
      <c r="BG29" s="38"/>
      <c r="BH29" s="38"/>
      <c r="BJ29" s="130"/>
      <c r="BK29" s="38"/>
      <c r="BL29" s="38"/>
      <c r="BM29" s="130"/>
      <c r="BN29" s="38"/>
      <c r="BO29" s="38"/>
      <c r="BQ29" s="130"/>
      <c r="BR29" s="38"/>
      <c r="BS29" s="38"/>
      <c r="BT29" s="130"/>
      <c r="BU29" s="38"/>
      <c r="BV29" s="38"/>
      <c r="BX29" s="130"/>
      <c r="BY29" s="38"/>
      <c r="BZ29" s="38"/>
      <c r="CA29" s="130"/>
      <c r="CB29" s="38"/>
      <c r="CC29" s="38"/>
      <c r="DS29" s="466" t="s">
        <v>92</v>
      </c>
      <c r="DT29" s="113">
        <f>EXTRAS!D235</f>
        <v>0</v>
      </c>
      <c r="DU29" s="114">
        <f>EXTRAS!E235</f>
        <v>0</v>
      </c>
    </row>
    <row r="30" spans="1:128" s="8" customFormat="1" ht="15" customHeight="1">
      <c r="A30"/>
      <c r="B30" s="10"/>
      <c r="C30" s="10"/>
      <c r="D30" s="10"/>
      <c r="E30" s="10"/>
      <c r="F30" s="10"/>
      <c r="G30" s="10"/>
      <c r="H30" s="10"/>
      <c r="I30" s="10"/>
      <c r="J30" s="10"/>
      <c r="K30" s="130"/>
      <c r="L30" s="38"/>
      <c r="M30" s="38"/>
      <c r="N30" s="37"/>
      <c r="O30" s="130"/>
      <c r="P30" s="38"/>
      <c r="Q30" s="38"/>
      <c r="R30" s="38"/>
      <c r="S30" s="130"/>
      <c r="T30" s="38"/>
      <c r="U30" s="38"/>
      <c r="V30" s="37"/>
      <c r="W30" s="130"/>
      <c r="X30" s="38"/>
      <c r="Y30" s="38"/>
      <c r="Z30" s="38"/>
      <c r="AA30" s="130"/>
      <c r="AB30" s="38"/>
      <c r="AC30" s="38"/>
      <c r="AD30" s="130"/>
      <c r="AE30" s="38"/>
      <c r="AF30" s="38"/>
      <c r="AG30" s="31"/>
      <c r="AH30" s="130"/>
      <c r="AI30" s="38"/>
      <c r="AJ30" s="38"/>
      <c r="AK30" s="130"/>
      <c r="AL30" s="38"/>
      <c r="AM30" s="38"/>
      <c r="AN30" s="31"/>
      <c r="AO30" s="130"/>
      <c r="AP30" s="38"/>
      <c r="AQ30" s="38"/>
      <c r="AR30" s="130"/>
      <c r="AS30" s="38"/>
      <c r="AT30" s="38"/>
      <c r="AU30" s="31"/>
      <c r="AV30" s="130"/>
      <c r="AW30" s="38"/>
      <c r="AX30" s="38"/>
      <c r="AY30" s="130"/>
      <c r="AZ30" s="38"/>
      <c r="BA30" s="38"/>
      <c r="BB30" s="31"/>
      <c r="BC30" s="130"/>
      <c r="BD30" s="38"/>
      <c r="BE30" s="38"/>
      <c r="BF30" s="130"/>
      <c r="BG30" s="38"/>
      <c r="BH30" s="38"/>
      <c r="BI30" s="31"/>
      <c r="BJ30" s="130"/>
      <c r="BK30" s="38"/>
      <c r="BL30" s="38"/>
      <c r="BM30" s="130"/>
      <c r="BN30" s="38"/>
      <c r="BO30" s="38"/>
      <c r="BP30" s="31"/>
      <c r="BQ30" s="130"/>
      <c r="BR30" s="38"/>
      <c r="BS30" s="38"/>
      <c r="BT30" s="130"/>
      <c r="BU30" s="38"/>
      <c r="BV30" s="38"/>
      <c r="BW30" s="31"/>
      <c r="BX30" s="130"/>
      <c r="BY30" s="38"/>
      <c r="BZ30" s="38"/>
      <c r="CA30" s="130"/>
      <c r="CB30" s="38"/>
      <c r="CC30" s="38"/>
      <c r="DS30" s="77" t="s">
        <v>393</v>
      </c>
      <c r="DT30" s="113">
        <f>EXTRAS!D236</f>
        <v>0</v>
      </c>
      <c r="DU30" s="114">
        <f>EXTRAS!E236</f>
        <v>0</v>
      </c>
    </row>
    <row r="31" spans="1:128" s="8" customFormat="1" ht="15" customHeight="1">
      <c r="A31"/>
      <c r="B31" s="10"/>
      <c r="C31" s="10"/>
      <c r="D31" s="10"/>
      <c r="E31" s="10"/>
      <c r="F31" s="10"/>
      <c r="G31" s="10"/>
      <c r="H31" s="10"/>
      <c r="I31" s="10"/>
      <c r="J31" s="10"/>
      <c r="K31" s="130"/>
      <c r="L31" s="38"/>
      <c r="M31" s="38"/>
      <c r="N31" s="37"/>
      <c r="O31" s="130"/>
      <c r="P31" s="38"/>
      <c r="Q31" s="38"/>
      <c r="R31" s="38"/>
      <c r="S31" s="130"/>
      <c r="T31" s="38"/>
      <c r="U31" s="38"/>
      <c r="V31" s="37"/>
      <c r="W31" s="130"/>
      <c r="X31" s="38"/>
      <c r="Y31" s="38"/>
      <c r="Z31" s="38"/>
      <c r="AA31" s="130"/>
      <c r="AB31" s="38"/>
      <c r="AC31" s="38"/>
      <c r="AD31" s="130"/>
      <c r="AE31" s="38"/>
      <c r="AF31" s="38"/>
      <c r="AG31" s="31"/>
      <c r="AH31" s="130"/>
      <c r="AI31" s="38"/>
      <c r="AJ31" s="38"/>
      <c r="AK31" s="130"/>
      <c r="AL31" s="38"/>
      <c r="AM31" s="38"/>
      <c r="AN31" s="31"/>
      <c r="AO31" s="130"/>
      <c r="AP31" s="38"/>
      <c r="AQ31" s="38"/>
      <c r="AR31" s="130"/>
      <c r="AS31" s="38"/>
      <c r="AT31" s="38"/>
      <c r="AU31" s="31"/>
      <c r="AV31" s="130"/>
      <c r="AW31" s="38"/>
      <c r="AX31" s="38"/>
      <c r="AY31" s="130"/>
      <c r="AZ31" s="38"/>
      <c r="BA31" s="38"/>
      <c r="BB31" s="31"/>
      <c r="BC31" s="130"/>
      <c r="BD31" s="38"/>
      <c r="BE31" s="38"/>
      <c r="BF31" s="130"/>
      <c r="BG31" s="38"/>
      <c r="BH31" s="38"/>
      <c r="BI31" s="31"/>
      <c r="BJ31" s="130"/>
      <c r="BK31" s="38"/>
      <c r="BL31" s="38"/>
      <c r="BM31" s="130"/>
      <c r="BN31" s="38"/>
      <c r="BO31" s="38"/>
      <c r="BP31" s="31"/>
      <c r="BQ31" s="130"/>
      <c r="BR31" s="38"/>
      <c r="BS31" s="38"/>
      <c r="BT31" s="130"/>
      <c r="BU31" s="38"/>
      <c r="BV31" s="38"/>
      <c r="BW31" s="31"/>
      <c r="BX31" s="130"/>
      <c r="BY31" s="38"/>
      <c r="BZ31" s="38"/>
      <c r="CA31" s="130"/>
      <c r="CB31" s="38"/>
      <c r="CC31" s="38"/>
      <c r="DS31" s="74" t="s">
        <v>394</v>
      </c>
      <c r="DT31" s="113">
        <f>EXTRAS!D237</f>
        <v>0</v>
      </c>
      <c r="DU31" s="114">
        <f>EXTRAS!E237</f>
        <v>0</v>
      </c>
    </row>
    <row r="32" spans="1:128" s="8" customFormat="1" ht="15" customHeight="1">
      <c r="A32"/>
      <c r="B32" s="10"/>
      <c r="C32" s="10"/>
      <c r="D32" s="10"/>
      <c r="E32" s="10"/>
      <c r="F32" s="10"/>
      <c r="G32" s="10"/>
      <c r="H32" s="10"/>
      <c r="I32" s="10"/>
      <c r="J32" s="10"/>
      <c r="K32" s="130"/>
      <c r="L32" s="38"/>
      <c r="M32" s="38"/>
      <c r="N32" s="37"/>
      <c r="O32" s="130"/>
      <c r="P32" s="38"/>
      <c r="Q32" s="38"/>
      <c r="R32" s="38"/>
      <c r="S32" s="130"/>
      <c r="T32" s="38"/>
      <c r="U32" s="38"/>
      <c r="V32" s="37"/>
      <c r="W32" s="130"/>
      <c r="X32" s="38"/>
      <c r="Y32" s="38"/>
      <c r="Z32" s="38"/>
      <c r="AA32" s="130"/>
      <c r="AB32" s="38"/>
      <c r="AC32" s="38"/>
      <c r="AD32" s="130"/>
      <c r="AE32" s="38"/>
      <c r="AF32" s="38"/>
      <c r="AG32" s="31"/>
      <c r="AH32" s="130"/>
      <c r="AI32" s="38"/>
      <c r="AJ32" s="38"/>
      <c r="AK32" s="130"/>
      <c r="AL32" s="38"/>
      <c r="AM32" s="38"/>
      <c r="AN32" s="31"/>
      <c r="AO32" s="130"/>
      <c r="AP32" s="38"/>
      <c r="AQ32" s="38"/>
      <c r="AR32" s="130"/>
      <c r="AS32" s="38"/>
      <c r="AT32" s="38"/>
      <c r="AU32" s="31"/>
      <c r="AV32" s="130"/>
      <c r="AW32" s="38"/>
      <c r="AX32" s="38"/>
      <c r="AY32" s="130"/>
      <c r="AZ32" s="38"/>
      <c r="BA32" s="38"/>
      <c r="BB32" s="31"/>
      <c r="BC32" s="130"/>
      <c r="BD32" s="38"/>
      <c r="BE32" s="38"/>
      <c r="BF32" s="130"/>
      <c r="BG32" s="38"/>
      <c r="BH32" s="38"/>
      <c r="BI32" s="31"/>
      <c r="BJ32" s="130"/>
      <c r="BK32" s="38"/>
      <c r="BL32" s="38"/>
      <c r="BM32" s="130"/>
      <c r="BN32" s="38"/>
      <c r="BO32" s="38"/>
      <c r="BP32" s="31"/>
      <c r="BQ32" s="130"/>
      <c r="BR32" s="38"/>
      <c r="BS32" s="38"/>
      <c r="BT32" s="130"/>
      <c r="BU32" s="38"/>
      <c r="BV32" s="38"/>
      <c r="BW32" s="31"/>
      <c r="BX32" s="130"/>
      <c r="BY32" s="38"/>
      <c r="BZ32" s="38"/>
      <c r="CA32" s="130"/>
      <c r="CB32" s="38"/>
      <c r="CC32" s="38"/>
      <c r="DS32" s="77" t="s">
        <v>395</v>
      </c>
      <c r="DT32" s="113">
        <f>EXTRAS!D238</f>
        <v>0</v>
      </c>
      <c r="DU32" s="114">
        <f>EXTRAS!E238</f>
        <v>0</v>
      </c>
    </row>
    <row r="33" spans="1:125" s="8" customFormat="1" ht="15" customHeight="1">
      <c r="A33"/>
      <c r="B33" s="10"/>
      <c r="C33" s="10"/>
      <c r="D33" s="10"/>
      <c r="E33" s="10"/>
      <c r="F33" s="10"/>
      <c r="G33" s="10"/>
      <c r="H33" s="10"/>
      <c r="I33" s="10"/>
      <c r="J33" s="10"/>
      <c r="DS33" s="112"/>
      <c r="DT33" s="112"/>
      <c r="DU33" s="112"/>
    </row>
    <row r="34" spans="1:125" s="8" customFormat="1" ht="15" customHeight="1">
      <c r="A34"/>
      <c r="B34" s="10"/>
      <c r="C34" s="10"/>
      <c r="D34" s="10"/>
      <c r="E34" s="10"/>
      <c r="F34" s="10"/>
      <c r="G34" s="10"/>
      <c r="H34" s="10"/>
      <c r="I34" s="10"/>
      <c r="J34" s="10"/>
      <c r="K34" s="130"/>
      <c r="L34" s="38"/>
      <c r="M34" s="38"/>
      <c r="N34" s="37"/>
      <c r="O34" s="130"/>
      <c r="P34" s="38"/>
      <c r="Q34" s="38"/>
      <c r="R34" s="38"/>
      <c r="S34" s="130"/>
      <c r="T34" s="38"/>
      <c r="U34" s="38"/>
      <c r="V34" s="37"/>
      <c r="W34" s="130"/>
      <c r="X34" s="38"/>
      <c r="Y34" s="38"/>
      <c r="Z34" s="38"/>
      <c r="AA34" s="130"/>
      <c r="AB34" s="38"/>
      <c r="AC34" s="38"/>
      <c r="AD34" s="130"/>
      <c r="AE34" s="38"/>
      <c r="AF34" s="38"/>
      <c r="AG34" s="31"/>
      <c r="AH34" s="130"/>
      <c r="AI34" s="38"/>
      <c r="AJ34" s="38"/>
      <c r="AK34" s="130"/>
      <c r="AL34" s="38"/>
      <c r="AM34" s="38"/>
      <c r="AN34" s="31"/>
      <c r="AO34" s="130"/>
      <c r="AP34" s="38"/>
      <c r="AQ34" s="38"/>
      <c r="AR34" s="130"/>
      <c r="AS34" s="38"/>
      <c r="AT34" s="38"/>
      <c r="AU34" s="31"/>
      <c r="AV34" s="130"/>
      <c r="AW34" s="38"/>
      <c r="AX34" s="38"/>
      <c r="AY34" s="130"/>
      <c r="AZ34" s="38"/>
      <c r="BA34" s="38"/>
      <c r="BB34" s="31"/>
      <c r="BC34" s="130"/>
      <c r="BD34" s="38"/>
      <c r="BE34" s="38"/>
      <c r="BF34" s="130"/>
      <c r="BG34" s="38"/>
      <c r="BH34" s="38"/>
      <c r="BI34" s="31"/>
      <c r="BJ34" s="130"/>
      <c r="BK34" s="38"/>
      <c r="BL34" s="38"/>
      <c r="BM34" s="130"/>
      <c r="BN34" s="38"/>
      <c r="BO34" s="38"/>
      <c r="BP34" s="31"/>
      <c r="BQ34" s="130"/>
      <c r="BR34" s="38"/>
      <c r="BS34" s="38"/>
      <c r="BT34" s="130"/>
      <c r="BU34" s="38"/>
      <c r="BV34" s="38"/>
      <c r="BW34" s="31"/>
      <c r="BX34" s="130"/>
      <c r="BY34" s="38"/>
      <c r="BZ34" s="38"/>
      <c r="CA34" s="130"/>
      <c r="CB34" s="38"/>
      <c r="CC34" s="38"/>
      <c r="DS34" s="112"/>
      <c r="DT34" s="112"/>
      <c r="DU34" s="112"/>
    </row>
    <row r="35" spans="1:125" s="8" customFormat="1" ht="15" customHeight="1">
      <c r="A35"/>
      <c r="B35" s="10"/>
      <c r="C35" s="10"/>
      <c r="D35" s="10"/>
      <c r="E35" s="10"/>
      <c r="F35" s="10"/>
      <c r="G35" s="10"/>
      <c r="H35" s="10"/>
      <c r="I35" s="10"/>
      <c r="J35" s="10"/>
      <c r="K35" s="130"/>
      <c r="L35" s="38"/>
      <c r="M35" s="38"/>
      <c r="N35" s="37"/>
      <c r="O35" s="130"/>
      <c r="P35" s="38"/>
      <c r="Q35" s="38"/>
      <c r="R35" s="38"/>
      <c r="S35" s="130"/>
      <c r="T35" s="38"/>
      <c r="U35" s="38"/>
      <c r="V35" s="37"/>
      <c r="W35" s="130"/>
      <c r="X35" s="38"/>
      <c r="Y35" s="38"/>
      <c r="Z35" s="38"/>
      <c r="AA35" s="130"/>
      <c r="AB35" s="38"/>
      <c r="AC35" s="38"/>
      <c r="AD35" s="130"/>
      <c r="AE35" s="38"/>
      <c r="AF35" s="38"/>
      <c r="AG35" s="31"/>
      <c r="AH35" s="130"/>
      <c r="AI35" s="38"/>
      <c r="AJ35" s="38"/>
      <c r="AK35" s="130"/>
      <c r="AL35" s="38"/>
      <c r="AM35" s="38"/>
      <c r="AN35" s="31"/>
      <c r="AO35" s="130"/>
      <c r="AP35" s="38"/>
      <c r="AQ35" s="38"/>
      <c r="AR35" s="130"/>
      <c r="AS35" s="38"/>
      <c r="AT35" s="38"/>
      <c r="AU35" s="31"/>
      <c r="AV35" s="130"/>
      <c r="AW35" s="38"/>
      <c r="AX35" s="38"/>
      <c r="AY35" s="130"/>
      <c r="AZ35" s="38"/>
      <c r="BA35" s="38"/>
      <c r="BB35" s="31"/>
      <c r="BC35" s="130"/>
      <c r="BD35" s="38"/>
      <c r="BE35" s="38"/>
      <c r="BF35" s="130"/>
      <c r="BG35" s="38"/>
      <c r="BH35" s="38"/>
      <c r="BI35" s="31"/>
      <c r="BJ35" s="130"/>
      <c r="BK35" s="38"/>
      <c r="BL35" s="38"/>
      <c r="BM35" s="130"/>
      <c r="BN35" s="38"/>
      <c r="BO35" s="38"/>
      <c r="BP35" s="31"/>
      <c r="BQ35" s="130"/>
      <c r="BR35" s="38"/>
      <c r="BS35" s="38"/>
      <c r="BT35" s="130"/>
      <c r="BU35" s="38"/>
      <c r="BV35" s="38"/>
      <c r="BW35" s="31"/>
      <c r="BX35" s="130"/>
      <c r="BY35" s="38"/>
      <c r="BZ35" s="38"/>
      <c r="CA35" s="130"/>
      <c r="CB35" s="38"/>
      <c r="CC35" s="38"/>
      <c r="DS35" s="112"/>
      <c r="DT35" s="112"/>
      <c r="DU35" s="112"/>
    </row>
    <row r="36" spans="1:125" s="8" customFormat="1" ht="15" customHeight="1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30"/>
      <c r="L36" s="38"/>
      <c r="M36" s="38"/>
      <c r="N36" s="37"/>
      <c r="O36" s="130"/>
      <c r="P36" s="38"/>
      <c r="Q36" s="38"/>
      <c r="R36" s="38"/>
      <c r="S36" s="130"/>
      <c r="T36" s="38"/>
      <c r="U36" s="38"/>
      <c r="V36" s="37"/>
      <c r="W36" s="130"/>
      <c r="X36" s="38"/>
      <c r="Y36" s="38"/>
      <c r="Z36" s="38"/>
      <c r="AA36" s="130"/>
      <c r="AB36" s="38"/>
      <c r="AC36" s="38"/>
      <c r="AD36" s="130"/>
      <c r="AE36" s="38"/>
      <c r="AF36" s="38"/>
      <c r="AG36" s="31"/>
      <c r="AH36" s="130"/>
      <c r="AI36" s="38"/>
      <c r="AJ36" s="38"/>
      <c r="AK36" s="130"/>
      <c r="AL36" s="38"/>
      <c r="AM36" s="38"/>
      <c r="AN36" s="31"/>
      <c r="AO36" s="130"/>
      <c r="AP36" s="38"/>
      <c r="AQ36" s="38"/>
      <c r="AR36" s="130"/>
      <c r="AS36" s="38"/>
      <c r="AT36" s="38"/>
      <c r="AU36" s="31"/>
      <c r="AV36" s="130"/>
      <c r="AW36" s="38"/>
      <c r="AX36" s="38"/>
      <c r="AY36" s="130"/>
      <c r="AZ36" s="38"/>
      <c r="BA36" s="38"/>
      <c r="BB36" s="31"/>
      <c r="BC36" s="130"/>
      <c r="BD36" s="38"/>
      <c r="BE36" s="38"/>
      <c r="BF36" s="130"/>
      <c r="BG36" s="38"/>
      <c r="BH36" s="38"/>
      <c r="BI36" s="31"/>
      <c r="BJ36" s="130"/>
      <c r="BK36" s="38"/>
      <c r="BL36" s="38"/>
      <c r="BM36" s="130"/>
      <c r="BN36" s="38"/>
      <c r="BO36" s="38"/>
      <c r="BP36" s="31"/>
      <c r="BQ36" s="130"/>
      <c r="BR36" s="38"/>
      <c r="BS36" s="38"/>
      <c r="BT36" s="130"/>
      <c r="BU36" s="38"/>
      <c r="BV36" s="38"/>
      <c r="BW36" s="31"/>
      <c r="BX36" s="130"/>
      <c r="BY36" s="38"/>
      <c r="BZ36" s="38"/>
      <c r="CA36" s="130"/>
      <c r="CB36" s="38"/>
      <c r="CC36" s="38"/>
      <c r="DS36" s="112"/>
      <c r="DT36" s="112"/>
      <c r="DU36" s="112"/>
    </row>
    <row r="37" spans="1:125" s="8" customFormat="1" ht="15" customHeight="1">
      <c r="A37" s="10"/>
      <c r="B37" s="10"/>
      <c r="C37" s="10"/>
      <c r="D37" s="10"/>
      <c r="E37" s="10"/>
      <c r="F37" s="10"/>
      <c r="G37" s="10"/>
      <c r="H37" s="10"/>
      <c r="I37" s="10"/>
      <c r="J37" s="10"/>
      <c r="DS37" s="112"/>
      <c r="DT37" s="112"/>
      <c r="DU37" s="112"/>
    </row>
    <row r="38" spans="1:125" s="8" customFormat="1" ht="15" customHeight="1">
      <c r="A38" s="10"/>
      <c r="B38" s="10"/>
      <c r="C38" s="10"/>
      <c r="D38" s="10"/>
      <c r="E38" s="10"/>
      <c r="F38" s="10"/>
      <c r="G38" s="10"/>
      <c r="H38" s="10"/>
      <c r="I38" s="10"/>
      <c r="J38" s="10"/>
      <c r="DS38" s="112"/>
      <c r="DT38" s="112"/>
      <c r="DU38" s="112"/>
    </row>
    <row r="39" spans="1:125" s="8" customFormat="1" ht="15" customHeight="1">
      <c r="A39" s="10"/>
      <c r="B39" s="10"/>
      <c r="C39" s="10"/>
      <c r="D39" s="10"/>
      <c r="E39" s="10"/>
      <c r="F39" s="10"/>
      <c r="G39" s="10"/>
      <c r="H39" s="10"/>
      <c r="I39" s="10"/>
      <c r="J39" s="10"/>
      <c r="DS39" s="112"/>
      <c r="DT39" s="112"/>
      <c r="DU39" s="112"/>
    </row>
    <row r="40" spans="1:125" s="8" customFormat="1" ht="15" customHeight="1">
      <c r="A40" s="10"/>
      <c r="B40" s="10"/>
      <c r="C40" s="10"/>
      <c r="D40" s="10"/>
      <c r="E40" s="10"/>
      <c r="F40" s="10"/>
      <c r="G40" s="10"/>
      <c r="H40" s="10"/>
      <c r="I40" s="10"/>
      <c r="J40" s="10"/>
      <c r="DS40" s="112"/>
      <c r="DT40" s="112"/>
      <c r="DU40" s="112"/>
    </row>
    <row r="41" spans="1:125" s="8" customFormat="1" ht="15" customHeight="1">
      <c r="A41" s="10"/>
      <c r="B41" s="10"/>
      <c r="C41" s="10"/>
      <c r="D41" s="10"/>
      <c r="E41" s="10"/>
      <c r="F41" s="10"/>
      <c r="G41" s="10"/>
      <c r="H41" s="10"/>
      <c r="I41" s="10"/>
      <c r="J41" s="10"/>
      <c r="DS41" s="112"/>
      <c r="DT41" s="112"/>
      <c r="DU41" s="112"/>
    </row>
    <row r="42" spans="1:125" s="8" customFormat="1" ht="15" customHeight="1">
      <c r="A42" s="10"/>
      <c r="B42" s="10"/>
      <c r="C42" s="10"/>
      <c r="D42" s="10"/>
      <c r="E42" s="10"/>
      <c r="F42" s="10"/>
      <c r="G42" s="10"/>
      <c r="H42" s="10"/>
      <c r="I42" s="10"/>
      <c r="J42" s="10"/>
      <c r="DS42" s="112"/>
      <c r="DT42" s="112"/>
      <c r="DU42" s="112"/>
    </row>
    <row r="43" spans="1:125" s="8" customFormat="1" ht="15" customHeight="1">
      <c r="A43" s="10"/>
      <c r="B43" s="10"/>
      <c r="C43" s="10"/>
      <c r="D43" s="10"/>
      <c r="E43" s="10"/>
      <c r="F43" s="10"/>
      <c r="G43" s="10"/>
      <c r="H43" s="10"/>
      <c r="I43" s="10"/>
      <c r="J43" s="10"/>
      <c r="DS43" s="112"/>
      <c r="DT43" s="112"/>
      <c r="DU43" s="112"/>
    </row>
    <row r="44" spans="1:125" s="8" customFormat="1" ht="15" customHeight="1">
      <c r="A44" s="10"/>
      <c r="B44" s="10"/>
      <c r="C44" s="10"/>
      <c r="D44" s="10"/>
      <c r="E44" s="10"/>
      <c r="F44" s="10"/>
      <c r="G44" s="10"/>
      <c r="H44" s="10"/>
      <c r="I44" s="10"/>
      <c r="J44" s="10"/>
      <c r="DS44" s="112"/>
      <c r="DT44" s="112"/>
      <c r="DU44" s="112"/>
    </row>
    <row r="45" spans="1:125" s="8" customFormat="1" ht="15" customHeight="1">
      <c r="A45" s="10"/>
      <c r="B45" s="10"/>
      <c r="C45" s="10"/>
      <c r="D45" s="10"/>
      <c r="E45" s="10"/>
      <c r="F45" s="10"/>
      <c r="G45" s="10"/>
      <c r="H45" s="10"/>
      <c r="I45" s="10"/>
      <c r="J45" s="10"/>
      <c r="DS45" s="112"/>
      <c r="DT45" s="112"/>
      <c r="DU45" s="112"/>
    </row>
    <row r="46" spans="1:125" s="8" customFormat="1" ht="15" customHeight="1">
      <c r="A46" s="10"/>
      <c r="B46" s="10"/>
      <c r="C46" s="10"/>
      <c r="D46" s="10"/>
      <c r="E46" s="10"/>
      <c r="F46" s="10"/>
      <c r="G46" s="10"/>
      <c r="H46" s="10"/>
      <c r="I46" s="10"/>
      <c r="J46" s="10"/>
      <c r="DS46" s="112"/>
      <c r="DT46" s="112"/>
      <c r="DU46" s="112"/>
    </row>
    <row r="47" spans="1:125" s="8" customFormat="1" ht="15" customHeight="1">
      <c r="A47" s="10"/>
      <c r="B47" s="10"/>
      <c r="C47" s="10"/>
      <c r="D47" s="10"/>
      <c r="E47" s="10"/>
      <c r="F47" s="10"/>
      <c r="G47" s="10"/>
      <c r="H47" s="10"/>
      <c r="I47" s="10"/>
      <c r="J47" s="10"/>
      <c r="DS47" s="112"/>
      <c r="DT47" s="112"/>
      <c r="DU47" s="112"/>
    </row>
    <row r="48" spans="1:125" s="8" customFormat="1" ht="15" customHeight="1">
      <c r="A48" s="10"/>
      <c r="B48" s="10"/>
      <c r="C48" s="10"/>
      <c r="D48" s="10"/>
      <c r="E48" s="10"/>
      <c r="F48" s="10"/>
      <c r="G48" s="10"/>
      <c r="H48" s="10"/>
      <c r="I48" s="10"/>
      <c r="J48" s="10"/>
      <c r="DS48" s="112"/>
      <c r="DT48" s="112"/>
      <c r="DU48" s="112"/>
    </row>
    <row r="49" spans="1:125" s="8" customFormat="1" ht="15" customHeight="1">
      <c r="A49" s="10"/>
      <c r="B49" s="10"/>
      <c r="C49" s="10"/>
      <c r="D49" s="10"/>
      <c r="E49" s="10"/>
      <c r="F49" s="10"/>
      <c r="G49" s="10"/>
      <c r="H49" s="10"/>
      <c r="I49" s="10"/>
      <c r="J49" s="10"/>
      <c r="DS49" s="112"/>
      <c r="DT49" s="112"/>
      <c r="DU49" s="112"/>
    </row>
    <row r="50" spans="1:125" s="8" customFormat="1" ht="15" customHeight="1">
      <c r="A50" s="10"/>
      <c r="B50" s="10"/>
      <c r="C50" s="10"/>
      <c r="D50" s="10"/>
      <c r="E50" s="10"/>
      <c r="F50" s="10"/>
      <c r="G50" s="10"/>
      <c r="H50" s="10"/>
      <c r="I50" s="10"/>
      <c r="J50" s="10"/>
      <c r="DS50" s="112"/>
      <c r="DT50" s="112"/>
      <c r="DU50" s="112"/>
    </row>
    <row r="51" spans="1:125" s="8" customFormat="1" ht="15" customHeight="1">
      <c r="A51" s="10"/>
      <c r="B51" s="10"/>
      <c r="C51" s="10"/>
      <c r="D51" s="10"/>
      <c r="E51" s="10"/>
      <c r="F51" s="10"/>
      <c r="G51" s="10"/>
      <c r="H51" s="10"/>
      <c r="I51" s="10"/>
      <c r="J51" s="10"/>
      <c r="DS51" s="112"/>
      <c r="DT51" s="112"/>
      <c r="DU51" s="112"/>
    </row>
    <row r="52" spans="1:125" s="8" customFormat="1" ht="15" customHeight="1">
      <c r="A52" s="10"/>
      <c r="B52" s="10"/>
      <c r="C52" s="10"/>
      <c r="D52" s="10"/>
      <c r="E52" s="10"/>
      <c r="F52" s="10"/>
      <c r="G52" s="10"/>
      <c r="H52" s="10"/>
      <c r="I52" s="10"/>
      <c r="J52" s="10"/>
      <c r="DS52" s="112"/>
      <c r="DT52" s="112"/>
      <c r="DU52" s="112"/>
    </row>
    <row r="53" spans="1:125" s="8" customFormat="1" ht="15" customHeight="1">
      <c r="A53" s="10"/>
      <c r="B53" s="10"/>
      <c r="C53" s="10"/>
      <c r="D53" s="10"/>
      <c r="E53" s="10"/>
      <c r="F53" s="10"/>
      <c r="G53" s="10"/>
      <c r="H53" s="10"/>
      <c r="I53" s="10"/>
      <c r="J53" s="10"/>
      <c r="DS53" s="112"/>
      <c r="DT53" s="112"/>
      <c r="DU53" s="112"/>
    </row>
    <row r="54" spans="1:125" s="8" customFormat="1" ht="15" customHeight="1">
      <c r="A54" s="10"/>
      <c r="B54" s="10"/>
      <c r="C54" s="10"/>
      <c r="D54" s="10"/>
      <c r="E54" s="10"/>
      <c r="F54" s="10"/>
      <c r="G54" s="10"/>
      <c r="H54" s="10"/>
      <c r="I54" s="10"/>
      <c r="J54" s="10"/>
      <c r="DS54" s="112"/>
      <c r="DT54" s="112"/>
      <c r="DU54" s="112"/>
    </row>
    <row r="55" spans="1:125" s="8" customFormat="1" ht="15" customHeight="1">
      <c r="A55" s="10"/>
      <c r="B55" s="10"/>
      <c r="C55" s="10"/>
      <c r="D55" s="10"/>
      <c r="E55" s="10"/>
      <c r="F55" s="10"/>
      <c r="G55" s="10"/>
      <c r="H55" s="10"/>
      <c r="I55" s="10"/>
      <c r="J55" s="10"/>
      <c r="DS55" s="112"/>
      <c r="DT55" s="112"/>
      <c r="DU55" s="112"/>
    </row>
    <row r="56" spans="1:125" s="8" customFormat="1" ht="15" customHeight="1">
      <c r="A56" s="10"/>
      <c r="B56" s="10"/>
      <c r="C56" s="10"/>
      <c r="D56" s="10"/>
      <c r="E56" s="10"/>
      <c r="F56" s="10"/>
      <c r="G56" s="10"/>
      <c r="H56" s="10"/>
      <c r="I56" s="10"/>
      <c r="J56" s="10"/>
      <c r="DS56" s="112"/>
      <c r="DT56" s="112"/>
      <c r="DU56" s="112"/>
    </row>
    <row r="57" spans="1:125" s="8" customFormat="1" ht="15" customHeight="1">
      <c r="A57" s="10"/>
      <c r="B57" s="10"/>
      <c r="C57" s="10"/>
      <c r="D57" s="10"/>
      <c r="E57" s="10"/>
      <c r="F57" s="10"/>
      <c r="G57" s="10"/>
      <c r="H57" s="10"/>
      <c r="I57" s="10"/>
      <c r="J57" s="10"/>
      <c r="DS57" s="112"/>
      <c r="DT57" s="112"/>
      <c r="DU57" s="112"/>
    </row>
    <row r="58" spans="1:125" s="8" customFormat="1" ht="15" customHeight="1">
      <c r="A58" s="10"/>
      <c r="B58" s="10"/>
      <c r="C58" s="10"/>
      <c r="D58" s="10"/>
      <c r="E58" s="10"/>
      <c r="F58" s="10"/>
      <c r="G58" s="10"/>
      <c r="H58" s="10"/>
      <c r="I58" s="10"/>
      <c r="J58" s="10"/>
      <c r="DS58" s="112"/>
      <c r="DT58" s="112"/>
      <c r="DU58" s="112"/>
    </row>
    <row r="59" spans="1:125" s="8" customFormat="1" ht="15" customHeight="1">
      <c r="A59" s="10"/>
      <c r="B59" s="10"/>
      <c r="C59" s="10"/>
      <c r="D59" s="10"/>
      <c r="E59" s="10"/>
      <c r="F59" s="10"/>
      <c r="G59" s="10"/>
      <c r="H59" s="10"/>
      <c r="I59" s="10"/>
      <c r="J59" s="10"/>
      <c r="DS59" s="112"/>
      <c r="DT59" s="112"/>
      <c r="DU59" s="112"/>
    </row>
    <row r="60" spans="1:125" s="8" customFormat="1" ht="15" customHeight="1">
      <c r="A60" s="10"/>
      <c r="B60" s="10"/>
      <c r="C60" s="10"/>
      <c r="D60" s="10"/>
      <c r="E60" s="10"/>
      <c r="F60" s="10"/>
      <c r="G60" s="10"/>
      <c r="H60" s="10"/>
      <c r="I60" s="10"/>
      <c r="J60" s="10"/>
      <c r="DS60" s="112"/>
      <c r="DT60" s="112"/>
      <c r="DU60" s="112"/>
    </row>
    <row r="61" spans="1:125" s="8" customFormat="1" ht="15" customHeight="1">
      <c r="A61" s="10"/>
      <c r="B61" s="10"/>
      <c r="C61" s="10"/>
      <c r="D61" s="10"/>
      <c r="E61" s="10"/>
      <c r="F61" s="10"/>
      <c r="G61" s="10"/>
      <c r="H61" s="10"/>
      <c r="I61" s="10"/>
      <c r="J61" s="10"/>
      <c r="DS61" s="112"/>
      <c r="DT61" s="112"/>
      <c r="DU61" s="112"/>
    </row>
    <row r="62" spans="1:125" s="8" customFormat="1" ht="15" customHeight="1">
      <c r="A62" s="10"/>
      <c r="B62" s="10"/>
      <c r="C62" s="10"/>
      <c r="D62" s="10"/>
      <c r="E62" s="10"/>
      <c r="F62" s="10"/>
      <c r="G62" s="10"/>
      <c r="H62" s="10"/>
      <c r="I62" s="10"/>
      <c r="J62" s="10"/>
      <c r="DS62" s="112"/>
      <c r="DT62" s="112"/>
      <c r="DU62" s="112"/>
    </row>
    <row r="63" spans="1:125" s="8" customFormat="1" ht="15" customHeight="1">
      <c r="A63" s="10"/>
      <c r="B63" s="10"/>
      <c r="C63" s="10"/>
      <c r="D63" s="10"/>
      <c r="E63" s="10"/>
      <c r="F63" s="10"/>
      <c r="G63" s="10"/>
      <c r="H63" s="10"/>
      <c r="I63" s="10"/>
      <c r="J63" s="10"/>
      <c r="DS63" s="112"/>
      <c r="DT63" s="112"/>
      <c r="DU63" s="112"/>
    </row>
    <row r="64" spans="1:125" s="8" customFormat="1" ht="15" customHeight="1">
      <c r="A64" s="10"/>
      <c r="B64" s="10"/>
      <c r="C64" s="10"/>
      <c r="D64" s="10"/>
      <c r="E64" s="10"/>
      <c r="F64" s="10"/>
      <c r="G64" s="10"/>
      <c r="H64" s="10"/>
      <c r="I64" s="10"/>
      <c r="J64" s="10"/>
      <c r="DS64" s="112"/>
      <c r="DT64" s="112"/>
      <c r="DU64" s="112"/>
    </row>
    <row r="65" spans="1:125" s="8" customFormat="1" ht="15" customHeight="1">
      <c r="A65" s="10"/>
      <c r="B65" s="10"/>
      <c r="C65" s="10"/>
      <c r="D65" s="10"/>
      <c r="E65" s="10"/>
      <c r="F65" s="10"/>
      <c r="G65" s="10"/>
      <c r="H65" s="10"/>
      <c r="I65" s="10"/>
      <c r="J65" s="10"/>
      <c r="DS65" s="112"/>
      <c r="DT65" s="112"/>
      <c r="DU65" s="112"/>
    </row>
    <row r="66" spans="1:125" s="8" customFormat="1" ht="15" customHeight="1">
      <c r="A66" s="10"/>
      <c r="B66" s="10"/>
      <c r="C66" s="10"/>
      <c r="D66" s="10"/>
      <c r="E66" s="10"/>
      <c r="F66" s="10"/>
      <c r="G66" s="10"/>
      <c r="H66" s="10"/>
      <c r="I66" s="10"/>
      <c r="J66" s="10"/>
      <c r="DS66" s="112"/>
      <c r="DT66" s="112"/>
      <c r="DU66" s="112"/>
    </row>
    <row r="67" spans="1:125" s="8" customFormat="1" ht="15" customHeight="1">
      <c r="A67" s="10"/>
      <c r="B67" s="10"/>
      <c r="C67" s="10"/>
      <c r="D67" s="10"/>
      <c r="E67" s="10"/>
      <c r="F67" s="10"/>
      <c r="G67" s="10"/>
      <c r="H67" s="10"/>
      <c r="I67" s="10"/>
      <c r="J67" s="10"/>
      <c r="DS67" s="112"/>
      <c r="DT67" s="112"/>
      <c r="DU67" s="112"/>
    </row>
    <row r="68" spans="1:125" s="8" customFormat="1" ht="15" customHeight="1">
      <c r="A68" s="10"/>
      <c r="B68" s="10"/>
      <c r="C68" s="10"/>
      <c r="D68" s="10"/>
      <c r="E68" s="10"/>
      <c r="F68" s="10"/>
      <c r="G68" s="10"/>
      <c r="H68" s="10"/>
      <c r="I68" s="10"/>
      <c r="J68" s="10"/>
      <c r="DS68" s="112"/>
      <c r="DT68" s="112"/>
      <c r="DU68" s="112"/>
    </row>
    <row r="69" spans="1:125" s="8" customFormat="1" ht="15" customHeight="1">
      <c r="A69" s="10"/>
      <c r="B69" s="10"/>
      <c r="C69" s="10"/>
      <c r="D69" s="10"/>
      <c r="E69" s="10"/>
      <c r="F69" s="10"/>
      <c r="G69" s="10"/>
      <c r="H69" s="10"/>
      <c r="I69" s="10"/>
      <c r="J69" s="10"/>
      <c r="DS69" s="112"/>
      <c r="DT69" s="112"/>
      <c r="DU69" s="112"/>
    </row>
    <row r="70" spans="1:125" s="8" customFormat="1" ht="15" customHeight="1">
      <c r="A70" s="10"/>
      <c r="B70" s="10"/>
      <c r="C70" s="10"/>
      <c r="D70" s="10"/>
      <c r="E70" s="10"/>
      <c r="F70" s="10"/>
      <c r="G70" s="10"/>
      <c r="H70" s="10"/>
      <c r="I70" s="10"/>
      <c r="J70" s="10"/>
      <c r="DS70" s="112"/>
      <c r="DT70" s="112"/>
      <c r="DU70" s="112"/>
    </row>
    <row r="71" spans="1:125" s="8" customFormat="1" ht="15" customHeight="1">
      <c r="A71" s="10"/>
      <c r="B71" s="10"/>
      <c r="C71" s="10"/>
      <c r="D71" s="10"/>
      <c r="E71" s="10"/>
      <c r="F71" s="10"/>
      <c r="G71" s="10"/>
      <c r="H71" s="10"/>
      <c r="I71" s="10"/>
      <c r="J71" s="10"/>
      <c r="DS71" s="112"/>
      <c r="DT71" s="112"/>
      <c r="DU71" s="112"/>
    </row>
    <row r="72" spans="1:125" s="8" customFormat="1" ht="15" customHeight="1">
      <c r="A72" s="10"/>
      <c r="B72" s="10"/>
      <c r="C72" s="10"/>
      <c r="D72" s="10"/>
      <c r="E72" s="10"/>
      <c r="F72" s="10"/>
      <c r="G72" s="10"/>
      <c r="H72" s="10"/>
      <c r="I72" s="10"/>
      <c r="J72" s="10"/>
      <c r="DS72" s="112"/>
      <c r="DT72" s="112"/>
      <c r="DU72" s="112"/>
    </row>
    <row r="73" spans="1:125" s="8" customFormat="1" ht="15" customHeight="1">
      <c r="A73" s="10"/>
      <c r="B73" s="10"/>
      <c r="C73" s="10"/>
      <c r="D73" s="10"/>
      <c r="E73" s="10"/>
      <c r="F73" s="10"/>
      <c r="G73" s="10"/>
      <c r="H73" s="10"/>
      <c r="I73" s="10"/>
      <c r="J73" s="10"/>
      <c r="DS73" s="112"/>
      <c r="DT73" s="112"/>
      <c r="DU73" s="112"/>
    </row>
    <row r="74" spans="1:125" s="8" customFormat="1" ht="15" customHeight="1">
      <c r="A74" s="10"/>
      <c r="B74" s="10"/>
      <c r="C74" s="10"/>
      <c r="D74" s="10"/>
      <c r="E74" s="10"/>
      <c r="F74" s="10"/>
      <c r="G74" s="10"/>
      <c r="H74" s="10"/>
      <c r="I74" s="10"/>
      <c r="J74" s="10"/>
      <c r="DS74" s="112"/>
      <c r="DT74" s="112"/>
      <c r="DU74" s="112"/>
    </row>
    <row r="75" spans="1:125" s="8" customFormat="1" ht="15" customHeight="1">
      <c r="A75" s="10"/>
      <c r="B75" s="10"/>
      <c r="C75" s="10"/>
      <c r="D75" s="10"/>
      <c r="E75" s="10"/>
      <c r="F75" s="10"/>
      <c r="G75" s="10"/>
      <c r="H75" s="10"/>
      <c r="I75" s="10"/>
      <c r="J75" s="10"/>
      <c r="DS75" s="112"/>
      <c r="DT75" s="112"/>
      <c r="DU75" s="112"/>
    </row>
    <row r="76" spans="1:125" s="8" customFormat="1" ht="15" customHeight="1">
      <c r="A76" s="10"/>
      <c r="B76" s="10"/>
      <c r="C76" s="10"/>
      <c r="D76" s="10"/>
      <c r="E76" s="10"/>
      <c r="F76" s="10"/>
      <c r="G76" s="10"/>
      <c r="H76" s="10"/>
      <c r="I76" s="10"/>
      <c r="J76" s="10"/>
      <c r="DS76" s="112"/>
      <c r="DT76" s="112"/>
      <c r="DU76" s="112"/>
    </row>
    <row r="77" spans="1:125" s="8" customFormat="1" ht="15" customHeight="1">
      <c r="A77" s="10"/>
      <c r="B77" s="10"/>
      <c r="C77" s="10"/>
      <c r="D77" s="10"/>
      <c r="E77" s="10"/>
      <c r="F77" s="10"/>
      <c r="G77" s="10"/>
      <c r="H77" s="10"/>
      <c r="I77" s="10"/>
      <c r="J77" s="10"/>
      <c r="DS77" s="112"/>
      <c r="DT77" s="112"/>
      <c r="DU77" s="112"/>
    </row>
    <row r="78" spans="1:125" s="8" customFormat="1" ht="15" customHeight="1">
      <c r="A78" s="10"/>
      <c r="B78" s="10"/>
      <c r="C78" s="10"/>
      <c r="D78" s="10"/>
      <c r="E78" s="10"/>
      <c r="F78" s="10"/>
      <c r="G78" s="10"/>
      <c r="H78" s="10"/>
      <c r="I78" s="10"/>
      <c r="J78" s="10"/>
      <c r="DS78" s="112"/>
      <c r="DT78" s="112"/>
      <c r="DU78" s="112"/>
    </row>
    <row r="79" spans="1:125" s="8" customFormat="1" ht="15" customHeight="1">
      <c r="A79" s="10"/>
      <c r="B79" s="10"/>
      <c r="C79" s="10"/>
      <c r="D79" s="10"/>
      <c r="E79" s="10"/>
      <c r="F79" s="10"/>
      <c r="G79" s="10"/>
      <c r="H79" s="10"/>
      <c r="I79" s="10"/>
      <c r="J79" s="10"/>
      <c r="DS79" s="112"/>
      <c r="DT79" s="112"/>
      <c r="DU79" s="112"/>
    </row>
    <row r="80" spans="1:125" s="8" customFormat="1" ht="15" customHeight="1">
      <c r="A80" s="10"/>
      <c r="B80" s="10"/>
      <c r="C80" s="10"/>
      <c r="D80" s="10"/>
      <c r="E80" s="10"/>
      <c r="F80" s="10"/>
      <c r="G80" s="10"/>
      <c r="H80" s="10"/>
      <c r="I80" s="10"/>
      <c r="J80" s="10"/>
      <c r="DS80" s="112"/>
      <c r="DT80" s="112"/>
      <c r="DU80" s="112"/>
    </row>
    <row r="81" spans="1:125" s="8" customFormat="1" ht="15" customHeight="1">
      <c r="A81" s="10"/>
      <c r="B81" s="10"/>
      <c r="C81" s="10"/>
      <c r="D81" s="10"/>
      <c r="E81" s="10"/>
      <c r="F81" s="10"/>
      <c r="G81" s="10"/>
      <c r="H81" s="10"/>
      <c r="I81" s="10"/>
      <c r="J81" s="10"/>
      <c r="DS81" s="112"/>
      <c r="DT81" s="112"/>
      <c r="DU81" s="112"/>
    </row>
    <row r="82" spans="1:125" s="8" customFormat="1" ht="15" customHeight="1">
      <c r="A82" s="10"/>
      <c r="B82" s="10"/>
      <c r="C82" s="10"/>
      <c r="D82" s="10"/>
      <c r="E82" s="10"/>
      <c r="F82" s="10"/>
      <c r="G82" s="10"/>
      <c r="H82" s="10"/>
      <c r="I82" s="10"/>
      <c r="J82" s="10"/>
      <c r="DS82" s="112"/>
      <c r="DT82" s="112"/>
      <c r="DU82" s="112"/>
    </row>
    <row r="83" spans="1:125" s="8" customFormat="1" ht="15" customHeight="1">
      <c r="A83" s="10"/>
      <c r="B83" s="10"/>
      <c r="C83" s="10"/>
      <c r="D83" s="10"/>
      <c r="E83" s="10"/>
      <c r="F83" s="10"/>
      <c r="G83" s="10"/>
      <c r="H83" s="10"/>
      <c r="I83" s="10"/>
      <c r="J83" s="10"/>
      <c r="DS83" s="112"/>
      <c r="DT83" s="112"/>
      <c r="DU83" s="112"/>
    </row>
    <row r="84" spans="1:125" s="8" customFormat="1" ht="15" customHeight="1">
      <c r="A84" s="10"/>
      <c r="B84" s="10"/>
      <c r="C84" s="10"/>
      <c r="D84" s="10"/>
      <c r="E84" s="10"/>
      <c r="F84" s="10"/>
      <c r="G84" s="10"/>
      <c r="H84" s="10"/>
      <c r="I84" s="10"/>
      <c r="J84" s="10"/>
      <c r="DS84" s="112"/>
      <c r="DT84" s="112"/>
      <c r="DU84" s="112"/>
    </row>
    <row r="85" spans="1:125" s="8" customFormat="1" ht="15" customHeight="1">
      <c r="A85" s="10"/>
      <c r="B85" s="10"/>
      <c r="C85" s="10"/>
      <c r="D85" s="10"/>
      <c r="E85" s="10"/>
      <c r="F85" s="10"/>
      <c r="G85" s="10"/>
      <c r="H85" s="10"/>
      <c r="I85" s="10"/>
      <c r="J85" s="10"/>
      <c r="DS85" s="112"/>
      <c r="DT85" s="112"/>
      <c r="DU85" s="112"/>
    </row>
    <row r="86" spans="1:125" s="8" customFormat="1" ht="15" customHeight="1">
      <c r="A86" s="10"/>
      <c r="B86" s="10"/>
      <c r="C86" s="10"/>
      <c r="D86" s="10"/>
      <c r="E86" s="10"/>
      <c r="F86" s="10"/>
      <c r="G86" s="10"/>
      <c r="H86" s="10"/>
      <c r="I86" s="10"/>
      <c r="J86" s="10"/>
      <c r="DS86" s="112"/>
      <c r="DT86" s="112"/>
      <c r="DU86" s="112"/>
    </row>
    <row r="87" spans="1:125" s="8" customFormat="1" ht="15" customHeight="1">
      <c r="A87" s="10"/>
      <c r="B87" s="10"/>
      <c r="C87" s="10"/>
      <c r="D87" s="10"/>
      <c r="E87" s="10"/>
      <c r="F87" s="10"/>
      <c r="G87" s="10"/>
      <c r="H87" s="10"/>
      <c r="I87" s="10"/>
      <c r="J87" s="10"/>
      <c r="DS87" s="112"/>
      <c r="DT87" s="112"/>
      <c r="DU87" s="112"/>
    </row>
    <row r="88" spans="1:125" s="8" customFormat="1" ht="15" customHeight="1">
      <c r="A88" s="10"/>
      <c r="B88" s="10"/>
      <c r="C88" s="10"/>
      <c r="D88" s="10"/>
      <c r="E88" s="10"/>
      <c r="F88" s="10"/>
      <c r="G88" s="10"/>
      <c r="H88" s="10"/>
      <c r="I88" s="10"/>
      <c r="J88" s="10"/>
      <c r="DS88" s="112"/>
      <c r="DT88" s="112"/>
      <c r="DU88" s="112"/>
    </row>
    <row r="89" spans="1:125" s="8" customFormat="1" ht="15" customHeight="1">
      <c r="A89" s="10"/>
      <c r="B89" s="10"/>
      <c r="C89" s="10"/>
      <c r="D89" s="10"/>
      <c r="E89" s="10"/>
      <c r="F89" s="10"/>
      <c r="G89" s="10"/>
      <c r="H89" s="10"/>
      <c r="I89" s="10"/>
      <c r="J89" s="10"/>
      <c r="DS89" s="112"/>
      <c r="DT89" s="112"/>
      <c r="DU89" s="112"/>
    </row>
    <row r="90" spans="1:125" s="8" customFormat="1" ht="15" customHeight="1">
      <c r="A90" s="10"/>
      <c r="B90" s="10"/>
      <c r="C90" s="10"/>
      <c r="D90" s="10"/>
      <c r="E90" s="10"/>
      <c r="F90" s="10"/>
      <c r="G90" s="10"/>
      <c r="H90" s="10"/>
      <c r="I90" s="10"/>
      <c r="J90" s="10"/>
      <c r="DS90" s="112"/>
      <c r="DT90" s="112"/>
      <c r="DU90" s="112"/>
    </row>
    <row r="91" spans="1:125" s="8" customFormat="1" ht="15" customHeight="1">
      <c r="A91" s="10"/>
      <c r="B91" s="10"/>
      <c r="C91" s="10"/>
      <c r="D91" s="10"/>
      <c r="E91" s="10"/>
      <c r="F91" s="10"/>
      <c r="G91" s="10"/>
      <c r="H91" s="10"/>
      <c r="I91" s="10"/>
      <c r="J91" s="10"/>
      <c r="DS91" s="112"/>
      <c r="DT91" s="112"/>
      <c r="DU91" s="112"/>
    </row>
    <row r="92" spans="1:125" s="8" customFormat="1" ht="15" customHeight="1">
      <c r="A92" s="10"/>
      <c r="B92" s="10"/>
      <c r="C92" s="10"/>
      <c r="D92" s="10"/>
      <c r="E92" s="10"/>
      <c r="F92" s="10"/>
      <c r="G92" s="10"/>
      <c r="H92" s="10"/>
      <c r="I92" s="10"/>
      <c r="J92" s="10"/>
      <c r="DS92" s="112"/>
      <c r="DT92" s="112"/>
      <c r="DU92" s="112"/>
    </row>
    <row r="93" spans="1:125" s="8" customFormat="1" ht="15" customHeight="1">
      <c r="A93" s="10"/>
      <c r="B93" s="10"/>
      <c r="C93" s="10"/>
      <c r="D93" s="10"/>
      <c r="E93" s="10"/>
      <c r="F93" s="10"/>
      <c r="G93" s="10"/>
      <c r="H93" s="10"/>
      <c r="I93" s="10"/>
      <c r="J93" s="10"/>
      <c r="DS93" s="112"/>
      <c r="DT93" s="112"/>
      <c r="DU93" s="112"/>
    </row>
    <row r="94" spans="1:125" s="8" customFormat="1" ht="15" customHeight="1">
      <c r="A94" s="10"/>
      <c r="B94" s="10"/>
      <c r="C94" s="10"/>
      <c r="D94" s="10"/>
      <c r="E94" s="10"/>
      <c r="F94" s="10"/>
      <c r="G94" s="10"/>
      <c r="H94" s="10"/>
      <c r="I94" s="10"/>
      <c r="J94" s="10"/>
      <c r="DS94" s="112"/>
      <c r="DT94" s="112"/>
      <c r="DU94" s="112"/>
    </row>
    <row r="95" spans="1:125" s="8" customFormat="1" ht="15" customHeight="1">
      <c r="A95" s="10"/>
      <c r="B95" s="10"/>
      <c r="C95" s="10"/>
      <c r="D95" s="10"/>
      <c r="E95" s="10"/>
      <c r="F95" s="10"/>
      <c r="G95" s="10"/>
      <c r="H95" s="10"/>
      <c r="I95" s="10"/>
      <c r="J95" s="10"/>
      <c r="DS95" s="112"/>
      <c r="DT95" s="112"/>
      <c r="DU95" s="112"/>
    </row>
    <row r="96" spans="1:125" s="8" customFormat="1" ht="15" customHeight="1">
      <c r="A96" s="10"/>
      <c r="B96" s="10"/>
      <c r="C96" s="10"/>
      <c r="D96" s="10"/>
      <c r="E96" s="10"/>
      <c r="F96" s="10"/>
      <c r="G96" s="10"/>
      <c r="H96" s="10"/>
      <c r="I96" s="10"/>
      <c r="J96" s="10"/>
      <c r="DS96" s="112"/>
      <c r="DT96" s="112"/>
      <c r="DU96" s="112"/>
    </row>
    <row r="97" spans="1:125" s="8" customFormat="1" ht="15" customHeight="1">
      <c r="A97" s="10"/>
      <c r="B97" s="10"/>
      <c r="C97" s="10"/>
      <c r="D97" s="10"/>
      <c r="E97" s="10"/>
      <c r="F97" s="10"/>
      <c r="G97" s="10"/>
      <c r="H97" s="10"/>
      <c r="I97" s="10"/>
      <c r="J97" s="10"/>
      <c r="DS97" s="112"/>
      <c r="DT97" s="112"/>
      <c r="DU97" s="112"/>
    </row>
    <row r="98" spans="1:125" s="8" customFormat="1" ht="15" customHeight="1">
      <c r="A98" s="10"/>
      <c r="B98" s="10"/>
      <c r="C98" s="10"/>
      <c r="D98" s="10"/>
      <c r="E98" s="10"/>
      <c r="F98" s="10"/>
      <c r="G98" s="10"/>
      <c r="H98" s="10"/>
      <c r="I98" s="10"/>
      <c r="J98" s="10"/>
      <c r="DS98" s="112"/>
      <c r="DT98" s="112"/>
      <c r="DU98" s="112"/>
    </row>
    <row r="99" spans="1:125" s="8" customFormat="1" ht="15" customHeight="1">
      <c r="A99" s="10"/>
      <c r="B99" s="10"/>
      <c r="C99" s="10"/>
      <c r="D99" s="10"/>
      <c r="E99" s="10"/>
      <c r="F99" s="10"/>
      <c r="G99" s="10"/>
      <c r="H99" s="10"/>
      <c r="I99" s="10"/>
      <c r="J99" s="10"/>
      <c r="DS99" s="112"/>
      <c r="DT99" s="112"/>
      <c r="DU99" s="112"/>
    </row>
    <row r="100" spans="1:125" s="8" customFormat="1" ht="15" customHeight="1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DS100" s="112"/>
      <c r="DT100" s="112"/>
      <c r="DU100" s="112"/>
    </row>
    <row r="101" spans="1:125" s="8" customFormat="1" ht="15" customHeight="1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DS101" s="112"/>
      <c r="DT101" s="112"/>
      <c r="DU101" s="112"/>
    </row>
    <row r="102" spans="1:125" s="8" customFormat="1" ht="15" customHeight="1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DS102" s="112"/>
      <c r="DT102" s="112"/>
      <c r="DU102" s="112"/>
    </row>
    <row r="103" spans="1:125" s="8" customFormat="1" ht="15" customHeight="1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DS103" s="112"/>
      <c r="DT103" s="112"/>
      <c r="DU103" s="112"/>
    </row>
    <row r="104" spans="1:125" s="8" customFormat="1" ht="15" customHeight="1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DS104" s="112"/>
      <c r="DT104" s="112"/>
      <c r="DU104" s="112"/>
    </row>
    <row r="105" spans="1:125" s="8" customFormat="1" ht="15" customHeight="1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DS105" s="112"/>
      <c r="DT105" s="112"/>
      <c r="DU105" s="112"/>
    </row>
    <row r="106" spans="1:125" s="8" customFormat="1" ht="15" customHeight="1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DS106" s="112"/>
      <c r="DT106" s="112"/>
      <c r="DU106" s="112"/>
    </row>
    <row r="107" spans="1:125" s="8" customFormat="1" ht="15" customHeight="1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DS107" s="112"/>
      <c r="DT107" s="112"/>
      <c r="DU107" s="112"/>
    </row>
    <row r="108" spans="1:125" s="8" customFormat="1" ht="15" customHeight="1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DS108" s="112"/>
      <c r="DT108" s="112"/>
      <c r="DU108" s="112"/>
    </row>
    <row r="109" spans="1:125" s="8" customFormat="1" ht="15" customHeight="1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DS109" s="112"/>
      <c r="DT109" s="112"/>
      <c r="DU109" s="112"/>
    </row>
    <row r="110" spans="1:125" s="8" customFormat="1" ht="15" customHeight="1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DS110" s="112"/>
      <c r="DT110" s="112"/>
      <c r="DU110" s="112"/>
    </row>
    <row r="111" spans="1:125" s="8" customFormat="1" ht="15" customHeight="1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DS111" s="112"/>
      <c r="DT111" s="112"/>
      <c r="DU111" s="112"/>
    </row>
    <row r="112" spans="1:125" s="8" customFormat="1" ht="15" customHeight="1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DS112" s="112"/>
      <c r="DT112" s="112"/>
      <c r="DU112" s="112"/>
    </row>
    <row r="113" spans="1:125" s="8" customFormat="1" ht="15" customHeight="1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DS113" s="112"/>
      <c r="DT113" s="112"/>
      <c r="DU113" s="112"/>
    </row>
    <row r="114" spans="1:125" s="8" customFormat="1" ht="15" customHeight="1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DS114" s="112"/>
      <c r="DT114" s="112"/>
      <c r="DU114" s="112"/>
    </row>
    <row r="115" spans="1:125" s="8" customFormat="1" ht="15" customHeight="1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DS115" s="112"/>
      <c r="DT115" s="112"/>
      <c r="DU115" s="112"/>
    </row>
    <row r="116" spans="1:125" s="8" customFormat="1" ht="15" customHeight="1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DS116" s="112"/>
      <c r="DT116" s="112"/>
      <c r="DU116" s="112"/>
    </row>
    <row r="117" spans="1:125" s="8" customFormat="1" ht="15" customHeight="1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DS117" s="112"/>
      <c r="DT117" s="112"/>
      <c r="DU117" s="112"/>
    </row>
    <row r="118" spans="1:125" s="8" customFormat="1" ht="15" customHeight="1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DS118" s="112"/>
      <c r="DT118" s="112"/>
      <c r="DU118" s="112"/>
    </row>
    <row r="119" spans="1:125" s="8" customFormat="1" ht="15" customHeight="1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DS119" s="112"/>
      <c r="DT119" s="112"/>
      <c r="DU119" s="112"/>
    </row>
    <row r="120" spans="1:125" s="8" customFormat="1" ht="15" customHeight="1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DS120" s="112"/>
      <c r="DT120" s="112"/>
      <c r="DU120" s="112"/>
    </row>
    <row r="121" spans="1:125" s="8" customFormat="1" ht="15" customHeight="1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DS121" s="112"/>
      <c r="DT121" s="112"/>
      <c r="DU121" s="112"/>
    </row>
    <row r="122" spans="1:125" s="8" customFormat="1" ht="15" customHeight="1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DS122" s="112"/>
      <c r="DT122" s="112"/>
      <c r="DU122" s="112"/>
    </row>
    <row r="123" spans="1:125" s="8" customFormat="1" ht="15" customHeight="1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DS123" s="112"/>
      <c r="DT123" s="112"/>
      <c r="DU123" s="112"/>
    </row>
    <row r="124" spans="1:125" s="8" customFormat="1" ht="15" customHeight="1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DS124" s="112"/>
      <c r="DT124" s="112"/>
      <c r="DU124" s="112"/>
    </row>
    <row r="125" spans="1:125" s="8" customFormat="1" ht="15" customHeight="1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DS125" s="112"/>
      <c r="DT125" s="112"/>
      <c r="DU125" s="112"/>
    </row>
    <row r="126" spans="1:125" s="8" customFormat="1" ht="15" customHeight="1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DS126" s="112"/>
      <c r="DT126" s="112"/>
      <c r="DU126" s="112"/>
    </row>
    <row r="127" spans="1:125" s="8" customFormat="1" ht="15" customHeight="1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DS127" s="112"/>
      <c r="DT127" s="112"/>
      <c r="DU127" s="112"/>
    </row>
    <row r="128" spans="1:125" s="8" customFormat="1" ht="15" customHeight="1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DS128" s="112"/>
      <c r="DT128" s="112"/>
      <c r="DU128" s="112"/>
    </row>
    <row r="129" spans="1:138" s="8" customFormat="1" ht="15" customHeight="1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DS129" s="112"/>
      <c r="DT129" s="112"/>
      <c r="DU129" s="112"/>
    </row>
    <row r="130" spans="1:138" s="8" customFormat="1" ht="15" customHeight="1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DS130" s="112"/>
      <c r="DT130" s="112"/>
      <c r="DU130" s="112"/>
    </row>
    <row r="131" spans="1:138" s="8" customFormat="1" ht="15" customHeight="1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DS131" s="112"/>
      <c r="DT131" s="112"/>
      <c r="DU131" s="112"/>
    </row>
    <row r="132" spans="1:138" s="8" customFormat="1" ht="15" customHeight="1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DS132" s="112"/>
      <c r="DT132" s="112"/>
      <c r="DU132" s="112"/>
    </row>
    <row r="133" spans="1:138" s="8" customFormat="1" ht="15" customHeight="1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DS133" s="112"/>
      <c r="DT133" s="112"/>
      <c r="DU133" s="112"/>
    </row>
    <row r="134" spans="1:138" s="8" customFormat="1" ht="15" customHeight="1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DS134" s="112"/>
      <c r="DT134" s="112"/>
      <c r="DU134" s="112"/>
    </row>
    <row r="135" spans="1:138" s="8" customFormat="1" ht="15" customHeight="1" thickBot="1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DS135" s="112"/>
      <c r="DT135" s="112"/>
      <c r="DU135" s="112"/>
    </row>
    <row r="136" spans="1:138" s="8" customFormat="1" ht="15" customHeight="1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DS136" s="1567" t="s">
        <v>1690</v>
      </c>
      <c r="DT136" s="112"/>
      <c r="DU136" s="112"/>
    </row>
    <row r="137" spans="1:138" s="8" customFormat="1" ht="15" customHeight="1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DS137" s="1568"/>
      <c r="DT137" s="112"/>
      <c r="DU137" s="112"/>
    </row>
    <row r="138" spans="1:138" s="8" customFormat="1" ht="15" customHeight="1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DS138" s="1568"/>
      <c r="DT138" s="112"/>
      <c r="DU138" s="112"/>
    </row>
    <row r="139" spans="1:138" s="8" customFormat="1" ht="15" customHeight="1" thickBot="1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DS139" s="1569"/>
      <c r="DT139" s="112"/>
      <c r="DU139" s="112"/>
    </row>
    <row r="140" spans="1:138" s="8" customFormat="1" ht="12.95" customHeight="1">
      <c r="A140" s="10"/>
      <c r="B140" s="9"/>
      <c r="C140" s="10"/>
      <c r="D140" s="10"/>
      <c r="E140" s="10"/>
      <c r="F140" s="10"/>
      <c r="G140" s="10"/>
      <c r="H140" s="10"/>
      <c r="I140" s="10"/>
      <c r="J140" s="10"/>
      <c r="DS140" s="112"/>
      <c r="DT140" s="112"/>
      <c r="DU140" s="112"/>
    </row>
    <row r="141" spans="1:138" s="6" customFormat="1" ht="15" customHeight="1">
      <c r="A141" s="3">
        <v>1</v>
      </c>
      <c r="B141" s="210" t="s">
        <v>209</v>
      </c>
      <c r="C141" s="473" t="s">
        <v>515</v>
      </c>
      <c r="D141" s="20"/>
      <c r="E141" s="5"/>
      <c r="F141" s="5"/>
      <c r="G141" s="20"/>
      <c r="H141" s="20"/>
      <c r="I141" s="20"/>
      <c r="J141" s="20"/>
      <c r="K141" s="5"/>
      <c r="L141" s="5"/>
      <c r="M141" s="5"/>
      <c r="O141" s="5"/>
      <c r="P141" s="5"/>
      <c r="Q141" s="5"/>
      <c r="S141" s="5"/>
      <c r="T141" s="5"/>
      <c r="U141" s="5"/>
      <c r="W141" s="5"/>
      <c r="X141" s="5"/>
      <c r="Y141" s="12"/>
      <c r="AA141" s="13"/>
      <c r="AB141" s="12"/>
      <c r="AD141" s="13"/>
      <c r="AE141" s="5"/>
      <c r="AF141" s="5"/>
      <c r="AH141" s="13"/>
      <c r="AI141" s="5"/>
      <c r="AK141" s="5"/>
      <c r="AL141" s="5"/>
      <c r="AM141" s="5"/>
      <c r="AO141" s="5"/>
      <c r="AP141" s="5"/>
      <c r="AR141" s="5"/>
      <c r="AS141" s="5"/>
      <c r="AT141" s="5"/>
      <c r="AV141" s="5"/>
      <c r="AW141" s="5"/>
      <c r="AY141" s="5"/>
      <c r="AZ141" s="5"/>
      <c r="BA141" s="5"/>
      <c r="BC141" s="5"/>
      <c r="BD141" s="5"/>
      <c r="BF141" s="5"/>
      <c r="BG141" s="5"/>
      <c r="BH141" s="5"/>
      <c r="BJ141" s="5"/>
      <c r="BK141" s="5"/>
      <c r="BL141" s="11"/>
      <c r="BM141" s="5"/>
      <c r="BN141" s="5"/>
      <c r="BO141" s="5"/>
      <c r="BQ141" s="5"/>
      <c r="BR141" s="5"/>
      <c r="BT141" s="5"/>
      <c r="BU141" s="5"/>
      <c r="BV141" s="5"/>
      <c r="BX141" s="5"/>
      <c r="BY141" s="5"/>
      <c r="CA141" s="17"/>
      <c r="CB141" s="7"/>
      <c r="CC141" s="11"/>
      <c r="CE141" s="17"/>
      <c r="CF141" s="7"/>
      <c r="CG141" s="11"/>
      <c r="CI141" s="17"/>
      <c r="CJ141" s="7"/>
      <c r="CK141" s="11"/>
      <c r="CM141" s="17"/>
      <c r="CN141" s="7"/>
      <c r="CO141" s="11"/>
      <c r="CQ141" s="17"/>
      <c r="CR141" s="7"/>
      <c r="CS141" s="11"/>
      <c r="CU141" s="17"/>
      <c r="CV141" s="7"/>
      <c r="CW141" s="11"/>
      <c r="CY141" s="17"/>
      <c r="CZ141" s="7"/>
      <c r="DA141" s="11"/>
      <c r="DC141" s="17"/>
      <c r="DD141" s="7"/>
      <c r="DE141" s="11"/>
      <c r="DG141" s="17"/>
      <c r="DH141" s="7"/>
      <c r="DI141" s="11"/>
      <c r="DK141" s="17"/>
      <c r="DL141" s="7"/>
      <c r="DM141" s="11"/>
      <c r="DO141" s="17"/>
      <c r="DP141" s="7"/>
      <c r="DQ141" s="11"/>
      <c r="DS141" s="1336">
        <f>I141+L141+M141+P141+T141+X141+AB141+AE141+F141+CR141+AI141+AL141+AP141+AS141+AW141+AZ141+BD141+BG141+BK141+BN141+BR141+BU141+BY141+CB141+CF141+CJ141+CN141+CV141+CZ141+DD141+DH141+DL141+DP141</f>
        <v>0</v>
      </c>
      <c r="DT141" s="121">
        <f>EXTRAS!D5</f>
        <v>0</v>
      </c>
      <c r="DU141" s="112">
        <f>EXTRAS!E5</f>
        <v>0</v>
      </c>
      <c r="DX141" s="203">
        <f>I141+L141+M141+P141+T141+X141+AB141+AE141+F141+CR141+AI141+AL141+AP141+AS141+AW141+AZ141+BD141+BG141+BK141+BN141+BR141+BU141+BY141+CB141+CF141+CJ141+CN141+CV141+CZ141+DD141+DH141+DL141+DP141+DT141-DU141+DV141+DW141</f>
        <v>0</v>
      </c>
      <c r="DY141" s="659"/>
      <c r="DZ141" s="924"/>
      <c r="EH141" s="924"/>
    </row>
    <row r="142" spans="1:138" s="6" customFormat="1" ht="15" customHeight="1">
      <c r="A142" s="3">
        <v>2</v>
      </c>
      <c r="B142" s="167" t="s">
        <v>1030</v>
      </c>
      <c r="C142" s="400" t="s">
        <v>0</v>
      </c>
      <c r="D142" s="20"/>
      <c r="E142" s="5"/>
      <c r="F142" s="5"/>
      <c r="G142" s="20"/>
      <c r="H142" s="20"/>
      <c r="I142" s="20"/>
      <c r="J142" s="20"/>
      <c r="K142" s="5"/>
      <c r="L142" s="5"/>
      <c r="M142" s="5"/>
      <c r="O142" s="5"/>
      <c r="P142" s="5"/>
      <c r="Q142" s="5"/>
      <c r="S142" s="5"/>
      <c r="T142" s="5"/>
      <c r="U142" s="5"/>
      <c r="W142" s="5"/>
      <c r="X142" s="5"/>
      <c r="Y142" s="12"/>
      <c r="AA142" s="13"/>
      <c r="AB142" s="12"/>
      <c r="AD142" s="13"/>
      <c r="AE142" s="5"/>
      <c r="AF142" s="5"/>
      <c r="AH142" s="13"/>
      <c r="AI142" s="5"/>
      <c r="AK142" s="5"/>
      <c r="AL142" s="5"/>
      <c r="AM142" s="5"/>
      <c r="AO142" s="5"/>
      <c r="AP142" s="5"/>
      <c r="AR142" s="5"/>
      <c r="AS142" s="5"/>
      <c r="AT142" s="5"/>
      <c r="AV142" s="5"/>
      <c r="AW142" s="5"/>
      <c r="AY142" s="5"/>
      <c r="AZ142" s="5"/>
      <c r="BA142" s="5"/>
      <c r="BC142" s="5"/>
      <c r="BD142" s="5"/>
      <c r="BF142" s="5"/>
      <c r="BG142" s="5"/>
      <c r="BH142" s="5"/>
      <c r="BJ142" s="5"/>
      <c r="BK142" s="5"/>
      <c r="BL142" s="11"/>
      <c r="BM142" s="5"/>
      <c r="BN142" s="5"/>
      <c r="BO142" s="5"/>
      <c r="BQ142" s="5"/>
      <c r="BR142" s="5"/>
      <c r="BT142" s="5"/>
      <c r="BU142" s="5"/>
      <c r="BV142" s="5"/>
      <c r="BX142" s="5"/>
      <c r="BY142" s="5"/>
      <c r="CA142" s="17"/>
      <c r="CB142" s="7"/>
      <c r="CC142" s="11"/>
      <c r="CE142" s="17"/>
      <c r="CF142" s="7"/>
      <c r="CG142" s="11"/>
      <c r="CI142" s="17"/>
      <c r="CJ142" s="7"/>
      <c r="CK142" s="11"/>
      <c r="CM142" s="17"/>
      <c r="CN142" s="7"/>
      <c r="CO142" s="11"/>
      <c r="CQ142" s="17"/>
      <c r="CR142" s="7"/>
      <c r="CS142" s="11"/>
      <c r="CU142" s="17"/>
      <c r="CV142" s="7"/>
      <c r="CW142" s="11"/>
      <c r="CY142" s="17"/>
      <c r="CZ142" s="7"/>
      <c r="DA142" s="11"/>
      <c r="DC142" s="17"/>
      <c r="DD142" s="7"/>
      <c r="DE142" s="11"/>
      <c r="DG142" s="17"/>
      <c r="DH142" s="7"/>
      <c r="DI142" s="11"/>
      <c r="DK142" s="17"/>
      <c r="DL142" s="7"/>
      <c r="DM142" s="11"/>
      <c r="DO142" s="17"/>
      <c r="DP142" s="7"/>
      <c r="DQ142" s="11"/>
      <c r="DS142" s="1336">
        <f t="shared" ref="DS142:DS206" si="0">I142+L142+M142+P142+T142+X142+AB142+AE142+F142+CR142+AI142+AL142+AP142+AS142+AW142+AZ142+BD142+BG142+BK142+BN142+BR142+BU142+BY142+CB142+CF142+CJ142+CN142+CV142+CZ142+DD142+DH142+DL142+DP142</f>
        <v>0</v>
      </c>
      <c r="DT142" s="121">
        <f>EXTRAS!D6</f>
        <v>0</v>
      </c>
      <c r="DU142" s="112">
        <f>EXTRAS!E6</f>
        <v>0</v>
      </c>
      <c r="DX142" s="203">
        <f t="shared" ref="DX142:DX207" si="1">I142+L142+M142+P142+T142+X142+AB142+AE142+F142+CR142+AI142+AL142+AP142+AS142+AW142+AZ142+BD142+BG142+BK142+BN142+BR142+BU142+BY142+CB142+CF142+CJ142+CN142+CV142+CZ142+DD142+DH142+DL142+DP142+DT142-DU142+DV142+DW142</f>
        <v>0</v>
      </c>
      <c r="DZ142" s="924"/>
      <c r="EH142" s="924"/>
    </row>
    <row r="143" spans="1:138" s="6" customFormat="1" ht="15" customHeight="1">
      <c r="A143" s="3">
        <v>3</v>
      </c>
      <c r="B143" s="167" t="s">
        <v>1252</v>
      </c>
      <c r="C143" s="400" t="s">
        <v>0</v>
      </c>
      <c r="D143" s="20"/>
      <c r="E143" s="5"/>
      <c r="F143" s="5"/>
      <c r="G143" s="20"/>
      <c r="H143" s="20">
        <v>4</v>
      </c>
      <c r="I143" s="657">
        <f>SUM(I5:I26)*H143</f>
        <v>0</v>
      </c>
      <c r="J143" s="20"/>
      <c r="K143" s="5"/>
      <c r="L143" s="5"/>
      <c r="M143" s="5"/>
      <c r="O143" s="5"/>
      <c r="P143" s="5"/>
      <c r="Q143" s="5"/>
      <c r="S143" s="5"/>
      <c r="T143" s="5"/>
      <c r="U143" s="5"/>
      <c r="W143" s="5"/>
      <c r="X143" s="5"/>
      <c r="Y143" s="12"/>
      <c r="AA143" s="13"/>
      <c r="AB143" s="12"/>
      <c r="AD143" s="13"/>
      <c r="AE143" s="5"/>
      <c r="AF143" s="5"/>
      <c r="AH143" s="13"/>
      <c r="AI143" s="5"/>
      <c r="AK143" s="5"/>
      <c r="AL143" s="5"/>
      <c r="AM143" s="5"/>
      <c r="AO143" s="5"/>
      <c r="AP143" s="5"/>
      <c r="AR143" s="5"/>
      <c r="AS143" s="5"/>
      <c r="AT143" s="5"/>
      <c r="AV143" s="5"/>
      <c r="AW143" s="5"/>
      <c r="AY143" s="5"/>
      <c r="AZ143" s="5"/>
      <c r="BA143" s="5"/>
      <c r="BC143" s="5"/>
      <c r="BD143" s="5"/>
      <c r="BF143" s="5"/>
      <c r="BG143" s="5"/>
      <c r="BH143" s="5"/>
      <c r="BJ143" s="5"/>
      <c r="BK143" s="5"/>
      <c r="BL143" s="11"/>
      <c r="BM143" s="5"/>
      <c r="BN143" s="5"/>
      <c r="BO143" s="5"/>
      <c r="BQ143" s="5"/>
      <c r="BR143" s="5"/>
      <c r="BT143" s="5"/>
      <c r="BU143" s="5"/>
      <c r="BV143" s="5"/>
      <c r="BX143" s="5"/>
      <c r="BY143" s="5"/>
      <c r="CA143" s="17"/>
      <c r="CB143" s="7"/>
      <c r="CC143" s="11"/>
      <c r="CE143" s="17"/>
      <c r="CF143" s="7"/>
      <c r="CG143" s="11"/>
      <c r="CI143" s="17"/>
      <c r="CJ143" s="7"/>
      <c r="CK143" s="11"/>
      <c r="CM143" s="17"/>
      <c r="CN143" s="7"/>
      <c r="CO143" s="11"/>
      <c r="CQ143" s="17"/>
      <c r="CR143" s="7"/>
      <c r="CS143" s="11"/>
      <c r="CU143" s="17"/>
      <c r="CV143" s="7"/>
      <c r="CW143" s="11"/>
      <c r="CY143" s="17"/>
      <c r="CZ143" s="7"/>
      <c r="DA143" s="11"/>
      <c r="DC143" s="17"/>
      <c r="DD143" s="7"/>
      <c r="DE143" s="11"/>
      <c r="DG143" s="17"/>
      <c r="DH143" s="7"/>
      <c r="DI143" s="11"/>
      <c r="DK143" s="17"/>
      <c r="DL143" s="7"/>
      <c r="DM143" s="11"/>
      <c r="DO143" s="17"/>
      <c r="DP143" s="7"/>
      <c r="DQ143" s="11"/>
      <c r="DS143" s="1336">
        <f t="shared" si="0"/>
        <v>0</v>
      </c>
      <c r="DT143" s="121">
        <f>EXTRAS!D7</f>
        <v>0</v>
      </c>
      <c r="DU143" s="112">
        <f>EXTRAS!E7</f>
        <v>0</v>
      </c>
      <c r="DX143" s="203">
        <f t="shared" si="1"/>
        <v>0</v>
      </c>
      <c r="DZ143" s="924"/>
      <c r="EH143" s="924"/>
    </row>
    <row r="144" spans="1:138" s="6" customFormat="1" ht="15" customHeight="1">
      <c r="A144" s="3">
        <v>4</v>
      </c>
      <c r="B144" s="210" t="s">
        <v>1175</v>
      </c>
      <c r="C144" s="473" t="s">
        <v>515</v>
      </c>
      <c r="D144" s="4"/>
      <c r="E144" s="5"/>
      <c r="F144" s="5"/>
      <c r="G144" s="4"/>
      <c r="H144" s="4"/>
      <c r="I144" s="4"/>
      <c r="J144" s="4"/>
      <c r="K144" s="5"/>
      <c r="L144" s="5"/>
      <c r="M144" s="5"/>
      <c r="O144" s="5"/>
      <c r="P144" s="5"/>
      <c r="Q144" s="5"/>
      <c r="S144" s="5"/>
      <c r="T144" s="5"/>
      <c r="U144" s="5"/>
      <c r="W144" s="5"/>
      <c r="X144" s="5"/>
      <c r="Y144" s="12"/>
      <c r="AA144" s="13"/>
      <c r="AB144" s="12"/>
      <c r="AD144" s="13"/>
      <c r="AE144" s="5"/>
      <c r="AF144" s="5"/>
      <c r="AH144" s="13"/>
      <c r="AI144" s="5"/>
      <c r="AK144" s="5"/>
      <c r="AL144" s="5"/>
      <c r="AM144" s="5"/>
      <c r="AO144" s="5"/>
      <c r="AP144" s="5"/>
      <c r="AR144" s="5"/>
      <c r="AS144" s="5"/>
      <c r="AT144" s="5"/>
      <c r="AV144" s="5"/>
      <c r="AW144" s="5"/>
      <c r="AY144" s="5"/>
      <c r="AZ144" s="5"/>
      <c r="BA144" s="5"/>
      <c r="BC144" s="5"/>
      <c r="BD144" s="5"/>
      <c r="BF144" s="5"/>
      <c r="BG144" s="5"/>
      <c r="BH144" s="5"/>
      <c r="BJ144" s="5"/>
      <c r="BK144" s="5"/>
      <c r="BL144" s="12"/>
      <c r="BM144" s="5"/>
      <c r="BN144" s="5"/>
      <c r="BO144" s="5"/>
      <c r="BQ144" s="5"/>
      <c r="BR144" s="5"/>
      <c r="BT144" s="5"/>
      <c r="BU144" s="5"/>
      <c r="BV144" s="5"/>
      <c r="BX144" s="5"/>
      <c r="BY144" s="5"/>
      <c r="CA144" s="13"/>
      <c r="CB144" s="7"/>
      <c r="CC144" s="11"/>
      <c r="CE144" s="13">
        <v>4</v>
      </c>
      <c r="CF144" s="5">
        <f>SUM(CF5:CG26)*CE144</f>
        <v>0</v>
      </c>
      <c r="CG144" s="5"/>
      <c r="CI144" s="13">
        <v>4</v>
      </c>
      <c r="CJ144" s="5">
        <f>SUM(CJ5:CK26)*CI144</f>
        <v>0</v>
      </c>
      <c r="CK144" s="12"/>
      <c r="CM144" s="13"/>
      <c r="CN144" s="5"/>
      <c r="CO144" s="12"/>
      <c r="CQ144" s="13"/>
      <c r="CR144" s="5"/>
      <c r="CS144" s="12"/>
      <c r="CU144" s="13"/>
      <c r="CV144" s="5"/>
      <c r="CW144" s="12"/>
      <c r="CY144" s="13">
        <v>4</v>
      </c>
      <c r="CZ144" s="5">
        <f>SUM(CZ5:DA26)*CY144</f>
        <v>0</v>
      </c>
      <c r="DA144" s="5"/>
      <c r="DC144" s="13">
        <v>4</v>
      </c>
      <c r="DD144" s="5">
        <f>SUM(DD5:DE26)*DC144</f>
        <v>0</v>
      </c>
      <c r="DE144" s="12"/>
      <c r="DG144" s="13"/>
      <c r="DH144" s="5"/>
      <c r="DI144" s="12"/>
      <c r="DK144" s="13"/>
      <c r="DL144" s="5"/>
      <c r="DM144" s="12"/>
      <c r="DO144" s="13"/>
      <c r="DP144" s="5"/>
      <c r="DQ144" s="12"/>
      <c r="DS144" s="1336">
        <f t="shared" si="0"/>
        <v>0</v>
      </c>
      <c r="DT144" s="121">
        <f>EXTRAS!D8</f>
        <v>0</v>
      </c>
      <c r="DU144" s="112">
        <f>EXTRAS!E8</f>
        <v>0</v>
      </c>
      <c r="DV144" s="6">
        <f>(DW7+DW8+DW12)*4-(DX7+DX8+DX12)*4</f>
        <v>0</v>
      </c>
      <c r="DX144" s="203">
        <f t="shared" si="1"/>
        <v>0</v>
      </c>
      <c r="DZ144" s="924"/>
      <c r="EH144" s="924"/>
    </row>
    <row r="145" spans="1:138" s="6" customFormat="1" ht="15" customHeight="1">
      <c r="A145" s="3">
        <v>5</v>
      </c>
      <c r="B145" s="210" t="s">
        <v>1176</v>
      </c>
      <c r="C145" s="473" t="s">
        <v>515</v>
      </c>
      <c r="D145" s="4"/>
      <c r="E145" s="5"/>
      <c r="F145" s="5"/>
      <c r="G145" s="4"/>
      <c r="H145" s="4"/>
      <c r="I145" s="4"/>
      <c r="J145" s="4"/>
      <c r="K145" s="5"/>
      <c r="L145" s="5"/>
      <c r="M145" s="5"/>
      <c r="O145" s="5"/>
      <c r="P145" s="5"/>
      <c r="Q145" s="5"/>
      <c r="S145" s="5"/>
      <c r="T145" s="5"/>
      <c r="U145" s="5"/>
      <c r="W145" s="5"/>
      <c r="X145" s="5"/>
      <c r="Y145" s="12"/>
      <c r="AA145" s="13"/>
      <c r="AB145" s="12"/>
      <c r="AD145" s="13"/>
      <c r="AE145" s="5"/>
      <c r="AF145" s="5"/>
      <c r="AH145" s="13"/>
      <c r="AI145" s="5"/>
      <c r="AK145" s="5"/>
      <c r="AL145" s="5"/>
      <c r="AM145" s="5"/>
      <c r="AO145" s="5"/>
      <c r="AP145" s="5"/>
      <c r="AR145" s="5"/>
      <c r="AS145" s="5"/>
      <c r="AT145" s="5"/>
      <c r="AV145" s="5"/>
      <c r="AW145" s="5"/>
      <c r="AY145" s="5"/>
      <c r="AZ145" s="5"/>
      <c r="BA145" s="5"/>
      <c r="BC145" s="5"/>
      <c r="BD145" s="5"/>
      <c r="BF145" s="5"/>
      <c r="BG145" s="5"/>
      <c r="BH145" s="5"/>
      <c r="BJ145" s="5"/>
      <c r="BK145" s="5"/>
      <c r="BL145" s="12"/>
      <c r="BM145" s="5"/>
      <c r="BN145" s="5"/>
      <c r="BO145" s="5"/>
      <c r="BQ145" s="5"/>
      <c r="BR145" s="5"/>
      <c r="BT145" s="5"/>
      <c r="BU145" s="5"/>
      <c r="BV145" s="5"/>
      <c r="BX145" s="5"/>
      <c r="BY145" s="5"/>
      <c r="CA145" s="13"/>
      <c r="CB145" s="7"/>
      <c r="CC145" s="11"/>
      <c r="CE145" s="13"/>
      <c r="CF145" s="5"/>
      <c r="CG145" s="12"/>
      <c r="CI145" s="13"/>
      <c r="CJ145" s="5"/>
      <c r="CK145" s="12"/>
      <c r="CM145" s="13">
        <v>4</v>
      </c>
      <c r="CN145" s="5">
        <f>SUM(CN5:CO26)*CM145</f>
        <v>0</v>
      </c>
      <c r="CO145" s="12"/>
      <c r="CQ145" s="13"/>
      <c r="CR145" s="5"/>
      <c r="CS145" s="12"/>
      <c r="CU145" s="13"/>
      <c r="CV145" s="5"/>
      <c r="CW145" s="12"/>
      <c r="CY145" s="13"/>
      <c r="CZ145" s="5"/>
      <c r="DA145" s="12"/>
      <c r="DC145" s="13"/>
      <c r="DD145" s="5"/>
      <c r="DE145" s="12"/>
      <c r="DG145" s="13">
        <v>4</v>
      </c>
      <c r="DH145" s="5">
        <f>SUM(DH5:DI26)*DG145</f>
        <v>0</v>
      </c>
      <c r="DI145" s="12"/>
      <c r="DK145" s="13"/>
      <c r="DL145" s="5"/>
      <c r="DM145" s="12"/>
      <c r="DO145" s="13"/>
      <c r="DP145" s="5"/>
      <c r="DQ145" s="12"/>
      <c r="DS145" s="1336">
        <f t="shared" si="0"/>
        <v>0</v>
      </c>
      <c r="DT145" s="121">
        <f>EXTRAS!D9</f>
        <v>0</v>
      </c>
      <c r="DU145" s="112">
        <f>EXTRAS!E9</f>
        <v>0</v>
      </c>
      <c r="DV145" s="6">
        <f>(DW9+DW12)*4-(DX9+-DX12)*4</f>
        <v>0</v>
      </c>
      <c r="DX145" s="203">
        <f t="shared" si="1"/>
        <v>0</v>
      </c>
      <c r="DZ145" s="924"/>
      <c r="EH145" s="924"/>
    </row>
    <row r="146" spans="1:138" s="6" customFormat="1" ht="15" customHeight="1">
      <c r="A146" s="3">
        <v>6</v>
      </c>
      <c r="B146" s="210" t="s">
        <v>1177</v>
      </c>
      <c r="C146" s="473" t="s">
        <v>515</v>
      </c>
      <c r="D146" s="4"/>
      <c r="E146" s="5"/>
      <c r="F146" s="5"/>
      <c r="G146" s="4"/>
      <c r="H146" s="4"/>
      <c r="I146" s="4"/>
      <c r="J146" s="4"/>
      <c r="K146" s="5"/>
      <c r="L146" s="5"/>
      <c r="M146" s="5"/>
      <c r="O146" s="5"/>
      <c r="P146" s="5"/>
      <c r="Q146" s="5"/>
      <c r="S146" s="5"/>
      <c r="T146" s="5"/>
      <c r="U146" s="5"/>
      <c r="W146" s="5"/>
      <c r="X146" s="5"/>
      <c r="Y146" s="12"/>
      <c r="AA146" s="13"/>
      <c r="AB146" s="12"/>
      <c r="AD146" s="13"/>
      <c r="AE146" s="5"/>
      <c r="AF146" s="5"/>
      <c r="AH146" s="13"/>
      <c r="AI146" s="5"/>
      <c r="AK146" s="5"/>
      <c r="AL146" s="5"/>
      <c r="AM146" s="5"/>
      <c r="AO146" s="5"/>
      <c r="AP146" s="5"/>
      <c r="AR146" s="5"/>
      <c r="AS146" s="5"/>
      <c r="AT146" s="5"/>
      <c r="AV146" s="5"/>
      <c r="AW146" s="5"/>
      <c r="AY146" s="5"/>
      <c r="AZ146" s="5"/>
      <c r="BA146" s="5"/>
      <c r="BC146" s="5"/>
      <c r="BD146" s="5"/>
      <c r="BF146" s="5"/>
      <c r="BG146" s="5"/>
      <c r="BH146" s="5"/>
      <c r="BJ146" s="5"/>
      <c r="BK146" s="5"/>
      <c r="BL146" s="12"/>
      <c r="BM146" s="5"/>
      <c r="BN146" s="5"/>
      <c r="BO146" s="5"/>
      <c r="BQ146" s="5"/>
      <c r="BR146" s="5"/>
      <c r="BT146" s="5"/>
      <c r="BU146" s="5"/>
      <c r="BV146" s="5"/>
      <c r="BX146" s="5"/>
      <c r="BY146" s="5"/>
      <c r="CA146" s="13"/>
      <c r="CB146" s="7"/>
      <c r="CC146" s="11"/>
      <c r="CE146" s="13"/>
      <c r="CF146" s="5"/>
      <c r="CG146" s="12"/>
      <c r="CI146" s="13"/>
      <c r="CJ146" s="5"/>
      <c r="CK146" s="12"/>
      <c r="CM146" s="13"/>
      <c r="CN146" s="5"/>
      <c r="CO146" s="12"/>
      <c r="CQ146" s="13">
        <v>4</v>
      </c>
      <c r="CR146" s="5">
        <f>SUM(CR5:CS26)*CQ146</f>
        <v>0</v>
      </c>
      <c r="CS146" s="12"/>
      <c r="CU146" s="13"/>
      <c r="CV146" s="5"/>
      <c r="CW146" s="12"/>
      <c r="CY146" s="13"/>
      <c r="CZ146" s="5"/>
      <c r="DA146" s="12"/>
      <c r="DC146" s="13"/>
      <c r="DD146" s="5"/>
      <c r="DE146" s="12"/>
      <c r="DG146" s="13"/>
      <c r="DH146" s="5"/>
      <c r="DI146" s="12"/>
      <c r="DK146" s="13">
        <v>4</v>
      </c>
      <c r="DL146" s="5">
        <f>SUM(DL5:DM26)*DK146</f>
        <v>0</v>
      </c>
      <c r="DM146" s="12"/>
      <c r="DO146" s="13"/>
      <c r="DP146" s="5"/>
      <c r="DQ146" s="12"/>
      <c r="DS146" s="1336">
        <f t="shared" si="0"/>
        <v>0</v>
      </c>
      <c r="DT146" s="121">
        <f>EXTRAS!D10</f>
        <v>0</v>
      </c>
      <c r="DU146" s="112">
        <f>EXTRAS!E10</f>
        <v>0</v>
      </c>
      <c r="DV146" s="6">
        <f>(DW10+DW13)*4-(DX10+DX13)*4</f>
        <v>0</v>
      </c>
      <c r="DX146" s="203">
        <f t="shared" si="1"/>
        <v>0</v>
      </c>
      <c r="DZ146" s="924"/>
      <c r="EH146" s="924"/>
    </row>
    <row r="147" spans="1:138" s="6" customFormat="1" ht="15" customHeight="1">
      <c r="A147" s="3">
        <v>7</v>
      </c>
      <c r="B147" s="210" t="s">
        <v>1171</v>
      </c>
      <c r="C147" s="473" t="s">
        <v>515</v>
      </c>
      <c r="D147" s="4"/>
      <c r="E147" s="5"/>
      <c r="F147" s="5"/>
      <c r="G147" s="4"/>
      <c r="H147" s="4"/>
      <c r="I147" s="4"/>
      <c r="J147" s="4"/>
      <c r="K147" s="5"/>
      <c r="L147" s="5"/>
      <c r="M147" s="5"/>
      <c r="O147" s="5"/>
      <c r="P147" s="5"/>
      <c r="Q147" s="5"/>
      <c r="S147" s="5">
        <v>1</v>
      </c>
      <c r="T147" s="5">
        <f>T5*S147+T6*S147+T7*S147+T8*S147+T9*S147+T10*S147+T11*S147+T12*S147+T13*S147+T14*S147+T15*S147+T16*S147+T17*S147+T18*S147+T19*S147+T20*S147+T21*S147+T22*S147+T23*S147+T24*S147+T25*S147+T26*S147</f>
        <v>0</v>
      </c>
      <c r="U147" s="5"/>
      <c r="W147" s="5">
        <v>1</v>
      </c>
      <c r="X147" s="5">
        <f>X5*W147+X6*W147+X7*W147+X8*W147+X9*W147+X10*W147+X11*W147+X12*W147+X13*W147+X14*W147+X15*W147+X16*W147+X17*W147+X18*W147+X19*W147+X20*W147+X21*W147+X22*W147+X23*W147+X24*W147+X25*W147+X26*W147</f>
        <v>0</v>
      </c>
      <c r="Y147" s="12"/>
      <c r="AA147" s="13"/>
      <c r="AB147" s="12"/>
      <c r="AD147" s="13">
        <v>1</v>
      </c>
      <c r="AE147" s="5">
        <f>AE5*AD147+AE6*AD147+AE7*AD147+AE8*AD147+AE9*AD147+AE10*AD147+AE11*AD147+AE12*AD147+AE13*AD147+AE14*AD147+AE15*AD147+AE16*AD147+AE17*AD147+AE18*AD147+AE19*AD147+AE20*AD147+AE21*AD147+AE22*AD147+AE23*AD147+AE24*AD147+AE25*AD147+AE26*AD147</f>
        <v>0</v>
      </c>
      <c r="AF147" s="5"/>
      <c r="AH147" s="13"/>
      <c r="AI147" s="5"/>
      <c r="AK147" s="5">
        <v>1</v>
      </c>
      <c r="AL147" s="5">
        <f>AL5*AK147+AL6*AK147+AL7*AK147+AL8*AK147+AL9*AK147+AL10*AK147+AL11*AK147+AL12*AK147+AL13*AK147+AL14*AK147+AL15*AK147+AL16*AK147+AL17*AK147+AL18*AK147+AL19*AK147+AL20*AK147+AL21*AK147+AL22*AK147+AL23*AK147+AL24*AK147+AL25*AK147+AL26*AK147</f>
        <v>0</v>
      </c>
      <c r="AM147" s="5"/>
      <c r="AO147" s="5"/>
      <c r="AP147" s="5"/>
      <c r="AR147" s="5">
        <v>2</v>
      </c>
      <c r="AS147" s="5">
        <f>AS5*AR147+AS6*AR147+AS7*AR147+AS8*AR147+AS9*AR147+AS10*AR147+AS11*AR147+AS12*AR147+AS13*AR147+AS14*AR147+AS15*AR147+AS16*AR147+AS17*AR147+AS18*AR147+AS19*AR147+AS20*AR147+AS21*AR147+AS22*AR147+AS23*AR147+AS24*AR147+AS25*AR147+AS26*AR147</f>
        <v>0</v>
      </c>
      <c r="AT147" s="5"/>
      <c r="AV147" s="5">
        <v>1</v>
      </c>
      <c r="AW147" s="5">
        <f>AW26*AV147+AW5*AV147+AW6*AV147+AW7*AV147+AW8*AV147+AW9*AV147+AW10*AV147+AW11*AV147+AW12*AV147+AW13*AV147+AW14*AV147+AW15*AV147+AW16*AV147+AW17*AV147+AW18*AV147+AW19*AV147+AW20*AV147+AW21*AV147+AW22*AV147+AW23*AV147+AW24*AV147+AW25*AV147</f>
        <v>0</v>
      </c>
      <c r="AY147" s="5">
        <v>2</v>
      </c>
      <c r="AZ147" s="5">
        <f>AZ5*AY147+AZ6*AY147+AZ7*AY147+AZ8*AY147+AZ9*AY147+AZ10*AY147+AZ11*AY147+AZ12*AY147+AZ13*AY147+AZ14*AY147+AZ15*AY147+AZ16*AY147+AZ17*AY147+AZ18*AY147+AZ19*AY147+AZ20*AY147+AZ21*AY147+AZ22*AY147+AZ23*AY147+AZ24*AY147+AZ25*AY147+AZ26*AY147</f>
        <v>0</v>
      </c>
      <c r="BA147" s="5"/>
      <c r="BC147" s="5">
        <v>1</v>
      </c>
      <c r="BD147" s="5">
        <f>BD26*BC147+BD5*BC147+BD6*BC147+BD7*BC147+BD8*BC147+BD9*BC147+BD10*BC147+BD11*BC147+BD12*BC147+BD13*BC147+BD14*BC147+BD15*BC147+BD16*BC147+BD17*BC147+BD18*BC147+BD19*BC147+BD20*BC147+BD21*BC147+BD22*BC147+BD23*BC147+BD24*BC147+BD25*BC147</f>
        <v>0</v>
      </c>
      <c r="BF147" s="5">
        <v>2</v>
      </c>
      <c r="BG147" s="5">
        <f>BG5*BF147+BG6*BF147+BG7*BF147+BG8*BF147+BG9*BF147+BG10*BF147+BG11*BF147+BG12*BF147+BG13*BF147+BG14*BF147+BG15*BF147+BG16*BF147+BG17*BF147+BG18*BF147+BG19*BF147+BG20*BF147+BG21*BF147+BG22*BF147+BG23*BF147+BG24*BF147+BG25*BF147+BG26*BF147</f>
        <v>0</v>
      </c>
      <c r="BH147" s="5"/>
      <c r="BJ147" s="5">
        <v>1</v>
      </c>
      <c r="BK147" s="5">
        <f>BK26*BJ147+BK5*BJ147+BK6*BJ147+BK7*BJ147+BK8*BJ147+BK9*BJ147+BK10*BJ147+BK11*BJ147+BK12*BJ147+BK13*BJ147+BK14*BJ147+BK15*BJ147+BK16*BJ147+BK17*BJ147+BK18*BJ147+BK19*BJ147+BK20*BJ147+BK21*BJ147+BK22*BJ147+BK23*BJ147+BK24*BJ147+BK25*BJ147</f>
        <v>0</v>
      </c>
      <c r="BL147" s="12"/>
      <c r="BM147" s="5">
        <v>2</v>
      </c>
      <c r="BN147" s="5">
        <f>BN5*BM147+BN6*BM147+BN7*BM147+BN8*BM147+BN9*BM147+BN10*BM147+BN11*BM147+BN12*BM147+BN13*BM147+BN14*BM147+BN15*BM147+BN16*BM147+BN17*BM147+BN18*BM147+BN19*BM147+BN20*BM147+BN21*BM147+BN22*BM147+BN23*BM147+BN24*BM147+BN25*BM147+BN26*BM147</f>
        <v>0</v>
      </c>
      <c r="BO147" s="5"/>
      <c r="BQ147" s="5">
        <v>1</v>
      </c>
      <c r="BR147" s="5">
        <f>BR26*BQ147+BR5*BQ147+BR6*BQ147+BR7*BQ147+BR8*BQ147+BR9*BQ147+BR10*BQ147+BR11*BQ147+BR12*BQ147+BR13*BQ147+BR14*BQ147+BR15*BQ147+BR16*BQ147+BR17*BQ147+BR18*BQ147+BR19*BQ147+BR20*BQ147+BR21*BQ147+BR22*BQ147+BR23*BQ147+BR24*BQ147+BR25*BQ147</f>
        <v>0</v>
      </c>
      <c r="BT147" s="5">
        <v>2</v>
      </c>
      <c r="BU147" s="5">
        <f>BU5*BT147+BU6*BT147+BU7*BT147+BU8*BT147+BU9*BT147+BU10*BT147+BU11*BT147+BU12*BT147+BU13*BT147+BU14*BT147+BU15*BT147+BU16*BT147+BU17*BT147+BU18*BT147+BU19*BT147+BU20*BT147+BU21*BT147+BU22*BT147+BU23*BT147+BU24*BT147+BU25*BT147+BU26*BT147</f>
        <v>0</v>
      </c>
      <c r="BV147" s="5"/>
      <c r="BX147" s="5">
        <v>1</v>
      </c>
      <c r="BY147" s="5">
        <f>BY5*BX147+BY6*BX147+BY7*BX147+BY8*BX147+BY9*BX147+BY10*BX147+BY11*BX147+BY12*BX147+BY13*BX147+BY14*BX147+BY15*BX147+BY16*BX147+BY17*BX147+BY18*BX147+BY19*BX147+BY20*BX147+BY21*BX147+BY22*BX147+BY23*BX147+BY24*BX147+BY25*BX147+BY26*BX147</f>
        <v>0</v>
      </c>
      <c r="CA147" s="13">
        <v>2</v>
      </c>
      <c r="CB147" s="5">
        <f>SUM(CB5:CB26)*CA147</f>
        <v>0</v>
      </c>
      <c r="CC147" s="11"/>
      <c r="CE147" s="13"/>
      <c r="CF147" s="5"/>
      <c r="CG147" s="12"/>
      <c r="CI147" s="13"/>
      <c r="CJ147" s="5"/>
      <c r="CK147" s="12"/>
      <c r="CM147" s="13"/>
      <c r="CN147" s="5"/>
      <c r="CO147" s="12"/>
      <c r="CQ147" s="13"/>
      <c r="CR147" s="5"/>
      <c r="CS147" s="12"/>
      <c r="CU147" s="13"/>
      <c r="CV147" s="5"/>
      <c r="CW147" s="12"/>
      <c r="CY147" s="13"/>
      <c r="CZ147" s="5"/>
      <c r="DA147" s="12"/>
      <c r="DC147" s="13"/>
      <c r="DD147" s="5"/>
      <c r="DE147" s="12"/>
      <c r="DG147" s="13"/>
      <c r="DH147" s="5"/>
      <c r="DI147" s="12"/>
      <c r="DK147" s="13"/>
      <c r="DL147" s="5"/>
      <c r="DM147" s="12"/>
      <c r="DO147" s="13"/>
      <c r="DP147" s="5"/>
      <c r="DQ147" s="12"/>
      <c r="DS147" s="1336">
        <f t="shared" si="0"/>
        <v>0</v>
      </c>
      <c r="DT147" s="121">
        <f>EXTRAS!D11</f>
        <v>0</v>
      </c>
      <c r="DU147" s="112">
        <f>EXTRAS!E11</f>
        <v>0</v>
      </c>
      <c r="DX147" s="203">
        <f t="shared" si="1"/>
        <v>0</v>
      </c>
      <c r="DZ147" s="924"/>
      <c r="EH147" s="924"/>
    </row>
    <row r="148" spans="1:138" s="6" customFormat="1" ht="15" customHeight="1">
      <c r="A148" s="3">
        <v>8</v>
      </c>
      <c r="B148" s="210" t="s">
        <v>1172</v>
      </c>
      <c r="C148" s="473" t="s">
        <v>515</v>
      </c>
      <c r="D148" s="4"/>
      <c r="E148" s="5"/>
      <c r="F148" s="5"/>
      <c r="G148" s="4"/>
      <c r="H148" s="4"/>
      <c r="I148" s="4"/>
      <c r="J148" s="4"/>
      <c r="K148" s="5"/>
      <c r="L148" s="5"/>
      <c r="M148" s="5"/>
      <c r="O148" s="5"/>
      <c r="P148" s="5"/>
      <c r="Q148" s="5"/>
      <c r="S148" s="5"/>
      <c r="T148" s="5"/>
      <c r="U148" s="5"/>
      <c r="W148" s="5"/>
      <c r="X148" s="5"/>
      <c r="Y148" s="12"/>
      <c r="AA148" s="13"/>
      <c r="AB148" s="12"/>
      <c r="AD148" s="13"/>
      <c r="AE148" s="5"/>
      <c r="AF148" s="5"/>
      <c r="AH148" s="13"/>
      <c r="AI148" s="5"/>
      <c r="AK148" s="5"/>
      <c r="AL148" s="5"/>
      <c r="AM148" s="5"/>
      <c r="AO148" s="5"/>
      <c r="AP148" s="5"/>
      <c r="AR148" s="5"/>
      <c r="AS148" s="5"/>
      <c r="AT148" s="5"/>
      <c r="AV148" s="5"/>
      <c r="AW148" s="5"/>
      <c r="AY148" s="5"/>
      <c r="AZ148" s="5"/>
      <c r="BA148" s="5"/>
      <c r="BC148" s="5"/>
      <c r="BD148" s="5"/>
      <c r="BF148" s="5"/>
      <c r="BG148" s="5"/>
      <c r="BH148" s="5"/>
      <c r="BJ148" s="5"/>
      <c r="BK148" s="5"/>
      <c r="BL148" s="12"/>
      <c r="BM148" s="5"/>
      <c r="BN148" s="5"/>
      <c r="BO148" s="5"/>
      <c r="BQ148" s="5"/>
      <c r="BR148" s="5"/>
      <c r="BT148" s="5"/>
      <c r="BU148" s="5"/>
      <c r="BV148" s="5"/>
      <c r="BX148" s="5"/>
      <c r="BY148" s="5"/>
      <c r="CA148" s="13"/>
      <c r="CB148" s="5"/>
      <c r="CC148" s="11"/>
      <c r="CE148" s="13"/>
      <c r="CF148" s="5"/>
      <c r="CG148" s="12"/>
      <c r="CI148" s="13"/>
      <c r="CJ148" s="5"/>
      <c r="CK148" s="12"/>
      <c r="CM148" s="13"/>
      <c r="CN148" s="5"/>
      <c r="CO148" s="12"/>
      <c r="CQ148" s="13"/>
      <c r="CR148" s="5"/>
      <c r="CS148" s="12"/>
      <c r="CU148" s="13">
        <v>4</v>
      </c>
      <c r="CV148" s="5">
        <f>SUM(CV5:CV26,CW5:CW26)*CU148</f>
        <v>0</v>
      </c>
      <c r="CW148" s="12"/>
      <c r="CY148" s="13"/>
      <c r="CZ148" s="5"/>
      <c r="DA148" s="12"/>
      <c r="DC148" s="13"/>
      <c r="DD148" s="5"/>
      <c r="DE148" s="12"/>
      <c r="DG148" s="13"/>
      <c r="DH148" s="5"/>
      <c r="DI148" s="12"/>
      <c r="DK148" s="13"/>
      <c r="DL148" s="5"/>
      <c r="DM148" s="12"/>
      <c r="DO148" s="13">
        <v>4</v>
      </c>
      <c r="DP148" s="5">
        <f>SUM(DP5:DP26,DQ5:DQ26)*DO148</f>
        <v>0</v>
      </c>
      <c r="DQ148" s="12"/>
      <c r="DS148" s="1336">
        <f t="shared" si="0"/>
        <v>0</v>
      </c>
      <c r="DT148" s="121">
        <f>EXTRAS!D12</f>
        <v>0</v>
      </c>
      <c r="DU148" s="112">
        <f>EXTRAS!E12</f>
        <v>0</v>
      </c>
      <c r="DV148" s="6">
        <f>(DW11-DX11)*4</f>
        <v>0</v>
      </c>
      <c r="DX148" s="203">
        <f t="shared" si="1"/>
        <v>0</v>
      </c>
      <c r="DZ148" s="924"/>
      <c r="EH148" s="924"/>
    </row>
    <row r="149" spans="1:138" s="6" customFormat="1" ht="15" customHeight="1">
      <c r="A149" s="3">
        <v>9</v>
      </c>
      <c r="B149" s="210" t="s">
        <v>1173</v>
      </c>
      <c r="C149" s="473" t="s">
        <v>515</v>
      </c>
      <c r="D149" s="4"/>
      <c r="E149" s="5"/>
      <c r="F149" s="5"/>
      <c r="G149" s="4"/>
      <c r="H149" s="4"/>
      <c r="I149" s="4"/>
      <c r="J149" s="4"/>
      <c r="K149" s="5"/>
      <c r="L149" s="5"/>
      <c r="M149" s="5"/>
      <c r="O149" s="5"/>
      <c r="P149" s="5"/>
      <c r="Q149" s="5"/>
      <c r="S149" s="5"/>
      <c r="T149" s="5"/>
      <c r="U149" s="5"/>
      <c r="W149" s="5"/>
      <c r="X149" s="5"/>
      <c r="Y149" s="12"/>
      <c r="AA149" s="13"/>
      <c r="AB149" s="12"/>
      <c r="AD149" s="13"/>
      <c r="AE149" s="5"/>
      <c r="AF149" s="5"/>
      <c r="AH149" s="13"/>
      <c r="AI149" s="5"/>
      <c r="AK149" s="5"/>
      <c r="AL149" s="5"/>
      <c r="AM149" s="5"/>
      <c r="AO149" s="5"/>
      <c r="AP149" s="5"/>
      <c r="AR149" s="5"/>
      <c r="AS149" s="5"/>
      <c r="AT149" s="5"/>
      <c r="AV149" s="5"/>
      <c r="AW149" s="5"/>
      <c r="AY149" s="5"/>
      <c r="AZ149" s="5"/>
      <c r="BA149" s="5"/>
      <c r="BC149" s="5"/>
      <c r="BD149" s="5"/>
      <c r="BF149" s="5"/>
      <c r="BG149" s="5"/>
      <c r="BH149" s="5"/>
      <c r="BJ149" s="5"/>
      <c r="BK149" s="5"/>
      <c r="BL149" s="12"/>
      <c r="BM149" s="5"/>
      <c r="BN149" s="5"/>
      <c r="BO149" s="5"/>
      <c r="BQ149" s="5"/>
      <c r="BR149" s="5"/>
      <c r="BT149" s="5"/>
      <c r="BU149" s="5"/>
      <c r="BV149" s="5"/>
      <c r="BX149" s="5"/>
      <c r="BY149" s="5"/>
      <c r="CA149" s="13"/>
      <c r="CB149" s="5"/>
      <c r="CC149" s="11"/>
      <c r="CE149" s="13"/>
      <c r="CF149" s="5"/>
      <c r="CG149" s="12"/>
      <c r="CI149" s="13"/>
      <c r="CJ149" s="5"/>
      <c r="CK149" s="12"/>
      <c r="CM149" s="13"/>
      <c r="CN149" s="5"/>
      <c r="CO149" s="12"/>
      <c r="CQ149" s="13"/>
      <c r="CR149" s="5"/>
      <c r="CS149" s="12"/>
      <c r="CU149" s="13"/>
      <c r="CV149" s="5"/>
      <c r="CW149" s="12"/>
      <c r="CY149" s="13"/>
      <c r="CZ149" s="5"/>
      <c r="DA149" s="12"/>
      <c r="DC149" s="13"/>
      <c r="DD149" s="5"/>
      <c r="DE149" s="12"/>
      <c r="DG149" s="13"/>
      <c r="DH149" s="5"/>
      <c r="DI149" s="12"/>
      <c r="DK149" s="13"/>
      <c r="DL149" s="5"/>
      <c r="DM149" s="12"/>
      <c r="DO149" s="13"/>
      <c r="DP149" s="5"/>
      <c r="DQ149" s="12"/>
      <c r="DS149" s="1336">
        <f t="shared" si="0"/>
        <v>0</v>
      </c>
      <c r="DT149" s="121">
        <f>EXTRAS!D13</f>
        <v>0</v>
      </c>
      <c r="DU149" s="112">
        <f>EXTRAS!E13</f>
        <v>0</v>
      </c>
      <c r="DX149" s="203">
        <f t="shared" si="1"/>
        <v>0</v>
      </c>
      <c r="DZ149" s="924"/>
      <c r="EH149" s="924"/>
    </row>
    <row r="150" spans="1:138" s="6" customFormat="1" ht="15" customHeight="1">
      <c r="A150" s="3">
        <v>10</v>
      </c>
      <c r="B150" s="210" t="s">
        <v>1174</v>
      </c>
      <c r="C150" s="473" t="s">
        <v>515</v>
      </c>
      <c r="D150" s="4"/>
      <c r="E150" s="5"/>
      <c r="F150" s="5"/>
      <c r="G150" s="4"/>
      <c r="H150" s="4"/>
      <c r="I150" s="4"/>
      <c r="J150" s="4"/>
      <c r="K150" s="5"/>
      <c r="L150" s="5"/>
      <c r="M150" s="5"/>
      <c r="O150" s="5"/>
      <c r="P150" s="5"/>
      <c r="Q150" s="5"/>
      <c r="S150" s="5"/>
      <c r="T150" s="5"/>
      <c r="U150" s="5"/>
      <c r="W150" s="5"/>
      <c r="X150" s="5"/>
      <c r="Y150" s="12"/>
      <c r="AA150" s="13"/>
      <c r="AB150" s="12"/>
      <c r="AD150" s="13"/>
      <c r="AE150" s="5"/>
      <c r="AF150" s="5"/>
      <c r="AH150" s="13"/>
      <c r="AI150" s="5"/>
      <c r="AK150" s="5"/>
      <c r="AL150" s="5"/>
      <c r="AM150" s="5"/>
      <c r="AO150" s="5"/>
      <c r="AP150" s="5"/>
      <c r="AR150" s="5"/>
      <c r="AS150" s="5"/>
      <c r="AT150" s="5"/>
      <c r="AV150" s="5"/>
      <c r="AW150" s="5"/>
      <c r="AY150" s="5"/>
      <c r="AZ150" s="5"/>
      <c r="BA150" s="5"/>
      <c r="BC150" s="5"/>
      <c r="BD150" s="5"/>
      <c r="BF150" s="5"/>
      <c r="BG150" s="5"/>
      <c r="BH150" s="5"/>
      <c r="BJ150" s="5"/>
      <c r="BK150" s="5"/>
      <c r="BL150" s="12"/>
      <c r="BM150" s="5"/>
      <c r="BN150" s="5"/>
      <c r="BO150" s="5"/>
      <c r="BQ150" s="5"/>
      <c r="BR150" s="5"/>
      <c r="BT150" s="5"/>
      <c r="BU150" s="5"/>
      <c r="BV150" s="5"/>
      <c r="BX150" s="5"/>
      <c r="BY150" s="5"/>
      <c r="CA150" s="13"/>
      <c r="CB150" s="5"/>
      <c r="CC150" s="11"/>
      <c r="CE150" s="13"/>
      <c r="CF150" s="5"/>
      <c r="CG150" s="12"/>
      <c r="CI150" s="13"/>
      <c r="CJ150" s="5"/>
      <c r="CK150" s="12"/>
      <c r="CM150" s="13"/>
      <c r="CN150" s="5"/>
      <c r="CO150" s="12"/>
      <c r="CQ150" s="13"/>
      <c r="CR150" s="5"/>
      <c r="CS150" s="12"/>
      <c r="CU150" s="13"/>
      <c r="CV150" s="5"/>
      <c r="CW150" s="12"/>
      <c r="CY150" s="13"/>
      <c r="CZ150" s="5"/>
      <c r="DA150" s="12"/>
      <c r="DC150" s="13"/>
      <c r="DD150" s="5"/>
      <c r="DE150" s="12"/>
      <c r="DG150" s="13"/>
      <c r="DH150" s="5"/>
      <c r="DI150" s="12"/>
      <c r="DK150" s="13"/>
      <c r="DL150" s="5"/>
      <c r="DM150" s="12"/>
      <c r="DO150" s="13"/>
      <c r="DP150" s="5"/>
      <c r="DQ150" s="12"/>
      <c r="DS150" s="1336">
        <f t="shared" si="0"/>
        <v>0</v>
      </c>
      <c r="DT150" s="121">
        <f>EXTRAS!D14</f>
        <v>0</v>
      </c>
      <c r="DU150" s="112">
        <f>EXTRAS!E14</f>
        <v>0</v>
      </c>
      <c r="DX150" s="203">
        <f t="shared" si="1"/>
        <v>0</v>
      </c>
      <c r="DZ150" s="924"/>
      <c r="EH150" s="924"/>
    </row>
    <row r="151" spans="1:138" s="6" customFormat="1" ht="15" customHeight="1">
      <c r="A151" s="3">
        <v>11</v>
      </c>
      <c r="B151" s="210" t="s">
        <v>42</v>
      </c>
      <c r="C151" s="473" t="s">
        <v>515</v>
      </c>
      <c r="D151" s="4"/>
      <c r="E151" s="5"/>
      <c r="F151" s="5"/>
      <c r="G151" s="4"/>
      <c r="H151" s="4"/>
      <c r="I151" s="4"/>
      <c r="J151" s="4"/>
      <c r="K151" s="5"/>
      <c r="L151" s="5"/>
      <c r="M151" s="5"/>
      <c r="O151" s="5"/>
      <c r="P151" s="5"/>
      <c r="Q151" s="5"/>
      <c r="S151" s="5">
        <v>1</v>
      </c>
      <c r="T151" s="5">
        <f>U5*S151+U6*S151+U7*S151+U8*S151+U9*S151+U10*S151+U11*S151+U12*S151+U13*S151+U14*S151+U15*S151+U16*S151+U17*S151+U18*S151+U19*S151+U20*S151+U21*S151+U22*S151+U23*S151+U24*S151+U25*S151+U26*S151</f>
        <v>0</v>
      </c>
      <c r="U151" s="5"/>
      <c r="W151" s="5">
        <v>1</v>
      </c>
      <c r="X151" s="5">
        <f>Y5*W151+Y6*W151+Y7*W151+Y8*W151+Y9*W151+Y10*W151+Y11*W151+Y12*W151+Y13*W151+Y14*W151+Y15*W151+Y16*W151+Y17*W151+Y18*W151+Y19*W151+Y20*W151+Y21*W151+Y22*W151+Y23*W151+Y24*W151+Y25*W151+Y26*W151</f>
        <v>0</v>
      </c>
      <c r="Y151" s="12"/>
      <c r="AA151" s="13">
        <v>1</v>
      </c>
      <c r="AB151" s="5">
        <f>AB5*AA151+AB6*AA151+AB7*AA151+AB8*AA151+AB9*AA151+AB10*AA151+AB11*AA151+AB12*AA151+AB13*AA151+AB14*AA151+AB15*AA151+AB16*AA151+AB17*AA151+AB18*AA151+AB19*AA151+AB20*AA151+AB21*AA151+AB22*AA151+AB23*AA151+AB24*AA151+AB25*AA151+AB26*AA151</f>
        <v>0</v>
      </c>
      <c r="AD151" s="13">
        <v>1</v>
      </c>
      <c r="AE151" s="5">
        <f>AF5*AD151+AF6*AD151+AF7*AD151+AF8*AD151+AF9*AD151+AF10*AD151+AF11*AD151+AF12*AD151+AF13*AD151+AF14*AD151+AF15*AD151+AF16*AD151+AF17*AD151+AF18*AD151+AF19*AD151+AF20*AD151+AF21*AD151+AF22*AD151+AF23*AD151+AF24*AD151+AF25*AD151+AF26*AD151</f>
        <v>0</v>
      </c>
      <c r="AF151" s="5"/>
      <c r="AH151" s="13">
        <v>1</v>
      </c>
      <c r="AI151" s="5">
        <f>AI5*AH151+AI6*AH151+AI7*AH151+AI8*AH151+AI9*AH151+AI10*AH151+AI11*AH151+AI12*AH151+AI13*AH151+AI14*AH151+AI15*AH151+AI16*AH151+AI17*AH151+AI18*AH151+AI19*AH151+AI20*AH151+AI21*AH151+AI22*AH151+AI23*AH151+AI24*AH151+AI25*AH151+AI26*AH151</f>
        <v>0</v>
      </c>
      <c r="AK151" s="5">
        <v>1</v>
      </c>
      <c r="AL151" s="5">
        <f>AM5*AK151+AM6*AK151+AM7*AK151+AM8*AK151+AM9*AK151+AM10*AK151+AM11*AK151+AM12*AK151+AM13*AK151+AM14*AK151+AM15*AK151+AM16*AK151+AM17*AK151+AM18*AK151+AM19*AK151+AM20*AK151+AM21*AK151+AM22*AK151+AM23*AK151+AM24*AK151+AM25*AK151+AM26*AK151</f>
        <v>0</v>
      </c>
      <c r="AM151" s="5"/>
      <c r="AO151" s="5">
        <v>1</v>
      </c>
      <c r="AP151" s="5">
        <f>AP5*AO151+AP6*AO151+AP7*AO151+AP8*AO151+AP9*AO151+AP10*AO151+AP11*AO151+AP12*AO151+AP13*AO151+AP14*AO151+AP15*AO151+AP16*AO151+AP17*AO151+AP18*AO151+AP19*AO151+AP20*AO151+AP21*AO151+AP22*AO151+AP23*AO151+AP24*AO151+AP25*AO151+AP26*AO151</f>
        <v>0</v>
      </c>
      <c r="AR151" s="5">
        <v>2</v>
      </c>
      <c r="AS151" s="5">
        <f>AT5*AR151+AT6*AR151+AT7*AR151+AT8*AR151+AT9*AR151+AT10*AR151+AT11*AR151+AT12*AR151+AT13*AR151+AT14*AR151+AT15*AR151+AT16*AR151+AT17*AR151+AT18*AR151+AT19*AR151+AT20*AR151+AT21*AR151+AT22*AR151+AT23*AR151+AT24*AR151+AT25*AR151+AT26*AR151</f>
        <v>0</v>
      </c>
      <c r="AT151" s="5"/>
      <c r="AV151" s="5">
        <v>1</v>
      </c>
      <c r="AW151" s="5">
        <f>AW5*AV151+AW6*AV151+AW7*AV151+AW8*AV151+AW9*AV151+AW10*AV151+AW11*AV151+AW12*AV151+AW13*AV151+AW14*AV151+AW15*AV151+AW16*AV151+AW17*AV151+AW18*AV151+AW19*AV151+AW20*AV151+AW21*AV151+AW22*AV151+AW23*AV151+AW24*AV151+AW25*AV151+AW26*AV151</f>
        <v>0</v>
      </c>
      <c r="AY151" s="5">
        <v>2</v>
      </c>
      <c r="AZ151" s="5">
        <f>BA5*AY151+BA6*AY151+BA7*AY151+BA8*AY151+BA9*AY151+BA10*AY151+BA11*AY151+BA12*AY151+BA13*AY151+BA14*AY151+BA15*AY151+BA16*AY151+BA17*AY151+BA18*AY151+BA19*AY151+BA20*AY151+BA21*AY151+BA22*AY151+BA23*AY151+BA24*AY151+BA25*AY151+BA26*AY151</f>
        <v>0</v>
      </c>
      <c r="BA151" s="5"/>
      <c r="BC151" s="5">
        <v>1</v>
      </c>
      <c r="BD151" s="5">
        <f>BD5*BC151+BD6*BC151+BD7*BC151+BD8*BC151+BD9*BC151+BD10*BC151+BD11*BC151+BD12*BC151+BD13*BC151+BD14*BC151+BD15*BC151+BD16*BC151+BD17*BC151+BD18*BC151+BD19*BC151+BD20*BC151+BD21*BC151+BD22*BC151+BD23*BC151+BD24*BC151+BD25*BC151+BD26*BC151</f>
        <v>0</v>
      </c>
      <c r="BF151" s="5">
        <v>2</v>
      </c>
      <c r="BG151" s="5">
        <f>BH5*BF151+BH6*BF151+BH7*BF151+BH8*BF151+BH9*BF151+BH10*BF151+BH11*BF151+BH12*BF151+BH13*BF151+BH14*BF151+BH15*BF151+BH16*BF151+BH17*BF151+BH18*BF151+BH19*BF151+BH20*BF151+BH21*BF151+BH22*BF151+BH23*BF151+BH24*BF151+BH25*BF151+BH26*BF151</f>
        <v>0</v>
      </c>
      <c r="BH151" s="5"/>
      <c r="BJ151" s="5">
        <v>1</v>
      </c>
      <c r="BK151" s="5">
        <f>BK5*BJ151+BK6*BJ151+BK7*BJ151+BK8*BJ151+BK9*BJ151+BK10*BJ151+BK11*BJ151+BK12*BJ151+BK13*BJ151+BK14*BJ151+BK15*BJ151+BK16*BJ151+BK17*BJ151+BK18*BJ151+BK19*BJ151+BK20*BJ151+BK21*BJ151+BK22*BJ151+BK23*BJ151+BK24*BJ151+BK25*BJ151+BK26*BJ151</f>
        <v>0</v>
      </c>
      <c r="BL151" s="12"/>
      <c r="BM151" s="5">
        <v>2</v>
      </c>
      <c r="BN151" s="5">
        <f>BO5*BM151+BO6*BM151+BO7*BM151+BO8*BM151+BO9*BM151+BO10*BM151+BO11*BM151+BO12*BM151+BO13*BM151+BO14*BM151+BO15*BM151+BO16*BM151+BO17*BM151+BO18*BM151+BO19*BM151+BO20*BM151+BO21*BM151+BO22*BM151+BO23*BM151+BO24*BM151+BO25*BM151+BO26*BM151</f>
        <v>0</v>
      </c>
      <c r="BO151" s="5"/>
      <c r="BQ151" s="5">
        <v>1</v>
      </c>
      <c r="BR151" s="5">
        <f>BR5*BQ151+BR6*BQ151+BR7*BQ151+BR8*BQ151+BR9*BQ151+BR10*BQ151+BR11*BQ151+BR12*BQ151+BR13*BQ151+BR14*BQ151+BR15*BQ151+BR16*BQ151+BR17*BQ151+BR18*BQ151+BR19*BQ151+BR20*BQ151+BR21*BQ151+BR22*BQ151+BR23*BQ151+BR24*BQ151+BR25*BQ151+BR26*BQ151</f>
        <v>0</v>
      </c>
      <c r="BT151" s="5">
        <v>2</v>
      </c>
      <c r="BU151" s="5">
        <f>BV5*BT151+BV6*BT151+BV7*BT151+BV8*BT151+BV9*BT151+BV10*BT151+BV11*BT151+BV12*BT151+BV13*BT151+BV14*BT151+BV15*BT151+BV16*BT151+BV17*BT151+BV18*BT151+BV19*BT151+BV20*BT151+BV21*BT151+BV22*BT151+BV23*BT151+BV24*BT151+BV25*BT151+BV26*BT151</f>
        <v>0</v>
      </c>
      <c r="BV151" s="5"/>
      <c r="BX151" s="5">
        <v>1</v>
      </c>
      <c r="BY151" s="5">
        <f>BY5*BX147+BY6*BX147+BY7*BX147+BY8*BX147+BY9*BX147+BY10*BX147+BY11*BX147+BY12*BX147+BY13*BX147+BY14*BX147+BY15*BX147+BY16*BX147+BY17*BX147+BY18*BX147+BY19*BX147+BY20*BX147+BY21*BX147+BY22*BX147+BY23*BX147+BY24*BX147+BY25*BX147+BY26*BX147</f>
        <v>0</v>
      </c>
      <c r="CA151" s="13">
        <v>2</v>
      </c>
      <c r="CB151" s="5">
        <f>SUM(CC5:CC26)*CA151</f>
        <v>0</v>
      </c>
      <c r="CC151" s="11"/>
      <c r="CE151" s="13"/>
      <c r="CF151" s="5"/>
      <c r="CG151" s="12"/>
      <c r="CI151" s="13"/>
      <c r="CJ151" s="5"/>
      <c r="CK151" s="12"/>
      <c r="CM151" s="13"/>
      <c r="CN151" s="5"/>
      <c r="CO151" s="12"/>
      <c r="CQ151" s="13"/>
      <c r="CR151" s="5"/>
      <c r="CS151" s="12"/>
      <c r="CU151" s="13"/>
      <c r="CV151" s="5"/>
      <c r="CW151" s="12"/>
      <c r="CY151" s="13"/>
      <c r="CZ151" s="5"/>
      <c r="DA151" s="12"/>
      <c r="DC151" s="13"/>
      <c r="DD151" s="5"/>
      <c r="DE151" s="12"/>
      <c r="DG151" s="13"/>
      <c r="DH151" s="5"/>
      <c r="DI151" s="12"/>
      <c r="DK151" s="13"/>
      <c r="DL151" s="5"/>
      <c r="DM151" s="12"/>
      <c r="DO151" s="13"/>
      <c r="DP151" s="5"/>
      <c r="DQ151" s="12"/>
      <c r="DS151" s="1336">
        <f t="shared" si="0"/>
        <v>0</v>
      </c>
      <c r="DT151" s="121">
        <f>EXTRAS!D15</f>
        <v>0</v>
      </c>
      <c r="DU151" s="112">
        <f>EXTRAS!E15</f>
        <v>0</v>
      </c>
      <c r="DX151" s="203">
        <f t="shared" si="1"/>
        <v>0</v>
      </c>
      <c r="DZ151" s="924"/>
      <c r="EH151" s="924"/>
    </row>
    <row r="152" spans="1:138" s="6" customFormat="1" ht="15" customHeight="1">
      <c r="A152" s="3">
        <v>12</v>
      </c>
      <c r="B152" s="210" t="s">
        <v>36</v>
      </c>
      <c r="C152" s="473" t="s">
        <v>516</v>
      </c>
      <c r="D152" s="4"/>
      <c r="E152" s="5"/>
      <c r="F152" s="5"/>
      <c r="G152" s="4"/>
      <c r="H152" s="4"/>
      <c r="I152" s="4"/>
      <c r="J152" s="4"/>
      <c r="K152" s="5"/>
      <c r="L152" s="5"/>
      <c r="M152" s="5">
        <f>C14*0.02</f>
        <v>0</v>
      </c>
      <c r="O152" s="5"/>
      <c r="P152" s="5"/>
      <c r="Q152" s="5"/>
      <c r="S152" s="5"/>
      <c r="T152" s="5"/>
      <c r="U152" s="5"/>
      <c r="W152" s="5"/>
      <c r="X152" s="5"/>
      <c r="Y152" s="12"/>
      <c r="AA152" s="13"/>
      <c r="AB152" s="12"/>
      <c r="AD152" s="13"/>
      <c r="AE152" s="5"/>
      <c r="AF152" s="5"/>
      <c r="AH152" s="13"/>
      <c r="AI152" s="5"/>
      <c r="AK152" s="5"/>
      <c r="AL152" s="5"/>
      <c r="AM152" s="5"/>
      <c r="AO152" s="5"/>
      <c r="AP152" s="5"/>
      <c r="AR152" s="5"/>
      <c r="AS152" s="5"/>
      <c r="AT152" s="5"/>
      <c r="AV152" s="5"/>
      <c r="AW152" s="5"/>
      <c r="AY152" s="5"/>
      <c r="AZ152" s="5"/>
      <c r="BA152" s="5"/>
      <c r="BC152" s="5"/>
      <c r="BD152" s="5"/>
      <c r="BF152" s="5"/>
      <c r="BG152" s="5"/>
      <c r="BH152" s="5"/>
      <c r="BJ152" s="5"/>
      <c r="BK152" s="5"/>
      <c r="BL152" s="12"/>
      <c r="BM152" s="5"/>
      <c r="BN152" s="5"/>
      <c r="BO152" s="5"/>
      <c r="BQ152" s="5"/>
      <c r="BR152" s="5"/>
      <c r="BT152" s="5"/>
      <c r="BU152" s="5"/>
      <c r="BV152" s="5"/>
      <c r="BX152" s="5"/>
      <c r="BY152" s="5"/>
      <c r="CA152" s="13"/>
      <c r="CB152" s="7"/>
      <c r="CC152" s="11"/>
      <c r="CE152" s="13">
        <v>2</v>
      </c>
      <c r="CF152" s="5">
        <f>CG5*CE152+CG6*CE152+CG7*CE152+CG8*CE152+CG9*CE152+CG10*CE152+CG11*CE152+CG12*CE152+CG13*CE152+CG14*CE152+CG15*CE152+CG16*CE152+CG17*CE152+CG18*CE152+CG19*CE152+CG20*CE152+CG21*CE152+CG22*CE152+CG23*CE152+CG24*CE152+CG25*CE152+CG26*CE152+CF5*CE152+CF6*CE152+CF7*CE152+CF8*CE152+CF9*CE152+CF10*CE152+CF11*CE152+CF12*CE152+CF13*CE152+CF14*CE152+CF15*CE152+CF16*CE152+CF17*CE152+CF18*CE152+CF19*CE152+CF20*CE152+CF21*CE152+CF22*CE152+CF23*CE152+CF24*CE152+CF25*CE152+CF26*CE152</f>
        <v>0</v>
      </c>
      <c r="CG152" s="12"/>
      <c r="CI152" s="13">
        <v>2</v>
      </c>
      <c r="CJ152" s="5">
        <f>CK5*CI152+CK6*CI152+CK7*CI152+CK8*CI152+CK9*CI152+CK10*CI152+CK11*CI152+CK12*CI152+CK13*CI152+CK14*CI152+CK15*CI152+CK16*CI152+CK17*CI152+CK18*CI152+CK19*CI152+CK20*CI152+CK21*CI152+CK22*CI152+CK23*CI152+CK24*CI152+CK25*CI152+CK26*CI152+CJ5*CI152+CJ6*CI152+CJ7*CI152+CJ8*CI152+CJ9*CI152+CJ10*CI152+CJ11*CI152+CJ12*CI152+CJ13*CI152+CJ14*CI152+CJ15*CI152+CJ16*CI152+CJ17*CI152+CJ18*CI152+CJ19*CI152+CJ20*CI152+CJ21*CI152+CJ22*CI152+CJ23*CI152+CJ24*CI152+CJ25*CI152+CJ26*CI152</f>
        <v>0</v>
      </c>
      <c r="CK152" s="12"/>
      <c r="CM152" s="13">
        <v>2</v>
      </c>
      <c r="CN152" s="5">
        <f>CO5*CM152+CO6*CM152+CO7*CM152+CO8*CM152+CO9*CM152+CO10*CM152+CO11*CM152+CO12*CM152+CO13*CM152+CO14*CM152+CO15*CM152+CO16*CM152+CO17*CM152+CO18*CM152+CO19*CM152+CO20*CM152+CO21*CM152+CO22*CM152+CO23*CM152+CO24*CM152+CO25*CM152+CO26*CM152+CN5*CM152+CN6*CM152+CN7*CM152+CN8*CM152+CN9*CM152+CN10*CM152+CN11*CM152+CN12*CM152+CN13*CM152+CN14*CM152+CN15*CM152+CN16*CM152+CN17*CM152+CN18*CM152+CN19*CM152+CN20*CM152+CN21*CM152+CN22*CM152+CN23*CM152+CN24*CM152+CN25*CM152+CN26*CM152</f>
        <v>0</v>
      </c>
      <c r="CO152" s="12"/>
      <c r="CQ152" s="13">
        <v>2</v>
      </c>
      <c r="CR152" s="5">
        <f>CS5*CQ152+CS6*CQ152+CS7*CQ152+CS8*CQ152+CS9*CQ152+CS10*CQ152+CS11*CQ152+CS12*CQ152+CS13*CQ152+CS14*CQ152+CS15*CQ152+CS16*CQ152+CS17*CQ152+CS18*CQ152+CS19*CQ152+CS20*CQ152+CS21*CQ152+CS22*CQ152+CS23*CQ152+CS24*CQ152+CS25*CQ152+CS26*CQ152+CR5*CQ152+CR6*CQ152+CR7*CQ152+CR8*CQ152+CR9*CQ152+CR10*CQ152+CR11*CQ152+CR12*CQ152+CR13*CQ152+CR14*CQ152+CR15*CQ152+CR16*CQ152+CR17*CQ152+CR18*CQ152+CR19*CQ152+CR20*CQ152+CR21*CQ152+CR22*CQ152+CR23*CQ152+CR24*CQ152+CR25*CQ152+CR26*CQ152</f>
        <v>0</v>
      </c>
      <c r="CS152" s="12"/>
      <c r="CU152" s="13">
        <v>2</v>
      </c>
      <c r="CV152" s="5">
        <f>CW5*CU152+CW6*CU152+CW7*CU152+CW8*CU152+CW9*CU152+CW10*CU152+CW11*CU152+CW12*CU152+CW13*CU152+CW14*CU152+CW15*CU152+CW16*CU152+CW17*CU152+CW18*CU152+CW19*CU152+CW20*CU152+CW21*CU152+CW22*CU152+CW23*CU152+CW24*CU152+CW25*CU152+CW26*CU152+CV5*CU152+CV6*CU152+CV7*CU152+CV8*CU152+CV9*CU152+CV10*CU152+CV11*CU152+CV12*CU152+CV13*CU152+CV14*CU152+CV15*CU152+CV16*CU152+CV17*CU152+CV18*CU152+CV19*CU152+CV20*CU152+CV21*CU152+CV22*CU152+CV23*CU152+CV24*CU152+CV25*CU152+CV26*CU152</f>
        <v>0</v>
      </c>
      <c r="CW152" s="12"/>
      <c r="CY152" s="13">
        <v>2</v>
      </c>
      <c r="CZ152" s="5">
        <f>DA5*CY152+DA6*CY152+DA7*CY152+DA8*CY152+DA9*CY152+DA10*CY152+DA11*CY152+DA12*CY152+DA13*CY152+DA14*CY152+DA15*CY152+DA16*CY152+DA17*CY152+DA18*CY152+DA19*CY152+DA20*CY152+DA21*CY152+DA22*CY152+DA23*CY152+DA24*CY152+DA25*CY152+DA26*CY152+CZ5*CY152+CZ6*CY152+CZ7*CY152+CZ8*CY152+CZ9*CY152+CZ10*CY152+CZ11*CY152+CZ12*CY152+CZ13*CY152+CZ14*CY152+CZ15*CY152+CZ16*CY152+CZ17*CY152+CZ18*CY152+CZ19*CY152+CZ20*CY152+CZ21*CY152+CZ22*CY152+CZ23*CY152+CZ24*CY152+CZ25*CY152+CZ26*CY152</f>
        <v>0</v>
      </c>
      <c r="DA152" s="12"/>
      <c r="DC152" s="13">
        <v>2</v>
      </c>
      <c r="DD152" s="5">
        <f>DE5*DC152+DE6*DC152+DE7*DC152+DE8*DC152+DE9*DC152+DE10*DC152+DE11*DC152+DE12*DC152+DE13*DC152+DE14*DC152+DE15*DC152+DE16*DC152+DE17*DC152+DE18*DC152+DE19*DC152+DE20*DC152+DE21*DC152+DE22*DC152+DE23*DC152+DE24*DC152+DE25*DC152+DE26*DC152+DD5*DC152+DD6*DC152+DD7*DC152+DD8*DC152+DD9*DC152+DD10*DC152+DD11*DC152+DD12*DC152+DD13*DC152+DD14*DC152+DD15*DC152+DD16*DC152+DD17*DC152+DD18*DC152+DD19*DC152+DD20*DC152+DD21*DC152+DD22*DC152+DD23*DC152+DD24*DC152+DD25*DC152+DD26*DC152</f>
        <v>0</v>
      </c>
      <c r="DE152" s="12"/>
      <c r="DG152" s="13">
        <v>2</v>
      </c>
      <c r="DH152" s="5">
        <f>DI5*DG152+DI6*DG152+DI7*DG152+DI8*DG152+DI9*DG152+DI10*DG152+DI11*DG152+DI12*DG152+DI13*DG152+DI14*DG152+DI15*DG152+DI16*DG152+DI17*DG152+DI18*DG152+DI19*DG152+DI20*DG152+DI21*DG152+DI22*DG152+DI23*DG152+DI24*DG152+DI25*DG152+DI26*DG152+DH5*DG152+DH6*DG152+DH7*DG152+DH8*DG152+DH9*DG152+DH10*DG152+DH11*DG152+DH12*DG152+DH13*DG152+DH14*DG152+DH15*DG152+DH16*DG152+DH17*DG152+DH18*DG152+DH19*DG152+DH20*DG152+DH21*DG152+DH22*DG152+DH23*DG152+DH24*DG152+DH25*DG152+DH26*DG152</f>
        <v>0</v>
      </c>
      <c r="DI152" s="12"/>
      <c r="DK152" s="13">
        <v>2</v>
      </c>
      <c r="DL152" s="5">
        <f>DM5*DK152+DM6*DK152+DM7*DK152+DM8*DK152+DM9*DK152+DM10*DK152+DM11*DK152+DM12*DK152+DM13*DK152+DM14*DK152+DM15*DK152+DM16*DK152+DM17*DK152+DM18*DK152+DM19*DK152+DM20*DK152+DM21*DK152+DM22*DK152+DM23*DK152+DM24*DK152+DM25*DK152+DM26*DK152+DL5*DK152+DL6*DK152+DL7*DK152+DL8*DK152+DL9*DK152+DL10*DK152+DL11*DK152+DL12*DK152+DL13*DK152+DL14*DK152+DL15*DK152+DL16*DK152+DL17*DK152+DL18*DK152+DL19*DK152+DL20*DK152+DL21*DK152+DL22*DK152+DL23*DK152+DL24*DK152+DL25*DK152+DL26*DK152</f>
        <v>0</v>
      </c>
      <c r="DM152" s="12"/>
      <c r="DO152" s="13">
        <v>2</v>
      </c>
      <c r="DP152" s="5">
        <f>DQ5*DO152+DQ6*DO152+DQ7*DO152+DQ8*DO152+DQ9*DO152+DQ10*DO152+DQ11*DO152+DQ12*DO152+DQ13*DO152+DQ14*DO152+DQ15*DO152+DQ16*DO152+DQ17*DO152+DQ18*DO152+DQ19*DO152+DQ20*DO152+DQ21*DO152+DQ22*DO152+DQ23*DO152+DQ24*DO152+DQ25*DO152+DQ26*DO152+DP5*DO152+DP6*DO152+DP7*DO152+DP8*DO152+DP9*DO152+DP10*DO152+DP11*DO152+DP12*DO152+DP13*DO152+DP14*DO152+DP15*DO152+DP16*DO152+DP17*DO152+DP18*DO152+DP19*DO152+DP20*DO152+DP21*DO152+DP22*DO152+DP23*DO152+DP24*DO152+DP25*DO152+DP26*DO152</f>
        <v>0</v>
      </c>
      <c r="DQ152" s="12"/>
      <c r="DS152" s="1336">
        <f t="shared" si="0"/>
        <v>0</v>
      </c>
      <c r="DT152" s="121">
        <f>EXTRAS!D16</f>
        <v>0</v>
      </c>
      <c r="DU152" s="112">
        <f>EXTRAS!E16</f>
        <v>0</v>
      </c>
      <c r="DX152" s="203">
        <f t="shared" si="1"/>
        <v>0</v>
      </c>
      <c r="DZ152" s="924"/>
      <c r="EH152" s="924"/>
    </row>
    <row r="153" spans="1:138" s="6" customFormat="1" ht="15" customHeight="1">
      <c r="A153" s="3">
        <v>13</v>
      </c>
      <c r="B153" s="210" t="s">
        <v>1</v>
      </c>
      <c r="C153" s="473" t="s">
        <v>515</v>
      </c>
      <c r="D153" s="4"/>
      <c r="E153" s="5"/>
      <c r="F153" s="5"/>
      <c r="G153" s="4"/>
      <c r="H153" s="4"/>
      <c r="I153" s="4"/>
      <c r="J153" s="4"/>
      <c r="K153" s="5"/>
      <c r="L153" s="5"/>
      <c r="M153" s="5"/>
      <c r="O153" s="5"/>
      <c r="P153" s="5"/>
      <c r="Q153" s="5"/>
      <c r="S153" s="5"/>
      <c r="T153" s="5"/>
      <c r="U153" s="5"/>
      <c r="W153" s="5"/>
      <c r="X153" s="5"/>
      <c r="Y153" s="12"/>
      <c r="AA153" s="13"/>
      <c r="AB153" s="12"/>
      <c r="AD153" s="13"/>
      <c r="AE153" s="5"/>
      <c r="AF153" s="5"/>
      <c r="AH153" s="13"/>
      <c r="AI153" s="5"/>
      <c r="AK153" s="5"/>
      <c r="AL153" s="5"/>
      <c r="AM153" s="5"/>
      <c r="AO153" s="5"/>
      <c r="AP153" s="5"/>
      <c r="AR153" s="5"/>
      <c r="AS153" s="5"/>
      <c r="AT153" s="5"/>
      <c r="AV153" s="5"/>
      <c r="AW153" s="5"/>
      <c r="AY153" s="5"/>
      <c r="AZ153" s="5"/>
      <c r="BA153" s="5"/>
      <c r="BC153" s="5"/>
      <c r="BD153" s="5"/>
      <c r="BF153" s="5"/>
      <c r="BG153" s="5"/>
      <c r="BH153" s="5"/>
      <c r="BJ153" s="5"/>
      <c r="BK153" s="5"/>
      <c r="BL153" s="12"/>
      <c r="BM153" s="5"/>
      <c r="BN153" s="5"/>
      <c r="BO153" s="5"/>
      <c r="BQ153" s="5"/>
      <c r="BR153" s="5"/>
      <c r="BT153" s="5"/>
      <c r="BU153" s="5"/>
      <c r="BV153" s="5"/>
      <c r="BX153" s="5"/>
      <c r="BY153" s="5"/>
      <c r="CA153" s="13"/>
      <c r="CB153" s="7"/>
      <c r="CC153" s="11"/>
      <c r="CE153" s="13">
        <v>1</v>
      </c>
      <c r="CF153" s="5">
        <f>CG5*CE153+CG6*CE153+CG7*CE153+CG8*CE153+CG9*CE153+CG10*CE153+CG11*CE153+CG12*CE153+CG13*CE153+CG14*CE153+CG15*CE153+CG16*CE153+CG17*CE153+CG18*CE153+CG19*CE153+CG20*CE153+CG21*CE153+CG22*CE153+CG23*CE153+CG24*CE153+CG25*CE153+CG26*CE153+CF5*CE153+CF6*CE153+CF7*CE153+CF8*CE153+CF9*CE153+CF10*CE153+CF11*CE153+CF12*CE153+CF13*CE153+CF14*CE153+CF15*CE153+CF16*CE153+CF17*CE153+CF18*CE153+CF19*CE153+CF20*CE153+CF21*CE153+CF22*CE153+CF23*CE153+CF24*CE153+CF25*CE153+CF26*CE153</f>
        <v>0</v>
      </c>
      <c r="CG153" s="12"/>
      <c r="CI153" s="13">
        <v>1</v>
      </c>
      <c r="CJ153" s="5">
        <f>CK5*CI153+CK6*CI153+CK7*CI153+CK8*CI153+CK9*CI153+CK10*CI153+CK11*CI153+CK12*CI153+CK13*CI153+CK14*CI153+CK15*CI153+CK16*CI153+CK17*CI153+CK18*CI153+CK19*CI153+CK20*CI153+CK21*CI153+CK22*CI153+CK23*CI153+CK24*CI153+CK25*CI153+CK26*CI153+CJ5*CI153+CJ6*CI153+CJ7*CI153+CJ8*CI153+CJ9*CI153+CJ10*CI153+CJ11*CI153+CJ12*CI153+CJ13*CI153+CJ14*CI153+CJ15*CI153+CJ16*CI153+CJ17*CI153+CJ18*CI153+CJ19*CI153+CJ20*CI153+CJ21*CI153+CJ22*CI153+CJ23*CI153+CJ24*CI153+CJ25*CI153+CJ26*CI153</f>
        <v>0</v>
      </c>
      <c r="CK153" s="12"/>
      <c r="CM153" s="13">
        <v>1</v>
      </c>
      <c r="CN153" s="5">
        <f>CO5*CM153+CO6*CM153+CO7*CM153+CO8*CM153+CO9*CM153+CO10*CM153+CO11*CM153+CO12*CM153+CO13*CM153+CO14*CM153+CO15*CM153+CO16*CM153+CO17*CM153+CO18*CM153+CO19*CM153+CO20*CM153+CO21*CM153+CO22*CM153+CO23*CM153+CO24*CM153+CO25*CM153+CO26*CM153+CN5*CM153+CN6*CM153+CN7*CM153+CN8*CM153+CN9*CM153+CN10*CM153+CN11*CM153+CN12*CM153+CN13*CM153+CN14*CM153+CN15*CM153+CN16*CM153+CN17*CM153+CN18*CM153+CN19*CM153+CN20*CM153+CN21*CM153+CN22*CM153+CN23*CM153+CN24*CM153+CN25*CM153+CN26*CM153</f>
        <v>0</v>
      </c>
      <c r="CO153" s="12"/>
      <c r="CQ153" s="13">
        <v>1</v>
      </c>
      <c r="CR153" s="5">
        <f>CS5*CQ153+CS6*CQ153+CS7*CQ153+CS8*CQ153+CS9*CQ153+CS10*CQ153+CS11*CQ153+CS12*CQ153+CS13*CQ153+CS14*CQ153+CS15*CQ153+CS16*CQ153+CS17*CQ153+CS18*CQ153+CS19*CQ153+CS20*CQ153+CS21*CQ153+CS22*CQ153+CS23*CQ153+CS24*CQ153+CS25*CQ153+CS26*CQ153+CR5*CQ153+CR6*CQ153+CR7*CQ153+CR8*CQ153+CR9*CQ153+CR10*CQ153+CR11*CQ153+CR12*CQ153+CR13*CQ153+CR14*CQ153+CR15*CQ153+CR16*CQ153+CR17*CQ153+CR18*CQ153+CR19*CQ153+CR20*CQ153+CR21*CQ153+CR22*CQ153+CR23*CQ153+CR24*CQ153+CR25*CQ153+CR26*CQ153</f>
        <v>0</v>
      </c>
      <c r="CS153" s="12"/>
      <c r="CU153" s="13">
        <v>1</v>
      </c>
      <c r="CV153" s="5">
        <f>CW5*CU153+CW6*CU153+CW7*CU153+CW8*CU153+CW9*CU153+CW10*CU153+CW11*CU153+CW12*CU153+CW13*CU153+CW14*CU153+CW15*CU153+CW16*CU153+CW17*CU153+CW18*CU153+CW19*CU153+CW20*CU153+CW21*CU153+CW22*CU153+CW23*CU153+CW24*CU153+CW25*CU153+CW26*CU153+CV5*CU153+CV6*CU153+CV7*CU153+CV8*CU153+CV9*CU153+CV10*CU153+CV11*CU153+CV12*CU153+CV13*CU153+CV14*CU153+CV15*CU153+CV16*CU153+CV17*CU153+CV18*CU153+CV19*CU153+CV20*CU153+CV21*CU153+CV22*CU153+CV23*CU153+CV24*CU153+CV25*CU153+CV26*CU153</f>
        <v>0</v>
      </c>
      <c r="CW153" s="12"/>
      <c r="CY153" s="13">
        <v>1</v>
      </c>
      <c r="CZ153" s="5">
        <f>DA5*CY153+DA6*CY153+DA7*CY153+DA8*CY153+DA9*CY153+DA10*CY153+DA11*CY153+DA12*CY153+DA13*CY153+DA14*CY153+DA15*CY153+DA16*CY153+DA17*CY153+DA18*CY153+DA19*CY153+DA20*CY153+DA21*CY153+DA22*CY153+DA23*CY153+DA24*CY153+DA25*CY153+DA26*CY153+CZ5*CY153+CZ6*CY153+CZ7*CY153+CZ8*CY153+CZ9*CY153+CZ10*CY153+CZ11*CY153+CZ12*CY153+CZ13*CY153+CZ14*CY153+CZ15*CY153+CZ16*CY153+CZ17*CY153+CZ18*CY153+CZ19*CY153+CZ20*CY153+CZ21*CY153+CZ22*CY153+CZ23*CY153+CZ24*CY153+CZ25*CY153+CZ26*CY153</f>
        <v>0</v>
      </c>
      <c r="DA153" s="12"/>
      <c r="DC153" s="13">
        <v>1</v>
      </c>
      <c r="DD153" s="5">
        <f>DE5*DC153+DE6*DC153+DE7*DC153+DE8*DC153+DE9*DC153+DE10*DC153+DE11*DC153+DE12*DC153+DE13*DC153+DE14*DC153+DE15*DC153+DE16*DC153+DE17*DC153+DE18*DC153+DE19*DC153+DE20*DC153+DE21*DC153+DE22*DC153+DE23*DC153+DE24*DC153+DE25*DC153+DE26*DC153+DD5*DC153+DD6*DC153+DD7*DC153+DD8*DC153+DD9*DC153+DD10*DC153+DD11*DC153+DD12*DC153+DD13*DC153+DD14*DC153+DD15*DC153+DD16*DC153+DD17*DC153+DD18*DC153+DD19*DC153+DD20*DC153+DD21*DC153+DD22*DC153+DD23*DC153+DD24*DC153+DD25*DC153+DD26*DC153</f>
        <v>0</v>
      </c>
      <c r="DE153" s="12"/>
      <c r="DG153" s="13">
        <v>1</v>
      </c>
      <c r="DH153" s="5">
        <f>DI5*DG153+DI6*DG153+DI7*DG153+DI8*DG153+DI9*DG153+DI10*DG153+DI11*DG153+DI12*DG153+DI13*DG153+DI14*DG153+DI15*DG153+DI16*DG153+DI17*DG153+DI18*DG153+DI19*DG153+DI20*DG153+DI21*DG153+DI22*DG153+DI23*DG153+DI24*DG153+DI25*DG153+DI26*DG153+DH5*DG153+DH6*DG153+DH7*DG153+DH8*DG153+DH9*DG153+DH10*DG153+DH11*DG153+DH12*DG153+DH13*DG153+DH14*DG153+DH15*DG153+DH16*DG153+DH17*DG153+DH18*DG153+DH19*DG153+DH20*DG153+DH21*DG153+DH22*DG153+DH23*DG153+DH24*DG153+DH25*DG153+DH26*DG153</f>
        <v>0</v>
      </c>
      <c r="DI153" s="12"/>
      <c r="DK153" s="13">
        <v>1</v>
      </c>
      <c r="DL153" s="5">
        <f>DM5*DK153+DM6*DK153+DM7*DK153+DM8*DK153+DM9*DK153+DM10*DK153+DM11*DK153+DM12*DK153+DM13*DK153+DM14*DK153+DM15*DK153+DM16*DK153+DM17*DK153+DM18*DK153+DM19*DK153+DM20*DK153+DM21*DK153+DM22*DK153+DM23*DK153+DM24*DK153+DM25*DK153+DM26*DK153+DL5*DK153+DL6*DK153+DL7*DK153+DL8*DK153+DL9*DK153+DL10*DK153+DL11*DK153+DL12*DK153+DL13*DK153+DL14*DK153+DL15*DK153+DL16*DK153+DL17*DK153+DL18*DK153+DL19*DK153+DL20*DK153+DL21*DK153+DL22*DK153+DL23*DK153+DL24*DK153+DL25*DK153+DL26*DK153</f>
        <v>0</v>
      </c>
      <c r="DM153" s="12"/>
      <c r="DO153" s="13">
        <v>1</v>
      </c>
      <c r="DP153" s="5">
        <f>DQ5*DO153+DQ6*DO153+DQ7*DO153+DQ8*DO153+DQ9*DO153+DQ10*DO153+DQ11*DO153+DQ12*DO153+DQ13*DO153+DQ14*DO153+DQ15*DO153+DQ16*DO153+DQ17*DO153+DQ18*DO153+DQ19*DO153+DQ20*DO153+DQ21*DO153+DQ22*DO153+DQ23*DO153+DQ24*DO153+DQ25*DO153+DQ26*DO153+DP5*DO153+DP6*DO153+DP7*DO153+DP8*DO153+DP9*DO153+DP10*DO153+DP11*DO153+DP12*DO153+DP13*DO153+DP14*DO153+DP15*DO153+DP16*DO153+DP17*DO153+DP18*DO153+DP19*DO153+DP20*DO153+DP21*DO153+DP22*DO153+DP23*DO153+DP24*DO153+DP25*DO153+DP26*DO153</f>
        <v>0</v>
      </c>
      <c r="DQ153" s="12"/>
      <c r="DS153" s="1336">
        <f t="shared" si="0"/>
        <v>0</v>
      </c>
      <c r="DT153" s="121">
        <f>EXTRAS!D17</f>
        <v>0</v>
      </c>
      <c r="DU153" s="112">
        <f>EXTRAS!E17</f>
        <v>0</v>
      </c>
      <c r="DX153" s="203">
        <f t="shared" si="1"/>
        <v>0</v>
      </c>
      <c r="DZ153" s="924"/>
      <c r="EH153" s="924"/>
    </row>
    <row r="154" spans="1:138" s="6" customFormat="1" ht="15" customHeight="1">
      <c r="A154" s="3">
        <v>14</v>
      </c>
      <c r="B154" s="210" t="s">
        <v>2</v>
      </c>
      <c r="C154" s="473" t="s">
        <v>515</v>
      </c>
      <c r="D154" s="4"/>
      <c r="E154" s="5">
        <v>2</v>
      </c>
      <c r="F154" s="5">
        <f>SUM(F5:F15)*E154</f>
        <v>0</v>
      </c>
      <c r="G154" s="4"/>
      <c r="H154" s="4">
        <v>1</v>
      </c>
      <c r="I154" s="658">
        <f>SUM(I5:I15)*H154</f>
        <v>0</v>
      </c>
      <c r="J154" s="4"/>
      <c r="K154" s="5"/>
      <c r="L154" s="5"/>
      <c r="M154" s="5"/>
      <c r="O154" s="5">
        <v>2</v>
      </c>
      <c r="P154" s="5">
        <f>P5*O154+Q5*O154+P6*O154+Q6*O154+P7*O154+Q7*O154+P8*O154+Q8*O154+P9*O154+Q9*O154+P10*O154+Q10*O154+P11*O154+Q11*O154+P12*O154+Q12*O154+P13*O154+Q13*O154+P14*O154+Q14*O154+P15*O154+Q15*O154</f>
        <v>0</v>
      </c>
      <c r="Q154" s="5"/>
      <c r="S154" s="5">
        <v>1</v>
      </c>
      <c r="T154" s="5">
        <f>T5*S154+U5*S154+T6*S154+U6*S154+T7*S154+U7*S154+T8*S154+U8*S154+T9*S154+U9*S154+T10*S154+U10*S154+T11*S154+U11*S154+T12*S154+U12*S154+T13*S154+U13*S154+T14*S154+U14*S154+T15*S154+U15*S154</f>
        <v>0</v>
      </c>
      <c r="U154" s="5"/>
      <c r="W154" s="5">
        <v>1</v>
      </c>
      <c r="X154" s="5">
        <f>X5*W154+Y5*W154+X6*W154+Y6*W154+X7*W154+Y7*W154+X8*W154+Y8*W154+X9*W154+Y9*W154+X10*W154+Y10*W154+X11*W154+Y11*W154+X12*W154+Y12*W154+X13*W154+Y13*W154+X14*W154+Y14*W154+X15*W154+Y15*W154</f>
        <v>0</v>
      </c>
      <c r="Y154" s="12"/>
      <c r="AA154" s="13">
        <v>1</v>
      </c>
      <c r="AB154" s="12">
        <f>AB5*AA154+AB6*AA154+AB7*AA154+AB8*AA154+AB9*AA154+AB10*AA154+AB11*AA154+AB12*AA154+AB13*AA154+AB14*AA154+AB15*AA154</f>
        <v>0</v>
      </c>
      <c r="AD154" s="13">
        <v>1</v>
      </c>
      <c r="AE154" s="5">
        <f>AE5*AD154+AF5*AD154+AE6*AD154+AF6*AD154+AE7*AD154+AF7*AD154+AE8*AD154+AF8*AD154+AE9*AD154+AF9*AD154+AE10*AD154+AF10*AD154+AE11*AD154+AF11*AD154+AE12*AD154+AF12*AD154+AE13*AD154+AF13*AD154+AE14*AD154+AF14*AD154+AE15*AD154+AF15*AD154</f>
        <v>0</v>
      </c>
      <c r="AF154" s="5"/>
      <c r="AH154" s="13">
        <v>1</v>
      </c>
      <c r="AI154" s="12">
        <f>AI5*AH154+AI6*AH154+AI7*AH154+AI8*AH154+AI9*AH154+AI10*AH154+AI11*AH154+AI12*AH154+AI13*AH154+AI14*AH154+AI15*AH154</f>
        <v>0</v>
      </c>
      <c r="AK154" s="5">
        <v>2</v>
      </c>
      <c r="AL154" s="5">
        <f>AL5*AK154+AM5*AK154+AL6*AK154+AM6*AK154+AL7*AK154+AM7*AK154+AL8*AK154+AM8*AK154+AL9*AK154+AM9*AK154+AL10*AK154+AM10*AK154+AL11*AK154+AM11*AK154+AL12*AK154+AM12*AK154+AL13*AK154+AM13*AK154+AL14*AK154+AM14*AK154+AL15*AK154+AM15*AK154</f>
        <v>0</v>
      </c>
      <c r="AM154" s="5"/>
      <c r="AO154" s="5">
        <v>2</v>
      </c>
      <c r="AP154" s="12">
        <f>AP5*AO154+AP6*AO154+AP7*AO154+AP8*AO154+AP9*AO154+AP10*AO154+AP11*AO154+AP12*AO154+AP13*AO154+AP14*AO154+AP15*AO154</f>
        <v>0</v>
      </c>
      <c r="AR154" s="5">
        <v>2</v>
      </c>
      <c r="AS154" s="5">
        <f>AS5*AR154+AT5*AR154+AS6*AR154+AT6*AR154+AS7*AR154+AT7*AR154+AS8*AR154+AT8*AR154+AS9*AR154+AT9*AR154+AS10*AR154+AT10*AR154+AS11*AR154+AT11*AR154+AS12*AR154+AT12*AR154+AS13*AR154+AT13*AR154+AS14*AR154+AT14*AR154+AS15*AR154+AT15*AR154</f>
        <v>0</v>
      </c>
      <c r="AT154" s="5"/>
      <c r="AV154" s="5">
        <v>2</v>
      </c>
      <c r="AW154" s="12">
        <f>AW5*AV154+AW6*AV154+AW7*AV154+AW8*AV154+AW9*AV154+AW10*AV154+AW11*AV154+AW12*AV154+AW13*AV154+AW14*AV154+AW15*AV154</f>
        <v>0</v>
      </c>
      <c r="AY154" s="5">
        <v>2</v>
      </c>
      <c r="AZ154" s="5">
        <f>AZ5*AY154+BA5*AY154+AZ6*AY154+BA6*AY154+AZ7*AY154+BA7*AY154+AZ8*AY154+BA8*AY154+AZ9*AY154+BA9*AY154+AZ10*AY154+BA10*AY154+AZ11*AY154+BA11*AY154+AZ12*AY154+BA12*AY154+AZ13*AY154+BA13*AY154+AZ14*AY154+BA14*AY154+AZ15*AY154+BA15*AY154</f>
        <v>0</v>
      </c>
      <c r="BA154" s="5"/>
      <c r="BC154" s="5">
        <v>2</v>
      </c>
      <c r="BD154" s="12">
        <f>BD5*BC154+BD6*BC154+BD7*BC154+BD8*BC154+BD9*BC154+BD10*BC154+BD11*BC154+BD12*BC154+BD13*BC154+BD14*BC154+BD15*BC154</f>
        <v>0</v>
      </c>
      <c r="BF154" s="5"/>
      <c r="BG154" s="5"/>
      <c r="BH154" s="5"/>
      <c r="BJ154" s="5"/>
      <c r="BK154" s="5"/>
      <c r="BL154" s="12"/>
      <c r="BM154" s="5">
        <v>2</v>
      </c>
      <c r="BN154" s="5">
        <f>BN5*BM154+BO5*BM154+BN6*BM154+BO6*BM154+BN7*BM154+BO7*BM154+BN8*BM154+BO8*BM154+BN9*BM154+BO9*BM154+BN10*BM154+BO10*BM154+BN11*BM154+BO11*BM154+BN12*BM154+BO12*BM154+BN13*BM154+BO13*BM154+BN14*BM154+BO14*BM154+BN15*BM154+BO15*BM154</f>
        <v>0</v>
      </c>
      <c r="BO154" s="5"/>
      <c r="BQ154" s="5">
        <v>2</v>
      </c>
      <c r="BR154" s="12">
        <f>BR5*BQ154+BR6*BQ154+BR7*BQ154+BR8*BQ154+BR9*BQ154+BR10*BQ154+BR11*BQ154+BR12*BQ154+BR13*BQ154+BR14*BQ154+BR15*BQ154</f>
        <v>0</v>
      </c>
      <c r="BT154" s="5">
        <v>2</v>
      </c>
      <c r="BU154" s="5">
        <f>BU5*BT154+BV5*BT154+BU6*BT154+BV6*BT154+BU7*BT154+BV7*BT154+BU8*BT154+BV8*BT154+BU9*BT154+BV9*BT154+BU10*BT154+BV10*BT154+BU11*BT154+BV11*BT154+BU12*BT154+BV12*BT154+BU13*BT154+BV13*BT154+BU14*BT154+BV14*BT154+BU15*BT154+BV15*BT154</f>
        <v>0</v>
      </c>
      <c r="BV154" s="5"/>
      <c r="BX154" s="5">
        <v>2</v>
      </c>
      <c r="BY154" s="5">
        <f>BY5*BX154+BZ5*BX154+BY6*BX154+BZ6*BX154+BY7*BX154+BZ7*BX154+BY8*BX154+BZ8*BX154+BY9*BX154+BZ9*BX154+BY10*BX154+BZ10*BX154+BY11*BX154+BZ11*BX154+BY12*BX154+BZ12*BX154+BY13*BX154+BZ13*BX154+BY14*BX154+BZ14*BX154+BY15*BX154+BZ15*BX154</f>
        <v>0</v>
      </c>
      <c r="CA154" s="13">
        <v>5</v>
      </c>
      <c r="CB154" s="5">
        <f>SUM(CB5:CB15,CC5:CC15)*CA154</f>
        <v>0</v>
      </c>
      <c r="CC154" s="11"/>
      <c r="CE154" s="13">
        <v>5</v>
      </c>
      <c r="CF154" s="5">
        <f>CG5*CE154+CG6*CE154+CG7*CE154+CG8*CE154+CG9*CE154+CG10*CE154+CG11*CE154+CG12*CE154+CG13*CE154+CG14*CE154+CG15*CE154+CG16*CE154+CG17*CE154+CG18*CE154+CG19*CE154+CG20*CE154+CG21*CE154+CG22*CE154+CG23*CE154+CG24*CE154+CG25*CE154+CG26*CE154+CF5*CE154+CF6*CE154+CF7*CE154+CF8*CE154+CF9*CE154+CF10*CE154+CF11*CE154+CF12*CE154+CF13*CE154+CF14*CE154+CF15*CE154+CF16*CE154+CF17*CE154+CF18*CE154+CF19*CE154+CF20*CE154+CF21*CE154+CF22*CE154+CF23*CE154+CF24*CE154+CF25*CE154+CF26*CE154</f>
        <v>0</v>
      </c>
      <c r="CG154" s="12"/>
      <c r="CI154" s="13">
        <v>5</v>
      </c>
      <c r="CJ154" s="5">
        <f>CK5*CI154+CK6*CI154+CK7*CI154+CK8*CI154+CK9*CI154+CK10*CI154+CK11*CI154+CK12*CI154+CK13*CI154+CK14*CI154+CK15*CI154+CK16*CI154+CK17*CI154+CK18*CI154+CK19*CI154+CK20*CI154+CK21*CI154+CK22*CI154+CK23*CI154+CK24*CI154+CK25*CI154+CK26*CI154+CJ5*CI154+CJ6*CI154+CJ7*CI154+CJ8*CI154+CJ9*CI154+CJ10*CI154+CJ11*CI154+CJ12*CI154+CJ13*CI154+CJ14*CI154+CJ15*CI154+CJ16*CI154+CJ17*CI154+CJ18*CI154+CJ19*CI154+CJ20*CI154+CJ21*CI154+CJ22*CI154+CJ23*CI154+CJ24*CI154+CJ25*CI154+CJ26*CI154</f>
        <v>0</v>
      </c>
      <c r="CK154" s="12"/>
      <c r="CM154" s="13">
        <v>5</v>
      </c>
      <c r="CN154" s="5">
        <f>CO5*CM154+CO6*CM154+CO7*CM154+CO8*CM154+CO9*CM154+CO10*CM154+CO11*CM154+CO12*CM154+CO13*CM154+CO14*CM154+CO15*CM154+CO16*CM154+CO17*CM154+CO18*CM154+CO19*CM154+CO20*CM154+CO21*CM154+CO22*CM154+CO23*CM154+CO24*CM154+CO25*CM154+CO26*CM154+CN5*CM154+CN6*CM154+CN7*CM154+CN8*CM154+CN9*CM154+CN10*CM154+CN11*CM154+CN12*CM154+CN13*CM154+CN14*CM154+CN15*CM154+CN16*CM154+CN17*CM154+CN18*CM154+CN19*CM154+CN20*CM154+CN21*CM154+CN22*CM154+CN23*CM154+CN24*CM154+CN25*CM154+CN26*CM154</f>
        <v>0</v>
      </c>
      <c r="CO154" s="12"/>
      <c r="CQ154" s="13">
        <v>5</v>
      </c>
      <c r="CR154" s="5">
        <f>CS5*CQ154+CS6*CQ154+CS7*CQ154+CS8*CQ154+CS9*CQ154+CS10*CQ154+CS11*CQ154+CS12*CQ154+CS13*CQ154+CS14*CQ154+CS15*CQ154+CS16*CQ154+CS17*CQ154+CS18*CQ154+CS19*CQ154+CS20*CQ154+CS21*CQ154+CS22*CQ154+CS23*CQ154+CS24*CQ154+CS25*CQ154+CS26*CQ154+CR5*CQ154+CR6*CQ154+CR7*CQ154+CR8*CQ154+CR9*CQ154+CR10*CQ154+CR11*CQ154+CR12*CQ154+CR13*CQ154+CR14*CQ154+CR15*CQ154+CR16*CQ154+CR17*CQ154+CR18*CQ154+CR19*CQ154+CR20*CQ154+CR21*CQ154+CR22*CQ154+CR23*CQ154+CR24*CQ154+CR25*CQ154+CR26*CQ154</f>
        <v>0</v>
      </c>
      <c r="CS154" s="12"/>
      <c r="CU154" s="13">
        <v>5</v>
      </c>
      <c r="CV154" s="5">
        <f>CW5*CU154+CW6*CU154+CW7*CU154+CW8*CU154+CW9*CU154+CW10*CU154+CW11*CU154+CW12*CU154+CW13*CU154+CW14*CU154+CW15*CU154+CW16*CU154+CW17*CU154+CW18*CU154+CW19*CU154+CW20*CU154+CW21*CU154+CW22*CU154+CW23*CU154+CW24*CU154+CW25*CU154+CW26*CU154+CV5*CU154+CV6*CU154+CV7*CU154+CV8*CU154+CV9*CU154+CV10*CU154+CV11*CU154+CV12*CU154+CV13*CU154+CV14*CU154+CV15*CU154+CV16*CU154+CV17*CU154+CV18*CU154+CV19*CU154+CV20*CU154+CV21*CU154+CV22*CU154+CV23*CU154+CV24*CU154+CV25*CU154+CV26*CU154</f>
        <v>0</v>
      </c>
      <c r="CW154" s="12"/>
      <c r="CY154" s="13">
        <v>5</v>
      </c>
      <c r="CZ154" s="5">
        <f>DA5*CY154+DA6*CY154+DA7*CY154+DA8*CY154+DA9*CY154+DA10*CY154+DA11*CY154+DA12*CY154+DA13*CY154+DA14*CY154+DA15*CY154+DA16*CY154+DA17*CY154+DA18*CY154+DA19*CY154+DA20*CY154+DA21*CY154+DA22*CY154+DA23*CY154+DA24*CY154+DA25*CY154+DA26*CY154+CZ5*CY154+CZ6*CY154+CZ7*CY154+CZ8*CY154+CZ9*CY154+CZ10*CY154+CZ11*CY154+CZ12*CY154+CZ13*CY154+CZ14*CY154+CZ15*CY154+CZ16*CY154+CZ17*CY154+CZ18*CY154+CZ19*CY154+CZ20*CY154+CZ21*CY154+CZ22*CY154+CZ23*CY154+CZ24*CY154+CZ25*CY154+CZ26*CY154</f>
        <v>0</v>
      </c>
      <c r="DA154" s="12"/>
      <c r="DC154" s="13">
        <v>5</v>
      </c>
      <c r="DD154" s="5">
        <f>DE5*DC154+DE6*DC154+DE7*DC154+DE8*DC154+DE9*DC154+DE10*DC154+DE11*DC154+DE12*DC154+DE13*DC154+DE14*DC154+DE15*DC154+DE16*DC154+DE17*DC154+DE18*DC154+DE19*DC154+DE20*DC154+DE21*DC154+DE22*DC154+DE23*DC154+DE24*DC154+DE25*DC154+DE26*DC154+DD5*DC154+DD6*DC154+DD7*DC154+DD8*DC154+DD9*DC154+DD10*DC154+DD11*DC154+DD12*DC154+DD13*DC154+DD14*DC154+DD15*DC154+DD16*DC154+DD17*DC154+DD18*DC154+DD19*DC154+DD20*DC154+DD21*DC154+DD22*DC154+DD23*DC154+DD24*DC154+DD25*DC154+DD26*DC154</f>
        <v>0</v>
      </c>
      <c r="DE154" s="12"/>
      <c r="DG154" s="13">
        <v>5</v>
      </c>
      <c r="DH154" s="5">
        <f>DI5*DG154+DI6*DG154+DI7*DG154+DI8*DG154+DI9*DG154+DI10*DG154+DI11*DG154+DI12*DG154+DI13*DG154+DI14*DG154+DI15*DG154+DI16*DG154+DI17*DG154+DI18*DG154+DI19*DG154+DI20*DG154+DI21*DG154+DI22*DG154+DI23*DG154+DI24*DG154+DI25*DG154+DI26*DG154+DH5*DG154+DH6*DG154+DH7*DG154+DH8*DG154+DH9*DG154+DH10*DG154+DH11*DG154+DH12*DG154+DH13*DG154+DH14*DG154+DH15*DG154+DH16*DG154+DH17*DG154+DH18*DG154+DH19*DG154+DH20*DG154+DH21*DG154+DH22*DG154+DH23*DG154+DH24*DG154+DH25*DG154+DH26*DG154</f>
        <v>0</v>
      </c>
      <c r="DI154" s="12"/>
      <c r="DK154" s="13">
        <v>5</v>
      </c>
      <c r="DL154" s="5">
        <f>DM5*DK154+DM6*DK154+DM7*DK154+DM8*DK154+DM9*DK154+DM10*DK154+DM11*DK154+DM12*DK154+DM13*DK154+DM14*DK154+DM15*DK154+DM16*DK154+DM17*DK154+DM18*DK154+DM19*DK154+DM20*DK154+DM21*DK154+DM22*DK154+DM23*DK154+DM24*DK154+DM25*DK154+DM26*DK154+DL5*DK154+DL6*DK154+DL7*DK154+DL8*DK154+DL9*DK154+DL10*DK154+DL11*DK154+DL12*DK154+DL13*DK154+DL14*DK154+DL15*DK154+DL16*DK154+DL17*DK154+DL18*DK154+DL19*DK154+DL20*DK154+DL21*DK154+DL22*DK154+DL23*DK154+DL24*DK154+DL25*DK154+DL26*DK154</f>
        <v>0</v>
      </c>
      <c r="DM154" s="12"/>
      <c r="DO154" s="13">
        <v>5</v>
      </c>
      <c r="DP154" s="5">
        <f>DQ5*DO154+DQ6*DO154+DQ7*DO154+DQ8*DO154+DQ9*DO154+DQ10*DO154+DQ11*DO154+DQ12*DO154+DQ13*DO154+DQ14*DO154+DQ15*DO154+DQ16*DO154+DQ17*DO154+DQ18*DO154+DQ19*DO154+DQ20*DO154+DQ21*DO154+DQ22*DO154+DQ23*DO154+DQ24*DO154+DQ25*DO154+DQ26*DO154+DP5*DO154+DP6*DO154+DP7*DO154+DP8*DO154+DP9*DO154+DP10*DO154+DP11*DO154+DP12*DO154+DP13*DO154+DP14*DO154+DP15*DO154+DP16*DO154+DP17*DO154+DP18*DO154+DP19*DO154+DP20*DO154+DP21*DO154+DP22*DO154+DP23*DO154+DP24*DO154+DP25*DO154+DP26*DO154</f>
        <v>0</v>
      </c>
      <c r="DQ154" s="12"/>
      <c r="DS154" s="1336">
        <f t="shared" si="0"/>
        <v>0</v>
      </c>
      <c r="DT154" s="121">
        <f>EXTRAS!D18</f>
        <v>0</v>
      </c>
      <c r="DU154" s="112">
        <f>EXTRAS!E18</f>
        <v>0</v>
      </c>
      <c r="DX154" s="203">
        <f t="shared" si="1"/>
        <v>0</v>
      </c>
      <c r="DZ154" s="924"/>
      <c r="EH154" s="924"/>
    </row>
    <row r="155" spans="1:138" s="6" customFormat="1" ht="15" customHeight="1">
      <c r="A155" s="3">
        <v>15</v>
      </c>
      <c r="B155" s="210" t="s">
        <v>312</v>
      </c>
      <c r="C155" s="473" t="s">
        <v>515</v>
      </c>
      <c r="D155" s="4"/>
      <c r="E155" s="5"/>
      <c r="F155" s="5"/>
      <c r="G155" s="4"/>
      <c r="H155" s="4"/>
      <c r="I155" s="4"/>
      <c r="J155" s="4"/>
      <c r="K155" s="5"/>
      <c r="L155" s="5"/>
      <c r="M155" s="5"/>
      <c r="O155" s="5"/>
      <c r="P155" s="5"/>
      <c r="Q155" s="5"/>
      <c r="S155" s="5"/>
      <c r="T155" s="5"/>
      <c r="U155" s="5"/>
      <c r="W155" s="5"/>
      <c r="X155" s="5"/>
      <c r="Y155" s="12"/>
      <c r="AA155" s="13"/>
      <c r="AB155" s="12"/>
      <c r="AD155" s="13"/>
      <c r="AE155" s="5"/>
      <c r="AF155" s="5"/>
      <c r="AH155" s="13"/>
      <c r="AI155" s="12"/>
      <c r="AK155" s="5"/>
      <c r="AL155" s="5"/>
      <c r="AM155" s="5"/>
      <c r="AO155" s="5"/>
      <c r="AP155" s="12"/>
      <c r="AR155" s="5"/>
      <c r="AS155" s="5"/>
      <c r="AT155" s="5"/>
      <c r="AV155" s="5"/>
      <c r="AW155" s="12"/>
      <c r="AY155" s="5"/>
      <c r="AZ155" s="5"/>
      <c r="BA155" s="5"/>
      <c r="BC155" s="5"/>
      <c r="BD155" s="12"/>
      <c r="BF155" s="5"/>
      <c r="BG155" s="5"/>
      <c r="BH155" s="5"/>
      <c r="BJ155" s="5"/>
      <c r="BK155" s="5"/>
      <c r="BL155" s="12"/>
      <c r="BM155" s="5"/>
      <c r="BN155" s="5"/>
      <c r="BO155" s="5"/>
      <c r="BQ155" s="5"/>
      <c r="BR155" s="12"/>
      <c r="BT155" s="5"/>
      <c r="BU155" s="5"/>
      <c r="BV155" s="5"/>
      <c r="BX155" s="5"/>
      <c r="BY155" s="5"/>
      <c r="CA155" s="13"/>
      <c r="CB155" s="7"/>
      <c r="CC155" s="11"/>
      <c r="CE155" s="13"/>
      <c r="CF155" s="5"/>
      <c r="CG155" s="12"/>
      <c r="CI155" s="13"/>
      <c r="CJ155" s="5"/>
      <c r="CK155" s="12"/>
      <c r="CM155" s="13"/>
      <c r="CN155" s="5"/>
      <c r="CO155" s="12"/>
      <c r="CQ155" s="13"/>
      <c r="CR155" s="5"/>
      <c r="CS155" s="12"/>
      <c r="CU155" s="13"/>
      <c r="CV155" s="5"/>
      <c r="CW155" s="12"/>
      <c r="CY155" s="13"/>
      <c r="CZ155" s="5"/>
      <c r="DA155" s="12"/>
      <c r="DC155" s="13"/>
      <c r="DD155" s="5"/>
      <c r="DE155" s="12"/>
      <c r="DG155" s="13"/>
      <c r="DH155" s="5"/>
      <c r="DI155" s="12"/>
      <c r="DK155" s="13"/>
      <c r="DL155" s="5"/>
      <c r="DM155" s="12"/>
      <c r="DO155" s="13"/>
      <c r="DP155" s="5"/>
      <c r="DQ155" s="12"/>
      <c r="DS155" s="1336">
        <f t="shared" si="0"/>
        <v>0</v>
      </c>
      <c r="DT155" s="121">
        <f>EXTRAS!D19</f>
        <v>0</v>
      </c>
      <c r="DU155" s="112">
        <f>EXTRAS!E19</f>
        <v>0</v>
      </c>
      <c r="DX155" s="203">
        <f t="shared" si="1"/>
        <v>0</v>
      </c>
      <c r="DZ155" s="924"/>
      <c r="EH155" s="924"/>
    </row>
    <row r="156" spans="1:138" s="6" customFormat="1" ht="15" customHeight="1">
      <c r="A156" s="3"/>
      <c r="B156" s="210" t="s">
        <v>1424</v>
      </c>
      <c r="C156" s="473" t="s">
        <v>168</v>
      </c>
      <c r="D156" s="4"/>
      <c r="E156" s="5"/>
      <c r="F156" s="5"/>
      <c r="G156" s="4"/>
      <c r="H156" s="4"/>
      <c r="I156" s="4"/>
      <c r="J156" s="4"/>
      <c r="K156" s="5"/>
      <c r="L156" s="5"/>
      <c r="M156" s="5"/>
      <c r="O156" s="5"/>
      <c r="P156" s="5"/>
      <c r="Q156" s="5"/>
      <c r="S156" s="5"/>
      <c r="T156" s="5"/>
      <c r="U156" s="5"/>
      <c r="W156" s="5"/>
      <c r="X156" s="5"/>
      <c r="Y156" s="12"/>
      <c r="AA156" s="13"/>
      <c r="AB156" s="12"/>
      <c r="AD156" s="13"/>
      <c r="AE156" s="5"/>
      <c r="AF156" s="5"/>
      <c r="AH156" s="13"/>
      <c r="AI156" s="12"/>
      <c r="AK156" s="5"/>
      <c r="AL156" s="5"/>
      <c r="AM156" s="5"/>
      <c r="AO156" s="5"/>
      <c r="AP156" s="12"/>
      <c r="AR156" s="5"/>
      <c r="AS156" s="5"/>
      <c r="AT156" s="5"/>
      <c r="AV156" s="5"/>
      <c r="AW156" s="12"/>
      <c r="AY156" s="5"/>
      <c r="AZ156" s="5"/>
      <c r="BA156" s="5"/>
      <c r="BC156" s="5"/>
      <c r="BD156" s="12"/>
      <c r="BF156" s="5"/>
      <c r="BG156" s="5"/>
      <c r="BH156" s="5"/>
      <c r="BJ156" s="5"/>
      <c r="BK156" s="5"/>
      <c r="BL156" s="12"/>
      <c r="BM156" s="5"/>
      <c r="BN156" s="5"/>
      <c r="BO156" s="5"/>
      <c r="BQ156" s="5"/>
      <c r="BR156" s="12"/>
      <c r="BT156" s="5"/>
      <c r="BU156" s="5"/>
      <c r="BV156" s="5"/>
      <c r="BX156" s="5"/>
      <c r="BY156" s="5"/>
      <c r="CA156" s="13"/>
      <c r="CB156" s="7"/>
      <c r="CC156" s="11"/>
      <c r="CE156" s="13"/>
      <c r="CF156" s="5"/>
      <c r="CG156" s="12"/>
      <c r="CI156" s="13"/>
      <c r="CJ156" s="5"/>
      <c r="CK156" s="12"/>
      <c r="CM156" s="13"/>
      <c r="CN156" s="5"/>
      <c r="CO156" s="12"/>
      <c r="CQ156" s="13"/>
      <c r="CR156" s="5"/>
      <c r="CS156" s="12"/>
      <c r="CU156" s="13"/>
      <c r="CV156" s="5"/>
      <c r="CW156" s="12"/>
      <c r="CY156" s="13"/>
      <c r="CZ156" s="5"/>
      <c r="DA156" s="12"/>
      <c r="DC156" s="13"/>
      <c r="DD156" s="5"/>
      <c r="DE156" s="12"/>
      <c r="DG156" s="13"/>
      <c r="DH156" s="5"/>
      <c r="DI156" s="12"/>
      <c r="DK156" s="13"/>
      <c r="DL156" s="5"/>
      <c r="DM156" s="12"/>
      <c r="DO156" s="13"/>
      <c r="DP156" s="5"/>
      <c r="DQ156" s="12"/>
      <c r="DS156" s="1336">
        <f t="shared" si="0"/>
        <v>0</v>
      </c>
      <c r="DT156" s="121">
        <f>EXTRAS!D20</f>
        <v>0</v>
      </c>
      <c r="DU156" s="112">
        <f>EXTRAS!E20</f>
        <v>0</v>
      </c>
      <c r="DX156" s="203">
        <f t="shared" si="1"/>
        <v>0</v>
      </c>
      <c r="DZ156" s="924"/>
      <c r="EH156" s="924"/>
    </row>
    <row r="157" spans="1:138" s="6" customFormat="1" ht="15" customHeight="1">
      <c r="A157" s="3"/>
      <c r="B157" s="210" t="s">
        <v>313</v>
      </c>
      <c r="C157" s="473" t="s">
        <v>168</v>
      </c>
      <c r="D157" s="4"/>
      <c r="E157" s="5"/>
      <c r="F157" s="5"/>
      <c r="G157" s="4"/>
      <c r="H157" s="4"/>
      <c r="I157" s="4"/>
      <c r="J157" s="4"/>
      <c r="K157" s="5"/>
      <c r="L157" s="5"/>
      <c r="M157" s="5"/>
      <c r="O157" s="5"/>
      <c r="P157" s="5"/>
      <c r="Q157" s="5"/>
      <c r="S157" s="5"/>
      <c r="T157" s="5"/>
      <c r="U157" s="5"/>
      <c r="W157" s="5"/>
      <c r="X157" s="5"/>
      <c r="Y157" s="12"/>
      <c r="AA157" s="13"/>
      <c r="AB157" s="12"/>
      <c r="AD157" s="13"/>
      <c r="AE157" s="5"/>
      <c r="AF157" s="5"/>
      <c r="AH157" s="13"/>
      <c r="AI157" s="12"/>
      <c r="AK157" s="5"/>
      <c r="AL157" s="5"/>
      <c r="AM157" s="5"/>
      <c r="AO157" s="5"/>
      <c r="AP157" s="12"/>
      <c r="AR157" s="5"/>
      <c r="AS157" s="5"/>
      <c r="AT157" s="5"/>
      <c r="AV157" s="5"/>
      <c r="AW157" s="12"/>
      <c r="AY157" s="5"/>
      <c r="AZ157" s="5"/>
      <c r="BA157" s="5"/>
      <c r="BC157" s="5"/>
      <c r="BD157" s="12"/>
      <c r="BF157" s="5"/>
      <c r="BG157" s="5"/>
      <c r="BH157" s="5"/>
      <c r="BJ157" s="5"/>
      <c r="BK157" s="5"/>
      <c r="BL157" s="12"/>
      <c r="BM157" s="5"/>
      <c r="BN157" s="5"/>
      <c r="BO157" s="5"/>
      <c r="BQ157" s="5"/>
      <c r="BR157" s="12"/>
      <c r="BT157" s="5"/>
      <c r="BU157" s="5"/>
      <c r="BV157" s="5"/>
      <c r="BX157" s="5"/>
      <c r="BY157" s="5"/>
      <c r="CA157" s="13"/>
      <c r="CB157" s="7"/>
      <c r="CC157" s="11"/>
      <c r="CE157" s="13"/>
      <c r="CF157" s="5"/>
      <c r="CG157" s="12"/>
      <c r="CI157" s="13"/>
      <c r="CJ157" s="5"/>
      <c r="CK157" s="12"/>
      <c r="CM157" s="13"/>
      <c r="CN157" s="5"/>
      <c r="CO157" s="12"/>
      <c r="CQ157" s="13"/>
      <c r="CR157" s="5"/>
      <c r="CS157" s="12"/>
      <c r="CU157" s="13"/>
      <c r="CV157" s="5"/>
      <c r="CW157" s="12"/>
      <c r="CY157" s="13"/>
      <c r="CZ157" s="5"/>
      <c r="DA157" s="12"/>
      <c r="DC157" s="13"/>
      <c r="DD157" s="5"/>
      <c r="DE157" s="12"/>
      <c r="DG157" s="13"/>
      <c r="DH157" s="5"/>
      <c r="DI157" s="12"/>
      <c r="DK157" s="13"/>
      <c r="DL157" s="5"/>
      <c r="DM157" s="12"/>
      <c r="DO157" s="13"/>
      <c r="DP157" s="5"/>
      <c r="DQ157" s="12"/>
      <c r="DS157" s="1336">
        <f t="shared" si="0"/>
        <v>0</v>
      </c>
      <c r="DT157" s="121">
        <f>EXTRAS!D21</f>
        <v>0</v>
      </c>
      <c r="DU157" s="112">
        <f>EXTRAS!E21</f>
        <v>0</v>
      </c>
      <c r="DX157" s="203">
        <f t="shared" si="1"/>
        <v>0</v>
      </c>
      <c r="DZ157" s="924"/>
      <c r="EH157" s="924"/>
    </row>
    <row r="158" spans="1:138" s="6" customFormat="1" ht="15" customHeight="1">
      <c r="A158" s="3"/>
      <c r="B158" s="210" t="s">
        <v>409</v>
      </c>
      <c r="C158" s="473" t="s">
        <v>168</v>
      </c>
      <c r="D158" s="4"/>
      <c r="E158" s="5"/>
      <c r="F158" s="5"/>
      <c r="G158" s="4"/>
      <c r="H158" s="4"/>
      <c r="I158" s="4"/>
      <c r="J158" s="4"/>
      <c r="K158" s="5"/>
      <c r="L158" s="5"/>
      <c r="M158" s="5"/>
      <c r="O158" s="5"/>
      <c r="P158" s="5"/>
      <c r="Q158" s="5"/>
      <c r="S158" s="5"/>
      <c r="T158" s="5"/>
      <c r="U158" s="5"/>
      <c r="W158" s="5"/>
      <c r="X158" s="5"/>
      <c r="Y158" s="12"/>
      <c r="AA158" s="13"/>
      <c r="AB158" s="12"/>
      <c r="AD158" s="13"/>
      <c r="AE158" s="5"/>
      <c r="AF158" s="5"/>
      <c r="AH158" s="13"/>
      <c r="AI158" s="12"/>
      <c r="AK158" s="5"/>
      <c r="AL158" s="5"/>
      <c r="AM158" s="5"/>
      <c r="AO158" s="5"/>
      <c r="AP158" s="12"/>
      <c r="AR158" s="5"/>
      <c r="AS158" s="5"/>
      <c r="AT158" s="5"/>
      <c r="AV158" s="5"/>
      <c r="AW158" s="12"/>
      <c r="AY158" s="5"/>
      <c r="AZ158" s="5"/>
      <c r="BA158" s="5"/>
      <c r="BC158" s="5"/>
      <c r="BD158" s="12"/>
      <c r="BF158" s="5"/>
      <c r="BG158" s="5"/>
      <c r="BH158" s="5"/>
      <c r="BJ158" s="5"/>
      <c r="BK158" s="5"/>
      <c r="BL158" s="12"/>
      <c r="BM158" s="5"/>
      <c r="BN158" s="5"/>
      <c r="BO158" s="5"/>
      <c r="BQ158" s="5"/>
      <c r="BR158" s="12"/>
      <c r="BT158" s="5"/>
      <c r="BU158" s="5"/>
      <c r="BV158" s="5"/>
      <c r="BX158" s="5"/>
      <c r="BY158" s="5"/>
      <c r="CA158" s="13"/>
      <c r="CB158" s="7"/>
      <c r="CC158" s="11"/>
      <c r="CE158" s="13"/>
      <c r="CF158" s="5"/>
      <c r="CG158" s="12"/>
      <c r="CI158" s="13"/>
      <c r="CJ158" s="5"/>
      <c r="CK158" s="12"/>
      <c r="CM158" s="13"/>
      <c r="CN158" s="5"/>
      <c r="CO158" s="12"/>
      <c r="CQ158" s="13"/>
      <c r="CR158" s="5"/>
      <c r="CS158" s="12"/>
      <c r="CU158" s="13"/>
      <c r="CV158" s="5"/>
      <c r="CW158" s="12"/>
      <c r="CY158" s="13"/>
      <c r="CZ158" s="5"/>
      <c r="DA158" s="12"/>
      <c r="DC158" s="13"/>
      <c r="DD158" s="5"/>
      <c r="DE158" s="12"/>
      <c r="DG158" s="13"/>
      <c r="DH158" s="5"/>
      <c r="DI158" s="12"/>
      <c r="DK158" s="13"/>
      <c r="DL158" s="5"/>
      <c r="DM158" s="12"/>
      <c r="DO158" s="13"/>
      <c r="DP158" s="5"/>
      <c r="DQ158" s="12"/>
      <c r="DS158" s="1336">
        <f t="shared" si="0"/>
        <v>0</v>
      </c>
      <c r="DT158" s="121">
        <f>EXTRAS!D22</f>
        <v>0</v>
      </c>
      <c r="DU158" s="112">
        <f>EXTRAS!E22</f>
        <v>0</v>
      </c>
      <c r="DX158" s="203">
        <f t="shared" si="1"/>
        <v>0</v>
      </c>
      <c r="DZ158" s="924"/>
      <c r="EH158" s="924"/>
    </row>
    <row r="159" spans="1:138" s="6" customFormat="1" ht="15" customHeight="1">
      <c r="A159" s="3">
        <v>16</v>
      </c>
      <c r="B159" s="210" t="s">
        <v>1382</v>
      </c>
      <c r="C159" s="473" t="s">
        <v>168</v>
      </c>
      <c r="D159" s="4"/>
      <c r="E159" s="5"/>
      <c r="F159" s="5"/>
      <c r="G159" s="4"/>
      <c r="H159" s="4"/>
      <c r="I159" s="4"/>
      <c r="J159" s="4"/>
      <c r="K159" s="5"/>
      <c r="L159" s="5"/>
      <c r="M159" s="5"/>
      <c r="O159" s="5"/>
      <c r="P159" s="5"/>
      <c r="Q159" s="5"/>
      <c r="S159" s="5"/>
      <c r="T159" s="5"/>
      <c r="U159" s="5"/>
      <c r="W159" s="5"/>
      <c r="X159" s="5"/>
      <c r="Y159" s="12"/>
      <c r="AA159" s="13"/>
      <c r="AB159" s="12"/>
      <c r="AD159" s="13"/>
      <c r="AE159" s="5"/>
      <c r="AF159" s="5"/>
      <c r="AH159" s="13"/>
      <c r="AI159" s="12"/>
      <c r="AK159" s="5"/>
      <c r="AL159" s="5"/>
      <c r="AM159" s="5"/>
      <c r="AO159" s="5"/>
      <c r="AP159" s="12"/>
      <c r="AR159" s="5"/>
      <c r="AS159" s="5"/>
      <c r="AT159" s="5"/>
      <c r="AV159" s="5"/>
      <c r="AW159" s="12"/>
      <c r="AY159" s="5"/>
      <c r="AZ159" s="5"/>
      <c r="BA159" s="5"/>
      <c r="BC159" s="5"/>
      <c r="BD159" s="12"/>
      <c r="BF159" s="5"/>
      <c r="BG159" s="5"/>
      <c r="BH159" s="5"/>
      <c r="BJ159" s="5"/>
      <c r="BK159" s="5"/>
      <c r="BL159" s="12"/>
      <c r="BM159" s="5"/>
      <c r="BN159" s="5"/>
      <c r="BO159" s="5"/>
      <c r="BQ159" s="5"/>
      <c r="BR159" s="12"/>
      <c r="BT159" s="5"/>
      <c r="BU159" s="5"/>
      <c r="BV159" s="5"/>
      <c r="BX159" s="5"/>
      <c r="BY159" s="5"/>
      <c r="CA159" s="13"/>
      <c r="CB159" s="7"/>
      <c r="CC159" s="11"/>
      <c r="CE159" s="13"/>
      <c r="CF159" s="5"/>
      <c r="CG159" s="12"/>
      <c r="CI159" s="13"/>
      <c r="CJ159" s="5"/>
      <c r="CK159" s="12"/>
      <c r="CM159" s="13"/>
      <c r="CN159" s="5"/>
      <c r="CO159" s="12"/>
      <c r="CQ159" s="13"/>
      <c r="CR159" s="5"/>
      <c r="CS159" s="12"/>
      <c r="CU159" s="13"/>
      <c r="CV159" s="5"/>
      <c r="CW159" s="12"/>
      <c r="CY159" s="13"/>
      <c r="CZ159" s="5"/>
      <c r="DA159" s="12"/>
      <c r="DC159" s="13"/>
      <c r="DD159" s="5"/>
      <c r="DE159" s="12"/>
      <c r="DG159" s="13"/>
      <c r="DH159" s="5"/>
      <c r="DI159" s="12"/>
      <c r="DK159" s="13"/>
      <c r="DL159" s="5"/>
      <c r="DM159" s="12"/>
      <c r="DO159" s="13"/>
      <c r="DP159" s="5"/>
      <c r="DQ159" s="12"/>
      <c r="DS159" s="1336">
        <f t="shared" si="0"/>
        <v>0</v>
      </c>
      <c r="DT159" s="121">
        <f>EXTRAS!D23</f>
        <v>0</v>
      </c>
      <c r="DU159" s="112">
        <f>EXTRAS!E23</f>
        <v>0</v>
      </c>
      <c r="DX159" s="203">
        <f t="shared" si="1"/>
        <v>0</v>
      </c>
      <c r="DZ159" s="924"/>
      <c r="EH159" s="924"/>
    </row>
    <row r="160" spans="1:138" s="6" customFormat="1" ht="15" customHeight="1">
      <c r="A160" s="3"/>
      <c r="B160" s="210" t="s">
        <v>1425</v>
      </c>
      <c r="C160" s="473" t="s">
        <v>168</v>
      </c>
      <c r="D160" s="4"/>
      <c r="E160" s="5"/>
      <c r="F160" s="5"/>
      <c r="G160" s="4"/>
      <c r="H160" s="4"/>
      <c r="I160" s="4"/>
      <c r="J160" s="4"/>
      <c r="K160" s="5"/>
      <c r="L160" s="5"/>
      <c r="M160" s="5"/>
      <c r="O160" s="5"/>
      <c r="P160" s="5"/>
      <c r="Q160" s="5"/>
      <c r="S160" s="5"/>
      <c r="T160" s="5"/>
      <c r="U160" s="5"/>
      <c r="W160" s="5"/>
      <c r="X160" s="5"/>
      <c r="Y160" s="12"/>
      <c r="AA160" s="13"/>
      <c r="AB160" s="12"/>
      <c r="AD160" s="13"/>
      <c r="AE160" s="5"/>
      <c r="AF160" s="5"/>
      <c r="AH160" s="13"/>
      <c r="AI160" s="12"/>
      <c r="AK160" s="5"/>
      <c r="AL160" s="5"/>
      <c r="AM160" s="5"/>
      <c r="AO160" s="5"/>
      <c r="AP160" s="12"/>
      <c r="AR160" s="5"/>
      <c r="AS160" s="5"/>
      <c r="AT160" s="5"/>
      <c r="AV160" s="5"/>
      <c r="AW160" s="12"/>
      <c r="AY160" s="5"/>
      <c r="AZ160" s="5"/>
      <c r="BA160" s="5"/>
      <c r="BC160" s="5"/>
      <c r="BD160" s="12"/>
      <c r="BF160" s="5"/>
      <c r="BG160" s="5"/>
      <c r="BH160" s="5"/>
      <c r="BJ160" s="5"/>
      <c r="BK160" s="5"/>
      <c r="BL160" s="12"/>
      <c r="BM160" s="5"/>
      <c r="BN160" s="5"/>
      <c r="BO160" s="5"/>
      <c r="BQ160" s="5"/>
      <c r="BR160" s="12"/>
      <c r="BT160" s="5"/>
      <c r="BU160" s="5"/>
      <c r="BV160" s="5"/>
      <c r="BX160" s="5"/>
      <c r="BY160" s="5"/>
      <c r="CA160" s="13"/>
      <c r="CB160" s="7"/>
      <c r="CC160" s="11"/>
      <c r="CE160" s="13"/>
      <c r="CF160" s="5"/>
      <c r="CG160" s="12"/>
      <c r="CI160" s="13"/>
      <c r="CJ160" s="5"/>
      <c r="CK160" s="12"/>
      <c r="CM160" s="13"/>
      <c r="CN160" s="5"/>
      <c r="CO160" s="12"/>
      <c r="CQ160" s="13"/>
      <c r="CR160" s="5"/>
      <c r="CS160" s="12"/>
      <c r="CU160" s="13"/>
      <c r="CV160" s="5"/>
      <c r="CW160" s="12"/>
      <c r="CY160" s="13"/>
      <c r="CZ160" s="5"/>
      <c r="DA160" s="12"/>
      <c r="DC160" s="13"/>
      <c r="DD160" s="5"/>
      <c r="DE160" s="12"/>
      <c r="DG160" s="13"/>
      <c r="DH160" s="5"/>
      <c r="DI160" s="12"/>
      <c r="DK160" s="13"/>
      <c r="DL160" s="5"/>
      <c r="DM160" s="12"/>
      <c r="DO160" s="13"/>
      <c r="DP160" s="5"/>
      <c r="DQ160" s="12"/>
      <c r="DS160" s="1336">
        <f t="shared" si="0"/>
        <v>0</v>
      </c>
      <c r="DT160" s="121">
        <f>EXTRAS!D24</f>
        <v>0</v>
      </c>
      <c r="DU160" s="112">
        <f>EXTRAS!E24</f>
        <v>0</v>
      </c>
      <c r="DX160" s="203">
        <f t="shared" si="1"/>
        <v>0</v>
      </c>
      <c r="DZ160" s="924"/>
      <c r="EH160" s="924"/>
    </row>
    <row r="161" spans="1:138" s="6" customFormat="1" ht="15" customHeight="1">
      <c r="A161" s="3"/>
      <c r="B161" s="210" t="s">
        <v>1380</v>
      </c>
      <c r="C161" s="473" t="s">
        <v>168</v>
      </c>
      <c r="D161" s="4"/>
      <c r="E161" s="5"/>
      <c r="F161" s="5"/>
      <c r="G161" s="4"/>
      <c r="H161" s="4"/>
      <c r="I161" s="4"/>
      <c r="J161" s="4"/>
      <c r="K161" s="5"/>
      <c r="L161" s="5"/>
      <c r="M161" s="5"/>
      <c r="O161" s="5"/>
      <c r="P161" s="5"/>
      <c r="Q161" s="5"/>
      <c r="S161" s="5"/>
      <c r="T161" s="5"/>
      <c r="U161" s="5"/>
      <c r="W161" s="5"/>
      <c r="X161" s="5"/>
      <c r="Y161" s="12"/>
      <c r="AA161" s="13"/>
      <c r="AB161" s="12"/>
      <c r="AD161" s="13"/>
      <c r="AE161" s="5"/>
      <c r="AF161" s="5"/>
      <c r="AH161" s="13"/>
      <c r="AI161" s="12"/>
      <c r="AK161" s="5"/>
      <c r="AL161" s="5"/>
      <c r="AM161" s="5"/>
      <c r="AO161" s="5"/>
      <c r="AP161" s="12"/>
      <c r="AR161" s="5"/>
      <c r="AS161" s="5"/>
      <c r="AT161" s="5"/>
      <c r="AV161" s="5"/>
      <c r="AW161" s="12"/>
      <c r="AY161" s="5"/>
      <c r="AZ161" s="5"/>
      <c r="BA161" s="5"/>
      <c r="BC161" s="5"/>
      <c r="BD161" s="12"/>
      <c r="BF161" s="5"/>
      <c r="BG161" s="5"/>
      <c r="BH161" s="5"/>
      <c r="BJ161" s="5"/>
      <c r="BK161" s="5"/>
      <c r="BL161" s="12"/>
      <c r="BM161" s="5"/>
      <c r="BN161" s="5"/>
      <c r="BO161" s="5"/>
      <c r="BQ161" s="5"/>
      <c r="BR161" s="12"/>
      <c r="BT161" s="5"/>
      <c r="BU161" s="5"/>
      <c r="BV161" s="5"/>
      <c r="BX161" s="5"/>
      <c r="BY161" s="5"/>
      <c r="CA161" s="13"/>
      <c r="CB161" s="7"/>
      <c r="CC161" s="11"/>
      <c r="CE161" s="13"/>
      <c r="CF161" s="5"/>
      <c r="CG161" s="12"/>
      <c r="CI161" s="13"/>
      <c r="CJ161" s="5"/>
      <c r="CK161" s="12"/>
      <c r="CM161" s="13"/>
      <c r="CN161" s="5"/>
      <c r="CO161" s="12"/>
      <c r="CQ161" s="13"/>
      <c r="CR161" s="5"/>
      <c r="CS161" s="12"/>
      <c r="CU161" s="13"/>
      <c r="CV161" s="5"/>
      <c r="CW161" s="12"/>
      <c r="CY161" s="13"/>
      <c r="CZ161" s="5"/>
      <c r="DA161" s="12"/>
      <c r="DC161" s="13"/>
      <c r="DD161" s="5"/>
      <c r="DE161" s="12"/>
      <c r="DG161" s="13"/>
      <c r="DH161" s="5"/>
      <c r="DI161" s="12"/>
      <c r="DK161" s="13"/>
      <c r="DL161" s="5"/>
      <c r="DM161" s="12"/>
      <c r="DO161" s="13"/>
      <c r="DP161" s="5"/>
      <c r="DQ161" s="12"/>
      <c r="DS161" s="1336">
        <f t="shared" si="0"/>
        <v>0</v>
      </c>
      <c r="DT161" s="121">
        <f>EXTRAS!D25</f>
        <v>0</v>
      </c>
      <c r="DU161" s="112">
        <f>EXTRAS!E25</f>
        <v>0</v>
      </c>
      <c r="DX161" s="203">
        <f t="shared" si="1"/>
        <v>0</v>
      </c>
      <c r="DZ161" s="924"/>
      <c r="EH161" s="924"/>
    </row>
    <row r="162" spans="1:138" s="6" customFormat="1" ht="15" customHeight="1">
      <c r="A162" s="3">
        <v>17</v>
      </c>
      <c r="B162" s="210" t="s">
        <v>58</v>
      </c>
      <c r="C162" s="473" t="s">
        <v>386</v>
      </c>
      <c r="D162" s="4"/>
      <c r="E162" s="5"/>
      <c r="F162" s="5"/>
      <c r="G162" s="4"/>
      <c r="H162" s="4"/>
      <c r="I162" s="4"/>
      <c r="J162" s="4"/>
      <c r="K162" s="5"/>
      <c r="L162" s="5"/>
      <c r="M162" s="5"/>
      <c r="O162" s="5"/>
      <c r="P162" s="5"/>
      <c r="Q162" s="5"/>
      <c r="S162" s="5"/>
      <c r="T162" s="5"/>
      <c r="U162" s="5"/>
      <c r="W162" s="5"/>
      <c r="X162" s="5"/>
      <c r="Y162" s="12"/>
      <c r="AA162" s="13"/>
      <c r="AB162" s="12"/>
      <c r="AD162" s="13"/>
      <c r="AE162" s="5"/>
      <c r="AF162" s="5"/>
      <c r="AH162" s="13"/>
      <c r="AI162" s="5"/>
      <c r="AK162" s="5"/>
      <c r="AL162" s="5"/>
      <c r="AM162" s="5"/>
      <c r="AO162" s="5"/>
      <c r="AP162" s="5"/>
      <c r="AR162" s="5"/>
      <c r="AS162" s="5"/>
      <c r="AT162" s="5"/>
      <c r="AV162" s="5"/>
      <c r="AW162" s="5"/>
      <c r="AY162" s="5"/>
      <c r="AZ162" s="5"/>
      <c r="BA162" s="5"/>
      <c r="BC162" s="5"/>
      <c r="BD162" s="5"/>
      <c r="BF162" s="5"/>
      <c r="BG162" s="5"/>
      <c r="BH162" s="5"/>
      <c r="BJ162" s="5"/>
      <c r="BK162" s="5"/>
      <c r="BL162" s="12"/>
      <c r="BM162" s="5"/>
      <c r="BN162" s="5"/>
      <c r="BO162" s="5"/>
      <c r="BQ162" s="5"/>
      <c r="BR162" s="5"/>
      <c r="BT162" s="5"/>
      <c r="BU162" s="5"/>
      <c r="BV162" s="5"/>
      <c r="BX162" s="5"/>
      <c r="BY162" s="5"/>
      <c r="CA162" s="13"/>
      <c r="CB162" s="7"/>
      <c r="CC162" s="11"/>
      <c r="CE162" s="13"/>
      <c r="CF162" s="5"/>
      <c r="CG162" s="12"/>
      <c r="CI162" s="13"/>
      <c r="CJ162" s="5"/>
      <c r="CK162" s="12"/>
      <c r="CM162" s="13"/>
      <c r="CN162" s="5"/>
      <c r="CO162" s="12"/>
      <c r="CQ162" s="13"/>
      <c r="CR162" s="5"/>
      <c r="CS162" s="12"/>
      <c r="CU162" s="13"/>
      <c r="CV162" s="5"/>
      <c r="CW162" s="12"/>
      <c r="CY162" s="13"/>
      <c r="CZ162" s="5"/>
      <c r="DA162" s="12"/>
      <c r="DC162" s="13"/>
      <c r="DD162" s="5"/>
      <c r="DE162" s="12"/>
      <c r="DG162" s="13"/>
      <c r="DH162" s="5"/>
      <c r="DI162" s="12"/>
      <c r="DK162" s="13"/>
      <c r="DL162" s="5"/>
      <c r="DM162" s="12"/>
      <c r="DO162" s="13"/>
      <c r="DP162" s="5"/>
      <c r="DQ162" s="12"/>
      <c r="DS162" s="1336">
        <f t="shared" si="0"/>
        <v>0</v>
      </c>
      <c r="DT162" s="121">
        <f>EXTRAS!D26</f>
        <v>0</v>
      </c>
      <c r="DU162" s="112">
        <f>EXTRAS!E26</f>
        <v>0</v>
      </c>
      <c r="DX162" s="203">
        <f t="shared" si="1"/>
        <v>0</v>
      </c>
      <c r="DZ162" s="924"/>
      <c r="EH162" s="924"/>
    </row>
    <row r="163" spans="1:138" s="6" customFormat="1" ht="15" customHeight="1">
      <c r="A163" s="3">
        <v>18</v>
      </c>
      <c r="B163" s="210" t="s">
        <v>59</v>
      </c>
      <c r="C163" s="473" t="s">
        <v>386</v>
      </c>
      <c r="D163" s="4"/>
      <c r="E163" s="5"/>
      <c r="F163" s="5"/>
      <c r="G163" s="4"/>
      <c r="H163" s="4"/>
      <c r="I163" s="4"/>
      <c r="J163" s="4"/>
      <c r="K163" s="5"/>
      <c r="L163" s="5"/>
      <c r="M163" s="5"/>
      <c r="O163" s="5"/>
      <c r="P163" s="5"/>
      <c r="Q163" s="5"/>
      <c r="S163" s="5"/>
      <c r="T163" s="5"/>
      <c r="U163" s="5"/>
      <c r="W163" s="5"/>
      <c r="X163" s="5"/>
      <c r="Y163" s="12"/>
      <c r="AA163" s="13"/>
      <c r="AB163" s="12"/>
      <c r="AD163" s="13"/>
      <c r="AE163" s="5"/>
      <c r="AF163" s="5"/>
      <c r="AH163" s="13"/>
      <c r="AI163" s="5"/>
      <c r="AK163" s="5"/>
      <c r="AL163" s="5"/>
      <c r="AM163" s="5"/>
      <c r="AO163" s="5"/>
      <c r="AP163" s="5"/>
      <c r="AR163" s="5"/>
      <c r="AS163" s="5"/>
      <c r="AT163" s="5"/>
      <c r="AV163" s="5"/>
      <c r="AW163" s="5"/>
      <c r="AY163" s="5"/>
      <c r="AZ163" s="5"/>
      <c r="BA163" s="5"/>
      <c r="BC163" s="5"/>
      <c r="BD163" s="5"/>
      <c r="BF163" s="5"/>
      <c r="BG163" s="5"/>
      <c r="BH163" s="5"/>
      <c r="BJ163" s="5"/>
      <c r="BK163" s="5"/>
      <c r="BL163" s="12"/>
      <c r="BM163" s="5"/>
      <c r="BN163" s="5"/>
      <c r="BO163" s="5"/>
      <c r="BQ163" s="5"/>
      <c r="BR163" s="5"/>
      <c r="BT163" s="5"/>
      <c r="BU163" s="5"/>
      <c r="BV163" s="5"/>
      <c r="BX163" s="5"/>
      <c r="BY163" s="5"/>
      <c r="CA163" s="13"/>
      <c r="CB163" s="7"/>
      <c r="CC163" s="11"/>
      <c r="CE163" s="13">
        <v>50</v>
      </c>
      <c r="CF163" s="5">
        <f>CG8*CE163+CG9*CE163+CG10*CE163+CG11*CE163+CG12*CE163+CG13*CE163+CG14*CE163+CG15*CE163+CG16*CE163+CG17*CE163+CG18*CE163+CG19*CE163+CG20*CE163+CG21*CE163+CG22*CE163+CG23*CE163+CG24*CE163+CG25*CE163+CG26*CE163+CG5*CE163+CG6*CE163+CG7*CE163+CF8*CE163+CF9*CE163+CF10*CE163+CF11*CE163+CF12*CE163+CF13*CE163+CF14*CE163+CF15*CE163+CF16*CE163+CF17*CE163+CF18*CE163+CF19*CE163+CF20*CE163+CF21*CE163+CF22*CE163+CF23*CE163+CF24*CE163+CF25*CE163+CF26*CE163+CF5*CE163+CF6*CE163+CF7*CE163</f>
        <v>0</v>
      </c>
      <c r="CG163" s="12"/>
      <c r="CI163" s="13">
        <v>50</v>
      </c>
      <c r="CJ163" s="5">
        <f>CK8*CI163+CK9*CI163+CK10*CI163+CK11*CI163+CK12*CI163+CK13*CI163+CK14*CI163+CK15*CI163+CK16*CI163+CK17*CI163+CK18*CI163+CK19*CI163+CK20*CI163+CK21*CI163+CK22*CI163+CK23*CI163+CK24*CI163+CK25*CI163+CK26*CI163+CK5*CI163+CK6*CI163+CK7*CI163+CJ8*CI163+CJ9*CI163+CJ10*CI163+CJ11*CI163+CJ12*CI163+CJ13*CI163+CJ14*CI163+CJ15*CI163+CJ16*CI163+CJ17*CI163+CJ18*CI163+CJ19*CI163+CJ20*CI163+CJ21*CI163+CJ22*CI163+CJ23*CI163+CJ24*CI163+CJ25*CI163+CJ26*CI163+CJ5*CI163+CJ6*CI163+CJ7*CI163</f>
        <v>0</v>
      </c>
      <c r="CK163" s="12"/>
      <c r="CM163" s="13"/>
      <c r="CN163" s="5"/>
      <c r="CO163" s="12"/>
      <c r="CQ163" s="13"/>
      <c r="CR163" s="5"/>
      <c r="CS163" s="12"/>
      <c r="CU163" s="13"/>
      <c r="CV163" s="5"/>
      <c r="CW163" s="12"/>
      <c r="CY163" s="13">
        <v>50</v>
      </c>
      <c r="CZ163" s="5">
        <f>DA8*CY163+DA9*CY163+DA10*CY163+DA11*CY163+DA12*CY163+DA13*CY163+DA14*CY163+DA15*CY163+DA16*CY163+DA17*CY163+DA18*CY163+DA19*CY163+DA20*CY163+DA21*CY163+DA22*CY163+DA23*CY163+DA24*CY163+DA25*CY163+DA26*CY163+DA5*CY163+DA6*CY163+DA7*CY163+CZ8*CY163+CZ9*CY163+CZ10*CY163+CZ11*CY163+CZ12*CY163+CZ13*CY163+CZ14*CY163+CZ15*CY163+CZ16*CY163+CZ17*CY163+CZ18*CY163+CZ19*CY163+CZ20*CY163+CZ21*CY163+CZ22*CY163+CZ23*CY163+CZ24*CY163+CZ25*CY163+CZ26*CY163+CZ5*CY163+CZ6*CY163+CZ7*CY163</f>
        <v>0</v>
      </c>
      <c r="DA163" s="12"/>
      <c r="DC163" s="13">
        <v>50</v>
      </c>
      <c r="DD163" s="5">
        <f>DE8*DC163+DE9*DC163+DE10*DC163+DE11*DC163+DE12*DC163+DE13*DC163+DE14*DC163+DE15*DC163+DE16*DC163+DE17*DC163+DE18*DC163+DE19*DC163+DE20*DC163+DE21*DC163+DE22*DC163+DE23*DC163+DE24*DC163+DE25*DC163+DE26*DC163+DE5*DC163+DE6*DC163+DE7*DC163+DD8*DC163+DD9*DC163+DD10*DC163+DD11*DC163+DD12*DC163+DD13*DC163+DD14*DC163+DD15*DC163+DD16*DC163+DD17*DC163+DD18*DC163+DD19*DC163+DD20*DC163+DD21*DC163+DD22*DC163+DD23*DC163+DD24*DC163+DD25*DC163+DD26*DC163+DD5*DC163+DD6*DC163+DD7*DC163</f>
        <v>0</v>
      </c>
      <c r="DE163" s="12"/>
      <c r="DG163" s="13"/>
      <c r="DH163" s="5"/>
      <c r="DI163" s="12"/>
      <c r="DK163" s="13"/>
      <c r="DL163" s="5"/>
      <c r="DM163" s="12"/>
      <c r="DO163" s="13"/>
      <c r="DP163" s="5"/>
      <c r="DQ163" s="12"/>
      <c r="DS163" s="1336">
        <f t="shared" si="0"/>
        <v>0</v>
      </c>
      <c r="DT163" s="121">
        <f>EXTRAS!D27</f>
        <v>0</v>
      </c>
      <c r="DU163" s="112">
        <f>EXTRAS!E27</f>
        <v>0</v>
      </c>
      <c r="DV163" s="6">
        <f>(DW7+DW8)*50-(DX7+DX8)*50+(DW12-DX12)*35</f>
        <v>0</v>
      </c>
      <c r="DX163" s="203">
        <f t="shared" si="1"/>
        <v>0</v>
      </c>
      <c r="DZ163" s="924"/>
      <c r="EH163" s="924"/>
    </row>
    <row r="164" spans="1:138" s="6" customFormat="1" ht="15" customHeight="1">
      <c r="A164" s="3">
        <v>19</v>
      </c>
      <c r="B164" s="210" t="s">
        <v>60</v>
      </c>
      <c r="C164" s="473" t="s">
        <v>386</v>
      </c>
      <c r="D164" s="4"/>
      <c r="E164" s="5"/>
      <c r="F164" s="5"/>
      <c r="G164" s="4"/>
      <c r="H164" s="4"/>
      <c r="I164" s="4"/>
      <c r="J164" s="4"/>
      <c r="K164" s="5"/>
      <c r="L164" s="5"/>
      <c r="M164" s="5"/>
      <c r="O164" s="5"/>
      <c r="P164" s="5"/>
      <c r="Q164" s="5"/>
      <c r="S164" s="5"/>
      <c r="T164" s="5"/>
      <c r="U164" s="5"/>
      <c r="W164" s="5"/>
      <c r="X164" s="5"/>
      <c r="Y164" s="12"/>
      <c r="AA164" s="13"/>
      <c r="AB164" s="12"/>
      <c r="AD164" s="13"/>
      <c r="AE164" s="5"/>
      <c r="AF164" s="5"/>
      <c r="AH164" s="13"/>
      <c r="AI164" s="5"/>
      <c r="AK164" s="5"/>
      <c r="AL164" s="5"/>
      <c r="AM164" s="5"/>
      <c r="AO164" s="5"/>
      <c r="AP164" s="5"/>
      <c r="AR164" s="5"/>
      <c r="AS164" s="5"/>
      <c r="AT164" s="5"/>
      <c r="AV164" s="5"/>
      <c r="AW164" s="5"/>
      <c r="AY164" s="5"/>
      <c r="AZ164" s="5"/>
      <c r="BA164" s="5"/>
      <c r="BC164" s="5"/>
      <c r="BD164" s="5"/>
      <c r="BF164" s="5"/>
      <c r="BG164" s="5"/>
      <c r="BH164" s="5"/>
      <c r="BJ164" s="5"/>
      <c r="BK164" s="5"/>
      <c r="BL164" s="12"/>
      <c r="BM164" s="5"/>
      <c r="BN164" s="5"/>
      <c r="BO164" s="5"/>
      <c r="BQ164" s="5"/>
      <c r="BR164" s="5"/>
      <c r="BT164" s="5"/>
      <c r="BU164" s="5"/>
      <c r="BV164" s="5"/>
      <c r="BX164" s="5"/>
      <c r="BY164" s="5"/>
      <c r="CA164" s="13"/>
      <c r="CB164" s="7"/>
      <c r="CC164" s="11"/>
      <c r="CE164" s="13"/>
      <c r="CF164" s="5"/>
      <c r="CG164" s="12"/>
      <c r="CI164" s="13"/>
      <c r="CJ164" s="5"/>
      <c r="CK164" s="12"/>
      <c r="CM164" s="13">
        <v>50</v>
      </c>
      <c r="CN164" s="5">
        <f>CO9*CM164+CO10*CM164+CO11*CM164+CO12*CM164+CO13*CM164+CO14*CM164+CO15*CM164+CO16*CM164+CO17*CM164+CO18*CM164+CO19*CM164+CO20*CM164+CO21*CM164+CO22*CM164+CO23*CM164+CO24*CM164+CO25*CM164+CO26*CM164+CO5*CM164+CO6*CM164+CO7*CM164+CO8*CM164+CN9*CM164+CN10*CM164+CN11*CM164+CN12*CM164+CN13*CM164+CN14*CM164+CN15*CM164+CN16*CM164+CN17*CM164+CN18*CM164+CN19*CM164+CN20*CM164+CN21*CM164+CN22*CM164+CN23*CM164+CN24*CM164+CN25*CM164+CN26*CM164+CN5*CM164+CN6*CM164+CN7*CM164+CN8*CM164</f>
        <v>0</v>
      </c>
      <c r="CO164" s="12"/>
      <c r="CQ164" s="13"/>
      <c r="CR164" s="5"/>
      <c r="CS164" s="12"/>
      <c r="CU164" s="13"/>
      <c r="CV164" s="5"/>
      <c r="CW164" s="12"/>
      <c r="CY164" s="13"/>
      <c r="CZ164" s="5"/>
      <c r="DA164" s="12"/>
      <c r="DC164" s="13"/>
      <c r="DD164" s="5"/>
      <c r="DE164" s="12"/>
      <c r="DG164" s="13">
        <v>50</v>
      </c>
      <c r="DH164" s="5">
        <f>DI9*DG164+DI10*DG164+DI11*DG164+DI12*DG164+DI13*DG164+DI14*DG164+DI15*DG164+DI16*DG164+DI17*DG164+DI18*DG164+DI19*DG164+DI20*DG164+DI21*DG164+DI22*DG164+DI23*DG164+DI24*DG164+DI25*DG164+DI26*DG164+DI5*DG164+DI6*DG164+DI7*DG164+DI8*DG164+DH9*DG164+DH10*DG164+DH11*DG164+DH12*DG164+DH13*DG164+DH14*DG164+DH15*DG164+DH16*DG164+DH17*DG164+DH18*DG164+DH19*DG164+DH20*DG164+DH21*DG164+DH22*DG164+DH23*DG164+DH24*DG164+DH25*DG164+DH26*DG164+DH5*DG164+DH6*DG164+DH7*DG164+DH8*DG164</f>
        <v>0</v>
      </c>
      <c r="DI164" s="12"/>
      <c r="DK164" s="13"/>
      <c r="DL164" s="5"/>
      <c r="DM164" s="12"/>
      <c r="DO164" s="13"/>
      <c r="DP164" s="5"/>
      <c r="DQ164" s="12"/>
      <c r="DS164" s="1336">
        <f t="shared" si="0"/>
        <v>0</v>
      </c>
      <c r="DT164" s="121">
        <f>EXTRAS!D28</f>
        <v>0</v>
      </c>
      <c r="DU164" s="112">
        <f>EXTRAS!E28</f>
        <v>0</v>
      </c>
      <c r="DV164" s="6">
        <f>(DW9+DW12)*50-(DX9+DX12)*50</f>
        <v>0</v>
      </c>
      <c r="DX164" s="203">
        <f t="shared" si="1"/>
        <v>0</v>
      </c>
      <c r="DZ164" s="924"/>
      <c r="EH164" s="924"/>
    </row>
    <row r="165" spans="1:138" s="6" customFormat="1" ht="15" customHeight="1">
      <c r="A165" s="3">
        <v>20</v>
      </c>
      <c r="B165" s="210" t="s">
        <v>61</v>
      </c>
      <c r="C165" s="473" t="s">
        <v>386</v>
      </c>
      <c r="D165" s="4"/>
      <c r="E165" s="5"/>
      <c r="F165" s="5"/>
      <c r="G165" s="4"/>
      <c r="H165" s="4"/>
      <c r="I165" s="4"/>
      <c r="J165" s="4"/>
      <c r="K165" s="5"/>
      <c r="L165" s="5"/>
      <c r="M165" s="5"/>
      <c r="O165" s="5"/>
      <c r="P165" s="5"/>
      <c r="Q165" s="5"/>
      <c r="S165" s="5"/>
      <c r="T165" s="5"/>
      <c r="U165" s="5"/>
      <c r="W165" s="5"/>
      <c r="X165" s="5"/>
      <c r="Y165" s="12"/>
      <c r="AA165" s="13"/>
      <c r="AB165" s="12"/>
      <c r="AD165" s="13"/>
      <c r="AE165" s="5"/>
      <c r="AF165" s="5"/>
      <c r="AH165" s="13"/>
      <c r="AI165" s="5"/>
      <c r="AK165" s="5"/>
      <c r="AL165" s="5"/>
      <c r="AM165" s="5"/>
      <c r="AO165" s="5"/>
      <c r="AP165" s="5"/>
      <c r="AR165" s="5"/>
      <c r="AS165" s="5"/>
      <c r="AT165" s="5"/>
      <c r="AV165" s="5"/>
      <c r="AW165" s="5"/>
      <c r="AY165" s="5"/>
      <c r="AZ165" s="5"/>
      <c r="BA165" s="5"/>
      <c r="BC165" s="5"/>
      <c r="BD165" s="5"/>
      <c r="BF165" s="5"/>
      <c r="BG165" s="5"/>
      <c r="BH165" s="5"/>
      <c r="BJ165" s="5"/>
      <c r="BK165" s="5"/>
      <c r="BL165" s="12"/>
      <c r="BM165" s="5"/>
      <c r="BN165" s="5"/>
      <c r="BO165" s="5"/>
      <c r="BQ165" s="5"/>
      <c r="BR165" s="5"/>
      <c r="BT165" s="5"/>
      <c r="BU165" s="5"/>
      <c r="BV165" s="5"/>
      <c r="BX165" s="5"/>
      <c r="BY165" s="5"/>
      <c r="CA165" s="13"/>
      <c r="CB165" s="7"/>
      <c r="CC165" s="11"/>
      <c r="CE165" s="13"/>
      <c r="CF165" s="5"/>
      <c r="CG165" s="12"/>
      <c r="CI165" s="13"/>
      <c r="CJ165" s="5"/>
      <c r="CK165" s="12"/>
      <c r="CM165" s="13"/>
      <c r="CN165" s="5"/>
      <c r="CO165" s="12"/>
      <c r="CQ165" s="13">
        <v>50</v>
      </c>
      <c r="CR165" s="5">
        <f>CS10*CQ165+CS11*CQ165+CS12*CQ165+CS13*CQ165+CS14*CQ165+CS15*CQ165+CS16*CQ165+CS17*CQ165+CS18*CQ165+CS19*CQ165+CS20*CQ165+CS21*CQ165+CS22*CQ165+CS23*CQ165+CS24*CQ165+CS25*CQ165+CS26*CQ165+CS5*CQ165+CS6*CQ165+CS7*CQ165+CS8*CQ165+CS9*CQ165+CR10*CQ165+CR11*CQ165+CR12*CQ165+CR13*CQ165+CR14*CQ165+CR15*CQ165+CR16*CQ165+CR17*CQ165+CR18*CQ165+CR19*CQ165+CR20*CQ165+CR21*CQ165+CR22*CQ165+CR23*CQ165+CR24*CQ165+CR25*CQ165+CR26*CQ165+CR5*CQ165+CR6*CQ165+CR7*CQ165+CR8*CQ165+CR9*CQ165</f>
        <v>0</v>
      </c>
      <c r="CS165" s="12"/>
      <c r="CU165" s="13"/>
      <c r="CV165" s="5"/>
      <c r="CW165" s="12"/>
      <c r="CY165" s="13"/>
      <c r="CZ165" s="5"/>
      <c r="DA165" s="12"/>
      <c r="DC165" s="13"/>
      <c r="DD165" s="5"/>
      <c r="DE165" s="12"/>
      <c r="DG165" s="13"/>
      <c r="DH165" s="5"/>
      <c r="DI165" s="12"/>
      <c r="DK165" s="13">
        <v>50</v>
      </c>
      <c r="DL165" s="5">
        <f>DM10*DK165+DM11*DK165+DM12*DK165+DM13*DK165+DM14*DK165+DM15*DK165+DM16*DK165+DM17*DK165+DM18*DK165+DM19*DK165+DM20*DK165+DM21*DK165+DM22*DK165+DM23*DK165+DM24*DK165+DM25*DK165+DM26*DK165+DM5*DK165+DM6*DK165+DM7*DK165+DM8*DK165+DM9*DK165+DL10*DK165+DL11*DK165+DL12*DK165+DL13*DK165+DL14*DK165+DL15*DK165+DL16*DK165+DL17*DK165+DL18*DK165+DL19*DK165+DL20*DK165+DL21*DK165+DL22*DK165+DL23*DK165+DL24*DK165+DL25*DK165+DL26*DK165+DL5*DK165+DL6*DK165+DL7*DK165+DL8*DK165+DL9*DK165</f>
        <v>0</v>
      </c>
      <c r="DM165" s="12"/>
      <c r="DO165" s="13"/>
      <c r="DP165" s="5"/>
      <c r="DQ165" s="12"/>
      <c r="DS165" s="1336">
        <f t="shared" si="0"/>
        <v>0</v>
      </c>
      <c r="DT165" s="121">
        <f>EXTRAS!D29</f>
        <v>0</v>
      </c>
      <c r="DU165" s="112">
        <f>EXTRAS!E29</f>
        <v>0</v>
      </c>
      <c r="DV165" s="6">
        <f>(DW10+DW13)*50-(DX10+DX13)*50</f>
        <v>0</v>
      </c>
      <c r="DX165" s="203">
        <f t="shared" si="1"/>
        <v>0</v>
      </c>
      <c r="DZ165" s="924"/>
      <c r="EH165" s="924"/>
    </row>
    <row r="166" spans="1:138" s="6" customFormat="1" ht="15" customHeight="1">
      <c r="A166" s="3"/>
      <c r="B166" s="210" t="s">
        <v>1534</v>
      </c>
      <c r="C166" s="473" t="s">
        <v>168</v>
      </c>
      <c r="D166" s="4"/>
      <c r="E166" s="5"/>
      <c r="F166" s="5"/>
      <c r="G166" s="4"/>
      <c r="H166" s="4"/>
      <c r="I166" s="4"/>
      <c r="J166" s="4"/>
      <c r="K166" s="5"/>
      <c r="L166" s="5"/>
      <c r="M166" s="5"/>
      <c r="O166" s="5"/>
      <c r="P166" s="5"/>
      <c r="Q166" s="5"/>
      <c r="S166" s="5"/>
      <c r="T166" s="5"/>
      <c r="U166" s="5"/>
      <c r="W166" s="5"/>
      <c r="X166" s="5"/>
      <c r="Y166" s="12"/>
      <c r="AA166" s="13"/>
      <c r="AB166" s="12"/>
      <c r="AD166" s="13"/>
      <c r="AE166" s="5"/>
      <c r="AF166" s="5"/>
      <c r="AH166" s="13"/>
      <c r="AI166" s="5"/>
      <c r="AK166" s="5"/>
      <c r="AL166" s="5"/>
      <c r="AM166" s="5"/>
      <c r="AO166" s="5"/>
      <c r="AP166" s="5"/>
      <c r="AR166" s="5"/>
      <c r="AS166" s="5"/>
      <c r="AT166" s="5"/>
      <c r="AV166" s="5"/>
      <c r="AW166" s="5"/>
      <c r="AY166" s="5"/>
      <c r="AZ166" s="5"/>
      <c r="BA166" s="5"/>
      <c r="BC166" s="5"/>
      <c r="BD166" s="5"/>
      <c r="BF166" s="5"/>
      <c r="BG166" s="5"/>
      <c r="BH166" s="5"/>
      <c r="BJ166" s="5"/>
      <c r="BK166" s="5"/>
      <c r="BL166" s="12"/>
      <c r="BM166" s="5"/>
      <c r="BN166" s="5"/>
      <c r="BO166" s="5"/>
      <c r="BQ166" s="5"/>
      <c r="BR166" s="5"/>
      <c r="BT166" s="5"/>
      <c r="BU166" s="5"/>
      <c r="BV166" s="5"/>
      <c r="BX166" s="5"/>
      <c r="BY166" s="5"/>
      <c r="CA166" s="13"/>
      <c r="CB166" s="7"/>
      <c r="CC166" s="11"/>
      <c r="CE166" s="13"/>
      <c r="CF166" s="5"/>
      <c r="CG166" s="12"/>
      <c r="CI166" s="13"/>
      <c r="CJ166" s="5"/>
      <c r="CK166" s="12"/>
      <c r="CM166" s="13"/>
      <c r="CN166" s="5"/>
      <c r="CO166" s="12"/>
      <c r="CQ166" s="13"/>
      <c r="CR166" s="5"/>
      <c r="CS166" s="12"/>
      <c r="CU166" s="13"/>
      <c r="CV166" s="5"/>
      <c r="CW166" s="12"/>
      <c r="CY166" s="13"/>
      <c r="CZ166" s="5"/>
      <c r="DA166" s="12"/>
      <c r="DC166" s="13"/>
      <c r="DD166" s="5"/>
      <c r="DE166" s="12"/>
      <c r="DG166" s="13"/>
      <c r="DH166" s="5"/>
      <c r="DI166" s="12"/>
      <c r="DK166" s="13"/>
      <c r="DL166" s="5"/>
      <c r="DM166" s="12"/>
      <c r="DO166" s="13"/>
      <c r="DP166" s="5"/>
      <c r="DQ166" s="12"/>
      <c r="DS166" s="1336">
        <f t="shared" si="0"/>
        <v>0</v>
      </c>
      <c r="DT166" s="121">
        <f>EXTRAS!D30</f>
        <v>0</v>
      </c>
      <c r="DU166" s="112">
        <f>EXTRAS!E30</f>
        <v>0</v>
      </c>
      <c r="DX166" s="203">
        <f t="shared" si="1"/>
        <v>0</v>
      </c>
      <c r="DZ166" s="924"/>
      <c r="EH166" s="924"/>
    </row>
    <row r="167" spans="1:138" s="6" customFormat="1" ht="15" customHeight="1">
      <c r="A167" s="3"/>
      <c r="B167" s="210" t="s">
        <v>1556</v>
      </c>
      <c r="C167" s="473"/>
      <c r="D167" s="4"/>
      <c r="E167" s="5"/>
      <c r="F167" s="5"/>
      <c r="G167" s="4"/>
      <c r="H167" s="4"/>
      <c r="I167" s="4"/>
      <c r="J167" s="4"/>
      <c r="K167" s="5"/>
      <c r="L167" s="5"/>
      <c r="M167" s="5"/>
      <c r="O167" s="5"/>
      <c r="P167" s="5"/>
      <c r="Q167" s="5"/>
      <c r="S167" s="5"/>
      <c r="T167" s="5"/>
      <c r="U167" s="5"/>
      <c r="W167" s="5"/>
      <c r="X167" s="5"/>
      <c r="Y167" s="12"/>
      <c r="AA167" s="13"/>
      <c r="AB167" s="12"/>
      <c r="AD167" s="13"/>
      <c r="AE167" s="5"/>
      <c r="AF167" s="5"/>
      <c r="AH167" s="13"/>
      <c r="AI167" s="5"/>
      <c r="AK167" s="5"/>
      <c r="AL167" s="5"/>
      <c r="AM167" s="5"/>
      <c r="AO167" s="5"/>
      <c r="AP167" s="5"/>
      <c r="AR167" s="5"/>
      <c r="AS167" s="5"/>
      <c r="AT167" s="5"/>
      <c r="AV167" s="5"/>
      <c r="AW167" s="5"/>
      <c r="AY167" s="5"/>
      <c r="AZ167" s="5"/>
      <c r="BA167" s="5"/>
      <c r="BC167" s="5"/>
      <c r="BD167" s="5"/>
      <c r="BF167" s="5"/>
      <c r="BG167" s="5"/>
      <c r="BH167" s="5"/>
      <c r="BJ167" s="5"/>
      <c r="BK167" s="5"/>
      <c r="BL167" s="12"/>
      <c r="BM167" s="5"/>
      <c r="BN167" s="5"/>
      <c r="BO167" s="5"/>
      <c r="BQ167" s="5"/>
      <c r="BR167" s="5"/>
      <c r="BT167" s="5"/>
      <c r="BU167" s="5"/>
      <c r="BV167" s="5"/>
      <c r="BX167" s="5"/>
      <c r="BY167" s="5"/>
      <c r="CA167" s="13"/>
      <c r="CB167" s="7"/>
      <c r="CC167" s="11"/>
      <c r="CE167" s="13"/>
      <c r="CF167" s="5"/>
      <c r="CG167" s="12"/>
      <c r="CI167" s="13"/>
      <c r="CJ167" s="5"/>
      <c r="CK167" s="12"/>
      <c r="CM167" s="13"/>
      <c r="CN167" s="5"/>
      <c r="CO167" s="12"/>
      <c r="CQ167" s="13"/>
      <c r="CR167" s="5"/>
      <c r="CS167" s="12"/>
      <c r="CU167" s="13">
        <v>50</v>
      </c>
      <c r="CV167" s="5">
        <f>SUM(CV5:CV26,CW5:CW26)*CU167</f>
        <v>0</v>
      </c>
      <c r="CW167" s="12"/>
      <c r="CY167" s="13"/>
      <c r="CZ167" s="5"/>
      <c r="DA167" s="12"/>
      <c r="DC167" s="13"/>
      <c r="DD167" s="5"/>
      <c r="DE167" s="12"/>
      <c r="DG167" s="13"/>
      <c r="DH167" s="5"/>
      <c r="DI167" s="12"/>
      <c r="DK167" s="13"/>
      <c r="DL167" s="5"/>
      <c r="DM167" s="12"/>
      <c r="DO167" s="13">
        <v>50</v>
      </c>
      <c r="DP167" s="5">
        <f>SUM(DP5:DP26,DQ5:DQ26)*DO167</f>
        <v>0</v>
      </c>
      <c r="DQ167" s="12"/>
      <c r="DS167" s="1336">
        <f t="shared" si="0"/>
        <v>0</v>
      </c>
      <c r="DT167" s="121">
        <f>EXTRAS!D31</f>
        <v>0</v>
      </c>
      <c r="DU167" s="112">
        <f>EXTRAS!E31</f>
        <v>0</v>
      </c>
      <c r="DV167" s="6">
        <f>(DW11-DX11)*50</f>
        <v>0</v>
      </c>
      <c r="DX167" s="203">
        <f t="shared" si="1"/>
        <v>0</v>
      </c>
      <c r="DZ167" s="924"/>
      <c r="EH167" s="924"/>
    </row>
    <row r="168" spans="1:138" s="6" customFormat="1" ht="15" customHeight="1">
      <c r="A168" s="3">
        <v>21</v>
      </c>
      <c r="B168" s="210" t="s">
        <v>64</v>
      </c>
      <c r="C168" s="473" t="s">
        <v>386</v>
      </c>
      <c r="D168" s="4"/>
      <c r="E168" s="5"/>
      <c r="F168" s="5"/>
      <c r="G168" s="4"/>
      <c r="H168" s="4"/>
      <c r="I168" s="4"/>
      <c r="J168" s="4"/>
      <c r="K168" s="5"/>
      <c r="L168" s="5"/>
      <c r="M168" s="5">
        <f>C12*1.8</f>
        <v>0</v>
      </c>
      <c r="O168" s="5"/>
      <c r="P168" s="5"/>
      <c r="Q168" s="5"/>
      <c r="S168" s="5"/>
      <c r="T168" s="5"/>
      <c r="U168" s="5"/>
      <c r="W168" s="5"/>
      <c r="X168" s="5"/>
      <c r="Y168" s="12"/>
      <c r="AA168" s="13"/>
      <c r="AB168" s="12"/>
      <c r="AD168" s="13"/>
      <c r="AE168" s="5"/>
      <c r="AF168" s="5"/>
      <c r="AH168" s="13"/>
      <c r="AI168" s="5"/>
      <c r="AK168" s="5"/>
      <c r="AL168" s="5"/>
      <c r="AM168" s="5"/>
      <c r="AO168" s="5"/>
      <c r="AP168" s="5"/>
      <c r="AR168" s="5"/>
      <c r="AS168" s="5"/>
      <c r="AT168" s="5"/>
      <c r="AV168" s="5"/>
      <c r="AW168" s="5"/>
      <c r="AY168" s="5"/>
      <c r="AZ168" s="5"/>
      <c r="BA168" s="5"/>
      <c r="BC168" s="5"/>
      <c r="BD168" s="5"/>
      <c r="BF168" s="5"/>
      <c r="BG168" s="5"/>
      <c r="BH168" s="5"/>
      <c r="BJ168" s="5"/>
      <c r="BK168" s="5"/>
      <c r="BL168" s="12"/>
      <c r="BM168" s="5"/>
      <c r="BN168" s="5"/>
      <c r="BO168" s="5"/>
      <c r="BQ168" s="5"/>
      <c r="BR168" s="5"/>
      <c r="BT168" s="5"/>
      <c r="BU168" s="5"/>
      <c r="BV168" s="5"/>
      <c r="BX168" s="5"/>
      <c r="BY168" s="5"/>
      <c r="CA168" s="13"/>
      <c r="CB168" s="7"/>
      <c r="CC168" s="11"/>
      <c r="CE168" s="13"/>
      <c r="CF168" s="5"/>
      <c r="CG168" s="12"/>
      <c r="CI168" s="13"/>
      <c r="CJ168" s="5"/>
      <c r="CK168" s="12"/>
      <c r="CM168" s="13"/>
      <c r="CN168" s="5"/>
      <c r="CO168" s="12"/>
      <c r="CQ168" s="13"/>
      <c r="CR168" s="5"/>
      <c r="CS168" s="12"/>
      <c r="CU168" s="13"/>
      <c r="CV168" s="5"/>
      <c r="CW168" s="12"/>
      <c r="CY168" s="13"/>
      <c r="CZ168" s="5"/>
      <c r="DA168" s="12"/>
      <c r="DC168" s="13"/>
      <c r="DD168" s="5"/>
      <c r="DE168" s="12"/>
      <c r="DG168" s="13"/>
      <c r="DH168" s="5"/>
      <c r="DI168" s="12"/>
      <c r="DK168" s="13"/>
      <c r="DL168" s="5"/>
      <c r="DM168" s="12"/>
      <c r="DO168" s="13"/>
      <c r="DP168" s="5"/>
      <c r="DQ168" s="12"/>
      <c r="DS168" s="1336">
        <f t="shared" si="0"/>
        <v>0</v>
      </c>
      <c r="DT168" s="121">
        <f>EXTRAS!D32</f>
        <v>0</v>
      </c>
      <c r="DU168" s="112">
        <f>EXTRAS!E32</f>
        <v>0</v>
      </c>
      <c r="DX168" s="203">
        <f t="shared" si="1"/>
        <v>0</v>
      </c>
      <c r="DZ168" s="924"/>
      <c r="EH168" s="924"/>
    </row>
    <row r="169" spans="1:138" s="6" customFormat="1" ht="15" customHeight="1">
      <c r="A169" s="3">
        <v>22</v>
      </c>
      <c r="B169" s="210" t="s">
        <v>453</v>
      </c>
      <c r="C169" s="473" t="s">
        <v>386</v>
      </c>
      <c r="D169" s="4"/>
      <c r="E169" s="5"/>
      <c r="F169" s="5"/>
      <c r="G169" s="4"/>
      <c r="H169" s="4" t="s">
        <v>1253</v>
      </c>
      <c r="I169" s="658">
        <f>SUM(I5:I8,I16:I19)*10+SUM(I9:I12,I20:I23)*11+SUM(I13:I15,I24:I26)*12</f>
        <v>0</v>
      </c>
      <c r="J169" s="4"/>
      <c r="K169" s="5"/>
      <c r="L169" s="5"/>
      <c r="M169" s="5"/>
      <c r="O169" s="5"/>
      <c r="P169" s="5"/>
      <c r="Q169" s="5"/>
      <c r="S169" s="5"/>
      <c r="T169" s="5"/>
      <c r="U169" s="5"/>
      <c r="W169" s="5"/>
      <c r="X169" s="5"/>
      <c r="Y169" s="12"/>
      <c r="AA169" s="13"/>
      <c r="AB169" s="12"/>
      <c r="AD169" s="13"/>
      <c r="AE169" s="5"/>
      <c r="AF169" s="5"/>
      <c r="AH169" s="13"/>
      <c r="AI169" s="5"/>
      <c r="AK169" s="5"/>
      <c r="AL169" s="5"/>
      <c r="AM169" s="5"/>
      <c r="AO169" s="5"/>
      <c r="AP169" s="5"/>
      <c r="AR169" s="5"/>
      <c r="AS169" s="5"/>
      <c r="AT169" s="5"/>
      <c r="AV169" s="5"/>
      <c r="AW169" s="5"/>
      <c r="AY169" s="5"/>
      <c r="AZ169" s="5"/>
      <c r="BA169" s="5"/>
      <c r="BC169" s="5"/>
      <c r="BD169" s="5"/>
      <c r="BF169" s="5"/>
      <c r="BG169" s="5"/>
      <c r="BH169" s="5"/>
      <c r="BJ169" s="5"/>
      <c r="BK169" s="5"/>
      <c r="BL169" s="12"/>
      <c r="BM169" s="5"/>
      <c r="BN169" s="5"/>
      <c r="BO169" s="5"/>
      <c r="BQ169" s="5"/>
      <c r="BR169" s="5"/>
      <c r="BT169" s="5"/>
      <c r="BU169" s="5"/>
      <c r="BV169" s="5"/>
      <c r="BX169" s="5"/>
      <c r="BY169" s="5"/>
      <c r="CA169" s="13"/>
      <c r="CB169" s="7"/>
      <c r="CC169" s="7">
        <f>C15*16</f>
        <v>0</v>
      </c>
      <c r="CE169" s="13"/>
      <c r="CF169" s="5"/>
      <c r="CG169" s="12"/>
      <c r="CI169" s="13"/>
      <c r="CJ169" s="5"/>
      <c r="CK169" s="12"/>
      <c r="CM169" s="13"/>
      <c r="CN169" s="5"/>
      <c r="CO169" s="12"/>
      <c r="CQ169" s="13"/>
      <c r="CR169" s="5"/>
      <c r="CS169" s="12"/>
      <c r="CU169" s="13"/>
      <c r="CV169" s="5"/>
      <c r="CW169" s="12"/>
      <c r="CY169" s="13"/>
      <c r="CZ169" s="5"/>
      <c r="DA169" s="12"/>
      <c r="DC169" s="13"/>
      <c r="DD169" s="5"/>
      <c r="DE169" s="12"/>
      <c r="DG169" s="13"/>
      <c r="DH169" s="5"/>
      <c r="DI169" s="12"/>
      <c r="DK169" s="13"/>
      <c r="DL169" s="5"/>
      <c r="DM169" s="12"/>
      <c r="DO169" s="13"/>
      <c r="DP169" s="5"/>
      <c r="DQ169" s="12"/>
      <c r="DS169" s="1336">
        <f t="shared" si="0"/>
        <v>0</v>
      </c>
      <c r="DT169" s="121">
        <f>EXTRAS!D33</f>
        <v>0</v>
      </c>
      <c r="DU169" s="112">
        <f>EXTRAS!E33</f>
        <v>0</v>
      </c>
      <c r="DX169" s="203">
        <f t="shared" si="1"/>
        <v>0</v>
      </c>
      <c r="DZ169" s="924"/>
      <c r="EH169" s="924"/>
    </row>
    <row r="170" spans="1:138" s="6" customFormat="1" ht="15" customHeight="1">
      <c r="A170" s="3">
        <v>23</v>
      </c>
      <c r="B170" s="210" t="s">
        <v>3</v>
      </c>
      <c r="C170" s="473" t="s">
        <v>516</v>
      </c>
      <c r="D170" s="4"/>
      <c r="E170" s="5"/>
      <c r="F170" s="5"/>
      <c r="G170" s="4"/>
      <c r="H170" s="4"/>
      <c r="I170" s="4"/>
      <c r="J170" s="4"/>
      <c r="K170" s="40">
        <f>C8*0.136</f>
        <v>0</v>
      </c>
      <c r="L170" s="5"/>
      <c r="M170" s="41">
        <f>K170+K170*3%</f>
        <v>0</v>
      </c>
      <c r="O170" s="5"/>
      <c r="P170" s="5"/>
      <c r="Q170" s="5"/>
      <c r="S170" s="5"/>
      <c r="T170" s="5"/>
      <c r="U170" s="5"/>
      <c r="W170" s="5"/>
      <c r="X170" s="5"/>
      <c r="Y170" s="12"/>
      <c r="AA170" s="13"/>
      <c r="AB170" s="12"/>
      <c r="AD170" s="13"/>
      <c r="AE170" s="5"/>
      <c r="AF170" s="5"/>
      <c r="AH170" s="13"/>
      <c r="AI170" s="5"/>
      <c r="AK170" s="5"/>
      <c r="AL170" s="5"/>
      <c r="AM170" s="5"/>
      <c r="AO170" s="5"/>
      <c r="AP170" s="5"/>
      <c r="AR170" s="5"/>
      <c r="AS170" s="5"/>
      <c r="AT170" s="5"/>
      <c r="AV170" s="5"/>
      <c r="AW170" s="5"/>
      <c r="AY170" s="5"/>
      <c r="AZ170" s="5"/>
      <c r="BA170" s="5"/>
      <c r="BC170" s="5"/>
      <c r="BD170" s="5"/>
      <c r="BF170" s="5"/>
      <c r="BG170" s="5"/>
      <c r="BH170" s="5"/>
      <c r="BJ170" s="5"/>
      <c r="BK170" s="5"/>
      <c r="BL170" s="12"/>
      <c r="BM170" s="5"/>
      <c r="BN170" s="5"/>
      <c r="BO170" s="5"/>
      <c r="BQ170" s="5"/>
      <c r="BR170" s="5"/>
      <c r="BT170" s="5"/>
      <c r="BU170" s="5"/>
      <c r="BV170" s="5"/>
      <c r="BX170" s="5"/>
      <c r="BY170" s="5"/>
      <c r="CA170" s="13"/>
      <c r="CB170" s="7"/>
      <c r="CC170" s="11"/>
      <c r="CE170" s="13"/>
      <c r="CF170" s="5"/>
      <c r="CG170" s="12"/>
      <c r="CI170" s="13"/>
      <c r="CJ170" s="5"/>
      <c r="CK170" s="12"/>
      <c r="CM170" s="13"/>
      <c r="CN170" s="5"/>
      <c r="CO170" s="12"/>
      <c r="CQ170" s="13"/>
      <c r="CR170" s="5"/>
      <c r="CS170" s="12"/>
      <c r="CU170" s="13"/>
      <c r="CV170" s="5"/>
      <c r="CW170" s="12"/>
      <c r="CY170" s="13"/>
      <c r="CZ170" s="5"/>
      <c r="DA170" s="12"/>
      <c r="DC170" s="13"/>
      <c r="DD170" s="5"/>
      <c r="DE170" s="12"/>
      <c r="DG170" s="13"/>
      <c r="DH170" s="5"/>
      <c r="DI170" s="12"/>
      <c r="DK170" s="13"/>
      <c r="DL170" s="5"/>
      <c r="DM170" s="12"/>
      <c r="DO170" s="13"/>
      <c r="DP170" s="5"/>
      <c r="DQ170" s="12"/>
      <c r="DS170" s="1336">
        <f t="shared" si="0"/>
        <v>0</v>
      </c>
      <c r="DT170" s="1334">
        <f t="shared" ref="DT170:DU173" si="2">DV170+DV170*3%</f>
        <v>0</v>
      </c>
      <c r="DU170" s="123">
        <f t="shared" si="2"/>
        <v>0</v>
      </c>
      <c r="DV170" s="40">
        <f>EXTRAS!D34*0.136</f>
        <v>0</v>
      </c>
      <c r="DW170" s="40">
        <f>EXTRAS!E34*0.136</f>
        <v>0</v>
      </c>
      <c r="DX170" s="203">
        <f t="shared" si="1"/>
        <v>0</v>
      </c>
      <c r="DZ170" s="924"/>
      <c r="EH170" s="924"/>
    </row>
    <row r="171" spans="1:138" s="6" customFormat="1" ht="15" customHeight="1">
      <c r="A171" s="3">
        <v>24</v>
      </c>
      <c r="B171" s="210" t="s">
        <v>187</v>
      </c>
      <c r="C171" s="473" t="s">
        <v>516</v>
      </c>
      <c r="D171" s="4"/>
      <c r="E171" s="5"/>
      <c r="F171" s="5"/>
      <c r="G171" s="4"/>
      <c r="H171" s="4"/>
      <c r="I171" s="4"/>
      <c r="J171" s="4"/>
      <c r="K171" s="40">
        <f>C9*0.216</f>
        <v>0</v>
      </c>
      <c r="L171" s="5"/>
      <c r="M171" s="41">
        <f>K171+K171*3%</f>
        <v>0</v>
      </c>
      <c r="O171" s="5"/>
      <c r="P171" s="5"/>
      <c r="Q171" s="5"/>
      <c r="S171" s="5"/>
      <c r="T171" s="5"/>
      <c r="U171" s="5"/>
      <c r="W171" s="5"/>
      <c r="X171" s="5"/>
      <c r="Y171" s="12"/>
      <c r="AA171" s="13"/>
      <c r="AB171" s="12"/>
      <c r="AD171" s="13"/>
      <c r="AE171" s="5"/>
      <c r="AF171" s="5"/>
      <c r="AH171" s="13"/>
      <c r="AI171" s="5"/>
      <c r="AK171" s="5"/>
      <c r="AL171" s="5"/>
      <c r="AM171" s="5"/>
      <c r="AO171" s="5"/>
      <c r="AP171" s="5"/>
      <c r="AR171" s="5"/>
      <c r="AS171" s="5"/>
      <c r="AT171" s="5"/>
      <c r="AV171" s="5"/>
      <c r="AW171" s="5"/>
      <c r="AY171" s="5"/>
      <c r="AZ171" s="5"/>
      <c r="BA171" s="5"/>
      <c r="BC171" s="5"/>
      <c r="BD171" s="5"/>
      <c r="BF171" s="5"/>
      <c r="BG171" s="5"/>
      <c r="BH171" s="5"/>
      <c r="BJ171" s="5"/>
      <c r="BK171" s="5"/>
      <c r="BL171" s="12"/>
      <c r="BM171" s="5"/>
      <c r="BN171" s="5"/>
      <c r="BO171" s="5"/>
      <c r="BQ171" s="5"/>
      <c r="BR171" s="5"/>
      <c r="BT171" s="5"/>
      <c r="BU171" s="5"/>
      <c r="BV171" s="5"/>
      <c r="BX171" s="5"/>
      <c r="BY171" s="5"/>
      <c r="CA171" s="13"/>
      <c r="CB171" s="7"/>
      <c r="CC171" s="11"/>
      <c r="CE171" s="13"/>
      <c r="CF171" s="5"/>
      <c r="CG171" s="12"/>
      <c r="CI171" s="13"/>
      <c r="CJ171" s="5"/>
      <c r="CK171" s="12"/>
      <c r="CM171" s="13"/>
      <c r="CN171" s="5"/>
      <c r="CO171" s="12"/>
      <c r="CQ171" s="13"/>
      <c r="CR171" s="5"/>
      <c r="CS171" s="12"/>
      <c r="CU171" s="13"/>
      <c r="CV171" s="5"/>
      <c r="CW171" s="12"/>
      <c r="CY171" s="13"/>
      <c r="CZ171" s="5"/>
      <c r="DA171" s="12"/>
      <c r="DC171" s="13"/>
      <c r="DD171" s="5"/>
      <c r="DE171" s="12"/>
      <c r="DG171" s="13"/>
      <c r="DH171" s="5"/>
      <c r="DI171" s="12"/>
      <c r="DK171" s="13"/>
      <c r="DL171" s="5"/>
      <c r="DM171" s="12"/>
      <c r="DO171" s="13"/>
      <c r="DP171" s="5"/>
      <c r="DQ171" s="12"/>
      <c r="DS171" s="1336">
        <f t="shared" si="0"/>
        <v>0</v>
      </c>
      <c r="DT171" s="1334">
        <f t="shared" si="2"/>
        <v>0</v>
      </c>
      <c r="DU171" s="123">
        <f t="shared" si="2"/>
        <v>0</v>
      </c>
      <c r="DV171" s="40">
        <f>EXTRAS!D35*0.216</f>
        <v>0</v>
      </c>
      <c r="DW171" s="40">
        <f>EXTRAS!E35*0.216</f>
        <v>0</v>
      </c>
      <c r="DX171" s="203">
        <f t="shared" si="1"/>
        <v>0</v>
      </c>
      <c r="DZ171" s="924"/>
      <c r="EH171" s="924"/>
    </row>
    <row r="172" spans="1:138" s="6" customFormat="1" ht="15" customHeight="1">
      <c r="A172" s="3">
        <v>25</v>
      </c>
      <c r="B172" s="210" t="s">
        <v>192</v>
      </c>
      <c r="C172" s="473" t="s">
        <v>516</v>
      </c>
      <c r="D172" s="4"/>
      <c r="E172" s="5"/>
      <c r="F172" s="5"/>
      <c r="G172" s="4"/>
      <c r="H172" s="4"/>
      <c r="I172" s="4"/>
      <c r="J172" s="4"/>
      <c r="K172" s="40">
        <f>C10*0.433</f>
        <v>0</v>
      </c>
      <c r="L172" s="5"/>
      <c r="M172" s="41">
        <f>K172+K172*3%</f>
        <v>0</v>
      </c>
      <c r="O172" s="5"/>
      <c r="P172" s="5"/>
      <c r="Q172" s="5"/>
      <c r="S172" s="5"/>
      <c r="T172" s="5"/>
      <c r="U172" s="5"/>
      <c r="W172" s="5"/>
      <c r="X172" s="5"/>
      <c r="Y172" s="12"/>
      <c r="AA172" s="13"/>
      <c r="AB172" s="12"/>
      <c r="AD172" s="13"/>
      <c r="AE172" s="5"/>
      <c r="AF172" s="5"/>
      <c r="AH172" s="13"/>
      <c r="AI172" s="5"/>
      <c r="AK172" s="5"/>
      <c r="AL172" s="5"/>
      <c r="AM172" s="5"/>
      <c r="AO172" s="5"/>
      <c r="AP172" s="5"/>
      <c r="AR172" s="5"/>
      <c r="AS172" s="5"/>
      <c r="AT172" s="5"/>
      <c r="AV172" s="5"/>
      <c r="AW172" s="5"/>
      <c r="AY172" s="5"/>
      <c r="AZ172" s="5"/>
      <c r="BA172" s="5"/>
      <c r="BC172" s="5"/>
      <c r="BD172" s="5"/>
      <c r="BF172" s="5"/>
      <c r="BG172" s="5"/>
      <c r="BH172" s="5"/>
      <c r="BJ172" s="5"/>
      <c r="BK172" s="5"/>
      <c r="BL172" s="12"/>
      <c r="BM172" s="5"/>
      <c r="BN172" s="5"/>
      <c r="BO172" s="5"/>
      <c r="BQ172" s="5"/>
      <c r="BR172" s="5"/>
      <c r="BT172" s="5"/>
      <c r="BU172" s="5"/>
      <c r="BV172" s="5"/>
      <c r="BX172" s="5"/>
      <c r="BY172" s="5"/>
      <c r="CA172" s="13"/>
      <c r="CB172" s="7"/>
      <c r="CC172" s="11"/>
      <c r="CE172" s="13"/>
      <c r="CF172" s="5"/>
      <c r="CG172" s="12"/>
      <c r="CI172" s="13"/>
      <c r="CJ172" s="5"/>
      <c r="CK172" s="12"/>
      <c r="CM172" s="13"/>
      <c r="CN172" s="5"/>
      <c r="CO172" s="12"/>
      <c r="CQ172" s="13"/>
      <c r="CR172" s="5"/>
      <c r="CS172" s="12"/>
      <c r="CU172" s="13"/>
      <c r="CV172" s="5"/>
      <c r="CW172" s="12"/>
      <c r="CY172" s="13"/>
      <c r="CZ172" s="5"/>
      <c r="DA172" s="12"/>
      <c r="DC172" s="13"/>
      <c r="DD172" s="5"/>
      <c r="DE172" s="12"/>
      <c r="DG172" s="13"/>
      <c r="DH172" s="5"/>
      <c r="DI172" s="12"/>
      <c r="DK172" s="13"/>
      <c r="DL172" s="5"/>
      <c r="DM172" s="12"/>
      <c r="DO172" s="13"/>
      <c r="DP172" s="5"/>
      <c r="DQ172" s="12"/>
      <c r="DS172" s="1336">
        <f t="shared" si="0"/>
        <v>0</v>
      </c>
      <c r="DT172" s="1334">
        <f t="shared" si="2"/>
        <v>0</v>
      </c>
      <c r="DU172" s="123">
        <f t="shared" si="2"/>
        <v>0</v>
      </c>
      <c r="DV172" s="40">
        <f>EXTRAS!D36*0.433</f>
        <v>0</v>
      </c>
      <c r="DW172" s="40">
        <f>EXTRAS!E36*0.433</f>
        <v>0</v>
      </c>
      <c r="DX172" s="203">
        <f t="shared" si="1"/>
        <v>0</v>
      </c>
      <c r="DZ172" s="924"/>
      <c r="EH172" s="924"/>
    </row>
    <row r="173" spans="1:138" s="6" customFormat="1" ht="15" customHeight="1">
      <c r="A173" s="3">
        <v>26</v>
      </c>
      <c r="B173" s="210" t="s">
        <v>314</v>
      </c>
      <c r="C173" s="473" t="s">
        <v>516</v>
      </c>
      <c r="D173" s="4"/>
      <c r="E173" s="5"/>
      <c r="F173" s="5"/>
      <c r="G173" s="4"/>
      <c r="H173" s="4"/>
      <c r="I173" s="4"/>
      <c r="J173" s="4"/>
      <c r="K173" s="40">
        <f>C11*0.688</f>
        <v>0</v>
      </c>
      <c r="L173" s="5"/>
      <c r="M173" s="41">
        <f>K173+K173*3%</f>
        <v>0</v>
      </c>
      <c r="O173" s="5"/>
      <c r="P173" s="5"/>
      <c r="Q173" s="5"/>
      <c r="S173" s="5"/>
      <c r="T173" s="5"/>
      <c r="U173" s="5"/>
      <c r="W173" s="5"/>
      <c r="X173" s="5"/>
      <c r="Y173" s="12"/>
      <c r="AA173" s="13"/>
      <c r="AB173" s="12"/>
      <c r="AD173" s="13"/>
      <c r="AE173" s="5"/>
      <c r="AF173" s="5"/>
      <c r="AH173" s="13"/>
      <c r="AI173" s="5"/>
      <c r="AK173" s="5"/>
      <c r="AL173" s="5"/>
      <c r="AM173" s="5"/>
      <c r="AO173" s="5"/>
      <c r="AP173" s="5"/>
      <c r="AR173" s="5"/>
      <c r="AS173" s="5"/>
      <c r="AT173" s="5"/>
      <c r="AV173" s="5"/>
      <c r="AW173" s="5"/>
      <c r="AY173" s="5"/>
      <c r="AZ173" s="5"/>
      <c r="BA173" s="5"/>
      <c r="BC173" s="5"/>
      <c r="BD173" s="5"/>
      <c r="BF173" s="5"/>
      <c r="BG173" s="5"/>
      <c r="BH173" s="5"/>
      <c r="BJ173" s="5"/>
      <c r="BK173" s="5"/>
      <c r="BL173" s="12"/>
      <c r="BM173" s="5"/>
      <c r="BN173" s="5"/>
      <c r="BO173" s="5"/>
      <c r="BQ173" s="5"/>
      <c r="BR173" s="5"/>
      <c r="BT173" s="5"/>
      <c r="BU173" s="5"/>
      <c r="BV173" s="5"/>
      <c r="BX173" s="5"/>
      <c r="BY173" s="5"/>
      <c r="CA173" s="13"/>
      <c r="CB173" s="7"/>
      <c r="CC173" s="11"/>
      <c r="CE173" s="13"/>
      <c r="CF173" s="5"/>
      <c r="CG173" s="12"/>
      <c r="CI173" s="13"/>
      <c r="CJ173" s="5"/>
      <c r="CK173" s="12"/>
      <c r="CM173" s="13"/>
      <c r="CN173" s="5"/>
      <c r="CO173" s="12"/>
      <c r="CQ173" s="13"/>
      <c r="CR173" s="5"/>
      <c r="CS173" s="12"/>
      <c r="CU173" s="13"/>
      <c r="CV173" s="5"/>
      <c r="CW173" s="12"/>
      <c r="CY173" s="13"/>
      <c r="CZ173" s="5"/>
      <c r="DA173" s="12"/>
      <c r="DC173" s="13"/>
      <c r="DD173" s="5"/>
      <c r="DE173" s="12"/>
      <c r="DG173" s="13"/>
      <c r="DH173" s="5"/>
      <c r="DI173" s="12"/>
      <c r="DK173" s="13"/>
      <c r="DL173" s="5"/>
      <c r="DM173" s="12"/>
      <c r="DO173" s="13"/>
      <c r="DP173" s="5"/>
      <c r="DQ173" s="12"/>
      <c r="DS173" s="1336">
        <f t="shared" si="0"/>
        <v>0</v>
      </c>
      <c r="DT173" s="1334">
        <f t="shared" si="2"/>
        <v>0</v>
      </c>
      <c r="DU173" s="123">
        <f t="shared" si="2"/>
        <v>0</v>
      </c>
      <c r="DV173" s="40">
        <f>EXTRAS!D37*0.688</f>
        <v>0</v>
      </c>
      <c r="DW173" s="40">
        <f>EXTRAS!E37*0.688</f>
        <v>0</v>
      </c>
      <c r="DX173" s="203">
        <f t="shared" si="1"/>
        <v>0</v>
      </c>
      <c r="DZ173" s="924"/>
      <c r="EH173" s="924"/>
    </row>
    <row r="174" spans="1:138" s="6" customFormat="1" ht="15" customHeight="1">
      <c r="A174" s="3">
        <v>27</v>
      </c>
      <c r="B174" s="210" t="s">
        <v>62</v>
      </c>
      <c r="C174" s="473" t="s">
        <v>386</v>
      </c>
      <c r="D174" s="4"/>
      <c r="E174" s="5">
        <v>3</v>
      </c>
      <c r="F174" s="5">
        <f>SUM(F5:F26)*E174</f>
        <v>0</v>
      </c>
      <c r="G174" s="4"/>
      <c r="H174" s="4"/>
      <c r="I174" s="4"/>
      <c r="J174" s="4"/>
      <c r="K174" s="5"/>
      <c r="L174" s="5"/>
      <c r="M174" s="5"/>
      <c r="O174" s="5"/>
      <c r="P174" s="5"/>
      <c r="Q174" s="5"/>
      <c r="S174" s="5"/>
      <c r="T174" s="5"/>
      <c r="U174" s="5"/>
      <c r="W174" s="5"/>
      <c r="X174" s="5"/>
      <c r="Y174" s="12"/>
      <c r="AA174" s="13"/>
      <c r="AB174" s="12"/>
      <c r="AD174" s="13"/>
      <c r="AE174" s="5"/>
      <c r="AF174" s="5"/>
      <c r="AH174" s="13"/>
      <c r="AI174" s="5"/>
      <c r="AK174" s="5">
        <v>2</v>
      </c>
      <c r="AL174" s="5">
        <f>AL5*AK174+AM5*AK174+AL6*AK174+AM6*AK174+AL7*AK174+AM7*AK174+AL8*AK174+AM8*AK174+AL9*AK174+AM9*AK174+AL10*AK174+AM10*AK174+AL11*AK174+AM11*AK174+AL12*AK174+AM12*AK174+AL13*AK174+AM13*AK174+AL14*AK174+AM14*AK174+AL15*AK174+AM15*AK174+AL16*AK174+AM16*AK174+AL17*AK174+AM17*AK174+AL18*AK174+AM18*AK174+AL19*AK174+AM19*AK174+AL20*AK174+AM20*AK174+AL21*AK174+AM21*AK174+AL22*AK174+AM22*AK174+AL23*AK174+AM23*AK174+AL24*AK174+AM24*AK174+AL25*AK174+AM25*AK174+AL26*AK174+AM26*AK174</f>
        <v>0</v>
      </c>
      <c r="AM174" s="5"/>
      <c r="AO174" s="5">
        <v>2</v>
      </c>
      <c r="AP174" s="5">
        <f>AP5*AO174+AP6*AO174+AP7*AO174+AP8*AO174+AP9*AO174+AP10*AO174+AP11*AO174+AP12*AO174+AP13*AO174+AP14*AO174+AP15*AO174+AP16*AO174+AP17*AO174+AP18*AO174+AP19*AO174+AP20*AO174+AP21*AO174+AP22*AO174+AP23*AO174+AP24*AO174+AP25*AO174+AP26*AO174</f>
        <v>0</v>
      </c>
      <c r="AR174" s="5"/>
      <c r="AS174" s="5"/>
      <c r="AT174" s="5"/>
      <c r="AV174" s="5"/>
      <c r="AW174" s="5"/>
      <c r="AY174" s="5">
        <v>2</v>
      </c>
      <c r="AZ174" s="5">
        <f>AZ5*AY174+BA5*AY174+AZ6*AY174+BA6*AY174+AZ7*AY174+BA7*AY174+AZ8*AY174+BA8*AY174+AZ9*AY174+BA9*AY174+AZ10*AY174+BA10*AY174+AZ11*AY174+BA11*AY174+AZ12*AY174+BA12*AY174+AZ13*AY174+BA13*AY174+AZ14*AY174+BA14*AY174+AZ15*AY174+BA15*AY174+AZ16*AY174+BA16*AY174+AZ17*AY174+BA17*AY174+AZ18*AY174+BA18*AY174+AZ19*AY174+BA19*AY174+AZ20*AY174+BA20*AY174+AZ21*AY174+BA21*AY174+AZ22*AY174+BA22*AY174+AZ23*AY174+BA23*AY174+AZ24*AY174+BA24*AY174+AZ25*AY174+BA25*AY174+AZ26*AY174+BA26*AY174</f>
        <v>0</v>
      </c>
      <c r="BA174" s="5"/>
      <c r="BC174" s="5">
        <v>2</v>
      </c>
      <c r="BD174" s="5">
        <f>BD5*BC174+BE5*BC174+BD6*BC174+BE6*BC174+BD7*BC174+BE7*BC174+BD8*BC174+BE8*BC174+BD9*BC174+BE9*BC174+BD10*BC174+BE10*BC174+BD11*BC174+BE11*BC174+BD12*BC174+BE12*BC174+BD13*BC174+BE13*BC174+BD14*BC174+BE14*BC174+BD15*BC174+BE15*BC174+BD16*BC174+BE16*BC174+BD17*BC174+BE17*BC174+BD18*BC174+BE18*BC174+BD19*BC174+BE19*BC174+BD20*BC174+BE20*BC174+BD21*BC174+BE21*BC174+BD22*BC174+BE22*BC174+BD23*BC174+BE23*BC174+BD24*BC174+BE24*BC174+BD25*BC174+BE25*BC174+BD26*BC174+BE26*BC174</f>
        <v>0</v>
      </c>
      <c r="BF174" s="5"/>
      <c r="BG174" s="5"/>
      <c r="BH174" s="5"/>
      <c r="BJ174" s="5"/>
      <c r="BK174" s="5"/>
      <c r="BL174" s="12"/>
      <c r="BM174" s="5">
        <v>2</v>
      </c>
      <c r="BN174" s="5">
        <f>BN5*BM174+BO5*BM174+BN6*BM174+BO6*BM174+BN7*BM174+BO7*BM174+BN8*BM174+BO8*BM174+BN9*BM174+BO9*BM174+BN10*BM174+BO10*BM174+BN11*BM174+BO11*BM174+BN12*BM174+BO12*BM174+BN13*BM174+BO13*BM174+BN14*BM174+BO14*BM174+BN15*BM174+BO15*BM174+BN16*BM174+BO16*BM174+BN17*BM174+BO17*BM174+BN18*BM174+BO18*BM174+BN19*BM174+BO19*BM174+BN20*BM174+BO20*BM174+BN21*BM174+BO21*BM174+BN22*BM174+BO22*BM174+BN23*BM174+BO23*BM174+BN24*BM174+BO24*BM174+BN25*BM174+BO25*BM174+BN26*BM174+BO26*BM174</f>
        <v>0</v>
      </c>
      <c r="BO174" s="5"/>
      <c r="BQ174" s="5">
        <v>2</v>
      </c>
      <c r="BR174" s="5">
        <f>BR5*BQ174+BS5*BQ174+BR6*BQ174+BS6*BQ174+BR7*BQ174+BS7*BQ174+BR8*BQ174+BS8*BQ174+BR9*BQ174+BS9*BQ174+BR10*BQ174+BS10*BQ174+BR11*BQ174+BS11*BQ174+BR12*BQ174+BS12*BQ174+BR13*BQ174+BS13*BQ174+BR14*BQ174+BS14*BQ174+BR15*BQ174+BS15*BQ174+BR16*BQ174+BS16*BQ174+BR17*BQ174+BS17*BQ174+BR18*BQ174+BS18*BQ174+BR19*BQ174+BS19*BQ174+BR20*BQ174+BS20*BQ174+BR21*BQ174+BS21*BQ174+BR22*BQ174+BS22*BQ174+BR23*BQ174+BS23*BQ174+BR24*BQ174+BS24*BQ174+BR25*BQ174+BS25*BQ174+BR26*BQ174+BS26*BQ174</f>
        <v>0</v>
      </c>
      <c r="BT174" s="5"/>
      <c r="BU174" s="5">
        <f>BU5*BT174+BV5*BT174+BU6*BT174+BV6*BT174+BU7*BT174+BV7*BT174+BU8*BT174+BV8*BT174+BU9*BT174+BV9*BT174+BU10*BT174+BV10*BT174+BU11*BT174+BV11*BT174+BU12*BT174+BV12*BT174+BU13*BT174+BV13*BT174+BU14*BT174+BV14*BT174+BU15*BT174+BV15*BT174+BU16*BT174+BV16*BT174+BU17*BT174+BV17*BT174+BU18*BT174+BV18*BT174+BU19*BT174+BV19*BT174+BU20*BT174+BV20*BT174+BU21*BT174+BV21*BT174+BU22*BT174+BV22*BT174+BU23*BT174+BV23*BT174+BU24*BT174+BV24*BT174+BU25*BT174+BV25*BT174+BU26*BT174+BV26*BT174</f>
        <v>0</v>
      </c>
      <c r="BV174" s="5"/>
      <c r="BX174" s="5"/>
      <c r="BY174" s="5">
        <f>BY5*BX174+BZ5*BX174+BY6*BX174+BZ6*BX174+BY7*BX174+BZ7*BX174+BY8*BX174+BZ8*BX174+BY9*BX174+BZ9*BX174+BY10*BX174+BZ10*BX174+BY11*BX174+BZ11*BX174+BY12*BX174+BZ12*BX174+BY13*BX174+BZ13*BX174+BY14*BX174+BZ14*BX174+BY15*BX174+BZ15*BX174+BY16*BX174+BZ16*BX174+BY17*BX174+BZ17*BX174+BY18*BX174+BZ18*BX174+BY19*BX174+BZ19*BX174+BY20*BX174+BZ20*BX174+BY21*BX174+BZ21*BX174+BY22*BX174+BZ22*BX174+BY23*BX174+BZ23*BX174+BY24*BX174+BZ24*BX174+BY25*BX174+BZ25*BX174+BY26*BX174+BZ26*BX174</f>
        <v>0</v>
      </c>
      <c r="CA174" s="13">
        <v>2</v>
      </c>
      <c r="CB174" s="5">
        <f>SUM(CB5:CB26,CC5:CC26)*CA174</f>
        <v>0</v>
      </c>
      <c r="CC174" s="11"/>
      <c r="CE174" s="13">
        <v>3.5</v>
      </c>
      <c r="CF174" s="5">
        <f>CF5*CE174+CG5*CE174+CF6*CE174+CG6*CE174+CF7*CE174+CG7*CE174+CF8*CE174+CG8*CE174+CF9*CE174+CG9*CE174+CF10*CE174+CG10*CE174+CF11*CE174+CG11*CE174+CF12*CE174+CG12*CE174+CF13*CE174+CG13*CE174+CF14*CE174+CG14*CE174+CF15*CE174+CG15*CE174+CF16*CE174+CG16*CE174+CF17*CE174+CG17*CE174+CF18*CE174+CG18*CE174+CF19*CE174+CG19*CE174+CF20*CE174+CG20*CE174+CF21*CE174+CG21*CE174+CF22*CE174+CG22*CE174+CF23*CE174+CG23*CE174+CF24*CE174+CG24*CE174+CF25*CE174+CG25*CE174+CF26*CE174+CG26*CE174</f>
        <v>0</v>
      </c>
      <c r="CG174" s="12"/>
      <c r="CI174" s="13">
        <v>3.5</v>
      </c>
      <c r="CJ174" s="5">
        <f>CJ5*CI174+CK5*CI174+CJ6*CI174+CK6*CI174+CJ7*CI174+CK7*CI174+CJ8*CI174+CK8*CI174+CJ9*CI174+CK9*CI174+CJ10*CI174+CK10*CI174+CJ11*CI174+CK11*CI174+CJ12*CI174+CK12*CI174+CJ13*CI174+CK13*CI174+CJ14*CI174+CK14*CI174+CJ15*CI174+CK15*CI174+CJ16*CI174+CK16*CI174+CJ17*CI174+CK17*CI174+CJ18*CI174+CK18*CI174+CJ19*CI174+CK19*CI174+CJ20*CI174+CK20*CI174+CJ21*CI174+CK21*CI174+CJ22*CI174+CK22*CI174+CJ23*CI174+CK23*CI174+CJ24*CI174+CK24*CI174+CJ25*CI174+CK25*CI174+CJ26*CI174+CK26*CI174</f>
        <v>0</v>
      </c>
      <c r="CK174" s="12"/>
      <c r="CM174" s="13">
        <v>3.5</v>
      </c>
      <c r="CN174" s="5">
        <f>CN5*CM174+CO5*CM174+CN6*CM174+CO6*CM174+CN7*CM174+CO7*CM174+CN8*CM174+CO8*CM174+CN9*CM174+CO9*CM174+CN10*CM174+CO10*CM174+CN11*CM174+CO11*CM174+CN12*CM174+CO12*CM174+CN13*CM174+CO13*CM174+CN14*CM174+CO14*CM174+CN15*CM174+CO15*CM174+CN16*CM174+CO16*CM174+CN17*CM174+CO17*CM174+CN18*CM174+CO18*CM174+CN19*CM174+CO19*CM174+CN20*CM174+CO20*CM174+CN21*CM174+CO21*CM174+CN22*CM174+CO22*CM174+CN23*CM174+CO23*CM174+CN24*CM174+CO24*CM174+CN25*CM174+CO25*CM174+CN26*CM174+CO26*CM174</f>
        <v>0</v>
      </c>
      <c r="CO174" s="12"/>
      <c r="CQ174" s="13">
        <v>3.5</v>
      </c>
      <c r="CR174" s="5">
        <f>CR5*CQ174+CS5*CQ174+CR6*CQ174+CS6*CQ174+CR7*CQ174+CS7*CQ174+CR8*CQ174+CS8*CQ174+CR9*CQ174+CS9*CQ174+CR10*CQ174+CS10*CQ174+CR11*CQ174+CS11*CQ174+CR12*CQ174+CS12*CQ174+CR13*CQ174+CS13*CQ174+CR14*CQ174+CS14*CQ174+CR15*CQ174+CS15*CQ174+CR16*CQ174+CS16*CQ174+CR17*CQ174+CS17*CQ174+CR18*CQ174+CS18*CQ174+CR19*CQ174+CS19*CQ174+CR20*CQ174+CS20*CQ174+CR21*CQ174+CS21*CQ174+CR22*CQ174+CS22*CQ174+CR23*CQ174+CS23*CQ174+CR24*CQ174+CS24*CQ174+CR25*CQ174+CS25*CQ174+CR26*CQ174+CS26*CQ174</f>
        <v>0</v>
      </c>
      <c r="CS174" s="12"/>
      <c r="CU174" s="13">
        <v>3.5</v>
      </c>
      <c r="CV174" s="5">
        <f>CV5*CU174+CW5*CU174+CV6*CU174+CW6*CU174+CV7*CU174+CW7*CU174+CV8*CU174+CW8*CU174+CV9*CU174+CW9*CU174+CV10*CU174+CW10*CU174+CV11*CU174+CW11*CU174+CV12*CU174+CW12*CU174+CV13*CU174+CW13*CU174+CV14*CU174+CW14*CU174+CV15*CU174+CW15*CU174+CV16*CU174+CW16*CU174+CV17*CU174+CW17*CU174+CV18*CU174+CW18*CU174+CV19*CU174+CW19*CU174+CV20*CU174+CW20*CU174+CV21*CU174+CW21*CU174+CV22*CU174+CW22*CU174+CV23*CU174+CW23*CU174+CV24*CU174+CW24*CU174+CV25*CU174+CW25*CU174+CV26*CU174+CW26*CU174</f>
        <v>0</v>
      </c>
      <c r="CW174" s="12"/>
      <c r="CY174" s="13">
        <v>3.5</v>
      </c>
      <c r="CZ174" s="5">
        <f>CZ5*CY174+DA5*CY174+CZ6*CY174+DA6*CY174+CZ7*CY174+DA7*CY174+CZ8*CY174+DA8*CY174+CZ9*CY174+DA9*CY174+CZ10*CY174+DA10*CY174+CZ11*CY174+DA11*CY174+CZ12*CY174+DA12*CY174+CZ13*CY174+DA13*CY174+CZ14*CY174+DA14*CY174+CZ15*CY174+DA15*CY174+CZ16*CY174+DA16*CY174+CZ17*CY174+DA17*CY174+CZ18*CY174+DA18*CY174+CZ19*CY174+DA19*CY174+CZ20*CY174+DA20*CY174+CZ21*CY174+DA21*CY174+CZ22*CY174+DA22*CY174+CZ23*CY174+DA23*CY174+CZ24*CY174+DA24*CY174+CZ25*CY174+DA25*CY174+CZ26*CY174+DA26*CY174</f>
        <v>0</v>
      </c>
      <c r="DA174" s="12"/>
      <c r="DC174" s="13">
        <v>3.5</v>
      </c>
      <c r="DD174" s="5">
        <f>DD5*DC174+DE5*DC174+DD6*DC174+DE6*DC174+DD7*DC174+DE7*DC174+DD8*DC174+DE8*DC174+DD9*DC174+DE9*DC174+DD10*DC174+DE10*DC174+DD11*DC174+DE11*DC174+DD12*DC174+DE12*DC174+DD13*DC174+DE13*DC174+DD14*DC174+DE14*DC174+DD15*DC174+DE15*DC174+DD16*DC174+DE16*DC174+DD17*DC174+DE17*DC174+DD18*DC174+DE18*DC174+DD19*DC174+DE19*DC174+DD20*DC174+DE20*DC174+DD21*DC174+DE21*DC174+DD22*DC174+DE22*DC174+DD23*DC174+DE23*DC174+DD24*DC174+DE24*DC174+DD25*DC174+DE25*DC174+DD26*DC174+DE26*DC174</f>
        <v>0</v>
      </c>
      <c r="DE174" s="12"/>
      <c r="DG174" s="13">
        <v>3.5</v>
      </c>
      <c r="DH174" s="5">
        <f>DH5*DG174+DI5*DG174+DH6*DG174+DI6*DG174+DH7*DG174+DI7*DG174+DH8*DG174+DI8*DG174+DH9*DG174+DI9*DG174+DH10*DG174+DI10*DG174+DH11*DG174+DI11*DG174+DH12*DG174+DI12*DG174+DH13*DG174+DI13*DG174+DH14*DG174+DI14*DG174+DH15*DG174+DI15*DG174+DH16*DG174+DI16*DG174+DH17*DG174+DI17*DG174+DH18*DG174+DI18*DG174+DH19*DG174+DI19*DG174+DH20*DG174+DI20*DG174+DH21*DG174+DI21*DG174+DH22*DG174+DI22*DG174+DH23*DG174+DI23*DG174+DH24*DG174+DI24*DG174+DH25*DG174+DI25*DG174+DH26*DG174+DI26*DG174</f>
        <v>0</v>
      </c>
      <c r="DI174" s="12"/>
      <c r="DK174" s="13">
        <v>3.5</v>
      </c>
      <c r="DL174" s="5">
        <f>DL5*DK174+DM5*DK174+DL6*DK174+DM6*DK174+DL7*DK174+DM7*DK174+DL8*DK174+DM8*DK174+DL9*DK174+DM9*DK174+DL10*DK174+DM10*DK174+DL11*DK174+DM11*DK174+DL12*DK174+DM12*DK174+DL13*DK174+DM13*DK174+DL14*DK174+DM14*DK174+DL15*DK174+DM15*DK174+DL16*DK174+DM16*DK174+DL17*DK174+DM17*DK174+DL18*DK174+DM18*DK174+DL19*DK174+DM19*DK174+DL20*DK174+DM20*DK174+DL21*DK174+DM21*DK174+DL22*DK174+DM22*DK174+DL23*DK174+DM23*DK174+DL24*DK174+DM24*DK174+DL25*DK174+DM25*DK174+DL26*DK174+DM26*DK174</f>
        <v>0</v>
      </c>
      <c r="DM174" s="12"/>
      <c r="DO174" s="13">
        <v>3.5</v>
      </c>
      <c r="DP174" s="5">
        <f>DP5*DO174+DQ5*DO174+DP6*DO174+DQ6*DO174+DP7*DO174+DQ7*DO174+DP8*DO174+DQ8*DO174+DP9*DO174+DQ9*DO174+DP10*DO174+DQ10*DO174+DP11*DO174+DQ11*DO174+DP12*DO174+DQ12*DO174+DP13*DO174+DQ13*DO174+DP14*DO174+DQ14*DO174+DP15*DO174+DQ15*DO174+DP16*DO174+DQ16*DO174+DP17*DO174+DQ17*DO174+DP18*DO174+DQ18*DO174+DP19*DO174+DQ19*DO174+DP20*DO174+DQ20*DO174+DP21*DO174+DQ21*DO174+DP22*DO174+DQ22*DO174+DP23*DO174+DQ23*DO174+DP24*DO174+DQ24*DO174+DP25*DO174+DQ25*DO174+DP26*DO174+DQ26*DO174</f>
        <v>0</v>
      </c>
      <c r="DQ174" s="12"/>
      <c r="DS174" s="1336">
        <f t="shared" si="0"/>
        <v>0</v>
      </c>
      <c r="DT174" s="121">
        <f>EXTRAS!D38</f>
        <v>0</v>
      </c>
      <c r="DU174" s="112">
        <f>EXTRAS!E38</f>
        <v>0</v>
      </c>
      <c r="DX174" s="203">
        <f t="shared" si="1"/>
        <v>0</v>
      </c>
      <c r="DZ174" s="924"/>
      <c r="EH174" s="924"/>
    </row>
    <row r="175" spans="1:138" s="6" customFormat="1" ht="15" customHeight="1">
      <c r="A175" s="3"/>
      <c r="B175" s="210" t="s">
        <v>1508</v>
      </c>
      <c r="C175" s="473" t="s">
        <v>386</v>
      </c>
      <c r="D175" s="4"/>
      <c r="E175" s="5"/>
      <c r="F175" s="5"/>
      <c r="G175" s="4"/>
      <c r="H175" s="4"/>
      <c r="I175" s="4"/>
      <c r="J175" s="4"/>
      <c r="K175" s="5"/>
      <c r="L175" s="5"/>
      <c r="M175" s="5"/>
      <c r="O175" s="5"/>
      <c r="P175" s="5"/>
      <c r="Q175" s="5"/>
      <c r="S175" s="5"/>
      <c r="T175" s="5"/>
      <c r="U175" s="5"/>
      <c r="W175" s="5"/>
      <c r="X175" s="5"/>
      <c r="Y175" s="12"/>
      <c r="AA175" s="13"/>
      <c r="AB175" s="12"/>
      <c r="AD175" s="13"/>
      <c r="AE175" s="5"/>
      <c r="AF175" s="5"/>
      <c r="AH175" s="13"/>
      <c r="AI175" s="5"/>
      <c r="AK175" s="5"/>
      <c r="AL175" s="5"/>
      <c r="AM175" s="5"/>
      <c r="AO175" s="5"/>
      <c r="AP175" s="5"/>
      <c r="AR175" s="5"/>
      <c r="AS175" s="5"/>
      <c r="AT175" s="5"/>
      <c r="AV175" s="5"/>
      <c r="AW175" s="5"/>
      <c r="AY175" s="5"/>
      <c r="AZ175" s="5"/>
      <c r="BA175" s="5"/>
      <c r="BC175" s="5"/>
      <c r="BD175" s="5"/>
      <c r="BF175" s="5"/>
      <c r="BG175" s="5"/>
      <c r="BH175" s="5"/>
      <c r="BJ175" s="5"/>
      <c r="BK175" s="5"/>
      <c r="BL175" s="12"/>
      <c r="BM175" s="5"/>
      <c r="BN175" s="5"/>
      <c r="BO175" s="5"/>
      <c r="BQ175" s="5"/>
      <c r="BR175" s="5"/>
      <c r="BT175" s="5"/>
      <c r="BU175" s="5"/>
      <c r="BV175" s="5"/>
      <c r="BX175" s="5"/>
      <c r="BY175" s="5"/>
      <c r="CA175" s="13"/>
      <c r="CB175" s="7"/>
      <c r="CC175" s="11"/>
      <c r="CE175" s="13"/>
      <c r="CF175" s="5"/>
      <c r="CG175" s="12"/>
      <c r="CI175" s="13"/>
      <c r="CJ175" s="5"/>
      <c r="CK175" s="12"/>
      <c r="CM175" s="13"/>
      <c r="CN175" s="5"/>
      <c r="CO175" s="12"/>
      <c r="CQ175" s="13"/>
      <c r="CR175" s="5"/>
      <c r="CS175" s="12"/>
      <c r="CU175" s="13"/>
      <c r="CV175" s="5"/>
      <c r="CW175" s="12"/>
      <c r="CY175" s="13"/>
      <c r="CZ175" s="5"/>
      <c r="DA175" s="12"/>
      <c r="DC175" s="13"/>
      <c r="DD175" s="5"/>
      <c r="DE175" s="12"/>
      <c r="DG175" s="13"/>
      <c r="DH175" s="5"/>
      <c r="DI175" s="12"/>
      <c r="DK175" s="13"/>
      <c r="DL175" s="5"/>
      <c r="DM175" s="12"/>
      <c r="DO175" s="13"/>
      <c r="DP175" s="5"/>
      <c r="DQ175" s="12"/>
      <c r="DS175" s="1336">
        <f t="shared" si="0"/>
        <v>0</v>
      </c>
      <c r="DT175" s="121">
        <f>EXTRAS!D39</f>
        <v>0</v>
      </c>
      <c r="DU175" s="112">
        <f>EXTRAS!E39</f>
        <v>0</v>
      </c>
      <c r="DX175" s="203">
        <f t="shared" si="1"/>
        <v>0</v>
      </c>
      <c r="DZ175" s="924"/>
      <c r="EH175" s="924"/>
    </row>
    <row r="176" spans="1:138" s="6" customFormat="1" ht="15" customHeight="1">
      <c r="A176" s="3">
        <v>28</v>
      </c>
      <c r="B176" s="210" t="s">
        <v>5</v>
      </c>
      <c r="C176" s="473" t="s">
        <v>386</v>
      </c>
      <c r="D176" s="4"/>
      <c r="E176" s="5"/>
      <c r="F176" s="5"/>
      <c r="G176" s="4"/>
      <c r="H176" s="4"/>
      <c r="I176" s="4"/>
      <c r="J176" s="4"/>
      <c r="K176" s="5"/>
      <c r="L176" s="5"/>
      <c r="M176" s="5"/>
      <c r="O176" s="5"/>
      <c r="P176" s="5"/>
      <c r="Q176" s="5"/>
      <c r="S176" s="5"/>
      <c r="T176" s="5"/>
      <c r="U176" s="5"/>
      <c r="W176" s="5"/>
      <c r="X176" s="5"/>
      <c r="Y176" s="12"/>
      <c r="AA176" s="13"/>
      <c r="AB176" s="12"/>
      <c r="AD176" s="13"/>
      <c r="AE176" s="5"/>
      <c r="AF176" s="5"/>
      <c r="AH176" s="13"/>
      <c r="AI176" s="5"/>
      <c r="AK176" s="5"/>
      <c r="AL176" s="5"/>
      <c r="AM176" s="5"/>
      <c r="AO176" s="5"/>
      <c r="AP176" s="5"/>
      <c r="AR176" s="5"/>
      <c r="AS176" s="5"/>
      <c r="AT176" s="5"/>
      <c r="AV176" s="5"/>
      <c r="AW176" s="5"/>
      <c r="AY176" s="5"/>
      <c r="AZ176" s="5"/>
      <c r="BA176" s="5"/>
      <c r="BC176" s="5"/>
      <c r="BD176" s="5"/>
      <c r="BF176" s="5"/>
      <c r="BG176" s="5"/>
      <c r="BH176" s="5"/>
      <c r="BJ176" s="5"/>
      <c r="BK176" s="5"/>
      <c r="BL176" s="12"/>
      <c r="BM176" s="5"/>
      <c r="BN176" s="5"/>
      <c r="BO176" s="5"/>
      <c r="BQ176" s="5"/>
      <c r="BR176" s="5"/>
      <c r="BT176" s="5"/>
      <c r="BU176" s="5"/>
      <c r="BV176" s="5"/>
      <c r="BX176" s="5"/>
      <c r="BY176" s="5"/>
      <c r="CA176" s="13"/>
      <c r="CB176" s="7"/>
      <c r="CC176" s="11"/>
      <c r="CE176" s="13">
        <v>1</v>
      </c>
      <c r="CF176" s="5">
        <f>CF6*CE176+CG6*CE176+CF7*CE176+CG7*CE176+CF8*CE176+CG8*CE176+CF9*CE176+CG9*CE176+CF10*CE176+CG10*CE176+CF11*CE176+CG11*CE176+CF12*CE176+CG12*CE176+CF13*CE176+CG13*CE176+CF14*CE176+CG14*CE176+CF15*CE176+CG15*CE176+CF16*CE176+CG16*CE176+CF17*CE176+CG17*CE176+CF18*CE176+CG18*CE176+CF19*CE176+CG19*CE176+CF20*CE176+CG20*CE176+CF21*CE176+CG21*CE176+CF22*CE176+CG22*CE176+CF23*CE176+CG23*CE176+CF24*CE176+CG24*CE176+CF25*CE176+CG25*CE176+CF26*CE176+CG26*CE176+CF5*CE176+CG5*CE176</f>
        <v>0</v>
      </c>
      <c r="CG176" s="12"/>
      <c r="CI176" s="13">
        <v>1</v>
      </c>
      <c r="CJ176" s="5">
        <f>CJ6*CI176+CK6*CI176+CJ7*CI176+CK7*CI176+CJ8*CI176+CK8*CI176+CJ9*CI176+CK9*CI176+CJ10*CI176+CK10*CI176+CJ11*CI176+CK11*CI176+CJ12*CI176+CK12*CI176+CJ13*CI176+CK13*CI176+CJ14*CI176+CK14*CI176+CJ15*CI176+CK15*CI176+CJ16*CI176+CK16*CI176+CJ17*CI176+CK17*CI176+CJ18*CI176+CK18*CI176+CJ19*CI176+CK19*CI176+CJ20*CI176+CK20*CI176+CJ21*CI176+CK21*CI176+CJ22*CI176+CK22*CI176+CJ23*CI176+CK23*CI176+CJ24*CI176+CK24*CI176+CJ25*CI176+CK25*CI176+CJ26*CI176+CK26*CI176+CJ5*CI176+CK5*CI176</f>
        <v>0</v>
      </c>
      <c r="CK176" s="12"/>
      <c r="CM176" s="13">
        <v>1</v>
      </c>
      <c r="CN176" s="5">
        <f>CN6*CM176+CO6*CM176+CN7*CM176+CO7*CM176+CN8*CM176+CO8*CM176+CN9*CM176+CO9*CM176+CN10*CM176+CO10*CM176+CN11*CM176+CO11*CM176+CN12*CM176+CO12*CM176+CN13*CM176+CO13*CM176+CN14*CM176+CO14*CM176+CN15*CM176+CO15*CM176+CN16*CM176+CO16*CM176+CN17*CM176+CO17*CM176+CN18*CM176+CO18*CM176+CN19*CM176+CO19*CM176+CN20*CM176+CO20*CM176+CN21*CM176+CO21*CM176+CN22*CM176+CO22*CM176+CN23*CM176+CO23*CM176+CN24*CM176+CO24*CM176+CN25*CM176+CO25*CM176+CN26*CM176+CO26*CM176+CN5*CM176+CO5*CM176</f>
        <v>0</v>
      </c>
      <c r="CO176" s="12"/>
      <c r="CQ176" s="13">
        <v>1</v>
      </c>
      <c r="CR176" s="5">
        <f>CR6*CQ176+CS6*CQ176+CR7*CQ176+CS7*CQ176+CR8*CQ176+CS8*CQ176+CR9*CQ176+CS9*CQ176+CR10*CQ176+CS10*CQ176+CR11*CQ176+CS11*CQ176+CR12*CQ176+CS12*CQ176+CR13*CQ176+CS13*CQ176+CR14*CQ176+CS14*CQ176+CR15*CQ176+CS15*CQ176+CR16*CQ176+CS16*CQ176+CR17*CQ176+CS17*CQ176+CR18*CQ176+CS18*CQ176+CR19*CQ176+CS19*CQ176+CR20*CQ176+CS20*CQ176+CR21*CQ176+CS21*CQ176+CR22*CQ176+CS22*CQ176+CR23*CQ176+CS23*CQ176+CR24*CQ176+CS24*CQ176+CR25*CQ176+CS25*CQ176+CR26*CQ176+CS26*CQ176+CR5*CQ176+CS5*CQ176</f>
        <v>0</v>
      </c>
      <c r="CS176" s="12"/>
      <c r="CU176" s="13">
        <v>1</v>
      </c>
      <c r="CV176" s="5">
        <f>CV6*CU176+CW6*CU176+CV7*CU176+CW7*CU176+CV8*CU176+CW8*CU176+CV9*CU176+CW9*CU176+CV10*CU176+CW10*CU176+CV11*CU176+CW11*CU176+CV12*CU176+CW12*CU176+CV13*CU176+CW13*CU176+CV14*CU176+CW14*CU176+CV15*CU176+CW15*CU176+CV16*CU176+CW16*CU176+CV17*CU176+CW17*CU176+CV18*CU176+CW18*CU176+CV19*CU176+CW19*CU176+CV20*CU176+CW20*CU176+CV21*CU176+CW21*CU176+CV22*CU176+CW22*CU176+CV23*CU176+CW23*CU176+CV24*CU176+CW24*CU176+CV25*CU176+CW25*CU176+CV26*CU176+CW26*CU176+CV5*CU176+CW5*CU176</f>
        <v>0</v>
      </c>
      <c r="CW176" s="12"/>
      <c r="CY176" s="13">
        <v>1</v>
      </c>
      <c r="CZ176" s="5">
        <f>CZ6*CY176+DA6*CY176+CZ7*CY176+DA7*CY176+CZ8*CY176+DA8*CY176+CZ9*CY176+DA9*CY176+CZ10*CY176+DA10*CY176+CZ11*CY176+DA11*CY176+CZ12*CY176+DA12*CY176+CZ13*CY176+DA13*CY176+CZ14*CY176+DA14*CY176+CZ15*CY176+DA15*CY176+CZ16*CY176+DA16*CY176+CZ17*CY176+DA17*CY176+CZ18*CY176+DA18*CY176+CZ19*CY176+DA19*CY176+CZ20*CY176+DA20*CY176+CZ21*CY176+DA21*CY176+CZ22*CY176+DA22*CY176+CZ23*CY176+DA23*CY176+CZ24*CY176+DA24*CY176+CZ25*CY176+DA25*CY176+CZ26*CY176+DA26*CY176+CZ5*CY176+DA5*CY176</f>
        <v>0</v>
      </c>
      <c r="DA176" s="12"/>
      <c r="DC176" s="13">
        <v>1</v>
      </c>
      <c r="DD176" s="5">
        <f>DD6*DC176+DE6*DC176+DD7*DC176+DE7*DC176+DD8*DC176+DE8*DC176+DD9*DC176+DE9*DC176+DD10*DC176+DE10*DC176+DD11*DC176+DE11*DC176+DD12*DC176+DE12*DC176+DD13*DC176+DE13*DC176+DD14*DC176+DE14*DC176+DD15*DC176+DE15*DC176+DD16*DC176+DE16*DC176+DD17*DC176+DE17*DC176+DD18*DC176+DE18*DC176+DD19*DC176+DE19*DC176+DD20*DC176+DE20*DC176+DD21*DC176+DE21*DC176+DD22*DC176+DE22*DC176+DD23*DC176+DE23*DC176+DD24*DC176+DE24*DC176+DD25*DC176+DE25*DC176+DD26*DC176+DE26*DC176+DD5*DC176+DE5*DC176</f>
        <v>0</v>
      </c>
      <c r="DE176" s="12"/>
      <c r="DG176" s="13">
        <v>1</v>
      </c>
      <c r="DH176" s="5">
        <f>DH6*DG176+DI6*DG176+DH7*DG176+DI7*DG176+DH8*DG176+DI8*DG176+DH9*DG176+DI9*DG176+DH10*DG176+DI10*DG176+DH11*DG176+DI11*DG176+DH12*DG176+DI12*DG176+DH13*DG176+DI13*DG176+DH14*DG176+DI14*DG176+DH15*DG176+DI15*DG176+DH16*DG176+DI16*DG176+DH17*DG176+DI17*DG176+DH18*DG176+DI18*DG176+DH19*DG176+DI19*DG176+DH20*DG176+DI20*DG176+DH21*DG176+DI21*DG176+DH22*DG176+DI22*DG176+DH23*DG176+DI23*DG176+DH24*DG176+DI24*DG176+DH25*DG176+DI25*DG176+DH26*DG176+DI26*DG176+DH5*DG176+DI5*DG176</f>
        <v>0</v>
      </c>
      <c r="DI176" s="12"/>
      <c r="DK176" s="13">
        <v>1</v>
      </c>
      <c r="DL176" s="5">
        <f>DL6*DK176+DM6*DK176+DL7*DK176+DM7*DK176+DL8*DK176+DM8*DK176+DL9*DK176+DM9*DK176+DL10*DK176+DM10*DK176+DL11*DK176+DM11*DK176+DL12*DK176+DM12*DK176+DL13*DK176+DM13*DK176+DL14*DK176+DM14*DK176+DL15*DK176+DM15*DK176+DL16*DK176+DM16*DK176+DL17*DK176+DM17*DK176+DL18*DK176+DM18*DK176+DL19*DK176+DM19*DK176+DL20*DK176+DM20*DK176+DL21*DK176+DM21*DK176+DL22*DK176+DM22*DK176+DL23*DK176+DM23*DK176+DL24*DK176+DM24*DK176+DL25*DK176+DM25*DK176+DL26*DK176+DM26*DK176+DL5*DK176+DM5*DK176</f>
        <v>0</v>
      </c>
      <c r="DM176" s="12"/>
      <c r="DO176" s="13">
        <v>1</v>
      </c>
      <c r="DP176" s="5">
        <f>DP6*DO176+DQ6*DO176+DP7*DO176+DQ7*DO176+DP8*DO176+DQ8*DO176+DP9*DO176+DQ9*DO176+DP10*DO176+DQ10*DO176+DP11*DO176+DQ11*DO176+DP12*DO176+DQ12*DO176+DP13*DO176+DQ13*DO176+DP14*DO176+DQ14*DO176+DP15*DO176+DQ15*DO176+DP16*DO176+DQ16*DO176+DP17*DO176+DQ17*DO176+DP18*DO176+DQ18*DO176+DP19*DO176+DQ19*DO176+DP20*DO176+DQ20*DO176+DP21*DO176+DQ21*DO176+DP22*DO176+DQ22*DO176+DP23*DO176+DQ23*DO176+DP24*DO176+DQ24*DO176+DP25*DO176+DQ25*DO176+DP26*DO176+DQ26*DO176+DP5*DO176+DQ5*DO176</f>
        <v>0</v>
      </c>
      <c r="DQ176" s="12"/>
      <c r="DS176" s="1336">
        <f t="shared" si="0"/>
        <v>0</v>
      </c>
      <c r="DT176" s="121">
        <f>EXTRAS!D40</f>
        <v>0</v>
      </c>
      <c r="DU176" s="112">
        <f>EXTRAS!E40</f>
        <v>0</v>
      </c>
      <c r="DX176" s="203">
        <f t="shared" si="1"/>
        <v>0</v>
      </c>
      <c r="DZ176" s="924"/>
      <c r="EH176" s="924"/>
    </row>
    <row r="177" spans="1:138" s="6" customFormat="1" ht="15" customHeight="1">
      <c r="A177" s="3"/>
      <c r="B177" s="210" t="s">
        <v>1741</v>
      </c>
      <c r="C177" s="473" t="s">
        <v>168</v>
      </c>
      <c r="D177" s="4"/>
      <c r="E177" s="5"/>
      <c r="F177" s="5"/>
      <c r="G177" s="4"/>
      <c r="H177" s="4"/>
      <c r="I177" s="4"/>
      <c r="J177" s="4"/>
      <c r="K177" s="5"/>
      <c r="L177" s="5"/>
      <c r="M177" s="5"/>
      <c r="O177" s="5"/>
      <c r="P177" s="5"/>
      <c r="Q177" s="5"/>
      <c r="S177" s="5"/>
      <c r="T177" s="5"/>
      <c r="U177" s="5"/>
      <c r="W177" s="5"/>
      <c r="X177" s="5"/>
      <c r="Y177" s="12"/>
      <c r="AA177" s="13"/>
      <c r="AB177" s="12"/>
      <c r="AD177" s="13"/>
      <c r="AE177" s="5"/>
      <c r="AF177" s="5"/>
      <c r="AH177" s="13"/>
      <c r="AI177" s="5"/>
      <c r="AK177" s="5"/>
      <c r="AL177" s="5"/>
      <c r="AM177" s="5"/>
      <c r="AO177" s="5"/>
      <c r="AP177" s="5"/>
      <c r="AR177" s="5"/>
      <c r="AS177" s="5"/>
      <c r="AT177" s="5"/>
      <c r="AV177" s="5"/>
      <c r="AW177" s="5"/>
      <c r="AY177" s="5"/>
      <c r="AZ177" s="5"/>
      <c r="BA177" s="5"/>
      <c r="BC177" s="5"/>
      <c r="BD177" s="5"/>
      <c r="BF177" s="5"/>
      <c r="BG177" s="5"/>
      <c r="BH177" s="5"/>
      <c r="BJ177" s="5"/>
      <c r="BK177" s="5"/>
      <c r="BL177" s="12"/>
      <c r="BM177" s="5"/>
      <c r="BN177" s="5"/>
      <c r="BO177" s="5"/>
      <c r="BQ177" s="5"/>
      <c r="BR177" s="5"/>
      <c r="BT177" s="5"/>
      <c r="BU177" s="5"/>
      <c r="BV177" s="5"/>
      <c r="BX177" s="5"/>
      <c r="BY177" s="5"/>
      <c r="CA177" s="13"/>
      <c r="CB177" s="7"/>
      <c r="CC177" s="11"/>
      <c r="CE177" s="13">
        <v>70</v>
      </c>
      <c r="CF177" s="5">
        <f>SUM(CF5:CG26)*CE177</f>
        <v>0</v>
      </c>
      <c r="CG177" s="12"/>
      <c r="CI177" s="13">
        <v>70</v>
      </c>
      <c r="CJ177" s="5">
        <f>SUM(CJ5:CK26)*CI177</f>
        <v>0</v>
      </c>
      <c r="CK177" s="12"/>
      <c r="CM177" s="13">
        <v>70</v>
      </c>
      <c r="CN177" s="5">
        <f>SUM(CN5:CO26)*CM177</f>
        <v>0</v>
      </c>
      <c r="CO177" s="12"/>
      <c r="CQ177" s="13">
        <v>70</v>
      </c>
      <c r="CR177" s="5">
        <f>SUM(CR5:CS26)*CQ177</f>
        <v>0</v>
      </c>
      <c r="CS177" s="12"/>
      <c r="CU177" s="13">
        <v>70</v>
      </c>
      <c r="CV177" s="5">
        <f>SUM(CV5:CW26)*CU177</f>
        <v>0</v>
      </c>
      <c r="CW177" s="12"/>
      <c r="CY177" s="13">
        <v>70</v>
      </c>
      <c r="CZ177" s="5">
        <f>SUM(CZ5:DA26)*CY177</f>
        <v>0</v>
      </c>
      <c r="DA177" s="12"/>
      <c r="DC177" s="13">
        <v>70</v>
      </c>
      <c r="DD177" s="5">
        <f>SUM(DD5:DE26)*DC177</f>
        <v>0</v>
      </c>
      <c r="DE177" s="12"/>
      <c r="DG177" s="13">
        <v>70</v>
      </c>
      <c r="DH177" s="5">
        <f>SUM(DH5:DI26)*DG177</f>
        <v>0</v>
      </c>
      <c r="DI177" s="12"/>
      <c r="DK177" s="13">
        <v>70</v>
      </c>
      <c r="DL177" s="5">
        <f>SUM(DL5:DM26)*DK177</f>
        <v>0</v>
      </c>
      <c r="DM177" s="12"/>
      <c r="DO177" s="13">
        <v>70</v>
      </c>
      <c r="DP177" s="5">
        <f>SUM(DP5:DQ26)*DO177</f>
        <v>0</v>
      </c>
      <c r="DQ177" s="12"/>
      <c r="DS177" s="1336">
        <f>I177+L177+M177+P177+T177+X177+AB177+AE177+F177+CR177+AI177+AL177+AP177+AS177+AW177+AZ177+BD177+BG177+BK177+BN177+BR177+BU177+BY177+CB177+CF177+CJ177+CN177+CV177+CZ177+DD177+DH177+DL177+DP177</f>
        <v>0</v>
      </c>
      <c r="DT177" s="121">
        <f>EXTRAS!D42</f>
        <v>0</v>
      </c>
      <c r="DU177" s="112">
        <f>EXTRAS!E42</f>
        <v>0</v>
      </c>
      <c r="DX177" s="203">
        <f t="shared" si="1"/>
        <v>0</v>
      </c>
      <c r="DZ177" s="924"/>
      <c r="EH177" s="924"/>
    </row>
    <row r="178" spans="1:138" s="6" customFormat="1" ht="15" customHeight="1">
      <c r="A178" s="3"/>
      <c r="B178" s="210" t="s">
        <v>1689</v>
      </c>
      <c r="C178" s="473" t="s">
        <v>0</v>
      </c>
      <c r="D178" s="4"/>
      <c r="E178" s="5"/>
      <c r="F178" s="5"/>
      <c r="G178" s="4"/>
      <c r="H178" s="4"/>
      <c r="I178" s="4"/>
      <c r="J178" s="4"/>
      <c r="K178" s="5"/>
      <c r="L178" s="5"/>
      <c r="M178" s="5"/>
      <c r="O178" s="5"/>
      <c r="P178" s="5"/>
      <c r="Q178" s="5"/>
      <c r="S178" s="5"/>
      <c r="T178" s="5"/>
      <c r="U178" s="5"/>
      <c r="W178" s="5"/>
      <c r="X178" s="5"/>
      <c r="Y178" s="12"/>
      <c r="AA178" s="13"/>
      <c r="AB178" s="12"/>
      <c r="AD178" s="13"/>
      <c r="AE178" s="5"/>
      <c r="AF178" s="5"/>
      <c r="AH178" s="13"/>
      <c r="AI178" s="5"/>
      <c r="AK178" s="5"/>
      <c r="AL178" s="5"/>
      <c r="AM178" s="5"/>
      <c r="AO178" s="5"/>
      <c r="AP178" s="5"/>
      <c r="AR178" s="5"/>
      <c r="AS178" s="5"/>
      <c r="AT178" s="5"/>
      <c r="AV178" s="5"/>
      <c r="AW178" s="5"/>
      <c r="AY178" s="5"/>
      <c r="AZ178" s="5"/>
      <c r="BA178" s="5"/>
      <c r="BC178" s="5"/>
      <c r="BD178" s="5"/>
      <c r="BF178" s="5"/>
      <c r="BG178" s="5"/>
      <c r="BH178" s="5"/>
      <c r="BJ178" s="5"/>
      <c r="BK178" s="5"/>
      <c r="BL178" s="12"/>
      <c r="BM178" s="5"/>
      <c r="BN178" s="5"/>
      <c r="BO178" s="5"/>
      <c r="BQ178" s="5"/>
      <c r="BR178" s="5"/>
      <c r="BT178" s="5"/>
      <c r="BU178" s="5"/>
      <c r="BV178" s="5"/>
      <c r="BX178" s="5"/>
      <c r="BY178" s="5"/>
      <c r="CA178" s="13"/>
      <c r="CB178" s="7"/>
      <c r="CC178" s="11"/>
      <c r="CE178" s="13">
        <v>1</v>
      </c>
      <c r="CF178" s="5">
        <f>SUM(CF5:CF26,CG5:CG26)*CE178</f>
        <v>0</v>
      </c>
      <c r="CG178" s="12"/>
      <c r="CI178" s="13">
        <v>1</v>
      </c>
      <c r="CJ178" s="5">
        <f>SUM(CJ5:CJ26,CK5:CK26)*CI178</f>
        <v>0</v>
      </c>
      <c r="CK178" s="12"/>
      <c r="CM178" s="13">
        <v>1</v>
      </c>
      <c r="CN178" s="5">
        <f>SUM(CN5:CN26,CO5:CO26)*CM178</f>
        <v>0</v>
      </c>
      <c r="CO178" s="12"/>
      <c r="CQ178" s="13">
        <v>1</v>
      </c>
      <c r="CR178" s="5">
        <f>SUM(CR5:CR26,CS5:CS26)*CQ178</f>
        <v>0</v>
      </c>
      <c r="CS178" s="12"/>
      <c r="CU178" s="13">
        <v>1</v>
      </c>
      <c r="CV178" s="5">
        <f>SUM(CV5:CV26,CW5:CW26)*CU178</f>
        <v>0</v>
      </c>
      <c r="CW178" s="12"/>
      <c r="CY178" s="13">
        <v>1</v>
      </c>
      <c r="CZ178" s="5">
        <f>SUM(CZ5:CZ26,DA5:DA26)*CY178</f>
        <v>0</v>
      </c>
      <c r="DA178" s="12"/>
      <c r="DC178" s="13">
        <v>1</v>
      </c>
      <c r="DD178" s="5">
        <f>SUM(DD5:DD26,DE5:DE26)*DC178</f>
        <v>0</v>
      </c>
      <c r="DE178" s="12"/>
      <c r="DG178" s="13">
        <v>1</v>
      </c>
      <c r="DH178" s="5">
        <f>SUM(DH5:DH26,DI5:DI26)*DG178</f>
        <v>0</v>
      </c>
      <c r="DI178" s="12"/>
      <c r="DK178" s="13">
        <v>1</v>
      </c>
      <c r="DL178" s="5">
        <f>SUM(DL5:DL26,DM5:DM26)*DK178</f>
        <v>0</v>
      </c>
      <c r="DM178" s="12"/>
      <c r="DO178" s="13">
        <v>1</v>
      </c>
      <c r="DP178" s="5">
        <f>SUM(DP5:DP26,DQ5:DQ26)*DO178</f>
        <v>0</v>
      </c>
      <c r="DQ178" s="12"/>
      <c r="DS178" s="1336">
        <f t="shared" si="0"/>
        <v>0</v>
      </c>
      <c r="DT178" s="121">
        <f>EXTRAS!D42</f>
        <v>0</v>
      </c>
      <c r="DU178" s="112">
        <f>EXTRAS!E42</f>
        <v>0</v>
      </c>
      <c r="DV178" s="486">
        <f>SUM(DW7:DW14,EXTRAS!D159:D164)*1-SUM(DX7:DX14,EXTRAS!E159:E164)*1</f>
        <v>0</v>
      </c>
      <c r="DX178" s="203">
        <f t="shared" si="1"/>
        <v>0</v>
      </c>
      <c r="DZ178" s="924"/>
      <c r="EH178" s="924"/>
    </row>
    <row r="179" spans="1:138" s="6" customFormat="1" ht="15" customHeight="1">
      <c r="A179" s="3">
        <v>29</v>
      </c>
      <c r="B179" s="210" t="s">
        <v>455</v>
      </c>
      <c r="C179" s="473" t="s">
        <v>515</v>
      </c>
      <c r="D179" s="4"/>
      <c r="E179" s="5"/>
      <c r="F179" s="5"/>
      <c r="G179" s="4"/>
      <c r="H179" s="4"/>
      <c r="I179" s="4"/>
      <c r="J179" s="4"/>
      <c r="K179" s="5"/>
      <c r="L179" s="5"/>
      <c r="M179" s="5"/>
      <c r="O179" s="5"/>
      <c r="P179" s="5"/>
      <c r="Q179" s="5"/>
      <c r="S179" s="5"/>
      <c r="T179" s="5"/>
      <c r="U179" s="5"/>
      <c r="W179" s="5"/>
      <c r="X179" s="5"/>
      <c r="Y179" s="12"/>
      <c r="AA179" s="13"/>
      <c r="AB179" s="12"/>
      <c r="AD179" s="13"/>
      <c r="AE179" s="5"/>
      <c r="AF179" s="5"/>
      <c r="AH179" s="13"/>
      <c r="AI179" s="5"/>
      <c r="AK179" s="5"/>
      <c r="AL179" s="5"/>
      <c r="AM179" s="5"/>
      <c r="AO179" s="5"/>
      <c r="AP179" s="5"/>
      <c r="AR179" s="5"/>
      <c r="AS179" s="5"/>
      <c r="AT179" s="5"/>
      <c r="AV179" s="5"/>
      <c r="AW179" s="5"/>
      <c r="AY179" s="5"/>
      <c r="AZ179" s="5"/>
      <c r="BA179" s="5"/>
      <c r="BC179" s="5"/>
      <c r="BD179" s="5"/>
      <c r="BF179" s="5"/>
      <c r="BG179" s="5"/>
      <c r="BH179" s="5"/>
      <c r="BJ179" s="5"/>
      <c r="BK179" s="5"/>
      <c r="BL179" s="12"/>
      <c r="BM179" s="5"/>
      <c r="BN179" s="5"/>
      <c r="BO179" s="5"/>
      <c r="BQ179" s="5"/>
      <c r="BR179" s="5"/>
      <c r="BT179" s="5"/>
      <c r="BU179" s="5"/>
      <c r="BV179" s="5"/>
      <c r="BX179" s="5"/>
      <c r="BY179" s="5"/>
      <c r="CA179" s="13"/>
      <c r="CB179" s="7"/>
      <c r="CC179" s="11"/>
      <c r="CE179" s="13"/>
      <c r="CF179" s="5"/>
      <c r="CG179" s="12"/>
      <c r="CI179" s="13"/>
      <c r="CJ179" s="5"/>
      <c r="CK179" s="12"/>
      <c r="CM179" s="13"/>
      <c r="CN179" s="5"/>
      <c r="CO179" s="12"/>
      <c r="CQ179" s="13"/>
      <c r="CR179" s="5"/>
      <c r="CS179" s="12"/>
      <c r="CU179" s="13"/>
      <c r="CV179" s="5"/>
      <c r="CW179" s="12"/>
      <c r="CY179" s="13"/>
      <c r="CZ179" s="5"/>
      <c r="DA179" s="12"/>
      <c r="DC179" s="13"/>
      <c r="DD179" s="5"/>
      <c r="DE179" s="12"/>
      <c r="DG179" s="13"/>
      <c r="DH179" s="5"/>
      <c r="DI179" s="12"/>
      <c r="DK179" s="13"/>
      <c r="DL179" s="5"/>
      <c r="DM179" s="12"/>
      <c r="DO179" s="13"/>
      <c r="DP179" s="5"/>
      <c r="DQ179" s="12"/>
      <c r="DS179" s="1336">
        <f t="shared" si="0"/>
        <v>0</v>
      </c>
      <c r="DT179" s="121">
        <f>EXTRAS!D43</f>
        <v>0</v>
      </c>
      <c r="DU179" s="112">
        <f>EXTRAS!E43</f>
        <v>0</v>
      </c>
      <c r="DX179" s="203">
        <f t="shared" si="1"/>
        <v>0</v>
      </c>
      <c r="DZ179" s="924"/>
      <c r="EH179" s="924"/>
    </row>
    <row r="180" spans="1:138" s="6" customFormat="1" ht="15" customHeight="1">
      <c r="A180" s="3">
        <v>30</v>
      </c>
      <c r="B180" s="210" t="s">
        <v>454</v>
      </c>
      <c r="C180" s="473" t="s">
        <v>515</v>
      </c>
      <c r="D180" s="4"/>
      <c r="E180" s="5">
        <v>1</v>
      </c>
      <c r="F180" s="5">
        <f>SUM(F5:F26)*E180</f>
        <v>0</v>
      </c>
      <c r="G180" s="4"/>
      <c r="H180" s="4"/>
      <c r="I180" s="4"/>
      <c r="J180" s="4"/>
      <c r="K180" s="5"/>
      <c r="L180" s="5"/>
      <c r="M180" s="5"/>
      <c r="O180" s="5"/>
      <c r="P180" s="5"/>
      <c r="Q180" s="5"/>
      <c r="S180" s="5"/>
      <c r="T180" s="5"/>
      <c r="U180" s="5"/>
      <c r="W180" s="5">
        <v>1</v>
      </c>
      <c r="X180" s="5">
        <f>X19*W180+X20*W180+X21*W180+X22*W180+X23*W180+X24*W180+X25*W180+X26*W180+X5*W180+X6*W180+X7*W180+X8*W180+X9*W180+X10*W180+X11*W180+X12*W180+X13*W180+X14*W180+X15*W180+X16*W180+X17*W180+X18*W180+Y19*W180+Y20*W180+Y21*W180+Y22*W180+Y23*W180+Y24*W180+Y25*W180+Y26*W180+Y5*W180+Y6*W180+Y7*W180+Y8*W180+Y9*W180+Y10*W180+Y11*W180+Y12*W180+Y13*W180+Y14*W180+Y15*W180+Y16*W180+Y17*W180+Y18*W180</f>
        <v>0</v>
      </c>
      <c r="Y180" s="12"/>
      <c r="AA180" s="13">
        <v>1</v>
      </c>
      <c r="AB180" s="5">
        <f>AB19*AA180+AB20*AA180+AB21*AA180+AB22*AA180+AB23*AA180+AB24*AA180+AB25*AA180+AB26*AA180+AB5*AA180+AB6*AA180+AB7*AA180+AB8*AA180+AB9*AA180+AB10*AA180+AB11*AA180+AB12*AA180+AB13*AA180+AB14*AA180+AB15*AA180+AB16*AA180+AB17*AA180+AB18*AA180+AC19*AA180+AC20*AA180+AC21*AA180+AC22*AA180+AC23*AA180+AC24*AA180+AC25*AA180+AC26*AA180+AC5*AA180+AC6*AA180+AC7*AA180+AC8*AA180+AC9*AA180+AC10*AA180+AC11*AA180+AC12*AA180+AC13*AA180+AC14*AA180+AC15*AA180+AC16*AA180+AC17*AA180+AC18*AA180</f>
        <v>0</v>
      </c>
      <c r="AD180" s="13">
        <v>1</v>
      </c>
      <c r="AE180" s="5">
        <f>AE19*AD180+AE20*AD180+AE21*AD180+AE22*AD180+AE23*AD180+AE24*AD180+AE25*AD180+AE26*AD180+AE5*AD180+AE6*AD180+AE7*AD180+AE8*AD180+AE9*AD180+AE10*AD180+AE11*AD180+AE12*AD180+AE13*AD180+AE14*AD180+AE15*AD180+AE16*AD180+AE17*AD180+AE18*AD180+AF19*AD180+AF20*AD180+AF21*AD180+AF22*AD180+AF23*AD180+AF24*AD180+AF25*AD180+AF26*AD180+AF5*AD180+AF6*AD180+AF7*AD180+AF8*AD180+AF9*AD180+AF10*AD180+AF11*AD180+AF12*AD180+AF13*AD180+AF14*AD180+AF15*AD180+AF16*AD180+AF17*AD180+AF18*AD180</f>
        <v>0</v>
      </c>
      <c r="AF180" s="5"/>
      <c r="AH180" s="13">
        <v>1</v>
      </c>
      <c r="AI180" s="5">
        <f>AI19*AH180+AI20*AH180+AI21*AH180+AI22*AH180+AI23*AH180+AI24*AH180+AI25*AH180+AI26*AH180+AI5*AH180+AI6*AH180+AI7*AH180+AI8*AH180+AI9*AH180+AI10*AH180+AI11*AH180+AI12*AH180+AI13*AH180+AI14*AH180+AI15*AH180+AI16*AH180+AI17*AH180+AI18*AH180+AJ19*AH180+AJ20*AH180+AJ21*AH180+AJ22*AH180+AJ23*AH180+AJ24*AH180+AJ25*AH180+AJ26*AH180+AJ5*AH180+AJ6*AH180+AJ7*AH180+AJ8*AH180+AJ9*AH180+AJ10*AH180+AJ11*AH180+AJ12*AH180+AJ13*AH180+AJ14*AH180+AJ15*AH180+AJ16*AH180+AJ17*AH180+AJ18*AH180</f>
        <v>0</v>
      </c>
      <c r="AK180" s="5">
        <v>1</v>
      </c>
      <c r="AL180" s="5">
        <f>AL19*AK180+AL20*AK180+AL21*AK180+AL22*AK180+AL23*AK180+AL24*AK180+AL25*AK180+AL26*AK180+AL5*AK180+AL6*AK180+AL7*AK180+AL8*AK180+AL9*AK180+AL10*AK180+AL11*AK180+AL12*AK180+AL13*AK180+AL14*AK180+AL15*AK180+AL16*AK180+AL17*AK180+AL18*AK180+AM19*AK180+AM20*AK180+AM21*AK180+AM22*AK180+AM23*AK180+AM24*AK180+AM25*AK180+AM26*AK180+AM5*AK180+AM6*AK180+AM7*AK180+AM8*AK180+AM9*AK180+AM10*AK180+AM11*AK180+AM12*AK180+AM13*AK180+AM14*AK180+AM15*AK180+AM16*AK180+AM17*AK180+AM18*AK180</f>
        <v>0</v>
      </c>
      <c r="AM180" s="5"/>
      <c r="AO180" s="5">
        <v>1</v>
      </c>
      <c r="AP180" s="5">
        <f>AP19*AO180+AP20*AO180+AP21*AO180+AP22*AO180+AP23*AO180+AP24*AO180+AP25*AO180+AP26*AO180+AP5*AO180+AP6*AO180+AP7*AO180+AP8*AO180+AP9*AO180+AP10*AO180+AP11*AO180+AP12*AO180+AP13*AO180+AP14*AO180+AP15*AO180+AP16*AO180+AP17*AO180+AP18*AO180+AQ19*AO180+AQ20*AO180+AQ21*AO180+AQ22*AO180+AQ23*AO180+AQ24*AO180+AQ25*AO180+AQ26*AO180+AQ5*AO180+AQ6*AO180+AQ7*AO180+AQ8*AO180+AQ9*AO180+AQ10*AO180+AQ11*AO180+AQ12*AO180+AQ13*AO180+AQ14*AO180+AQ15*AO180+AQ16*AO180+AQ17*AO180+AQ18*AO180</f>
        <v>0</v>
      </c>
      <c r="AR180" s="5">
        <v>1</v>
      </c>
      <c r="AS180" s="5">
        <f>AS19*AR180+AS20*AR180+AS21*AR180+AS22*AR180+AS23*AR180+AS24*AR180+AS25*AR180+AS26*AR180+AS5*AR180+AS6*AR180+AS7*AR180+AS8*AR180+AS9*AR180+AS10*AR180+AS11*AR180+AS12*AR180+AS13*AR180+AS14*AR180+AS15*AR180+AS16*AR180+AS17*AR180+AS18*AR180+AT19*AR180+AT20*AR180+AT21*AR180+AT22*AR180+AT23*AR180+AT24*AR180+AT25*AR180+AT26*AR180+AT5*AR180+AT6*AR180+AT7*AR180+AT8*AR180+AT9*AR180+AT10*AR180+AT11*AR180+AT12*AR180+AT13*AR180+AT14*AR180+AT15*AR180+AT16*AR180+AT17*AR180+AT18*AR180</f>
        <v>0</v>
      </c>
      <c r="AT180" s="5"/>
      <c r="AV180" s="5">
        <v>1</v>
      </c>
      <c r="AW180" s="5">
        <f>AW19*AV180+AW20*AV180+AW21*AV180+AW22*AV180+AW23*AV180+AW24*AV180+AW25*AV180+AW26*AV180+AW5*AV180+AW6*AV180+AW7*AV180+AW8*AV180+AW9*AV180+AW10*AV180+AW11*AV180+AW12*AV180+AW13*AV180+AW14*AV180+AW15*AV180+AW16*AV180+AW17*AV180+AW18*AV180+AX19*AV180+AX20*AV180+AX21*AV180+AX22*AV180+AX23*AV180+AX24*AV180+AX25*AV180+AX26*AV180+AX5*AV180+AX6*AV180+AX7*AV180+AX8*AV180+AX9*AV180+AX10*AV180+AX11*AV180+AX12*AV180+AX13*AV180+AX14*AV180+AX15*AV180+AX16*AV180+AX17*AV180+AX18*AV180</f>
        <v>0</v>
      </c>
      <c r="AY180" s="5">
        <v>1</v>
      </c>
      <c r="AZ180" s="5">
        <f>AZ19*AY180+AZ20*AY180+AZ21*AY180+AZ22*AY180+AZ23*AY180+AZ24*AY180+AZ25*AY180+AZ26*AY180+AZ5*AY180+AZ6*AY180+AZ7*AY180+AZ8*AY180+AZ9*AY180+AZ10*AY180+AZ11*AY180+AZ12*AY180+AZ13*AY180+AZ14*AY180+AZ15*AY180+AZ16*AY180+AZ17*AY180+AZ18*AY180+BA19*AY180+BA20*AY180+BA21*AY180+BA22*AY180+BA23*AY180+BA24*AY180+BA25*AY180+BA26*AY180+BA5*AY180+BA6*AY180+BA7*AY180+BA8*AY180+BA9*AY180+BA10*AY180+BA11*AY180+BA12*AY180+BA13*AY180+BA14*AY180+BA15*AY180+BA16*AY180+BA17*AY180+BA18*AY180</f>
        <v>0</v>
      </c>
      <c r="BA180" s="5"/>
      <c r="BC180" s="5">
        <v>1</v>
      </c>
      <c r="BD180" s="5">
        <f>BD19*BC180+BD20*BC180+BD21*BC180+BD22*BC180+BD23*BC180+BD24*BC180+BD25*BC180+BD26*BC180+BD5*BC180+BD6*BC180+BD7*BC180+BD8*BC180+BD9*BC180+BD10*BC180+BD11*BC180+BD12*BC180+BD13*BC180+BD14*BC180+BD15*BC180+BD16*BC180+BD17*BC180+BD18*BC180+BE19*BC180+BE20*BC180+BE21*BC180+BE22*BC180+BE23*BC180+BE24*BC180+BE25*BC180+BE26*BC180+BE5*BC180+BE6*BC180+BE7*BC180+BE8*BC180+BE9*BC180+BE10*BC180+BE11*BC180+BE12*BC180+BE13*BC180+BE14*BC180+BE15*BC180+BE16*BC180+BE17*BC180+BE18*BC180</f>
        <v>0</v>
      </c>
      <c r="BF180" s="5">
        <v>1</v>
      </c>
      <c r="BG180" s="5">
        <f>BG19*BF180+BG20*BF180+BG21*BF180+BG22*BF180+BG23*BF180+BG24*BF180+BG25*BF180+BG26*BF180+BG5*BF180+BG6*BF180+BG7*BF180+BG8*BF180+BG9*BF180+BG10*BF180+BG11*BF180+BG12*BF180+BG13*BF180+BG14*BF180+BG15*BF180+BG16*BF180+BG17*BF180+BG18*BF180+BH19*BF180+BH20*BF180+BH21*BF180+BH22*BF180+BH23*BF180+BH24*BF180+BH25*BF180+BH26*BF180+BH5*BF180+BH6*BF180+BH7*BF180+BH8*BF180+BH9*BF180+BH10*BF180+BH11*BF180+BH12*BF180+BH13*BF180+BH14*BF180+BH15*BF180+BH16*BF180+BH17*BF180+BH18*BF180</f>
        <v>0</v>
      </c>
      <c r="BH180" s="5"/>
      <c r="BJ180" s="5">
        <v>1</v>
      </c>
      <c r="BK180" s="5">
        <f>BK19*BJ180+BK20*BJ180+BK21*BJ180+BK22*BJ180+BK23*BJ180+BK24*BJ180+BK25*BJ180+BK26*BJ180+BK5*BJ180+BK6*BJ180+BK7*BJ180+BK8*BJ180+BK9*BJ180+BK10*BJ180+BK11*BJ180+BK12*BJ180+BK13*BJ180+BK14*BJ180+BK15*BJ180+BK16*BJ180+BK17*BJ180+BK18*BJ180+BL19*BJ180+BL20*BJ180+BL21*BJ180+BL22*BJ180+BL23*BJ180+BL24*BJ180+BL25*BJ180+BL26*BJ180+BL5*BJ180+BL6*BJ180+BL7*BJ180+BL8*BJ180+BL9*BJ180+BL10*BJ180+BL11*BJ180+BL12*BJ180+BL13*BJ180+BL14*BJ180+BL15*BJ180+BL16*BJ180+BL17*BJ180+BL18*BJ180</f>
        <v>0</v>
      </c>
      <c r="BL180" s="12"/>
      <c r="BM180" s="5">
        <v>1</v>
      </c>
      <c r="BN180" s="5">
        <f>BN5*BM180+BO5*BM180+BN6*BM180+BO6*BM180+BN7*BM180+BO7*BM180+BN8*BM180+BO8*BM180+BN9*BM180+BO9*BM180+BN10*BM180+BO10*BM180+BN11*BM180+BO11*BM180+BN12*BM180+BO12*BM180+BN13*BM180+BO13*BM180+BN14*BM180+BO14*BM180+BN15*BM180+BO15*BM180+BN16*BM180+BO16*BM180+BN17*BM180+BO17*BM180+BN18*BM180+BO18*BM180+BN19*BM180+BO19*BM180+BN20*BM180+BO20*BM180+BN21*BM180+BO21*BM180+BN22*BM180+BO22*BM180+BN23*BM180+BO23*BM180+BN24*BM180+BO24*BM180+BN25*BM180+BO25*BM180+BN26*BM180+BO26*BM180</f>
        <v>0</v>
      </c>
      <c r="BO180" s="5"/>
      <c r="BQ180" s="5">
        <v>1</v>
      </c>
      <c r="BR180" s="5">
        <f>BR5*BQ180+BS5*BQ180+BR6*BQ180+BS6*BQ180+BR7*BQ180+BS7*BQ180+BR8*BQ180+BS8*BQ180+BR9*BQ180+BS9*BQ180+BR10*BQ180+BS10*BQ180+BR11*BQ180+BS11*BQ180+BR12*BQ180+BS12*BQ180+BR13*BQ180+BS13*BQ180+BR14*BQ180+BS14*BQ180+BR15*BQ180+BS15*BQ180+BR16*BQ180+BS16*BQ180+BR17*BQ180+BS17*BQ180+BR18*BQ180+BS18*BQ180+BR19*BQ180+BS19*BQ180+BR20*BQ180+BS20*BQ180+BR21*BQ180+BS21*BQ180+BR22*BQ180+BS22*BQ180+BR23*BQ180+BS23*BQ180+BR24*BQ180+BS24*BQ180+BR25*BQ180+BS25*BQ180+BR26*BQ180+BS26*BQ180</f>
        <v>0</v>
      </c>
      <c r="BT180" s="5">
        <v>2</v>
      </c>
      <c r="BU180" s="5">
        <f>BU5*BT180+BV5*BT180+BU6*BT180+BV6*BT180+BU7*BT180+BV7*BT180+BU8*BT180+BV8*BT180+BU9*BT180+BV9*BT180+BU10*BT180+BV10*BT180+BU11*BT180+BV11*BT180+BU12*BT180+BV12*BT180+BU13*BT180+BV13*BT180+BU14*BT180+BV14*BT180+BU15*BT180+BV15*BT180+BU16*BT180+BV16*BT180+BU17*BT180+BV17*BT180+BU18*BT180+BV18*BT180+BU19*BT180+BV19*BT180+BU20*BT180+BV20*BT180+BU21*BT180+BV21*BT180+BU22*BT180+BV22*BT180+BU23*BT180+BV23*BT180+BU24*BT180+BV24*BT180+BU25*BT180+BV25*BT180+BU26*BT180+BV26*BT180</f>
        <v>0</v>
      </c>
      <c r="BV180" s="5"/>
      <c r="BX180" s="5">
        <v>2</v>
      </c>
      <c r="BY180" s="5">
        <f>BY5*BX180+BZ5*BX180+BY6*BX180+BZ6*BX180+BY7*BX180+BZ7*BX180+BY8*BX180+BZ8*BX180+BY9*BX180+BZ9*BX180+BY10*BX180+BZ10*BX180+BY11*BX180+BZ11*BX180+BY12*BX180+BZ12*BX180+BY13*BX180+BZ13*BX180+BY14*BX180+BZ14*BX180+BY15*BX180+BZ15*BX180+BY16*BX180+BZ16*BX180+BY17*BX180+BZ17*BX180+BY18*BX180+BZ18*BX180+BY19*BX180+BZ19*BX180+BY20*BX180+BZ20*BX180+BY21*BX180+BZ21*BX180+BY22*BX180+BZ22*BX180+BY23*BX180+BZ23*BX180+BY24*BX180+BZ24*BX180+BY25*BX180+BZ25*BX180+BY26*BX180+BZ26*BX180</f>
        <v>0</v>
      </c>
      <c r="CA180" s="13">
        <v>1</v>
      </c>
      <c r="CB180" s="5">
        <f>CB5*CA180+CC5*CA180+CB6*CA180+CC6*CA180+CB7*CA180+CC7*CA180+CB8*CA180+CC8*CA180+CB9*CA180+CC9*CA180+CB10*CA180+CC10*CA180+CB11*CA180+CC11*CA180+CB12*CA180+CC12*CA180+CB13*CA180+CC13*CA180+CB14*CA180+CC14*CA180+CB15*CA180+CC15*CA180+CB16*CA180+CC16*CA180+CB17*CA180+CC17*CA180+CB18*CA180+CC18*CA180+CB19*CA180+CC19*CA180+CB20*CA180+CC20*CA180+CB21*CA180+CC21*CA180+CB22*CA180+CC22*CA180+CB23*CA180+CC23*CA180+CB24*CA180+CC24*CA180+CB25*CA180+CC25*CA180+CB26*CA180+CC26*CA180</f>
        <v>0</v>
      </c>
      <c r="CC180" s="11"/>
      <c r="CE180" s="13">
        <v>1</v>
      </c>
      <c r="CF180" s="5">
        <f>CF5*CE180+CG5*CE180+CF6*CE180+CG6*CE180+CF7*CE180+CG7*CE180+CF8*CE180+CG8*CE180+CF9*CE180+CG9*CE180+CF10*CE180+CG10*CE180+CF11*CE180+CG11*CE180+CF12*CE180+CG12*CE180+CF13*CE180+CG13*CE180+CF14*CE180+CG14*CE180+CF15*CE180+CG15*CE180+CF16*CE180+CG16*CE180+CF17*CE180+CG17*CE180+CF18*CE180+CG18*CE180+CF19*CE180+CG19*CE180+CF20*CE180+CG20*CE180+CF21*CE180+CG21*CE180+CF22*CE180+CG22*CE180+CF23*CE180+CG23*CE180+CF24*CE180+CG24*CE180+CF25*CE180+CG25*CE180+CF26*CE180+CG26*CE180</f>
        <v>0</v>
      </c>
      <c r="CG180" s="12"/>
      <c r="CI180" s="13">
        <v>1</v>
      </c>
      <c r="CJ180" s="5">
        <f>CJ5*CI180+CK5*CI180+CJ6*CI180+CK6*CI180+CJ7*CI180+CK7*CI180+CJ8*CI180+CK8*CI180+CJ9*CI180+CK9*CI180+CJ10*CI180+CK10*CI180+CJ11*CI180+CK11*CI180+CJ12*CI180+CK12*CI180+CJ13*CI180+CK13*CI180+CJ14*CI180+CK14*CI180+CJ15*CI180+CK15*CI180+CJ16*CI180+CK16*CI180+CJ17*CI180+CK17*CI180+CJ18*CI180+CK18*CI180+CJ19*CI180+CK19*CI180+CJ20*CI180+CK20*CI180+CJ21*CI180+CK21*CI180+CJ22*CI180+CK22*CI180+CJ23*CI180+CK23*CI180+CJ24*CI180+CK24*CI180+CJ25*CI180+CK25*CI180+CJ26*CI180+CK26*CI180</f>
        <v>0</v>
      </c>
      <c r="CK180" s="12"/>
      <c r="CM180" s="13">
        <v>1</v>
      </c>
      <c r="CN180" s="5">
        <f>CN5*CM180+CO5*CM180+CN6*CM180+CO6*CM180+CN7*CM180+CO7*CM180+CN8*CM180+CO8*CM180+CN9*CM180+CO9*CM180+CN10*CM180+CO10*CM180+CN11*CM180+CO11*CM180+CN12*CM180+CO12*CM180+CN13*CM180+CO13*CM180+CN14*CM180+CO14*CM180+CN15*CM180+CO15*CM180+CN16*CM180+CO16*CM180+CN17*CM180+CO17*CM180+CN18*CM180+CO18*CM180+CN19*CM180+CO19*CM180+CN20*CM180+CO20*CM180+CN21*CM180+CO21*CM180+CN22*CM180+CO22*CM180+CN23*CM180+CO23*CM180+CN24*CM180+CO24*CM180+CN25*CM180+CO25*CM180+CN26*CM180+CO26*CM180</f>
        <v>0</v>
      </c>
      <c r="CO180" s="12"/>
      <c r="CQ180" s="13">
        <v>1</v>
      </c>
      <c r="CR180" s="5">
        <f>CR5*CQ180+CS5*CQ180+CR6*CQ180+CS6*CQ180+CR7*CQ180+CS7*CQ180+CR8*CQ180+CS8*CQ180+CR9*CQ180+CS9*CQ180+CR10*CQ180+CS10*CQ180+CR11*CQ180+CS11*CQ180+CR12*CQ180+CS12*CQ180+CR13*CQ180+CS13*CQ180+CR14*CQ180+CS14*CQ180+CR15*CQ180+CS15*CQ180+CR16*CQ180+CS16*CQ180+CR17*CQ180+CS17*CQ180+CR18*CQ180+CS18*CQ180+CR19*CQ180+CS19*CQ180+CR20*CQ180+CS20*CQ180+CR21*CQ180+CS21*CQ180+CR22*CQ180+CS22*CQ180+CR23*CQ180+CS23*CQ180+CR24*CQ180+CS24*CQ180+CR25*CQ180+CS25*CQ180+CR26*CQ180+CS26*CQ180</f>
        <v>0</v>
      </c>
      <c r="CS180" s="12"/>
      <c r="CU180" s="13">
        <v>1</v>
      </c>
      <c r="CV180" s="5">
        <f>CV5*CU180+CW5*CU180+CV6*CU180+CW6*CU180+CV7*CU180+CW7*CU180+CV8*CU180+CW8*CU180+CV9*CU180+CW9*CU180+CV10*CU180+CW10*CU180+CV11*CU180+CW11*CU180+CV12*CU180+CW12*CU180+CV13*CU180+CW13*CU180+CV14*CU180+CW14*CU180+CV15*CU180+CW15*CU180+CV16*CU180+CW16*CU180+CV17*CU180+CW17*CU180+CV18*CU180+CW18*CU180+CV19*CU180+CW19*CU180+CV20*CU180+CW20*CU180+CV21*CU180+CW21*CU180+CV22*CU180+CW22*CU180+CV23*CU180+CW23*CU180+CV24*CU180+CW24*CU180+CV25*CU180+CW25*CU180+CV26*CU180+CW26*CU180</f>
        <v>0</v>
      </c>
      <c r="CW180" s="12"/>
      <c r="CY180" s="13">
        <v>1</v>
      </c>
      <c r="CZ180" s="5">
        <f>CZ5*CY180+DA5*CY180+CZ6*CY180+DA6*CY180+CZ7*CY180+DA7*CY180+CZ8*CY180+DA8*CY180+CZ9*CY180+DA9*CY180+CZ10*CY180+DA10*CY180+CZ11*CY180+DA11*CY180+CZ12*CY180+DA12*CY180+CZ13*CY180+DA13*CY180+CZ14*CY180+DA14*CY180+CZ15*CY180+DA15*CY180+CZ16*CY180+DA16*CY180+CZ17*CY180+DA17*CY180+CZ18*CY180+DA18*CY180+CZ19*CY180+DA19*CY180+CZ20*CY180+DA20*CY180+CZ21*CY180+DA21*CY180+CZ22*CY180+DA22*CY180+CZ23*CY180+DA23*CY180+CZ24*CY180+DA24*CY180+CZ25*CY180+DA25*CY180+CZ26*CY180+DA26*CY180</f>
        <v>0</v>
      </c>
      <c r="DA180" s="12"/>
      <c r="DC180" s="13">
        <v>1</v>
      </c>
      <c r="DD180" s="5">
        <f>DD5*DC180+DE5*DC180+DD6*DC180+DE6*DC180+DD7*DC180+DE7*DC180+DD8*DC180+DE8*DC180+DD9*DC180+DE9*DC180+DD10*DC180+DE10*DC180+DD11*DC180+DE11*DC180+DD12*DC180+DE12*DC180+DD13*DC180+DE13*DC180+DD14*DC180+DE14*DC180+DD15*DC180+DE15*DC180+DD16*DC180+DE16*DC180+DD17*DC180+DE17*DC180+DD18*DC180+DE18*DC180+DD19*DC180+DE19*DC180+DD20*DC180+DE20*DC180+DD21*DC180+DE21*DC180+DD22*DC180+DE22*DC180+DD23*DC180+DE23*DC180+DD24*DC180+DE24*DC180+DD25*DC180+DE25*DC180+DD26*DC180+DE26*DC180</f>
        <v>0</v>
      </c>
      <c r="DE180" s="12"/>
      <c r="DG180" s="13">
        <v>1</v>
      </c>
      <c r="DH180" s="5">
        <f>DH5*DG180+DI5*DG180+DH6*DG180+DI6*DG180+DH7*DG180+DI7*DG180+DH8*DG180+DI8*DG180+DH9*DG180+DI9*DG180+DH10*DG180+DI10*DG180+DH11*DG180+DI11*DG180+DH12*DG180+DI12*DG180+DH13*DG180+DI13*DG180+DH14*DG180+DI14*DG180+DH15*DG180+DI15*DG180+DH16*DG180+DI16*DG180+DH17*DG180+DI17*DG180+DH18*DG180+DI18*DG180+DH19*DG180+DI19*DG180+DH20*DG180+DI20*DG180+DH21*DG180+DI21*DG180+DH22*DG180+DI22*DG180+DH23*DG180+DI23*DG180+DH24*DG180+DI24*DG180+DH25*DG180+DI25*DG180+DH26*DG180+DI26*DG180</f>
        <v>0</v>
      </c>
      <c r="DI180" s="12"/>
      <c r="DK180" s="13">
        <v>1</v>
      </c>
      <c r="DL180" s="5">
        <f>DL5*DK180+DM5*DK180+DL6*DK180+DM6*DK180+DL7*DK180+DM7*DK180+DL8*DK180+DM8*DK180+DL9*DK180+DM9*DK180+DL10*DK180+DM10*DK180+DL11*DK180+DM11*DK180+DL12*DK180+DM12*DK180+DL13*DK180+DM13*DK180+DL14*DK180+DM14*DK180+DL15*DK180+DM15*DK180+DL16*DK180+DM16*DK180+DL17*DK180+DM17*DK180+DL18*DK180+DM18*DK180+DL19*DK180+DM19*DK180+DL20*DK180+DM20*DK180+DL21*DK180+DM21*DK180+DL22*DK180+DM22*DK180+DL23*DK180+DM23*DK180+DL24*DK180+DM24*DK180+DL25*DK180+DM25*DK180+DL26*DK180+DM26*DK180</f>
        <v>0</v>
      </c>
      <c r="DM180" s="12"/>
      <c r="DO180" s="13">
        <v>1</v>
      </c>
      <c r="DP180" s="5">
        <f>DP5*DO180+DQ5*DO180+DP6*DO180+DQ6*DO180+DP7*DO180+DQ7*DO180+DP8*DO180+DQ8*DO180+DP9*DO180+DQ9*DO180+DP10*DO180+DQ10*DO180+DP11*DO180+DQ11*DO180+DP12*DO180+DQ12*DO180+DP13*DO180+DQ13*DO180+DP14*DO180+DQ14*DO180+DP15*DO180+DQ15*DO180+DP16*DO180+DQ16*DO180+DP17*DO180+DQ17*DO180+DP18*DO180+DQ18*DO180+DP19*DO180+DQ19*DO180+DP20*DO180+DQ20*DO180+DP21*DO180+DQ21*DO180+DP22*DO180+DQ22*DO180+DP23*DO180+DQ23*DO180+DP24*DO180+DQ24*DO180+DP25*DO180+DQ25*DO180+DP26*DO180+DQ26*DO180</f>
        <v>0</v>
      </c>
      <c r="DQ180" s="12"/>
      <c r="DS180" s="1336">
        <f t="shared" si="0"/>
        <v>0</v>
      </c>
      <c r="DT180" s="121">
        <f>EXTRAS!D44</f>
        <v>0</v>
      </c>
      <c r="DU180" s="112">
        <f>EXTRAS!E44</f>
        <v>0</v>
      </c>
      <c r="DX180" s="203">
        <f t="shared" si="1"/>
        <v>0</v>
      </c>
      <c r="DZ180" s="924"/>
      <c r="EH180" s="924"/>
    </row>
    <row r="181" spans="1:138" s="6" customFormat="1" ht="15" customHeight="1">
      <c r="A181" s="3">
        <v>31</v>
      </c>
      <c r="B181" s="117" t="s">
        <v>1254</v>
      </c>
      <c r="C181" s="4" t="s">
        <v>0</v>
      </c>
      <c r="D181" s="4"/>
      <c r="E181" s="5"/>
      <c r="F181" s="5"/>
      <c r="G181" s="4"/>
      <c r="H181" s="4">
        <v>1</v>
      </c>
      <c r="I181" s="658">
        <f>SUM(I5:I26)*H181</f>
        <v>0</v>
      </c>
      <c r="J181" s="4"/>
      <c r="K181" s="5"/>
      <c r="L181" s="5"/>
      <c r="M181" s="5"/>
      <c r="O181" s="5"/>
      <c r="P181" s="5"/>
      <c r="Q181" s="5"/>
      <c r="S181" s="5"/>
      <c r="T181" s="5"/>
      <c r="U181" s="5"/>
      <c r="W181" s="5"/>
      <c r="X181" s="5"/>
      <c r="Y181" s="12"/>
      <c r="AA181" s="13"/>
      <c r="AB181" s="12"/>
      <c r="AD181" s="13"/>
      <c r="AE181" s="5"/>
      <c r="AF181" s="5"/>
      <c r="AH181" s="13"/>
      <c r="AI181" s="5"/>
      <c r="AK181" s="5"/>
      <c r="AL181" s="5"/>
      <c r="AM181" s="5"/>
      <c r="AO181" s="5"/>
      <c r="AP181" s="5"/>
      <c r="AR181" s="5"/>
      <c r="AS181" s="5"/>
      <c r="AT181" s="5"/>
      <c r="AV181" s="5"/>
      <c r="AW181" s="5"/>
      <c r="AY181" s="5"/>
      <c r="AZ181" s="5"/>
      <c r="BA181" s="5"/>
      <c r="BC181" s="5"/>
      <c r="BD181" s="5"/>
      <c r="BF181" s="5"/>
      <c r="BG181" s="5"/>
      <c r="BH181" s="5"/>
      <c r="BJ181" s="5"/>
      <c r="BK181" s="5"/>
      <c r="BL181" s="12"/>
      <c r="BM181" s="5"/>
      <c r="BN181" s="5"/>
      <c r="BO181" s="5"/>
      <c r="BQ181" s="5"/>
      <c r="BR181" s="5"/>
      <c r="BT181" s="5"/>
      <c r="BU181" s="5"/>
      <c r="BV181" s="5"/>
      <c r="BX181" s="5"/>
      <c r="BY181" s="5"/>
      <c r="CA181" s="13"/>
      <c r="CB181" s="7"/>
      <c r="CC181" s="11"/>
      <c r="CE181" s="13"/>
      <c r="CF181" s="5"/>
      <c r="CG181" s="12"/>
      <c r="CI181" s="13"/>
      <c r="CJ181" s="5"/>
      <c r="CK181" s="12"/>
      <c r="CM181" s="13"/>
      <c r="CN181" s="5"/>
      <c r="CO181" s="12"/>
      <c r="CQ181" s="13"/>
      <c r="CR181" s="5"/>
      <c r="CS181" s="12"/>
      <c r="CU181" s="13"/>
      <c r="CV181" s="5"/>
      <c r="CW181" s="12"/>
      <c r="CY181" s="13"/>
      <c r="CZ181" s="5"/>
      <c r="DA181" s="12"/>
      <c r="DC181" s="13"/>
      <c r="DD181" s="5"/>
      <c r="DE181" s="12"/>
      <c r="DG181" s="13"/>
      <c r="DH181" s="5"/>
      <c r="DI181" s="12"/>
      <c r="DK181" s="13"/>
      <c r="DL181" s="5"/>
      <c r="DM181" s="12"/>
      <c r="DO181" s="13"/>
      <c r="DP181" s="5"/>
      <c r="DQ181" s="12"/>
      <c r="DS181" s="1336">
        <f t="shared" si="0"/>
        <v>0</v>
      </c>
      <c r="DT181" s="121">
        <f>EXTRAS!D45</f>
        <v>0</v>
      </c>
      <c r="DU181" s="112">
        <f>EXTRAS!E45</f>
        <v>0</v>
      </c>
      <c r="DX181" s="203">
        <f t="shared" si="1"/>
        <v>0</v>
      </c>
      <c r="DZ181" s="924"/>
      <c r="EH181" s="924"/>
    </row>
    <row r="182" spans="1:138" s="6" customFormat="1" ht="15" customHeight="1">
      <c r="A182" s="3">
        <v>32</v>
      </c>
      <c r="B182" s="210" t="s">
        <v>457</v>
      </c>
      <c r="C182" s="473" t="s">
        <v>515</v>
      </c>
      <c r="D182" s="4"/>
      <c r="E182" s="5"/>
      <c r="F182" s="5"/>
      <c r="G182" s="4"/>
      <c r="H182" s="4"/>
      <c r="I182" s="4"/>
      <c r="J182" s="4"/>
      <c r="K182" s="5"/>
      <c r="L182" s="5"/>
      <c r="M182" s="5"/>
      <c r="O182" s="5"/>
      <c r="P182" s="5"/>
      <c r="Q182" s="5"/>
      <c r="S182" s="5"/>
      <c r="T182" s="5"/>
      <c r="U182" s="5"/>
      <c r="W182" s="5"/>
      <c r="X182" s="5"/>
      <c r="Y182" s="12"/>
      <c r="AA182" s="13"/>
      <c r="AB182" s="12"/>
      <c r="AD182" s="13"/>
      <c r="AE182" s="5"/>
      <c r="AF182" s="5"/>
      <c r="AH182" s="13"/>
      <c r="AI182" s="5"/>
      <c r="AK182" s="5"/>
      <c r="AL182" s="5"/>
      <c r="AM182" s="5"/>
      <c r="AO182" s="5"/>
      <c r="AP182" s="5"/>
      <c r="AR182" s="5"/>
      <c r="AS182" s="5"/>
      <c r="AT182" s="5"/>
      <c r="AV182" s="5"/>
      <c r="AW182" s="5"/>
      <c r="AY182" s="5"/>
      <c r="AZ182" s="5"/>
      <c r="BA182" s="5"/>
      <c r="BC182" s="5"/>
      <c r="BD182" s="5"/>
      <c r="BF182" s="5"/>
      <c r="BG182" s="5"/>
      <c r="BH182" s="5"/>
      <c r="BJ182" s="5"/>
      <c r="BK182" s="5"/>
      <c r="BL182" s="12"/>
      <c r="BM182" s="5"/>
      <c r="BN182" s="5"/>
      <c r="BO182" s="5"/>
      <c r="BQ182" s="5"/>
      <c r="BR182" s="5"/>
      <c r="BT182" s="5"/>
      <c r="BU182" s="5"/>
      <c r="BV182" s="5"/>
      <c r="BX182" s="5"/>
      <c r="BY182" s="5"/>
      <c r="CA182" s="13"/>
      <c r="CB182" s="7"/>
      <c r="CC182" s="11"/>
      <c r="CE182" s="13"/>
      <c r="CF182" s="5"/>
      <c r="CG182" s="12"/>
      <c r="CI182" s="13"/>
      <c r="CJ182" s="5"/>
      <c r="CK182" s="12"/>
      <c r="CM182" s="13"/>
      <c r="CN182" s="5"/>
      <c r="CO182" s="12"/>
      <c r="CQ182" s="13"/>
      <c r="CR182" s="5"/>
      <c r="CS182" s="12"/>
      <c r="CU182" s="13"/>
      <c r="CV182" s="5"/>
      <c r="CW182" s="12"/>
      <c r="CY182" s="13"/>
      <c r="CZ182" s="5"/>
      <c r="DA182" s="12"/>
      <c r="DC182" s="13"/>
      <c r="DD182" s="5"/>
      <c r="DE182" s="12"/>
      <c r="DG182" s="13"/>
      <c r="DH182" s="5"/>
      <c r="DI182" s="12"/>
      <c r="DK182" s="13"/>
      <c r="DL182" s="5"/>
      <c r="DM182" s="12"/>
      <c r="DO182" s="13"/>
      <c r="DP182" s="5"/>
      <c r="DQ182" s="12"/>
      <c r="DS182" s="1336">
        <f t="shared" si="0"/>
        <v>0</v>
      </c>
      <c r="DT182" s="121">
        <f>EXTRAS!D46</f>
        <v>0</v>
      </c>
      <c r="DU182" s="112">
        <f>EXTRAS!E46</f>
        <v>0</v>
      </c>
      <c r="DX182" s="203">
        <f t="shared" si="1"/>
        <v>0</v>
      </c>
      <c r="DY182" s="142">
        <v>13</v>
      </c>
      <c r="DZ182" s="924"/>
      <c r="EH182" s="924"/>
    </row>
    <row r="183" spans="1:138" s="6" customFormat="1" ht="15" customHeight="1">
      <c r="A183" s="3">
        <v>33</v>
      </c>
      <c r="B183" s="210" t="s">
        <v>456</v>
      </c>
      <c r="C183" s="473" t="s">
        <v>515</v>
      </c>
      <c r="D183" s="4"/>
      <c r="E183" s="5"/>
      <c r="F183" s="5"/>
      <c r="G183" s="4"/>
      <c r="H183" s="4"/>
      <c r="I183" s="4"/>
      <c r="J183" s="4"/>
      <c r="K183" s="5"/>
      <c r="L183" s="5"/>
      <c r="M183" s="5"/>
      <c r="O183" s="5"/>
      <c r="P183" s="5"/>
      <c r="Q183" s="5"/>
      <c r="S183" s="5"/>
      <c r="T183" s="5"/>
      <c r="U183" s="5"/>
      <c r="W183" s="5"/>
      <c r="X183" s="5"/>
      <c r="Y183" s="12"/>
      <c r="AA183" s="13"/>
      <c r="AB183" s="12"/>
      <c r="AD183" s="13"/>
      <c r="AE183" s="5"/>
      <c r="AF183" s="5"/>
      <c r="AH183" s="13"/>
      <c r="AI183" s="5"/>
      <c r="AK183" s="5"/>
      <c r="AL183" s="5"/>
      <c r="AM183" s="5"/>
      <c r="AO183" s="5"/>
      <c r="AP183" s="5"/>
      <c r="AR183" s="5"/>
      <c r="AS183" s="5"/>
      <c r="AT183" s="5"/>
      <c r="AV183" s="5"/>
      <c r="AW183" s="5"/>
      <c r="AY183" s="5"/>
      <c r="AZ183" s="5"/>
      <c r="BA183" s="5"/>
      <c r="BC183" s="5"/>
      <c r="BD183" s="5"/>
      <c r="BF183" s="5"/>
      <c r="BG183" s="5"/>
      <c r="BH183" s="5"/>
      <c r="BJ183" s="5"/>
      <c r="BK183" s="5"/>
      <c r="BL183" s="12"/>
      <c r="BM183" s="5"/>
      <c r="BN183" s="5"/>
      <c r="BO183" s="5"/>
      <c r="BQ183" s="5"/>
      <c r="BR183" s="5"/>
      <c r="BT183" s="5">
        <v>1</v>
      </c>
      <c r="BU183" s="5">
        <f>BU7*BT183+BV7*BT183+BU8*BT183+BV8*BT183+BU9*BT183+BV9*BT183+BU10*BT183+BV10*BT183+BU11*BT183+BV11*BT183+BU12*BT183+BV12*BT183+BU13*BT183+BV13*BT183+BU14*BT183+BV14*BT183+BU15*BT183+BV15*BT183+BU16*BT183+BV16*BT183+BU17*BT183+BV17*BT183+BU18*BT183+BV18*BT183+BU19*BT183+BV19*BT183+BU20*BT183+BV20*BT183+BU21*BT183+BV21*BT183+BU22*BT183+BV22*BT183+BU23*BT183+BV23*BT183+BU24*BT183+BV24*BT183+BU25*BT183+BV25*BT183+BU26*BT183+BV26*BT183+BU5*BT183+BV5*BT183+BU6*BT183+BV6*BT183</f>
        <v>0</v>
      </c>
      <c r="BV183" s="5"/>
      <c r="BX183" s="5">
        <v>1</v>
      </c>
      <c r="BY183" s="5">
        <f>BY7*BX183+BZ7*BX183+BY8*BX183+BZ8*BX183+BY9*BX183+BZ9*BX183+BY10*BX183+BZ10*BX183+BY11*BX183+BZ11*BX183+BY12*BX183+BZ12*BX183+BY13*BX183+BZ13*BX183+BY14*BX183+BZ14*BX183+BY15*BX183+BZ15*BX183+BY16*BX183+BZ16*BX183+BY17*BX183+BZ17*BX183+BY18*BX183+BZ18*BX183+BY19*BX183+BZ19*BX183+BY20*BX183+BZ20*BX183+BY21*BX183+BZ21*BX183+BY22*BX183+BZ22*BX183+BY23*BX183+BZ23*BX183+BY24*BX183+BZ24*BX183+BY25*BX183+BZ25*BX183+BY26*BX183+BZ26*BX183+BY5*BX183+BZ5*BX183+BY6*BX183+BZ6*BX183</f>
        <v>0</v>
      </c>
      <c r="CA183" s="13"/>
      <c r="CB183" s="7"/>
      <c r="CC183" s="11"/>
      <c r="CE183" s="13"/>
      <c r="CF183" s="5"/>
      <c r="CG183" s="12"/>
      <c r="CI183" s="13"/>
      <c r="CJ183" s="5"/>
      <c r="CK183" s="12"/>
      <c r="CM183" s="13"/>
      <c r="CN183" s="5"/>
      <c r="CO183" s="12"/>
      <c r="CQ183" s="13"/>
      <c r="CR183" s="5"/>
      <c r="CS183" s="12"/>
      <c r="CU183" s="13"/>
      <c r="CV183" s="5"/>
      <c r="CW183" s="12"/>
      <c r="CY183" s="13"/>
      <c r="CZ183" s="5"/>
      <c r="DA183" s="12"/>
      <c r="DC183" s="13"/>
      <c r="DD183" s="5"/>
      <c r="DE183" s="12"/>
      <c r="DG183" s="13"/>
      <c r="DH183" s="5"/>
      <c r="DI183" s="12"/>
      <c r="DK183" s="13"/>
      <c r="DL183" s="5"/>
      <c r="DM183" s="12"/>
      <c r="DO183" s="13"/>
      <c r="DP183" s="5"/>
      <c r="DQ183" s="12"/>
      <c r="DS183" s="1336">
        <f t="shared" si="0"/>
        <v>0</v>
      </c>
      <c r="DT183" s="121">
        <f>EXTRAS!D47</f>
        <v>0</v>
      </c>
      <c r="DU183" s="112">
        <f>EXTRAS!E47</f>
        <v>0</v>
      </c>
      <c r="DX183" s="203">
        <f t="shared" si="1"/>
        <v>0</v>
      </c>
      <c r="DY183" s="116">
        <v>34</v>
      </c>
      <c r="DZ183" s="924"/>
      <c r="EH183" s="924"/>
    </row>
    <row r="184" spans="1:138" s="6" customFormat="1" ht="15" customHeight="1">
      <c r="A184" s="3">
        <v>34</v>
      </c>
      <c r="B184" s="210" t="s">
        <v>505</v>
      </c>
      <c r="C184" s="473" t="s">
        <v>515</v>
      </c>
      <c r="D184" s="4"/>
      <c r="E184" s="5"/>
      <c r="F184" s="5"/>
      <c r="G184" s="4"/>
      <c r="H184" s="4"/>
      <c r="I184" s="4"/>
      <c r="J184" s="4"/>
      <c r="K184" s="5"/>
      <c r="L184" s="5"/>
      <c r="M184" s="5"/>
      <c r="O184" s="5"/>
      <c r="P184" s="5"/>
      <c r="Q184" s="5"/>
      <c r="S184" s="5"/>
      <c r="T184" s="5"/>
      <c r="U184" s="5"/>
      <c r="W184" s="5"/>
      <c r="X184" s="5"/>
      <c r="Y184" s="12"/>
      <c r="AA184" s="13"/>
      <c r="AB184" s="12"/>
      <c r="AD184" s="13"/>
      <c r="AE184" s="5"/>
      <c r="AF184" s="5"/>
      <c r="AH184" s="13"/>
      <c r="AI184" s="5"/>
      <c r="AK184" s="5"/>
      <c r="AL184" s="5"/>
      <c r="AM184" s="5"/>
      <c r="AO184" s="5"/>
      <c r="AP184" s="5"/>
      <c r="AR184" s="5"/>
      <c r="AS184" s="5"/>
      <c r="AT184" s="5"/>
      <c r="AV184" s="5"/>
      <c r="AW184" s="5"/>
      <c r="AY184" s="5"/>
      <c r="AZ184" s="5"/>
      <c r="BA184" s="5"/>
      <c r="BC184" s="5"/>
      <c r="BD184" s="5"/>
      <c r="BF184" s="5"/>
      <c r="BG184" s="5"/>
      <c r="BH184" s="5"/>
      <c r="BJ184" s="5"/>
      <c r="BK184" s="5"/>
      <c r="BL184" s="12"/>
      <c r="BM184" s="5"/>
      <c r="BN184" s="5"/>
      <c r="BO184" s="5"/>
      <c r="BQ184" s="5"/>
      <c r="BR184" s="5"/>
      <c r="BT184" s="5"/>
      <c r="BU184" s="5"/>
      <c r="BV184" s="5"/>
      <c r="BX184" s="5"/>
      <c r="BY184" s="5"/>
      <c r="CA184" s="13"/>
      <c r="CB184" s="7"/>
      <c r="CC184" s="11"/>
      <c r="CE184" s="13"/>
      <c r="CF184" s="5"/>
      <c r="CG184" s="12"/>
      <c r="CI184" s="13"/>
      <c r="CJ184" s="5"/>
      <c r="CK184" s="12"/>
      <c r="CM184" s="13"/>
      <c r="CN184" s="5"/>
      <c r="CO184" s="12"/>
      <c r="CQ184" s="13"/>
      <c r="CR184" s="5"/>
      <c r="CS184" s="12"/>
      <c r="CU184" s="13"/>
      <c r="CV184" s="5"/>
      <c r="CW184" s="12"/>
      <c r="CY184" s="13"/>
      <c r="CZ184" s="5"/>
      <c r="DA184" s="12"/>
      <c r="DC184" s="13"/>
      <c r="DD184" s="5"/>
      <c r="DE184" s="12"/>
      <c r="DG184" s="13"/>
      <c r="DH184" s="5"/>
      <c r="DI184" s="12"/>
      <c r="DK184" s="13"/>
      <c r="DL184" s="5"/>
      <c r="DM184" s="12"/>
      <c r="DO184" s="13"/>
      <c r="DP184" s="5"/>
      <c r="DQ184" s="12"/>
      <c r="DS184" s="1336">
        <f t="shared" si="0"/>
        <v>0</v>
      </c>
      <c r="DT184" s="121">
        <f>EXTRAS!D48</f>
        <v>0</v>
      </c>
      <c r="DU184" s="112">
        <f>EXTRAS!E48</f>
        <v>0</v>
      </c>
      <c r="DX184" s="203">
        <f t="shared" si="1"/>
        <v>0</v>
      </c>
      <c r="DY184" s="142">
        <v>13</v>
      </c>
      <c r="DZ184" s="924"/>
      <c r="EH184" s="924"/>
    </row>
    <row r="185" spans="1:138" s="6" customFormat="1" ht="15" customHeight="1">
      <c r="A185" s="3">
        <v>35</v>
      </c>
      <c r="B185" s="210" t="s">
        <v>506</v>
      </c>
      <c r="C185" s="473" t="s">
        <v>515</v>
      </c>
      <c r="D185" s="4"/>
      <c r="E185" s="5"/>
      <c r="F185" s="5"/>
      <c r="G185" s="4"/>
      <c r="H185" s="4"/>
      <c r="I185" s="4"/>
      <c r="J185" s="4"/>
      <c r="K185" s="5"/>
      <c r="L185" s="5"/>
      <c r="M185" s="5"/>
      <c r="O185" s="5"/>
      <c r="P185" s="5"/>
      <c r="Q185" s="5"/>
      <c r="S185" s="5"/>
      <c r="T185" s="5"/>
      <c r="U185" s="5"/>
      <c r="W185" s="5"/>
      <c r="X185" s="5"/>
      <c r="Y185" s="12"/>
      <c r="AA185" s="13"/>
      <c r="AB185" s="12"/>
      <c r="AD185" s="13"/>
      <c r="AE185" s="5"/>
      <c r="AF185" s="5"/>
      <c r="AH185" s="13"/>
      <c r="AI185" s="5"/>
      <c r="AK185" s="5"/>
      <c r="AL185" s="5"/>
      <c r="AM185" s="5"/>
      <c r="AO185" s="5"/>
      <c r="AP185" s="5"/>
      <c r="AR185" s="5"/>
      <c r="AS185" s="5"/>
      <c r="AT185" s="5"/>
      <c r="AV185" s="5"/>
      <c r="AW185" s="5"/>
      <c r="AY185" s="5"/>
      <c r="AZ185" s="5"/>
      <c r="BA185" s="5"/>
      <c r="BC185" s="5"/>
      <c r="BD185" s="5"/>
      <c r="BF185" s="5"/>
      <c r="BG185" s="5"/>
      <c r="BH185" s="5"/>
      <c r="BJ185" s="5"/>
      <c r="BK185" s="5"/>
      <c r="BL185" s="12"/>
      <c r="BM185" s="5"/>
      <c r="BN185" s="5"/>
      <c r="BO185" s="5"/>
      <c r="BQ185" s="5"/>
      <c r="BR185" s="5"/>
      <c r="BT185" s="5"/>
      <c r="BU185" s="5"/>
      <c r="BV185" s="5"/>
      <c r="BX185" s="5"/>
      <c r="BY185" s="5"/>
      <c r="CA185" s="13">
        <v>1</v>
      </c>
      <c r="CB185" s="7">
        <f>CB5*CA185+CC5*CA185+CB6*CA185+CC6*CA185+CB7*CA185+CC7*CA185+CB8*CA185+CC8*CA185+CB9*CA185+CC9*CA185+CB10*CA185+CC10*CA185+CB11*CA185+CC11*CA185+CB12*CA185+CC12*CA185+CB13*CA185+CC13*CA185+CB14*CA185+CC14*CA185+CB15*CA185+CC15*CA185+CB16*CA185+CC16*CA185+CB17*CA185+CC17*CA185+CB18*CA185+CC18*CA185+CB19*CA185+CC19*CA185+CB20*CA185+CC20*CA185+CB21*CA185+CC21*CA185+CB22*CA185+CC22*CA185+CB23*CA185+CC23*CA185+CB24*CA185+CC24*CA185+CB25*CA185+CC25*CA185+CB26*CA185+CC26*CA185</f>
        <v>0</v>
      </c>
      <c r="CC185" s="11"/>
      <c r="CE185" s="13"/>
      <c r="CF185" s="5"/>
      <c r="CG185" s="12"/>
      <c r="CI185" s="13"/>
      <c r="CJ185" s="5"/>
      <c r="CK185" s="12"/>
      <c r="CM185" s="13"/>
      <c r="CN185" s="5"/>
      <c r="CO185" s="12"/>
      <c r="CQ185" s="13"/>
      <c r="CR185" s="5"/>
      <c r="CS185" s="12"/>
      <c r="CU185" s="13"/>
      <c r="CV185" s="5"/>
      <c r="CW185" s="12"/>
      <c r="CY185" s="13"/>
      <c r="CZ185" s="5"/>
      <c r="DA185" s="12"/>
      <c r="DC185" s="13"/>
      <c r="DD185" s="5"/>
      <c r="DE185" s="12"/>
      <c r="DG185" s="13"/>
      <c r="DH185" s="5"/>
      <c r="DI185" s="12"/>
      <c r="DK185" s="13"/>
      <c r="DL185" s="5"/>
      <c r="DM185" s="12"/>
      <c r="DO185" s="13"/>
      <c r="DP185" s="5"/>
      <c r="DQ185" s="12"/>
      <c r="DS185" s="1336">
        <f t="shared" si="0"/>
        <v>0</v>
      </c>
      <c r="DT185" s="121">
        <f>EXTRAS!D49</f>
        <v>0</v>
      </c>
      <c r="DU185" s="112">
        <f>EXTRAS!E49</f>
        <v>0</v>
      </c>
      <c r="DX185" s="203">
        <f t="shared" si="1"/>
        <v>0</v>
      </c>
      <c r="DY185" s="116">
        <v>34</v>
      </c>
      <c r="DZ185" s="924"/>
      <c r="EH185" s="924"/>
    </row>
    <row r="186" spans="1:138" s="6" customFormat="1" ht="15" customHeight="1">
      <c r="A186" s="3">
        <v>36</v>
      </c>
      <c r="B186" s="210" t="s">
        <v>467</v>
      </c>
      <c r="C186" s="473" t="s">
        <v>515</v>
      </c>
      <c r="D186" s="4"/>
      <c r="E186" s="5"/>
      <c r="F186" s="5">
        <f>F26*E186+G26*E186+F5*E186+G5*E186+F6*E186+G6*E186+F7*E186+G7*E186+F8*E186+G8*E186+F9*E186+G9*E186+F10*E186+G10*E186+F11*E186+G11*E186+F12*E186+G12*E186+F13*E186+G13*E186+F14*E186+G14*E186+F15*E186+G15*E186+F16*E186+G16*E186+F17*E186+G17*E186+F18*E186+G18*E186+F19*E186+G19*E186+F20*E186+G20*E186+F21*E186+G21*E186+F22*E186+G22*E186+F23*E186+G23*E186+F24*E186+G24*E186+F25*E186+G25*E186</f>
        <v>0</v>
      </c>
      <c r="G186" s="4"/>
      <c r="H186" s="4"/>
      <c r="I186" s="4"/>
      <c r="J186" s="4"/>
      <c r="K186" s="5"/>
      <c r="L186" s="5"/>
      <c r="M186" s="5"/>
      <c r="O186" s="5"/>
      <c r="P186" s="5"/>
      <c r="Q186" s="5"/>
      <c r="S186" s="5"/>
      <c r="T186" s="5"/>
      <c r="U186" s="5"/>
      <c r="W186" s="5"/>
      <c r="X186" s="5"/>
      <c r="Y186" s="12"/>
      <c r="AA186" s="13"/>
      <c r="AB186" s="12"/>
      <c r="AD186" s="13"/>
      <c r="AE186" s="5"/>
      <c r="AF186" s="5"/>
      <c r="AH186" s="13"/>
      <c r="AI186" s="5"/>
      <c r="AK186" s="5"/>
      <c r="AL186" s="5"/>
      <c r="AM186" s="5"/>
      <c r="AO186" s="5"/>
      <c r="AP186" s="5"/>
      <c r="AR186" s="5"/>
      <c r="AS186" s="5"/>
      <c r="AT186" s="5"/>
      <c r="AV186" s="5"/>
      <c r="AW186" s="5"/>
      <c r="AY186" s="5"/>
      <c r="AZ186" s="5"/>
      <c r="BA186" s="5"/>
      <c r="BC186" s="5"/>
      <c r="BD186" s="5"/>
      <c r="BF186" s="5"/>
      <c r="BG186" s="5"/>
      <c r="BH186" s="5"/>
      <c r="BJ186" s="5"/>
      <c r="BK186" s="5"/>
      <c r="BL186" s="12"/>
      <c r="BM186" s="5"/>
      <c r="BN186" s="5"/>
      <c r="BO186" s="5"/>
      <c r="BQ186" s="5"/>
      <c r="BR186" s="5"/>
      <c r="BT186" s="5"/>
      <c r="BU186" s="5"/>
      <c r="BV186" s="5"/>
      <c r="BX186" s="5"/>
      <c r="BY186" s="5"/>
      <c r="CA186" s="13"/>
      <c r="CB186" s="7"/>
      <c r="CC186" s="11"/>
      <c r="CE186" s="5"/>
      <c r="CF186" s="5"/>
      <c r="CG186" s="12"/>
      <c r="CI186" s="5"/>
      <c r="CJ186" s="5"/>
      <c r="CK186" s="12"/>
      <c r="CM186" s="5"/>
      <c r="CN186" s="5"/>
      <c r="CO186" s="12"/>
      <c r="CQ186" s="5"/>
      <c r="CR186" s="5"/>
      <c r="CS186" s="12"/>
      <c r="CU186" s="5"/>
      <c r="CV186" s="5"/>
      <c r="CW186" s="12"/>
      <c r="CY186" s="5"/>
      <c r="CZ186" s="5"/>
      <c r="DA186" s="12"/>
      <c r="DC186" s="5"/>
      <c r="DD186" s="5"/>
      <c r="DE186" s="12"/>
      <c r="DG186" s="5"/>
      <c r="DH186" s="5"/>
      <c r="DI186" s="12"/>
      <c r="DK186" s="5"/>
      <c r="DL186" s="5"/>
      <c r="DM186" s="12"/>
      <c r="DO186" s="5"/>
      <c r="DP186" s="5"/>
      <c r="DQ186" s="12"/>
      <c r="DS186" s="1336">
        <f t="shared" si="0"/>
        <v>0</v>
      </c>
      <c r="DT186" s="121">
        <f>EXTRAS!D50</f>
        <v>0</v>
      </c>
      <c r="DU186" s="112">
        <f>EXTRAS!E50</f>
        <v>0</v>
      </c>
      <c r="DX186" s="203">
        <f t="shared" si="1"/>
        <v>0</v>
      </c>
      <c r="DY186" s="142">
        <v>13</v>
      </c>
      <c r="DZ186" s="924"/>
      <c r="EH186" s="924"/>
    </row>
    <row r="187" spans="1:138" s="6" customFormat="1" ht="15" customHeight="1">
      <c r="A187" s="3">
        <v>37</v>
      </c>
      <c r="B187" s="210" t="s">
        <v>468</v>
      </c>
      <c r="C187" s="473" t="s">
        <v>515</v>
      </c>
      <c r="D187" s="4"/>
      <c r="E187" s="5">
        <v>1</v>
      </c>
      <c r="F187" s="5">
        <f>SUM(F5:F26)*E187</f>
        <v>0</v>
      </c>
      <c r="G187" s="4"/>
      <c r="H187" s="4"/>
      <c r="I187" s="4"/>
      <c r="J187" s="4"/>
      <c r="K187" s="5"/>
      <c r="L187" s="5"/>
      <c r="M187" s="5"/>
      <c r="O187" s="5"/>
      <c r="P187" s="5"/>
      <c r="Q187" s="5"/>
      <c r="S187" s="5"/>
      <c r="T187" s="5"/>
      <c r="U187" s="5"/>
      <c r="W187" s="5"/>
      <c r="X187" s="5"/>
      <c r="Y187" s="12"/>
      <c r="AA187" s="13"/>
      <c r="AB187" s="12"/>
      <c r="AD187" s="13"/>
      <c r="AE187" s="5"/>
      <c r="AF187" s="5"/>
      <c r="AH187" s="13"/>
      <c r="AI187" s="5"/>
      <c r="AK187" s="5"/>
      <c r="AL187" s="5"/>
      <c r="AM187" s="5"/>
      <c r="AO187" s="5"/>
      <c r="AP187" s="5"/>
      <c r="AR187" s="5"/>
      <c r="AS187" s="5"/>
      <c r="AT187" s="5"/>
      <c r="AV187" s="5"/>
      <c r="AW187" s="5"/>
      <c r="AY187" s="5"/>
      <c r="AZ187" s="5"/>
      <c r="BA187" s="5"/>
      <c r="BC187" s="5"/>
      <c r="BD187" s="5"/>
      <c r="BF187" s="5"/>
      <c r="BG187" s="5"/>
      <c r="BH187" s="5"/>
      <c r="BJ187" s="5"/>
      <c r="BK187" s="5"/>
      <c r="BL187" s="12"/>
      <c r="BM187" s="5"/>
      <c r="BN187" s="5"/>
      <c r="BO187" s="5"/>
      <c r="BQ187" s="5"/>
      <c r="BR187" s="5"/>
      <c r="BT187" s="5"/>
      <c r="BU187" s="5"/>
      <c r="BV187" s="5"/>
      <c r="BX187" s="5"/>
      <c r="BY187" s="5"/>
      <c r="CA187" s="13"/>
      <c r="CB187" s="7"/>
      <c r="CC187" s="11"/>
      <c r="CE187" s="5"/>
      <c r="CF187" s="5"/>
      <c r="CG187" s="12"/>
      <c r="CI187" s="5"/>
      <c r="CJ187" s="5"/>
      <c r="CK187" s="12"/>
      <c r="CM187" s="5"/>
      <c r="CN187" s="5"/>
      <c r="CO187" s="12"/>
      <c r="CQ187" s="5"/>
      <c r="CR187" s="5"/>
      <c r="CS187" s="12"/>
      <c r="CU187" s="5"/>
      <c r="CV187" s="5"/>
      <c r="CW187" s="12"/>
      <c r="CY187" s="5"/>
      <c r="CZ187" s="5"/>
      <c r="DA187" s="12"/>
      <c r="DC187" s="5"/>
      <c r="DD187" s="5"/>
      <c r="DE187" s="12"/>
      <c r="DG187" s="5"/>
      <c r="DH187" s="5"/>
      <c r="DI187" s="12"/>
      <c r="DK187" s="5"/>
      <c r="DL187" s="5"/>
      <c r="DM187" s="12"/>
      <c r="DO187" s="5">
        <v>1</v>
      </c>
      <c r="DP187" s="5"/>
      <c r="DQ187" s="12"/>
      <c r="DS187" s="1336">
        <f t="shared" si="0"/>
        <v>0</v>
      </c>
      <c r="DT187" s="121">
        <f>EXTRAS!D51</f>
        <v>0</v>
      </c>
      <c r="DU187" s="112">
        <f>EXTRAS!E51</f>
        <v>0</v>
      </c>
      <c r="DX187" s="203">
        <f t="shared" si="1"/>
        <v>0</v>
      </c>
      <c r="DY187" s="142">
        <v>13</v>
      </c>
      <c r="DZ187" s="924"/>
      <c r="EH187" s="924"/>
    </row>
    <row r="188" spans="1:138" s="6" customFormat="1" ht="15" customHeight="1">
      <c r="A188" s="3">
        <v>38</v>
      </c>
      <c r="B188" s="210" t="s">
        <v>469</v>
      </c>
      <c r="C188" s="473" t="s">
        <v>515</v>
      </c>
      <c r="D188" s="4"/>
      <c r="E188" s="5"/>
      <c r="F188" s="5"/>
      <c r="G188" s="4"/>
      <c r="H188" s="4"/>
      <c r="I188" s="4"/>
      <c r="J188" s="4"/>
      <c r="K188" s="5"/>
      <c r="L188" s="5"/>
      <c r="M188" s="5"/>
      <c r="O188" s="5"/>
      <c r="P188" s="5"/>
      <c r="Q188" s="5"/>
      <c r="S188" s="5"/>
      <c r="T188" s="5"/>
      <c r="U188" s="5"/>
      <c r="W188" s="5"/>
      <c r="X188" s="5"/>
      <c r="Y188" s="12"/>
      <c r="AA188" s="13"/>
      <c r="AB188" s="12"/>
      <c r="AD188" s="13"/>
      <c r="AE188" s="5"/>
      <c r="AF188" s="5"/>
      <c r="AH188" s="13"/>
      <c r="AI188" s="5"/>
      <c r="AK188" s="5"/>
      <c r="AL188" s="5">
        <f>AL5*AK188+AM5*AK188+AL6*AK188+AM6*AK188+AL7*AK188+AM7*AK188+AL8*AK188+AM8*AK188+AL9*AK188+AM9*AK188+AL10*AK188+AM10*AK188+AL11*AK188+AM11*AK188+AL12*AK188+AM12*AK188+AL13*AK188+AM13*AK188+AL14*AK188+AM14*AK188+AL15*AK188+AM15*AK188+AL16*AK188+AM16*AK188+AL17*AK188+AM17*AK188+AL18*AK188+AM18*AK188+AL19*AK188+AM19*AK188+AL20*AK188+AM20*AK188+AL21*AK188+AM21*AK188+AL22*AK188+AM22*AK188+AL23*AK188+AM23*AK188+AL24*AK188+AM24*AK188+AL25*AK188+AM25*AK188+AL26*AK188+AM26*AK188</f>
        <v>0</v>
      </c>
      <c r="AM188" s="5"/>
      <c r="AO188" s="5"/>
      <c r="AP188" s="5">
        <f>AP5*AO188+AQ5*AO188+AP6*AO188+AQ6*AO188+AP7*AO188+AQ7*AO188+AP8*AO188+AQ8*AO188+AP9*AO188+AQ9*AO188+AP10*AO188+AQ10*AO188+AP11*AO188+AQ11*AO188+AP12*AO188+AQ12*AO188+AP13*AO188+AQ13*AO188+AP14*AO188+AQ14*AO188+AP15*AO188+AQ15*AO188+AP16*AO188+AQ16*AO188+AP17*AO188+AQ17*AO188+AP18*AO188+AQ18*AO188+AP19*AO188+AQ19*AO188+AP20*AO188+AQ20*AO188+AP21*AO188+AQ21*AO188+AP22*AO188+AQ22*AO188+AP23*AO188+AQ23*AO188+AP24*AO188+AQ24*AO188+AP25*AO188+AQ25*AO188+AP26*AO188+AQ26*AO188</f>
        <v>0</v>
      </c>
      <c r="AR188" s="5"/>
      <c r="AS188" s="5"/>
      <c r="AT188" s="5"/>
      <c r="AV188" s="5"/>
      <c r="AW188" s="5"/>
      <c r="AY188" s="5"/>
      <c r="AZ188" s="5">
        <f>AZ5*AY188+BA5*AY188+AZ6*AY188+BA6*AY188+AZ7*AY188+BA7*AY188+AZ8*AY188+BA8*AY188+AZ9*AY188+BA9*AY188+AZ10*AY188+BA10*AY188+AZ11*AY188+BA11*AY188+AZ12*AY188+BA12*AY188+AZ13*AY188+BA13*AY188+AZ14*AY188+BA14*AY188+AZ15*AY188+BA15*AY188+AZ16*AY188+BA16*AY188+AZ17*AY188+BA17*AY188+AZ18*AY188+BA18*AY188+AZ19*AY188+BA19*AY188+AZ20*AY188+BA20*AY188+AZ21*AY188+BA21*AY188+AZ22*AY188+BA22*AY188+AZ23*AY188+BA23*AY188+AZ24*AY188+BA24*AY188+AZ25*AY188+BA25*AY188+AZ26*AY188+BA26*AY188</f>
        <v>0</v>
      </c>
      <c r="BA188" s="5"/>
      <c r="BC188" s="5"/>
      <c r="BD188" s="5">
        <f>BD5*BC188+BE5*BC188+BD6*BC188+BE6*BC188+BD7*BC188+BE7*BC188+BD8*BC188+BE8*BC188+BD9*BC188+BE9*BC188+BD10*BC188+BE10*BC188+BD11*BC188+BE11*BC188+BD12*BC188+BE12*BC188+BD13*BC188+BE13*BC188+BD14*BC188+BE14*BC188+BD15*BC188+BE15*BC188+BD16*BC188+BE16*BC188+BD17*BC188+BE17*BC188+BD18*BC188+BE18*BC188+BD19*BC188+BE19*BC188+BD20*BC188+BE20*BC188+BD21*BC188+BE21*BC188+BD22*BC188+BE22*BC188+BD23*BC188+BE23*BC188+BD24*BC188+BE24*BC188+BD25*BC188+BE25*BC188+BD26*BC188+BE26*BC188</f>
        <v>0</v>
      </c>
      <c r="BF188" s="5"/>
      <c r="BG188" s="5"/>
      <c r="BH188" s="5"/>
      <c r="BJ188" s="5"/>
      <c r="BK188" s="5"/>
      <c r="BL188" s="12"/>
      <c r="BM188" s="5"/>
      <c r="BN188" s="5">
        <f>BN5*BM188+BO5*BM188+BN6*BM188+BO6*BM188+BN7*BM188+BO7*BM188+BN8*BM188+BO8*BM188+BN9*BM188+BO9*BM188+BN10*BM188+BO10*BM188+BN11*BM188+BO11*BM188+BN12*BM188+BO12*BM188+BN13*BM188+BO13*BM188+BN14*BM188+BO14*BM188+BN15*BM188+BO15*BM188+BN16*BM188+BO16*BM188+BN17*BM188+BO17*BM188+BN18*BM188+BO18*BM188+BN19*BM188+BO19*BM188+BN20*BM188+BO20*BM188+BN21*BM188+BO21*BM188+BN22*BM188+BO22*BM188+BN23*BM188+BO23*BM188+BN24*BM188+BO24*BM188+BN25*BM188+BO25*BM188+BN26*BM188+BO26*BM188</f>
        <v>0</v>
      </c>
      <c r="BO188" s="5"/>
      <c r="BQ188" s="5"/>
      <c r="BR188" s="5">
        <f>BR5*BQ188+BS5*BQ188+BR6*BQ188+BS6*BQ188+BR7*BQ188+BS7*BQ188+BR8*BQ188+BS8*BQ188+BR9*BQ188+BS9*BQ188+BR10*BQ188+BS10*BQ188+BR11*BQ188+BS11*BQ188+BR12*BQ188+BS12*BQ188+BR13*BQ188+BS13*BQ188+BR14*BQ188+BS14*BQ188+BR15*BQ188+BS15*BQ188+BR16*BQ188+BS16*BQ188+BR17*BQ188+BS17*BQ188+BR18*BQ188+BS18*BQ188+BR19*BQ188+BS19*BQ188+BR20*BQ188+BS20*BQ188+BR21*BQ188+BS21*BQ188+BR22*BQ188+BS22*BQ188+BR23*BQ188+BS23*BQ188+BR24*BQ188+BS24*BQ188+BR25*BQ188+BS25*BQ188+BR26*BQ188+BS26*BQ188</f>
        <v>0</v>
      </c>
      <c r="BT188" s="5"/>
      <c r="BU188" s="5"/>
      <c r="BV188" s="5"/>
      <c r="BX188" s="5"/>
      <c r="BY188" s="5"/>
      <c r="CA188" s="13"/>
      <c r="CB188" s="5"/>
      <c r="CC188" s="11"/>
      <c r="CE188" s="5"/>
      <c r="CF188" s="5"/>
      <c r="CG188" s="12"/>
      <c r="CI188" s="5"/>
      <c r="CJ188" s="5"/>
      <c r="CK188" s="12"/>
      <c r="CM188" s="5"/>
      <c r="CN188" s="5"/>
      <c r="CO188" s="12"/>
      <c r="CQ188" s="5"/>
      <c r="CR188" s="5"/>
      <c r="CS188" s="12"/>
      <c r="CU188" s="5"/>
      <c r="CV188" s="5"/>
      <c r="CW188" s="12"/>
      <c r="CY188" s="5"/>
      <c r="CZ188" s="5">
        <f>CZ5*CY188+DA5*CY188+CZ6*CY188+DA6*CY188+CZ7*CY188+DA7*CY188+CZ8*CY188+DA8*CY188+CZ9*CY188+DA9*CY188+CZ10*CY188+DA10*CY188+CZ11*CY188+DA11*CY188+CZ12*CY188+DA12*CY188+CZ13*CY188+DA13*CY188+CZ14*CY188+DA14*CY188+CZ15*CY188+DA15*CY188+CZ16*CY188+DA16*CY188+CZ17*CY188+DA17*CY188+CZ18*CY188+DA18*CY188+CZ19*CY188+DA19*CY188+CZ20*CY188+DA20*CY188+CZ21*CY188+DA21*CY188+CZ22*CY188+DA22*CY188+CZ23*CY188+DA23*CY188+CZ24*CY188+DA24*CY188+CZ25*CY188+DA25*CY188+CZ26*CY188+DA26*CY188</f>
        <v>0</v>
      </c>
      <c r="DA188" s="12"/>
      <c r="DC188" s="5"/>
      <c r="DD188" s="5">
        <f>DD5*DC188+DE5*DC188+DD6*DC188+DE6*DC188+DD7*DC188+DE7*DC188+DD8*DC188+DE8*DC188+DD9*DC188+DE9*DC188+DD10*DC188+DE10*DC188+DD11*DC188+DE11*DC188+DD12*DC188+DE12*DC188+DD13*DC188+DE13*DC188+DD14*DC188+DE14*DC188+DD15*DC188+DE15*DC188+DD16*DC188+DE16*DC188+DD17*DC188+DE17*DC188+DD18*DC188+DE18*DC188+DD19*DC188+DE19*DC188+DD20*DC188+DE20*DC188+DD21*DC188+DE21*DC188+DD22*DC188+DE22*DC188+DD23*DC188+DE23*DC188+DD24*DC188+DE24*DC188+DD25*DC188+DE25*DC188+DD26*DC188+DE26*DC188</f>
        <v>0</v>
      </c>
      <c r="DE188" s="12"/>
      <c r="DG188" s="5"/>
      <c r="DH188" s="5">
        <f>DH5*DG188+DI5*DG188+DH6*DG188+DI6*DG188+DH7*DG188+DI7*DG188+DH8*DG188+DI8*DG188+DH9*DG188+DI9*DG188+DH10*DG188+DI10*DG188+DH11*DG188+DI11*DG188+DH12*DG188+DI12*DG188+DH13*DG188+DI13*DG188+DH14*DG188+DI14*DG188+DH15*DG188+DI15*DG188+DH16*DG188+DI16*DG188+DH17*DG188+DI17*DG188+DH18*DG188+DI18*DG188+DH19*DG188+DI19*DG188+DH20*DG188+DI20*DG188+DH21*DG188+DI21*DG188+DH22*DG188+DI22*DG188+DH23*DG188+DI23*DG188+DH24*DG188+DI24*DG188+DH25*DG188+DI25*DG188+DH26*DG188+DI26*DG188</f>
        <v>0</v>
      </c>
      <c r="DI188" s="12"/>
      <c r="DK188" s="5"/>
      <c r="DL188" s="5">
        <f>DL5*DK188+DM5*DK188+DL6*DK188+DM6*DK188+DL7*DK188+DM7*DK188+DL8*DK188+DM8*DK188+DL9*DK188+DM9*DK188+DL10*DK188+DM10*DK188+DL11*DK188+DM11*DK188+DL12*DK188+DM12*DK188+DL13*DK188+DM13*DK188+DL14*DK188+DM14*DK188+DL15*DK188+DM15*DK188+DL16*DK188+DM16*DK188+DL17*DK188+DM17*DK188+DL18*DK188+DM18*DK188+DL19*DK188+DM19*DK188+DL20*DK188+DM20*DK188+DL21*DK188+DM21*DK188+DL22*DK188+DM22*DK188+DL23*DK188+DM23*DK188+DL24*DK188+DM24*DK188+DL25*DK188+DM25*DK188+DL26*DK188+DM26*DK188</f>
        <v>0</v>
      </c>
      <c r="DM188" s="12"/>
      <c r="DO188" s="5"/>
      <c r="DP188" s="5"/>
      <c r="DQ188" s="12"/>
      <c r="DS188" s="1336">
        <f t="shared" si="0"/>
        <v>0</v>
      </c>
      <c r="DT188" s="121">
        <f>EXTRAS!D52</f>
        <v>0</v>
      </c>
      <c r="DU188" s="112">
        <f>EXTRAS!E52</f>
        <v>0</v>
      </c>
      <c r="DX188" s="203">
        <f t="shared" si="1"/>
        <v>0</v>
      </c>
      <c r="DY188" s="116">
        <v>34</v>
      </c>
      <c r="DZ188" s="924"/>
      <c r="EH188" s="924"/>
    </row>
    <row r="189" spans="1:138" s="6" customFormat="1" ht="15" customHeight="1">
      <c r="A189" s="3">
        <v>39</v>
      </c>
      <c r="B189" s="210" t="s">
        <v>470</v>
      </c>
      <c r="C189" s="473" t="s">
        <v>515</v>
      </c>
      <c r="D189" s="4"/>
      <c r="E189" s="5"/>
      <c r="F189" s="5"/>
      <c r="G189" s="4"/>
      <c r="H189" s="4"/>
      <c r="I189" s="4"/>
      <c r="J189" s="4"/>
      <c r="K189" s="5"/>
      <c r="L189" s="5"/>
      <c r="M189" s="5"/>
      <c r="O189" s="5"/>
      <c r="P189" s="5"/>
      <c r="Q189" s="5"/>
      <c r="S189" s="5"/>
      <c r="T189" s="5"/>
      <c r="U189" s="5"/>
      <c r="W189" s="5"/>
      <c r="X189" s="5"/>
      <c r="Y189" s="12"/>
      <c r="AA189" s="13"/>
      <c r="AB189" s="12"/>
      <c r="AD189" s="13"/>
      <c r="AE189" s="5"/>
      <c r="AF189" s="5"/>
      <c r="AH189" s="13"/>
      <c r="AI189" s="5"/>
      <c r="AK189" s="5">
        <v>1</v>
      </c>
      <c r="AL189" s="5">
        <f>AL6*AK189+AM6*AK189+AL7*AK189+AM7*AK189+AL8*AK189+AM8*AK189+AL9*AK189+AM9*AK189+AL10*AK189+AM10*AK189+AL11*AK189+AM11*AK189+AL12*AK189+AM12*AK189+AL13*AK189+AM13*AK189+AL14*AK189+AM14*AK189+AL15*AK189+AM15*AK189+AL16*AK189+AM16*AK189+AL17*AK189+AM17*AK189+AL18*AK189+AM18*AK189+AL19*AK189+AM19*AK189+AL20*AK189+AM20*AK189+AL21*AK189+AM21*AK189+AL22*AK189+AM22*AK189+AL23*AK189+AM23*AK189+AL24*AK189+AM24*AK189+AL25*AK189+AM25*AK189+AL26*AK189+AM26*AK189+AL5*AK189+AM5*AK189</f>
        <v>0</v>
      </c>
      <c r="AM189" s="5"/>
      <c r="AO189" s="5">
        <v>1</v>
      </c>
      <c r="AP189" s="5">
        <f>AP6*AO189+AQ6*AO189+AP7*AO189+AQ7*AO189+AP8*AO189+AQ8*AO189+AP9*AO189+AQ9*AO189+AP10*AO189+AQ10*AO189+AP11*AO189+AQ11*AO189+AP12*AO189+AQ12*AO189+AP13*AO189+AQ13*AO189+AP14*AO189+AQ14*AO189+AP15*AO189+AQ15*AO189+AP16*AO189+AQ16*AO189+AP17*AO189+AQ17*AO189+AP18*AO189+AQ18*AO189+AP19*AO189+AQ19*AO189+AP20*AO189+AQ20*AO189+AP21*AO189+AQ21*AO189+AP22*AO189+AQ22*AO189+AP23*AO189+AQ23*AO189+AP24*AO189+AQ24*AO189+AP25*AO189+AQ25*AO189+AP26*AO189+AQ26*AO189+AP5*AO189+AQ5*AO189</f>
        <v>0</v>
      </c>
      <c r="AR189" s="5"/>
      <c r="AS189" s="5"/>
      <c r="AT189" s="5"/>
      <c r="AV189" s="5"/>
      <c r="AW189" s="5"/>
      <c r="AY189" s="5">
        <v>1</v>
      </c>
      <c r="AZ189" s="5">
        <f>AZ6*AY189+BA6*AY189+AZ7*AY189+BA7*AY189+AZ8*AY189+BA8*AY189+AZ9*AY189+BA9*AY189+AZ10*AY189+BA10*AY189+AZ11*AY189+BA11*AY189+AZ12*AY189+BA12*AY189+AZ13*AY189+BA13*AY189+AZ14*AY189+BA14*AY189+AZ15*AY189+BA15*AY189+AZ16*AY189+BA16*AY189+AZ17*AY189+BA17*AY189+AZ18*AY189+BA18*AY189+AZ19*AY189+BA19*AY189+AZ20*AY189+BA20*AY189+AZ21*AY189+BA21*AY189+AZ22*AY189+BA22*AY189+AZ23*AY189+BA23*AY189+AZ24*AY189+BA24*AY189+AZ25*AY189+BA25*AY189+AZ26*AY189+BA26*AY189+AZ5*AY189+BA5*AY189</f>
        <v>0</v>
      </c>
      <c r="BA189" s="5"/>
      <c r="BC189" s="5">
        <v>1</v>
      </c>
      <c r="BD189" s="5">
        <f>BD6*BC189+BE6*BC189+BD7*BC189+BE7*BC189+BD8*BC189+BE8*BC189+BD9*BC189+BE9*BC189+BD10*BC189+BE10*BC189+BD11*BC189+BE11*BC189+BD12*BC189+BE12*BC189+BD13*BC189+BE13*BC189+BD14*BC189+BE14*BC189+BD15*BC189+BE15*BC189+BD16*BC189+BE16*BC189+BD17*BC189+BE17*BC189+BD18*BC189+BE18*BC189+BD19*BC189+BE19*BC189+BD20*BC189+BE20*BC189+BD21*BC189+BE21*BC189+BD22*BC189+BE22*BC189+BD23*BC189+BE23*BC189+BD24*BC189+BE24*BC189+BD25*BC189+BE25*BC189+BD26*BC189+BE26*BC189+BD5*BC189+BE5*BC189</f>
        <v>0</v>
      </c>
      <c r="BF189" s="5"/>
      <c r="BG189" s="5"/>
      <c r="BH189" s="5"/>
      <c r="BJ189" s="5"/>
      <c r="BK189" s="5"/>
      <c r="BL189" s="12"/>
      <c r="BM189" s="5">
        <v>1</v>
      </c>
      <c r="BN189" s="5">
        <f>BN6*BM189+BO6*BM189+BN7*BM189+BO7*BM189+BN8*BM189+BO8*BM189+BN9*BM189+BO9*BM189+BN10*BM189+BO10*BM189+BN11*BM189+BO11*BM189+BN12*BM189+BO12*BM189+BN13*BM189+BO13*BM189+BN14*BM189+BO14*BM189+BN15*BM189+BO15*BM189+BN16*BM189+BO16*BM189+BN17*BM189+BO17*BM189+BN18*BM189+BO18*BM189+BN19*BM189+BO19*BM189+BN20*BM189+BO20*BM189+BN21*BM189+BO21*BM189+BN22*BM189+BO22*BM189+BN23*BM189+BO23*BM189+BN24*BM189+BO24*BM189+BN25*BM189+BO25*BM189+BN26*BM189+BO26*BM189+BN5*BM189+BO5*BM189</f>
        <v>0</v>
      </c>
      <c r="BO189" s="5"/>
      <c r="BQ189" s="5">
        <v>1</v>
      </c>
      <c r="BR189" s="5">
        <f>BR6*BQ189+BS6*BQ189+BR7*BQ189+BS7*BQ189+BR8*BQ189+BS8*BQ189+BR9*BQ189+BS9*BQ189+BR10*BQ189+BS10*BQ189+BR11*BQ189+BS11*BQ189+BR12*BQ189+BS12*BQ189+BR13*BQ189+BS13*BQ189+BR14*BQ189+BS14*BQ189+BR15*BQ189+BS15*BQ189+BR16*BQ189+BS16*BQ189+BR17*BQ189+BS17*BQ189+BR18*BQ189+BS18*BQ189+BR19*BQ189+BS19*BQ189+BR20*BQ189+BS20*BQ189+BR21*BQ189+BS21*BQ189+BR22*BQ189+BS22*BQ189+BR23*BQ189+BS23*BQ189+BR24*BQ189+BS24*BQ189+BR25*BQ189+BS25*BQ189+BR26*BQ189+BS26*BQ189+BR5*BQ189+BS5*BQ189</f>
        <v>0</v>
      </c>
      <c r="BT189" s="5"/>
      <c r="BU189" s="5"/>
      <c r="BV189" s="5"/>
      <c r="BX189" s="5"/>
      <c r="BY189" s="5"/>
      <c r="CA189" s="13"/>
      <c r="CB189" s="5"/>
      <c r="CC189" s="11"/>
      <c r="CE189" s="13"/>
      <c r="CF189" s="5"/>
      <c r="CG189" s="12"/>
      <c r="CI189" s="13"/>
      <c r="CJ189" s="5"/>
      <c r="CK189" s="12"/>
      <c r="CM189" s="13"/>
      <c r="CN189" s="5"/>
      <c r="CO189" s="12"/>
      <c r="CQ189" s="13"/>
      <c r="CR189" s="5"/>
      <c r="CS189" s="12"/>
      <c r="CU189" s="13"/>
      <c r="CV189" s="5"/>
      <c r="CW189" s="12"/>
      <c r="CY189" s="5">
        <v>1</v>
      </c>
      <c r="CZ189" s="5">
        <f>CZ6*CY189+DA6*CY189+CZ7*CY189+DA7*CY189+CZ8*CY189+DA8*CY189+CZ9*CY189+DA9*CY189+CZ10*CY189+DA10*CY189+CZ11*CY189+DA11*CY189+CZ12*CY189+DA12*CY189+CZ13*CY189+DA13*CY189+CZ14*CY189+DA14*CY189+CZ15*CY189+DA15*CY189+CZ16*CY189+DA16*CY189+CZ17*CY189+DA17*CY189+CZ18*CY189+DA18*CY189+CZ19*CY189+DA19*CY189+CZ20*CY189+DA20*CY189+CZ21*CY189+DA21*CY189+CZ22*CY189+DA22*CY189+CZ23*CY189+DA23*CY189+CZ24*CY189+DA24*CY189+CZ25*CY189+DA25*CY189+CZ26*CY189+DA26*CY189+CZ5*CY189+DA5*CY189</f>
        <v>0</v>
      </c>
      <c r="DA189" s="12"/>
      <c r="DC189" s="5">
        <v>1</v>
      </c>
      <c r="DD189" s="5">
        <f>DD6*DC189+DE6*DC189+DD7*DC189+DE7*DC189+DD8*DC189+DE8*DC189+DD9*DC189+DE9*DC189+DD10*DC189+DE10*DC189+DD11*DC189+DE11*DC189+DD12*DC189+DE12*DC189+DD13*DC189+DE13*DC189+DD14*DC189+DE14*DC189+DD15*DC189+DE15*DC189+DD16*DC189+DE16*DC189+DD17*DC189+DE17*DC189+DD18*DC189+DE18*DC189+DD19*DC189+DE19*DC189+DD20*DC189+DE20*DC189+DD21*DC189+DE21*DC189+DD22*DC189+DE22*DC189+DD23*DC189+DE23*DC189+DD24*DC189+DE24*DC189+DD25*DC189+DE25*DC189+DD26*DC189+DE26*DC189+DD5*DC189+DE5*DC189</f>
        <v>0</v>
      </c>
      <c r="DE189" s="12"/>
      <c r="DG189" s="5">
        <v>1</v>
      </c>
      <c r="DH189" s="5">
        <f>DH6*DG189+DI6*DG189+DH7*DG189+DI7*DG189+DH8*DG189+DI8*DG189+DH9*DG189+DI9*DG189+DH10*DG189+DI10*DG189+DH11*DG189+DI11*DG189+DH12*DG189+DI12*DG189+DH13*DG189+DI13*DG189+DH14*DG189+DI14*DG189+DH15*DG189+DI15*DG189+DH16*DG189+DI16*DG189+DH17*DG189+DI17*DG189+DH18*DG189+DI18*DG189+DH19*DG189+DI19*DG189+DH20*DG189+DI20*DG189+DH21*DG189+DI21*DG189+DH22*DG189+DI22*DG189+DH23*DG189+DI23*DG189+DH24*DG189+DI24*DG189+DH25*DG189+DI25*DG189+DH26*DG189+DI26*DG189+DH5*DG189+DI5*DG189</f>
        <v>0</v>
      </c>
      <c r="DI189" s="12"/>
      <c r="DK189" s="5">
        <v>1</v>
      </c>
      <c r="DL189" s="5">
        <f>DL6*DK189+DM6*DK189+DL7*DK189+DM7*DK189+DL8*DK189+DM8*DK189+DL9*DK189+DM9*DK189+DL10*DK189+DM10*DK189+DL11*DK189+DM11*DK189+DL12*DK189+DM12*DK189+DL13*DK189+DM13*DK189+DL14*DK189+DM14*DK189+DL15*DK189+DM15*DK189+DL16*DK189+DM16*DK189+DL17*DK189+DM17*DK189+DL18*DK189+DM18*DK189+DL19*DK189+DM19*DK189+DL20*DK189+DM20*DK189+DL21*DK189+DM21*DK189+DL22*DK189+DM22*DK189+DL23*DK189+DM23*DK189+DL24*DK189+DM24*DK189+DL25*DK189+DM25*DK189+DL26*DK189+DM26*DK189+DL5*DK189+DM5*DK189</f>
        <v>0</v>
      </c>
      <c r="DM189" s="12"/>
      <c r="DO189" s="13">
        <v>1</v>
      </c>
      <c r="DP189" s="5">
        <f>SUM(DP5:DQ26)*DO189</f>
        <v>0</v>
      </c>
      <c r="DQ189" s="12"/>
      <c r="DS189" s="1336">
        <f t="shared" si="0"/>
        <v>0</v>
      </c>
      <c r="DT189" s="121">
        <f>EXTRAS!D53</f>
        <v>0</v>
      </c>
      <c r="DU189" s="112">
        <f>EXTRAS!E53</f>
        <v>0</v>
      </c>
      <c r="DX189" s="203">
        <f t="shared" si="1"/>
        <v>0</v>
      </c>
      <c r="DY189" s="148">
        <v>34</v>
      </c>
      <c r="DZ189" s="924"/>
      <c r="EH189" s="924"/>
    </row>
    <row r="190" spans="1:138" s="6" customFormat="1" ht="15" customHeight="1">
      <c r="A190" s="3"/>
      <c r="B190" s="210" t="s">
        <v>1475</v>
      </c>
      <c r="C190" s="473" t="s">
        <v>0</v>
      </c>
      <c r="D190" s="4"/>
      <c r="E190" s="5"/>
      <c r="F190" s="5"/>
      <c r="G190" s="4"/>
      <c r="H190" s="4"/>
      <c r="I190" s="4"/>
      <c r="J190" s="4"/>
      <c r="K190" s="5"/>
      <c r="L190" s="5"/>
      <c r="M190" s="5"/>
      <c r="O190" s="5"/>
      <c r="P190" s="5"/>
      <c r="Q190" s="5"/>
      <c r="S190" s="5"/>
      <c r="T190" s="5"/>
      <c r="U190" s="5"/>
      <c r="W190" s="5"/>
      <c r="X190" s="5"/>
      <c r="Y190" s="12"/>
      <c r="AA190" s="13"/>
      <c r="AB190" s="12"/>
      <c r="AD190" s="13"/>
      <c r="AE190" s="5"/>
      <c r="AF190" s="5"/>
      <c r="AH190" s="13"/>
      <c r="AI190" s="5"/>
      <c r="AK190" s="5"/>
      <c r="AL190" s="5"/>
      <c r="AM190" s="5"/>
      <c r="AO190" s="5"/>
      <c r="AP190" s="5"/>
      <c r="AR190" s="5"/>
      <c r="AS190" s="5"/>
      <c r="AT190" s="5"/>
      <c r="AV190" s="5"/>
      <c r="AW190" s="5"/>
      <c r="AY190" s="5"/>
      <c r="AZ190" s="5"/>
      <c r="BA190" s="5"/>
      <c r="BC190" s="5"/>
      <c r="BD190" s="5"/>
      <c r="BF190" s="5"/>
      <c r="BG190" s="5"/>
      <c r="BH190" s="5"/>
      <c r="BJ190" s="5"/>
      <c r="BK190" s="5"/>
      <c r="BL190" s="12"/>
      <c r="BM190" s="5"/>
      <c r="BN190" s="5"/>
      <c r="BO190" s="5"/>
      <c r="BQ190" s="5"/>
      <c r="BR190" s="5"/>
      <c r="BT190" s="5"/>
      <c r="BU190" s="5"/>
      <c r="BV190" s="5"/>
      <c r="BX190" s="5"/>
      <c r="BY190" s="5"/>
      <c r="CA190" s="13"/>
      <c r="CB190" s="5"/>
      <c r="CC190" s="11"/>
      <c r="CE190" s="13"/>
      <c r="CF190" s="5"/>
      <c r="CG190" s="12"/>
      <c r="CI190" s="13"/>
      <c r="CJ190" s="5"/>
      <c r="CK190" s="12"/>
      <c r="CM190" s="13"/>
      <c r="CN190" s="5"/>
      <c r="CO190" s="12"/>
      <c r="CQ190" s="13"/>
      <c r="CR190" s="5"/>
      <c r="CS190" s="12"/>
      <c r="CU190" s="13"/>
      <c r="CV190" s="5"/>
      <c r="CW190" s="12"/>
      <c r="CY190" s="13"/>
      <c r="CZ190" s="5"/>
      <c r="DA190" s="12"/>
      <c r="DC190" s="13"/>
      <c r="DD190" s="5"/>
      <c r="DE190" s="12"/>
      <c r="DG190" s="13"/>
      <c r="DH190" s="5"/>
      <c r="DI190" s="12"/>
      <c r="DK190" s="13"/>
      <c r="DL190" s="5"/>
      <c r="DM190" s="12"/>
      <c r="DO190" s="13"/>
      <c r="DP190" s="5"/>
      <c r="DQ190" s="12"/>
      <c r="DS190" s="1336">
        <f t="shared" si="0"/>
        <v>0</v>
      </c>
      <c r="DT190" s="121">
        <f>EXTRAS!D54</f>
        <v>0</v>
      </c>
      <c r="DU190" s="112">
        <f>EXTRAS!E54</f>
        <v>0</v>
      </c>
      <c r="DX190" s="203">
        <f t="shared" si="1"/>
        <v>0</v>
      </c>
      <c r="DY190" s="148"/>
      <c r="DZ190" s="924"/>
      <c r="EH190" s="924"/>
    </row>
    <row r="191" spans="1:138" s="6" customFormat="1" ht="15" customHeight="1">
      <c r="A191" s="3">
        <v>40</v>
      </c>
      <c r="B191" s="210" t="s">
        <v>117</v>
      </c>
      <c r="C191" s="473" t="s">
        <v>515</v>
      </c>
      <c r="D191" s="4"/>
      <c r="E191" s="5"/>
      <c r="F191" s="5"/>
      <c r="G191" s="4"/>
      <c r="H191" s="4">
        <v>1</v>
      </c>
      <c r="I191" s="658">
        <f>SUM(I16,I20)*H191</f>
        <v>0</v>
      </c>
      <c r="J191" s="4"/>
      <c r="K191" s="5">
        <v>2</v>
      </c>
      <c r="L191" s="5">
        <f>L16*K191+M16*K191+L20*K191+M20*K191</f>
        <v>0</v>
      </c>
      <c r="M191" s="5"/>
      <c r="O191" s="5">
        <v>2</v>
      </c>
      <c r="P191" s="5">
        <f>P16*O191+Q16*O191+P20*O191+Q20*O191</f>
        <v>0</v>
      </c>
      <c r="Q191" s="5"/>
      <c r="S191" s="5">
        <v>1</v>
      </c>
      <c r="T191" s="5">
        <f>T16*S191+U16*S191+T20*S191+U20*S191</f>
        <v>0</v>
      </c>
      <c r="U191" s="5"/>
      <c r="W191" s="5">
        <v>2</v>
      </c>
      <c r="X191" s="5">
        <f>X16*W191+Y16*W191+X20*W191+Y20*W191</f>
        <v>0</v>
      </c>
      <c r="Y191" s="12"/>
      <c r="AA191" s="13">
        <v>2</v>
      </c>
      <c r="AB191" s="12">
        <f>AB16*AA191+AC16*AA191+AB20*AA191+AC20*AA191</f>
        <v>0</v>
      </c>
      <c r="AD191" s="13"/>
      <c r="AE191" s="5"/>
      <c r="AF191" s="5"/>
      <c r="AH191" s="13"/>
      <c r="AI191" s="5"/>
      <c r="AK191" s="5"/>
      <c r="AL191" s="5"/>
      <c r="AM191" s="5"/>
      <c r="AO191" s="5"/>
      <c r="AP191" s="5"/>
      <c r="AR191" s="5">
        <v>2</v>
      </c>
      <c r="AS191" s="5">
        <f>AS16*AR191+AT16*AR191+AS20*AR191+AT20*AR191</f>
        <v>0</v>
      </c>
      <c r="AT191" s="5"/>
      <c r="AV191" s="5">
        <v>2</v>
      </c>
      <c r="AW191" s="5">
        <f>AW16*AV191+AX16*AV191+AW20*AV191+AX20*AV191</f>
        <v>0</v>
      </c>
      <c r="AY191" s="5">
        <v>1</v>
      </c>
      <c r="AZ191" s="5">
        <f>AZ16*AY191+BA16*AY191+AZ20*AY191+BA20*AY191</f>
        <v>0</v>
      </c>
      <c r="BA191" s="5"/>
      <c r="BC191" s="5">
        <v>1</v>
      </c>
      <c r="BD191" s="5">
        <f>BD16*BC191+BE16*BC191+BD20*BC191+BE20*BC191</f>
        <v>0</v>
      </c>
      <c r="BF191" s="5">
        <v>3</v>
      </c>
      <c r="BG191" s="5">
        <f>BG16*BF191+BH16*BF191+BG20*BF191+BH20*BF191</f>
        <v>0</v>
      </c>
      <c r="BH191" s="5"/>
      <c r="BJ191" s="5">
        <v>3</v>
      </c>
      <c r="BK191" s="5">
        <f>BK16*BJ191+BL16*BJ191+BK20*BJ191+BL20*BJ191</f>
        <v>0</v>
      </c>
      <c r="BL191" s="12"/>
      <c r="BM191" s="5">
        <v>3</v>
      </c>
      <c r="BN191" s="5">
        <f>BN16*BM191+BO16*BM191+BN20*BM191+BO20*BM191</f>
        <v>0</v>
      </c>
      <c r="BO191" s="5"/>
      <c r="BQ191" s="5">
        <v>3</v>
      </c>
      <c r="BR191" s="5">
        <f>BR16*BQ191+BS16*BQ191+BR20*BQ191+BS20*BQ191</f>
        <v>0</v>
      </c>
      <c r="BT191" s="5">
        <v>3</v>
      </c>
      <c r="BU191" s="5">
        <f>BU16*BT191+BV16*BT191+BU20*BT191+BV20*BT191</f>
        <v>0</v>
      </c>
      <c r="BV191" s="5"/>
      <c r="BX191" s="5">
        <v>3</v>
      </c>
      <c r="BY191" s="5">
        <f>BY16*BX191+BZ16*BX191+BY20*BX191+BZ20*BX191</f>
        <v>0</v>
      </c>
      <c r="CA191" s="13">
        <v>2</v>
      </c>
      <c r="CB191" s="5">
        <f>CB16*CA191+CC16*CA191+CB20*CA191+CC20*CA191</f>
        <v>0</v>
      </c>
      <c r="CC191" s="11"/>
      <c r="CE191" s="13"/>
      <c r="CF191" s="5"/>
      <c r="CG191" s="12"/>
      <c r="CI191" s="13"/>
      <c r="CJ191" s="5"/>
      <c r="CK191" s="12"/>
      <c r="CM191" s="13"/>
      <c r="CN191" s="5"/>
      <c r="CO191" s="12"/>
      <c r="CQ191" s="13"/>
      <c r="CR191" s="5"/>
      <c r="CS191" s="12"/>
      <c r="CU191" s="13"/>
      <c r="CV191" s="5"/>
      <c r="CW191" s="12"/>
      <c r="CY191" s="13"/>
      <c r="CZ191" s="5"/>
      <c r="DA191" s="12"/>
      <c r="DC191" s="13"/>
      <c r="DD191" s="5"/>
      <c r="DE191" s="12"/>
      <c r="DG191" s="13"/>
      <c r="DH191" s="5"/>
      <c r="DI191" s="12"/>
      <c r="DK191" s="13"/>
      <c r="DL191" s="5"/>
      <c r="DM191" s="12"/>
      <c r="DO191" s="13"/>
      <c r="DP191" s="5"/>
      <c r="DQ191" s="12"/>
      <c r="DS191" s="1336">
        <f t="shared" si="0"/>
        <v>0</v>
      </c>
      <c r="DT191" s="121">
        <f>EXTRAS!D55</f>
        <v>0</v>
      </c>
      <c r="DU191" s="112">
        <f>EXTRAS!E55</f>
        <v>0</v>
      </c>
      <c r="DX191" s="203">
        <f t="shared" si="1"/>
        <v>0</v>
      </c>
      <c r="DZ191" s="924"/>
      <c r="EH191" s="924"/>
    </row>
    <row r="192" spans="1:138" s="6" customFormat="1" ht="15" customHeight="1">
      <c r="A192" s="3">
        <v>41</v>
      </c>
      <c r="B192" s="210" t="s">
        <v>118</v>
      </c>
      <c r="C192" s="473" t="s">
        <v>515</v>
      </c>
      <c r="D192" s="4"/>
      <c r="E192" s="5">
        <v>2</v>
      </c>
      <c r="F192" s="5">
        <f>F16*E192+G16*E192+F20*E192+G20*E192</f>
        <v>0</v>
      </c>
      <c r="G192" s="4"/>
      <c r="H192" s="4"/>
      <c r="I192" s="658"/>
      <c r="J192" s="4"/>
      <c r="K192" s="5"/>
      <c r="L192" s="5"/>
      <c r="M192" s="5"/>
      <c r="O192" s="5"/>
      <c r="P192" s="5"/>
      <c r="Q192" s="5"/>
      <c r="S192" s="5"/>
      <c r="T192" s="5"/>
      <c r="U192" s="5"/>
      <c r="W192" s="5"/>
      <c r="X192" s="5"/>
      <c r="Y192" s="12"/>
      <c r="AA192" s="13"/>
      <c r="AB192" s="12"/>
      <c r="AD192" s="5">
        <v>1</v>
      </c>
      <c r="AE192" s="5">
        <f>AE16*AD192+AF16*AD192+AE20*AD192+AF20*AD192</f>
        <v>0</v>
      </c>
      <c r="AF192" s="5"/>
      <c r="AH192" s="5">
        <v>1</v>
      </c>
      <c r="AI192" s="5">
        <f>AI16*AH192+AJ16*AH192+AI20*AH192+AJ20*AH192</f>
        <v>0</v>
      </c>
      <c r="AK192" s="5">
        <v>2</v>
      </c>
      <c r="AL192" s="5">
        <f>AL16*AK192+AM16*AK192+AL20*AK192+AM20*AK192</f>
        <v>0</v>
      </c>
      <c r="AM192" s="5"/>
      <c r="AO192" s="5">
        <v>2</v>
      </c>
      <c r="AP192" s="5">
        <f>AP16*AO192+AQ16*AO192+AP20*AO192+AQ20*AO192</f>
        <v>0</v>
      </c>
      <c r="AR192" s="5"/>
      <c r="AS192" s="5"/>
      <c r="AT192" s="5"/>
      <c r="AV192" s="5"/>
      <c r="AW192" s="5"/>
      <c r="AY192" s="5">
        <v>2</v>
      </c>
      <c r="AZ192" s="5">
        <f>AZ16*AY192+BA16*AY192+AZ20*AY192+BA20*AY192</f>
        <v>0</v>
      </c>
      <c r="BA192" s="5"/>
      <c r="BC192" s="5">
        <v>2</v>
      </c>
      <c r="BD192" s="5">
        <f>BD16*BC192+BE16*BC192+BD20*BC192+BE20*BC192</f>
        <v>0</v>
      </c>
      <c r="BF192" s="5"/>
      <c r="BG192" s="5"/>
      <c r="BH192" s="5"/>
      <c r="BJ192" s="5"/>
      <c r="BK192" s="5"/>
      <c r="BL192" s="12"/>
      <c r="BM192" s="5"/>
      <c r="BN192" s="5"/>
      <c r="BO192" s="5"/>
      <c r="BQ192" s="5"/>
      <c r="BR192" s="5"/>
      <c r="BT192" s="5"/>
      <c r="BU192" s="5"/>
      <c r="BV192" s="5"/>
      <c r="BX192" s="5"/>
      <c r="BY192" s="5"/>
      <c r="CA192" s="13">
        <v>1</v>
      </c>
      <c r="CB192" s="5">
        <f>CB16*CA192+CC16*CA192+CB20*CA192+CC20*CA192</f>
        <v>0</v>
      </c>
      <c r="CC192" s="11"/>
      <c r="CE192" s="13"/>
      <c r="CF192" s="5"/>
      <c r="CG192" s="12"/>
      <c r="CI192" s="13"/>
      <c r="CJ192" s="5"/>
      <c r="CK192" s="12"/>
      <c r="CM192" s="13"/>
      <c r="CN192" s="5"/>
      <c r="CO192" s="12"/>
      <c r="CQ192" s="13"/>
      <c r="CR192" s="5"/>
      <c r="CS192" s="12"/>
      <c r="CU192" s="13"/>
      <c r="CV192" s="5"/>
      <c r="CW192" s="12"/>
      <c r="CY192" s="13"/>
      <c r="CZ192" s="5"/>
      <c r="DA192" s="12"/>
      <c r="DC192" s="13"/>
      <c r="DD192" s="5"/>
      <c r="DE192" s="12"/>
      <c r="DG192" s="13"/>
      <c r="DH192" s="5"/>
      <c r="DI192" s="12"/>
      <c r="DK192" s="13"/>
      <c r="DL192" s="5"/>
      <c r="DM192" s="12"/>
      <c r="DO192" s="13"/>
      <c r="DP192" s="5"/>
      <c r="DQ192" s="12"/>
      <c r="DS192" s="1336">
        <f t="shared" si="0"/>
        <v>0</v>
      </c>
      <c r="DT192" s="121">
        <f>EXTRAS!D56</f>
        <v>0</v>
      </c>
      <c r="DU192" s="112">
        <f>EXTRAS!E56</f>
        <v>0</v>
      </c>
      <c r="DX192" s="203">
        <f t="shared" si="1"/>
        <v>0</v>
      </c>
      <c r="DZ192" s="924"/>
      <c r="EH192" s="924"/>
    </row>
    <row r="193" spans="1:138" s="6" customFormat="1" ht="15" customHeight="1">
      <c r="A193" s="3">
        <v>42</v>
      </c>
      <c r="B193" s="210" t="s">
        <v>119</v>
      </c>
      <c r="C193" s="473" t="s">
        <v>515</v>
      </c>
      <c r="D193" s="4"/>
      <c r="E193" s="5"/>
      <c r="F193" s="5"/>
      <c r="G193" s="4"/>
      <c r="H193" s="4">
        <v>1</v>
      </c>
      <c r="I193" s="658">
        <f>SUM(I17,I21,I24)*H193</f>
        <v>0</v>
      </c>
      <c r="J193" s="4"/>
      <c r="K193" s="5">
        <v>2</v>
      </c>
      <c r="L193" s="5">
        <f>L17*K193+M17*K193+L21*K193+M21*K193+L24*K193+M24*K193</f>
        <v>0</v>
      </c>
      <c r="M193" s="5"/>
      <c r="O193" s="5">
        <v>2</v>
      </c>
      <c r="P193" s="5">
        <f>P17*O193+Q17*O193+P21*O193+Q21*O193+P24*O193+Q24*O193</f>
        <v>0</v>
      </c>
      <c r="Q193" s="5"/>
      <c r="S193" s="5">
        <v>1</v>
      </c>
      <c r="T193" s="5">
        <f>T17*S193+U17*S193+T21*S193+U21*S193+T24*S193+U24*S193</f>
        <v>0</v>
      </c>
      <c r="U193" s="5"/>
      <c r="W193" s="5">
        <v>2</v>
      </c>
      <c r="X193" s="5">
        <f>X17*W193+Y17*W193+X21*W193+Y21*W193+X24*W193+Y24*W193</f>
        <v>0</v>
      </c>
      <c r="Y193" s="12"/>
      <c r="AA193" s="13">
        <v>2</v>
      </c>
      <c r="AB193" s="12">
        <f>AB17*AA193+AC17*AA193+AB21*AA193+AC21*AA193+AB24*AA193+AC24*AA193</f>
        <v>0</v>
      </c>
      <c r="AD193" s="5"/>
      <c r="AE193" s="5"/>
      <c r="AF193" s="5"/>
      <c r="AH193" s="5"/>
      <c r="AI193" s="5"/>
      <c r="AK193" s="5"/>
      <c r="AL193" s="5"/>
      <c r="AM193" s="5"/>
      <c r="AO193" s="5"/>
      <c r="AP193" s="5"/>
      <c r="AR193" s="5">
        <v>2</v>
      </c>
      <c r="AS193" s="5">
        <f>AS17*AR193+AT17*AR193+AS21*AR193+AT21*AR193+AS24*AR193+AT24*AR193</f>
        <v>0</v>
      </c>
      <c r="AT193" s="5"/>
      <c r="AV193" s="5">
        <v>2</v>
      </c>
      <c r="AW193" s="5">
        <f>AW17*AV193+AX17*AV193+AW21*AV193+AX21*AV193+AW24*AV193+AX24*AV193</f>
        <v>0</v>
      </c>
      <c r="AY193" s="5">
        <v>1</v>
      </c>
      <c r="AZ193" s="5">
        <f>AZ17*AY193+BA17*AY193+AZ21*AY193+BA21*AY193+AZ24*AY193+BA24</f>
        <v>0</v>
      </c>
      <c r="BA193" s="5"/>
      <c r="BC193" s="5">
        <v>1</v>
      </c>
      <c r="BD193" s="5">
        <f>BD17*BC193+BE17*BC193+BD21*BC193+BE21*BC193+BD24*BC193+BE24</f>
        <v>0</v>
      </c>
      <c r="BF193" s="5">
        <v>3</v>
      </c>
      <c r="BG193" s="5">
        <f>BG17*BF193+BH17*BF193+BG21*BF193+BH21*BF193+BG24*BF193+BH24*BF193</f>
        <v>0</v>
      </c>
      <c r="BH193" s="5"/>
      <c r="BJ193" s="5">
        <v>3</v>
      </c>
      <c r="BK193" s="5">
        <f>BK17*BJ193+BL17*BJ193+BK21*BJ193+BL21*BJ193+BK24*BJ193+BL24*BJ193</f>
        <v>0</v>
      </c>
      <c r="BL193" s="12"/>
      <c r="BM193" s="5">
        <v>3</v>
      </c>
      <c r="BN193" s="5">
        <f>BN17*BM193+BO17*BM193+BN21*BM193+BO21*BM193+BN24*BM193+BO24*BM193</f>
        <v>0</v>
      </c>
      <c r="BO193" s="5"/>
      <c r="BQ193" s="5">
        <v>3</v>
      </c>
      <c r="BR193" s="5">
        <f>BR17*BQ193+BS17*BQ193+BR21*BQ193+BS21*BQ193+BR24*BQ193+BS24*BQ193</f>
        <v>0</v>
      </c>
      <c r="BT193" s="5">
        <v>3</v>
      </c>
      <c r="BU193" s="5">
        <f>BU17*BT193+BV17*BT193+BU21*BT193+BV21*BT193+BU24*BT193+BV24*BT193</f>
        <v>0</v>
      </c>
      <c r="BV193" s="5"/>
      <c r="BX193" s="5">
        <v>3</v>
      </c>
      <c r="BY193" s="5">
        <f>BY17*BX193+BZ17*BX193+BY21*BX193+BZ21*BX193+BY24*BX193+BZ24*BX193</f>
        <v>0</v>
      </c>
      <c r="CA193" s="13">
        <v>1</v>
      </c>
      <c r="CB193" s="5">
        <f>CB17*CA193+CC17*CA193+CB21*CA193+CC21*CA193+CB24*CA193+CC24</f>
        <v>0</v>
      </c>
      <c r="CC193" s="11"/>
      <c r="CE193" s="13">
        <v>1</v>
      </c>
      <c r="CF193" s="5">
        <f>SUM(CF16:CG16,CF20:CG20)*CE193</f>
        <v>0</v>
      </c>
      <c r="CG193" s="12"/>
      <c r="CI193" s="13">
        <v>1</v>
      </c>
      <c r="CJ193" s="5">
        <f>SUM(CJ16:CK16,CJ20:CK20)*CI193</f>
        <v>0</v>
      </c>
      <c r="CK193" s="12"/>
      <c r="CM193" s="13">
        <v>1</v>
      </c>
      <c r="CN193" s="5">
        <f>SUM(CN16:CO16,CN20:CO20)*CM193</f>
        <v>0</v>
      </c>
      <c r="CO193" s="12"/>
      <c r="CQ193" s="13">
        <v>1</v>
      </c>
      <c r="CR193" s="5">
        <f>SUM(CR16:CS16,CR20:CS20)*CQ193</f>
        <v>0</v>
      </c>
      <c r="CS193" s="12"/>
      <c r="CU193" s="13">
        <v>1</v>
      </c>
      <c r="CV193" s="5">
        <f>SUM(CV16:CW16,CV20:CW20)*CU193</f>
        <v>0</v>
      </c>
      <c r="CW193" s="12"/>
      <c r="CY193" s="13">
        <v>2</v>
      </c>
      <c r="CZ193" s="5">
        <f>SUM(CZ16:DA16,CZ20:DA20)*CY193</f>
        <v>0</v>
      </c>
      <c r="DA193" s="12"/>
      <c r="DC193" s="13">
        <v>2</v>
      </c>
      <c r="DD193" s="5">
        <f>SUM(DD16:DE16,DD20:DE20)*DC193</f>
        <v>0</v>
      </c>
      <c r="DE193" s="12"/>
      <c r="DG193" s="13">
        <v>2</v>
      </c>
      <c r="DH193" s="5">
        <f>SUM(DH16:DI16,DH20:DI20)*DG193</f>
        <v>0</v>
      </c>
      <c r="DI193" s="12"/>
      <c r="DK193" s="13">
        <v>2</v>
      </c>
      <c r="DL193" s="5">
        <f>SUM(DL16:DM16,DL20:DM20)*DK193</f>
        <v>0</v>
      </c>
      <c r="DM193" s="12"/>
      <c r="DO193" s="13">
        <v>2</v>
      </c>
      <c r="DP193" s="5">
        <f>SUM(DP16:DQ16,DP20:DQ20)*DO193</f>
        <v>0</v>
      </c>
      <c r="DQ193" s="12"/>
      <c r="DS193" s="1336">
        <f t="shared" si="0"/>
        <v>0</v>
      </c>
      <c r="DT193" s="121">
        <f>EXTRAS!D57</f>
        <v>0</v>
      </c>
      <c r="DU193" s="112">
        <f>EXTRAS!E57</f>
        <v>0</v>
      </c>
      <c r="DX193" s="203">
        <f t="shared" si="1"/>
        <v>0</v>
      </c>
      <c r="DZ193" s="924"/>
      <c r="EH193" s="924"/>
    </row>
    <row r="194" spans="1:138" s="6" customFormat="1" ht="15" customHeight="1">
      <c r="A194" s="3">
        <v>43</v>
      </c>
      <c r="B194" s="210" t="s">
        <v>120</v>
      </c>
      <c r="C194" s="473" t="s">
        <v>515</v>
      </c>
      <c r="D194" s="4"/>
      <c r="E194" s="5"/>
      <c r="F194" s="5"/>
      <c r="G194" s="4"/>
      <c r="H194" s="4"/>
      <c r="I194" s="658"/>
      <c r="J194" s="4"/>
      <c r="K194" s="5"/>
      <c r="L194" s="5"/>
      <c r="M194" s="5"/>
      <c r="O194" s="5"/>
      <c r="P194" s="5"/>
      <c r="Q194" s="5"/>
      <c r="S194" s="5"/>
      <c r="T194" s="5"/>
      <c r="U194" s="5"/>
      <c r="W194" s="5"/>
      <c r="X194" s="5"/>
      <c r="Y194" s="12"/>
      <c r="AA194" s="13"/>
      <c r="AB194" s="12"/>
      <c r="AD194" s="5"/>
      <c r="AE194" s="5"/>
      <c r="AF194" s="5"/>
      <c r="AH194" s="5"/>
      <c r="AI194" s="5"/>
      <c r="AK194" s="5"/>
      <c r="AL194" s="5"/>
      <c r="AM194" s="5"/>
      <c r="AO194" s="5"/>
      <c r="AP194" s="5"/>
      <c r="AR194" s="5"/>
      <c r="AS194" s="5"/>
      <c r="AT194" s="5"/>
      <c r="AV194" s="5"/>
      <c r="AW194" s="5"/>
      <c r="AY194" s="5"/>
      <c r="AZ194" s="5"/>
      <c r="BA194" s="5"/>
      <c r="BC194" s="5"/>
      <c r="BD194" s="5"/>
      <c r="BF194" s="5"/>
      <c r="BG194" s="5"/>
      <c r="BH194" s="5"/>
      <c r="BJ194" s="5"/>
      <c r="BK194" s="5"/>
      <c r="BL194" s="12"/>
      <c r="BM194" s="5"/>
      <c r="BN194" s="5"/>
      <c r="BO194" s="5"/>
      <c r="BQ194" s="5"/>
      <c r="BR194" s="5"/>
      <c r="BT194" s="5"/>
      <c r="BU194" s="5"/>
      <c r="BV194" s="5"/>
      <c r="BX194" s="5"/>
      <c r="BY194" s="5"/>
      <c r="CA194" s="13">
        <v>1</v>
      </c>
      <c r="CB194" s="5">
        <f>CB17*CA194+CC17*CA194+CB21*CA194+CC21*CA194+CB24*CA194+CC24</f>
        <v>0</v>
      </c>
      <c r="CC194" s="11"/>
      <c r="CE194" s="13"/>
      <c r="CF194" s="5"/>
      <c r="CG194" s="12"/>
      <c r="CI194" s="13"/>
      <c r="CJ194" s="5"/>
      <c r="CK194" s="12"/>
      <c r="CM194" s="13"/>
      <c r="CN194" s="5"/>
      <c r="CO194" s="12"/>
      <c r="CQ194" s="13"/>
      <c r="CR194" s="5"/>
      <c r="CS194" s="12"/>
      <c r="CU194" s="13"/>
      <c r="CV194" s="5"/>
      <c r="CW194" s="12"/>
      <c r="CY194" s="13"/>
      <c r="CZ194" s="5"/>
      <c r="DA194" s="12"/>
      <c r="DC194" s="13"/>
      <c r="DD194" s="5"/>
      <c r="DE194" s="12"/>
      <c r="DG194" s="13"/>
      <c r="DH194" s="5"/>
      <c r="DI194" s="12"/>
      <c r="DK194" s="13"/>
      <c r="DL194" s="5"/>
      <c r="DM194" s="12"/>
      <c r="DO194" s="13"/>
      <c r="DP194" s="5"/>
      <c r="DQ194" s="12"/>
      <c r="DS194" s="1336">
        <f t="shared" si="0"/>
        <v>0</v>
      </c>
      <c r="DT194" s="121">
        <f>EXTRAS!D58</f>
        <v>0</v>
      </c>
      <c r="DU194" s="112">
        <f>EXTRAS!E58</f>
        <v>0</v>
      </c>
      <c r="DX194" s="203">
        <f t="shared" si="1"/>
        <v>0</v>
      </c>
      <c r="DZ194" s="924"/>
      <c r="EH194" s="924"/>
    </row>
    <row r="195" spans="1:138" s="6" customFormat="1" ht="15" customHeight="1">
      <c r="A195" s="3">
        <v>44</v>
      </c>
      <c r="B195" s="210" t="s">
        <v>121</v>
      </c>
      <c r="C195" s="473" t="s">
        <v>515</v>
      </c>
      <c r="D195" s="4"/>
      <c r="E195" s="5">
        <v>2</v>
      </c>
      <c r="F195" s="5">
        <f>F17*E195+G17*E195+F21*E195+G21*E195+F24*E195+G24*E195</f>
        <v>0</v>
      </c>
      <c r="G195" s="4"/>
      <c r="H195" s="4">
        <v>1</v>
      </c>
      <c r="I195" s="658">
        <f>SUM(I18,I22,I25)*H195</f>
        <v>0</v>
      </c>
      <c r="J195" s="4"/>
      <c r="K195" s="5">
        <v>2</v>
      </c>
      <c r="L195" s="5">
        <f>L18*K195+M18*K195+L22*K195+M22*K195+L25*K195+M25*K195</f>
        <v>0</v>
      </c>
      <c r="M195" s="5"/>
      <c r="O195" s="5">
        <v>2</v>
      </c>
      <c r="P195" s="5">
        <f>P18*O195+Q18*O195+P22*O195+Q22*O195+P25*O195+Q25*O195</f>
        <v>0</v>
      </c>
      <c r="Q195" s="5"/>
      <c r="S195" s="5">
        <v>1</v>
      </c>
      <c r="T195" s="5">
        <f>T18*S195+U18*S195+T22*S195+U22*S195+T25*S195+U25*S195</f>
        <v>0</v>
      </c>
      <c r="U195" s="5"/>
      <c r="W195" s="5">
        <v>2</v>
      </c>
      <c r="X195" s="5">
        <f>X18*W195+Y18*W195+X22*W195+Y22*W195+X25*W195+Y25*W195</f>
        <v>0</v>
      </c>
      <c r="Y195" s="12"/>
      <c r="AA195" s="13">
        <v>2</v>
      </c>
      <c r="AB195" s="12">
        <f>AB18*AA195+AC18*AA195+AB22*AA195+AC22*AA195+AB25*AA195+AC25*AA195</f>
        <v>0</v>
      </c>
      <c r="AD195" s="5">
        <v>1</v>
      </c>
      <c r="AE195" s="5">
        <f>AE17*AD195+AF17*AD195+AE21*AD195+AF21*AD195+AE24*AD195+AF24*AD195</f>
        <v>0</v>
      </c>
      <c r="AF195" s="5"/>
      <c r="AH195" s="5">
        <v>1</v>
      </c>
      <c r="AI195" s="5">
        <f>AI17*AH195+AJ17*AH195+AI21*AH195+AJ21*AH195+AI24*AH195+AJ24*AH195</f>
        <v>0</v>
      </c>
      <c r="AK195" s="5">
        <v>2</v>
      </c>
      <c r="AL195" s="5">
        <f>AL17*AK195+AM17*AK195+AL21*AK195+AM21*AK195+AL24*AK195+AM24*AK195</f>
        <v>0</v>
      </c>
      <c r="AM195" s="5"/>
      <c r="AO195" s="5">
        <v>2</v>
      </c>
      <c r="AP195" s="5">
        <f>AP17*AO195+AQ17*AO195+AP21*AO195+AQ21*AO195+AP24*AO195+AQ24*AO195</f>
        <v>0</v>
      </c>
      <c r="AR195" s="5">
        <v>2</v>
      </c>
      <c r="AS195" s="5">
        <f>AS18*AR195+AT18*AR195+AS22*AR195+AT22*AR195+AS25*AR195+AT25*AR195</f>
        <v>0</v>
      </c>
      <c r="AT195" s="5"/>
      <c r="AV195" s="5">
        <v>2</v>
      </c>
      <c r="AW195" s="5">
        <f>AW18*AV195+AX18*AV195+AW22*AV195+AX22*AV195+AW25*AV195+AX25*AV195</f>
        <v>0</v>
      </c>
      <c r="AY195" s="5">
        <v>2</v>
      </c>
      <c r="AZ195" s="5">
        <f>AZ17*AY195+BA17*AY195+AZ21*AY195+BA21*AY195+AZ24*AY195+BA24*AY195+AZ18*AY195/2+BA18*AY195/2+AZ22*AY195/2+BA22*AY195/2+AZ25*AY195/2+BA25*AY195/2</f>
        <v>0</v>
      </c>
      <c r="BA195" s="5"/>
      <c r="BC195" s="5">
        <v>2</v>
      </c>
      <c r="BD195" s="5">
        <f>BD17*BC195+BE17*BC195+BD21*BC195+BE21*BC195+BD24*BC195+BE24*BC195+BD18*BC195/2+BE18*BC195/2+BD22*BC195/2+BE22*BC195/2+BD25*BC195/2+BE25*BC195/2</f>
        <v>0</v>
      </c>
      <c r="BF195" s="5">
        <v>3</v>
      </c>
      <c r="BG195" s="5">
        <f>BG18*BF195+BH18*BF195+BG22*BF195+BH22*BF195+BG25*BF195+BH25*BF195</f>
        <v>0</v>
      </c>
      <c r="BH195" s="5"/>
      <c r="BJ195" s="5">
        <v>3</v>
      </c>
      <c r="BK195" s="5">
        <f>BK18*BJ195+BL18*BJ195+BK22*BJ195+BL22*BJ195+BK25*BJ195+BL25*BJ195</f>
        <v>0</v>
      </c>
      <c r="BL195" s="12"/>
      <c r="BM195" s="5">
        <v>3</v>
      </c>
      <c r="BN195" s="5">
        <f>BN18*BM195+BO18*BM195+BN22*BM195+BO22*BM195+BN25*BM195+BO25*BM195</f>
        <v>0</v>
      </c>
      <c r="BO195" s="5"/>
      <c r="BQ195" s="5">
        <v>3</v>
      </c>
      <c r="BR195" s="5">
        <f>BR18*BQ195+BS18*BQ195+BR22*BQ195+BS22*BQ195+BR25*BQ195+BS25*BQ195</f>
        <v>0</v>
      </c>
      <c r="BT195" s="5">
        <v>3</v>
      </c>
      <c r="BU195" s="5">
        <f>BU18*BT195+BV18*BT195+BU22*BT195+BV22*BT195+BU25*BT195+BV25*BT195</f>
        <v>0</v>
      </c>
      <c r="BV195" s="5"/>
      <c r="BX195" s="5">
        <v>3</v>
      </c>
      <c r="BY195" s="5">
        <f>BY18*BX195+BZ18*BX195+BY22*BX195+BZ22*BX195+BY25*BX195+BZ25*BX195</f>
        <v>0</v>
      </c>
      <c r="CA195" s="13">
        <v>1</v>
      </c>
      <c r="CB195" s="5">
        <f>CB17*CA195+CC17*CA195+CB21*CA195+CC21*CA195+CB24*CA195+CC24*CA195+CB18*CA195+CC18*CA195+CB22*CA195+CC22*CA195+CB25*CA195+CC25*CA195</f>
        <v>0</v>
      </c>
      <c r="CC195" s="5"/>
      <c r="CE195" s="13"/>
      <c r="CF195" s="5"/>
      <c r="CG195" s="12"/>
      <c r="CI195" s="13"/>
      <c r="CJ195" s="5"/>
      <c r="CK195" s="12"/>
      <c r="CM195" s="13"/>
      <c r="CN195" s="5"/>
      <c r="CO195" s="12"/>
      <c r="CQ195" s="13"/>
      <c r="CR195" s="5"/>
      <c r="CS195" s="12"/>
      <c r="CU195" s="13"/>
      <c r="CV195" s="5"/>
      <c r="CW195" s="12"/>
      <c r="CY195" s="13"/>
      <c r="CZ195" s="5"/>
      <c r="DA195" s="12"/>
      <c r="DC195" s="13"/>
      <c r="DD195" s="5"/>
      <c r="DE195" s="12"/>
      <c r="DG195" s="13"/>
      <c r="DH195" s="5"/>
      <c r="DI195" s="12"/>
      <c r="DK195" s="13"/>
      <c r="DL195" s="5"/>
      <c r="DM195" s="12"/>
      <c r="DO195" s="13"/>
      <c r="DP195" s="5"/>
      <c r="DQ195" s="12"/>
      <c r="DS195" s="1336">
        <f t="shared" si="0"/>
        <v>0</v>
      </c>
      <c r="DT195" s="121">
        <f>EXTRAS!D59</f>
        <v>0</v>
      </c>
      <c r="DU195" s="112">
        <f>EXTRAS!E59</f>
        <v>0</v>
      </c>
      <c r="DX195" s="203">
        <f t="shared" si="1"/>
        <v>0</v>
      </c>
      <c r="DZ195" s="924"/>
      <c r="EH195" s="924"/>
    </row>
    <row r="196" spans="1:138" s="6" customFormat="1" ht="15" customHeight="1">
      <c r="A196" s="3">
        <v>45</v>
      </c>
      <c r="B196" s="210" t="s">
        <v>122</v>
      </c>
      <c r="C196" s="473" t="s">
        <v>515</v>
      </c>
      <c r="D196" s="4"/>
      <c r="E196" s="5"/>
      <c r="F196" s="5"/>
      <c r="G196" s="4"/>
      <c r="H196" s="4"/>
      <c r="I196" s="4"/>
      <c r="J196" s="4"/>
      <c r="K196" s="5"/>
      <c r="L196" s="5"/>
      <c r="M196" s="5"/>
      <c r="O196" s="5"/>
      <c r="P196" s="5"/>
      <c r="Q196" s="5"/>
      <c r="S196" s="5"/>
      <c r="T196" s="5"/>
      <c r="U196" s="5"/>
      <c r="W196" s="5"/>
      <c r="X196" s="5"/>
      <c r="Y196" s="12"/>
      <c r="AA196" s="13"/>
      <c r="AB196" s="12"/>
      <c r="AD196" s="5"/>
      <c r="AE196" s="5"/>
      <c r="AF196" s="5"/>
      <c r="AH196" s="5"/>
      <c r="AI196" s="5"/>
      <c r="AK196" s="5"/>
      <c r="AL196" s="5"/>
      <c r="AM196" s="5"/>
      <c r="AO196" s="5"/>
      <c r="AP196" s="5"/>
      <c r="AR196" s="5"/>
      <c r="AS196" s="5"/>
      <c r="AT196" s="5"/>
      <c r="AV196" s="5"/>
      <c r="AW196" s="5"/>
      <c r="AY196" s="5"/>
      <c r="AZ196" s="5"/>
      <c r="BA196" s="5"/>
      <c r="BC196" s="5"/>
      <c r="BD196" s="5"/>
      <c r="BF196" s="5"/>
      <c r="BG196" s="5"/>
      <c r="BH196" s="5"/>
      <c r="BJ196" s="5"/>
      <c r="BK196" s="5"/>
      <c r="BL196" s="12"/>
      <c r="BM196" s="5"/>
      <c r="BN196" s="5"/>
      <c r="BO196" s="5"/>
      <c r="BQ196" s="5"/>
      <c r="BR196" s="5"/>
      <c r="BT196" s="5"/>
      <c r="BU196" s="5"/>
      <c r="BV196" s="5"/>
      <c r="BX196" s="5"/>
      <c r="BY196" s="5"/>
      <c r="CA196" s="13">
        <v>1</v>
      </c>
      <c r="CB196" s="5">
        <f>CB18*CA196+CC18*CA196+CB22*CA196+CC22*CA196+CB25*CA196+CC25*CA196</f>
        <v>0</v>
      </c>
      <c r="CC196" s="5"/>
      <c r="CE196" s="13">
        <v>1</v>
      </c>
      <c r="CF196" s="5">
        <f>SUM(CF16:CG16,CF17:CG17,CF20:CG20,CF21:CG21,CF24:CG24)*CE196</f>
        <v>0</v>
      </c>
      <c r="CG196" s="12"/>
      <c r="CI196" s="13">
        <v>1</v>
      </c>
      <c r="CJ196" s="5">
        <f>SUM(CJ16:CK16,CJ17:CK17,CJ20:CK20,CJ21:CK21,CJ24:CK24)*CI196</f>
        <v>0</v>
      </c>
      <c r="CK196" s="12"/>
      <c r="CM196" s="13">
        <v>1</v>
      </c>
      <c r="CN196" s="5">
        <f>SUM(CN16:CO16,CN17:CO17,CN20:CO20,CN21:CO21,CN24:CO24)*CM196</f>
        <v>0</v>
      </c>
      <c r="CO196" s="12"/>
      <c r="CQ196" s="13">
        <v>1</v>
      </c>
      <c r="CR196" s="5">
        <f>SUM(CR16:CS16,CR17:CS17,CR20:CS20,CR21:CS21,CR24:CS24)*CQ196</f>
        <v>0</v>
      </c>
      <c r="CS196" s="12"/>
      <c r="CU196" s="13">
        <v>1</v>
      </c>
      <c r="CV196" s="5">
        <f>SUM(CV16:CW16,CV17:CW17,CV20:CW20,CV21:CW21,CV24:CW24)*CU196</f>
        <v>0</v>
      </c>
      <c r="CW196" s="12"/>
      <c r="CY196" s="13">
        <v>1</v>
      </c>
      <c r="CZ196" s="5">
        <f>SUM(CZ16:DA16,CZ17:DA17)*2+SUM(CZ20:DA20,CZ21:DA21)*2+SUM(CZ24:DA24)*(2)*CY196</f>
        <v>0</v>
      </c>
      <c r="DA196" s="12"/>
      <c r="DC196" s="13">
        <v>1</v>
      </c>
      <c r="DD196" s="5">
        <f>SUM(DD16:DE16,DD17:DE17)*2+SUM(DD20:DE20,DD21:DE21)*2+SUM(DD24:DE24)*(2)*DC196</f>
        <v>0</v>
      </c>
      <c r="DE196" s="12"/>
      <c r="DG196" s="13">
        <v>1</v>
      </c>
      <c r="DH196" s="5">
        <f>SUM(DH16:DI16,DH17:DI17)*2+SUM(DH20:DI20,DH21:DI21)*2+SUM(DH24:DI24)*(2)*DG196</f>
        <v>0</v>
      </c>
      <c r="DI196" s="12"/>
      <c r="DK196" s="13">
        <v>1</v>
      </c>
      <c r="DL196" s="5">
        <f>SUM(DL16:DM16,DL17:DM17)*2+SUM(DL20:DM20,DL21:DM21)*2+SUM(DL24:DM24)*(2)*DK196</f>
        <v>0</v>
      </c>
      <c r="DM196" s="12"/>
      <c r="DO196" s="13">
        <v>1</v>
      </c>
      <c r="DP196" s="5">
        <f>SUM(DP16:DQ16,DP17:DQ17)*2+SUM(DP20:DQ20,DP21:DQ21)*2+SUM(DP24:DQ24)*(2)*DO196</f>
        <v>0</v>
      </c>
      <c r="DQ196" s="12"/>
      <c r="DS196" s="1336">
        <f t="shared" si="0"/>
        <v>0</v>
      </c>
      <c r="DT196" s="121">
        <f>EXTRAS!D60</f>
        <v>0</v>
      </c>
      <c r="DU196" s="112">
        <f>EXTRAS!E60</f>
        <v>0</v>
      </c>
      <c r="DX196" s="203">
        <f t="shared" si="1"/>
        <v>0</v>
      </c>
      <c r="DZ196" s="924"/>
      <c r="EH196" s="924"/>
    </row>
    <row r="197" spans="1:138" s="6" customFormat="1" ht="15" customHeight="1">
      <c r="A197" s="3">
        <v>46</v>
      </c>
      <c r="B197" s="210" t="s">
        <v>123</v>
      </c>
      <c r="C197" s="473" t="s">
        <v>515</v>
      </c>
      <c r="D197" s="4"/>
      <c r="E197" s="5">
        <v>2</v>
      </c>
      <c r="F197" s="5">
        <f>F18*E197+G18*E197+F22*E197+G22*E197+F25*E197+G25*E197</f>
        <v>0</v>
      </c>
      <c r="G197" s="4"/>
      <c r="H197" s="4"/>
      <c r="I197" s="4"/>
      <c r="J197" s="4"/>
      <c r="K197" s="5"/>
      <c r="L197" s="5"/>
      <c r="M197" s="5"/>
      <c r="O197" s="5"/>
      <c r="P197" s="5"/>
      <c r="Q197" s="5"/>
      <c r="S197" s="5"/>
      <c r="T197" s="5"/>
      <c r="U197" s="5"/>
      <c r="W197" s="5"/>
      <c r="X197" s="5"/>
      <c r="Y197" s="12"/>
      <c r="AA197" s="13"/>
      <c r="AB197" s="12"/>
      <c r="AD197" s="5">
        <v>1</v>
      </c>
      <c r="AE197" s="5">
        <f>AE18*AD197+AF18*AD197+AE22*AD197+AF22*AD197+AE25*AD197+AF25*AD197</f>
        <v>0</v>
      </c>
      <c r="AF197" s="5"/>
      <c r="AH197" s="5">
        <v>1</v>
      </c>
      <c r="AI197" s="5">
        <f>AI18*AH197+AJ18*AH197+AI22*AH197+AJ22*AH197+AI25*AH197+AJ25*AH197</f>
        <v>0</v>
      </c>
      <c r="AK197" s="5">
        <v>2</v>
      </c>
      <c r="AL197" s="5">
        <f>AL18*AK197+AM18*AK197+AL22*AK197+AM22*AK197+AL25*AK197+AM25*AK197</f>
        <v>0</v>
      </c>
      <c r="AM197" s="5"/>
      <c r="AO197" s="5">
        <v>2</v>
      </c>
      <c r="AP197" s="5">
        <f>AP18*AO197+AQ18*AO197+AP22*AO197+AQ22*AO197+AP25*AO197+AQ25*AO197</f>
        <v>0</v>
      </c>
      <c r="AR197" s="5"/>
      <c r="AS197" s="5"/>
      <c r="AT197" s="5"/>
      <c r="AV197" s="5"/>
      <c r="AW197" s="5"/>
      <c r="AY197" s="5">
        <v>2</v>
      </c>
      <c r="AZ197" s="5">
        <f>AZ18*AY197+BA18*AY197+AZ22*AY197+BA22*AY197+AZ25*AY197+BA25*AY197</f>
        <v>0</v>
      </c>
      <c r="BA197" s="5"/>
      <c r="BC197" s="5">
        <v>2</v>
      </c>
      <c r="BD197" s="5">
        <f>BD18*BC197+BE18*BC197+BD22*BC197+BE22*BC197+BD25*BC197+BE25*BC197</f>
        <v>0</v>
      </c>
      <c r="BF197" s="5"/>
      <c r="BG197" s="5"/>
      <c r="BH197" s="5"/>
      <c r="BJ197" s="5"/>
      <c r="BK197" s="5"/>
      <c r="BL197" s="12"/>
      <c r="BM197" s="5"/>
      <c r="BN197" s="5"/>
      <c r="BO197" s="5"/>
      <c r="BQ197" s="5"/>
      <c r="BR197" s="5"/>
      <c r="BT197" s="5"/>
      <c r="BU197" s="5"/>
      <c r="BV197" s="5"/>
      <c r="BX197" s="5"/>
      <c r="BY197" s="5"/>
      <c r="CA197" s="13">
        <v>1</v>
      </c>
      <c r="CB197" s="5">
        <f>CB18*CA197+CC18*CA197+CB22*CA197+CC22*CA197+CB25*CA197+CC25*CA197</f>
        <v>0</v>
      </c>
      <c r="CC197" s="11"/>
      <c r="CE197" s="13">
        <v>1</v>
      </c>
      <c r="CF197" s="5">
        <f>SUM(CF16:CG16,CF20:CG20)*CE197</f>
        <v>0</v>
      </c>
      <c r="CG197" s="12"/>
      <c r="CI197" s="13">
        <v>1</v>
      </c>
      <c r="CJ197" s="5">
        <f>SUM(CJ16:CK16,CJ20:CK20)*CI197</f>
        <v>0</v>
      </c>
      <c r="CK197" s="12"/>
      <c r="CM197" s="13">
        <v>1</v>
      </c>
      <c r="CN197" s="5">
        <f>SUM(CN16:CO16,CN20:CO20)*CM197</f>
        <v>0</v>
      </c>
      <c r="CO197" s="12"/>
      <c r="CQ197" s="13">
        <v>1</v>
      </c>
      <c r="CR197" s="5">
        <f>SUM(CR16:CS16,CR20:CS20)*CQ197</f>
        <v>0</v>
      </c>
      <c r="CS197" s="12"/>
      <c r="CU197" s="13">
        <v>1</v>
      </c>
      <c r="CV197" s="5">
        <f>SUM(CV16:CW16,CV20:CW20)*CU197</f>
        <v>0</v>
      </c>
      <c r="CW197" s="12"/>
      <c r="CY197" s="13">
        <v>2</v>
      </c>
      <c r="CZ197" s="5">
        <f>SUM(CZ16:DA16,CZ20:DA20)*CY197</f>
        <v>0</v>
      </c>
      <c r="DA197" s="12"/>
      <c r="DC197" s="13">
        <v>2</v>
      </c>
      <c r="DD197" s="5">
        <f>SUM(DD16:DE16,DD20:DE20)*DC197</f>
        <v>0</v>
      </c>
      <c r="DE197" s="12"/>
      <c r="DG197" s="13">
        <v>2</v>
      </c>
      <c r="DH197" s="5">
        <f>SUM(DH16:DI16,DH20:DI20)*DG197</f>
        <v>0</v>
      </c>
      <c r="DI197" s="12"/>
      <c r="DK197" s="13">
        <v>2</v>
      </c>
      <c r="DL197" s="5">
        <f>SUM(DL16:DM16,DL20:DM20)*DK197</f>
        <v>0</v>
      </c>
      <c r="DM197" s="12"/>
      <c r="DO197" s="13">
        <v>2</v>
      </c>
      <c r="DP197" s="5">
        <f>SUM(DP16:DQ16,DP20:DQ20)*DO197</f>
        <v>0</v>
      </c>
      <c r="DQ197" s="12"/>
      <c r="DS197" s="1336">
        <f t="shared" si="0"/>
        <v>0</v>
      </c>
      <c r="DT197" s="121">
        <f>EXTRAS!D61</f>
        <v>0</v>
      </c>
      <c r="DU197" s="112">
        <f>EXTRAS!E61</f>
        <v>0</v>
      </c>
      <c r="DX197" s="203">
        <f t="shared" si="1"/>
        <v>0</v>
      </c>
      <c r="DZ197" s="924"/>
      <c r="EH197" s="924"/>
    </row>
    <row r="198" spans="1:138" s="6" customFormat="1" ht="15" customHeight="1">
      <c r="A198" s="3">
        <v>47</v>
      </c>
      <c r="B198" s="210" t="s">
        <v>124</v>
      </c>
      <c r="C198" s="473" t="s">
        <v>515</v>
      </c>
      <c r="D198" s="4"/>
      <c r="E198" s="5"/>
      <c r="F198" s="5"/>
      <c r="G198" s="4"/>
      <c r="H198" s="4"/>
      <c r="I198" s="4"/>
      <c r="J198" s="4"/>
      <c r="K198" s="5"/>
      <c r="L198" s="5"/>
      <c r="M198" s="5"/>
      <c r="O198" s="5"/>
      <c r="P198" s="5"/>
      <c r="Q198" s="5"/>
      <c r="S198" s="5"/>
      <c r="T198" s="5"/>
      <c r="U198" s="5"/>
      <c r="W198" s="5"/>
      <c r="X198" s="5"/>
      <c r="Y198" s="12"/>
      <c r="AA198" s="13"/>
      <c r="AB198" s="12"/>
      <c r="AD198" s="5"/>
      <c r="AE198" s="5"/>
      <c r="AF198" s="5"/>
      <c r="AH198" s="5"/>
      <c r="AI198" s="5"/>
      <c r="AK198" s="5"/>
      <c r="AL198" s="5"/>
      <c r="AM198" s="5"/>
      <c r="AO198" s="5"/>
      <c r="AP198" s="5"/>
      <c r="AR198" s="5"/>
      <c r="AS198" s="5"/>
      <c r="AT198" s="5"/>
      <c r="AV198" s="5"/>
      <c r="AW198" s="5"/>
      <c r="AY198" s="5"/>
      <c r="AZ198" s="5"/>
      <c r="BA198" s="5"/>
      <c r="BC198" s="5"/>
      <c r="BD198" s="5"/>
      <c r="BF198" s="5"/>
      <c r="BG198" s="5"/>
      <c r="BH198" s="5"/>
      <c r="BJ198" s="5"/>
      <c r="BK198" s="5"/>
      <c r="BL198" s="12"/>
      <c r="BM198" s="5"/>
      <c r="BN198" s="5"/>
      <c r="BO198" s="5"/>
      <c r="BQ198" s="5"/>
      <c r="BR198" s="5"/>
      <c r="BT198" s="5"/>
      <c r="BU198" s="5"/>
      <c r="BV198" s="5"/>
      <c r="BX198" s="5"/>
      <c r="BY198" s="5"/>
      <c r="CA198" s="13"/>
      <c r="CB198" s="7"/>
      <c r="CC198" s="11"/>
      <c r="CE198" s="13">
        <v>1</v>
      </c>
      <c r="CF198" s="5">
        <f>SUM(CF16:CG16,CF20:CG20,CF18:CG18,CF22:CG22,CF25:CG25)*CE198</f>
        <v>0</v>
      </c>
      <c r="CG198" s="12"/>
      <c r="CI198" s="13">
        <v>1</v>
      </c>
      <c r="CJ198" s="5">
        <f>SUM(CJ16:CK16,CJ20:CK20,CJ18:CK18,CJ22:CK22,CJ25:CK25)*CI198</f>
        <v>0</v>
      </c>
      <c r="CK198" s="12"/>
      <c r="CM198" s="13">
        <v>1</v>
      </c>
      <c r="CN198" s="5">
        <f>SUM(CN16:CO16,CN20:CO20,CN18:CO18,CN22:CO22,CN25:CO25)*CM198</f>
        <v>0</v>
      </c>
      <c r="CO198" s="12"/>
      <c r="CQ198" s="13">
        <v>1</v>
      </c>
      <c r="CR198" s="5">
        <f>SUM(CR16:CS16,CR20:CS20,CR18:CS18,CR22:CS22,CR25:CS25)*CQ198</f>
        <v>0</v>
      </c>
      <c r="CS198" s="12"/>
      <c r="CU198" s="13">
        <v>1</v>
      </c>
      <c r="CV198" s="5">
        <f>SUM(CV16:CW16,CV20:CW20,CV18:CW18,CV22:CW22,CV25:CW25)*CU198</f>
        <v>0</v>
      </c>
      <c r="CW198" s="12"/>
      <c r="CY198" s="13">
        <v>1</v>
      </c>
      <c r="CZ198" s="5">
        <f>SUM(CZ16:DA16,CZ20:DA20,CZ18:DA18)*2+SUM(CZ22:DA22)*2+SUM(CZ25:DA25)*(2)*CY198</f>
        <v>0</v>
      </c>
      <c r="DA198" s="12"/>
      <c r="DC198" s="13">
        <v>1</v>
      </c>
      <c r="DD198" s="5">
        <f>SUM(DD16:DE16,DD20:DE20,DD18:DE18)*2+SUM(DD22:DE22)*2+SUM(DD25:DE25)*(2)*DC198</f>
        <v>0</v>
      </c>
      <c r="DE198" s="12"/>
      <c r="DG198" s="13">
        <v>1</v>
      </c>
      <c r="DH198" s="5">
        <f>SUM(DH16:DI16,DH20:DI20,DH18:DI18)*2+SUM(DH22:DI22)*2+SUM(DH25:DI25)*(2)*DG198</f>
        <v>0</v>
      </c>
      <c r="DI198" s="12"/>
      <c r="DK198" s="13">
        <v>1</v>
      </c>
      <c r="DL198" s="5">
        <f>SUM(DL16:DM16,DL20:DM20,DL18:DM18)*2+SUM(DL22:DM22)*2+SUM(DL25:DM25)*(2)*DK198</f>
        <v>0</v>
      </c>
      <c r="DM198" s="12"/>
      <c r="DO198" s="13">
        <v>1</v>
      </c>
      <c r="DP198" s="5">
        <f>SUM(DP16:DQ16,DP20:DQ20,DP18:DQ18)*2+SUM(DP22:DQ22)*2+SUM(DP25:DQ25)*(2)*DO198</f>
        <v>0</v>
      </c>
      <c r="DQ198" s="12"/>
      <c r="DS198" s="1336">
        <f t="shared" si="0"/>
        <v>0</v>
      </c>
      <c r="DT198" s="121">
        <f>EXTRAS!D62</f>
        <v>0</v>
      </c>
      <c r="DU198" s="112">
        <f>EXTRAS!E62</f>
        <v>0</v>
      </c>
      <c r="DX198" s="203">
        <f t="shared" si="1"/>
        <v>0</v>
      </c>
      <c r="DZ198" s="924"/>
      <c r="EH198" s="924"/>
    </row>
    <row r="199" spans="1:138" s="6" customFormat="1" ht="15" customHeight="1">
      <c r="A199" s="3">
        <v>48</v>
      </c>
      <c r="B199" s="210" t="s">
        <v>125</v>
      </c>
      <c r="C199" s="473" t="s">
        <v>515</v>
      </c>
      <c r="D199" s="4"/>
      <c r="E199" s="5"/>
      <c r="F199" s="5"/>
      <c r="G199" s="4"/>
      <c r="H199" s="4">
        <v>1</v>
      </c>
      <c r="I199" s="658">
        <f>SUM(I19,I23,I26)*H199</f>
        <v>0</v>
      </c>
      <c r="J199" s="4"/>
      <c r="K199" s="5">
        <v>2</v>
      </c>
      <c r="L199" s="5">
        <f>L19*K199+M19*K199+L23*K199+M23*K199+L26*K199+M26*K199</f>
        <v>0</v>
      </c>
      <c r="M199" s="5"/>
      <c r="O199" s="5">
        <v>2</v>
      </c>
      <c r="P199" s="5">
        <f>P19*O199+Q19*O199+P23*O199+Q23*O199+P26*O199+Q26*O199</f>
        <v>0</v>
      </c>
      <c r="Q199" s="5"/>
      <c r="S199" s="5">
        <v>1</v>
      </c>
      <c r="T199" s="5">
        <f>T19*S199+U19*S199+T23*S199+U23*S199+T26*S199+U26*S199</f>
        <v>0</v>
      </c>
      <c r="U199" s="5"/>
      <c r="W199" s="5">
        <v>1</v>
      </c>
      <c r="X199" s="5">
        <f>X19*W199+Y19*W199+X23*W199+Y23*W199+X26*W199+Y26*W199</f>
        <v>0</v>
      </c>
      <c r="Y199" s="12"/>
      <c r="AA199" s="13">
        <v>1</v>
      </c>
      <c r="AB199" s="12">
        <f>AB19*AA199+AC19*AA199+AB23*AA199+AC23*AA199+AB26*AA199+AC26*AA199</f>
        <v>0</v>
      </c>
      <c r="AD199" s="5"/>
      <c r="AE199" s="5"/>
      <c r="AF199" s="5"/>
      <c r="AH199" s="5"/>
      <c r="AI199" s="5"/>
      <c r="AK199" s="5"/>
      <c r="AL199" s="5"/>
      <c r="AM199" s="5"/>
      <c r="AO199" s="5"/>
      <c r="AP199" s="5"/>
      <c r="AR199" s="5">
        <v>2</v>
      </c>
      <c r="AS199" s="5">
        <f>AS19*AR199+AT19*AR199+AS23*AR199+AT23*AR199+AS26*AR199+AT26*AR199</f>
        <v>0</v>
      </c>
      <c r="AT199" s="5"/>
      <c r="AV199" s="5">
        <v>2</v>
      </c>
      <c r="AW199" s="5">
        <f>AW19*AV199+AX19*AV199+AW23*AV199+AX23*AV199+AW26*AV199+AX26*AV199</f>
        <v>0</v>
      </c>
      <c r="AY199" s="5">
        <v>1</v>
      </c>
      <c r="AZ199" s="5">
        <f>AZ19*AY199+BA19*AY199+AZ23*AY199+BA23*AY199+AZ26*AY199+BA26*AY199</f>
        <v>0</v>
      </c>
      <c r="BA199" s="5"/>
      <c r="BC199" s="5">
        <v>1</v>
      </c>
      <c r="BD199" s="5">
        <f>BD19*BC199+BE19*BC199+BD23*BC199+BE23*BC199+BD26*BC199+BE26*BC199</f>
        <v>0</v>
      </c>
      <c r="BF199" s="5">
        <v>3</v>
      </c>
      <c r="BG199" s="5">
        <f>BG19*BF199+BH19*BF199+BG23*BF199+BH23*BF199+BG26*BF199+BH26*BF199</f>
        <v>0</v>
      </c>
      <c r="BH199" s="5"/>
      <c r="BJ199" s="5">
        <v>3</v>
      </c>
      <c r="BK199" s="5">
        <f>BK19*BJ199+BL19*BJ199+BK23*BJ199+BL23*BJ199+BK26*BJ199+BL26*BJ199</f>
        <v>0</v>
      </c>
      <c r="BL199" s="12"/>
      <c r="BM199" s="5">
        <v>3</v>
      </c>
      <c r="BN199" s="5">
        <f>BN19*BM199+BO19*BM199+BN23*BM199+BO23*BM199+BN26*BM199+BO26*BM199</f>
        <v>0</v>
      </c>
      <c r="BO199" s="5"/>
      <c r="BQ199" s="5">
        <v>3</v>
      </c>
      <c r="BR199" s="5">
        <f>BR19*BQ199+BS19*BQ199+BR23*BQ199+BS23*BQ199+BR26*BQ199+BS26*BQ199</f>
        <v>0</v>
      </c>
      <c r="BT199" s="5">
        <v>3</v>
      </c>
      <c r="BU199" s="5">
        <f>BU19*BT199+BV19*BT199+BU23*BT199+BV23*BT199+BU26*BT199+BV26*BT199</f>
        <v>0</v>
      </c>
      <c r="BV199" s="5"/>
      <c r="BX199" s="5">
        <v>3</v>
      </c>
      <c r="BY199" s="5">
        <f>BY19*BX199+BZ19*BX199+BY23*BX199+BZ23*BX199+BY26*BX199+BZ26*BX199</f>
        <v>0</v>
      </c>
      <c r="CA199" s="13">
        <v>1</v>
      </c>
      <c r="CB199" s="5">
        <f>CB19*CA199+CC19*CA199+CB23*CA199+CC23*CA199+CB26*CA199+CC26*CA199</f>
        <v>0</v>
      </c>
      <c r="CC199" s="11"/>
      <c r="CE199" s="13">
        <v>1</v>
      </c>
      <c r="CF199" s="5">
        <f>SUM(CF17:CG17,CF21:CG21,CF24:CG24)*CE199</f>
        <v>0</v>
      </c>
      <c r="CG199" s="12"/>
      <c r="CI199" s="13">
        <v>1</v>
      </c>
      <c r="CJ199" s="5">
        <f>SUM(CJ17:CK17,CJ21:CK21,CJ24:CK24)*CI199</f>
        <v>0</v>
      </c>
      <c r="CK199" s="12"/>
      <c r="CM199" s="13">
        <v>1</v>
      </c>
      <c r="CN199" s="5">
        <f>SUM(CN17:CO17,CN21:CO21,CN24:CO24)*CM199</f>
        <v>0</v>
      </c>
      <c r="CO199" s="12"/>
      <c r="CQ199" s="13">
        <v>1</v>
      </c>
      <c r="CR199" s="5">
        <f>SUM(CR17:CS17,CR21:CS21,CR24:CS24)*CQ199</f>
        <v>0</v>
      </c>
      <c r="CS199" s="12"/>
      <c r="CU199" s="13">
        <v>1</v>
      </c>
      <c r="CV199" s="5">
        <f>SUM(CV17:CW17,CV21:CW21,CV24:CW24)*CU199</f>
        <v>0</v>
      </c>
      <c r="CW199" s="12"/>
      <c r="CY199" s="13">
        <v>1</v>
      </c>
      <c r="CZ199" s="5">
        <f>SUM(CZ17:DA17,CZ21:DA21,CZ24:DA24)*CY199</f>
        <v>0</v>
      </c>
      <c r="DA199" s="12"/>
      <c r="DC199" s="13">
        <v>1</v>
      </c>
      <c r="DD199" s="5">
        <f>SUM(DD17:DE17,DD21:DE21,DD24:DE24)*DC199</f>
        <v>0</v>
      </c>
      <c r="DE199" s="12"/>
      <c r="DG199" s="13">
        <v>1</v>
      </c>
      <c r="DH199" s="5">
        <f>SUM(DH17:DI17,DH21:DI21,DH24:DI24)*DG199</f>
        <v>0</v>
      </c>
      <c r="DI199" s="12"/>
      <c r="DK199" s="13">
        <v>1</v>
      </c>
      <c r="DL199" s="5">
        <f>SUM(DL17:DM17,DL21:DM21,DL24:DM24)*DK199</f>
        <v>0</v>
      </c>
      <c r="DM199" s="12"/>
      <c r="DO199" s="13">
        <v>1</v>
      </c>
      <c r="DP199" s="5">
        <f>SUM(DP17:DQ17,DP21:DQ21,DP24:DQ24)*DO199</f>
        <v>0</v>
      </c>
      <c r="DQ199" s="12"/>
      <c r="DS199" s="1336">
        <f t="shared" si="0"/>
        <v>0</v>
      </c>
      <c r="DT199" s="121">
        <f>EXTRAS!D63</f>
        <v>0</v>
      </c>
      <c r="DU199" s="112">
        <f>EXTRAS!E63</f>
        <v>0</v>
      </c>
      <c r="DX199" s="203">
        <f t="shared" si="1"/>
        <v>0</v>
      </c>
      <c r="DZ199" s="924"/>
      <c r="EH199" s="924"/>
    </row>
    <row r="200" spans="1:138" s="6" customFormat="1" ht="15" customHeight="1">
      <c r="A200" s="3">
        <v>49</v>
      </c>
      <c r="B200" s="210" t="s">
        <v>126</v>
      </c>
      <c r="C200" s="473" t="s">
        <v>515</v>
      </c>
      <c r="D200" s="4"/>
      <c r="E200" s="5"/>
      <c r="F200" s="5"/>
      <c r="G200" s="4"/>
      <c r="H200" s="4"/>
      <c r="I200" s="4"/>
      <c r="J200" s="4"/>
      <c r="K200" s="5"/>
      <c r="L200" s="5"/>
      <c r="M200" s="5"/>
      <c r="O200" s="5"/>
      <c r="P200" s="5"/>
      <c r="Q200" s="5"/>
      <c r="S200" s="5"/>
      <c r="T200" s="5"/>
      <c r="U200" s="5"/>
      <c r="W200" s="5"/>
      <c r="X200" s="5"/>
      <c r="Y200" s="12"/>
      <c r="AA200" s="13"/>
      <c r="AB200" s="12"/>
      <c r="AD200" s="5"/>
      <c r="AE200" s="5"/>
      <c r="AF200" s="5"/>
      <c r="AH200" s="5"/>
      <c r="AI200" s="5"/>
      <c r="AK200" s="5"/>
      <c r="AL200" s="5"/>
      <c r="AM200" s="5"/>
      <c r="AO200" s="5"/>
      <c r="AP200" s="5"/>
      <c r="AR200" s="5"/>
      <c r="AS200" s="5"/>
      <c r="AT200" s="5"/>
      <c r="AV200" s="5"/>
      <c r="AW200" s="5"/>
      <c r="AY200" s="5">
        <v>2</v>
      </c>
      <c r="AZ200" s="5">
        <f>AZ19*AY200+BA19*AY200+AZ23*AY200+BA23*AY200+AZ26*AY200+BA26*AY200</f>
        <v>0</v>
      </c>
      <c r="BA200" s="5"/>
      <c r="BC200" s="5">
        <v>2</v>
      </c>
      <c r="BD200" s="5">
        <f>BD19*BC200+BE19*BC200+BD23*BC200+BE23*BC200+BD26*BC200+BE26*BC200</f>
        <v>0</v>
      </c>
      <c r="BF200" s="5"/>
      <c r="BG200" s="5"/>
      <c r="BH200" s="5"/>
      <c r="BJ200" s="5"/>
      <c r="BK200" s="5"/>
      <c r="BL200" s="12"/>
      <c r="BM200" s="5"/>
      <c r="BN200" s="5"/>
      <c r="BO200" s="5"/>
      <c r="BQ200" s="5"/>
      <c r="BR200" s="5"/>
      <c r="BT200" s="5"/>
      <c r="BU200" s="5"/>
      <c r="BV200" s="5"/>
      <c r="BX200" s="5"/>
      <c r="BY200" s="5"/>
      <c r="CA200" s="13">
        <v>1</v>
      </c>
      <c r="CB200" s="5">
        <f>CB19*CA200+CC19*CA200+CB23*CA200+CC23*CA200+CB26*CA200+CC26*CA200</f>
        <v>0</v>
      </c>
      <c r="CC200" s="11"/>
      <c r="CE200" s="13">
        <v>1</v>
      </c>
      <c r="CF200" s="5">
        <f>SUM(CF17:CG17,CF21:CG21,CF24:CG24)*CE200</f>
        <v>0</v>
      </c>
      <c r="CG200" s="12"/>
      <c r="CI200" s="13">
        <v>1</v>
      </c>
      <c r="CJ200" s="5">
        <f>SUM(CJ17:CK17,CJ21:CK21,CJ24:CK24)*CI200</f>
        <v>0</v>
      </c>
      <c r="CK200" s="12"/>
      <c r="CM200" s="13">
        <v>1</v>
      </c>
      <c r="CN200" s="5">
        <f>SUM(CN17:CO17,CN21:CO21,CN24:CO24)*CM200</f>
        <v>0</v>
      </c>
      <c r="CO200" s="12"/>
      <c r="CQ200" s="13">
        <v>1</v>
      </c>
      <c r="CR200" s="5">
        <f>SUM(CR17:CS17,CR21:CS21,CR24:CS24)*CQ200</f>
        <v>0</v>
      </c>
      <c r="CS200" s="12"/>
      <c r="CU200" s="13">
        <v>1</v>
      </c>
      <c r="CV200" s="5">
        <f>SUM(CV17:CW17,CV21:CW21,CV24:CW24)*CU200</f>
        <v>0</v>
      </c>
      <c r="CW200" s="12"/>
      <c r="CY200" s="13">
        <v>1</v>
      </c>
      <c r="CZ200" s="5">
        <f>SUM(CZ17:DA17,CZ21:DA21,CZ24:DA24)*CY200</f>
        <v>0</v>
      </c>
      <c r="DA200" s="12"/>
      <c r="DC200" s="13">
        <v>1</v>
      </c>
      <c r="DD200" s="5">
        <f>SUM(DD17:DE17,DD21:DE21,DD24:DE24)*DC200</f>
        <v>0</v>
      </c>
      <c r="DE200" s="12"/>
      <c r="DG200" s="13">
        <v>1</v>
      </c>
      <c r="DH200" s="5">
        <f>SUM(DH17:DI17,DH21:DI21,DH24:DI24)*DG200</f>
        <v>0</v>
      </c>
      <c r="DI200" s="12"/>
      <c r="DK200" s="13">
        <v>1</v>
      </c>
      <c r="DL200" s="5">
        <f>SUM(DL17:DM17,DL21:DM21,DL24:DM24)*DK200</f>
        <v>0</v>
      </c>
      <c r="DM200" s="12"/>
      <c r="DO200" s="13">
        <v>1</v>
      </c>
      <c r="DP200" s="5">
        <f>SUM(DP17:DQ17,DP21:DQ21,DP24:DQ24)*DO200</f>
        <v>0</v>
      </c>
      <c r="DQ200" s="12"/>
      <c r="DS200" s="1336">
        <f t="shared" si="0"/>
        <v>0</v>
      </c>
      <c r="DT200" s="121">
        <f>EXTRAS!D64</f>
        <v>0</v>
      </c>
      <c r="DU200" s="112">
        <f>EXTRAS!E64</f>
        <v>0</v>
      </c>
      <c r="DX200" s="203">
        <f t="shared" si="1"/>
        <v>0</v>
      </c>
      <c r="DZ200" s="924"/>
      <c r="EH200" s="924"/>
    </row>
    <row r="201" spans="1:138" s="6" customFormat="1" ht="15" customHeight="1">
      <c r="A201" s="3">
        <v>50</v>
      </c>
      <c r="B201" s="210" t="s">
        <v>127</v>
      </c>
      <c r="C201" s="473" t="s">
        <v>515</v>
      </c>
      <c r="D201" s="4"/>
      <c r="E201" s="5">
        <v>2</v>
      </c>
      <c r="F201" s="5">
        <f>F19*E201+G19*E201+F23*E201+G23*E201+F26*E201+G26*E201</f>
        <v>0</v>
      </c>
      <c r="G201" s="4"/>
      <c r="H201" s="4"/>
      <c r="I201" s="4"/>
      <c r="J201" s="4"/>
      <c r="K201" s="5"/>
      <c r="L201" s="5"/>
      <c r="M201" s="5"/>
      <c r="O201" s="5"/>
      <c r="P201" s="5"/>
      <c r="Q201" s="5"/>
      <c r="S201" s="5"/>
      <c r="T201" s="5"/>
      <c r="U201" s="5"/>
      <c r="W201" s="5"/>
      <c r="X201" s="5"/>
      <c r="Y201" s="12"/>
      <c r="AA201" s="13"/>
      <c r="AB201" s="12"/>
      <c r="AD201" s="5">
        <v>1</v>
      </c>
      <c r="AE201" s="5">
        <f>AE19*AD201+AF19*AD201+AE23*AD201+AF23*AD201+AE26*AD201+AF26*AD201</f>
        <v>0</v>
      </c>
      <c r="AF201" s="5"/>
      <c r="AH201" s="5">
        <v>1</v>
      </c>
      <c r="AI201" s="5">
        <f>AI19*AH201+AJ19*AH201+AI23*AH201+AJ23*AH201+AI26*AH201+AJ26*AH201</f>
        <v>0</v>
      </c>
      <c r="AK201" s="5">
        <v>2</v>
      </c>
      <c r="AL201" s="5">
        <f>AL19*AK201+AM19*AK201+AL23*AK201+AM23*AK201+AL26*AK201+AM26*AK201</f>
        <v>0</v>
      </c>
      <c r="AM201" s="5"/>
      <c r="AO201" s="5">
        <v>2</v>
      </c>
      <c r="AP201" s="5">
        <f>AP19*AO201+AQ19*AO201+AP23*AO201+AQ23*AO201+AP26*AO201+AQ26*AO201</f>
        <v>0</v>
      </c>
      <c r="AR201" s="5"/>
      <c r="AS201" s="5"/>
      <c r="AT201" s="5"/>
      <c r="AV201" s="5"/>
      <c r="AW201" s="5"/>
      <c r="AY201" s="5"/>
      <c r="AZ201" s="5"/>
      <c r="BA201" s="5"/>
      <c r="BC201" s="5"/>
      <c r="BD201" s="5"/>
      <c r="BF201" s="5"/>
      <c r="BG201" s="5"/>
      <c r="BH201" s="5"/>
      <c r="BJ201" s="5"/>
      <c r="BK201" s="5"/>
      <c r="BL201" s="12"/>
      <c r="BM201" s="5"/>
      <c r="BN201" s="5"/>
      <c r="BO201" s="5"/>
      <c r="BQ201" s="5"/>
      <c r="BR201" s="5"/>
      <c r="BT201" s="5"/>
      <c r="BU201" s="5"/>
      <c r="BV201" s="5"/>
      <c r="BX201" s="5"/>
      <c r="BY201" s="5"/>
      <c r="CA201" s="13">
        <v>1</v>
      </c>
      <c r="CB201" s="5">
        <f>CB19*CA201+CC19*CA201+CB23*CA201+CC23*CA201+CB26*CA201+CC26*CA201</f>
        <v>0</v>
      </c>
      <c r="CC201" s="11"/>
      <c r="CE201" s="13">
        <v>1</v>
      </c>
      <c r="CF201" s="5">
        <f>SUM(CF17:CG17,CF21:CG21,CF24:CG24,CF18:CG18,CF22:CG22,CF25:CG25)*CE201</f>
        <v>0</v>
      </c>
      <c r="CG201" s="12"/>
      <c r="CI201" s="13">
        <v>1</v>
      </c>
      <c r="CJ201" s="5">
        <f>SUM(CJ17:CK17,CJ21:CK21,CJ24:CK24,CJ18:CK18,CJ22:CK22,CJ25:CK25)*CI201</f>
        <v>0</v>
      </c>
      <c r="CK201" s="12"/>
      <c r="CM201" s="13">
        <v>1</v>
      </c>
      <c r="CN201" s="5">
        <f>SUM(CN17:CO17,CN21:CO21,CN24:CO24,CN18:CO18,CN22:CO22,CN25:CO25)*CM201</f>
        <v>0</v>
      </c>
      <c r="CO201" s="12"/>
      <c r="CQ201" s="13">
        <v>1</v>
      </c>
      <c r="CR201" s="5">
        <f>SUM(CR17:CS17,CR21:CS21,CR24:CS24,CR18:CS18,CR22:CS22,CR25:CS25)*CQ201</f>
        <v>0</v>
      </c>
      <c r="CS201" s="12"/>
      <c r="CU201" s="13">
        <v>1</v>
      </c>
      <c r="CV201" s="5">
        <f>SUM(CV17:CW17,CV21:CW21,CV24:CW24,CV18:CW18,CV22:CW22,CV25:CW25)*CU201</f>
        <v>0</v>
      </c>
      <c r="CW201" s="12"/>
      <c r="CY201" s="13">
        <v>1</v>
      </c>
      <c r="CZ201" s="5">
        <f>SUM(CZ17:DA17,CZ21:DA21,CZ24:DA24,CZ18:DA18,CZ22:DA22,CZ25:DA25)*CY201</f>
        <v>0</v>
      </c>
      <c r="DA201" s="12"/>
      <c r="DC201" s="13">
        <v>1</v>
      </c>
      <c r="DD201" s="5">
        <f>SUM(DD17:DE17,DD21:DE21,DD24:DE24,DD18:DE18,DD22:DE22,DD25:DE25)*DC201</f>
        <v>0</v>
      </c>
      <c r="DE201" s="12"/>
      <c r="DG201" s="13">
        <v>1</v>
      </c>
      <c r="DH201" s="5">
        <f>SUM(DH17:DI17,DH21:DI21,DH24:DI24,DH18:DI18,DH22:DI22,DH25:DI25)*DG201</f>
        <v>0</v>
      </c>
      <c r="DI201" s="12"/>
      <c r="DK201" s="13">
        <v>1</v>
      </c>
      <c r="DL201" s="5">
        <f>SUM(DL17:DM17,DL21:DM21,DL24:DM24,DL18:DM18,DL22:DM22,DL25:DM25)*DK201</f>
        <v>0</v>
      </c>
      <c r="DM201" s="12"/>
      <c r="DO201" s="13">
        <v>1</v>
      </c>
      <c r="DP201" s="5">
        <f>SUM(DP17:DQ17,DP21:DQ21,DP24:DQ24,DP18:DQ18,DP22:DQ22,DP25:DQ25)*DO201</f>
        <v>0</v>
      </c>
      <c r="DQ201" s="12"/>
      <c r="DS201" s="1336">
        <f t="shared" si="0"/>
        <v>0</v>
      </c>
      <c r="DT201" s="121">
        <f>EXTRAS!D65</f>
        <v>0</v>
      </c>
      <c r="DU201" s="112">
        <f>EXTRAS!E65</f>
        <v>0</v>
      </c>
      <c r="DX201" s="203">
        <f t="shared" si="1"/>
        <v>0</v>
      </c>
      <c r="DZ201" s="924"/>
      <c r="EH201" s="924"/>
    </row>
    <row r="202" spans="1:138" s="6" customFormat="1" ht="15" customHeight="1">
      <c r="A202" s="3">
        <v>51</v>
      </c>
      <c r="B202" s="210" t="s">
        <v>211</v>
      </c>
      <c r="C202" s="473" t="s">
        <v>515</v>
      </c>
      <c r="D202" s="4"/>
      <c r="E202" s="5"/>
      <c r="F202" s="5"/>
      <c r="G202" s="4"/>
      <c r="H202" s="4"/>
      <c r="I202" s="4"/>
      <c r="J202" s="4"/>
      <c r="K202" s="5"/>
      <c r="L202" s="5"/>
      <c r="M202" s="5"/>
      <c r="O202" s="5"/>
      <c r="P202" s="5"/>
      <c r="Q202" s="5"/>
      <c r="S202" s="5"/>
      <c r="T202" s="5"/>
      <c r="U202" s="5"/>
      <c r="W202" s="5"/>
      <c r="X202" s="5"/>
      <c r="Y202" s="12"/>
      <c r="AA202" s="13"/>
      <c r="AB202" s="12"/>
      <c r="AD202" s="13"/>
      <c r="AE202" s="5"/>
      <c r="AF202" s="5"/>
      <c r="AH202" s="13"/>
      <c r="AI202" s="5"/>
      <c r="AK202" s="5"/>
      <c r="AL202" s="5"/>
      <c r="AM202" s="5"/>
      <c r="AO202" s="5"/>
      <c r="AP202" s="5"/>
      <c r="AR202" s="5"/>
      <c r="AS202" s="5"/>
      <c r="AT202" s="5"/>
      <c r="AV202" s="5"/>
      <c r="AW202" s="5"/>
      <c r="AY202" s="5"/>
      <c r="AZ202" s="5"/>
      <c r="BA202" s="5"/>
      <c r="BC202" s="5"/>
      <c r="BD202" s="5"/>
      <c r="BF202" s="13"/>
      <c r="BG202" s="5"/>
      <c r="BH202" s="5"/>
      <c r="BJ202" s="13"/>
      <c r="BK202" s="5"/>
      <c r="BL202" s="12"/>
      <c r="BM202" s="13"/>
      <c r="BN202" s="5"/>
      <c r="BO202" s="5"/>
      <c r="BQ202" s="13"/>
      <c r="BR202" s="5"/>
      <c r="BT202" s="13"/>
      <c r="BU202" s="5"/>
      <c r="BV202" s="5"/>
      <c r="BX202" s="13"/>
      <c r="BY202" s="5"/>
      <c r="CA202" s="13"/>
      <c r="CB202" s="5"/>
      <c r="CC202" s="11"/>
      <c r="CE202" s="13">
        <v>1</v>
      </c>
      <c r="CF202" s="5">
        <f>SUM(CF18:CG18,CF22:CG22,CF25:CG25,CF19:CG19,CF23:CG23,CF26:CG26)*CE202</f>
        <v>0</v>
      </c>
      <c r="CG202" s="12"/>
      <c r="CI202" s="13">
        <v>1</v>
      </c>
      <c r="CJ202" s="5">
        <f>SUM(CJ18:CK18,CJ22:CK22,CJ25:CK25,CJ19:CK19,CJ23:CK23,CJ26:CK26)*CI202</f>
        <v>0</v>
      </c>
      <c r="CK202" s="12"/>
      <c r="CM202" s="13">
        <v>1</v>
      </c>
      <c r="CN202" s="5">
        <f>SUM(CN18:CO18,CN22:CO22,CN25:CO25,CN19:CO19,CN23:CO23,CN26:CO26)*CM202</f>
        <v>0</v>
      </c>
      <c r="CO202" s="12"/>
      <c r="CQ202" s="13">
        <v>1</v>
      </c>
      <c r="CR202" s="5">
        <f>SUM(CR18:CS18,CR22:CS22,CR25:CS25,CR19:CS19,CR23:CS23,CR26:CS26)*CQ202</f>
        <v>0</v>
      </c>
      <c r="CS202" s="12"/>
      <c r="CU202" s="13">
        <v>1</v>
      </c>
      <c r="CV202" s="5">
        <f>SUM(CV18:CW18,CV22:CW22,CV25:CW25,CV19:CW19,CV23:CW23,CV26:CW26)*CU202</f>
        <v>0</v>
      </c>
      <c r="CW202" s="12"/>
      <c r="CY202" s="13">
        <v>1</v>
      </c>
      <c r="CZ202" s="5">
        <f>SUM(CZ18:DA18,CZ22:DA22,CZ25:DA25,CZ19:DA19)*2+SUM(CZ23:DA23)*2+SUM(CZ26:DA26)*(2)*CY202</f>
        <v>0</v>
      </c>
      <c r="DA202" s="12"/>
      <c r="DC202" s="13">
        <v>1</v>
      </c>
      <c r="DD202" s="5">
        <f>SUM(DD18:DE18,DD22:DE22,DD25:DE25,DD19:DE19)*2+SUM(DD23:DE23)*2+SUM(DD26:DE26)*(2)*DC202</f>
        <v>0</v>
      </c>
      <c r="DE202" s="12"/>
      <c r="DG202" s="13">
        <v>1</v>
      </c>
      <c r="DH202" s="5">
        <f>SUM(DH18:DI18,DH22:DI22,DH25:DI25,DH19:DI19)*2+SUM(DH23:DI23)*2+SUM(DH26:DI26)*(2)*DG202</f>
        <v>0</v>
      </c>
      <c r="DI202" s="12"/>
      <c r="DK202" s="13">
        <v>1</v>
      </c>
      <c r="DL202" s="5">
        <f>SUM(DL18:DM18,DL22:DM22,DL25:DM25,DL19:DM19)*2+SUM(DL23:DM23)*2+SUM(DL26:DM26)*(2)*DK202</f>
        <v>0</v>
      </c>
      <c r="DM202" s="12"/>
      <c r="DO202" s="13">
        <v>1</v>
      </c>
      <c r="DP202" s="5">
        <f>SUM(DP18:DQ18,DP22:DQ22,DP25:DQ25,DP19:DQ19)*2+SUM(DP23:DQ23)*2+SUM(DP26:DQ26)*(2)*DO202</f>
        <v>0</v>
      </c>
      <c r="DQ202" s="12"/>
      <c r="DS202" s="1336">
        <f t="shared" si="0"/>
        <v>0</v>
      </c>
      <c r="DT202" s="121">
        <f>EXTRAS!D66</f>
        <v>0</v>
      </c>
      <c r="DU202" s="112">
        <f>EXTRAS!E66</f>
        <v>0</v>
      </c>
      <c r="DX202" s="203">
        <f t="shared" si="1"/>
        <v>0</v>
      </c>
      <c r="DZ202" s="924"/>
      <c r="EH202" s="924"/>
    </row>
    <row r="203" spans="1:138" s="6" customFormat="1" ht="15" customHeight="1">
      <c r="A203" s="3">
        <v>52</v>
      </c>
      <c r="B203" s="117" t="s">
        <v>1020</v>
      </c>
      <c r="C203" s="4" t="s">
        <v>0</v>
      </c>
      <c r="D203" s="4"/>
      <c r="E203" s="5"/>
      <c r="F203" s="5"/>
      <c r="G203" s="4"/>
      <c r="H203" s="4"/>
      <c r="I203" s="4"/>
      <c r="J203" s="4"/>
      <c r="K203" s="5"/>
      <c r="L203" s="5"/>
      <c r="M203" s="5"/>
      <c r="O203" s="5"/>
      <c r="P203" s="5"/>
      <c r="Q203" s="5"/>
      <c r="S203" s="5"/>
      <c r="T203" s="5"/>
      <c r="U203" s="5"/>
      <c r="W203" s="5"/>
      <c r="X203" s="5"/>
      <c r="Y203" s="12"/>
      <c r="AA203" s="13"/>
      <c r="AB203" s="12"/>
      <c r="AD203" s="13"/>
      <c r="AE203" s="5"/>
      <c r="AF203" s="5"/>
      <c r="AH203" s="13"/>
      <c r="AI203" s="5"/>
      <c r="AK203" s="5"/>
      <c r="AL203" s="5"/>
      <c r="AM203" s="5"/>
      <c r="AO203" s="5"/>
      <c r="AP203" s="5"/>
      <c r="AR203" s="5"/>
      <c r="AS203" s="5"/>
      <c r="AT203" s="5"/>
      <c r="AV203" s="5"/>
      <c r="AW203" s="5"/>
      <c r="AY203" s="5"/>
      <c r="AZ203" s="5"/>
      <c r="BA203" s="5"/>
      <c r="BC203" s="5"/>
      <c r="BD203" s="5"/>
      <c r="BF203" s="13"/>
      <c r="BG203" s="5"/>
      <c r="BH203" s="5"/>
      <c r="BJ203" s="13"/>
      <c r="BK203" s="5"/>
      <c r="BL203" s="12"/>
      <c r="BM203" s="13"/>
      <c r="BN203" s="5"/>
      <c r="BO203" s="5"/>
      <c r="BQ203" s="13"/>
      <c r="BR203" s="5"/>
      <c r="BT203" s="13"/>
      <c r="BU203" s="5"/>
      <c r="BV203" s="5"/>
      <c r="BX203" s="13"/>
      <c r="BY203" s="5"/>
      <c r="CA203" s="13"/>
      <c r="CB203" s="5"/>
      <c r="CC203" s="11"/>
      <c r="CE203" s="13">
        <v>1</v>
      </c>
      <c r="CF203" s="5">
        <f>SUM(CF18:CG18,CF22:CG22,CF25:CG25)*CE203</f>
        <v>0</v>
      </c>
      <c r="CG203" s="12"/>
      <c r="CI203" s="13">
        <v>1</v>
      </c>
      <c r="CJ203" s="5">
        <f>SUM(CJ18:CK18,CJ22:CK22,CJ25:CK25)*CI203</f>
        <v>0</v>
      </c>
      <c r="CK203" s="12"/>
      <c r="CM203" s="13">
        <v>1</v>
      </c>
      <c r="CN203" s="5">
        <f>SUM(CN18:CO18,CN22:CO22,CN25:CO25)*CM203</f>
        <v>0</v>
      </c>
      <c r="CO203" s="12"/>
      <c r="CQ203" s="13">
        <v>1</v>
      </c>
      <c r="CR203" s="5">
        <f>SUM(CR18:CS18,CR22:CS22,CR25:CS25)*CQ203</f>
        <v>0</v>
      </c>
      <c r="CS203" s="12"/>
      <c r="CU203" s="13">
        <v>1</v>
      </c>
      <c r="CV203" s="5">
        <f>SUM(CV18:CW18,CV22:CW22,CV25:CW25)*CU203</f>
        <v>0</v>
      </c>
      <c r="CW203" s="12"/>
      <c r="CY203" s="13">
        <v>1</v>
      </c>
      <c r="CZ203" s="5">
        <f>SUM(CZ18:DA18,CZ22:DA22,CZ25:DA25)*CY203</f>
        <v>0</v>
      </c>
      <c r="DA203" s="12"/>
      <c r="DC203" s="13">
        <v>1</v>
      </c>
      <c r="DD203" s="5">
        <f>SUM(DD18:DE18,DD22:DE22,DD25:DE25)*DC203</f>
        <v>0</v>
      </c>
      <c r="DE203" s="12"/>
      <c r="DG203" s="13">
        <v>1</v>
      </c>
      <c r="DH203" s="5">
        <f>SUM(DH18:DI18,DH22:DI22,DH25:DI25)*DG203</f>
        <v>0</v>
      </c>
      <c r="DI203" s="12"/>
      <c r="DK203" s="13">
        <v>1</v>
      </c>
      <c r="DL203" s="5">
        <f>SUM(DL18:DM18,DL22:DM22,DL25:DM25)*DK203</f>
        <v>0</v>
      </c>
      <c r="DM203" s="12"/>
      <c r="DO203" s="13">
        <v>1</v>
      </c>
      <c r="DP203" s="5">
        <f>SUM(DP18:DQ18,DP22:DQ22,DP25:DQ25)*DO203</f>
        <v>0</v>
      </c>
      <c r="DQ203" s="12"/>
      <c r="DS203" s="1336">
        <f t="shared" si="0"/>
        <v>0</v>
      </c>
      <c r="DT203" s="121">
        <f>EXTRAS!D67</f>
        <v>0</v>
      </c>
      <c r="DU203" s="112">
        <f>EXTRAS!E67</f>
        <v>0</v>
      </c>
      <c r="DX203" s="203">
        <f t="shared" si="1"/>
        <v>0</v>
      </c>
      <c r="DZ203" s="924"/>
      <c r="EH203" s="924"/>
    </row>
    <row r="204" spans="1:138" s="6" customFormat="1" ht="15" customHeight="1">
      <c r="A204" s="3">
        <v>53</v>
      </c>
      <c r="B204" s="117" t="s">
        <v>1255</v>
      </c>
      <c r="C204" s="4" t="s">
        <v>0</v>
      </c>
      <c r="D204" s="4"/>
      <c r="E204" s="5"/>
      <c r="F204" s="5"/>
      <c r="G204" s="4"/>
      <c r="H204" s="4"/>
      <c r="I204" s="4"/>
      <c r="J204" s="4"/>
      <c r="K204" s="5"/>
      <c r="L204" s="5"/>
      <c r="M204" s="5"/>
      <c r="O204" s="5"/>
      <c r="P204" s="5"/>
      <c r="Q204" s="5"/>
      <c r="S204" s="5"/>
      <c r="T204" s="5"/>
      <c r="U204" s="5"/>
      <c r="W204" s="5"/>
      <c r="X204" s="5"/>
      <c r="Y204" s="12"/>
      <c r="AA204" s="13"/>
      <c r="AB204" s="12"/>
      <c r="AD204" s="13"/>
      <c r="AE204" s="5"/>
      <c r="AF204" s="5"/>
      <c r="AH204" s="13"/>
      <c r="AI204" s="5"/>
      <c r="AK204" s="5"/>
      <c r="AL204" s="5"/>
      <c r="AM204" s="5"/>
      <c r="AO204" s="5"/>
      <c r="AP204" s="5"/>
      <c r="AR204" s="5"/>
      <c r="AS204" s="5"/>
      <c r="AT204" s="5"/>
      <c r="AV204" s="5"/>
      <c r="AW204" s="5"/>
      <c r="AY204" s="5"/>
      <c r="AZ204" s="5"/>
      <c r="BA204" s="5"/>
      <c r="BC204" s="5"/>
      <c r="BD204" s="5"/>
      <c r="BF204" s="13"/>
      <c r="BG204" s="5"/>
      <c r="BH204" s="5"/>
      <c r="BJ204" s="13"/>
      <c r="BK204" s="5"/>
      <c r="BL204" s="12"/>
      <c r="BM204" s="13"/>
      <c r="BN204" s="5"/>
      <c r="BO204" s="5"/>
      <c r="BQ204" s="13"/>
      <c r="BR204" s="5"/>
      <c r="BT204" s="13"/>
      <c r="BU204" s="5"/>
      <c r="BV204" s="5"/>
      <c r="BX204" s="13"/>
      <c r="BY204" s="5"/>
      <c r="CA204" s="13"/>
      <c r="CB204" s="5"/>
      <c r="CC204" s="11"/>
      <c r="CE204" s="13"/>
      <c r="CF204" s="5"/>
      <c r="CG204" s="12"/>
      <c r="CI204" s="13"/>
      <c r="CJ204" s="5"/>
      <c r="CK204" s="12"/>
      <c r="CM204" s="13"/>
      <c r="CN204" s="5"/>
      <c r="CO204" s="12"/>
      <c r="CQ204" s="13"/>
      <c r="CR204" s="5"/>
      <c r="CS204" s="12"/>
      <c r="CU204" s="13"/>
      <c r="CV204" s="5"/>
      <c r="CW204" s="12"/>
      <c r="CY204" s="13"/>
      <c r="CZ204" s="5"/>
      <c r="DA204" s="12"/>
      <c r="DC204" s="13"/>
      <c r="DD204" s="5"/>
      <c r="DE204" s="12"/>
      <c r="DG204" s="13"/>
      <c r="DH204" s="5"/>
      <c r="DI204" s="12"/>
      <c r="DK204" s="13"/>
      <c r="DL204" s="5"/>
      <c r="DM204" s="12"/>
      <c r="DO204" s="13"/>
      <c r="DP204" s="5"/>
      <c r="DQ204" s="12"/>
      <c r="DS204" s="1336">
        <f t="shared" si="0"/>
        <v>0</v>
      </c>
      <c r="DT204" s="121">
        <f>EXTRAS!D68</f>
        <v>0</v>
      </c>
      <c r="DU204" s="112">
        <f>EXTRAS!E68</f>
        <v>0</v>
      </c>
      <c r="DX204" s="203">
        <f t="shared" si="1"/>
        <v>0</v>
      </c>
      <c r="DZ204" s="924"/>
      <c r="EH204" s="924"/>
    </row>
    <row r="205" spans="1:138" s="6" customFormat="1" ht="15" customHeight="1">
      <c r="A205" s="3">
        <v>54</v>
      </c>
      <c r="B205" s="117" t="s">
        <v>1256</v>
      </c>
      <c r="C205" s="4" t="s">
        <v>0</v>
      </c>
      <c r="D205" s="4"/>
      <c r="E205" s="5"/>
      <c r="F205" s="5"/>
      <c r="G205" s="4"/>
      <c r="H205" s="4"/>
      <c r="I205" s="4"/>
      <c r="J205" s="4"/>
      <c r="K205" s="5"/>
      <c r="L205" s="5"/>
      <c r="M205" s="5"/>
      <c r="O205" s="5"/>
      <c r="P205" s="5"/>
      <c r="Q205" s="5"/>
      <c r="S205" s="5"/>
      <c r="T205" s="5"/>
      <c r="U205" s="5"/>
      <c r="W205" s="5"/>
      <c r="X205" s="5"/>
      <c r="Y205" s="12"/>
      <c r="AA205" s="13"/>
      <c r="AB205" s="12"/>
      <c r="AD205" s="13"/>
      <c r="AE205" s="5"/>
      <c r="AF205" s="5"/>
      <c r="AH205" s="13"/>
      <c r="AI205" s="5"/>
      <c r="AK205" s="5"/>
      <c r="AL205" s="5"/>
      <c r="AM205" s="5"/>
      <c r="AO205" s="5"/>
      <c r="AP205" s="5"/>
      <c r="AR205" s="5"/>
      <c r="AS205" s="5"/>
      <c r="AT205" s="5"/>
      <c r="AV205" s="5"/>
      <c r="AW205" s="5"/>
      <c r="AY205" s="5"/>
      <c r="AZ205" s="5"/>
      <c r="BA205" s="5"/>
      <c r="BC205" s="5"/>
      <c r="BD205" s="5"/>
      <c r="BF205" s="13"/>
      <c r="BG205" s="5"/>
      <c r="BH205" s="5"/>
      <c r="BJ205" s="13"/>
      <c r="BK205" s="5"/>
      <c r="BL205" s="12"/>
      <c r="BM205" s="13"/>
      <c r="BN205" s="5"/>
      <c r="BO205" s="5"/>
      <c r="BQ205" s="13"/>
      <c r="BR205" s="5"/>
      <c r="BT205" s="13"/>
      <c r="BU205" s="5"/>
      <c r="BV205" s="5"/>
      <c r="BX205" s="13"/>
      <c r="BY205" s="5"/>
      <c r="CA205" s="13"/>
      <c r="CB205" s="5"/>
      <c r="CC205" s="11"/>
      <c r="CE205" s="13"/>
      <c r="CF205" s="5"/>
      <c r="CG205" s="12"/>
      <c r="CI205" s="13"/>
      <c r="CJ205" s="5"/>
      <c r="CK205" s="12"/>
      <c r="CM205" s="13"/>
      <c r="CN205" s="5"/>
      <c r="CO205" s="12"/>
      <c r="CQ205" s="13"/>
      <c r="CR205" s="5"/>
      <c r="CS205" s="12"/>
      <c r="CU205" s="13"/>
      <c r="CV205" s="5"/>
      <c r="CW205" s="12"/>
      <c r="CY205" s="13"/>
      <c r="CZ205" s="5"/>
      <c r="DA205" s="12"/>
      <c r="DC205" s="13"/>
      <c r="DD205" s="5"/>
      <c r="DE205" s="12"/>
      <c r="DG205" s="13"/>
      <c r="DH205" s="5"/>
      <c r="DI205" s="12"/>
      <c r="DK205" s="13"/>
      <c r="DL205" s="5"/>
      <c r="DM205" s="12"/>
      <c r="DO205" s="13"/>
      <c r="DP205" s="5"/>
      <c r="DQ205" s="12"/>
      <c r="DS205" s="1336">
        <f t="shared" si="0"/>
        <v>0</v>
      </c>
      <c r="DT205" s="121">
        <f>EXTRAS!D69</f>
        <v>0</v>
      </c>
      <c r="DU205" s="112">
        <f>EXTRAS!E69</f>
        <v>0</v>
      </c>
      <c r="DX205" s="203">
        <f t="shared" si="1"/>
        <v>0</v>
      </c>
      <c r="DZ205" s="924"/>
      <c r="EH205" s="924"/>
    </row>
    <row r="206" spans="1:138" s="6" customFormat="1" ht="15" customHeight="1">
      <c r="A206" s="3">
        <v>55</v>
      </c>
      <c r="B206" s="117" t="s">
        <v>1257</v>
      </c>
      <c r="C206" s="4" t="s">
        <v>0</v>
      </c>
      <c r="D206" s="4"/>
      <c r="E206" s="5"/>
      <c r="F206" s="5"/>
      <c r="G206" s="4"/>
      <c r="H206" s="4"/>
      <c r="I206" s="4"/>
      <c r="J206" s="4"/>
      <c r="K206" s="5"/>
      <c r="L206" s="5"/>
      <c r="M206" s="5"/>
      <c r="O206" s="5"/>
      <c r="P206" s="5"/>
      <c r="Q206" s="5"/>
      <c r="S206" s="5"/>
      <c r="T206" s="5"/>
      <c r="U206" s="5"/>
      <c r="W206" s="5"/>
      <c r="X206" s="5"/>
      <c r="Y206" s="12"/>
      <c r="AA206" s="13"/>
      <c r="AB206" s="12"/>
      <c r="AD206" s="13"/>
      <c r="AE206" s="5"/>
      <c r="AF206" s="5"/>
      <c r="AH206" s="13"/>
      <c r="AI206" s="5"/>
      <c r="AK206" s="5"/>
      <c r="AL206" s="5"/>
      <c r="AM206" s="5"/>
      <c r="AO206" s="5"/>
      <c r="AP206" s="5"/>
      <c r="AR206" s="5"/>
      <c r="AS206" s="5"/>
      <c r="AT206" s="5"/>
      <c r="AV206" s="5"/>
      <c r="AW206" s="5"/>
      <c r="AY206" s="5"/>
      <c r="AZ206" s="5"/>
      <c r="BA206" s="5"/>
      <c r="BC206" s="5"/>
      <c r="BD206" s="5"/>
      <c r="BF206" s="13"/>
      <c r="BG206" s="5"/>
      <c r="BH206" s="5"/>
      <c r="BJ206" s="13"/>
      <c r="BK206" s="5"/>
      <c r="BL206" s="12"/>
      <c r="BM206" s="13"/>
      <c r="BN206" s="5"/>
      <c r="BO206" s="5"/>
      <c r="BQ206" s="13"/>
      <c r="BR206" s="5"/>
      <c r="BT206" s="13"/>
      <c r="BU206" s="5"/>
      <c r="BV206" s="5"/>
      <c r="BX206" s="13"/>
      <c r="BY206" s="5"/>
      <c r="CA206" s="13"/>
      <c r="CB206" s="5"/>
      <c r="CC206" s="11"/>
      <c r="CE206" s="13">
        <v>1</v>
      </c>
      <c r="CF206" s="5">
        <f>SUM(CF19:CG19,CF23:CG23,CF26:CG26)*CE206</f>
        <v>0</v>
      </c>
      <c r="CG206" s="12"/>
      <c r="CI206" s="13">
        <v>1</v>
      </c>
      <c r="CJ206" s="5">
        <f>SUM(CJ19:CK19,CJ23:CK23,CJ26:CK26)*CI206</f>
        <v>0</v>
      </c>
      <c r="CK206" s="12"/>
      <c r="CM206" s="13">
        <v>1</v>
      </c>
      <c r="CN206" s="5">
        <f>SUM(CN19:CO19,CN23:CO23,CN26:CO26)*CM206</f>
        <v>0</v>
      </c>
      <c r="CO206" s="12"/>
      <c r="CQ206" s="13">
        <v>1</v>
      </c>
      <c r="CR206" s="5">
        <f>SUM(CR19:CS19,CR23:CS23,CR26:CS26)*CQ206</f>
        <v>0</v>
      </c>
      <c r="CS206" s="12"/>
      <c r="CU206" s="13">
        <v>1</v>
      </c>
      <c r="CV206" s="5">
        <f>SUM(CV19:CW19,CV23:CW23,CV26:CW26)*CU206</f>
        <v>0</v>
      </c>
      <c r="CW206" s="12"/>
      <c r="CY206" s="13">
        <v>1</v>
      </c>
      <c r="CZ206" s="5">
        <f>SUM(CZ19:DA19,CZ23:DA23,CZ26:DA26)*CY206</f>
        <v>0</v>
      </c>
      <c r="DA206" s="12"/>
      <c r="DC206" s="13">
        <v>1</v>
      </c>
      <c r="DD206" s="5">
        <f>SUM(DD19:DE19,DD23:DE23,DD26:DE26)*DC206</f>
        <v>0</v>
      </c>
      <c r="DE206" s="12"/>
      <c r="DG206" s="13">
        <v>1</v>
      </c>
      <c r="DH206" s="5">
        <f>SUM(DH19:DI19,DH23:DI23,DH26:DI26)*DG206</f>
        <v>0</v>
      </c>
      <c r="DI206" s="12"/>
      <c r="DK206" s="13">
        <v>1</v>
      </c>
      <c r="DL206" s="5">
        <f>SUM(DL19:DM19,DL23:DM23,DL26:DM26)*DK206</f>
        <v>0</v>
      </c>
      <c r="DM206" s="12"/>
      <c r="DO206" s="13">
        <v>1</v>
      </c>
      <c r="DP206" s="5">
        <f>SUM(DP19:DQ19,DP23:DQ23,DP26:DQ26)*DO206</f>
        <v>0</v>
      </c>
      <c r="DQ206" s="12"/>
      <c r="DS206" s="1336">
        <f t="shared" si="0"/>
        <v>0</v>
      </c>
      <c r="DT206" s="121">
        <f>EXTRAS!D70</f>
        <v>0</v>
      </c>
      <c r="DU206" s="112">
        <f>EXTRAS!E70</f>
        <v>0</v>
      </c>
      <c r="DX206" s="203">
        <f t="shared" si="1"/>
        <v>0</v>
      </c>
      <c r="DZ206" s="924"/>
      <c r="EH206" s="924"/>
    </row>
    <row r="207" spans="1:138" s="6" customFormat="1" ht="15" customHeight="1">
      <c r="A207" s="3">
        <v>56</v>
      </c>
      <c r="B207" s="117" t="s">
        <v>1258</v>
      </c>
      <c r="C207" s="4" t="s">
        <v>0</v>
      </c>
      <c r="D207" s="4"/>
      <c r="E207" s="5"/>
      <c r="F207" s="5"/>
      <c r="G207" s="4"/>
      <c r="H207" s="4"/>
      <c r="I207" s="4"/>
      <c r="J207" s="4"/>
      <c r="K207" s="5"/>
      <c r="L207" s="5"/>
      <c r="M207" s="5"/>
      <c r="O207" s="5"/>
      <c r="P207" s="5"/>
      <c r="Q207" s="5"/>
      <c r="S207" s="5"/>
      <c r="T207" s="5"/>
      <c r="U207" s="5"/>
      <c r="W207" s="5"/>
      <c r="X207" s="5"/>
      <c r="Y207" s="12"/>
      <c r="AA207" s="13"/>
      <c r="AB207" s="12"/>
      <c r="AD207" s="13"/>
      <c r="AE207" s="5"/>
      <c r="AF207" s="5"/>
      <c r="AH207" s="13"/>
      <c r="AI207" s="5"/>
      <c r="AK207" s="5"/>
      <c r="AL207" s="5"/>
      <c r="AM207" s="5"/>
      <c r="AO207" s="5"/>
      <c r="AP207" s="5"/>
      <c r="AR207" s="5"/>
      <c r="AS207" s="5"/>
      <c r="AT207" s="5"/>
      <c r="AV207" s="5"/>
      <c r="AW207" s="5"/>
      <c r="AY207" s="5"/>
      <c r="AZ207" s="5"/>
      <c r="BA207" s="5"/>
      <c r="BC207" s="5"/>
      <c r="BD207" s="5"/>
      <c r="BF207" s="13"/>
      <c r="BG207" s="5"/>
      <c r="BH207" s="5"/>
      <c r="BJ207" s="13"/>
      <c r="BK207" s="5"/>
      <c r="BL207" s="12"/>
      <c r="BM207" s="13"/>
      <c r="BN207" s="5"/>
      <c r="BO207" s="5"/>
      <c r="BQ207" s="13"/>
      <c r="BR207" s="5"/>
      <c r="BT207" s="13"/>
      <c r="BU207" s="5"/>
      <c r="BV207" s="5"/>
      <c r="BX207" s="13"/>
      <c r="BY207" s="5"/>
      <c r="CA207" s="13"/>
      <c r="CB207" s="5"/>
      <c r="CC207" s="11"/>
      <c r="CE207" s="13">
        <v>1</v>
      </c>
      <c r="CF207" s="5">
        <f>SUM(CF19:CG19,CF23:CG23,CF26:CG26)*CE207</f>
        <v>0</v>
      </c>
      <c r="CG207" s="12"/>
      <c r="CI207" s="13">
        <v>1</v>
      </c>
      <c r="CJ207" s="5">
        <f>SUM(CJ19:CK19,CJ23:CK23,CJ26:CK26)*CI207</f>
        <v>0</v>
      </c>
      <c r="CK207" s="12"/>
      <c r="CM207" s="13">
        <v>1</v>
      </c>
      <c r="CN207" s="5">
        <f>SUM(CN19:CO19,CN23:CO23,CN26:CO26)*CM207</f>
        <v>0</v>
      </c>
      <c r="CO207" s="12"/>
      <c r="CQ207" s="13">
        <v>1</v>
      </c>
      <c r="CR207" s="5">
        <f>SUM(CR19:CS19,CR23:CS23,CR26:CS26)*CQ207</f>
        <v>0</v>
      </c>
      <c r="CS207" s="12"/>
      <c r="CU207" s="13">
        <v>1</v>
      </c>
      <c r="CV207" s="5">
        <f>SUM(CV19:CW19,CV23:CW23,CV26:CW26)*CU207</f>
        <v>0</v>
      </c>
      <c r="CW207" s="12"/>
      <c r="CY207" s="13">
        <v>1</v>
      </c>
      <c r="CZ207" s="5">
        <f>SUM(CZ19:DA19,CZ23:DA23,CZ26:DA26)*CY207</f>
        <v>0</v>
      </c>
      <c r="DA207" s="12"/>
      <c r="DC207" s="13">
        <v>1</v>
      </c>
      <c r="DD207" s="5">
        <f>SUM(DD19:DE19,DD23:DE23,DD26:DE26)*DC207</f>
        <v>0</v>
      </c>
      <c r="DE207" s="12"/>
      <c r="DG207" s="13">
        <v>1</v>
      </c>
      <c r="DH207" s="5">
        <f>SUM(DH19:DI19,DH23:DI23,DH26:DI26)*DG207</f>
        <v>0</v>
      </c>
      <c r="DI207" s="12"/>
      <c r="DK207" s="13">
        <v>1</v>
      </c>
      <c r="DL207" s="5">
        <f>SUM(DL19:DM19,DL23:DM23,DL26:DM26)*DK207</f>
        <v>0</v>
      </c>
      <c r="DM207" s="12"/>
      <c r="DO207" s="13">
        <v>1</v>
      </c>
      <c r="DP207" s="5">
        <f>SUM(DP19:DQ19,DP23:DQ23,DP26:DQ26)*DO207</f>
        <v>0</v>
      </c>
      <c r="DQ207" s="12"/>
      <c r="DS207" s="1336">
        <f t="shared" ref="DS207:DS271" si="3">I207+L207+M207+P207+T207+X207+AB207+AE207+F207+CR207+AI207+AL207+AP207+AS207+AW207+AZ207+BD207+BG207+BK207+BN207+BR207+BU207+BY207+CB207+CF207+CJ207+CN207+CV207+CZ207+DD207+DH207+DL207+DP207</f>
        <v>0</v>
      </c>
      <c r="DT207" s="121">
        <f>EXTRAS!D71</f>
        <v>0</v>
      </c>
      <c r="DU207" s="112">
        <f>EXTRAS!E71</f>
        <v>0</v>
      </c>
      <c r="DX207" s="203">
        <f t="shared" si="1"/>
        <v>0</v>
      </c>
      <c r="DZ207" s="924"/>
      <c r="EH207" s="924"/>
    </row>
    <row r="208" spans="1:138" s="6" customFormat="1" ht="15" customHeight="1">
      <c r="A208" s="3">
        <v>57</v>
      </c>
      <c r="B208" s="210" t="s">
        <v>1259</v>
      </c>
      <c r="C208" s="4" t="s">
        <v>0</v>
      </c>
      <c r="D208" s="4"/>
      <c r="E208" s="5"/>
      <c r="F208" s="5"/>
      <c r="G208" s="4"/>
      <c r="H208" s="4"/>
      <c r="I208" s="4"/>
      <c r="J208" s="4"/>
      <c r="K208" s="5"/>
      <c r="L208" s="5"/>
      <c r="M208" s="5"/>
      <c r="O208" s="5"/>
      <c r="P208" s="5"/>
      <c r="Q208" s="5"/>
      <c r="S208" s="5"/>
      <c r="T208" s="5"/>
      <c r="U208" s="5"/>
      <c r="W208" s="5"/>
      <c r="X208" s="5"/>
      <c r="Y208" s="12"/>
      <c r="AA208" s="13"/>
      <c r="AB208" s="12"/>
      <c r="AD208" s="13"/>
      <c r="AE208" s="5"/>
      <c r="AF208" s="5"/>
      <c r="AH208" s="13"/>
      <c r="AI208" s="5"/>
      <c r="AK208" s="5"/>
      <c r="AL208" s="5"/>
      <c r="AM208" s="5"/>
      <c r="AO208" s="5"/>
      <c r="AP208" s="5"/>
      <c r="AR208" s="5"/>
      <c r="AS208" s="5"/>
      <c r="AT208" s="5"/>
      <c r="AV208" s="5"/>
      <c r="AW208" s="5"/>
      <c r="AY208" s="5"/>
      <c r="AZ208" s="5"/>
      <c r="BA208" s="5"/>
      <c r="BC208" s="5"/>
      <c r="BD208" s="5"/>
      <c r="BF208" s="13"/>
      <c r="BG208" s="5"/>
      <c r="BH208" s="5"/>
      <c r="BJ208" s="13"/>
      <c r="BK208" s="5"/>
      <c r="BL208" s="12"/>
      <c r="BM208" s="13"/>
      <c r="BN208" s="5"/>
      <c r="BO208" s="5"/>
      <c r="BQ208" s="13"/>
      <c r="BR208" s="5"/>
      <c r="BT208" s="13"/>
      <c r="BU208" s="5"/>
      <c r="BV208" s="5"/>
      <c r="BX208" s="13"/>
      <c r="BY208" s="5"/>
      <c r="CA208" s="13"/>
      <c r="CB208" s="5"/>
      <c r="CC208" s="11"/>
      <c r="CE208" s="13">
        <v>1</v>
      </c>
      <c r="CF208" s="5">
        <f>SUM(CF19:CG19,CF23:CG23,CF26:CG26)*CE208</f>
        <v>0</v>
      </c>
      <c r="CG208" s="12"/>
      <c r="CI208" s="13">
        <v>1</v>
      </c>
      <c r="CJ208" s="5">
        <f>SUM(CJ19:CK19,CJ23:CK23,CJ26:CK26)*CI208</f>
        <v>0</v>
      </c>
      <c r="CK208" s="12"/>
      <c r="CM208" s="13">
        <v>1</v>
      </c>
      <c r="CN208" s="5">
        <f>SUM(CN19:CO19,CN23:CO23,CN26:CO26)*CM208</f>
        <v>0</v>
      </c>
      <c r="CO208" s="12"/>
      <c r="CQ208" s="13">
        <v>1</v>
      </c>
      <c r="CR208" s="5">
        <f>SUM(CR19:CS19,CR23:CS23,CR26:CS26)*CQ208</f>
        <v>0</v>
      </c>
      <c r="CS208" s="12"/>
      <c r="CU208" s="13">
        <v>1</v>
      </c>
      <c r="CV208" s="5">
        <f>SUM(CV19:CW19,CV23:CW23,CV26:CW26)*CU208</f>
        <v>0</v>
      </c>
      <c r="CW208" s="12"/>
      <c r="CY208" s="13">
        <v>1</v>
      </c>
      <c r="CZ208" s="5">
        <f>SUM(CZ19:DA19,CZ23:DA23,CZ26:DA26)*CY208</f>
        <v>0</v>
      </c>
      <c r="DA208" s="12"/>
      <c r="DC208" s="13">
        <v>1</v>
      </c>
      <c r="DD208" s="5">
        <f>SUM(DD19:DE19,DD23:DE23,DD26:DE26)*DC208</f>
        <v>0</v>
      </c>
      <c r="DE208" s="12"/>
      <c r="DG208" s="13">
        <v>1</v>
      </c>
      <c r="DH208" s="5">
        <f>SUM(DH19:DI19,DH23:DI23,DH26:DI26)*DG208</f>
        <v>0</v>
      </c>
      <c r="DI208" s="12"/>
      <c r="DK208" s="13">
        <v>1</v>
      </c>
      <c r="DL208" s="5">
        <f>SUM(DL19:DM19,DL23:DM23,DL26:DM26)*DK208</f>
        <v>0</v>
      </c>
      <c r="DM208" s="12"/>
      <c r="DO208" s="13">
        <v>1</v>
      </c>
      <c r="DP208" s="5">
        <f>SUM(DP19:DQ19,DP23:DQ23,DP26:DQ26)*DO208</f>
        <v>0</v>
      </c>
      <c r="DQ208" s="12"/>
      <c r="DS208" s="1336">
        <f t="shared" si="3"/>
        <v>0</v>
      </c>
      <c r="DT208" s="121">
        <f>EXTRAS!D72</f>
        <v>0</v>
      </c>
      <c r="DU208" s="112">
        <f>EXTRAS!E72</f>
        <v>0</v>
      </c>
      <c r="DX208" s="203">
        <f t="shared" ref="DX208:DX272" si="4">I208+L208+M208+P208+T208+X208+AB208+AE208+F208+CR208+AI208+AL208+AP208+AS208+AW208+AZ208+BD208+BG208+BK208+BN208+BR208+BU208+BY208+CB208+CF208+CJ208+CN208+CV208+CZ208+DD208+DH208+DL208+DP208+DT208-DU208+DV208+DW208</f>
        <v>0</v>
      </c>
      <c r="DZ208" s="924"/>
      <c r="EH208" s="924"/>
    </row>
    <row r="209" spans="1:138" s="6" customFormat="1" ht="15" customHeight="1">
      <c r="A209" s="3">
        <v>58</v>
      </c>
      <c r="B209" s="210" t="s">
        <v>1260</v>
      </c>
      <c r="C209" s="4" t="s">
        <v>0</v>
      </c>
      <c r="D209" s="4"/>
      <c r="E209" s="5"/>
      <c r="F209" s="5"/>
      <c r="G209" s="4"/>
      <c r="H209" s="4"/>
      <c r="I209" s="4"/>
      <c r="J209" s="4"/>
      <c r="K209" s="5"/>
      <c r="L209" s="5"/>
      <c r="M209" s="5"/>
      <c r="O209" s="5"/>
      <c r="P209" s="5"/>
      <c r="Q209" s="5"/>
      <c r="S209" s="5"/>
      <c r="T209" s="5"/>
      <c r="U209" s="5"/>
      <c r="W209" s="5"/>
      <c r="X209" s="5"/>
      <c r="Y209" s="12"/>
      <c r="AA209" s="13"/>
      <c r="AB209" s="12"/>
      <c r="AD209" s="13"/>
      <c r="AE209" s="5"/>
      <c r="AF209" s="5"/>
      <c r="AH209" s="13"/>
      <c r="AI209" s="5"/>
      <c r="AK209" s="5"/>
      <c r="AL209" s="5"/>
      <c r="AM209" s="5"/>
      <c r="AO209" s="5"/>
      <c r="AP209" s="5"/>
      <c r="AR209" s="5"/>
      <c r="AS209" s="5"/>
      <c r="AT209" s="5"/>
      <c r="AV209" s="5"/>
      <c r="AW209" s="5"/>
      <c r="AY209" s="5"/>
      <c r="AZ209" s="5"/>
      <c r="BA209" s="5"/>
      <c r="BC209" s="5"/>
      <c r="BD209" s="5"/>
      <c r="BF209" s="13"/>
      <c r="BG209" s="5"/>
      <c r="BH209" s="5"/>
      <c r="BJ209" s="13"/>
      <c r="BK209" s="5"/>
      <c r="BL209" s="12"/>
      <c r="BM209" s="13"/>
      <c r="BN209" s="5"/>
      <c r="BO209" s="5"/>
      <c r="BQ209" s="13"/>
      <c r="BR209" s="5"/>
      <c r="BT209" s="13"/>
      <c r="BU209" s="5"/>
      <c r="BV209" s="5"/>
      <c r="BX209" s="13"/>
      <c r="BY209" s="5"/>
      <c r="CA209" s="13"/>
      <c r="CB209" s="5"/>
      <c r="CC209" s="11"/>
      <c r="CE209" s="13"/>
      <c r="CF209" s="5"/>
      <c r="CG209" s="12"/>
      <c r="CI209" s="13"/>
      <c r="CJ209" s="5"/>
      <c r="CK209" s="12"/>
      <c r="CM209" s="13"/>
      <c r="CN209" s="5"/>
      <c r="CO209" s="12"/>
      <c r="CQ209" s="13"/>
      <c r="CR209" s="5"/>
      <c r="CS209" s="12"/>
      <c r="CU209" s="13"/>
      <c r="CV209" s="5"/>
      <c r="CW209" s="12"/>
      <c r="CY209" s="13"/>
      <c r="CZ209" s="5"/>
      <c r="DA209" s="12"/>
      <c r="DC209" s="13"/>
      <c r="DD209" s="5"/>
      <c r="DE209" s="12"/>
      <c r="DG209" s="13"/>
      <c r="DH209" s="5"/>
      <c r="DI209" s="12"/>
      <c r="DK209" s="13"/>
      <c r="DL209" s="5"/>
      <c r="DM209" s="12"/>
      <c r="DO209" s="13"/>
      <c r="DP209" s="5"/>
      <c r="DQ209" s="12"/>
      <c r="DS209" s="1336">
        <f t="shared" si="3"/>
        <v>0</v>
      </c>
      <c r="DT209" s="121">
        <f>EXTRAS!D73</f>
        <v>0</v>
      </c>
      <c r="DU209" s="112">
        <f>EXTRAS!E73</f>
        <v>0</v>
      </c>
      <c r="DX209" s="203">
        <f t="shared" si="4"/>
        <v>0</v>
      </c>
      <c r="DZ209" s="924"/>
      <c r="EH209" s="924"/>
    </row>
    <row r="210" spans="1:138" s="6" customFormat="1" ht="15" customHeight="1">
      <c r="A210" s="3">
        <v>59</v>
      </c>
      <c r="B210" s="210" t="s">
        <v>1261</v>
      </c>
      <c r="C210" s="4" t="s">
        <v>0</v>
      </c>
      <c r="D210" s="4"/>
      <c r="E210" s="5"/>
      <c r="F210" s="5"/>
      <c r="G210" s="4"/>
      <c r="H210" s="4"/>
      <c r="I210" s="4"/>
      <c r="J210" s="4"/>
      <c r="K210" s="5"/>
      <c r="L210" s="5"/>
      <c r="M210" s="5"/>
      <c r="O210" s="5"/>
      <c r="P210" s="5"/>
      <c r="Q210" s="5"/>
      <c r="S210" s="5"/>
      <c r="T210" s="5"/>
      <c r="U210" s="5"/>
      <c r="W210" s="5"/>
      <c r="X210" s="5"/>
      <c r="Y210" s="12"/>
      <c r="AA210" s="13"/>
      <c r="AB210" s="12"/>
      <c r="AD210" s="13"/>
      <c r="AE210" s="5"/>
      <c r="AF210" s="5"/>
      <c r="AH210" s="13"/>
      <c r="AI210" s="5"/>
      <c r="AK210" s="5"/>
      <c r="AL210" s="5"/>
      <c r="AM210" s="5"/>
      <c r="AO210" s="5"/>
      <c r="AP210" s="5"/>
      <c r="AR210" s="5"/>
      <c r="AS210" s="5"/>
      <c r="AT210" s="5"/>
      <c r="AV210" s="5"/>
      <c r="AW210" s="5"/>
      <c r="AY210" s="5"/>
      <c r="AZ210" s="5"/>
      <c r="BA210" s="5"/>
      <c r="BC210" s="5"/>
      <c r="BD210" s="5"/>
      <c r="BF210" s="13"/>
      <c r="BG210" s="5"/>
      <c r="BH210" s="5"/>
      <c r="BJ210" s="13"/>
      <c r="BK210" s="5"/>
      <c r="BL210" s="12"/>
      <c r="BM210" s="13"/>
      <c r="BN210" s="5"/>
      <c r="BO210" s="5"/>
      <c r="BQ210" s="13"/>
      <c r="BR210" s="5"/>
      <c r="BT210" s="13"/>
      <c r="BU210" s="5"/>
      <c r="BV210" s="5"/>
      <c r="BX210" s="13"/>
      <c r="BY210" s="5"/>
      <c r="CA210" s="13"/>
      <c r="CB210" s="5"/>
      <c r="CC210" s="11"/>
      <c r="CE210" s="13"/>
      <c r="CF210" s="5"/>
      <c r="CG210" s="12"/>
      <c r="CI210" s="13"/>
      <c r="CJ210" s="5"/>
      <c r="CK210" s="12"/>
      <c r="CM210" s="13"/>
      <c r="CN210" s="5"/>
      <c r="CO210" s="12"/>
      <c r="CQ210" s="13"/>
      <c r="CR210" s="5"/>
      <c r="CS210" s="12"/>
      <c r="CU210" s="13"/>
      <c r="CV210" s="5"/>
      <c r="CW210" s="12"/>
      <c r="CY210" s="13"/>
      <c r="CZ210" s="5"/>
      <c r="DA210" s="12"/>
      <c r="DC210" s="13"/>
      <c r="DD210" s="5"/>
      <c r="DE210" s="12"/>
      <c r="DG210" s="13"/>
      <c r="DH210" s="5"/>
      <c r="DI210" s="12"/>
      <c r="DK210" s="13"/>
      <c r="DL210" s="5"/>
      <c r="DM210" s="12"/>
      <c r="DO210" s="13"/>
      <c r="DP210" s="5"/>
      <c r="DQ210" s="12"/>
      <c r="DS210" s="1336">
        <f t="shared" si="3"/>
        <v>0</v>
      </c>
      <c r="DT210" s="121">
        <f>EXTRAS!D74</f>
        <v>0</v>
      </c>
      <c r="DU210" s="112">
        <f>EXTRAS!E74</f>
        <v>0</v>
      </c>
      <c r="DX210" s="203">
        <f t="shared" si="4"/>
        <v>0</v>
      </c>
      <c r="DZ210" s="924"/>
      <c r="EH210" s="924"/>
    </row>
    <row r="211" spans="1:138" s="6" customFormat="1" ht="15" customHeight="1">
      <c r="A211" s="3">
        <v>60</v>
      </c>
      <c r="B211" s="210" t="s">
        <v>1262</v>
      </c>
      <c r="C211" s="4" t="s">
        <v>0</v>
      </c>
      <c r="D211" s="4"/>
      <c r="E211" s="5"/>
      <c r="F211" s="5"/>
      <c r="G211" s="4"/>
      <c r="H211" s="4"/>
      <c r="I211" s="4"/>
      <c r="J211" s="4"/>
      <c r="K211" s="5"/>
      <c r="L211" s="5"/>
      <c r="M211" s="5"/>
      <c r="O211" s="5"/>
      <c r="P211" s="5"/>
      <c r="Q211" s="5"/>
      <c r="S211" s="5"/>
      <c r="T211" s="5"/>
      <c r="U211" s="5"/>
      <c r="W211" s="5"/>
      <c r="X211" s="5"/>
      <c r="Y211" s="12"/>
      <c r="AA211" s="13"/>
      <c r="AB211" s="12"/>
      <c r="AD211" s="13"/>
      <c r="AE211" s="5"/>
      <c r="AF211" s="5"/>
      <c r="AH211" s="13"/>
      <c r="AI211" s="5"/>
      <c r="AK211" s="5"/>
      <c r="AL211" s="5"/>
      <c r="AM211" s="5"/>
      <c r="AO211" s="5"/>
      <c r="AP211" s="5"/>
      <c r="AR211" s="5"/>
      <c r="AS211" s="5"/>
      <c r="AT211" s="5"/>
      <c r="AV211" s="5"/>
      <c r="AW211" s="5"/>
      <c r="AY211" s="5"/>
      <c r="AZ211" s="5"/>
      <c r="BA211" s="5"/>
      <c r="BC211" s="5"/>
      <c r="BD211" s="5"/>
      <c r="BF211" s="13"/>
      <c r="BG211" s="5"/>
      <c r="BH211" s="5"/>
      <c r="BJ211" s="13"/>
      <c r="BK211" s="5"/>
      <c r="BL211" s="12"/>
      <c r="BM211" s="13"/>
      <c r="BN211" s="5"/>
      <c r="BO211" s="5"/>
      <c r="BQ211" s="13"/>
      <c r="BR211" s="5"/>
      <c r="BT211" s="13"/>
      <c r="BU211" s="5"/>
      <c r="BV211" s="5"/>
      <c r="BX211" s="13"/>
      <c r="BY211" s="5"/>
      <c r="CA211" s="13"/>
      <c r="CB211" s="5"/>
      <c r="CC211" s="11"/>
      <c r="CE211" s="13"/>
      <c r="CF211" s="5"/>
      <c r="CG211" s="12"/>
      <c r="CI211" s="13"/>
      <c r="CJ211" s="5"/>
      <c r="CK211" s="12"/>
      <c r="CM211" s="13"/>
      <c r="CN211" s="5"/>
      <c r="CO211" s="12"/>
      <c r="CQ211" s="13"/>
      <c r="CR211" s="5"/>
      <c r="CS211" s="12"/>
      <c r="CU211" s="13"/>
      <c r="CV211" s="5"/>
      <c r="CW211" s="12"/>
      <c r="CY211" s="13"/>
      <c r="CZ211" s="5"/>
      <c r="DA211" s="12"/>
      <c r="DC211" s="13"/>
      <c r="DD211" s="5"/>
      <c r="DE211" s="12"/>
      <c r="DG211" s="13"/>
      <c r="DH211" s="5"/>
      <c r="DI211" s="12"/>
      <c r="DK211" s="13"/>
      <c r="DL211" s="5"/>
      <c r="DM211" s="12"/>
      <c r="DO211" s="13"/>
      <c r="DP211" s="5"/>
      <c r="DQ211" s="12"/>
      <c r="DS211" s="1336">
        <f t="shared" si="3"/>
        <v>0</v>
      </c>
      <c r="DT211" s="121">
        <f>EXTRAS!D75</f>
        <v>0</v>
      </c>
      <c r="DU211" s="112">
        <f>EXTRAS!E75</f>
        <v>0</v>
      </c>
      <c r="DX211" s="203">
        <f t="shared" si="4"/>
        <v>0</v>
      </c>
      <c r="DZ211" s="924"/>
      <c r="EH211" s="924"/>
    </row>
    <row r="212" spans="1:138" s="6" customFormat="1" ht="15" customHeight="1">
      <c r="A212" s="3">
        <v>61</v>
      </c>
      <c r="B212" s="210" t="s">
        <v>1263</v>
      </c>
      <c r="C212" s="4" t="s">
        <v>0</v>
      </c>
      <c r="D212" s="4"/>
      <c r="E212" s="5"/>
      <c r="F212" s="5"/>
      <c r="G212" s="4"/>
      <c r="H212" s="4"/>
      <c r="I212" s="4"/>
      <c r="J212" s="4"/>
      <c r="K212" s="5"/>
      <c r="L212" s="5"/>
      <c r="M212" s="5"/>
      <c r="O212" s="5"/>
      <c r="P212" s="5"/>
      <c r="Q212" s="5"/>
      <c r="S212" s="5"/>
      <c r="T212" s="5"/>
      <c r="U212" s="5"/>
      <c r="W212" s="5"/>
      <c r="X212" s="5"/>
      <c r="Y212" s="12"/>
      <c r="AA212" s="13"/>
      <c r="AB212" s="12"/>
      <c r="AD212" s="13"/>
      <c r="AE212" s="5"/>
      <c r="AF212" s="5"/>
      <c r="AH212" s="13"/>
      <c r="AI212" s="5"/>
      <c r="AK212" s="5"/>
      <c r="AL212" s="5"/>
      <c r="AM212" s="5"/>
      <c r="AO212" s="5"/>
      <c r="AP212" s="5"/>
      <c r="AR212" s="5"/>
      <c r="AS212" s="5"/>
      <c r="AT212" s="5"/>
      <c r="AV212" s="5"/>
      <c r="AW212" s="5"/>
      <c r="AY212" s="5"/>
      <c r="AZ212" s="5"/>
      <c r="BA212" s="5"/>
      <c r="BC212" s="5"/>
      <c r="BD212" s="5"/>
      <c r="BF212" s="13"/>
      <c r="BG212" s="5"/>
      <c r="BH212" s="5"/>
      <c r="BJ212" s="13"/>
      <c r="BK212" s="5"/>
      <c r="BL212" s="12"/>
      <c r="BM212" s="13"/>
      <c r="BN212" s="5"/>
      <c r="BO212" s="5"/>
      <c r="BQ212" s="13"/>
      <c r="BR212" s="5"/>
      <c r="BT212" s="13"/>
      <c r="BU212" s="5"/>
      <c r="BV212" s="5"/>
      <c r="BX212" s="13"/>
      <c r="BY212" s="5"/>
      <c r="CA212" s="13"/>
      <c r="CB212" s="5"/>
      <c r="CC212" s="11"/>
      <c r="CE212" s="13"/>
      <c r="CF212" s="5"/>
      <c r="CG212" s="12"/>
      <c r="CI212" s="13"/>
      <c r="CJ212" s="5"/>
      <c r="CK212" s="12"/>
      <c r="CM212" s="13"/>
      <c r="CN212" s="5"/>
      <c r="CO212" s="12"/>
      <c r="CQ212" s="13"/>
      <c r="CR212" s="5"/>
      <c r="CS212" s="12"/>
      <c r="CU212" s="13"/>
      <c r="CV212" s="5"/>
      <c r="CW212" s="12"/>
      <c r="CY212" s="13"/>
      <c r="CZ212" s="5"/>
      <c r="DA212" s="12"/>
      <c r="DC212" s="13"/>
      <c r="DD212" s="5"/>
      <c r="DE212" s="12"/>
      <c r="DG212" s="13"/>
      <c r="DH212" s="5"/>
      <c r="DI212" s="12"/>
      <c r="DK212" s="13"/>
      <c r="DL212" s="5"/>
      <c r="DM212" s="12"/>
      <c r="DO212" s="13"/>
      <c r="DP212" s="5"/>
      <c r="DQ212" s="12"/>
      <c r="DS212" s="1336">
        <f t="shared" si="3"/>
        <v>0</v>
      </c>
      <c r="DT212" s="121">
        <f>EXTRAS!D76</f>
        <v>0</v>
      </c>
      <c r="DU212" s="112">
        <f>EXTRAS!E76</f>
        <v>0</v>
      </c>
      <c r="DX212" s="203">
        <f t="shared" si="4"/>
        <v>0</v>
      </c>
      <c r="DZ212" s="924"/>
      <c r="EH212" s="924"/>
    </row>
    <row r="213" spans="1:138" s="6" customFormat="1" ht="15" customHeight="1">
      <c r="A213" s="3">
        <v>62</v>
      </c>
      <c r="B213" s="210" t="s">
        <v>381</v>
      </c>
      <c r="C213" s="473" t="s">
        <v>517</v>
      </c>
      <c r="D213" s="4"/>
      <c r="E213" s="5"/>
      <c r="F213" s="5"/>
      <c r="G213" s="4"/>
      <c r="H213" s="4"/>
      <c r="I213" s="4"/>
      <c r="J213" s="4"/>
      <c r="K213" s="5">
        <v>1</v>
      </c>
      <c r="L213" s="5">
        <f>L7*K213+M7*K213+L8*K213+M8*K213+L11*K213+M11*K213+L12*K213+M12*K213+L14*K213+M14*K213+L15*K213+M15*K213+L18*K213+M18*K213+L19*K213+M19*K213+L22*K213+M22*K213+L23*K213+M23*K213+L25*K213+M25*K213+L26*K213+M26*K213</f>
        <v>0</v>
      </c>
      <c r="M213" s="5"/>
      <c r="O213" s="5">
        <v>1</v>
      </c>
      <c r="P213" s="5">
        <f>P7*O213+Q7*O213+P8*O213+Q8*O213+P11*O213+Q11*O213+P12*O213+Q12*O213+P14*O213+Q14*O213+P15*O213+Q15*O213+P18*O213+Q18*O213+P19*O213+Q19*O213+P22*O213+Q22*O213+P23*O213+Q23*O213+P25*O213+Q25*O213+P26*O213+Q26*O213</f>
        <v>0</v>
      </c>
      <c r="Q213" s="5"/>
      <c r="S213" s="5">
        <v>1</v>
      </c>
      <c r="T213" s="5">
        <f>T7*S213+U7*S213+T8*S213+U8*S213+T11*S213+U11*S213+T12*S213+U12*S213+T14*S213+U14*S213+T15*S213+U15*S213+T18*S213+U18*S213+T19*S213+U19*S213+T22*S213+U22*S213+T23*S213+U23*S213+T25*S213+U25*S213+T26*S213+U26*S213</f>
        <v>0</v>
      </c>
      <c r="U213" s="5"/>
      <c r="W213" s="5"/>
      <c r="X213" s="5"/>
      <c r="Y213" s="12"/>
      <c r="AA213" s="13"/>
      <c r="AB213" s="12"/>
      <c r="AD213" s="13"/>
      <c r="AE213" s="5"/>
      <c r="AF213" s="5"/>
      <c r="AH213" s="13"/>
      <c r="AI213" s="5"/>
      <c r="AK213" s="5"/>
      <c r="AL213" s="5"/>
      <c r="AM213" s="5"/>
      <c r="AO213" s="5"/>
      <c r="AP213" s="5"/>
      <c r="AR213" s="5">
        <v>1</v>
      </c>
      <c r="AS213" s="5">
        <f>AS7*AR213+AT7*AR213+AS8*AR213+AT8*AR213+AS11*AR213+AT11*AR213+AS12*AR213+AT12*AR213+AS14*AR213+AT14*AR213+AS15*AR213+AT15*AR213+AS18*AR213+AT18*AR213+AS19*AR213+AT19*AR213+AS22*AR213+AT22*AR213+AS23*AR213+AT23*AR213+AS25*AR213+AT25*AR213+AS26*AR213+AT26*AR213</f>
        <v>0</v>
      </c>
      <c r="AT213" s="5"/>
      <c r="AV213" s="5">
        <v>1</v>
      </c>
      <c r="AW213" s="5">
        <f>AW7*AV213+AX7*AV213+AW8*AV213+AX8*AV213+AW11*AV213+AX11*AV213+AW12*AV213+AX12*AV213+AW14*AV213+AX14*AV213+AW15*AV213+AX15*AV213+AW18*AV213+AX18*AV213+AW19*AV213+AX19*AV213+AW22*AV213+AX22*AV213+AW23*AV213+AX23*AV213+AW25*AV213+AX25*AV213+AW26*AV213+AX26*AV213</f>
        <v>0</v>
      </c>
      <c r="AY213" s="5">
        <v>1</v>
      </c>
      <c r="AZ213" s="5">
        <f>AZ7*AY213+BA7*AY213+AZ8*AY213+BA8*AY213+AZ11*AY213+BA11*AY213+AZ12*AY213+BA12*AY213+AZ14*AY213+BA14*AY213+AZ15*AY213+BA15*AY213+AZ18*AY213+BA18*AY213+AZ19*AY213+BA19*AY213+AZ22*AY213+BA22*AY213+AZ23*AY213+BA23*AY213+AZ25*AY213+BA25*AY213+AZ26*AY213+BA26*AY213</f>
        <v>0</v>
      </c>
      <c r="BA213" s="5"/>
      <c r="BC213" s="5">
        <v>1</v>
      </c>
      <c r="BD213" s="5">
        <f>BD7*BC213+BE7*BC213+BD8*BC213+BE8*BC213+BD11*BC213+BE11*BC213+BD12*BC213+BE12*BC213+BD14*BC213+BE14*BC213+BD15*BC213+BE15*BC213+BD18*BC213+BE18*BC213+BD19*BC213+BE19*BC213+BD22*BC213+BE22*BC213+BD23*BC213+BE23*BC213+BD25*BC213+BE25*BC213+BD26*BC213+BE26*BC213</f>
        <v>0</v>
      </c>
      <c r="BF213" s="13">
        <v>1</v>
      </c>
      <c r="BG213" s="5">
        <f>BG7*BF213+BH7*BF213+BG8*BF213+BH8*BF213+BG11*BF213+BH11*BF213+BG12*BF213+BH12*BF213+BG14*BF213+BH14*BF213+BG15*BF213+BH15*BF213+BG18*BF213+BH18*BF213+BG19*BF213+BH19*BF213+BG22*BF213+BH22*BF213+BG23*BF213+BH23*BF213+BG25*BF213+BH25*BF213+BG26*BF213+BH26*BF213</f>
        <v>0</v>
      </c>
      <c r="BH213" s="5"/>
      <c r="BJ213" s="13">
        <v>1</v>
      </c>
      <c r="BK213" s="5">
        <f>BK7*BJ213+BL7*BJ213+BK8*BJ213+BL8*BJ213+BK11*BJ213+BL11*BJ213+BK12*BJ213+BL12*BJ213+BK14*BJ213+BL14*BJ213+BK15*BJ213+BL15*BJ213+BK18*BJ213+BL18*BJ213+BK19*BJ213+BL19*BJ213+BK22*BJ213+BL22*BJ213+BK23*BJ213+BL23*BJ213+BK25*BJ213+BL25*BJ213+BK26*BJ213+BL26*BJ213</f>
        <v>0</v>
      </c>
      <c r="BL213" s="12"/>
      <c r="BM213" s="13">
        <v>1</v>
      </c>
      <c r="BN213" s="5">
        <f>BN7*BM213+BO7*BM213+BN8*BM213+BO8*BM213+BN11*BM213+BO11*BM213+BN12*BM213+BO12*BM213+BN14*BM213+BO14*BM213+BN15*BM213+BO15*BM213+BN18*BM213+BO18*BM213+BN19*BM213+BO19*BM213+BN22*BM213+BO22*BM213+BN23*BM213+BO23*BM213+BN25*BM213+BO25*BM213+BN26*BM213+BO26*BM213</f>
        <v>0</v>
      </c>
      <c r="BO213" s="5"/>
      <c r="BQ213" s="13">
        <v>1</v>
      </c>
      <c r="BR213" s="5">
        <f>BR7*BQ213+BS7*BQ213+BR8*BQ213+BS8*BQ213+BR11*BQ213+BS11*BQ213+BR12*BQ213+BS12*BQ213+BR14*BQ213+BS14*BQ213+BR15*BQ213+BS15*BQ213+BR18*BQ213+BS18*BQ213+BR19*BQ213+BS19*BQ213+BR22*BQ213+BS22*BQ213+BR23*BQ213+BS23*BQ213+BR25*BQ213+BS25*BQ213+BR26*BQ213+BS26*BQ213</f>
        <v>0</v>
      </c>
      <c r="BT213" s="13">
        <v>1</v>
      </c>
      <c r="BU213" s="5">
        <f>BU7*BT213+BV7*BT213+BU8*BT213+BV8*BT213+BU11*BT213+BV11*BT213+BU12*BT213+BV12*BT213+BU14*BT213+BV14*BT213+BU15*BT213+BV15*BT213+BU18*BT213+BV18*BT213+BU19*BT213+BV19*BT213+BU22*BT213+BV22*BT213+BU23*BT213+BV23*BT213+BU25*BT213+BV25*BT213+BU26*BT213+BV26*BT213</f>
        <v>0</v>
      </c>
      <c r="BV213" s="5"/>
      <c r="BX213" s="13">
        <v>1</v>
      </c>
      <c r="BY213" s="5">
        <f>BY7*BX213+BZ7*BX213+BY8*BX213+BZ8*BX213+BY11*BX213+BZ11*BX213+BY12*BX213+BZ12*BX213+BY14*BX213+BZ14*BX213+BY15*BX213+BZ15*BX213+BY18*BX213+BZ18*BX213+BY19*BX213+BZ19*BX213+BY22*BX213+BZ22*BX213+BY23*BX213+BZ23*BX213+BY25*BX213+BZ25*BX213+BY26*BX213+BZ26*BX213</f>
        <v>0</v>
      </c>
      <c r="CA213" s="13">
        <v>1</v>
      </c>
      <c r="CB213" s="5">
        <f>CB7*CA213+CC7*CA213+CB8*CA213+CC8*CA213+CB11*CA213+CC11*CA213+CB12*CA213+CC12*CA213+CB14*CA213+CC14*CA213+CB15*CA213+CC15*CA213+CB18*CA213+CC18*CA213+CB19*CA213+CC19*CA213+CB22*CA213+CC22*CA213+CB23*CA213+CC23*CA213+CB25*CA213+CC25*CA213+CB26*CA213+CC26*CA213</f>
        <v>0</v>
      </c>
      <c r="CC213" s="11"/>
      <c r="CE213" s="13">
        <v>1</v>
      </c>
      <c r="CF213" s="5">
        <f>CF7*CE213+CG7*CE213+CF8*CE213+CG8*CE213+CF11*CE213+CG11*CE213+CF12*CE213+CG12*CE213+CF14*CE213+CG14*CE213+CF15*CE213+CG15*CE213+CF18*CE213+CG18*CE213+CF19*CE213+CG19*CE213+CF22*CE213+CG22*CE213+CF23*CE213+CG23*CE213+CF25*CE213+CG25*CE213+CF26*CE213+CG26*CE213</f>
        <v>0</v>
      </c>
      <c r="CG213" s="12"/>
      <c r="CI213" s="13">
        <v>1</v>
      </c>
      <c r="CJ213" s="5">
        <f>CJ7*CI213+CK7*CI213+CJ8*CI213+CK8*CI213+CJ11*CI213+CK11*CI213+CJ12*CI213+CK12*CI213+CJ14*CI213+CK14*CI213+CJ15*CI213+CK15*CI213+CJ18*CI213+CK18*CI213+CJ19*CI213+CK19*CI213+CJ22*CI213+CK22*CI213+CJ23*CI213+CK23*CI213+CJ25*CI213+CK25*CI213+CJ26*CI213+CK26*CI213</f>
        <v>0</v>
      </c>
      <c r="CK213" s="12"/>
      <c r="CM213" s="13">
        <v>1</v>
      </c>
      <c r="CN213" s="5">
        <f>CN7*CM213+CO7*CM213+CN8*CM213+CO8*CM213+CN11*CM213+CO11*CM213+CN12*CM213+CO12*CM213+CN14*CM213+CO14*CM213+CN15*CM213+CO15*CM213+CN18*CM213+CO18*CM213+CN19*CM213+CO19*CM213+CN22*CM213+CO22*CM213+CN23*CM213+CO23*CM213+CN25*CM213+CO25*CM213+CN26*CM213+CO26*CM213</f>
        <v>0</v>
      </c>
      <c r="CO213" s="12"/>
      <c r="CQ213" s="13">
        <v>1</v>
      </c>
      <c r="CR213" s="5">
        <f>CR7*CQ213+CS7*CQ213+CR8*CQ213+CS8*CQ213+CR11*CQ213+CS11*CQ213+CR12*CQ213+CS12*CQ213+CR14*CQ213+CS14*CQ213+CR15*CQ213+CS15*CQ213+CR18*CQ213+CS18*CQ213+CR19*CQ213+CS19*CQ213+CR22*CQ213+CS22*CQ213+CR23*CQ213+CS23*CQ213+CR25*CQ213+CS25*CQ213+CR26*CQ213+CS26*CQ213</f>
        <v>0</v>
      </c>
      <c r="CS213" s="12"/>
      <c r="CU213" s="13">
        <v>1</v>
      </c>
      <c r="CV213" s="5">
        <f>CV7*CU213+CW7*CU213+CV8*CU213+CW8*CU213+CV11*CU213+CW11*CU213+CV12*CU213+CW12*CU213+CV14*CU213+CW14*CU213+CV15*CU213+CW15*CU213+CV18*CU213+CW18*CU213+CV19*CU213+CW19*CU213+CV22*CU213+CW22*CU213+CV23*CU213+CW23*CU213+CV25*CU213+CW25*CU213+CV26*CU213+CW26*CU213</f>
        <v>0</v>
      </c>
      <c r="CW213" s="12"/>
      <c r="CY213" s="13">
        <v>1</v>
      </c>
      <c r="CZ213" s="5">
        <f>CZ7*CY213+DA7*CY213+CZ8*CY213+DA8*CY213+CZ11*CY213+DA11*CY213+CZ12*CY213+DA12*CY213+CZ14*CY213+DA14*CY213+CZ15*CY213+DA15*CY213+CZ18*CY213+DA18*CY213+CZ19*CY213+DA19*CY213+CZ22*CY213+DA22*CY213+CZ23*CY213+DA23*CY213+CZ25*CY213+DA25*CY213+CZ26*CY213+DA26*CY213</f>
        <v>0</v>
      </c>
      <c r="DA213" s="12"/>
      <c r="DC213" s="13">
        <v>1</v>
      </c>
      <c r="DD213" s="5">
        <f>DD7*DC213+DE7*DC213+DD8*DC213+DE8*DC213+DD11*DC213+DE11*DC213+DD12*DC213+DE12*DC213+DD14*DC213+DE14*DC213+DD15*DC213+DE15*DC213+DD18*DC213+DE18*DC213+DD19*DC213+DE19*DC213+DD22*DC213+DE22*DC213+DD23*DC213+DE23*DC213+DD25*DC213+DE25*DC213+DD26*DC213+DE26*DC213</f>
        <v>0</v>
      </c>
      <c r="DE213" s="12"/>
      <c r="DG213" s="13">
        <v>1</v>
      </c>
      <c r="DH213" s="5">
        <f>DH7*DG213+DI7*DG213+DH8*DG213+DI8*DG213+DH11*DG213+DI11*DG213+DH12*DG213+DI12*DG213+DH14*DG213+DI14*DG213+DH15*DG213+DI15*DG213+DH18*DG213+DI18*DG213+DH19*DG213+DI19*DG213+DH22*DG213+DI22*DG213+DH23*DG213+DI23*DG213+DH25*DG213+DI25*DG213+DH26*DG213+DI26*DG213</f>
        <v>0</v>
      </c>
      <c r="DI213" s="12"/>
      <c r="DK213" s="13">
        <v>1</v>
      </c>
      <c r="DL213" s="5">
        <f>DL7*DK213+DM7*DK213+DL8*DK213+DM8*DK213+DL11*DK213+DM11*DK213+DL12*DK213+DM12*DK213+DL14*DK213+DM14*DK213+DL15*DK213+DM15*DK213+DL18*DK213+DM18*DK213+DL19*DK213+DM19*DK213+DL22*DK213+DM22*DK213+DL23*DK213+DM23*DK213+DL25*DK213+DM25*DK213+DL26*DK213+DM26*DK213</f>
        <v>0</v>
      </c>
      <c r="DM213" s="12"/>
      <c r="DO213" s="13">
        <v>1</v>
      </c>
      <c r="DP213" s="5">
        <f>DP7*DO213+DQ7*DO213+DP8*DO213+DQ8*DO213+DP11*DO213+DQ11*DO213+DP12*DO213+DQ12*DO213+DP14*DO213+DQ14*DO213+DP15*DO213+DQ15*DO213+DP18*DO213+DQ18*DO213+DP19*DO213+DQ19*DO213+DP22*DO213+DQ22*DO213+DP23*DO213+DQ23*DO213+DP25*DO213+DQ25*DO213+DP26*DO213+DQ26*DO213</f>
        <v>0</v>
      </c>
      <c r="DQ213" s="12"/>
      <c r="DS213" s="1336">
        <f t="shared" si="3"/>
        <v>0</v>
      </c>
      <c r="DT213" s="1335">
        <f>SUM(DT7:DT8,DT11:DT12,DT14:DT15,DT17:DT18,DT21:DT22,DT25:DT26,DT28:DT29,DT31:DT32)*1</f>
        <v>0</v>
      </c>
      <c r="DU213" s="195">
        <f>SUM(DU7:DU8,DU11:DU12,DU14:DU15,DU17:DU18,DU21:DU22,DU25:DU26,DU28:DU29,DU31:DU32)*1</f>
        <v>0</v>
      </c>
      <c r="DV213" s="5"/>
      <c r="DW213" s="17"/>
      <c r="DX213" s="203">
        <f t="shared" si="4"/>
        <v>0</v>
      </c>
      <c r="DZ213" s="924"/>
      <c r="EH213" s="924"/>
    </row>
    <row r="214" spans="1:138" s="6" customFormat="1" ht="15" customHeight="1">
      <c r="A214" s="3">
        <v>63</v>
      </c>
      <c r="B214" s="210" t="s">
        <v>1407</v>
      </c>
      <c r="C214" s="400" t="s">
        <v>0</v>
      </c>
      <c r="D214" s="4"/>
      <c r="E214" s="5">
        <v>1</v>
      </c>
      <c r="F214" s="5">
        <f>SUM(F5:F26)*E214</f>
        <v>0</v>
      </c>
      <c r="G214" s="4"/>
      <c r="H214" s="4"/>
      <c r="I214" s="4"/>
      <c r="J214" s="4"/>
      <c r="K214" s="5"/>
      <c r="L214" s="5"/>
      <c r="M214" s="5"/>
      <c r="O214" s="5"/>
      <c r="P214" s="5"/>
      <c r="Q214" s="5"/>
      <c r="S214" s="5"/>
      <c r="T214" s="5"/>
      <c r="U214" s="5"/>
      <c r="W214" s="5"/>
      <c r="X214" s="5"/>
      <c r="Y214" s="12"/>
      <c r="AA214" s="13"/>
      <c r="AB214" s="12"/>
      <c r="AD214" s="13">
        <v>1</v>
      </c>
      <c r="AE214" s="5">
        <f>AE5*AD214+AE6*AD214+AE7*AD214+AE8*AD214+AE9*AD214+AE10*AD214+AE11*AD214+AE12*AD214+AE13*AD214+AE14*AD214+AE15*AD214+AE16*AD214+AE17*AD214+AE18*AD214+AE19*AD214+AE20*AD214+AE21*AD214+AE22*AD214+AE23*AD214+AE24*AD214+AE25*AD214+AE26*AD214</f>
        <v>0</v>
      </c>
      <c r="AF214" s="5"/>
      <c r="AH214" s="13">
        <v>1</v>
      </c>
      <c r="AI214" s="5">
        <f>AI5*AH214+AI6*AH214+AI7*AH214+AI8*AH214+AI9*AH214+AI10*AH214+AI11*AH214+AI12*AH214+AI13*AH214+AI14*AH214+AI15*AH214+AI16*AH214+AI17*AH214+AI18*AH214+AI19*AH214+AI20*AH214+AI21*AH214+AI22*AH214+AI23*AH214+AI24*AH214+AI25*AH214+AI26*AH214</f>
        <v>0</v>
      </c>
      <c r="AK214" s="5">
        <v>1</v>
      </c>
      <c r="AL214" s="5">
        <f>AL5*AK214+AL6*AK214+AL7*AK214+AL8*AK214+AL9*AK214+AL10*AK214+AL11*AK214+AL12*AK214+AL13*AK214+AL14*AK214+AL15*AK214+AL16*AK214+AL17*AK214+AL18*AK214+AL19*AK214+AL20*AK214+AL21*AK214+AL22*AK214+AL23*AK214+AL24*AK214+AL25*AK214+AL26*AK214</f>
        <v>0</v>
      </c>
      <c r="AM214" s="5"/>
      <c r="AO214" s="5">
        <v>1</v>
      </c>
      <c r="AP214" s="5">
        <f>AP5*AO214+AP6*AO214+AP7*AO214+AP8*AO214+AP9*AO214+AP10*AO214+AP11*AO214+AP12*AO214+AP13*AO214+AP14*AO214+AP15*AO214+AP16*AO214+AP17*AO214+AP18*AO214+AP19*AO214+AP20*AO214+AP21*AO214+AP22*AO214+AP23*AO214+AP24*AO214+AP25*AO214+AP26*AO214</f>
        <v>0</v>
      </c>
      <c r="AR214" s="5"/>
      <c r="AS214" s="5"/>
      <c r="AT214" s="5"/>
      <c r="AV214" s="5"/>
      <c r="AW214" s="5"/>
      <c r="AY214" s="5">
        <v>1</v>
      </c>
      <c r="AZ214" s="5">
        <f>AZ5*AY214+AZ6*AY214+AZ7*AY214+AZ8*AY214+AZ9*AY214+AZ10*AY214+AZ11*AY214+AZ12*AY214+AZ13*AY214+AZ14*AY214+AZ15*AY214+AZ16*AY214+AZ17*AY214+AZ18*AY214+AZ19*AY214+AZ20*AY214+AZ21*AY214+AZ22*AY214+AZ23*AY214+AZ24*AY214+AZ25*AY214+AZ26*AY214</f>
        <v>0</v>
      </c>
      <c r="BA214" s="5"/>
      <c r="BC214" s="5">
        <v>1</v>
      </c>
      <c r="BD214" s="5">
        <f>BD5*BC214+BD6*BC214+BD7*BC214+BD8*BC214+BD9*BC214+BD10*BC214+BD11*BC214+BD12*BC214+BD13*BC214+BD14*BC214+BD15*BC214+BD16*BC214+BD17*BC214+BD18*BC214+BD19*BC214+BD20*BC214+BD21*BC214+BD22*BC214+BD23*BC214+BD24*BC214+BD25*BC214+BD26*BC214</f>
        <v>0</v>
      </c>
      <c r="BF214" s="5"/>
      <c r="BG214" s="5"/>
      <c r="BH214" s="5"/>
      <c r="BJ214" s="5"/>
      <c r="BK214" s="5"/>
      <c r="BL214" s="12"/>
      <c r="BM214" s="5">
        <v>1</v>
      </c>
      <c r="BN214" s="5">
        <f>BN5*BM214+BN6*BM214+BN7*BM214+BN8*BM214+BN9*BM214+BN10*BM214+BN11*BM214+BN12*BM214+BN13*BM214+BN14*BM214+BN15*BM214+BN16*BM214+BN17*BM214+BN18*BM214+BN19*BM214+BN20*BM214+BN21*BM214+BN22*BM214+BN23*BM214+BN24*BM214+BN25*BM214+BN26*BM214</f>
        <v>0</v>
      </c>
      <c r="BO214" s="5"/>
      <c r="BQ214" s="5">
        <v>1</v>
      </c>
      <c r="BR214" s="5">
        <f>BR5*BQ214+BR6*BQ214+BR7*BQ214+BR8*BQ214+BR9*BQ214+BR10*BQ214+BR11*BQ214+BR12*BQ214+BR13*BQ214+BR14*BQ214+BR15*BQ214+BR16*BQ214+BR17*BQ214+BR18*BQ214+BR19*BQ214+BR20*BQ214+BR21*BQ214+BR22*BQ214+BR23*BQ214+BR24*BQ214+BR25*BQ214+BR26*BQ214</f>
        <v>0</v>
      </c>
      <c r="BT214" s="5"/>
      <c r="BU214" s="5">
        <f>BU5*BT214+BU6*BT214+BU7*BT214+BU8*BT214+BU9*BT214+BU10*BT214+BU11*BT214+BU12*BT214+BU13*BT214+BU14*BT214+BU15*BT214+BU16*BT214+BU17*BT214+BU18*BT214+BU19*BT214+BU20*BT214+BU21*BT214+BU22*BT214+BU23*BT214+BU24*BT214+BU25*BT214+BU26*BT214</f>
        <v>0</v>
      </c>
      <c r="BV214" s="5"/>
      <c r="BX214" s="5"/>
      <c r="BY214" s="5">
        <f>BY5*BX214+BY6*BX214+BY7*BX214+BY8*BX214+BY9*BX214+BY10*BX214+BY11*BX214+BY12*BX214+BY13*BX214+BY14*BX214+BY15*BX214+BY16*BX214+BY17*BX214+BY18*BX214+BY19*BX214+BY20*BX214+BY21*BX214+BY22*BX214+BY23*BX214+BY24*BX214+BY25*BX214+BY26*BX214</f>
        <v>0</v>
      </c>
      <c r="CA214" s="13">
        <v>1</v>
      </c>
      <c r="CB214" s="5">
        <f>CB5*CA214+CB6*CA214+CB7*CA214+CB8*CA214+CB9*CA214+CB10*CA214+CB11*CA214+CB12*CA214+CB13*CA214+CB14*CA214+CB15*CA214+CB16*CA214+CB17*CA214+CB18*CA214+CB19*CA214+CB20*CA214+CB21*CA214+CB22*CA214+CB23*CA214+CB24*CA214+CB25*CA214+CB26*CA214</f>
        <v>0</v>
      </c>
      <c r="CC214" s="11"/>
      <c r="CE214" s="13">
        <v>1</v>
      </c>
      <c r="CF214" s="5">
        <f>SUM(CF5:CF26,CG5:CG26)*CE214</f>
        <v>0</v>
      </c>
      <c r="CG214" s="12"/>
      <c r="CI214" s="13">
        <v>1</v>
      </c>
      <c r="CJ214" s="5">
        <f>SUM(CJ5:CJ26,CK5:CK26)*CI214</f>
        <v>0</v>
      </c>
      <c r="CK214" s="12"/>
      <c r="CM214" s="13">
        <v>1</v>
      </c>
      <c r="CN214" s="5">
        <f>SUM(CN5:CN26,CO5:CO26)*CM214</f>
        <v>0</v>
      </c>
      <c r="CO214" s="12"/>
      <c r="CQ214" s="13">
        <v>1</v>
      </c>
      <c r="CR214" s="5">
        <f>SUM(CR5:CR26,CS5:CS26)*CQ214</f>
        <v>0</v>
      </c>
      <c r="CS214" s="12"/>
      <c r="CU214" s="13">
        <v>1</v>
      </c>
      <c r="CV214" s="5">
        <f>SUM(CV5:CV26,CW5:CW26)*CU214</f>
        <v>0</v>
      </c>
      <c r="CW214" s="12"/>
      <c r="CY214" s="13">
        <v>1</v>
      </c>
      <c r="CZ214" s="5">
        <f>SUM(CZ5:CZ26,DA5:DA26)*CY214</f>
        <v>0</v>
      </c>
      <c r="DA214" s="12"/>
      <c r="DC214" s="13">
        <v>1</v>
      </c>
      <c r="DD214" s="5">
        <f>SUM(DD5:DD26,DE5:DE26)*DC214</f>
        <v>0</v>
      </c>
      <c r="DE214" s="12"/>
      <c r="DG214" s="13">
        <v>1</v>
      </c>
      <c r="DH214" s="5">
        <f>SUM(DH5:DH26,DI5:DI26)*DG214</f>
        <v>0</v>
      </c>
      <c r="DI214" s="12"/>
      <c r="DK214" s="13">
        <v>1</v>
      </c>
      <c r="DL214" s="5">
        <f>SUM(DL5:DL26,DM5:DM26)*DK214</f>
        <v>0</v>
      </c>
      <c r="DM214" s="12"/>
      <c r="DO214" s="13">
        <v>1</v>
      </c>
      <c r="DP214" s="5">
        <f>SUM(DP5:DP26,DQ5:DQ26)*DO214</f>
        <v>0</v>
      </c>
      <c r="DQ214" s="12"/>
      <c r="DS214" s="1336">
        <f t="shared" si="3"/>
        <v>0</v>
      </c>
      <c r="DT214" s="121">
        <f>EXTRAS!D78</f>
        <v>0</v>
      </c>
      <c r="DU214" s="112">
        <f>EXTRAS!E78</f>
        <v>0</v>
      </c>
      <c r="DX214" s="203">
        <f t="shared" si="4"/>
        <v>0</v>
      </c>
      <c r="DZ214" s="924"/>
      <c r="EH214" s="924"/>
    </row>
    <row r="215" spans="1:138" s="6" customFormat="1" ht="15" customHeight="1">
      <c r="A215" s="3">
        <v>64</v>
      </c>
      <c r="B215" s="210" t="s">
        <v>1408</v>
      </c>
      <c r="C215" s="400" t="s">
        <v>0</v>
      </c>
      <c r="D215" s="4"/>
      <c r="E215" s="5"/>
      <c r="F215" s="5"/>
      <c r="G215" s="4"/>
      <c r="H215" s="4"/>
      <c r="I215" s="4"/>
      <c r="J215" s="4"/>
      <c r="K215" s="5"/>
      <c r="L215" s="5"/>
      <c r="M215" s="5"/>
      <c r="O215" s="5"/>
      <c r="P215" s="5"/>
      <c r="Q215" s="5"/>
      <c r="S215" s="5"/>
      <c r="T215" s="5"/>
      <c r="U215" s="5"/>
      <c r="W215" s="5"/>
      <c r="X215" s="5"/>
      <c r="Y215" s="12"/>
      <c r="AA215" s="13"/>
      <c r="AB215" s="12"/>
      <c r="AD215" s="13"/>
      <c r="AE215" s="5"/>
      <c r="AF215" s="5"/>
      <c r="AH215" s="13"/>
      <c r="AI215" s="5"/>
      <c r="AK215" s="5"/>
      <c r="AL215" s="5"/>
      <c r="AM215" s="5"/>
      <c r="AO215" s="5"/>
      <c r="AP215" s="5"/>
      <c r="AR215" s="5"/>
      <c r="AS215" s="5"/>
      <c r="AT215" s="5"/>
      <c r="AV215" s="5"/>
      <c r="AW215" s="5"/>
      <c r="AY215" s="5"/>
      <c r="AZ215" s="5"/>
      <c r="BA215" s="5"/>
      <c r="BC215" s="5"/>
      <c r="BD215" s="5"/>
      <c r="BF215" s="5"/>
      <c r="BG215" s="5"/>
      <c r="BH215" s="5"/>
      <c r="BJ215" s="5"/>
      <c r="BK215" s="5"/>
      <c r="BL215" s="12"/>
      <c r="BM215" s="5"/>
      <c r="BN215" s="5"/>
      <c r="BO215" s="5"/>
      <c r="BQ215" s="5"/>
      <c r="BR215" s="5"/>
      <c r="BT215" s="5"/>
      <c r="BU215" s="5"/>
      <c r="BV215" s="5"/>
      <c r="BX215" s="5"/>
      <c r="BY215" s="5"/>
      <c r="CA215" s="13"/>
      <c r="CB215" s="5"/>
      <c r="CC215" s="11"/>
      <c r="CE215" s="13"/>
      <c r="CF215" s="5"/>
      <c r="CG215" s="12"/>
      <c r="CI215" s="13"/>
      <c r="CJ215" s="5"/>
      <c r="CK215" s="12"/>
      <c r="CM215" s="13"/>
      <c r="CN215" s="5"/>
      <c r="CO215" s="12"/>
      <c r="CQ215" s="13"/>
      <c r="CR215" s="5"/>
      <c r="CS215" s="12"/>
      <c r="CU215" s="13"/>
      <c r="CV215" s="5"/>
      <c r="CW215" s="12"/>
      <c r="CY215" s="13"/>
      <c r="CZ215" s="5"/>
      <c r="DA215" s="12"/>
      <c r="DC215" s="13"/>
      <c r="DD215" s="5"/>
      <c r="DE215" s="12"/>
      <c r="DG215" s="13"/>
      <c r="DH215" s="5"/>
      <c r="DI215" s="12"/>
      <c r="DK215" s="13"/>
      <c r="DL215" s="5"/>
      <c r="DM215" s="12"/>
      <c r="DO215" s="13"/>
      <c r="DP215" s="5"/>
      <c r="DQ215" s="12"/>
      <c r="DS215" s="1336">
        <f t="shared" si="3"/>
        <v>0</v>
      </c>
      <c r="DT215" s="121">
        <f>EXTRAS!D79</f>
        <v>0</v>
      </c>
      <c r="DU215" s="112">
        <f>EXTRAS!E79</f>
        <v>0</v>
      </c>
      <c r="DX215" s="203">
        <f t="shared" si="4"/>
        <v>0</v>
      </c>
      <c r="DZ215" s="924"/>
      <c r="EH215" s="924"/>
    </row>
    <row r="216" spans="1:138" s="6" customFormat="1" ht="15" customHeight="1">
      <c r="A216" s="3">
        <v>65</v>
      </c>
      <c r="B216" s="210" t="s">
        <v>1409</v>
      </c>
      <c r="C216" s="400" t="s">
        <v>0</v>
      </c>
      <c r="D216" s="4"/>
      <c r="E216" s="5"/>
      <c r="F216" s="5"/>
      <c r="G216" s="4"/>
      <c r="H216" s="4"/>
      <c r="I216" s="4"/>
      <c r="J216" s="4"/>
      <c r="K216" s="5"/>
      <c r="L216" s="5"/>
      <c r="M216" s="5"/>
      <c r="O216" s="5"/>
      <c r="P216" s="5"/>
      <c r="Q216" s="5"/>
      <c r="S216" s="5"/>
      <c r="T216" s="5"/>
      <c r="U216" s="5"/>
      <c r="W216" s="5"/>
      <c r="X216" s="5"/>
      <c r="Y216" s="12"/>
      <c r="AA216" s="13"/>
      <c r="AB216" s="12"/>
      <c r="AD216" s="13"/>
      <c r="AE216" s="5"/>
      <c r="AF216" s="5"/>
      <c r="AH216" s="13"/>
      <c r="AI216" s="5"/>
      <c r="AK216" s="5"/>
      <c r="AL216" s="5"/>
      <c r="AM216" s="5"/>
      <c r="AO216" s="5"/>
      <c r="AP216" s="5"/>
      <c r="AR216" s="5"/>
      <c r="AS216" s="5"/>
      <c r="AT216" s="5"/>
      <c r="AV216" s="5"/>
      <c r="AW216" s="5"/>
      <c r="AY216" s="5"/>
      <c r="AZ216" s="5"/>
      <c r="BA216" s="5"/>
      <c r="BC216" s="5"/>
      <c r="BD216" s="5"/>
      <c r="BF216" s="5"/>
      <c r="BG216" s="5"/>
      <c r="BH216" s="5"/>
      <c r="BJ216" s="5"/>
      <c r="BK216" s="5"/>
      <c r="BL216" s="12"/>
      <c r="BM216" s="5"/>
      <c r="BN216" s="5"/>
      <c r="BO216" s="5"/>
      <c r="BQ216" s="5"/>
      <c r="BR216" s="5"/>
      <c r="BT216" s="5"/>
      <c r="BU216" s="5"/>
      <c r="BV216" s="5"/>
      <c r="BX216" s="5"/>
      <c r="BY216" s="5"/>
      <c r="CA216" s="13"/>
      <c r="CB216" s="5"/>
      <c r="CC216" s="11"/>
      <c r="CE216" s="13"/>
      <c r="CF216" s="5"/>
      <c r="CG216" s="12"/>
      <c r="CI216" s="13"/>
      <c r="CJ216" s="5"/>
      <c r="CK216" s="12"/>
      <c r="CM216" s="13"/>
      <c r="CN216" s="5"/>
      <c r="CO216" s="12"/>
      <c r="CQ216" s="13"/>
      <c r="CR216" s="5"/>
      <c r="CS216" s="12"/>
      <c r="CU216" s="13"/>
      <c r="CV216" s="5"/>
      <c r="CW216" s="12"/>
      <c r="CY216" s="13"/>
      <c r="CZ216" s="5"/>
      <c r="DA216" s="12"/>
      <c r="DC216" s="13"/>
      <c r="DD216" s="5"/>
      <c r="DE216" s="12"/>
      <c r="DG216" s="13"/>
      <c r="DH216" s="5"/>
      <c r="DI216" s="12"/>
      <c r="DK216" s="13"/>
      <c r="DL216" s="5"/>
      <c r="DM216" s="12"/>
      <c r="DO216" s="13"/>
      <c r="DP216" s="5"/>
      <c r="DQ216" s="12"/>
      <c r="DS216" s="1336">
        <f t="shared" si="3"/>
        <v>0</v>
      </c>
      <c r="DT216" s="121">
        <f>EXTRAS!D80</f>
        <v>0</v>
      </c>
      <c r="DU216" s="112">
        <f>EXTRAS!E80</f>
        <v>0</v>
      </c>
      <c r="DX216" s="203">
        <f t="shared" si="4"/>
        <v>0</v>
      </c>
      <c r="DZ216" s="924"/>
      <c r="EH216" s="924"/>
    </row>
    <row r="217" spans="1:138" s="6" customFormat="1" ht="15" customHeight="1">
      <c r="A217" s="3">
        <v>66</v>
      </c>
      <c r="B217" s="210" t="s">
        <v>1410</v>
      </c>
      <c r="C217" s="400" t="s">
        <v>0</v>
      </c>
      <c r="D217" s="4"/>
      <c r="E217" s="5"/>
      <c r="F217" s="5"/>
      <c r="G217" s="4"/>
      <c r="H217" s="4"/>
      <c r="I217" s="4"/>
      <c r="J217" s="4"/>
      <c r="K217" s="5"/>
      <c r="L217" s="5"/>
      <c r="M217" s="5"/>
      <c r="O217" s="5"/>
      <c r="P217" s="5"/>
      <c r="Q217" s="5"/>
      <c r="S217" s="5"/>
      <c r="T217" s="5"/>
      <c r="U217" s="5"/>
      <c r="W217" s="5"/>
      <c r="X217" s="5"/>
      <c r="Y217" s="12"/>
      <c r="AA217" s="13"/>
      <c r="AB217" s="12"/>
      <c r="AD217" s="13"/>
      <c r="AE217" s="5"/>
      <c r="AF217" s="5"/>
      <c r="AH217" s="13"/>
      <c r="AI217" s="5"/>
      <c r="AK217" s="5"/>
      <c r="AL217" s="5"/>
      <c r="AM217" s="5"/>
      <c r="AO217" s="5"/>
      <c r="AP217" s="5"/>
      <c r="AR217" s="5"/>
      <c r="AS217" s="5"/>
      <c r="AT217" s="5"/>
      <c r="AV217" s="5"/>
      <c r="AW217" s="5"/>
      <c r="AY217" s="5"/>
      <c r="AZ217" s="5"/>
      <c r="BA217" s="5"/>
      <c r="BC217" s="5"/>
      <c r="BD217" s="5"/>
      <c r="BF217" s="5"/>
      <c r="BG217" s="5"/>
      <c r="BH217" s="5"/>
      <c r="BJ217" s="5"/>
      <c r="BK217" s="5"/>
      <c r="BL217" s="12"/>
      <c r="BM217" s="5"/>
      <c r="BN217" s="5"/>
      <c r="BO217" s="5"/>
      <c r="BQ217" s="5"/>
      <c r="BR217" s="5"/>
      <c r="BT217" s="5"/>
      <c r="BU217" s="5"/>
      <c r="BV217" s="5"/>
      <c r="BX217" s="5"/>
      <c r="BY217" s="5"/>
      <c r="CA217" s="13"/>
      <c r="CB217" s="5"/>
      <c r="CC217" s="11"/>
      <c r="CE217" s="13"/>
      <c r="CF217" s="5"/>
      <c r="CG217" s="12"/>
      <c r="CI217" s="13"/>
      <c r="CJ217" s="5"/>
      <c r="CK217" s="12"/>
      <c r="CM217" s="13"/>
      <c r="CN217" s="5"/>
      <c r="CO217" s="12"/>
      <c r="CQ217" s="13"/>
      <c r="CR217" s="5"/>
      <c r="CS217" s="12"/>
      <c r="CU217" s="13"/>
      <c r="CV217" s="5"/>
      <c r="CW217" s="12"/>
      <c r="CY217" s="13"/>
      <c r="CZ217" s="5"/>
      <c r="DA217" s="12"/>
      <c r="DC217" s="13"/>
      <c r="DD217" s="5"/>
      <c r="DE217" s="12"/>
      <c r="DG217" s="13"/>
      <c r="DH217" s="5"/>
      <c r="DI217" s="12"/>
      <c r="DK217" s="13"/>
      <c r="DL217" s="5"/>
      <c r="DM217" s="12"/>
      <c r="DO217" s="13"/>
      <c r="DP217" s="5"/>
      <c r="DQ217" s="12"/>
      <c r="DS217" s="1336">
        <f t="shared" si="3"/>
        <v>0</v>
      </c>
      <c r="DT217" s="121">
        <f>EXTRAS!D81</f>
        <v>0</v>
      </c>
      <c r="DU217" s="112">
        <f>EXTRAS!E81</f>
        <v>0</v>
      </c>
      <c r="DX217" s="203">
        <f t="shared" si="4"/>
        <v>0</v>
      </c>
      <c r="DZ217" s="924"/>
      <c r="EH217" s="924"/>
    </row>
    <row r="218" spans="1:138" s="6" customFormat="1" ht="15" customHeight="1">
      <c r="A218" s="3">
        <v>67</v>
      </c>
      <c r="B218" s="210" t="s">
        <v>8</v>
      </c>
      <c r="C218" s="473" t="s">
        <v>515</v>
      </c>
      <c r="D218" s="4"/>
      <c r="E218" s="5">
        <v>1</v>
      </c>
      <c r="F218" s="5">
        <f>SUM(F5:F26)*E218</f>
        <v>0</v>
      </c>
      <c r="G218" s="4"/>
      <c r="H218" s="4"/>
      <c r="I218" s="4"/>
      <c r="J218" s="4"/>
      <c r="K218" s="5"/>
      <c r="L218" s="5"/>
      <c r="M218" s="5"/>
      <c r="O218" s="5"/>
      <c r="P218" s="5"/>
      <c r="Q218" s="5"/>
      <c r="S218" s="5"/>
      <c r="T218" s="5"/>
      <c r="U218" s="5"/>
      <c r="W218" s="5"/>
      <c r="X218" s="5"/>
      <c r="Y218" s="12"/>
      <c r="AA218" s="13"/>
      <c r="AB218" s="12"/>
      <c r="AD218" s="13">
        <v>1</v>
      </c>
      <c r="AE218" s="5">
        <f>AE5*AD218+AF5*AD218+AE6*AD218+AF6*AD218+AE7*AD218+AF7*AD218+AE8*AD218+AF8*AD218+AE9*AD218+AF9*AD218+AE10*AD218+AF10*AD218+AE11*AD218+AF11*AD218+AE12*AD218+AF12*AD218+AE13*AD218+AF13*AD218+AE14*AD218+AF14*AD218+AE15*AD218+AF15*AD218+AE16*AD218+AF16*AD218+AE17*AD218+AF17*AD218+AE18*AD218+AF18*AD218+AE19*AD218+AF19*AD218+AE20*AD218+AF20*AD218+AE21*AD218+AF21*AD218+AE22*AD218+AF22*AD218+AE23*AD218+AF23*AD218+AE24*AD218+AF24*AD218+AE25*AD218+AF25*AD218+AE26*AD218+AF26*AD218</f>
        <v>0</v>
      </c>
      <c r="AF218" s="5"/>
      <c r="AH218" s="13">
        <v>1</v>
      </c>
      <c r="AI218" s="5">
        <f>AI5*AH218+AI6*AH218+AI7*AH218+AI8*AH218+AI9*AH218+AI10*AH218+AI11*AH218+AI12*AH218+AI13*AH218+AI14*AH218+AI15*AH218+AI16*AH218+AI17*AH218+AI18*AH218+AI19*AH218+AI20*AH218+AI21*AH218+AI22*AH218+AI23*AH218+AI24*AH218+AI25*AH218+AI26*AH218</f>
        <v>0</v>
      </c>
      <c r="AK218" s="5">
        <v>1</v>
      </c>
      <c r="AL218" s="5">
        <f>AL5*AK218+AM5*AK218+AL6*AK218+AM6*AK218+AL7*AK218+AM7*AK218+AL8*AK218+AM8*AK218+AL9*AK218+AM9*AK218+AL10*AK218+AM10*AK218+AL11*AK218+AM11*AK218+AL12*AK218+AM12*AK218+AL13*AK218+AM13*AK218+AL14*AK218+AM14*AK218+AL15*AK218+AM15*AK218+AL16*AK218+AM16*AK218+AL17*AK218+AM17*AK218+AL18*AK218+AM18*AK218+AL19*AK218+AM19*AK218+AL20*AK218+AM20*AK218+AL21*AK218+AM21*AK218+AL22*AK218+AM22*AK218+AL23*AK218+AM23*AK218+AL24*AK218+AM24*AK218+AL25*AK218+AM25*AK218+AL26*AK218+AM26*AK218</f>
        <v>0</v>
      </c>
      <c r="AM218" s="5"/>
      <c r="AO218" s="5">
        <v>1</v>
      </c>
      <c r="AP218" s="5">
        <f>AP5*AO218+AP6*AO218+AP7*AO218+AP8*AO218+AP9*AO218+AP10*AO218+AP11*AO218+AP12*AO218+AP13*AO218+AP14*AO218+AP15*AO218+AP16*AO218+AP17*AO218+AP18*AO218+AP19*AO218+AP20*AO218+AP21*AO218+AP22*AO218+AP23*AO218+AP24*AO218+AP25*AO218+AP26*AO218</f>
        <v>0</v>
      </c>
      <c r="AR218" s="5"/>
      <c r="AS218" s="5"/>
      <c r="AT218" s="5"/>
      <c r="AV218" s="5"/>
      <c r="AW218" s="5"/>
      <c r="AY218" s="5">
        <v>1</v>
      </c>
      <c r="AZ218" s="5">
        <f>AZ5*AY218+BA5*AY218+AZ6*AY218+BA6*AY218+AZ7*AY218+BA7*AY218+AZ8*AY218+BA8*AY218+AZ9*AY218+BA9*AY218+AZ10*AY218+BA10*AY218+AZ11*AY218+BA11*AY218+AZ12*AY218+BA12*AY218+AZ13*AY218+BA13*AY218+AZ14*AY218+BA14*AY218+AZ15*AY218+BA15*AY218+AZ16*AY218+BA16*AY218+AZ17*AY218+BA17*AY218+AZ18*AY218+BA18*AY218+AZ19*AY218+BA19*AY218+AZ20*AY218+BA20*AY218+AZ21*AY218+BA21*AY218+AZ22*AY218+BA22*AY218+AZ23*AY218+BA23*AY218+AZ24*AY218+BA24*AY218+AZ25*AY218+BA25*AY218+AZ26*AY218+BA26*AY218</f>
        <v>0</v>
      </c>
      <c r="BA218" s="5"/>
      <c r="BC218" s="5">
        <v>1</v>
      </c>
      <c r="BD218" s="5">
        <f>BD5*BC218+BD6*BC218+BD7*BC218+BD8*BC218+BD9*BC218+BD10*BC218+BD11*BC218+BD12*BC218+BD13*BC218+BD14*BC218+BD15*BC218+BD16*BC218+BD17*BC218+BD18*BC218+BD19*BC218+BD20*BC218+BD21*BC218+BD22*BC218+BD23*BC218+BD24*BC218+BD25*BC218+BD26*BC218</f>
        <v>0</v>
      </c>
      <c r="BF218" s="5"/>
      <c r="BG218" s="5"/>
      <c r="BH218" s="5"/>
      <c r="BJ218" s="5"/>
      <c r="BK218" s="5"/>
      <c r="BL218" s="12"/>
      <c r="BM218" s="5">
        <v>1</v>
      </c>
      <c r="BN218" s="5">
        <f>BN5*BM218+BO5*BM218+BN6*BM218+BO6*BM218+BN7*BM218+BO7*BM218+BN8*BM218+BO8*BM218+BN9*BM218+BO9*BM218+BN10*BM218+BO10*BM218+BN11*BM218+BO11*BM218+BN12*BM218+BO12*BM218+BN13*BM218+BO13*BM218+BN14*BM218+BO14*BM218+BN15*BM218+BO15*BM218+BN16*BM218+BO16*BM218+BN17*BM218+BO17*BM218+BN18*BM218+BO18*BM218+BN19*BM218+BO19*BM218+BN20*BM218+BO20*BM218+BN21*BM218+BO21*BM218+BN22*BM218+BO22*BM218+BN23*BM218+BO23*BM218+BN24*BM218+BO24*BM218+BN25*BM218+BO25*BM218+BN26*BM218+BO26*BM218</f>
        <v>0</v>
      </c>
      <c r="BO218" s="5"/>
      <c r="BQ218" s="5">
        <v>1</v>
      </c>
      <c r="BR218" s="5">
        <f>BR5*BQ218+BR6*BQ218+BR7*BQ218+BR8*BQ218+BR9*BQ218+BR10*BQ218+BR11*BQ218+BR12*BQ218+BR13*BQ218+BR14*BQ218+BR15*BQ218+BR16*BQ218+BR17*BQ218+BR18*BQ218+BR19*BQ218+BR20*BQ218+BR21*BQ218+BR22*BQ218+BR23*BQ218+BR24*BQ218+BR25*BQ218+BR26*BQ218</f>
        <v>0</v>
      </c>
      <c r="BT218" s="5"/>
      <c r="BU218" s="5">
        <f>BU5*BT218+BV5*BT218+BU6*BT218+BV6*BT218+BU7*BT218+BV7*BT218+BU8*BT218+BV8*BT218+BU9*BT218+BV9*BT218+BU10*BT218+BV10*BT218+BU11*BT218+BV11*BT218+BU12*BT218+BV12*BT218+BU13*BT218+BV13*BT218+BU14*BT218+BV14*BT218+BU15*BT218+BV15*BT218+BU16*BT218+BV16*BT218+BU17*BT218+BV17*BT218+BU18*BT218+BV18*BT218+BU19*BT218+BV19*BT218+BU20*BT218+BV20*BT218+BU21*BT218+BV21*BT218+BU22*BT218+BV22*BT218+BU23*BT218+BV23*BT218+BU24*BT218+BV24*BT218+BU25*BT218+BV25*BT218+BU26*BT218+BV26*BT218</f>
        <v>0</v>
      </c>
      <c r="BV218" s="5"/>
      <c r="BX218" s="5"/>
      <c r="BY218" s="5">
        <f>BY5*BX218+BZ5*BX218+BY6*BX218+BZ6*BX218+BY7*BX218+BZ7*BX218+BY8*BX218+BZ8*BX218+BY9*BX218+BZ9*BX218+BY10*BX218+BZ10*BX218+BY11*BX218+BZ11*BX218+BY12*BX218+BZ12*BX218+BY13*BX218+BZ13*BX218+BY14*BX218+BZ14*BX218+BY15*BX218+BZ15*BX218+BY16*BX218+BZ16*BX218+BY17*BX218+BZ17*BX218+BY18*BX218+BZ18*BX218+BY19*BX218+BZ19*BX218+BY20*BX218+BZ20*BX218+BY21*BX218+BZ21*BX218+BY22*BX218+BZ22*BX218+BY23*BX218+BZ23*BX218+BY24*BX218+BZ24*BX218+BY25*BX218+BZ25*BX218+BY26*BX218+BZ26*BX218</f>
        <v>0</v>
      </c>
      <c r="CA218" s="13">
        <v>1</v>
      </c>
      <c r="CB218" s="5">
        <f>CB5*CA218+CC5*CA218+CB6*CA218+CC6*CA218+CB7*CA218+CC7*CA218+CB8*CA218+CC8*CA218+CB9*CA218+CC9*CA218+CB10*CA218+CC10*CA218+CB11*CA218+CC11*CA218+CB12*CA218+CC12*CA218+CB13*CA218+CC13*CA218+CB14*CA218+CC14*CA218+CB15*CA218+CC15*CA218+CB16*CA218+CC16*CA218+CB17*CA218+CC17*CA218+CB18*CA218+CC18*CA218+CB19*CA218+CC19*CA218+CB20*CA218+CC20*CA218+CB21*CA218+CC21*CA218+CB22*CA218+CC22*CA218+CB23*CA218+CC23*CA218+CB24*CA218+CC24*CA218+CB25*CA218+CC25*CA218+CB26*CA218+CC26*CA218</f>
        <v>0</v>
      </c>
      <c r="CC218" s="11"/>
      <c r="CE218" s="13">
        <v>1</v>
      </c>
      <c r="CF218" s="5">
        <f>CF5*CE218+CG5*CE218+CF6*CE218+CG6*CE218+CF7*CE218+CG7*CE218+CF8*CE218+CG8*CE218+CF9*CE218+CG9*CE218+CF10*CE218+CG10*CE218+CF11*CE218+CG11*CE218+CF12*CE218+CG12*CE218+CF13*CE218+CG13*CE218+CF14*CE218+CG14*CE218+CF15*CE218+CG15*CE218+CF16*CE218+CG16*CE218+CF17*CE218+CG17*CE218+CF18*CE218+CG18*CE218+CF19*CE218+CG19*CE218+CF20*CE218+CG20*CE218+CF21*CE218+CG21*CE218+CF22*CE218+CG22*CE218+CF23*CE218+CG23*CE218+CF24*CE218+CG24*CE218+CF25*CE218+CG25*CE218+CF26*CE218+CG26*CE218</f>
        <v>0</v>
      </c>
      <c r="CG218" s="12"/>
      <c r="CI218" s="13">
        <v>1</v>
      </c>
      <c r="CJ218" s="5">
        <f>CJ5*CI218+CK5*CI218+CJ6*CI218+CK6*CI218+CJ7*CI218+CK7*CI218+CJ8*CI218+CK8*CI218+CJ9*CI218+CK9*CI218+CJ10*CI218+CK10*CI218+CJ11*CI218+CK11*CI218+CJ12*CI218+CK12*CI218+CJ13*CI218+CK13*CI218+CJ14*CI218+CK14*CI218+CJ15*CI218+CK15*CI218+CJ16*CI218+CK16*CI218+CJ17*CI218+CK17*CI218+CJ18*CI218+CK18*CI218+CJ19*CI218+CK19*CI218+CJ20*CI218+CK20*CI218+CJ21*CI218+CK21*CI218+CJ22*CI218+CK22*CI218+CJ23*CI218+CK23*CI218+CJ24*CI218+CK24*CI218+CJ25*CI218+CK25*CI218+CJ26*CI218+CK26*CI218</f>
        <v>0</v>
      </c>
      <c r="CK218" s="12"/>
      <c r="CM218" s="13">
        <v>1</v>
      </c>
      <c r="CN218" s="5">
        <f>CN5*CM218+CO5*CM218+CN6*CM218+CO6*CM218+CN7*CM218+CO7*CM218+CN8*CM218+CO8*CM218+CN9*CM218+CO9*CM218+CN10*CM218+CO10*CM218+CN11*CM218+CO11*CM218+CN12*CM218+CO12*CM218+CN13*CM218+CO13*CM218+CN14*CM218+CO14*CM218+CN15*CM218+CO15*CM218+CN16*CM218+CO16*CM218+CN17*CM218+CO17*CM218+CN18*CM218+CO18*CM218+CN19*CM218+CO19*CM218+CN20*CM218+CO20*CM218+CN21*CM218+CO21*CM218+CN22*CM218+CO22*CM218+CN23*CM218+CO23*CM218+CN24*CM218+CO24*CM218+CN25*CM218+CO25*CM218+CN26*CM218+CO26*CM218</f>
        <v>0</v>
      </c>
      <c r="CO218" s="12"/>
      <c r="CQ218" s="13">
        <v>1</v>
      </c>
      <c r="CR218" s="5">
        <f>CR5*CQ218+CS5*CQ218+CR6*CQ218+CS6*CQ218+CR7*CQ218+CS7*CQ218+CR8*CQ218+CS8*CQ218+CR9*CQ218+CS9*CQ218+CR10*CQ218+CS10*CQ218+CR11*CQ218+CS11*CQ218+CR12*CQ218+CS12*CQ218+CR13*CQ218+CS13*CQ218+CR14*CQ218+CS14*CQ218+CR15*CQ218+CS15*CQ218+CR16*CQ218+CS16*CQ218+CR17*CQ218+CS17*CQ218+CR18*CQ218+CS18*CQ218+CR19*CQ218+CS19*CQ218+CR20*CQ218+CS20*CQ218+CR21*CQ218+CS21*CQ218+CR22*CQ218+CS22*CQ218+CR23*CQ218+CS23*CQ218+CR24*CQ218+CS24*CQ218+CR25*CQ218+CS25*CQ218+CR26*CQ218+CS26*CQ218</f>
        <v>0</v>
      </c>
      <c r="CS218" s="12"/>
      <c r="CU218" s="13">
        <v>1</v>
      </c>
      <c r="CV218" s="5">
        <f>CV5*CU218+CW5*CU218+CV6*CU218+CW6*CU218+CV7*CU218+CW7*CU218+CV8*CU218+CW8*CU218+CV9*CU218+CW9*CU218+CV10*CU218+CW10*CU218+CV11*CU218+CW11*CU218+CV12*CU218+CW12*CU218+CV13*CU218+CW13*CU218+CV14*CU218+CW14*CU218+CV15*CU218+CW15*CU218+CV16*CU218+CW16*CU218+CV17*CU218+CW17*CU218+CV18*CU218+CW18*CU218+CV19*CU218+CW19*CU218+CV20*CU218+CW20*CU218+CV21*CU218+CW21*CU218+CV22*CU218+CW22*CU218+CV23*CU218+CW23*CU218+CV24*CU218+CW24*CU218+CV25*CU218+CW25*CU218+CV26*CU218+CW26*CU218</f>
        <v>0</v>
      </c>
      <c r="CW218" s="12"/>
      <c r="CY218" s="13">
        <v>1</v>
      </c>
      <c r="CZ218" s="5">
        <f>CZ5*CY218+DA5*CY218+CZ6*CY218+DA6*CY218+CZ7*CY218+DA7*CY218+CZ8*CY218+DA8*CY218+CZ9*CY218+DA9*CY218+CZ10*CY218+DA10*CY218+CZ11*CY218+DA11*CY218+CZ12*CY218+DA12*CY218+CZ13*CY218+DA13*CY218+CZ14*CY218+DA14*CY218+CZ15*CY218+DA15*CY218+CZ16*CY218+DA16*CY218+CZ17*CY218+DA17*CY218+CZ18*CY218+DA18*CY218+CZ19*CY218+DA19*CY218+CZ20*CY218+DA20*CY218+CZ21*CY218+DA21*CY218+CZ22*CY218+DA22*CY218+CZ23*CY218+DA23*CY218+CZ24*CY218+DA24*CY218+CZ25*CY218+DA25*CY218+CZ26*CY218+DA26*CY218</f>
        <v>0</v>
      </c>
      <c r="DA218" s="12"/>
      <c r="DC218" s="13">
        <v>1</v>
      </c>
      <c r="DD218" s="5">
        <f>DD5*DC218+DE5*DC218+DD6*DC218+DE6*DC218+DD7*DC218+DE7*DC218+DD8*DC218+DE8*DC218+DD9*DC218+DE9*DC218+DD10*DC218+DE10*DC218+DD11*DC218+DE11*DC218+DD12*DC218+DE12*DC218+DD13*DC218+DE13*DC218+DD14*DC218+DE14*DC218+DD15*DC218+DE15*DC218+DD16*DC218+DE16*DC218+DD17*DC218+DE17*DC218+DD18*DC218+DE18*DC218+DD19*DC218+DE19*DC218+DD20*DC218+DE20*DC218+DD21*DC218+DE21*DC218+DD22*DC218+DE22*DC218+DD23*DC218+DE23*DC218+DD24*DC218+DE24*DC218+DD25*DC218+DE25*DC218+DD26*DC218+DE26*DC218</f>
        <v>0</v>
      </c>
      <c r="DE218" s="12"/>
      <c r="DG218" s="13">
        <v>1</v>
      </c>
      <c r="DH218" s="5">
        <f>DH5*DG218+DI5*DG218+DH6*DG218+DI6*DG218+DH7*DG218+DI7*DG218+DH8*DG218+DI8*DG218+DH9*DG218+DI9*DG218+DH10*DG218+DI10*DG218+DH11*DG218+DI11*DG218+DH12*DG218+DI12*DG218+DH13*DG218+DI13*DG218+DH14*DG218+DI14*DG218+DH15*DG218+DI15*DG218+DH16*DG218+DI16*DG218+DH17*DG218+DI17*DG218+DH18*DG218+DI18*DG218+DH19*DG218+DI19*DG218+DH20*DG218+DI20*DG218+DH21*DG218+DI21*DG218+DH22*DG218+DI22*DG218+DH23*DG218+DI23*DG218+DH24*DG218+DI24*DG218+DH25*DG218+DI25*DG218+DH26*DG218+DI26*DG218</f>
        <v>0</v>
      </c>
      <c r="DI218" s="12"/>
      <c r="DK218" s="13">
        <v>1</v>
      </c>
      <c r="DL218" s="5">
        <f>DL5*DK218+DM5*DK218+DL6*DK218+DM6*DK218+DL7*DK218+DM7*DK218+DL8*DK218+DM8*DK218+DL9*DK218+DM9*DK218+DL10*DK218+DM10*DK218+DL11*DK218+DM11*DK218+DL12*DK218+DM12*DK218+DL13*DK218+DM13*DK218+DL14*DK218+DM14*DK218+DL15*DK218+DM15*DK218+DL16*DK218+DM16*DK218+DL17*DK218+DM17*DK218+DL18*DK218+DM18*DK218+DL19*DK218+DM19*DK218+DL20*DK218+DM20*DK218+DL21*DK218+DM21*DK218+DL22*DK218+DM22*DK218+DL23*DK218+DM23*DK218+DL24*DK218+DM24*DK218+DL25*DK218+DM25*DK218+DL26*DK218+DM26*DK218</f>
        <v>0</v>
      </c>
      <c r="DM218" s="12"/>
      <c r="DO218" s="13">
        <v>1</v>
      </c>
      <c r="DP218" s="5">
        <f>DP5*DO218+DQ5*DO218+DP6*DO218+DQ6*DO218+DP7*DO218+DQ7*DO218+DP8*DO218+DQ8*DO218+DP9*DO218+DQ9*DO218+DP10*DO218+DQ10*DO218+DP11*DO218+DQ11*DO218+DP12*DO218+DQ12*DO218+DP13*DO218+DQ13*DO218+DP14*DO218+DQ14*DO218+DP15*DO218+DQ15*DO218+DP16*DO218+DQ16*DO218+DP17*DO218+DQ17*DO218+DP18*DO218+DQ18*DO218+DP19*DO218+DQ19*DO218+DP20*DO218+DQ20*DO218+DP21*DO218+DQ21*DO218+DP22*DO218+DQ22*DO218+DP23*DO218+DQ23*DO218+DP24*DO218+DQ24*DO218+DP25*DO218+DQ25*DO218+DP26*DO218+DQ26*DO218</f>
        <v>0</v>
      </c>
      <c r="DQ218" s="12"/>
      <c r="DS218" s="1336">
        <f t="shared" si="3"/>
        <v>0</v>
      </c>
      <c r="DT218" s="121">
        <f>EXTRAS!D82</f>
        <v>0</v>
      </c>
      <c r="DU218" s="112">
        <f>EXTRAS!E82</f>
        <v>0</v>
      </c>
      <c r="DX218" s="203">
        <f t="shared" si="4"/>
        <v>0</v>
      </c>
      <c r="DZ218" s="924"/>
      <c r="EH218" s="924"/>
    </row>
    <row r="219" spans="1:138" s="6" customFormat="1" ht="15" customHeight="1">
      <c r="A219" s="3">
        <v>68</v>
      </c>
      <c r="B219" s="210" t="s">
        <v>141</v>
      </c>
      <c r="C219" s="473" t="s">
        <v>515</v>
      </c>
      <c r="D219" s="4"/>
      <c r="E219" s="5"/>
      <c r="F219" s="5"/>
      <c r="G219" s="4"/>
      <c r="H219" s="4"/>
      <c r="I219" s="4"/>
      <c r="J219" s="4"/>
      <c r="K219" s="5"/>
      <c r="L219" s="5"/>
      <c r="M219" s="5"/>
      <c r="O219" s="5"/>
      <c r="P219" s="5"/>
      <c r="Q219" s="5"/>
      <c r="S219" s="5"/>
      <c r="T219" s="5"/>
      <c r="U219" s="5"/>
      <c r="W219" s="5"/>
      <c r="X219" s="5"/>
      <c r="Y219" s="12"/>
      <c r="AA219" s="13">
        <v>1</v>
      </c>
      <c r="AB219" s="12">
        <f>AB5*AA219+AB6*AA219+AB7*AA219+AB8*AA219+AB9*AA219+AB10*AA219+AB11*AA219+AB12*AA219+AB13*AA219+AB14*AA219+AB15*AA219+AB16*AA219+AB17*AA219+AB18*AA219+AB19*AA219+AB20*AA219+AB21*AA219+AB22*AA219+AB23*AA219+AB24*AA219+AB25*AA219+AB26*AA219</f>
        <v>0</v>
      </c>
      <c r="AD219" s="13"/>
      <c r="AE219" s="5"/>
      <c r="AF219" s="5"/>
      <c r="AH219" s="13"/>
      <c r="AI219" s="5"/>
      <c r="AK219" s="5"/>
      <c r="AL219" s="5"/>
      <c r="AM219" s="5"/>
      <c r="AO219" s="5"/>
      <c r="AP219" s="5"/>
      <c r="AR219" s="5"/>
      <c r="AS219" s="5"/>
      <c r="AT219" s="5"/>
      <c r="AV219" s="13">
        <v>1</v>
      </c>
      <c r="AW219" s="12">
        <f>AW5*AV219+AW6*AV219+AW7*AV219+AW8*AV219+AW9*AV219+AW10*AV219+AW11*AV219+AW12*AV219+AW13*AV219+AW14*AV219+AW15*AV219+AW16*AV219+AW17*AV219+AW18*AV219+AW19*AV219+AW20*AV219+AW21*AV219+AW22*AV219+AW23*AV219+AW24*AV219+AW25*AV219+AW26*AV219</f>
        <v>0</v>
      </c>
      <c r="AY219" s="5"/>
      <c r="AZ219" s="5"/>
      <c r="BA219" s="5"/>
      <c r="BC219" s="5"/>
      <c r="BD219" s="5"/>
      <c r="BF219" s="5"/>
      <c r="BG219" s="5"/>
      <c r="BH219" s="5"/>
      <c r="BJ219" s="13">
        <v>1</v>
      </c>
      <c r="BK219" s="12">
        <f>BK5*BJ219+BK6*BJ219+BK7*BJ219+BK8*BJ219+BK9*BJ219+BK10*BJ219+BK11*BJ219+BK12*BJ219+BK13*BJ219+BK14*BJ219+BK15*BJ219+BK16*BJ219+BK17*BJ219+BK18*BJ219+BK19*BJ219+BK20*BJ219+BK21*BJ219+BK22*BJ219+BK23*BJ219+BK24*BJ219+BK25*BJ219+BK26*BJ219</f>
        <v>0</v>
      </c>
      <c r="BL219" s="12"/>
      <c r="BM219" s="5"/>
      <c r="BN219" s="5"/>
      <c r="BO219" s="5"/>
      <c r="BQ219" s="5"/>
      <c r="BR219" s="5"/>
      <c r="BT219" s="5"/>
      <c r="BU219" s="5"/>
      <c r="BV219" s="5"/>
      <c r="BX219" s="5"/>
      <c r="BY219" s="5"/>
      <c r="CA219" s="13"/>
      <c r="CB219" s="7"/>
      <c r="CC219" s="11"/>
      <c r="CE219" s="13"/>
      <c r="CF219" s="5"/>
      <c r="CG219" s="12"/>
      <c r="CI219" s="13"/>
      <c r="CJ219" s="5"/>
      <c r="CK219" s="12"/>
      <c r="CM219" s="13"/>
      <c r="CN219" s="5"/>
      <c r="CO219" s="12"/>
      <c r="CQ219" s="13"/>
      <c r="CR219" s="5"/>
      <c r="CS219" s="12"/>
      <c r="CU219" s="13"/>
      <c r="CV219" s="5"/>
      <c r="CW219" s="12"/>
      <c r="CY219" s="13"/>
      <c r="CZ219" s="5"/>
      <c r="DA219" s="12"/>
      <c r="DC219" s="13"/>
      <c r="DD219" s="5"/>
      <c r="DE219" s="12"/>
      <c r="DG219" s="13"/>
      <c r="DH219" s="5"/>
      <c r="DI219" s="12"/>
      <c r="DK219" s="13"/>
      <c r="DL219" s="5"/>
      <c r="DM219" s="12"/>
      <c r="DO219" s="13"/>
      <c r="DP219" s="5"/>
      <c r="DQ219" s="12"/>
      <c r="DS219" s="1336">
        <f t="shared" si="3"/>
        <v>0</v>
      </c>
      <c r="DT219" s="121">
        <f>EXTRAS!D83</f>
        <v>0</v>
      </c>
      <c r="DU219" s="112">
        <f>EXTRAS!E83</f>
        <v>0</v>
      </c>
      <c r="DX219" s="203">
        <f t="shared" si="4"/>
        <v>0</v>
      </c>
      <c r="DZ219" s="924"/>
      <c r="EH219" s="924"/>
    </row>
    <row r="220" spans="1:138" s="6" customFormat="1" ht="15" customHeight="1">
      <c r="A220" s="3">
        <v>69</v>
      </c>
      <c r="B220" s="210" t="s">
        <v>9</v>
      </c>
      <c r="C220" s="473" t="s">
        <v>515</v>
      </c>
      <c r="D220" s="4"/>
      <c r="E220" s="5"/>
      <c r="F220" s="5"/>
      <c r="G220" s="4"/>
      <c r="H220" s="4"/>
      <c r="I220" s="4"/>
      <c r="J220" s="4"/>
      <c r="K220" s="5"/>
      <c r="L220" s="5"/>
      <c r="M220" s="5"/>
      <c r="O220" s="5"/>
      <c r="P220" s="5"/>
      <c r="Q220" s="5"/>
      <c r="S220" s="5"/>
      <c r="T220" s="5"/>
      <c r="U220" s="5"/>
      <c r="W220" s="5"/>
      <c r="X220" s="5"/>
      <c r="Y220" s="12"/>
      <c r="AA220" s="13"/>
      <c r="AB220" s="12"/>
      <c r="AD220" s="13"/>
      <c r="AE220" s="5"/>
      <c r="AF220" s="5"/>
      <c r="AH220" s="13"/>
      <c r="AI220" s="5"/>
      <c r="AK220" s="5"/>
      <c r="AL220" s="5"/>
      <c r="AM220" s="5"/>
      <c r="AO220" s="5"/>
      <c r="AP220" s="5"/>
      <c r="AR220" s="5"/>
      <c r="AS220" s="5"/>
      <c r="AT220" s="5"/>
      <c r="AV220" s="5"/>
      <c r="AW220" s="5"/>
      <c r="AY220" s="5"/>
      <c r="AZ220" s="5"/>
      <c r="BA220" s="5"/>
      <c r="BC220" s="5"/>
      <c r="BD220" s="5"/>
      <c r="BF220" s="5"/>
      <c r="BG220" s="5"/>
      <c r="BH220" s="5"/>
      <c r="BJ220" s="5"/>
      <c r="BK220" s="5"/>
      <c r="BL220" s="12"/>
      <c r="BM220" s="5"/>
      <c r="BN220" s="5"/>
      <c r="BO220" s="5"/>
      <c r="BQ220" s="5"/>
      <c r="BR220" s="5"/>
      <c r="BT220" s="5"/>
      <c r="BU220" s="5"/>
      <c r="BV220" s="5"/>
      <c r="BX220" s="5"/>
      <c r="BY220" s="5"/>
      <c r="CA220" s="13"/>
      <c r="CB220" s="7"/>
      <c r="CC220" s="11"/>
      <c r="CE220" s="13">
        <v>2</v>
      </c>
      <c r="CF220" s="5">
        <f>CG9*CE220+CG10*CE220+CG11*CE220+CG12*CE220+CG13*CE220+CG14*CE220+CG15*CE220+CG16*CE220+CG17*CE220+CG18*CE220+CG19*CE220+CG20*CE220+CG21*CE220+CG22*CE220+CG23*CE220+CG24*CE220+CG25*CE220+CG26*CE220+CG5*CE220+CG6*CE220+CG7*CE220+CG8*CE220+CF9*CE220+CF10*CE220+CF11*CE220+CF12*CE220+CF13*CE220+CF14*CE220+CF15*CE220+CF16*CE220+CF17*CE220+CF18*CE220+CF19*CE220+CF20*CE220+CF21*CE220+CF22*CE220+CF23*CE220+CF24*CE220+CF25*CE220+CF26*CE220+CF5*CE220+CF6*CE220+CF7*CE220+CF8*CE220</f>
        <v>0</v>
      </c>
      <c r="CG220" s="12"/>
      <c r="CI220" s="13">
        <v>2</v>
      </c>
      <c r="CJ220" s="5">
        <f>CK9*CI220+CK10*CI220+CK11*CI220+CK12*CI220+CK13*CI220+CK14*CI220+CK15*CI220+CK16*CI220+CK17*CI220+CK18*CI220+CK19*CI220+CK20*CI220+CK21*CI220+CK22*CI220+CK23*CI220+CK24*CI220+CK25*CI220+CK26*CI220+CK5*CI220+CK6*CI220+CK7*CI220+CK8*CI220+CJ9*CI220+CJ10*CI220+CJ11*CI220+CJ12*CI220+CJ13*CI220+CJ14*CI220+CJ15*CI220+CJ16*CI220+CJ17*CI220+CJ18*CI220+CJ19*CI220+CJ20*CI220+CJ21*CI220+CJ22*CI220+CJ23*CI220+CJ24*CI220+CJ25*CI220+CJ26*CI220+CJ5*CI220+CJ6*CI220+CJ7*CI220+CJ8*CI220</f>
        <v>0</v>
      </c>
      <c r="CK220" s="12"/>
      <c r="CM220" s="13">
        <v>2</v>
      </c>
      <c r="CN220" s="5">
        <f>CO9*CM220+CO10*CM220+CO11*CM220+CO12*CM220+CO13*CM220+CO14*CM220+CO15*CM220+CO16*CM220+CO17*CM220+CO18*CM220+CO19*CM220+CO20*CM220+CO21*CM220+CO22*CM220+CO23*CM220+CO24*CM220+CO25*CM220+CO26*CM220+CO5*CM220+CO6*CM220+CO7*CM220+CO8*CM220+CN9*CM220+CN10*CM220+CN11*CM220+CN12*CM220+CN13*CM220+CN14*CM220+CN15*CM220+CN16*CM220+CN17*CM220+CN18*CM220+CN19*CM220+CN20*CM220+CN21*CM220+CN22*CM220+CN23*CM220+CN24*CM220+CN25*CM220+CN26*CM220+CN5*CM220+CN6*CM220+CN7*CM220+CN8*CM220</f>
        <v>0</v>
      </c>
      <c r="CO220" s="12"/>
      <c r="CQ220" s="13">
        <v>8</v>
      </c>
      <c r="CR220" s="5">
        <f>CS9*CQ220+CS10*CQ220+CS11*CQ220+CS12*CQ220+CS13*CQ220+CS14*CQ220+CS15*CQ220+CS16*CQ220+CS17*CQ220+CS18*CQ220+CS19*CQ220+CS20*CQ220+CS21*CQ220+CS22*CQ220+CS23*CQ220+CS24*CQ220+CS25*CQ220+CS26*CQ220+CS5*CQ220+CS6*CQ220+CS7*CQ220+CS8*CQ220+CR9*CQ220+CR10*CQ220+CR11*CQ220+CR12*CQ220+CR13*CQ220+CR14*CQ220+CR15*CQ220+CR16*CQ220+CR17*CQ220+CR18*CQ220+CR19*CQ220+CR20*CQ220+CR21*CQ220+CR22*CQ220+CR23*CQ220+CR24*CQ220+CR25*CQ220+CR26*CQ220+CR5*CQ220+CR6*CQ220+CR7*CQ220+CR8*CQ220</f>
        <v>0</v>
      </c>
      <c r="CS220" s="12"/>
      <c r="CU220" s="13">
        <v>2</v>
      </c>
      <c r="CV220" s="5">
        <f>CW9*CU220+CW10*CU220+CW11*CU220+CW12*CU220+CW13*CU220+CW14*CU220+CW15*CU220+CW16*CU220+CW17*CU220+CW18*CU220+CW19*CU220+CW20*CU220+CW21*CU220+CW22*CU220+CW23*CU220+CW24*CU220+CW25*CU220+CW26*CU220+CW5*CU220+CW6*CU220+CW7*CU220+CW8*CU220+CV9*CU220+CV10*CU220+CV11*CU220+CV12*CU220+CV13*CU220+CV14*CU220+CV15*CU220+CV16*CU220+CV17*CU220+CV18*CU220+CV19*CU220+CV20*CU220+CV21*CU220+CV22*CU220+CV23*CU220+CV24*CU220+CV25*CU220+CV26*CU220+CV5*CU220+CV6*CU220+CV7*CU220+CV8*CU220</f>
        <v>0</v>
      </c>
      <c r="CW220" s="12"/>
      <c r="CY220" s="13">
        <v>2</v>
      </c>
      <c r="CZ220" s="5">
        <f>DA9*CY220+DA10*CY220+DA11*CY220+DA12*CY220+DA13*CY220+DA14*CY220+DA15*CY220+DA16*CY220+DA17*CY220+DA18*CY220+DA19*CY220+DA20*CY220+DA21*CY220+DA22*CY220+DA23*CY220+DA24*CY220+DA25*CY220+DA26*CY220+DA5*CY220+DA6*CY220+DA7*CY220+DA8*CY220+CZ9*CY220+CZ10*CY220+CZ11*CY220+CZ12*CY220+CZ13*CY220+CZ14*CY220+CZ15*CY220+CZ16*CY220+CZ17*CY220+CZ18*CY220+CZ19*CY220+CZ20*CY220+CZ21*CY220+CZ22*CY220+CZ23*CY220+CZ24*CY220+CZ25*CY220+CZ26*CY220+CZ5*CY220+CZ6*CY220+CZ7*CY220+CZ8*CY220</f>
        <v>0</v>
      </c>
      <c r="DA220" s="12"/>
      <c r="DC220" s="13">
        <v>2</v>
      </c>
      <c r="DD220" s="5">
        <f>DE9*DC220+DE10*DC220+DE11*DC220+DE12*DC220+DE13*DC220+DE14*DC220+DE15*DC220+DE16*DC220+DE17*DC220+DE18*DC220+DE19*DC220+DE20*DC220+DE21*DC220+DE22*DC220+DE23*DC220+DE24*DC220+DE25*DC220+DE26*DC220+DE5*DC220+DE6*DC220+DE7*DC220+DE8*DC220+DD9*DC220+DD10*DC220+DD11*DC220+DD12*DC220+DD13*DC220+DD14*DC220+DD15*DC220+DD16*DC220+DD17*DC220+DD18*DC220+DD19*DC220+DD20*DC220+DD21*DC220+DD22*DC220+DD23*DC220+DD24*DC220+DD25*DC220+DD26*DC220+DD5*DC220+DD6*DC220+DD7*DC220+DD8*DC220</f>
        <v>0</v>
      </c>
      <c r="DE220" s="12"/>
      <c r="DG220" s="13">
        <v>2</v>
      </c>
      <c r="DH220" s="5">
        <f>DI9*DG220+DI10*DG220+DI11*DG220+DI12*DG220+DI13*DG220+DI14*DG220+DI15*DG220+DI16*DG220+DI17*DG220+DI18*DG220+DI19*DG220+DI20*DG220+DI21*DG220+DI22*DG220+DI23*DG220+DI24*DG220+DI25*DG220+DI26*DG220+DI5*DG220+DI6*DG220+DI7*DG220+DI8*DG220+DH9*DG220+DH10*DG220+DH11*DG220+DH12*DG220+DH13*DG220+DH14*DG220+DH15*DG220+DH16*DG220+DH17*DG220+DH18*DG220+DH19*DG220+DH20*DG220+DH21*DG220+DH22*DG220+DH23*DG220+DH24*DG220+DH25*DG220+DH26*DG220+DH5*DG220+DH6*DG220+DH7*DG220+DH8*DG220</f>
        <v>0</v>
      </c>
      <c r="DI220" s="12"/>
      <c r="DK220" s="13">
        <v>8</v>
      </c>
      <c r="DL220" s="5">
        <f>DM9*DK220+DM10*DK220+DM11*DK220+DM12*DK220+DM13*DK220+DM14*DK220+DM15*DK220+DM16*DK220+DM17*DK220+DM18*DK220+DM19*DK220+DM20*DK220+DM21*DK220+DM22*DK220+DM23*DK220+DM24*DK220+DM25*DK220+DM26*DK220+DM5*DK220+DM6*DK220+DM7*DK220+DM8*DK220+DL9*DK220+DL10*DK220+DL11*DK220+DL12*DK220+DL13*DK220+DL14*DK220+DL15*DK220+DL16*DK220+DL17*DK220+DL18*DK220+DL19*DK220+DL20*DK220+DL21*DK220+DL22*DK220+DL23*DK220+DL24*DK220+DL25*DK220+DL26*DK220+DL5*DK220+DL6*DK220+DL7*DK220+DL8*DK220</f>
        <v>0</v>
      </c>
      <c r="DM220" s="12"/>
      <c r="DO220" s="13">
        <v>2</v>
      </c>
      <c r="DP220" s="5">
        <f>DQ9*DO220+DQ10*DO220+DQ11*DO220+DQ12*DO220+DQ13*DO220+DQ14*DO220+DQ15*DO220+DQ16*DO220+DQ17*DO220+DQ18*DO220+DQ19*DO220+DQ20*DO220+DQ21*DO220+DQ22*DO220+DQ23*DO220+DQ24*DO220+DQ25*DO220+DQ26*DO220+DQ5*DO220+DQ6*DO220+DQ7*DO220+DQ8*DO220+DP9*DO220+DP10*DO220+DP11*DO220+DP12*DO220+DP13*DO220+DP14*DO220+DP15*DO220+DP16*DO220+DP17*DO220+DP18*DO220+DP19*DO220+DP20*DO220+DP21*DO220+DP22*DO220+DP23*DO220+DP24*DO220+DP25*DO220+DP26*DO220+DP5*DO220+DP6*DO220+DP7*DO220+DP8*DO220</f>
        <v>0</v>
      </c>
      <c r="DQ220" s="12"/>
      <c r="DS220" s="1336">
        <f t="shared" si="3"/>
        <v>0</v>
      </c>
      <c r="DT220" s="121">
        <f>EXTRAS!D84</f>
        <v>0</v>
      </c>
      <c r="DU220" s="112">
        <f>EXTRAS!E84</f>
        <v>0</v>
      </c>
      <c r="DV220" s="6">
        <f>(DW10+DW13)*6-(DX10+DX13)*6</f>
        <v>0</v>
      </c>
      <c r="DX220" s="203">
        <f t="shared" si="4"/>
        <v>0</v>
      </c>
      <c r="DZ220" s="924"/>
      <c r="EH220" s="924"/>
    </row>
    <row r="221" spans="1:138" s="6" customFormat="1" ht="15" customHeight="1">
      <c r="A221" s="3">
        <v>70</v>
      </c>
      <c r="B221" s="210" t="s">
        <v>452</v>
      </c>
      <c r="C221" s="473" t="s">
        <v>515</v>
      </c>
      <c r="D221" s="4"/>
      <c r="E221" s="5"/>
      <c r="F221" s="5"/>
      <c r="G221" s="4"/>
      <c r="H221" s="4"/>
      <c r="I221" s="4"/>
      <c r="J221" s="4"/>
      <c r="K221" s="5"/>
      <c r="L221" s="5"/>
      <c r="M221" s="5"/>
      <c r="O221" s="5"/>
      <c r="P221" s="5"/>
      <c r="Q221" s="5"/>
      <c r="S221" s="5"/>
      <c r="T221" s="5"/>
      <c r="U221" s="5"/>
      <c r="W221" s="5"/>
      <c r="X221" s="5"/>
      <c r="Y221" s="12"/>
      <c r="AA221" s="13"/>
      <c r="AB221" s="12"/>
      <c r="AD221" s="13"/>
      <c r="AE221" s="5"/>
      <c r="AF221" s="5"/>
      <c r="AH221" s="13"/>
      <c r="AI221" s="5"/>
      <c r="AK221" s="5"/>
      <c r="AL221" s="5"/>
      <c r="AM221" s="5"/>
      <c r="AO221" s="5"/>
      <c r="AP221" s="5"/>
      <c r="AR221" s="5"/>
      <c r="AS221" s="5"/>
      <c r="AT221" s="5"/>
      <c r="AV221" s="5"/>
      <c r="AW221" s="5"/>
      <c r="AY221" s="5"/>
      <c r="AZ221" s="5"/>
      <c r="BA221" s="5"/>
      <c r="BC221" s="5"/>
      <c r="BD221" s="5"/>
      <c r="BF221" s="5"/>
      <c r="BG221" s="5"/>
      <c r="BH221" s="5"/>
      <c r="BJ221" s="5"/>
      <c r="BK221" s="5"/>
      <c r="BL221" s="12"/>
      <c r="BM221" s="5"/>
      <c r="BN221" s="5"/>
      <c r="BO221" s="5"/>
      <c r="BQ221" s="5"/>
      <c r="BR221" s="5"/>
      <c r="BT221" s="5"/>
      <c r="BU221" s="5"/>
      <c r="BV221" s="5"/>
      <c r="BX221" s="5"/>
      <c r="BY221" s="5"/>
      <c r="CA221" s="13"/>
      <c r="CB221" s="7"/>
      <c r="CC221" s="11"/>
      <c r="CE221" s="13"/>
      <c r="CF221" s="5"/>
      <c r="CG221" s="12"/>
      <c r="CI221" s="13"/>
      <c r="CJ221" s="5"/>
      <c r="CK221" s="12"/>
      <c r="CM221" s="13">
        <v>6</v>
      </c>
      <c r="CN221" s="5">
        <f>CO10*CM221+CO11*CM221+CO12*CM221+CO13*CM221+CO14*CM221+CO15*CM221+CO16*CM221+CO17*CM221+CO18*CM221+CO19*CM221+CO20*CM221+CO21*CM221+CO22*CM221+CO23*CM221+CO24*CM221+CO25*CM221+CO26*CM221+CO5*CM221+CO6*CM221+CO7*CM221+CO8*CM221+CO9*CM221+CN10*CM221+CN11*CM221+CN12*CM221+CN13*CM221+CN14*CM221+CN15*CM221+CN16*CM221+CN17*CM221+CN18*CM221+CN19*CM221+CN20*CM221+CN21*CM221+CN22*CM221+CN23*CM221+CN24*CM221+CN25*CM221+CN26*CM221+CN5*CM221+CN6*CM221+CN7*CM221+CN8*CM221+CN9*CM221</f>
        <v>0</v>
      </c>
      <c r="CO221" s="12"/>
      <c r="CQ221" s="13"/>
      <c r="CR221" s="5"/>
      <c r="CS221" s="12"/>
      <c r="CU221" s="13"/>
      <c r="CV221" s="5"/>
      <c r="CW221" s="12"/>
      <c r="CY221" s="13"/>
      <c r="CZ221" s="5"/>
      <c r="DA221" s="12"/>
      <c r="DC221" s="13"/>
      <c r="DD221" s="5"/>
      <c r="DE221" s="12"/>
      <c r="DG221" s="13">
        <v>6</v>
      </c>
      <c r="DH221" s="5">
        <f>DI10*DG221+DI11*DG221+DI12*DG221+DI13*DG221+DI14*DG221+DI15*DG221+DI16*DG221+DI17*DG221+DI18*DG221+DI19*DG221+DI20*DG221+DI21*DG221+DI22*DG221+DI23*DG221+DI24*DG221+DI25*DG221+DI26*DG221+DI5*DG221+DI6*DG221+DI7*DG221+DI8*DG221+DI9*DG221+DH10*DG221+DH11*DG221+DH12*DG221+DH13*DG221+DH14*DG221+DH15*DG221+DH16*DG221+DH17*DG221+DH18*DG221+DH19*DG221+DH20*DG221+DH21*DG221+DH22*DG221+DH23*DG221+DH24*DG221+DH25*DG221+DH26*DG221+DH5*DG221+DH6*DG221+DH7*DG221+DH8*DG221+DH9*DG221</f>
        <v>0</v>
      </c>
      <c r="DI221" s="12"/>
      <c r="DK221" s="13"/>
      <c r="DL221" s="5"/>
      <c r="DM221" s="12"/>
      <c r="DO221" s="13"/>
      <c r="DP221" s="5"/>
      <c r="DQ221" s="12"/>
      <c r="DS221" s="1336">
        <f t="shared" si="3"/>
        <v>0</v>
      </c>
      <c r="DT221" s="121">
        <f>EXTRAS!D85</f>
        <v>0</v>
      </c>
      <c r="DU221" s="112">
        <f>EXTRAS!E85</f>
        <v>0</v>
      </c>
      <c r="DV221" s="6">
        <f>(DW9+DW12)*6-(DX9+DX12)*6</f>
        <v>0</v>
      </c>
      <c r="DX221" s="203">
        <f t="shared" si="4"/>
        <v>0</v>
      </c>
      <c r="DZ221" s="924"/>
      <c r="EH221" s="924"/>
    </row>
    <row r="222" spans="1:138" s="6" customFormat="1" ht="15" customHeight="1">
      <c r="A222" s="3">
        <v>71</v>
      </c>
      <c r="B222" s="210" t="s">
        <v>10</v>
      </c>
      <c r="C222" s="473" t="s">
        <v>515</v>
      </c>
      <c r="D222" s="4"/>
      <c r="E222" s="5"/>
      <c r="F222" s="5"/>
      <c r="G222" s="4"/>
      <c r="H222" s="4"/>
      <c r="I222" s="4"/>
      <c r="J222" s="4"/>
      <c r="K222" s="5"/>
      <c r="L222" s="5"/>
      <c r="M222" s="5"/>
      <c r="O222" s="5"/>
      <c r="P222" s="5"/>
      <c r="Q222" s="5"/>
      <c r="S222" s="5"/>
      <c r="T222" s="5"/>
      <c r="U222" s="5"/>
      <c r="W222" s="5">
        <v>1</v>
      </c>
      <c r="X222" s="5">
        <f>Y5*W222+Y6*W222+Y7*W222+Y8*W222+Y9*W222+Y10*W222+Y11*W222+Y12*W222+Y13*W222+Y14*W222+Y15*W222+Y16*W222+Y17*W222+Y18*W222+Y19*W222+Y20*W222+Y21*W222+Y22*W222+Y23*W222+Y24*W222+Y25*W222+Y26*W222</f>
        <v>0</v>
      </c>
      <c r="Y222" s="12"/>
      <c r="AA222" s="13"/>
      <c r="AB222" s="12"/>
      <c r="AD222" s="13"/>
      <c r="AE222" s="5"/>
      <c r="AF222" s="5"/>
      <c r="AH222" s="13"/>
      <c r="AI222" s="5"/>
      <c r="AK222" s="5"/>
      <c r="AL222" s="5"/>
      <c r="AM222" s="5"/>
      <c r="AO222" s="5"/>
      <c r="AP222" s="5"/>
      <c r="AR222" s="5">
        <v>1</v>
      </c>
      <c r="AS222" s="5">
        <f>AT5*AR222+AT6*AR222+AT7*AR222+AT8*AR222+AT9*AR222+AT10*AR222+AT11*AR222+AT12*AR222+AT13*AR222+AT14*AR222+AT15*AR222+AT16*AR222+AT17*AR222+AT18*AR222+AT19*AR222+AT20*AR222+AT21*AR222+AT22*AR222+AT23*AR222+AT24*AR222+AT25*AR222+AT26*AR222</f>
        <v>0</v>
      </c>
      <c r="AT222" s="5"/>
      <c r="AV222" s="5"/>
      <c r="AW222" s="5">
        <f>AX5*AV222+AX6*AV222+AX7*AV222+AX8*AV222+AX9*AV222+AX10*AV222+AX11*AV222+AX12*AV222+AX13*AV222+AX14*AV222+AX15*AV222+AX16*AV222+AX17*AV222+AX18*AV222+AX19*AV222+AX20*AV222+AX21*AV222+AX22*AV222+AX23*AV222+AX24*AV222+AX25*AV222+AX26*AV222</f>
        <v>0</v>
      </c>
      <c r="AY222" s="5"/>
      <c r="AZ222" s="5"/>
      <c r="BA222" s="5"/>
      <c r="BC222" s="5"/>
      <c r="BD222" s="5"/>
      <c r="BF222" s="5">
        <v>1</v>
      </c>
      <c r="BG222" s="5">
        <f>BH5*BF222+BH6*BF222+BH7*BF222+BH8*BF222+BH9*BF222+BH10*BF222+BH11*BF222+BH12*BF222+BH13*BF222+BH14*BF222+BH15*BF222+BH16*BF222+BH17*BF222+BH18*BF222+BH19*BF222+BH20*BF222+BH21*BF222+BH22*BF222+BH23*BF222+BH24*BF222+BH25*BF222+BH26*BF222</f>
        <v>0</v>
      </c>
      <c r="BH222" s="5"/>
      <c r="BJ222" s="5"/>
      <c r="BK222" s="5"/>
      <c r="BL222" s="12"/>
      <c r="BM222" s="5"/>
      <c r="BN222" s="5">
        <f>BO5*BM222+BO6*BM222+BO7*BM222+BO8*BM222+BO9*BM222+BO10*BM222+BO11*BM222+BO12*BM222+BO13*BM222+BO14*BM222+BO15*BM222+BO16*BM222+BO17*BM222+BO18*BM222+BO19*BM222+BO20*BM222+BO21*BM222+BO22*BM222+BO23*BM222+BO24*BM222+BO25*BM222+BO26*BM222</f>
        <v>0</v>
      </c>
      <c r="BO222" s="5"/>
      <c r="BQ222" s="5"/>
      <c r="BR222" s="5">
        <f>BS5*BQ222+BS6*BQ222+BS7*BQ222+BS8*BQ222+BS9*BQ222+BS10*BQ222+BS11*BQ222+BS12*BQ222+BS13*BQ222+BS14*BQ222+BS15*BQ222+BS16*BQ222+BS17*BQ222+BS18*BQ222+BS19*BQ222+BS20*BQ222+BS21*BQ222+BS22*BQ222+BS23*BQ222+BS24*BQ222+BS25*BQ222+BS26*BQ222</f>
        <v>0</v>
      </c>
      <c r="BT222" s="5"/>
      <c r="BU222" s="5">
        <f>BV5*BT222+BV6*BT222+BV7*BT222+BV8*BT222+BV9*BT222+BV10*BT222+BV11*BT222+BV12*BT222+BV13*BT222+BV14*BT222+BV15*BT222+BV16*BT222+BV17*BT222+BV18*BT222+BV19*BT222+BV20*BT222+BV21*BT222+BV22*BT222+BV23*BT222+BV24*BT222+BV25*BT222+BV26*BT222</f>
        <v>0</v>
      </c>
      <c r="BV222" s="5"/>
      <c r="BX222" s="5"/>
      <c r="BY222" s="5">
        <f>BZ5*BX222+BZ6*BX222+BZ7*BX222+BZ8*BX222+BZ9*BX222+BZ10*BX222+BZ11*BX222+BZ12*BX222+BZ13*BX222+BZ14*BX222+BZ15*BX222+BZ16*BX222+BZ17*BX222+BZ18*BX222+BZ19*BX222+BZ20*BX222+BZ21*BX222+BZ22*BX222+BZ23*BX222+BZ24*BX222+BZ25*BX222+BZ26*BX222</f>
        <v>0</v>
      </c>
      <c r="CA222" s="13"/>
      <c r="CB222" s="7"/>
      <c r="CC222" s="11"/>
      <c r="CE222" s="13">
        <v>6</v>
      </c>
      <c r="CF222" s="5">
        <f>CG10*CE222+CG11*CE222+CG12*CE222+CG13*CE222+CG14*CE222+CG15*CE222+CG16*CE222+CG17*CE222+CG18*CE222+CG19*CE222+CG20*CE222+CG21*CE222+CG22*CE222+CG23*CE222+CG24*CE222+CG25*CE222+CG26*CE222+CG5*CE222+CG6*CE222+CG7*CE222+CG8*CE222+CG9*CE222+CF10*CE222+CF11*CE222+CF12*CE222+CF13*CE222+CF14*CE222+CF15*CE222+CF16*CE222+CF17*CE222+CF18*CE222+CF19*CE222+CF20*CE222+CF21*CE222+CF22*CE222+CF23*CE222+CF24*CE222+CF25*CE222+CF26*CE222+CF5*CE222+CF6*CE222+CF7*CE222+CF8*CE222+CF9*CE222</f>
        <v>0</v>
      </c>
      <c r="CG222" s="12"/>
      <c r="CI222" s="13">
        <v>6</v>
      </c>
      <c r="CJ222" s="5">
        <f>CK10*CI222+CK11*CI222+CK12*CI222+CK13*CI222+CK14*CI222+CK15*CI222+CK16*CI222+CK17*CI222+CK18*CI222+CK19*CI222+CK20*CI222+CK21*CI222+CK22*CI222+CK23*CI222+CK24*CI222+CK25*CI222+CK26*CI222+CK5*CI222+CK6*CI222+CK7*CI222+CK8*CI222+CK9*CI222+CJ10*CI222+CJ11*CI222+CJ12*CI222+CJ13*CI222+CJ14*CI222+CJ15*CI222+CJ16*CI222+CJ17*CI222+CJ18*CI222+CJ19*CI222+CJ20*CI222+CJ21*CI222+CJ22*CI222+CJ23*CI222+CJ24*CI222+CJ25*CI222+CJ26*CI222+CJ5*CI222+CJ6*CI222+CJ7*CI222+CJ8*CI222+CJ9*CI222</f>
        <v>0</v>
      </c>
      <c r="CK222" s="12"/>
      <c r="CM222" s="13"/>
      <c r="CN222" s="5"/>
      <c r="CO222" s="12"/>
      <c r="CQ222" s="13"/>
      <c r="CR222" s="5"/>
      <c r="CS222" s="12"/>
      <c r="CU222" s="13"/>
      <c r="CV222" s="5"/>
      <c r="CW222" s="12"/>
      <c r="CY222" s="13">
        <v>6</v>
      </c>
      <c r="CZ222" s="5">
        <f>DA10*CY222+DA11*CY222+DA12*CY222+DA13*CY222+DA14*CY222+DA15*CY222+DA16*CY222+DA17*CY222+DA18*CY222+DA19*CY222+DA20*CY222+DA21*CY222+DA22*CY222+DA23*CY222+DA24*CY222+DA25*CY222+DA26*CY222+DA5*CY222+DA6*CY222+DA7*CY222+DA8*CY222+DA9*CY222+CZ10*CY222+CZ11*CY222+CZ12*CY222+CZ13*CY222+CZ14*CY222+CZ15*CY222+CZ16*CY222+CZ17*CY222+CZ18*CY222+CZ19*CY222+CZ20*CY222+CZ21*CY222+CZ22*CY222+CZ23*CY222+CZ24*CY222+CZ25*CY222+CZ26*CY222+CZ5*CY222+CZ6*CY222+CZ7*CY222+CZ8*CY222+CZ9*CY222</f>
        <v>0</v>
      </c>
      <c r="DA222" s="12"/>
      <c r="DC222" s="13">
        <v>6</v>
      </c>
      <c r="DD222" s="5">
        <f>DE10*DC222+DE11*DC222+DE12*DC222+DE13*DC222+DE14*DC222+DE15*DC222+DE16*DC222+DE17*DC222+DE18*DC222+DE19*DC222+DE20*DC222+DE21*DC222+DE22*DC222+DE23*DC222+DE24*DC222+DE25*DC222+DE26*DC222+DE5*DC222+DE6*DC222+DE7*DC222+DE8*DC222+DE9*DC222+DD10*DC222+DD11*DC222+DD12*DC222+DD13*DC222+DD14*DC222+DD15*DC222+DD16*DC222+DD17*DC222+DD18*DC222+DD19*DC222+DD20*DC222+DD21*DC222+DD22*DC222+DD23*DC222+DD24*DC222+DD25*DC222+DD26*DC222+DD5*DC222+DD6*DC222+DD7*DC222+DD8*DC222+DD9*DC222</f>
        <v>0</v>
      </c>
      <c r="DE222" s="12"/>
      <c r="DG222" s="13"/>
      <c r="DH222" s="5"/>
      <c r="DI222" s="12"/>
      <c r="DK222" s="13"/>
      <c r="DL222" s="5"/>
      <c r="DM222" s="12"/>
      <c r="DO222" s="13"/>
      <c r="DP222" s="5"/>
      <c r="DQ222" s="12"/>
      <c r="DS222" s="1336">
        <f t="shared" si="3"/>
        <v>0</v>
      </c>
      <c r="DT222" s="121">
        <f>EXTRAS!D86</f>
        <v>0</v>
      </c>
      <c r="DU222" s="112">
        <f>EXTRAS!E86</f>
        <v>0</v>
      </c>
      <c r="DV222" s="6">
        <f>(DW7+DW8+DW12)*6-(DX7+DX8+DX12)*6</f>
        <v>0</v>
      </c>
      <c r="DX222" s="203">
        <f t="shared" si="4"/>
        <v>0</v>
      </c>
      <c r="DZ222" s="924"/>
      <c r="EH222" s="924"/>
    </row>
    <row r="223" spans="1:138" s="6" customFormat="1" ht="15" customHeight="1">
      <c r="A223" s="3"/>
      <c r="B223" s="210" t="s">
        <v>731</v>
      </c>
      <c r="C223" s="473" t="s">
        <v>0</v>
      </c>
      <c r="D223" s="4"/>
      <c r="E223" s="5"/>
      <c r="F223" s="5"/>
      <c r="G223" s="4"/>
      <c r="H223" s="4"/>
      <c r="I223" s="4"/>
      <c r="J223" s="4"/>
      <c r="K223" s="5"/>
      <c r="L223" s="5"/>
      <c r="M223" s="5"/>
      <c r="O223" s="5"/>
      <c r="P223" s="5"/>
      <c r="Q223" s="5"/>
      <c r="S223" s="5"/>
      <c r="T223" s="5"/>
      <c r="U223" s="5"/>
      <c r="W223" s="5"/>
      <c r="X223" s="5"/>
      <c r="Y223" s="12"/>
      <c r="AA223" s="13"/>
      <c r="AB223" s="12"/>
      <c r="AD223" s="13"/>
      <c r="AE223" s="5"/>
      <c r="AF223" s="5"/>
      <c r="AH223" s="13"/>
      <c r="AI223" s="5"/>
      <c r="AK223" s="5"/>
      <c r="AL223" s="5"/>
      <c r="AM223" s="5"/>
      <c r="AO223" s="5"/>
      <c r="AP223" s="5"/>
      <c r="AR223" s="5"/>
      <c r="AS223" s="5"/>
      <c r="AT223" s="5"/>
      <c r="AV223" s="5"/>
      <c r="AW223" s="5"/>
      <c r="AY223" s="5"/>
      <c r="AZ223" s="5"/>
      <c r="BA223" s="5"/>
      <c r="BC223" s="5"/>
      <c r="BD223" s="5"/>
      <c r="BF223" s="5"/>
      <c r="BG223" s="5"/>
      <c r="BH223" s="5"/>
      <c r="BJ223" s="5"/>
      <c r="BK223" s="5"/>
      <c r="BL223" s="12"/>
      <c r="BM223" s="5"/>
      <c r="BN223" s="5"/>
      <c r="BO223" s="5"/>
      <c r="BQ223" s="5"/>
      <c r="BR223" s="5"/>
      <c r="BT223" s="5"/>
      <c r="BU223" s="5"/>
      <c r="BV223" s="5"/>
      <c r="BX223" s="5"/>
      <c r="BY223" s="5"/>
      <c r="CA223" s="13"/>
      <c r="CB223" s="7"/>
      <c r="CC223" s="11"/>
      <c r="CE223" s="13"/>
      <c r="CF223" s="5"/>
      <c r="CG223" s="12"/>
      <c r="CI223" s="13"/>
      <c r="CJ223" s="5"/>
      <c r="CK223" s="12"/>
      <c r="CM223" s="13"/>
      <c r="CN223" s="5"/>
      <c r="CO223" s="12"/>
      <c r="CQ223" s="13"/>
      <c r="CR223" s="5"/>
      <c r="CS223" s="12"/>
      <c r="CU223" s="13"/>
      <c r="CV223" s="5"/>
      <c r="CW223" s="12"/>
      <c r="CY223" s="13"/>
      <c r="CZ223" s="5"/>
      <c r="DA223" s="12"/>
      <c r="DC223" s="13"/>
      <c r="DD223" s="5"/>
      <c r="DE223" s="12"/>
      <c r="DG223" s="13"/>
      <c r="DH223" s="5"/>
      <c r="DI223" s="12"/>
      <c r="DK223" s="13"/>
      <c r="DL223" s="5"/>
      <c r="DM223" s="12"/>
      <c r="DO223" s="13"/>
      <c r="DP223" s="5"/>
      <c r="DQ223" s="12"/>
      <c r="DS223" s="1336">
        <f t="shared" si="3"/>
        <v>0</v>
      </c>
      <c r="DT223" s="121">
        <f>EXTRAS!D87</f>
        <v>0</v>
      </c>
      <c r="DU223" s="112">
        <f>EXTRAS!E87</f>
        <v>0</v>
      </c>
      <c r="DX223" s="203">
        <f t="shared" si="4"/>
        <v>0</v>
      </c>
      <c r="DZ223" s="924"/>
      <c r="EH223" s="924"/>
    </row>
    <row r="224" spans="1:138" s="6" customFormat="1" ht="15" customHeight="1">
      <c r="A224" s="3">
        <v>72</v>
      </c>
      <c r="B224" s="210" t="s">
        <v>145</v>
      </c>
      <c r="C224" s="473" t="s">
        <v>515</v>
      </c>
      <c r="D224" s="4"/>
      <c r="E224" s="5"/>
      <c r="F224" s="5"/>
      <c r="G224" s="4"/>
      <c r="H224" s="4"/>
      <c r="I224" s="4"/>
      <c r="J224" s="4"/>
      <c r="K224" s="5"/>
      <c r="L224" s="5"/>
      <c r="M224" s="5"/>
      <c r="O224" s="5"/>
      <c r="P224" s="5"/>
      <c r="Q224" s="5"/>
      <c r="S224" s="5"/>
      <c r="T224" s="5"/>
      <c r="U224" s="5"/>
      <c r="W224" s="5"/>
      <c r="X224" s="5"/>
      <c r="Y224" s="12"/>
      <c r="AA224" s="13"/>
      <c r="AB224" s="12"/>
      <c r="AD224" s="13"/>
      <c r="AE224" s="5"/>
      <c r="AF224" s="5"/>
      <c r="AH224" s="13"/>
      <c r="AI224" s="5"/>
      <c r="AK224" s="5"/>
      <c r="AL224" s="5"/>
      <c r="AM224" s="5"/>
      <c r="AO224" s="5"/>
      <c r="AP224" s="5"/>
      <c r="AR224" s="5"/>
      <c r="AS224" s="5"/>
      <c r="AT224" s="5"/>
      <c r="AV224" s="5"/>
      <c r="AW224" s="5"/>
      <c r="AY224" s="5"/>
      <c r="AZ224" s="5"/>
      <c r="BA224" s="5"/>
      <c r="BC224" s="5"/>
      <c r="BD224" s="5"/>
      <c r="BF224" s="5"/>
      <c r="BG224" s="5"/>
      <c r="BH224" s="5"/>
      <c r="BJ224" s="5"/>
      <c r="BK224" s="5"/>
      <c r="BL224" s="12"/>
      <c r="BM224" s="5"/>
      <c r="BN224" s="5"/>
      <c r="BO224" s="5"/>
      <c r="BQ224" s="5"/>
      <c r="BR224" s="5"/>
      <c r="BT224" s="5">
        <v>2</v>
      </c>
      <c r="BU224" s="5">
        <f>BV5*BT224+BV6*BT224+BV7*BT224+BV8*BT224+BV9*BT224+BV10*BT151+BV11*BT224+BV12*BT224+BV13*BT224+BV14*BT224+BV15*BT224+BV16*BT224+BV17*BT224+BV18*BT224+BV19*BT224+BV20*BT224+BV21*BT224+BV22*BT224+BV23*BT224+BV24*BT224+BV25*BT224+BV26*BT224</f>
        <v>0</v>
      </c>
      <c r="BV224" s="5"/>
      <c r="BX224" s="5">
        <v>2</v>
      </c>
      <c r="BY224" s="5">
        <f>BZ5*BX224+BZ6*BX224+BZ7*BX224+BZ8*BX224+BZ9*BX224+BZ10*BX151+BZ11*BX224+BZ12*BX224+BZ13*BX224+BZ14*BX224+BZ15*BX224+BZ16*BX224+BZ17*BX224+BZ18*BX224+BZ19*BX224+BZ20*BX224+BZ21*BX224+BZ22*BX224+BZ23*BX224+BZ24*BX224+BZ25*BX224+BZ26*BX224</f>
        <v>0</v>
      </c>
      <c r="CA224" s="13"/>
      <c r="CB224" s="7"/>
      <c r="CC224" s="11"/>
      <c r="CE224" s="13"/>
      <c r="CF224" s="5"/>
      <c r="CG224" s="12"/>
      <c r="CI224" s="13"/>
      <c r="CJ224" s="5"/>
      <c r="CK224" s="12"/>
      <c r="CM224" s="13"/>
      <c r="CN224" s="5"/>
      <c r="CO224" s="12"/>
      <c r="CQ224" s="13"/>
      <c r="CR224" s="5"/>
      <c r="CS224" s="12"/>
      <c r="CU224" s="13"/>
      <c r="CV224" s="5"/>
      <c r="CW224" s="12"/>
      <c r="CY224" s="13"/>
      <c r="CZ224" s="5"/>
      <c r="DA224" s="12"/>
      <c r="DC224" s="13"/>
      <c r="DD224" s="5"/>
      <c r="DE224" s="12"/>
      <c r="DG224" s="13"/>
      <c r="DH224" s="5"/>
      <c r="DI224" s="12"/>
      <c r="DK224" s="13"/>
      <c r="DL224" s="5"/>
      <c r="DM224" s="12"/>
      <c r="DO224" s="13"/>
      <c r="DP224" s="5"/>
      <c r="DQ224" s="12"/>
      <c r="DS224" s="1336">
        <f t="shared" si="3"/>
        <v>0</v>
      </c>
      <c r="DT224" s="121">
        <f>EXTRAS!D88</f>
        <v>0</v>
      </c>
      <c r="DU224" s="112">
        <f>EXTRAS!E88</f>
        <v>0</v>
      </c>
      <c r="DX224" s="203">
        <f t="shared" si="4"/>
        <v>0</v>
      </c>
      <c r="DZ224" s="924"/>
      <c r="EH224" s="924"/>
    </row>
    <row r="225" spans="1:138" s="6" customFormat="1" ht="15" customHeight="1">
      <c r="A225" s="3">
        <v>73</v>
      </c>
      <c r="B225" s="210" t="s">
        <v>144</v>
      </c>
      <c r="C225" s="473" t="s">
        <v>515</v>
      </c>
      <c r="D225" s="4"/>
      <c r="E225" s="5"/>
      <c r="F225" s="5"/>
      <c r="G225" s="4"/>
      <c r="H225" s="4"/>
      <c r="I225" s="4"/>
      <c r="J225" s="4"/>
      <c r="K225" s="5"/>
      <c r="L225" s="5"/>
      <c r="M225" s="5"/>
      <c r="O225" s="5"/>
      <c r="P225" s="5"/>
      <c r="Q225" s="5"/>
      <c r="S225" s="5"/>
      <c r="T225" s="5"/>
      <c r="U225" s="5"/>
      <c r="W225" s="5"/>
      <c r="X225" s="5"/>
      <c r="Y225" s="12"/>
      <c r="AA225" s="13"/>
      <c r="AB225" s="12"/>
      <c r="AD225" s="13"/>
      <c r="AE225" s="5"/>
      <c r="AF225" s="5"/>
      <c r="AH225" s="13"/>
      <c r="AI225" s="5"/>
      <c r="AK225" s="5"/>
      <c r="AL225" s="5"/>
      <c r="AM225" s="5"/>
      <c r="AO225" s="5"/>
      <c r="AP225" s="5"/>
      <c r="AR225" s="5"/>
      <c r="AS225" s="5"/>
      <c r="AT225" s="5"/>
      <c r="AV225" s="5"/>
      <c r="AW225" s="5"/>
      <c r="AY225" s="5"/>
      <c r="AZ225" s="5"/>
      <c r="BA225" s="5"/>
      <c r="BC225" s="5"/>
      <c r="BD225" s="5"/>
      <c r="BF225" s="5"/>
      <c r="BG225" s="5"/>
      <c r="BH225" s="5"/>
      <c r="BJ225" s="5"/>
      <c r="BK225" s="5"/>
      <c r="BL225" s="12"/>
      <c r="BM225" s="5"/>
      <c r="BN225" s="5"/>
      <c r="BO225" s="5"/>
      <c r="BQ225" s="5"/>
      <c r="BR225" s="5"/>
      <c r="BT225" s="5">
        <v>2</v>
      </c>
      <c r="BU225" s="5">
        <f>BU5*BT225+BU6*BT225+BU7*BT225+BU8*BT225+BU9*BT225+BU10*BT225+BU11*BT225+BU12*BT225+BU13*BT225+BU14*BT225+BU15*BT225+BU16*BT225+BU17*BT225+BU18*BT225+BU19*BT225+BU20*BT225+BU21*BT225+BU22*BT225+BU23*BT225+BU24*BT225+BU25*BT225+BU26*BT225</f>
        <v>0</v>
      </c>
      <c r="BV225" s="5"/>
      <c r="BX225" s="5">
        <v>2</v>
      </c>
      <c r="BY225" s="5">
        <f>BY5*BX225+BY6*BX225+BY7*BX225+BY8*BX225+BY9*BX225+BY10*BX225+BY11*BX225+BY12*BX225+BY13*BX225+BY14*BX225+BY15*BX225+BY16*BX225+BY17*BX225+BY18*BX225+BY19*BX225+BY20*BX225+BY21*BX225+BY22*BX225+BY23*BX225+BY24*BX225+BY25*BX225+BY26*BX225</f>
        <v>0</v>
      </c>
      <c r="CA225" s="13"/>
      <c r="CB225" s="7"/>
      <c r="CC225" s="11"/>
      <c r="CE225" s="13"/>
      <c r="CF225" s="5"/>
      <c r="CG225" s="12"/>
      <c r="CI225" s="13"/>
      <c r="CJ225" s="5"/>
      <c r="CK225" s="12"/>
      <c r="CM225" s="13"/>
      <c r="CN225" s="5"/>
      <c r="CO225" s="12"/>
      <c r="CQ225" s="13"/>
      <c r="CR225" s="5"/>
      <c r="CS225" s="12"/>
      <c r="CU225" s="13"/>
      <c r="CV225" s="5"/>
      <c r="CW225" s="12"/>
      <c r="CY225" s="13"/>
      <c r="CZ225" s="5"/>
      <c r="DA225" s="12"/>
      <c r="DC225" s="13"/>
      <c r="DD225" s="5"/>
      <c r="DE225" s="12"/>
      <c r="DG225" s="13"/>
      <c r="DH225" s="5"/>
      <c r="DI225" s="12"/>
      <c r="DK225" s="13"/>
      <c r="DL225" s="5"/>
      <c r="DM225" s="12"/>
      <c r="DO225" s="13"/>
      <c r="DP225" s="5"/>
      <c r="DQ225" s="12"/>
      <c r="DS225" s="1336">
        <f t="shared" si="3"/>
        <v>0</v>
      </c>
      <c r="DT225" s="121">
        <f>EXTRAS!D89</f>
        <v>0</v>
      </c>
      <c r="DU225" s="112">
        <f>EXTRAS!E89</f>
        <v>0</v>
      </c>
      <c r="DX225" s="203">
        <f t="shared" si="4"/>
        <v>0</v>
      </c>
      <c r="DZ225" s="924"/>
      <c r="EH225" s="924"/>
    </row>
    <row r="226" spans="1:138" s="6" customFormat="1" ht="15" customHeight="1">
      <c r="A226" s="3">
        <v>74</v>
      </c>
      <c r="B226" s="210" t="s">
        <v>213</v>
      </c>
      <c r="C226" s="473" t="s">
        <v>515</v>
      </c>
      <c r="D226" s="4"/>
      <c r="E226" s="5"/>
      <c r="F226" s="5"/>
      <c r="G226" s="4"/>
      <c r="H226" s="4"/>
      <c r="I226" s="4"/>
      <c r="J226" s="4"/>
      <c r="K226" s="5"/>
      <c r="L226" s="5"/>
      <c r="M226" s="5"/>
      <c r="O226" s="5"/>
      <c r="P226" s="5"/>
      <c r="Q226" s="5"/>
      <c r="S226" s="5"/>
      <c r="T226" s="5"/>
      <c r="U226" s="5"/>
      <c r="W226" s="5"/>
      <c r="X226" s="5"/>
      <c r="Y226" s="12"/>
      <c r="AA226" s="13"/>
      <c r="AB226" s="12"/>
      <c r="AD226" s="13"/>
      <c r="AE226" s="5"/>
      <c r="AF226" s="5"/>
      <c r="AH226" s="13"/>
      <c r="AI226" s="5"/>
      <c r="AK226" s="5"/>
      <c r="AL226" s="5"/>
      <c r="AM226" s="5"/>
      <c r="AO226" s="5"/>
      <c r="AP226" s="5"/>
      <c r="AR226" s="5"/>
      <c r="AS226" s="5"/>
      <c r="AT226" s="5"/>
      <c r="AV226" s="5"/>
      <c r="AW226" s="5"/>
      <c r="AY226" s="5"/>
      <c r="AZ226" s="5"/>
      <c r="BA226" s="5"/>
      <c r="BC226" s="5"/>
      <c r="BD226" s="5"/>
      <c r="BF226" s="5"/>
      <c r="BG226" s="5"/>
      <c r="BH226" s="5"/>
      <c r="BJ226" s="5"/>
      <c r="BK226" s="5"/>
      <c r="BL226" s="12"/>
      <c r="BM226" s="5"/>
      <c r="BN226" s="5"/>
      <c r="BO226" s="5"/>
      <c r="BQ226" s="5"/>
      <c r="BR226" s="5"/>
      <c r="BT226" s="5"/>
      <c r="BU226" s="5"/>
      <c r="BV226" s="5"/>
      <c r="BX226" s="5"/>
      <c r="BY226" s="5"/>
      <c r="CA226" s="13"/>
      <c r="CB226" s="7"/>
      <c r="CC226" s="11"/>
      <c r="CE226" s="13"/>
      <c r="CF226" s="5"/>
      <c r="CG226" s="12"/>
      <c r="CI226" s="13"/>
      <c r="CJ226" s="5"/>
      <c r="CK226" s="12"/>
      <c r="CM226" s="13"/>
      <c r="CN226" s="5"/>
      <c r="CO226" s="12"/>
      <c r="CQ226" s="13"/>
      <c r="CR226" s="5"/>
      <c r="CS226" s="12"/>
      <c r="CU226" s="13"/>
      <c r="CV226" s="5"/>
      <c r="CW226" s="12"/>
      <c r="CY226" s="13"/>
      <c r="CZ226" s="5"/>
      <c r="DA226" s="12"/>
      <c r="DC226" s="13"/>
      <c r="DD226" s="5"/>
      <c r="DE226" s="12"/>
      <c r="DG226" s="13"/>
      <c r="DH226" s="5"/>
      <c r="DI226" s="12"/>
      <c r="DK226" s="13"/>
      <c r="DL226" s="5"/>
      <c r="DM226" s="12"/>
      <c r="DO226" s="13"/>
      <c r="DP226" s="5"/>
      <c r="DQ226" s="12"/>
      <c r="DS226" s="1336">
        <f t="shared" si="3"/>
        <v>0</v>
      </c>
      <c r="DT226" s="121">
        <f>EXTRAS!D90</f>
        <v>0</v>
      </c>
      <c r="DU226" s="112">
        <f>EXTRAS!E90</f>
        <v>0</v>
      </c>
      <c r="DX226" s="203">
        <f t="shared" si="4"/>
        <v>0</v>
      </c>
      <c r="DZ226" s="924"/>
      <c r="EH226" s="924"/>
    </row>
    <row r="227" spans="1:138" s="6" customFormat="1" ht="15" customHeight="1">
      <c r="A227" s="3">
        <v>75</v>
      </c>
      <c r="B227" s="210" t="s">
        <v>214</v>
      </c>
      <c r="C227" s="473" t="s">
        <v>515</v>
      </c>
      <c r="D227" s="4"/>
      <c r="E227" s="5"/>
      <c r="F227" s="5"/>
      <c r="G227" s="4"/>
      <c r="H227" s="4"/>
      <c r="I227" s="4"/>
      <c r="J227" s="4"/>
      <c r="K227" s="5"/>
      <c r="L227" s="5"/>
      <c r="M227" s="5"/>
      <c r="O227" s="5"/>
      <c r="P227" s="5"/>
      <c r="Q227" s="5"/>
      <c r="S227" s="5"/>
      <c r="T227" s="5"/>
      <c r="U227" s="5"/>
      <c r="W227" s="5"/>
      <c r="X227" s="5"/>
      <c r="Y227" s="12"/>
      <c r="AA227" s="13"/>
      <c r="AB227" s="12"/>
      <c r="AD227" s="13"/>
      <c r="AE227" s="5"/>
      <c r="AF227" s="5"/>
      <c r="AH227" s="13"/>
      <c r="AI227" s="5"/>
      <c r="AK227" s="5"/>
      <c r="AL227" s="5"/>
      <c r="AM227" s="5"/>
      <c r="AO227" s="5"/>
      <c r="AP227" s="5"/>
      <c r="AR227" s="5"/>
      <c r="AS227" s="5"/>
      <c r="AT227" s="5"/>
      <c r="AV227" s="5"/>
      <c r="AW227" s="5"/>
      <c r="AY227" s="5"/>
      <c r="AZ227" s="5"/>
      <c r="BA227" s="5"/>
      <c r="BC227" s="5"/>
      <c r="BD227" s="5"/>
      <c r="BF227" s="5"/>
      <c r="BG227" s="5"/>
      <c r="BH227" s="5"/>
      <c r="BJ227" s="5"/>
      <c r="BK227" s="5"/>
      <c r="BL227" s="12"/>
      <c r="BM227" s="5"/>
      <c r="BN227" s="5"/>
      <c r="BO227" s="5"/>
      <c r="BQ227" s="5"/>
      <c r="BR227" s="5"/>
      <c r="BT227" s="5"/>
      <c r="BU227" s="5"/>
      <c r="BV227" s="5"/>
      <c r="BX227" s="5"/>
      <c r="BY227" s="5"/>
      <c r="CA227" s="13"/>
      <c r="CB227" s="7"/>
      <c r="CC227" s="11"/>
      <c r="CE227" s="13"/>
      <c r="CF227" s="5"/>
      <c r="CG227" s="12"/>
      <c r="CI227" s="13"/>
      <c r="CJ227" s="5"/>
      <c r="CK227" s="12"/>
      <c r="CM227" s="13"/>
      <c r="CN227" s="5"/>
      <c r="CO227" s="12"/>
      <c r="CQ227" s="13"/>
      <c r="CR227" s="5"/>
      <c r="CS227" s="12"/>
      <c r="CU227" s="13"/>
      <c r="CV227" s="5"/>
      <c r="CW227" s="12"/>
      <c r="CY227" s="13"/>
      <c r="CZ227" s="5"/>
      <c r="DA227" s="12"/>
      <c r="DC227" s="13"/>
      <c r="DD227" s="5"/>
      <c r="DE227" s="12"/>
      <c r="DG227" s="13"/>
      <c r="DH227" s="5"/>
      <c r="DI227" s="12"/>
      <c r="DK227" s="13"/>
      <c r="DL227" s="5"/>
      <c r="DM227" s="12"/>
      <c r="DO227" s="13"/>
      <c r="DP227" s="5"/>
      <c r="DQ227" s="12"/>
      <c r="DS227" s="1336">
        <f t="shared" si="3"/>
        <v>0</v>
      </c>
      <c r="DT227" s="121">
        <f>EXTRAS!D91</f>
        <v>0</v>
      </c>
      <c r="DU227" s="112">
        <f>EXTRAS!E91</f>
        <v>0</v>
      </c>
      <c r="DX227" s="203">
        <f t="shared" si="4"/>
        <v>0</v>
      </c>
      <c r="DZ227" s="924"/>
      <c r="EH227" s="924"/>
    </row>
    <row r="228" spans="1:138" s="6" customFormat="1" ht="15" customHeight="1">
      <c r="A228" s="3">
        <v>76</v>
      </c>
      <c r="B228" s="210" t="s">
        <v>458</v>
      </c>
      <c r="C228" s="473" t="s">
        <v>515</v>
      </c>
      <c r="D228" s="4"/>
      <c r="E228" s="5"/>
      <c r="F228" s="5"/>
      <c r="G228" s="4"/>
      <c r="H228" s="4"/>
      <c r="I228" s="4"/>
      <c r="J228" s="4"/>
      <c r="K228" s="5"/>
      <c r="L228" s="5"/>
      <c r="M228" s="5"/>
      <c r="O228" s="5"/>
      <c r="P228" s="5"/>
      <c r="Q228" s="5"/>
      <c r="S228" s="5"/>
      <c r="T228" s="5"/>
      <c r="U228" s="5"/>
      <c r="W228" s="5"/>
      <c r="X228" s="5"/>
      <c r="Y228" s="12"/>
      <c r="AA228" s="13"/>
      <c r="AB228" s="12"/>
      <c r="AD228" s="13"/>
      <c r="AE228" s="5"/>
      <c r="AF228" s="5"/>
      <c r="AH228" s="13"/>
      <c r="AI228" s="5"/>
      <c r="AK228" s="5"/>
      <c r="AL228" s="5"/>
      <c r="AM228" s="5"/>
      <c r="AO228" s="5"/>
      <c r="AP228" s="5"/>
      <c r="AR228" s="5"/>
      <c r="AS228" s="5"/>
      <c r="AT228" s="5"/>
      <c r="AV228" s="5"/>
      <c r="AW228" s="5"/>
      <c r="AY228" s="5"/>
      <c r="AZ228" s="5"/>
      <c r="BA228" s="5"/>
      <c r="BC228" s="5"/>
      <c r="BD228" s="5"/>
      <c r="BF228" s="5"/>
      <c r="BG228" s="5"/>
      <c r="BH228" s="5"/>
      <c r="BJ228" s="5"/>
      <c r="BK228" s="5"/>
      <c r="BL228" s="12"/>
      <c r="BM228" s="5"/>
      <c r="BN228" s="5"/>
      <c r="BO228" s="5"/>
      <c r="BQ228" s="5"/>
      <c r="BR228" s="5"/>
      <c r="BT228" s="5"/>
      <c r="BU228" s="5"/>
      <c r="BV228" s="5"/>
      <c r="BX228" s="5"/>
      <c r="BY228" s="5"/>
      <c r="CA228" s="13"/>
      <c r="CB228" s="7"/>
      <c r="CC228" s="11"/>
      <c r="CE228" s="13"/>
      <c r="CF228" s="5"/>
      <c r="CG228" s="12"/>
      <c r="CI228" s="13"/>
      <c r="CJ228" s="5"/>
      <c r="CK228" s="12"/>
      <c r="CM228" s="13"/>
      <c r="CN228" s="5"/>
      <c r="CO228" s="12"/>
      <c r="CQ228" s="13"/>
      <c r="CR228" s="5"/>
      <c r="CS228" s="12"/>
      <c r="CU228" s="13"/>
      <c r="CV228" s="5"/>
      <c r="CW228" s="12"/>
      <c r="CY228" s="13"/>
      <c r="CZ228" s="5"/>
      <c r="DA228" s="12"/>
      <c r="DC228" s="13"/>
      <c r="DD228" s="5"/>
      <c r="DE228" s="12"/>
      <c r="DG228" s="13"/>
      <c r="DH228" s="5"/>
      <c r="DI228" s="12"/>
      <c r="DK228" s="13"/>
      <c r="DL228" s="5"/>
      <c r="DM228" s="12"/>
      <c r="DO228" s="13"/>
      <c r="DP228" s="5"/>
      <c r="DQ228" s="12"/>
      <c r="DS228" s="1336">
        <f t="shared" si="3"/>
        <v>0</v>
      </c>
      <c r="DT228" s="121">
        <f>EXTRAS!D92</f>
        <v>0</v>
      </c>
      <c r="DU228" s="112">
        <f>EXTRAS!E92</f>
        <v>0</v>
      </c>
      <c r="DX228" s="203">
        <f t="shared" si="4"/>
        <v>0</v>
      </c>
      <c r="DZ228" s="924"/>
      <c r="EH228" s="924"/>
    </row>
    <row r="229" spans="1:138" s="6" customFormat="1" ht="15" customHeight="1">
      <c r="A229" s="3">
        <v>77</v>
      </c>
      <c r="B229" s="210" t="s">
        <v>140</v>
      </c>
      <c r="C229" s="473" t="s">
        <v>515</v>
      </c>
      <c r="D229" s="4"/>
      <c r="E229" s="5"/>
      <c r="F229" s="5"/>
      <c r="G229" s="4"/>
      <c r="H229" s="4"/>
      <c r="I229" s="4"/>
      <c r="J229" s="4"/>
      <c r="K229" s="5"/>
      <c r="L229" s="5"/>
      <c r="M229" s="5"/>
      <c r="O229" s="5"/>
      <c r="P229" s="5"/>
      <c r="Q229" s="5"/>
      <c r="S229" s="5"/>
      <c r="T229" s="5"/>
      <c r="U229" s="5"/>
      <c r="W229" s="5">
        <v>1</v>
      </c>
      <c r="X229" s="5">
        <f>X5*W229+X6*W229+X7*W229+X8*W229+X9*W229+X10*W229+X11*W229+X12*W229+X13*W229+X14*W229+X15*W229+X16*W229+X17*W229+X18*W229+X19*W229+X20*W229+X21*W229+X22*W229+X23*W229+X24*W229+X25*W229+X26*W229</f>
        <v>0</v>
      </c>
      <c r="Y229" s="12"/>
      <c r="AA229" s="13"/>
      <c r="AB229" s="12"/>
      <c r="AD229" s="13"/>
      <c r="AE229" s="5"/>
      <c r="AF229" s="5"/>
      <c r="AH229" s="13"/>
      <c r="AI229" s="5"/>
      <c r="AK229" s="5"/>
      <c r="AL229" s="5"/>
      <c r="AM229" s="5"/>
      <c r="AO229" s="5"/>
      <c r="AP229" s="5"/>
      <c r="AR229" s="5">
        <v>1</v>
      </c>
      <c r="AS229" s="5">
        <f>AS5*AR229+AS6*AR229+AS7*AR229+AS8*AR229+AS9*AR229+AS10*AR229+AS11*AR229+AS12*AR229+AS13*AR229+AS14*AR229+AS15*AR229+AS16*AR229+AS17*AR229+AS18*AR229+AS19*AR229+AS20*AR229+AS21*AR229+AS22*AR229+AS23*AR229+AS24*AR229+AS25*AR229+AS26*AR229</f>
        <v>0</v>
      </c>
      <c r="AT229" s="5"/>
      <c r="AV229" s="5"/>
      <c r="AW229" s="5">
        <f>AW5*AV229+AW6*AV229+AW7*AV229+AW8*AV229+AW9*AV229+AW10*AV229+AW11*AV229+AW12*AV229+AW13*AV229+AW14*AV229+AW15*AV229+AW16*AV229+AW17*AV229+AW18*AV229+AW19*AV229+AW20*AV229+AW21*AV229+AW22*AV229+AW23*AV229+AW24*AV229+AW25*AV229+AW26*AV229</f>
        <v>0</v>
      </c>
      <c r="AY229" s="5"/>
      <c r="AZ229" s="5"/>
      <c r="BA229" s="5"/>
      <c r="BC229" s="5"/>
      <c r="BD229" s="5"/>
      <c r="BF229" s="5">
        <v>1</v>
      </c>
      <c r="BG229" s="5">
        <f>BG5*BF229+BG6*BF229+BG7*BF229+BG8*BF229+BG9*BF229+BG10*BF229+BG11*BF229+BG12*BF229+BG13*BF229+BG14*BF229+BG15*BF229+BG16*BF229+BG17*BF229+BG18*BF229+BG19*BF229+BG20*BF229+BG21*BF229+BG22*BF229+BG23*BF229+BG24*BF229+BG25*BF229+BG26*BF229</f>
        <v>0</v>
      </c>
      <c r="BH229" s="5"/>
      <c r="BJ229" s="5"/>
      <c r="BK229" s="5"/>
      <c r="BL229" s="12"/>
      <c r="BM229" s="5"/>
      <c r="BN229" s="5">
        <f>BN5*BM229+BN6*BM229+BN7*BM229+BN8*BM229+BN9*BM229+BN10*BM229+BN11*BM229+BN12*BM229+BN13*BM229+BN14*BM229+BN15*BM229+BN16*BM229+BN17*BM229+BN18*BM229+BN19*BM229+BN20*BM229+BN21*BM229+BN22*BM229+BN23*BM229+BN24*BM229+BN25*BM229+BN26*BM229</f>
        <v>0</v>
      </c>
      <c r="BO229" s="5"/>
      <c r="BQ229" s="5"/>
      <c r="BR229" s="5">
        <f>BR5*BQ229+BR6*BQ229+BR7*BQ229+BR8*BQ229+BR9*BQ229+BR10*BQ229+BR11*BQ229+BR12*BQ229+BR13*BQ229+BR14*BQ229+BR15*BQ229+BR16*BQ229+BR17*BQ229+BR18*BQ229+BR19*BQ229+BR20*BQ229+BR21*BQ229+BR22*BQ229+BR23*BQ229+BR24*BQ229+BR25*BQ229+BR26*BQ229</f>
        <v>0</v>
      </c>
      <c r="BT229" s="5"/>
      <c r="BU229" s="5">
        <f>BU5*BT229+BU6*BT229+BU7*BT229+BU8*BT229+BU9*BT229+BU10*BT229+BU11*BT229+BU12*BT229+BU13*BT229+BU14*BT229+BU15*BT229+BU16*BT229+BU17*BT229+BU18*BT229+BU19*BT229+BU20*BT229+BU21*BT229+BU22*BT229+BU23*BT229+BU24*BT229+BU25*BT229+BU26*BT229</f>
        <v>0</v>
      </c>
      <c r="BV229" s="5"/>
      <c r="BX229" s="5"/>
      <c r="BY229" s="5">
        <f>BY5*BX229+BY6*BX229+BY7*BX229+BY8*BX229+BY9*BX229+BY10*BX229+BY11*BX229+BY12*BX229+BY13*BX229+BY14*BX229+BY15*BX229+BY16*BX229+BY17*BX229+BY18*BX229+BY19*BX229+BY20*BX229+BY21*BX229+BY22*BX229+BY23*BX229+BY24*BX229+BY25*BX229+BY26*BX229</f>
        <v>0</v>
      </c>
      <c r="CA229" s="13"/>
      <c r="CB229" s="7"/>
      <c r="CC229" s="11"/>
      <c r="CE229" s="13"/>
      <c r="CF229" s="5"/>
      <c r="CG229" s="12"/>
      <c r="CI229" s="13"/>
      <c r="CJ229" s="5"/>
      <c r="CK229" s="12"/>
      <c r="CM229" s="13"/>
      <c r="CN229" s="5"/>
      <c r="CO229" s="12"/>
      <c r="CQ229" s="13">
        <v>0</v>
      </c>
      <c r="CR229" s="5">
        <f>CR19*CQ229+CS19*CQ229+CR20*CQ229+CS20*CQ229+CR21*CQ229+CS21*CQ229+CR22*CQ229+CS22*CQ229+CR23*CQ229+CS23*CQ229+CR24*CQ229+CS24*CQ229+CR25*CQ229+CS25*CQ229+CR26*CQ229+CS26*CQ229+CR5*CQ229+CS5*CQ229+CR6*CQ229+CS6*CQ229+CR7*CQ229+CS7*CQ229+CR8*CQ229+CS8*CQ229+CR9*CQ229+CS9*CQ229+CR10*CQ229+CS10*CQ229+CR11*CQ229+CS11*CQ229+CR12*CQ229+CS12*CQ229+CR13*CQ229+CS13*CQ229+CR14*CQ229+CS14*CQ229+CR15*CQ229+CS15*CQ229+CR16*CQ229+CS16*CQ229+CR17*CQ229+CS17*CQ229+CR18*CQ229+CS18*CQ229</f>
        <v>0</v>
      </c>
      <c r="CS229" s="12"/>
      <c r="CU229" s="13">
        <v>0</v>
      </c>
      <c r="CV229" s="5">
        <f>CV19*CU229+CW19*CU229+CV20*CU229+CW20*CU229+CV21*CU229+CW21*CU229+CV22*CU229+CW22*CU229+CV23*CU229+CW23*CU229+CV24*CU229+CW24*CU229+CV25*CU229+CW25*CU229+CV26*CU229+CW26*CU229+CV5*CU229+CW5*CU229+CV6*CU229+CW6*CU229+CV7*CU229+CW7*CU229+CV8*CU229+CW8*CU229+CV9*CU229+CW9*CU229+CV10*CU229+CW10*CU229+CV11*CU229+CW11*CU229+CV12*CU229+CW12*CU229+CV13*CU229+CW13*CU229+CV14*CU229+CW14*CU229+CV15*CU229+CW15*CU229+CV16*CU229+CW16*CU229+CV17*CU229+CW17*CU229+CV18*CU229+CW18*CU229</f>
        <v>0</v>
      </c>
      <c r="CW229" s="12"/>
      <c r="CY229" s="13"/>
      <c r="CZ229" s="5"/>
      <c r="DA229" s="12"/>
      <c r="DC229" s="13"/>
      <c r="DD229" s="5"/>
      <c r="DE229" s="12"/>
      <c r="DG229" s="13"/>
      <c r="DH229" s="5"/>
      <c r="DI229" s="12"/>
      <c r="DK229" s="13">
        <v>0</v>
      </c>
      <c r="DL229" s="5">
        <f>DL19*DK229+DM19*DK229+DL20*DK229+DM20*DK229+DL21*DK229+DM21*DK229+DL22*DK229+DM22*DK229+DL23*DK229+DM23*DK229+DL24*DK229+DM24*DK229+DL25*DK229+DM25*DK229+DL26*DK229+DM26*DK229+DL5*DK229+DM5*DK229+DL6*DK229+DM6*DK229+DL7*DK229+DM7*DK229+DL8*DK229+DM8*DK229+DL9*DK229+DM9*DK229+DL10*DK229+DM10*DK229+DL11*DK229+DM11*DK229+DL12*DK229+DM12*DK229+DL13*DK229+DM13*DK229+DL14*DK229+DM14*DK229+DL15*DK229+DM15*DK229+DL16*DK229+DM16*DK229+DL17*DK229+DM17*DK229+DL18*DK229+DM18*DK229</f>
        <v>0</v>
      </c>
      <c r="DM229" s="12"/>
      <c r="DO229" s="13">
        <v>0</v>
      </c>
      <c r="DP229" s="5">
        <f>DP19*DO229+DQ19*DO229+DP20*DO229+DQ20*DO229+DP21*DO229+DQ21*DO229+DP22*DO229+DQ22*DO229+DP23*DO229+DQ23*DO229+DP24*DO229+DQ24*DO229+DP25*DO229+DQ25*DO229+DP26*DO229+DQ26*DO229+DP5*DO229+DQ5*DO229+DP6*DO229+DQ6*DO229+DP7*DO229+DQ7*DO229+DP8*DO229+DQ8*DO229+DP9*DO229+DQ9*DO229+DP10*DO229+DQ10*DO229+DP11*DO229+DQ11*DO229+DP12*DO229+DQ12*DO229+DP13*DO229+DQ13*DO229+DP14*DO229+DQ14*DO229+DP15*DO229+DQ15*DO229+DP16*DO229+DQ16*DO229+DP17*DO229+DQ17*DO229+DP18*DO229+DQ18*DO229</f>
        <v>0</v>
      </c>
      <c r="DQ229" s="12"/>
      <c r="DS229" s="1336">
        <f t="shared" si="3"/>
        <v>0</v>
      </c>
      <c r="DT229" s="121">
        <f>EXTRAS!D93</f>
        <v>0</v>
      </c>
      <c r="DU229" s="112">
        <f>EXTRAS!E93</f>
        <v>0</v>
      </c>
      <c r="DX229" s="203">
        <f t="shared" si="4"/>
        <v>0</v>
      </c>
      <c r="DZ229" s="924"/>
      <c r="EH229" s="924"/>
    </row>
    <row r="230" spans="1:138" s="6" customFormat="1" ht="15" customHeight="1">
      <c r="A230" s="3">
        <v>78</v>
      </c>
      <c r="B230" s="210" t="s">
        <v>216</v>
      </c>
      <c r="C230" s="473" t="s">
        <v>515</v>
      </c>
      <c r="D230" s="4"/>
      <c r="E230" s="5"/>
      <c r="F230" s="5"/>
      <c r="G230" s="4"/>
      <c r="H230" s="4"/>
      <c r="I230" s="4"/>
      <c r="J230" s="4"/>
      <c r="K230" s="5"/>
      <c r="L230" s="5"/>
      <c r="M230" s="5"/>
      <c r="O230" s="5"/>
      <c r="P230" s="5"/>
      <c r="Q230" s="5"/>
      <c r="S230" s="5"/>
      <c r="T230" s="5"/>
      <c r="U230" s="5"/>
      <c r="W230" s="5"/>
      <c r="X230" s="5"/>
      <c r="Y230" s="12"/>
      <c r="AA230" s="13"/>
      <c r="AB230" s="12"/>
      <c r="AD230" s="13"/>
      <c r="AE230" s="5"/>
      <c r="AF230" s="5"/>
      <c r="AH230" s="13"/>
      <c r="AI230" s="5"/>
      <c r="AK230" s="5"/>
      <c r="AL230" s="5"/>
      <c r="AM230" s="5"/>
      <c r="AO230" s="5"/>
      <c r="AP230" s="5"/>
      <c r="AR230" s="5"/>
      <c r="AS230" s="5"/>
      <c r="AT230" s="5"/>
      <c r="AV230" s="5"/>
      <c r="AW230" s="5"/>
      <c r="AY230" s="5"/>
      <c r="AZ230" s="5"/>
      <c r="BA230" s="5"/>
      <c r="BC230" s="5"/>
      <c r="BD230" s="5"/>
      <c r="BF230" s="5"/>
      <c r="BG230" s="5"/>
      <c r="BH230" s="5"/>
      <c r="BJ230" s="5"/>
      <c r="BK230" s="5"/>
      <c r="BL230" s="12"/>
      <c r="BM230" s="5"/>
      <c r="BN230" s="5"/>
      <c r="BO230" s="5"/>
      <c r="BQ230" s="5"/>
      <c r="BR230" s="5"/>
      <c r="BT230" s="5"/>
      <c r="BU230" s="5"/>
      <c r="BV230" s="5"/>
      <c r="BX230" s="5"/>
      <c r="BY230" s="5"/>
      <c r="CA230" s="13"/>
      <c r="CB230" s="7"/>
      <c r="CC230" s="11"/>
      <c r="CE230" s="13"/>
      <c r="CF230" s="5"/>
      <c r="CG230" s="12"/>
      <c r="CI230" s="13"/>
      <c r="CJ230" s="5"/>
      <c r="CK230" s="12"/>
      <c r="CM230" s="13"/>
      <c r="CN230" s="5"/>
      <c r="CO230" s="12"/>
      <c r="CQ230" s="13"/>
      <c r="CR230" s="5"/>
      <c r="CS230" s="12"/>
      <c r="CU230" s="13"/>
      <c r="CV230" s="5"/>
      <c r="CW230" s="12"/>
      <c r="CY230" s="13"/>
      <c r="CZ230" s="5"/>
      <c r="DA230" s="12"/>
      <c r="DC230" s="13"/>
      <c r="DD230" s="5"/>
      <c r="DE230" s="12"/>
      <c r="DG230" s="13"/>
      <c r="DH230" s="5"/>
      <c r="DI230" s="12"/>
      <c r="DK230" s="13"/>
      <c r="DL230" s="5"/>
      <c r="DM230" s="12"/>
      <c r="DO230" s="13"/>
      <c r="DP230" s="5"/>
      <c r="DQ230" s="12"/>
      <c r="DS230" s="1336">
        <f t="shared" si="3"/>
        <v>0</v>
      </c>
      <c r="DT230" s="121">
        <f>EXTRAS!D94</f>
        <v>0</v>
      </c>
      <c r="DU230" s="112">
        <f>EXTRAS!E94</f>
        <v>0</v>
      </c>
      <c r="DX230" s="203">
        <f t="shared" si="4"/>
        <v>0</v>
      </c>
      <c r="DZ230" s="924"/>
      <c r="EH230" s="924"/>
    </row>
    <row r="231" spans="1:138" s="6" customFormat="1" ht="15" customHeight="1">
      <c r="A231" s="3">
        <v>79</v>
      </c>
      <c r="B231" s="210" t="s">
        <v>217</v>
      </c>
      <c r="C231" s="473" t="s">
        <v>515</v>
      </c>
      <c r="D231" s="4"/>
      <c r="E231" s="5"/>
      <c r="F231" s="5"/>
      <c r="G231" s="4"/>
      <c r="H231" s="4"/>
      <c r="I231" s="4"/>
      <c r="J231" s="4"/>
      <c r="K231" s="5"/>
      <c r="L231" s="5"/>
      <c r="M231" s="5"/>
      <c r="O231" s="5"/>
      <c r="P231" s="5"/>
      <c r="Q231" s="5"/>
      <c r="S231" s="5"/>
      <c r="T231" s="5"/>
      <c r="U231" s="5"/>
      <c r="W231" s="5"/>
      <c r="X231" s="5"/>
      <c r="Y231" s="12"/>
      <c r="AA231" s="13"/>
      <c r="AB231" s="12"/>
      <c r="AD231" s="13"/>
      <c r="AE231" s="5"/>
      <c r="AF231" s="5"/>
      <c r="AH231" s="13"/>
      <c r="AI231" s="5"/>
      <c r="AK231" s="5"/>
      <c r="AL231" s="5"/>
      <c r="AM231" s="5"/>
      <c r="AO231" s="5"/>
      <c r="AP231" s="5"/>
      <c r="AR231" s="5"/>
      <c r="AS231" s="5"/>
      <c r="AT231" s="5"/>
      <c r="AV231" s="5"/>
      <c r="AW231" s="5"/>
      <c r="AY231" s="5"/>
      <c r="AZ231" s="5"/>
      <c r="BA231" s="5"/>
      <c r="BC231" s="5"/>
      <c r="BD231" s="5"/>
      <c r="BF231" s="5"/>
      <c r="BG231" s="5"/>
      <c r="BH231" s="5"/>
      <c r="BJ231" s="5"/>
      <c r="BK231" s="5"/>
      <c r="BL231" s="12"/>
      <c r="BM231" s="5"/>
      <c r="BN231" s="5"/>
      <c r="BO231" s="5"/>
      <c r="BQ231" s="5"/>
      <c r="BR231" s="5"/>
      <c r="BT231" s="5"/>
      <c r="BU231" s="5"/>
      <c r="BV231" s="5"/>
      <c r="BX231" s="5"/>
      <c r="BY231" s="5"/>
      <c r="CA231" s="13"/>
      <c r="CB231" s="7"/>
      <c r="CC231" s="11"/>
      <c r="CE231" s="13"/>
      <c r="CF231" s="5"/>
      <c r="CG231" s="12"/>
      <c r="CI231" s="13"/>
      <c r="CJ231" s="5"/>
      <c r="CK231" s="12"/>
      <c r="CM231" s="13"/>
      <c r="CN231" s="5"/>
      <c r="CO231" s="12"/>
      <c r="CQ231" s="13"/>
      <c r="CR231" s="5"/>
      <c r="CS231" s="12"/>
      <c r="CU231" s="13"/>
      <c r="CV231" s="5"/>
      <c r="CW231" s="12"/>
      <c r="CY231" s="13"/>
      <c r="CZ231" s="5"/>
      <c r="DA231" s="12"/>
      <c r="DC231" s="13"/>
      <c r="DD231" s="5"/>
      <c r="DE231" s="12"/>
      <c r="DG231" s="13"/>
      <c r="DH231" s="5"/>
      <c r="DI231" s="12"/>
      <c r="DK231" s="13"/>
      <c r="DL231" s="5"/>
      <c r="DM231" s="12"/>
      <c r="DO231" s="13"/>
      <c r="DP231" s="5"/>
      <c r="DQ231" s="12"/>
      <c r="DS231" s="1336">
        <f t="shared" si="3"/>
        <v>0</v>
      </c>
      <c r="DT231" s="121">
        <f>EXTRAS!D95</f>
        <v>0</v>
      </c>
      <c r="DU231" s="112">
        <f>EXTRAS!E95</f>
        <v>0</v>
      </c>
      <c r="DX231" s="203">
        <f t="shared" si="4"/>
        <v>0</v>
      </c>
      <c r="DZ231" s="924"/>
      <c r="EH231" s="924"/>
    </row>
    <row r="232" spans="1:138" s="6" customFormat="1" ht="15" customHeight="1">
      <c r="A232" s="3"/>
      <c r="B232" s="210" t="s">
        <v>1734</v>
      </c>
      <c r="C232" s="473"/>
      <c r="D232" s="4"/>
      <c r="E232" s="5"/>
      <c r="F232" s="5"/>
      <c r="G232" s="4"/>
      <c r="H232" s="4"/>
      <c r="I232" s="4"/>
      <c r="J232" s="4"/>
      <c r="K232" s="5"/>
      <c r="L232" s="5"/>
      <c r="M232" s="5"/>
      <c r="O232" s="5"/>
      <c r="P232" s="5"/>
      <c r="Q232" s="5"/>
      <c r="S232" s="5"/>
      <c r="T232" s="5"/>
      <c r="U232" s="5"/>
      <c r="W232" s="5"/>
      <c r="X232" s="5"/>
      <c r="Y232" s="12"/>
      <c r="AA232" s="13"/>
      <c r="AB232" s="12"/>
      <c r="AD232" s="13"/>
      <c r="AE232" s="5"/>
      <c r="AF232" s="5"/>
      <c r="AH232" s="13"/>
      <c r="AI232" s="5"/>
      <c r="AK232" s="5"/>
      <c r="AL232" s="5"/>
      <c r="AM232" s="5"/>
      <c r="AO232" s="5"/>
      <c r="AP232" s="5"/>
      <c r="AR232" s="5"/>
      <c r="AS232" s="5"/>
      <c r="AT232" s="5"/>
      <c r="AV232" s="5"/>
      <c r="AW232" s="5"/>
      <c r="AY232" s="5"/>
      <c r="AZ232" s="5"/>
      <c r="BA232" s="5"/>
      <c r="BC232" s="5"/>
      <c r="BD232" s="5"/>
      <c r="BF232" s="5"/>
      <c r="BG232" s="5"/>
      <c r="BH232" s="5"/>
      <c r="BJ232" s="5"/>
      <c r="BK232" s="5"/>
      <c r="BL232" s="12"/>
      <c r="BM232" s="5"/>
      <c r="BN232" s="5"/>
      <c r="BO232" s="5"/>
      <c r="BQ232" s="5"/>
      <c r="BR232" s="5"/>
      <c r="BT232" s="5"/>
      <c r="BU232" s="5"/>
      <c r="BV232" s="5"/>
      <c r="BX232" s="5"/>
      <c r="BY232" s="5"/>
      <c r="CA232" s="13"/>
      <c r="CB232" s="7"/>
      <c r="CC232" s="11"/>
      <c r="CE232" s="13"/>
      <c r="CF232" s="5"/>
      <c r="CG232" s="12"/>
      <c r="CI232" s="13"/>
      <c r="CJ232" s="5"/>
      <c r="CK232" s="12"/>
      <c r="CM232" s="13"/>
      <c r="CN232" s="5"/>
      <c r="CO232" s="12"/>
      <c r="CQ232" s="13"/>
      <c r="CR232" s="5"/>
      <c r="CS232" s="12"/>
      <c r="CU232" s="13"/>
      <c r="CV232" s="5"/>
      <c r="CW232" s="12"/>
      <c r="CY232" s="13"/>
      <c r="CZ232" s="5"/>
      <c r="DA232" s="12"/>
      <c r="DC232" s="13"/>
      <c r="DD232" s="5"/>
      <c r="DE232" s="12"/>
      <c r="DG232" s="13"/>
      <c r="DH232" s="5"/>
      <c r="DI232" s="12"/>
      <c r="DK232" s="13"/>
      <c r="DL232" s="5"/>
      <c r="DM232" s="12"/>
      <c r="DO232" s="13"/>
      <c r="DP232" s="5"/>
      <c r="DQ232" s="12"/>
      <c r="DS232" s="1336"/>
      <c r="DT232" s="121"/>
      <c r="DU232" s="112"/>
      <c r="DX232" s="203">
        <f t="shared" si="4"/>
        <v>0</v>
      </c>
      <c r="DZ232" s="924"/>
      <c r="EH232" s="924"/>
    </row>
    <row r="233" spans="1:138" s="6" customFormat="1" ht="15" customHeight="1">
      <c r="A233" s="3"/>
      <c r="B233" s="210" t="s">
        <v>1536</v>
      </c>
      <c r="C233" s="473"/>
      <c r="D233" s="4"/>
      <c r="E233" s="5"/>
      <c r="F233" s="5"/>
      <c r="G233" s="4"/>
      <c r="H233" s="4"/>
      <c r="I233" s="4"/>
      <c r="J233" s="4"/>
      <c r="K233" s="5"/>
      <c r="L233" s="5"/>
      <c r="M233" s="5"/>
      <c r="O233" s="5"/>
      <c r="P233" s="5"/>
      <c r="Q233" s="5"/>
      <c r="S233" s="5"/>
      <c r="T233" s="5"/>
      <c r="U233" s="5"/>
      <c r="W233" s="5"/>
      <c r="X233" s="5"/>
      <c r="Y233" s="12"/>
      <c r="AA233" s="13"/>
      <c r="AB233" s="12"/>
      <c r="AD233" s="13"/>
      <c r="AE233" s="5"/>
      <c r="AF233" s="5"/>
      <c r="AH233" s="13"/>
      <c r="AI233" s="5"/>
      <c r="AK233" s="5"/>
      <c r="AL233" s="5"/>
      <c r="AM233" s="5"/>
      <c r="AO233" s="5"/>
      <c r="AP233" s="5"/>
      <c r="AR233" s="5"/>
      <c r="AS233" s="5"/>
      <c r="AT233" s="5"/>
      <c r="AV233" s="5"/>
      <c r="AW233" s="5"/>
      <c r="AY233" s="5"/>
      <c r="AZ233" s="5"/>
      <c r="BA233" s="5"/>
      <c r="BC233" s="5"/>
      <c r="BD233" s="5"/>
      <c r="BF233" s="5"/>
      <c r="BG233" s="5"/>
      <c r="BH233" s="5"/>
      <c r="BJ233" s="5"/>
      <c r="BK233" s="5"/>
      <c r="BL233" s="12"/>
      <c r="BM233" s="5"/>
      <c r="BN233" s="5"/>
      <c r="BO233" s="5"/>
      <c r="BQ233" s="5"/>
      <c r="BR233" s="5"/>
      <c r="BT233" s="5"/>
      <c r="BU233" s="5"/>
      <c r="BV233" s="5"/>
      <c r="BX233" s="5"/>
      <c r="BY233" s="5"/>
      <c r="CA233" s="13"/>
      <c r="CB233" s="7"/>
      <c r="CC233" s="11"/>
      <c r="CE233" s="13"/>
      <c r="CF233" s="5"/>
      <c r="CG233" s="12"/>
      <c r="CI233" s="13"/>
      <c r="CJ233" s="5"/>
      <c r="CK233" s="12"/>
      <c r="CM233" s="13"/>
      <c r="CN233" s="5"/>
      <c r="CO233" s="12"/>
      <c r="CQ233" s="13"/>
      <c r="CR233" s="5"/>
      <c r="CS233" s="12"/>
      <c r="CU233" s="13">
        <v>6</v>
      </c>
      <c r="CV233" s="5">
        <f>SUM(CV5:CV26,CW5:CW26)*CU233</f>
        <v>0</v>
      </c>
      <c r="CW233" s="12"/>
      <c r="CY233" s="13"/>
      <c r="CZ233" s="5"/>
      <c r="DA233" s="12"/>
      <c r="DC233" s="13"/>
      <c r="DD233" s="5"/>
      <c r="DE233" s="12"/>
      <c r="DG233" s="13"/>
      <c r="DH233" s="5"/>
      <c r="DI233" s="12"/>
      <c r="DK233" s="13"/>
      <c r="DL233" s="5"/>
      <c r="DM233" s="12"/>
      <c r="DO233" s="13">
        <v>6</v>
      </c>
      <c r="DP233" s="5">
        <f>DO233*SUM(DP5:DP26,DQ5:DQ26)</f>
        <v>0</v>
      </c>
      <c r="DQ233" s="12"/>
      <c r="DS233" s="1336">
        <f t="shared" si="3"/>
        <v>0</v>
      </c>
      <c r="DT233" s="121">
        <f>EXTRAS!D97</f>
        <v>0</v>
      </c>
      <c r="DU233" s="112">
        <f>EXTRAS!E97</f>
        <v>0</v>
      </c>
      <c r="DV233" s="6">
        <f>(DW11-DX11)*6</f>
        <v>0</v>
      </c>
      <c r="DX233" s="203">
        <f t="shared" si="4"/>
        <v>0</v>
      </c>
      <c r="DZ233" s="924"/>
      <c r="EH233" s="924"/>
    </row>
    <row r="234" spans="1:138" s="6" customFormat="1" ht="15" customHeight="1">
      <c r="A234" s="3">
        <v>80</v>
      </c>
      <c r="B234" s="210" t="s">
        <v>461</v>
      </c>
      <c r="C234" s="473" t="s">
        <v>515</v>
      </c>
      <c r="D234" s="4"/>
      <c r="E234" s="5"/>
      <c r="F234" s="5"/>
      <c r="G234" s="4"/>
      <c r="H234" s="4"/>
      <c r="I234" s="4"/>
      <c r="J234" s="4"/>
      <c r="K234" s="5"/>
      <c r="L234" s="5"/>
      <c r="M234" s="5"/>
      <c r="O234" s="5"/>
      <c r="P234" s="5"/>
      <c r="Q234" s="5"/>
      <c r="S234" s="5"/>
      <c r="T234" s="5"/>
      <c r="U234" s="5"/>
      <c r="W234" s="5"/>
      <c r="X234" s="5"/>
      <c r="Y234" s="12"/>
      <c r="AA234" s="13"/>
      <c r="AB234" s="12"/>
      <c r="AD234" s="13"/>
      <c r="AE234" s="5"/>
      <c r="AF234" s="5"/>
      <c r="AH234" s="13"/>
      <c r="AI234" s="5"/>
      <c r="AK234" s="5"/>
      <c r="AL234" s="5"/>
      <c r="AM234" s="5"/>
      <c r="AO234" s="5"/>
      <c r="AP234" s="5"/>
      <c r="AR234" s="5"/>
      <c r="AS234" s="5"/>
      <c r="AT234" s="5"/>
      <c r="AV234" s="5"/>
      <c r="AW234" s="5"/>
      <c r="AY234" s="5"/>
      <c r="AZ234" s="5"/>
      <c r="BA234" s="5"/>
      <c r="BC234" s="5"/>
      <c r="BD234" s="5"/>
      <c r="BF234" s="5"/>
      <c r="BG234" s="5"/>
      <c r="BH234" s="5"/>
      <c r="BJ234" s="5"/>
      <c r="BK234" s="5"/>
      <c r="BL234" s="12"/>
      <c r="BM234" s="5"/>
      <c r="BN234" s="5"/>
      <c r="BO234" s="5"/>
      <c r="BQ234" s="5"/>
      <c r="BR234" s="5"/>
      <c r="BT234" s="5">
        <v>2</v>
      </c>
      <c r="BU234" s="5">
        <f>BU5*BT234+BV5*BT234+BU6*BT234+BV6*BT234+BU7*BT234+BV7*BT234+BU8*BT234+BV8*BT234+BU9*BT234+BV9*BT234+BU10*BT234+BV10*BT234+BU11*BT234+BV11*BT234+BU12*BT234+BV12*BT234+BU13*BT234+BV13*BT234+BU14*BT234+BV14*BT234+BU15*BT234+BV15*BT234+BU16*BT234+BV16*BT234+BU17*BT234+BV17*BT234+BU18*BT234+BV18*BT234+BU19*BT234+BV19*BT234+BU20*BT234+BV20*BT234+BU21*BT234+BV21*BT234+BU22*BT234+BV22*BT234+BU23*BT234+BV23*BT234+BU24*BT234+BV24*BT234+BU25*BT234+BV25*BT234+BU26*BT234+BV26*BT234</f>
        <v>0</v>
      </c>
      <c r="BV234" s="5"/>
      <c r="BX234" s="5">
        <v>2</v>
      </c>
      <c r="BY234" s="5">
        <f>BY5*BX234+BZ5*BX234+BY6*BX234+BZ6*BX234+BY7*BX234+BZ7*BX234+BY8*BX234+BZ8*BX234+BY9*BX234+BZ9*BX234+BY10*BX234+BZ10*BX234+BY11*BX234+BZ11*BX234+BY12*BX234+BZ12*BX234+BY13*BX234+BZ13*BX234+BY14*BX234+BZ14*BX234+BY15*BX234+BZ15*BX234+BY16*BX234+BZ16*BX234+BY17*BX234+BZ17*BX234+BY18*BX234+BZ18*BX234+BY19*BX234+BZ19*BX234+BY20*BX234+BZ20*BX234+BY21*BX234+BZ21*BX234+BY22*BX234+BZ22*BX234+BY23*BX234+BZ23*BX234+BY24*BX234+BZ24*BX234+BY25*BX234+BZ25*BX234+BY26*BX234+BZ26*BX234</f>
        <v>0</v>
      </c>
      <c r="CA234" s="13"/>
      <c r="CB234" s="7"/>
      <c r="CC234" s="11"/>
      <c r="CE234" s="13"/>
      <c r="CF234" s="5"/>
      <c r="CG234" s="12"/>
      <c r="CI234" s="13"/>
      <c r="CJ234" s="5"/>
      <c r="CK234" s="12"/>
      <c r="CM234" s="13"/>
      <c r="CN234" s="5"/>
      <c r="CO234" s="12"/>
      <c r="CQ234" s="13"/>
      <c r="CR234" s="5"/>
      <c r="CS234" s="12"/>
      <c r="CU234" s="13"/>
      <c r="CV234" s="5"/>
      <c r="CW234" s="12"/>
      <c r="CY234" s="13"/>
      <c r="CZ234" s="5"/>
      <c r="DA234" s="12"/>
      <c r="DC234" s="13"/>
      <c r="DD234" s="5"/>
      <c r="DE234" s="12"/>
      <c r="DG234" s="13"/>
      <c r="DH234" s="5"/>
      <c r="DI234" s="12"/>
      <c r="DK234" s="13"/>
      <c r="DL234" s="5"/>
      <c r="DM234" s="12"/>
      <c r="DO234" s="13"/>
      <c r="DP234" s="5"/>
      <c r="DQ234" s="12"/>
      <c r="DS234" s="1336">
        <f t="shared" si="3"/>
        <v>0</v>
      </c>
      <c r="DT234" s="121">
        <f>EXTRAS!D98</f>
        <v>0</v>
      </c>
      <c r="DU234" s="112">
        <f>EXTRAS!E98</f>
        <v>0</v>
      </c>
      <c r="DX234" s="203">
        <f t="shared" si="4"/>
        <v>0</v>
      </c>
      <c r="DZ234" s="924"/>
      <c r="EH234" s="924"/>
    </row>
    <row r="235" spans="1:138" s="6" customFormat="1" ht="15" customHeight="1">
      <c r="A235" s="3">
        <v>81</v>
      </c>
      <c r="B235" s="210" t="s">
        <v>459</v>
      </c>
      <c r="C235" s="473" t="s">
        <v>515</v>
      </c>
      <c r="D235" s="4"/>
      <c r="E235" s="5"/>
      <c r="F235" s="5"/>
      <c r="G235" s="4"/>
      <c r="H235" s="4"/>
      <c r="I235" s="4"/>
      <c r="J235" s="4"/>
      <c r="K235" s="5"/>
      <c r="L235" s="5"/>
      <c r="M235" s="5">
        <f>C12</f>
        <v>0</v>
      </c>
      <c r="O235" s="5"/>
      <c r="P235" s="5"/>
      <c r="Q235" s="5"/>
      <c r="S235" s="5"/>
      <c r="T235" s="5"/>
      <c r="U235" s="5"/>
      <c r="W235" s="5"/>
      <c r="X235" s="5"/>
      <c r="Y235" s="12"/>
      <c r="AA235" s="13"/>
      <c r="AB235" s="12"/>
      <c r="AD235" s="13"/>
      <c r="AE235" s="5"/>
      <c r="AF235" s="5"/>
      <c r="AH235" s="13"/>
      <c r="AI235" s="5"/>
      <c r="AK235" s="5"/>
      <c r="AL235" s="5"/>
      <c r="AM235" s="5"/>
      <c r="AO235" s="5"/>
      <c r="AP235" s="5"/>
      <c r="AR235" s="5"/>
      <c r="AS235" s="5"/>
      <c r="AT235" s="5"/>
      <c r="AV235" s="5"/>
      <c r="AW235" s="5"/>
      <c r="AY235" s="5"/>
      <c r="AZ235" s="5"/>
      <c r="BA235" s="5"/>
      <c r="BC235" s="5"/>
      <c r="BD235" s="5"/>
      <c r="BF235" s="5"/>
      <c r="BG235" s="5"/>
      <c r="BH235" s="5"/>
      <c r="BJ235" s="5"/>
      <c r="BK235" s="5"/>
      <c r="BL235" s="12"/>
      <c r="BM235" s="5"/>
      <c r="BN235" s="5"/>
      <c r="BO235" s="5"/>
      <c r="BQ235" s="5"/>
      <c r="BR235" s="5"/>
      <c r="BT235" s="5"/>
      <c r="BU235" s="5"/>
      <c r="BV235" s="5"/>
      <c r="BX235" s="5"/>
      <c r="BY235" s="5"/>
      <c r="CA235" s="13"/>
      <c r="CB235" s="7"/>
      <c r="CC235" s="11"/>
      <c r="CE235" s="13">
        <v>20</v>
      </c>
      <c r="CF235" s="5">
        <f>CF23*CE235+CG23*CE235+CF24*CE235+CG24*CE235+CF25*CE235+CG25*CE235+CF26*CE235+CG26*CE235+CF5*CE235+CG5*CE235+CF6*CE235+CG6*CE235+CF7*CE235+CG7*CE235+CF8*CE235+CG8*CE235+CF9*CE235+CG9*CE235+CF10*CE235+CG10*CE235+CF11*CE235+CG11*CE235+CF12*CE235+CG12*CE235+CF13*CE235+CG13*CE235+CF14*CE235+CG14*CE235+CF15*CE235+CG15*CE235+CF16*CE235+CG16*CE235+CF17*CE235+CG17*CE235+CF18*CE235+CG18*CE235+CF19*CE235+CG19*CE235+CF20*CE235+CG20*CE235+CF21*CE235+CG21*CE235+CF22*CE235+CG22*CE235</f>
        <v>0</v>
      </c>
      <c r="CG235" s="12"/>
      <c r="CI235" s="13">
        <v>20</v>
      </c>
      <c r="CJ235" s="5">
        <f>CJ23*CI235+CK23*CI235+CJ24*CI235+CK24*CI235+CJ25*CI235+CK25*CI235+CJ26*CI235+CK26*CI235+CJ5*CI235+CK5*CI235+CJ6*CI235+CK6*CI235+CJ7*CI235+CK7*CI235+CJ8*CI235+CK8*CI235+CJ9*CI235+CK9*CI235+CJ10*CI235+CK10*CI235+CJ11*CI235+CK11*CI235+CJ12*CI235+CK12*CI235+CJ13*CI235+CK13*CI235+CJ14*CI235+CK14*CI235+CJ15*CI235+CK15*CI235+CJ16*CI235+CK16*CI235+CJ17*CI235+CK17*CI235+CJ18*CI235+CK18*CI235+CJ19*CI235+CK19*CI235+CJ20*CI235+CK20*CI235+CJ21*CI235+CK21*CI235+CJ22*CI235+CK22*CI235</f>
        <v>0</v>
      </c>
      <c r="CK235" s="12"/>
      <c r="CM235" s="13">
        <v>20</v>
      </c>
      <c r="CN235" s="5">
        <f>CN23*CM235+CO23*CM235+CN24*CM235+CO24*CM235+CN25*CM235+CO25*CM235+CN26*CM235+CO26*CM235+CN5*CM235+CO5*CM235+CN6*CM235+CO6*CM235+CN7*CM235+CO7*CM235+CN8*CM235+CO8*CM235+CN9*CM235+CO9*CM235+CN10*CM235+CO10*CM235+CN11*CM235+CO11*CM235+CN12*CM235+CO12*CM235+CN13*CM235+CO13*CM235+CN14*CM235+CO14*CM235+CN15*CM235+CO15*CM235+CN16*CM235+CO16*CM235+CN17*CM235+CO17*CM235+CN18*CM235+CO18*CM235+CN19*CM235+CO19*CM235+CN20*CM235+CO20*CM235+CN21*CM235+CO21*CM235+CN22*CM235+CO22*CM235</f>
        <v>0</v>
      </c>
      <c r="CO235" s="12"/>
      <c r="CQ235" s="13">
        <v>20</v>
      </c>
      <c r="CR235" s="5">
        <f>CR23*CQ235+CS23*CQ235+CR24*CQ235+CS24*CQ235+CR25*CQ235+CS25*CQ235+CR26*CQ235+CS26*CQ235+CR5*CQ235+CS5*CQ235+CR6*CQ235+CS6*CQ235+CR7*CQ235+CS7*CQ235+CR8*CQ235+CS8*CQ235+CR9*CQ235+CS9*CQ235+CR10*CQ235+CS10*CQ235+CR11*CQ235+CS11*CQ235+CR12*CQ235+CS12*CQ235+CR13*CQ235+CS13*CQ235+CR14*CQ235+CS14*CQ235+CR15*CQ235+CS15*CQ235+CR16*CQ235+CS16*CQ235+CR17*CQ235+CS17*CQ235+CR18*CQ235+CS18*CQ235+CR19*CQ235+CS19*CQ235+CR20*CQ235+CS20*CQ235+CR21*CQ235+CS21*CQ235+CR22*CQ235+CS22*CQ235</f>
        <v>0</v>
      </c>
      <c r="CS235" s="12"/>
      <c r="CU235" s="13">
        <v>25</v>
      </c>
      <c r="CV235" s="5">
        <f>CV23*CU235+CW23*CU235+CV24*CU235+CW24*CU235+CV25*CU235+CW25*CU235+CV26*CU235+CW26*CU235+CV5*CU235+CW5*CU235+CV6*CU235+CW6*CU235+CV7*CU235+CW7*CU235+CV8*CU235+CW8*CU235+CV9*CU235+CW9*CU235+CV10*CU235+CW10*CU235+CV11*CU235+CW11*CU235+CV12*CU235+CW12*CU235+CV13*CU235+CW13*CU235+CV14*CU235+CW14*CU235+CV15*CU235+CW15*CU235+CV16*CU235+CW16*CU235+CV17*CU235+CW17*CU235+CV18*CU235+CW18*CU235+CV19*CU235+CW19*CU235+CV20*CU235+CW20*CU235+CV21*CU235+CW21*CU235+CV22*CU235+CW22*CU235</f>
        <v>0</v>
      </c>
      <c r="CW235" s="12"/>
      <c r="CY235" s="13">
        <v>25</v>
      </c>
      <c r="CZ235" s="5">
        <f>CZ23*CY235+DA23*CY235+CZ24*CY235+DA24*CY235+CZ25*CY235+DA25*CY235+CZ26*CY235+DA26*CY235+CZ5*CY235+DA5*CY235+CZ6*CY235+DA6*CY235+CZ7*CY235+DA7*CY235+CZ8*CY235+DA8*CY235+CZ9*CY235+DA9*CY235+CZ10*CY235+DA10*CY235+CZ11*CY235+DA11*CY235+CZ12*CY235+DA12*CY235+CZ13*CY235+DA13*CY235+CZ14*CY235+DA14*CY235+CZ15*CY235+DA15*CY235+CZ16*CY235+DA16*CY235+CZ17*CY235+DA17*CY235+CZ18*CY235+DA18*CY235+CZ19*CY235+DA19*CY235+CZ20*CY235+DA20*CY235+CZ21*CY235+DA21*CY235+CZ22*CY235+DA22*CY235</f>
        <v>0</v>
      </c>
      <c r="DA235" s="12"/>
      <c r="DC235" s="13">
        <v>25</v>
      </c>
      <c r="DD235" s="5">
        <f>DD23*DC235+DE23*DC235+DD24*DC235+DE24*DC235+DD25*DC235+DE25*DC235+DD26*DC235+DE26*DC235+DD5*DC235+DE5*DC235+DD6*DC235+DE6*DC235+DD7*DC235+DE7*DC235+DD8*DC235+DE8*DC235+DD9*DC235+DE9*DC235+DD10*DC235+DE10*DC235+DD11*DC235+DE11*DC235+DD12*DC235+DE12*DC235+DD13*DC235+DE13*DC235+DD14*DC235+DE14*DC235+DD15*DC235+DE15*DC235+DD16*DC235+DE16*DC235+DD17*DC235+DE17*DC235+DD18*DC235+DE18*DC235+DD19*DC235+DE19*DC235+DD20*DC235+DE20*DC235+DD21*DC235+DE21*DC235+DD22*DC235+DE22*DC235</f>
        <v>0</v>
      </c>
      <c r="DE235" s="12"/>
      <c r="DG235" s="13">
        <v>25</v>
      </c>
      <c r="DH235" s="5">
        <f>DH23*DG235+DI23*DG235+DH24*DG235+DI24*DG235+DH25*DG235+DI25*DG235+DH26*DG235+DI26*DG235+DH5*DG235+DI5*DG235+DH6*DG235+DI6*DG235+DH7*DG235+DI7*DG235+DH8*DG235+DI8*DG235+DH9*DG235+DI9*DG235+DH10*DG235+DI10*DG235+DH11*DG235+DI11*DG235+DH12*DG235+DI12*DG235+DH13*DG235+DI13*DG235+DH14*DG235+DI14*DG235+DH15*DG235+DI15*DG235+DH16*DG235+DI16*DG235+DH17*DG235+DI17*DG235+DH18*DG235+DI18*DG235+DH19*DG235+DI19*DG235+DH20*DG235+DI20*DG235+DH21*DG235+DI21*DG235+DH22*DG235+DI22*DG235</f>
        <v>0</v>
      </c>
      <c r="DI235" s="12"/>
      <c r="DK235" s="13">
        <v>25</v>
      </c>
      <c r="DL235" s="5">
        <f>DL23*DK235+DM23*DK235+DL24*DK235+DM24*DK235+DL25*DK235+DM25*DK235+DL26*DK235+DM26*DK235+DL5*DK235+DM5*DK235+DL6*DK235+DM6*DK235+DL7*DK235+DM7*DK235+DL8*DK235+DM8*DK235+DL9*DK235+DM9*DK235+DL10*DK235+DM10*DK235+DL11*DK235+DM11*DK235+DL12*DK235+DM12*DK235+DL13*DK235+DM13*DK235+DL14*DK235+DM14*DK235+DL15*DK235+DM15*DK235+DL16*DK235+DM16*DK235+DL17*DK235+DM17*DK235+DL18*DK235+DM18*DK235+DL19*DK235+DM19*DK235+DL20*DK235+DM20*DK235+DL21*DK235+DM21*DK235+DL22*DK235+DM22*DK235</f>
        <v>0</v>
      </c>
      <c r="DM235" s="12"/>
      <c r="DO235" s="13">
        <v>25</v>
      </c>
      <c r="DP235" s="5">
        <f>DP23*DO235+DQ23*DO235+DP24*DO235+DQ24*DO235+DP25*DO235+DQ25*DO235+DP26*DO235+DQ26*DO235+DP5*DO235+DQ5*DO235+DP6*DO235+DQ6*DO235+DP7*DO235+DQ7*DO235+DP8*DO235+DQ8*DO235+DP9*DO235+DQ9*DO235+DP10*DO235+DQ10*DO235+DP11*DO235+DQ11*DO235+DP12*DO235+DQ12*DO235+DP13*DO235+DQ13*DO235+DP14*DO235+DQ14*DO235+DP15*DO235+DQ15*DO235+DP16*DO235+DQ16*DO235+DP17*DO235+DQ17*DO235+DP18*DO235+DQ18*DO235+DP19*DO235+DQ19*DO235+DP20*DO235+DQ20*DO235+DP21*DO235+DQ21*DO235+DP22*DO235+DQ22*DO235</f>
        <v>0</v>
      </c>
      <c r="DQ235" s="12"/>
      <c r="DS235" s="1336">
        <f t="shared" si="3"/>
        <v>0</v>
      </c>
      <c r="DT235" s="121">
        <f>EXTRAS!D99</f>
        <v>0</v>
      </c>
      <c r="DU235" s="112">
        <f>EXTRAS!E99</f>
        <v>0</v>
      </c>
      <c r="DX235" s="203">
        <f t="shared" si="4"/>
        <v>0</v>
      </c>
      <c r="DZ235" s="924"/>
      <c r="EH235" s="924"/>
    </row>
    <row r="236" spans="1:138" s="6" customFormat="1" ht="15" customHeight="1">
      <c r="A236" s="3">
        <v>82</v>
      </c>
      <c r="B236" s="210" t="s">
        <v>154</v>
      </c>
      <c r="C236" s="473" t="s">
        <v>515</v>
      </c>
      <c r="D236" s="4"/>
      <c r="E236" s="5"/>
      <c r="F236" s="5"/>
      <c r="G236" s="4"/>
      <c r="H236" s="4"/>
      <c r="I236" s="4"/>
      <c r="J236" s="4"/>
      <c r="K236" s="5"/>
      <c r="L236" s="5"/>
      <c r="M236" s="5"/>
      <c r="O236" s="5"/>
      <c r="P236" s="5"/>
      <c r="Q236" s="5"/>
      <c r="S236" s="5"/>
      <c r="T236" s="5"/>
      <c r="U236" s="5"/>
      <c r="W236" s="5"/>
      <c r="X236" s="5"/>
      <c r="Y236" s="12"/>
      <c r="AA236" s="13"/>
      <c r="AB236" s="12"/>
      <c r="AD236" s="13"/>
      <c r="AE236" s="5"/>
      <c r="AF236" s="5"/>
      <c r="AH236" s="13"/>
      <c r="AI236" s="5"/>
      <c r="AK236" s="5"/>
      <c r="AL236" s="5"/>
      <c r="AM236" s="5"/>
      <c r="AO236" s="5"/>
      <c r="AP236" s="5"/>
      <c r="AR236" s="5"/>
      <c r="AS236" s="5"/>
      <c r="AT236" s="5"/>
      <c r="AV236" s="5"/>
      <c r="AW236" s="5"/>
      <c r="AY236" s="5"/>
      <c r="AZ236" s="5"/>
      <c r="BA236" s="5"/>
      <c r="BC236" s="5"/>
      <c r="BD236" s="5"/>
      <c r="BF236" s="5"/>
      <c r="BG236" s="5"/>
      <c r="BH236" s="5"/>
      <c r="BJ236" s="5"/>
      <c r="BK236" s="5"/>
      <c r="BL236" s="12"/>
      <c r="BM236" s="5"/>
      <c r="BN236" s="5"/>
      <c r="BO236" s="5"/>
      <c r="BQ236" s="5"/>
      <c r="BR236" s="5"/>
      <c r="BT236" s="5"/>
      <c r="BU236" s="5"/>
      <c r="BV236" s="5"/>
      <c r="BX236" s="5"/>
      <c r="BY236" s="5"/>
      <c r="CA236" s="13"/>
      <c r="CB236" s="7"/>
      <c r="CC236" s="11"/>
      <c r="CE236" s="13"/>
      <c r="CF236" s="5">
        <f>CF24*CE236+CG24*CE236+CF25*CE236+CG25*CE236+CF26*CE236+CG26*CE236+CF5*CE236+CG5*CE236+CF6*CE236+CG6*CE236+CF7*CE236+CG7*CE236+CF8*CE236+CG8*CE236+CF9*CE236+CG9*CE236+CF10*CE236+CG10*CE236+CF11*CE236+CG11*CE236+CF12*CE236+CG12*CE236+CF13*CE236+CG13*CE236+CF14*CE236+CG14*CE236+CF15*CE236+CG15*CE236+CF16*CE236+CG16*CE236+CF17*CE236+CG17*CE236+CF18*CE236+CG18*CE236+CF19*CE236+CG19*CE236+CF20*CE236+CG20*CE236+CF21*CE236+CG21*CE236+CF22*CE236+CG22*CE236+CF23*CE236+CG23*CE236</f>
        <v>0</v>
      </c>
      <c r="CG236" s="12"/>
      <c r="CI236" s="13"/>
      <c r="CJ236" s="5">
        <f>CJ24*CI236+CK24*CI236+CJ25*CI236+CK25*CI236+CJ26*CI236+CK26*CI236+CJ5*CI236+CK5*CI236+CJ6*CI236+CK6*CI236+CJ7*CI236+CK7*CI236+CJ8*CI236+CK8*CI236+CJ9*CI236+CK9*CI236+CJ10*CI236+CK10*CI236+CJ11*CI236+CK11*CI236+CJ12*CI236+CK12*CI236+CJ13*CI236+CK13*CI236+CJ14*CI236+CK14*CI236+CJ15*CI236+CK15*CI236+CJ16*CI236+CK16*CI236+CJ17*CI236+CK17*CI236+CJ18*CI236+CK18*CI236+CJ19*CI236+CK19*CI236+CJ20*CI236+CK20*CI236+CJ21*CI236+CK21*CI236+CJ22*CI236+CK22*CI236+CJ23*CI236+CK23*CI236</f>
        <v>0</v>
      </c>
      <c r="CK236" s="12"/>
      <c r="CM236" s="13"/>
      <c r="CN236" s="5">
        <f>CN24*CM236+CO24*CM236+CN25*CM236+CO25*CM236+CN26*CM236+CO26*CM236+CN5*CM236+CO5*CM236+CN6*CM236+CO6*CM236+CN7*CM236+CO7*CM236+CN8*CM236+CO8*CM236+CN9*CM236+CO9*CM236+CN10*CM236+CO10*CM236+CN11*CM236+CO11*CM236+CN12*CM236+CO12*CM236+CN13*CM236+CO13*CM236+CN14*CM236+CO14*CM236+CN15*CM236+CO15*CM236+CN16*CM236+CO16*CM236+CN17*CM236+CO17*CM236+CN18*CM236+CO18*CM236+CN19*CM236+CO19*CM236+CN20*CM236+CO20*CM236+CN21*CM236+CO21*CM236+CN22*CM236+CO22*CM236+CN23*CM236+CO23*CM236</f>
        <v>0</v>
      </c>
      <c r="CO236" s="12"/>
      <c r="CQ236" s="13"/>
      <c r="CR236" s="5">
        <f>CR24*CQ236+CS24*CQ236+CR25*CQ236+CS25*CQ236+CR26*CQ236+CS26*CQ236+CR5*CQ236+CS5*CQ236+CR6*CQ236+CS6*CQ236+CR7*CQ236+CS7*CQ236+CR8*CQ236+CS8*CQ236+CR9*CQ236+CS9*CQ236+CR10*CQ236+CS10*CQ236+CR11*CQ236+CS11*CQ236+CR12*CQ236+CS12*CQ236+CR13*CQ236+CS13*CQ236+CR14*CQ236+CS14*CQ236+CR15*CQ236+CS15*CQ236+CR16*CQ236+CS16*CQ236+CR17*CQ236+CS17*CQ236+CR18*CQ236+CS18*CQ236+CR19*CQ236+CS19*CQ236+CR20*CQ236+CS20*CQ236+CR21*CQ236+CS21*CQ236+CR22*CQ236+CS22*CQ236+CR23*CQ236+CS23*CQ236</f>
        <v>0</v>
      </c>
      <c r="CS236" s="12"/>
      <c r="CU236" s="13"/>
      <c r="CV236" s="5">
        <f>CV24*CU236+CW24*CU236+CV25*CU236+CW25*CU236+CV26*CU236+CW26*CU236+CV5*CU236+CW5*CU236+CV6*CU236+CW6*CU236+CV7*CU236+CW7*CU236+CV8*CU236+CW8*CU236+CV9*CU236+CW9*CU236+CV10*CU236+CW10*CU236+CV11*CU236+CW11*CU236+CV12*CU236+CW12*CU236+CV13*CU236+CW13*CU236+CV14*CU236+CW14*CU236+CV15*CU236+CW15*CU236+CV16*CU236+CW16*CU236+CV17*CU236+CW17*CU236+CV18*CU236+CW18*CU236+CV19*CU236+CW19*CU236+CV20*CU236+CW20*CU236+CV21*CU236+CW21*CU236+CV22*CU236+CW22*CU236+CV23*CU236+CW23*CU236</f>
        <v>0</v>
      </c>
      <c r="CW236" s="12"/>
      <c r="CY236" s="13"/>
      <c r="CZ236" s="5">
        <f>CZ24*CY236+DA24*CY236+CZ25*CY236+DA25*CY236+CZ26*CY236+DA26*CY236+CZ5*CY236+DA5*CY236+CZ6*CY236+DA6*CY236+CZ7*CY236+DA7*CY236+CZ8*CY236+DA8*CY236+CZ9*CY236+DA9*CY236+CZ10*CY236+DA10*CY236+CZ11*CY236+DA11*CY236+CZ12*CY236+DA12*CY236+CZ13*CY236+DA13*CY236+CZ14*CY236+DA14*CY236+CZ15*CY236+DA15*CY236+CZ16*CY236+DA16*CY236+CZ17*CY236+DA17*CY236+CZ18*CY236+DA18*CY236+CZ19*CY236+DA19*CY236+CZ20*CY236+DA20*CY236+CZ21*CY236+DA21*CY236+CZ22*CY236+DA22*CY236+CZ23*CY236+DA23*CY236</f>
        <v>0</v>
      </c>
      <c r="DA236" s="12"/>
      <c r="DC236" s="13"/>
      <c r="DD236" s="5">
        <f>DD24*DC236+DE24*DC236+DD25*DC236+DE25*DC236+DD26*DC236+DE26*DC236+DD5*DC236+DE5*DC236+DD6*DC236+DE6*DC236+DD7*DC236+DE7*DC236+DD8*DC236+DE8*DC236+DD9*DC236+DE9*DC236+DD10*DC236+DE10*DC236+DD11*DC236+DE11*DC236+DD12*DC236+DE12*DC236+DD13*DC236+DE13*DC236+DD14*DC236+DE14*DC236+DD15*DC236+DE15*DC236+DD16*DC236+DE16*DC236+DD17*DC236+DE17*DC236+DD18*DC236+DE18*DC236+DD19*DC236+DE19*DC236+DD20*DC236+DE20*DC236+DD21*DC236+DE21*DC236+DD22*DC236+DE22*DC236+DD23*DC236+DE23*DC236</f>
        <v>0</v>
      </c>
      <c r="DE236" s="12"/>
      <c r="DG236" s="13"/>
      <c r="DH236" s="5">
        <f>DH24*DG236+DI24*DG236+DH25*DG236+DI25*DG236+DH26*DG236+DI26*DG236+DH5*DG236+DI5*DG236+DH6*DG236+DI6*DG236+DH7*DG236+DI7*DG236+DH8*DG236+DI8*DG236+DH9*DG236+DI9*DG236+DH10*DG236+DI10*DG236+DH11*DG236+DI11*DG236+DH12*DG236+DI12*DG236+DH13*DG236+DI13*DG236+DH14*DG236+DI14*DG236+DH15*DG236+DI15*DG236+DH16*DG236+DI16*DG236+DH17*DG236+DI17*DG236+DH18*DG236+DI18*DG236+DH19*DG236+DI19*DG236+DH20*DG236+DI20*DG236+DH21*DG236+DI21*DG236+DH22*DG236+DI22*DG236+DH23*DG236+DI23*DG236</f>
        <v>0</v>
      </c>
      <c r="DI236" s="12"/>
      <c r="DK236" s="13"/>
      <c r="DL236" s="5">
        <f>DL24*DK236+DM24*DK236+DL25*DK236+DM25*DK236+DL26*DK236+DM26*DK236+DL5*DK236+DM5*DK236+DL6*DK236+DM6*DK236+DL7*DK236+DM7*DK236+DL8*DK236+DM8*DK236+DL9*DK236+DM9*DK236+DL10*DK236+DM10*DK236+DL11*DK236+DM11*DK236+DL12*DK236+DM12*DK236+DL13*DK236+DM13*DK236+DL14*DK236+DM14*DK236+DL15*DK236+DM15*DK236+DL16*DK236+DM16*DK236+DL17*DK236+DM17*DK236+DL18*DK236+DM18*DK236+DL19*DK236+DM19*DK236+DL20*DK236+DM20*DK236+DL21*DK236+DM21*DK236+DL22*DK236+DM22*DK236+DL23*DK236+DM23*DK236</f>
        <v>0</v>
      </c>
      <c r="DM236" s="12"/>
      <c r="DO236" s="13"/>
      <c r="DP236" s="5">
        <f>DP24*DO236+DQ24*DO236+DP25*DO236+DQ25*DO236+DP26*DO236+DQ26*DO236+DP5*DO236+DQ5*DO236+DP6*DO236+DQ6*DO236+DP7*DO236+DQ7*DO236+DP8*DO236+DQ8*DO236+DP9*DO236+DQ9*DO236+DP10*DO236+DQ10*DO236+DP11*DO236+DQ11*DO236+DP12*DO236+DQ12*DO236+DP13*DO236+DQ13*DO236+DP14*DO236+DQ14*DO236+DP15*DO236+DQ15*DO236+DP16*DO236+DQ16*DO236+DP17*DO236+DQ17*DO236+DP18*DO236+DQ18*DO236+DP19*DO236+DQ19*DO236+DP20*DO236+DQ20*DO236+DP21*DO236+DQ21*DO236+DP22*DO236+DQ22*DO236+DP23*DO236+DQ23*DO236</f>
        <v>0</v>
      </c>
      <c r="DQ236" s="12"/>
      <c r="DS236" s="1336">
        <f t="shared" si="3"/>
        <v>0</v>
      </c>
      <c r="DT236" s="121">
        <f>EXTRAS!D100</f>
        <v>0</v>
      </c>
      <c r="DU236" s="112">
        <f>EXTRAS!E100</f>
        <v>0</v>
      </c>
      <c r="DX236" s="203">
        <f t="shared" si="4"/>
        <v>0</v>
      </c>
      <c r="DZ236" s="924"/>
      <c r="EH236" s="924"/>
    </row>
    <row r="237" spans="1:138" s="6" customFormat="1" ht="15" customHeight="1">
      <c r="A237" s="3">
        <v>83</v>
      </c>
      <c r="B237" s="210" t="s">
        <v>147</v>
      </c>
      <c r="C237" s="473" t="s">
        <v>515</v>
      </c>
      <c r="D237" s="4"/>
      <c r="E237" s="5"/>
      <c r="F237" s="5"/>
      <c r="G237" s="4"/>
      <c r="H237" s="4"/>
      <c r="I237" s="4"/>
      <c r="J237" s="4"/>
      <c r="K237" s="5"/>
      <c r="L237" s="5"/>
      <c r="M237" s="5"/>
      <c r="O237" s="5"/>
      <c r="P237" s="5"/>
      <c r="Q237" s="5"/>
      <c r="S237" s="5"/>
      <c r="T237" s="5"/>
      <c r="U237" s="5"/>
      <c r="W237" s="5"/>
      <c r="X237" s="5"/>
      <c r="Y237" s="12"/>
      <c r="AA237" s="13"/>
      <c r="AB237" s="12"/>
      <c r="AD237" s="13"/>
      <c r="AE237" s="5"/>
      <c r="AF237" s="5"/>
      <c r="AH237" s="13"/>
      <c r="AI237" s="5"/>
      <c r="AK237" s="5"/>
      <c r="AL237" s="5"/>
      <c r="AM237" s="5"/>
      <c r="AO237" s="5"/>
      <c r="AP237" s="5"/>
      <c r="AR237" s="5"/>
      <c r="AS237" s="5"/>
      <c r="AT237" s="5"/>
      <c r="AV237" s="5"/>
      <c r="AW237" s="5"/>
      <c r="AY237" s="5"/>
      <c r="AZ237" s="5"/>
      <c r="BA237" s="5"/>
      <c r="BC237" s="5"/>
      <c r="BD237" s="5"/>
      <c r="BF237" s="5"/>
      <c r="BG237" s="5"/>
      <c r="BH237" s="5"/>
      <c r="BJ237" s="5"/>
      <c r="BK237" s="5"/>
      <c r="BL237" s="12"/>
      <c r="BM237" s="5"/>
      <c r="BN237" s="5"/>
      <c r="BO237" s="5"/>
      <c r="BQ237" s="5"/>
      <c r="BR237" s="5"/>
      <c r="BT237" s="5"/>
      <c r="BU237" s="5"/>
      <c r="BV237" s="5"/>
      <c r="BX237" s="5"/>
      <c r="BY237" s="5"/>
      <c r="CA237" s="13">
        <v>1</v>
      </c>
      <c r="CB237" s="5">
        <f>CB5*CA237+CC5*CA237+CB6*CA237+CC6*CA237+CB7*CA237+CC7*CA237+CB8*CA237+CC8*CA237+CB9*CA237+CC9*CA237+CB10*CA237+CC10*CA237+CB11*CA237+CC11*CA237+CB12*CA237+CC12*CA237+CB13*CA237+CC13*CA237+CB14*CA237+CC14*CA237+CB15*CA237+CC15*CA237+CB16*CA237+CC16*CA237+CB17*CA237+CC17*CA237+CB18*CA237+CC18*CA237+CB19*CA237+CC19*CA237+CB20*CA237+CC20*CA237+CB21*CA237+CC21*CA237+CB22*CA237+CC22*CA237+CB23*CA237+CC23*CA237+CB24*CA237+CC24*CA237+CB25*CA237+CC25*CA237+CB26*CA237+CC26*CA237</f>
        <v>0</v>
      </c>
      <c r="CC237" s="11"/>
      <c r="CE237" s="13"/>
      <c r="CF237" s="5"/>
      <c r="CG237" s="12"/>
      <c r="CI237" s="13"/>
      <c r="CJ237" s="5"/>
      <c r="CK237" s="12"/>
      <c r="CM237" s="13"/>
      <c r="CN237" s="5"/>
      <c r="CO237" s="12"/>
      <c r="CQ237" s="13"/>
      <c r="CR237" s="5"/>
      <c r="CS237" s="12"/>
      <c r="CU237" s="13"/>
      <c r="CV237" s="5"/>
      <c r="CW237" s="12"/>
      <c r="CY237" s="13"/>
      <c r="CZ237" s="5"/>
      <c r="DA237" s="12"/>
      <c r="DC237" s="13"/>
      <c r="DD237" s="5"/>
      <c r="DE237" s="12"/>
      <c r="DG237" s="13"/>
      <c r="DH237" s="5"/>
      <c r="DI237" s="12"/>
      <c r="DK237" s="13"/>
      <c r="DL237" s="5"/>
      <c r="DM237" s="12"/>
      <c r="DO237" s="13"/>
      <c r="DP237" s="5"/>
      <c r="DQ237" s="12"/>
      <c r="DS237" s="1336">
        <f t="shared" si="3"/>
        <v>0</v>
      </c>
      <c r="DT237" s="121">
        <f>EXTRAS!D101</f>
        <v>0</v>
      </c>
      <c r="DU237" s="112">
        <f>EXTRAS!E101</f>
        <v>0</v>
      </c>
      <c r="DX237" s="203">
        <f t="shared" si="4"/>
        <v>0</v>
      </c>
      <c r="DZ237" s="924"/>
      <c r="EH237" s="924"/>
    </row>
    <row r="238" spans="1:138" s="6" customFormat="1" ht="15" customHeight="1">
      <c r="A238" s="3"/>
      <c r="B238" s="210" t="s">
        <v>1509</v>
      </c>
      <c r="C238" s="473" t="s">
        <v>0</v>
      </c>
      <c r="D238" s="4"/>
      <c r="E238" s="5"/>
      <c r="F238" s="5"/>
      <c r="G238" s="4"/>
      <c r="H238" s="4"/>
      <c r="I238" s="4"/>
      <c r="J238" s="4"/>
      <c r="K238" s="5"/>
      <c r="L238" s="5"/>
      <c r="M238" s="5"/>
      <c r="O238" s="5"/>
      <c r="P238" s="5"/>
      <c r="Q238" s="5"/>
      <c r="S238" s="5"/>
      <c r="T238" s="5"/>
      <c r="U238" s="5"/>
      <c r="W238" s="5"/>
      <c r="X238" s="5"/>
      <c r="Y238" s="12"/>
      <c r="AA238" s="13"/>
      <c r="AB238" s="12"/>
      <c r="AD238" s="13"/>
      <c r="AE238" s="5"/>
      <c r="AF238" s="5"/>
      <c r="AH238" s="13"/>
      <c r="AI238" s="5"/>
      <c r="AK238" s="5"/>
      <c r="AL238" s="5"/>
      <c r="AM238" s="5"/>
      <c r="AO238" s="5"/>
      <c r="AP238" s="5"/>
      <c r="AR238" s="5"/>
      <c r="AS238" s="5"/>
      <c r="AT238" s="5"/>
      <c r="AV238" s="5"/>
      <c r="AW238" s="5"/>
      <c r="AY238" s="5"/>
      <c r="AZ238" s="5"/>
      <c r="BA238" s="5"/>
      <c r="BC238" s="5"/>
      <c r="BD238" s="5"/>
      <c r="BF238" s="5"/>
      <c r="BG238" s="5"/>
      <c r="BH238" s="5"/>
      <c r="BJ238" s="5"/>
      <c r="BK238" s="5"/>
      <c r="BL238" s="12"/>
      <c r="BM238" s="5"/>
      <c r="BN238" s="5"/>
      <c r="BO238" s="5"/>
      <c r="BQ238" s="5"/>
      <c r="BR238" s="5"/>
      <c r="BT238" s="5"/>
      <c r="BU238" s="5"/>
      <c r="BV238" s="5"/>
      <c r="BX238" s="5"/>
      <c r="BY238" s="5"/>
      <c r="CA238" s="13"/>
      <c r="CB238" s="7"/>
      <c r="CC238" s="11"/>
      <c r="CE238" s="13"/>
      <c r="CF238" s="5"/>
      <c r="CG238" s="12"/>
      <c r="CI238" s="13"/>
      <c r="CJ238" s="5"/>
      <c r="CK238" s="12"/>
      <c r="CM238" s="13"/>
      <c r="CN238" s="5"/>
      <c r="CO238" s="12"/>
      <c r="CQ238" s="13"/>
      <c r="CR238" s="5"/>
      <c r="CS238" s="12"/>
      <c r="CU238" s="13"/>
      <c r="CV238" s="5"/>
      <c r="CW238" s="12"/>
      <c r="CY238" s="13"/>
      <c r="CZ238" s="5"/>
      <c r="DA238" s="12"/>
      <c r="DC238" s="13"/>
      <c r="DD238" s="5"/>
      <c r="DE238" s="12"/>
      <c r="DG238" s="13"/>
      <c r="DH238" s="5"/>
      <c r="DI238" s="12"/>
      <c r="DK238" s="13"/>
      <c r="DL238" s="5"/>
      <c r="DM238" s="12"/>
      <c r="DO238" s="13"/>
      <c r="DP238" s="5"/>
      <c r="DQ238" s="12"/>
      <c r="DS238" s="1336">
        <f t="shared" si="3"/>
        <v>0</v>
      </c>
      <c r="DT238" s="121">
        <f>EXTRAS!D102</f>
        <v>0</v>
      </c>
      <c r="DU238" s="112">
        <f>EXTRAS!E102</f>
        <v>0</v>
      </c>
      <c r="DX238" s="203">
        <f t="shared" si="4"/>
        <v>0</v>
      </c>
      <c r="DZ238" s="924"/>
      <c r="EH238" s="924"/>
    </row>
    <row r="239" spans="1:138" s="6" customFormat="1" ht="15" customHeight="1">
      <c r="A239" s="3">
        <v>84</v>
      </c>
      <c r="B239" s="210" t="s">
        <v>410</v>
      </c>
      <c r="C239" s="473" t="s">
        <v>515</v>
      </c>
      <c r="D239" s="4"/>
      <c r="E239" s="5"/>
      <c r="F239" s="5"/>
      <c r="G239" s="4"/>
      <c r="H239" s="4"/>
      <c r="I239" s="4"/>
      <c r="J239" s="4"/>
      <c r="K239" s="5"/>
      <c r="L239" s="5"/>
      <c r="M239" s="5"/>
      <c r="O239" s="5"/>
      <c r="P239" s="5"/>
      <c r="Q239" s="5"/>
      <c r="S239" s="5"/>
      <c r="T239" s="5"/>
      <c r="U239" s="5"/>
      <c r="W239" s="5"/>
      <c r="X239" s="5"/>
      <c r="Y239" s="12"/>
      <c r="AA239" s="13"/>
      <c r="AB239" s="12"/>
      <c r="AD239" s="13"/>
      <c r="AE239" s="5"/>
      <c r="AF239" s="5"/>
      <c r="AH239" s="13"/>
      <c r="AI239" s="5"/>
      <c r="AK239" s="5"/>
      <c r="AL239" s="5"/>
      <c r="AM239" s="5"/>
      <c r="AO239" s="5"/>
      <c r="AP239" s="5"/>
      <c r="AR239" s="5"/>
      <c r="AS239" s="5"/>
      <c r="AT239" s="5"/>
      <c r="AV239" s="5"/>
      <c r="AW239" s="5"/>
      <c r="AY239" s="5"/>
      <c r="AZ239" s="5"/>
      <c r="BA239" s="5"/>
      <c r="BC239" s="5"/>
      <c r="BD239" s="5"/>
      <c r="BF239" s="5"/>
      <c r="BG239" s="5"/>
      <c r="BH239" s="5"/>
      <c r="BJ239" s="5"/>
      <c r="BK239" s="5"/>
      <c r="BL239" s="12"/>
      <c r="BM239" s="5"/>
      <c r="BN239" s="5"/>
      <c r="BO239" s="5"/>
      <c r="BQ239" s="5"/>
      <c r="BR239" s="5"/>
      <c r="BT239" s="5"/>
      <c r="BU239" s="5"/>
      <c r="BV239" s="5"/>
      <c r="BX239" s="5"/>
      <c r="BY239" s="5"/>
      <c r="CA239" s="13"/>
      <c r="CB239" s="7"/>
      <c r="CC239" s="11"/>
      <c r="CE239" s="13">
        <v>2</v>
      </c>
      <c r="CF239" s="5">
        <f>CF26*CE239+CG26*CE239+CF5*CE239+CG5*CE239+CF6*CE239+CG6*CE239+CF7*CE239+CG7*CE239+CF8*CE239+CG8*CE239+CF9*CE239+CG9*CE239+CF10*CE239+CG10*CE239+CF11*CE239+CG11*CE239+CF12*CE239+CG12*CE239+CF13*CE239+CG13*CE239+CF14*CE239+CG14*CE239+CF15*CE239+CG15*CE239+CF16*CE239+CG16*CE239+CF17*CE239+CG17*CE239+CF18*CE239+CG18*CE239+CF19*CE239+CG19*CE239+CF20*CE239+CG20*CE239+CF21*CE239+CG21*CE239+CF22*CE239+CG22*CE239+CF23*CE239+CG23*CE239+CF24*CE239+CG24*CE239+CF25*CE239+CG25*CE239</f>
        <v>0</v>
      </c>
      <c r="CG239" s="12"/>
      <c r="CI239" s="13">
        <v>2</v>
      </c>
      <c r="CJ239" s="5">
        <f>CJ26*CI239+CK26*CI239+CJ5*CI239+CK5*CI239+CJ6*CI239+CK6*CI239+CJ7*CI239+CK7*CI239+CJ8*CI239+CK8*CI239+CJ9*CI239+CK9*CI239+CJ10*CI239+CK10*CI239+CJ11*CI239+CK11*CI239+CJ12*CI239+CK12*CI239+CJ13*CI239+CK13*CI239+CJ14*CI239+CK14*CI239+CJ15*CI239+CK15*CI239+CJ16*CI239+CK16*CI239+CJ17*CI239+CK17*CI239+CJ18*CI239+CK18*CI239+CJ19*CI239+CK19*CI239+CJ20*CI239+CK20*CI239+CJ21*CI239+CK21*CI239+CJ22*CI239+CK22*CI239+CJ23*CI239+CK23*CI239+CJ24*CI239+CK24*CI239+CJ25*CI239+CK25*CI239</f>
        <v>0</v>
      </c>
      <c r="CK239" s="12"/>
      <c r="CM239" s="13">
        <v>2</v>
      </c>
      <c r="CN239" s="5">
        <f>CN26*CM239+CO26*CM239+CN5*CM239+CO5*CM239+CN6*CM239+CO6*CM239+CN7*CM239+CO7*CM239+CN8*CM239+CO8*CM239+CN9*CM239+CO9*CM239+CN10*CM239+CO10*CM239+CN11*CM239+CO11*CM239+CN12*CM239+CO12*CM239+CN13*CM239+CO13*CM239+CN14*CM239+CO14*CM239+CN15*CM239+CO15*CM239+CN16*CM239+CO16*CM239+CN17*CM239+CO17*CM239+CN18*CM239+CO18*CM239+CN19*CM239+CO19*CM239+CN20*CM239+CO20*CM239+CN21*CM239+CO21*CM239+CN22*CM239+CO22*CM239+CN23*CM239+CO23*CM239+CN24*CM239+CO24*CM239+CN25*CM239+CO25*CM239</f>
        <v>0</v>
      </c>
      <c r="CO239" s="12"/>
      <c r="CQ239" s="13">
        <v>2</v>
      </c>
      <c r="CR239" s="5">
        <f>CR26*CQ239+CS26*CQ239+CR5*CQ239+CS5*CQ239+CR6*CQ239+CS6*CQ239+CR7*CQ239+CS7*CQ239+CR8*CQ239+CS8*CQ239+CR9*CQ239+CS9*CQ239+CR10*CQ239+CS10*CQ239+CR11*CQ239+CS11*CQ239+CR12*CQ239+CS12*CQ239+CR13*CQ239+CS13*CQ239+CR14*CQ239+CS14*CQ239+CR15*CQ239+CS15*CQ239+CR16*CQ239+CS16*CQ239+CR17*CQ239+CS17*CQ239+CR18*CQ239+CS18*CQ239+CR19*CQ239+CS19*CQ239+CR20*CQ239+CS20*CQ239+CR21*CQ239+CS21*CQ239+CR22*CQ239+CS22*CQ239+CR23*CQ239+CS23*CQ239+CR24*CQ239+CS24*CQ239+CR25*CQ239+CS25*CQ239</f>
        <v>0</v>
      </c>
      <c r="CS239" s="12"/>
      <c r="CU239" s="13">
        <v>2</v>
      </c>
      <c r="CV239" s="5">
        <f>CV26*CU239+CW26*CU239+CV5*CU239+CW5*CU239+CV6*CU239+CW6*CU239+CV7*CU239+CW7*CU239+CV8*CU239+CW8*CU239+CV9*CU239+CW9*CU239+CV10*CU239+CW10*CU239+CV11*CU239+CW11*CU239+CV12*CU239+CW12*CU239+CV13*CU239+CW13*CU239+CV14*CU239+CW14*CU239+CV15*CU239+CW15*CU239+CV16*CU239+CW16*CU239+CV17*CU239+CW17*CU239+CV18*CU239+CW18*CU239+CV19*CU239+CW19*CU239+CV20*CU239+CW20*CU239+CV21*CU239+CW21*CU239+CV22*CU239+CW22*CU239+CV23*CU239+CW23*CU239+CV24*CU239+CW24*CU239+CV25*CU239+CW25*CU239</f>
        <v>0</v>
      </c>
      <c r="CW239" s="12"/>
      <c r="CY239" s="13">
        <v>2</v>
      </c>
      <c r="CZ239" s="5">
        <f>CZ26*CY239+DA26*CY239+CZ5*CY239+DA5*CY239+CZ6*CY239+DA6*CY239+CZ7*CY239+DA7*CY239+CZ8*CY239+DA8*CY239+CZ9*CY239+DA9*CY239+CZ10*CY239+DA10*CY239+CZ11*CY239+DA11*CY239+CZ12*CY239+DA12*CY239+CZ13*CY239+DA13*CY239+CZ14*CY239+DA14*CY239+CZ15*CY239+DA15*CY239+CZ16*CY239+DA16*CY239+CZ17*CY239+DA17*CY239+CZ18*CY239+DA18*CY239+CZ19*CY239+DA19*CY239+CZ20*CY239+DA20*CY239+CZ21*CY239+DA21*CY239+CZ22*CY239+DA22*CY239+CZ23*CY239+DA23*CY239+CZ24*CY239+DA24*CY239+CZ25*CY239+DA25*CY239</f>
        <v>0</v>
      </c>
      <c r="DA239" s="12"/>
      <c r="DC239" s="13">
        <v>2</v>
      </c>
      <c r="DD239" s="5">
        <f>DD26*DC239+DE26*DC239+DD5*DC239+DE5*DC239+DD6*DC239+DE6*DC239+DD7*DC239+DE7*DC239+DD8*DC239+DE8*DC239+DD9*DC239+DE9*DC239+DD10*DC239+DE10*DC239+DD11*DC239+DE11*DC239+DD12*DC239+DE12*DC239+DD13*DC239+DE13*DC239+DD14*DC239+DE14*DC239+DD15*DC239+DE15*DC239+DD16*DC239+DE16*DC239+DD17*DC239+DE17*DC239+DD18*DC239+DE18*DC239+DD19*DC239+DE19*DC239+DD20*DC239+DE20*DC239+DD21*DC239+DE21*DC239+DD22*DC239+DE22*DC239+DD23*DC239+DE23*DC239+DD24*DC239+DE24*DC239+DD25*DC239+DE25*DC239</f>
        <v>0</v>
      </c>
      <c r="DE239" s="12"/>
      <c r="DG239" s="13">
        <v>2</v>
      </c>
      <c r="DH239" s="5">
        <f>DH26*DG239+DI26*DG239+DH5*DG239+DI5*DG239+DH6*DG239+DI6*DG239+DH7*DG239+DI7*DG239+DH8*DG239+DI8*DG239+DH9*DG239+DI9*DG239+DH10*DG239+DI10*DG239+DH11*DG239+DI11*DG239+DH12*DG239+DI12*DG239+DH13*DG239+DI13*DG239+DH14*DG239+DI14*DG239+DH15*DG239+DI15*DG239+DH16*DG239+DI16*DG239+DH17*DG239+DI17*DG239+DH18*DG239+DI18*DG239+DH19*DG239+DI19*DG239+DH20*DG239+DI20*DG239+DH21*DG239+DI21*DG239+DH22*DG239+DI22*DG239+DH23*DG239+DI23*DG239+DH24*DG239+DI24*DG239+DH25*DG239+DI25*DG239</f>
        <v>0</v>
      </c>
      <c r="DI239" s="12"/>
      <c r="DK239" s="13">
        <v>2</v>
      </c>
      <c r="DL239" s="5">
        <f>DL26*DK239+DM26*DK239+DL5*DK239+DM5*DK239+DL6*DK239+DM6*DK239+DL7*DK239+DM7*DK239+DL8*DK239+DM8*DK239+DL9*DK239+DM9*DK239+DL10*DK239+DM10*DK239+DL11*DK239+DM11*DK239+DL12*DK239+DM12*DK239+DL13*DK239+DM13*DK239+DL14*DK239+DM14*DK239+DL15*DK239+DM15*DK239+DL16*DK239+DM16*DK239+DL17*DK239+DM17*DK239+DL18*DK239+DM18*DK239+DL19*DK239+DM19*DK239+DL20*DK239+DM20*DK239+DL21*DK239+DM21*DK239+DL22*DK239+DM22*DK239+DL23*DK239+DM23*DK239+DL24*DK239+DM24*DK239+DL25*DK239+DM25*DK239</f>
        <v>0</v>
      </c>
      <c r="DM239" s="12"/>
      <c r="DO239" s="13">
        <v>2</v>
      </c>
      <c r="DP239" s="5">
        <f>DP26*DO239+DQ26*DO239+DP5*DO239+DQ5*DO239+DP6*DO239+DQ6*DO239+DP7*DO239+DQ7*DO239+DP8*DO239+DQ8*DO239+DP9*DO239+DQ9*DO239+DP10*DO239+DQ10*DO239+DP11*DO239+DQ11*DO239+DP12*DO239+DQ12*DO239+DP13*DO239+DQ13*DO239+DP14*DO239+DQ14*DO239+DP15*DO239+DQ15*DO239+DP16*DO239+DQ16*DO239+DP17*DO239+DQ17*DO239+DP18*DO239+DQ18*DO239+DP19*DO239+DQ19*DO239+DP20*DO239+DQ20*DO239+DP21*DO239+DQ21*DO239+DP22*DO239+DQ22*DO239+DP23*DO239+DQ23*DO239+DP24*DO239+DQ24*DO239+DP25*DO239+DQ25*DO239</f>
        <v>0</v>
      </c>
      <c r="DQ239" s="12"/>
      <c r="DS239" s="1336">
        <f t="shared" si="3"/>
        <v>0</v>
      </c>
      <c r="DT239" s="121">
        <f>EXTRAS!D103</f>
        <v>0</v>
      </c>
      <c r="DU239" s="112">
        <f>EXTRAS!E103</f>
        <v>0</v>
      </c>
      <c r="DX239" s="203">
        <f t="shared" si="4"/>
        <v>0</v>
      </c>
      <c r="DZ239" s="924"/>
      <c r="EH239" s="924"/>
    </row>
    <row r="240" spans="1:138" s="6" customFormat="1" ht="15" customHeight="1">
      <c r="A240" s="3">
        <v>85</v>
      </c>
      <c r="B240" s="210" t="s">
        <v>44</v>
      </c>
      <c r="C240" s="473" t="s">
        <v>515</v>
      </c>
      <c r="D240" s="4"/>
      <c r="E240" s="5"/>
      <c r="F240" s="5"/>
      <c r="G240" s="4"/>
      <c r="H240" s="4"/>
      <c r="I240" s="4"/>
      <c r="J240" s="4"/>
      <c r="K240" s="5"/>
      <c r="L240" s="5"/>
      <c r="M240" s="5"/>
      <c r="O240" s="5"/>
      <c r="P240" s="5"/>
      <c r="Q240" s="5"/>
      <c r="S240" s="5"/>
      <c r="T240" s="5"/>
      <c r="U240" s="5"/>
      <c r="W240" s="5"/>
      <c r="X240" s="5"/>
      <c r="Y240" s="12"/>
      <c r="AA240" s="13"/>
      <c r="AB240" s="12"/>
      <c r="AD240" s="13"/>
      <c r="AE240" s="5"/>
      <c r="AF240" s="5"/>
      <c r="AH240" s="13"/>
      <c r="AI240" s="5"/>
      <c r="AK240" s="5"/>
      <c r="AL240" s="5"/>
      <c r="AM240" s="5"/>
      <c r="AO240" s="5"/>
      <c r="AP240" s="5"/>
      <c r="AR240" s="5"/>
      <c r="AS240" s="5"/>
      <c r="AT240" s="5"/>
      <c r="AV240" s="5"/>
      <c r="AW240" s="5"/>
      <c r="AY240" s="5"/>
      <c r="AZ240" s="5"/>
      <c r="BA240" s="5"/>
      <c r="BC240" s="5"/>
      <c r="BD240" s="5"/>
      <c r="BF240" s="5"/>
      <c r="BG240" s="5"/>
      <c r="BH240" s="5"/>
      <c r="BJ240" s="5"/>
      <c r="BK240" s="5"/>
      <c r="BL240" s="12"/>
      <c r="BM240" s="5"/>
      <c r="BN240" s="5"/>
      <c r="BO240" s="5"/>
      <c r="BQ240" s="5"/>
      <c r="BR240" s="5"/>
      <c r="BT240" s="5"/>
      <c r="BU240" s="5"/>
      <c r="BV240" s="5"/>
      <c r="BX240" s="5"/>
      <c r="BY240" s="5"/>
      <c r="CA240" s="13"/>
      <c r="CB240" s="5"/>
      <c r="CC240" s="11"/>
      <c r="CE240" s="13"/>
      <c r="CF240" s="5"/>
      <c r="CG240" s="12"/>
      <c r="CI240" s="13"/>
      <c r="CJ240" s="5"/>
      <c r="CK240" s="12"/>
      <c r="CM240" s="13"/>
      <c r="CN240" s="5"/>
      <c r="CO240" s="12"/>
      <c r="CQ240" s="13"/>
      <c r="CR240" s="5"/>
      <c r="CS240" s="12"/>
      <c r="CU240" s="13"/>
      <c r="CV240" s="5"/>
      <c r="CW240" s="12"/>
      <c r="CY240" s="13"/>
      <c r="CZ240" s="5"/>
      <c r="DA240" s="12"/>
      <c r="DC240" s="13"/>
      <c r="DD240" s="5"/>
      <c r="DE240" s="12"/>
      <c r="DG240" s="13"/>
      <c r="DH240" s="5"/>
      <c r="DI240" s="12"/>
      <c r="DK240" s="13"/>
      <c r="DL240" s="5"/>
      <c r="DM240" s="12"/>
      <c r="DO240" s="13"/>
      <c r="DP240" s="5"/>
      <c r="DQ240" s="12"/>
      <c r="DS240" s="1336">
        <f t="shared" si="3"/>
        <v>0</v>
      </c>
      <c r="DT240" s="121">
        <f>EXTRAS!D104</f>
        <v>0</v>
      </c>
      <c r="DU240" s="112">
        <f>EXTRAS!E104</f>
        <v>0</v>
      </c>
      <c r="DX240" s="203">
        <f t="shared" si="4"/>
        <v>0</v>
      </c>
      <c r="DZ240" s="924"/>
      <c r="EH240" s="924"/>
    </row>
    <row r="241" spans="1:138" s="6" customFormat="1" ht="15" customHeight="1">
      <c r="A241" s="3">
        <v>86</v>
      </c>
      <c r="B241" s="210" t="s">
        <v>45</v>
      </c>
      <c r="C241" s="473" t="s">
        <v>515</v>
      </c>
      <c r="D241" s="4"/>
      <c r="E241" s="5"/>
      <c r="F241" s="5"/>
      <c r="G241" s="4"/>
      <c r="H241" s="4"/>
      <c r="I241" s="4"/>
      <c r="J241" s="4"/>
      <c r="K241" s="5"/>
      <c r="L241" s="5"/>
      <c r="M241" s="5"/>
      <c r="O241" s="5"/>
      <c r="P241" s="5"/>
      <c r="Q241" s="5"/>
      <c r="S241" s="5"/>
      <c r="T241" s="5"/>
      <c r="U241" s="5"/>
      <c r="W241" s="5"/>
      <c r="X241" s="5"/>
      <c r="Y241" s="12"/>
      <c r="AA241" s="13"/>
      <c r="AB241" s="12"/>
      <c r="AD241" s="13"/>
      <c r="AE241" s="5"/>
      <c r="AF241" s="5"/>
      <c r="AH241" s="13"/>
      <c r="AI241" s="5"/>
      <c r="AK241" s="5"/>
      <c r="AL241" s="5"/>
      <c r="AM241" s="5"/>
      <c r="AO241" s="5"/>
      <c r="AP241" s="5"/>
      <c r="AR241" s="5"/>
      <c r="AS241" s="5"/>
      <c r="AT241" s="5"/>
      <c r="AV241" s="5"/>
      <c r="AW241" s="5"/>
      <c r="AY241" s="5"/>
      <c r="AZ241" s="5"/>
      <c r="BA241" s="5"/>
      <c r="BC241" s="5"/>
      <c r="BD241" s="5"/>
      <c r="BF241" s="5"/>
      <c r="BG241" s="5"/>
      <c r="BH241" s="5"/>
      <c r="BJ241" s="5"/>
      <c r="BK241" s="5"/>
      <c r="BL241" s="12"/>
      <c r="BM241" s="5"/>
      <c r="BN241" s="5"/>
      <c r="BO241" s="5"/>
      <c r="BQ241" s="5"/>
      <c r="BR241" s="5"/>
      <c r="BT241" s="5"/>
      <c r="BU241" s="5"/>
      <c r="BV241" s="5"/>
      <c r="BX241" s="5"/>
      <c r="BY241" s="5"/>
      <c r="CA241" s="13"/>
      <c r="CB241" s="7"/>
      <c r="CC241" s="11"/>
      <c r="CE241" s="13"/>
      <c r="CF241" s="5"/>
      <c r="CG241" s="12"/>
      <c r="CI241" s="13"/>
      <c r="CJ241" s="5"/>
      <c r="CK241" s="12"/>
      <c r="CM241" s="13"/>
      <c r="CN241" s="5"/>
      <c r="CO241" s="12"/>
      <c r="CQ241" s="13"/>
      <c r="CR241" s="5"/>
      <c r="CS241" s="12"/>
      <c r="CU241" s="13"/>
      <c r="CV241" s="5"/>
      <c r="CW241" s="12"/>
      <c r="CY241" s="13"/>
      <c r="CZ241" s="5">
        <f>CZ6*CY241+DA6*CY241+CZ7*CY241+DA7*CY241+CZ8*CY241+DA8*CY241+CZ9*CY241+DA9*CY241+CZ10*CY241+DA10*CY241+CZ11*CY241+DA11*CY241+CZ12*CY241+DA12*CY241+CZ13*CY241+DA13*CY241+CZ14*CY241+DA14*CY241+CZ15*CY241+DA15*CY241+CZ16*CY241+DA16*CY241+CZ17*CY241+DA17*CY241+CZ18*CY241+DA18*CY241+CZ19*CY241+DA19*CY241+CZ20*CY241+DA20*CY241+CZ21*CY241+DA21*CY241+CZ22*CY241+DA22*CY241+CZ23*CY241+DA23*CY241+CZ24*CY241+DA24*CY241+CZ25*CY241+DA25*CY241+CZ26*CY241+DA26*CY241+CZ5*CY241+DA5*CY241</f>
        <v>0</v>
      </c>
      <c r="DA241" s="12"/>
      <c r="DC241" s="13"/>
      <c r="DD241" s="5"/>
      <c r="DE241" s="12"/>
      <c r="DG241" s="13"/>
      <c r="DH241" s="5"/>
      <c r="DI241" s="12"/>
      <c r="DK241" s="13"/>
      <c r="DL241" s="5"/>
      <c r="DM241" s="12"/>
      <c r="DO241" s="13"/>
      <c r="DP241" s="5"/>
      <c r="DQ241" s="12"/>
      <c r="DS241" s="1336">
        <f t="shared" si="3"/>
        <v>0</v>
      </c>
      <c r="DT241" s="121">
        <f>EXTRAS!D105</f>
        <v>0</v>
      </c>
      <c r="DU241" s="112">
        <f>EXTRAS!E105</f>
        <v>0</v>
      </c>
      <c r="DX241" s="203">
        <f t="shared" si="4"/>
        <v>0</v>
      </c>
      <c r="DZ241" s="924"/>
      <c r="EH241" s="924"/>
    </row>
    <row r="242" spans="1:138" s="6" customFormat="1" ht="15" customHeight="1">
      <c r="A242" s="3">
        <v>87</v>
      </c>
      <c r="B242" s="210" t="s">
        <v>46</v>
      </c>
      <c r="C242" s="473" t="s">
        <v>515</v>
      </c>
      <c r="D242" s="4"/>
      <c r="E242" s="5"/>
      <c r="F242" s="5"/>
      <c r="G242" s="4"/>
      <c r="H242" s="4"/>
      <c r="I242" s="4"/>
      <c r="J242" s="4"/>
      <c r="K242" s="5"/>
      <c r="L242" s="5"/>
      <c r="M242" s="5"/>
      <c r="O242" s="5"/>
      <c r="P242" s="5"/>
      <c r="Q242" s="5"/>
      <c r="S242" s="5"/>
      <c r="T242" s="5"/>
      <c r="U242" s="5"/>
      <c r="W242" s="5"/>
      <c r="X242" s="5"/>
      <c r="Y242" s="12"/>
      <c r="AA242" s="13"/>
      <c r="AB242" s="12"/>
      <c r="AD242" s="13"/>
      <c r="AE242" s="5"/>
      <c r="AF242" s="5"/>
      <c r="AH242" s="13"/>
      <c r="AI242" s="5"/>
      <c r="AK242" s="49"/>
      <c r="AL242" s="54">
        <f>IF(SUM($CF$5:$CG$26,$CJ$5:$CK$26)=1,SUM(AL5:AM26)*1,0)</f>
        <v>0</v>
      </c>
      <c r="AM242" s="49"/>
      <c r="AN242" s="51"/>
      <c r="AO242" s="49"/>
      <c r="AP242" s="54">
        <f>IF(SUM($CF$5:$CG$26,$CJ$5:$CK$26)=1,SUM(AP5:AQ26)*1,0)</f>
        <v>0</v>
      </c>
      <c r="AQ242" s="49"/>
      <c r="AR242" s="49"/>
      <c r="AS242" s="49"/>
      <c r="AT242" s="49"/>
      <c r="AU242" s="51"/>
      <c r="AV242" s="49"/>
      <c r="AW242" s="49"/>
      <c r="AX242" s="51"/>
      <c r="AY242" s="49"/>
      <c r="AZ242" s="54">
        <f>IF(SUM($CF$5:$CG$26,$CJ$5:$CK$26)=1,SUM(AZ5:BA26)*1,0)</f>
        <v>0</v>
      </c>
      <c r="BA242" s="49"/>
      <c r="BB242" s="51"/>
      <c r="BC242" s="49"/>
      <c r="BD242" s="54">
        <f>IF(SUM($CF$5:$CG$26,$CJ$5:$CK$26)=1,SUM(BD5:BE26)*1,0)</f>
        <v>0</v>
      </c>
      <c r="BE242" s="49"/>
      <c r="BF242" s="49"/>
      <c r="BG242" s="49"/>
      <c r="BH242" s="49"/>
      <c r="BI242" s="51"/>
      <c r="BJ242" s="49"/>
      <c r="BK242" s="49"/>
      <c r="BL242" s="52"/>
      <c r="BM242" s="49"/>
      <c r="BN242" s="54">
        <f>IF(SUM($CF$5:$CG$26,$CJ$5:$CK$26)=1,SUM(BN5:BO26)*1,0)</f>
        <v>0</v>
      </c>
      <c r="BO242" s="49"/>
      <c r="BP242" s="51"/>
      <c r="BQ242" s="49"/>
      <c r="BR242" s="54">
        <f>IF(SUM($CF$5:$CG$26,$CJ$5:$CK$26)=1,SUM(BR5:BS26)*1,0)</f>
        <v>0</v>
      </c>
      <c r="BS242" s="49"/>
      <c r="BT242" s="49"/>
      <c r="BU242" s="49"/>
      <c r="BV242" s="49"/>
      <c r="BW242" s="51"/>
      <c r="BX242" s="49"/>
      <c r="BY242" s="49"/>
      <c r="BZ242" s="51"/>
      <c r="CA242" s="49"/>
      <c r="CB242" s="54">
        <f>IF(SUM($CF$5:$CG$26,$CJ$5:$CK$26)=1,SUM(CB5:CC26)*3,0)</f>
        <v>0</v>
      </c>
      <c r="CC242" s="49"/>
      <c r="CE242" s="13"/>
      <c r="CF242" s="5"/>
      <c r="CG242" s="12"/>
      <c r="CI242" s="13"/>
      <c r="CJ242" s="5"/>
      <c r="CK242" s="12"/>
      <c r="CM242" s="13"/>
      <c r="CN242" s="5"/>
      <c r="CO242" s="12"/>
      <c r="CQ242" s="13"/>
      <c r="CR242" s="5"/>
      <c r="CS242" s="12"/>
      <c r="CU242" s="13"/>
      <c r="CV242" s="5"/>
      <c r="CW242" s="12"/>
      <c r="CY242" s="13">
        <v>1</v>
      </c>
      <c r="CZ242" s="5">
        <f>CZ6*CY242+DA6*CY242+CZ7*CY242+DA7*CY242+CZ8*CY242+DA8*CY242+CZ9*CY242+DA9*CY242+CZ10*CY242+DA10*CY242+CZ11*CY242+DA11*CY242+CZ12*CY242+DA12*CY242+CZ13*CY242+DA13*CY242+CZ14*CY242+DA14*CY242+CZ15*CY242+DA15*CY242+CZ16*CY242+DA16*CY242+CZ17*CY242+DA17*CY242+CZ18*CY242+DA18*CY242+CZ19*CY242+DA19*CY242+CZ20*CY242+DA20*CY242+CZ21*CY242+DA21*CY242+CZ22*CY242+DA22*CY242+CZ23*CY242+DA23*CY242+CZ24*CY242+DA24*CY242+CZ25*CY242+DA25*CY242+CZ26*CY242+DA26*CY242+CZ5*CY242+DA5*CY242</f>
        <v>0</v>
      </c>
      <c r="DA242" s="12"/>
      <c r="DC242" s="13">
        <v>1</v>
      </c>
      <c r="DD242" s="5">
        <f>DD6*DC242+DE6*DC242+DD7*DC242+DE7*DC242+DD8*DC242+DE8*DC242+DD9*DC242+DE9*DC242+DD10*DC242+DE10*DC242+DD11*DC242+DE11*DC242+DD12*DC242+DE12*DC242+DD13*DC242+DE13*DC242+DD14*DC242+DE14*DC242+DD15*DC242+DE15*DC242+DD16*DC242+DE16*DC242+DD17*DC242+DE17*DC242+DD18*DC242+DE18*DC242+DD19*DC242+DE19*DC242+DD20*DC242+DE20*DC242+DD21*DC242+DE21*DC242+DD22*DC242+DE22*DC242+DD23*DC242+DE23*DC242+DD24*DC242+DE24*DC242+DD25*DC242+DE25*DC242+DD26*DC242+DE26*DC242+DD5*DC242+DE5*DC242</f>
        <v>0</v>
      </c>
      <c r="DE242" s="12"/>
      <c r="DG242" s="13"/>
      <c r="DH242" s="5"/>
      <c r="DI242" s="12"/>
      <c r="DK242" s="13"/>
      <c r="DL242" s="5"/>
      <c r="DM242" s="12"/>
      <c r="DO242" s="13"/>
      <c r="DP242" s="5"/>
      <c r="DQ242" s="12"/>
      <c r="DS242" s="1336">
        <f t="shared" si="3"/>
        <v>0</v>
      </c>
      <c r="DT242" s="121">
        <f>EXTRAS!D106</f>
        <v>0</v>
      </c>
      <c r="DU242" s="112">
        <f>EXTRAS!E106</f>
        <v>0</v>
      </c>
      <c r="DX242" s="203">
        <f t="shared" si="4"/>
        <v>0</v>
      </c>
      <c r="DZ242" s="924"/>
      <c r="EH242" s="924"/>
    </row>
    <row r="243" spans="1:138" s="6" customFormat="1" ht="15" customHeight="1">
      <c r="A243" s="3">
        <v>88</v>
      </c>
      <c r="B243" s="210" t="s">
        <v>47</v>
      </c>
      <c r="C243" s="473" t="s">
        <v>515</v>
      </c>
      <c r="D243" s="4"/>
      <c r="E243" s="5"/>
      <c r="F243" s="5"/>
      <c r="G243" s="4"/>
      <c r="H243" s="4"/>
      <c r="I243" s="4"/>
      <c r="J243" s="4"/>
      <c r="K243" s="5"/>
      <c r="L243" s="5"/>
      <c r="M243" s="5"/>
      <c r="O243" s="5"/>
      <c r="P243" s="5"/>
      <c r="Q243" s="5"/>
      <c r="S243" s="5"/>
      <c r="T243" s="5"/>
      <c r="U243" s="5"/>
      <c r="W243" s="5"/>
      <c r="X243" s="5"/>
      <c r="Y243" s="12"/>
      <c r="AA243" s="13"/>
      <c r="AB243" s="12"/>
      <c r="AD243" s="13"/>
      <c r="AE243" s="5"/>
      <c r="AF243" s="5"/>
      <c r="AH243" s="13"/>
      <c r="AI243" s="5"/>
      <c r="AK243" s="49"/>
      <c r="AL243" s="54"/>
      <c r="AM243" s="49"/>
      <c r="AN243" s="51"/>
      <c r="AO243" s="49"/>
      <c r="AP243" s="54"/>
      <c r="AQ243" s="49"/>
      <c r="AR243" s="49"/>
      <c r="AS243" s="49"/>
      <c r="AT243" s="49"/>
      <c r="AU243" s="51"/>
      <c r="AV243" s="49"/>
      <c r="AW243" s="49"/>
      <c r="AX243" s="51"/>
      <c r="AY243" s="49"/>
      <c r="AZ243" s="54"/>
      <c r="BA243" s="49"/>
      <c r="BB243" s="51"/>
      <c r="BC243" s="49"/>
      <c r="BD243" s="54"/>
      <c r="BE243" s="49"/>
      <c r="BF243" s="49"/>
      <c r="BG243" s="49"/>
      <c r="BH243" s="49"/>
      <c r="BI243" s="51"/>
      <c r="BJ243" s="49"/>
      <c r="BK243" s="49"/>
      <c r="BL243" s="52"/>
      <c r="BM243" s="49"/>
      <c r="BN243" s="54"/>
      <c r="BO243" s="49"/>
      <c r="BP243" s="51"/>
      <c r="BQ243" s="49"/>
      <c r="BR243" s="54"/>
      <c r="BS243" s="49"/>
      <c r="BT243" s="49"/>
      <c r="BU243" s="49"/>
      <c r="BV243" s="49"/>
      <c r="BW243" s="51"/>
      <c r="BX243" s="49"/>
      <c r="BY243" s="49"/>
      <c r="BZ243" s="51"/>
      <c r="CA243" s="49"/>
      <c r="CB243" s="54"/>
      <c r="CC243" s="49"/>
      <c r="CE243" s="13"/>
      <c r="CF243" s="5"/>
      <c r="CG243" s="12"/>
      <c r="CI243" s="13"/>
      <c r="CJ243" s="5"/>
      <c r="CK243" s="12"/>
      <c r="CM243" s="13"/>
      <c r="CN243" s="5"/>
      <c r="CO243" s="12"/>
      <c r="CQ243" s="13"/>
      <c r="CR243" s="5"/>
      <c r="CS243" s="12"/>
      <c r="CU243" s="13"/>
      <c r="CV243" s="5"/>
      <c r="CW243" s="12"/>
      <c r="CY243" s="13"/>
      <c r="CZ243" s="5"/>
      <c r="DA243" s="12"/>
      <c r="DC243" s="13"/>
      <c r="DD243" s="5"/>
      <c r="DE243" s="12"/>
      <c r="DG243" s="13"/>
      <c r="DH243" s="5">
        <f>DH6*DG243+DI6*DG243+DH7*DG243+DI7*DG243+DH8*DG243+DI8*DG243+DH9*DG243+DI9*DG243+DH10*DG243+DI10*DG243+DH11*DG243+DI11*DG243+DH12*DG243+DI12*DG243+DH13*DG243+DI13*DG243+DH14*DG243+DI14*DG243+DH15*DG243+DI15*DG243+DH16*DG243+DI16*DG243+DH17*DG243+DI17*DG243+DH18*DG243+DI18*DG243+DH19*DG243+DI19*DG243+DH20*DG243+DI20*DG243+DH21*DG243+DI21*DG243+DH22*DG243+DI22*DG243+DH23*DG243+DI23*DG243+DH24*DG243+DI24*DG243+DH25*DG243+DI25*DG243+DH26*DG243+DI26*DG243+DH5*DG243+DI5*DG243</f>
        <v>0</v>
      </c>
      <c r="DI243" s="12"/>
      <c r="DK243" s="13"/>
      <c r="DL243" s="5"/>
      <c r="DM243" s="12"/>
      <c r="DO243" s="13"/>
      <c r="DP243" s="5"/>
      <c r="DQ243" s="12"/>
      <c r="DS243" s="1336">
        <f t="shared" si="3"/>
        <v>0</v>
      </c>
      <c r="DT243" s="121">
        <f>EXTRAS!D107</f>
        <v>0</v>
      </c>
      <c r="DU243" s="112">
        <f>EXTRAS!E107</f>
        <v>0</v>
      </c>
      <c r="DX243" s="203">
        <f t="shared" si="4"/>
        <v>0</v>
      </c>
      <c r="DZ243" s="924"/>
      <c r="EH243" s="924"/>
    </row>
    <row r="244" spans="1:138" s="6" customFormat="1" ht="15" customHeight="1">
      <c r="A244" s="3">
        <v>89</v>
      </c>
      <c r="B244" s="210" t="s">
        <v>489</v>
      </c>
      <c r="C244" s="473" t="s">
        <v>515</v>
      </c>
      <c r="D244" s="4"/>
      <c r="E244" s="5"/>
      <c r="F244" s="5"/>
      <c r="G244" s="4"/>
      <c r="H244" s="4"/>
      <c r="I244" s="4"/>
      <c r="J244" s="4"/>
      <c r="K244" s="5"/>
      <c r="L244" s="5"/>
      <c r="M244" s="5"/>
      <c r="O244" s="5"/>
      <c r="P244" s="5"/>
      <c r="Q244" s="5"/>
      <c r="S244" s="5"/>
      <c r="T244" s="5"/>
      <c r="U244" s="5"/>
      <c r="W244" s="5"/>
      <c r="X244" s="5"/>
      <c r="Y244" s="12"/>
      <c r="AA244" s="13"/>
      <c r="AB244" s="12"/>
      <c r="AD244" s="13"/>
      <c r="AE244" s="5"/>
      <c r="AF244" s="5"/>
      <c r="AH244" s="13"/>
      <c r="AI244" s="5"/>
      <c r="AK244" s="49"/>
      <c r="AL244" s="54">
        <f>IF(SUM($CN$5:$CO$26)=1,SUM(AL5:AM26)*1,0)</f>
        <v>0</v>
      </c>
      <c r="AM244" s="49"/>
      <c r="AN244" s="51"/>
      <c r="AO244" s="49"/>
      <c r="AP244" s="54">
        <f>IF(SUM($CN$5:$CO$26)=1,SUM(AP5:AQ26)*1,0)</f>
        <v>0</v>
      </c>
      <c r="AQ244" s="49"/>
      <c r="AR244" s="49"/>
      <c r="AS244" s="49"/>
      <c r="AT244" s="49"/>
      <c r="AU244" s="51"/>
      <c r="AV244" s="49"/>
      <c r="AW244" s="49"/>
      <c r="AX244" s="51"/>
      <c r="AY244" s="49"/>
      <c r="AZ244" s="54">
        <f>IF(SUM($CN$5:$CO$26)=1,SUM(AZ5:BA26)*1,0)</f>
        <v>0</v>
      </c>
      <c r="BA244" s="49"/>
      <c r="BB244" s="51"/>
      <c r="BC244" s="49"/>
      <c r="BD244" s="54">
        <f>IF(SUM($CN$5:$CO$26)=1,SUM(BD5:BE26)*1,0)</f>
        <v>0</v>
      </c>
      <c r="BE244" s="49"/>
      <c r="BF244" s="49"/>
      <c r="BG244" s="49"/>
      <c r="BH244" s="49"/>
      <c r="BI244" s="51"/>
      <c r="BJ244" s="49"/>
      <c r="BK244" s="49"/>
      <c r="BL244" s="52"/>
      <c r="BM244" s="49"/>
      <c r="BN244" s="54">
        <f>IF(SUM($CN$5:$CO$26)=1,SUM(BN5:BO26)*1,0)</f>
        <v>0</v>
      </c>
      <c r="BO244" s="49"/>
      <c r="BP244" s="51"/>
      <c r="BQ244" s="49"/>
      <c r="BR244" s="54">
        <f>IF(SUM($CN$5:$CO$26)=1,SUM(BR5:BS26)*1,0)</f>
        <v>0</v>
      </c>
      <c r="BS244" s="49"/>
      <c r="BT244" s="49"/>
      <c r="BU244" s="49"/>
      <c r="BV244" s="49"/>
      <c r="BW244" s="51"/>
      <c r="BX244" s="49"/>
      <c r="BY244" s="49"/>
      <c r="BZ244" s="51"/>
      <c r="CA244" s="49"/>
      <c r="CB244" s="54">
        <f>IF(SUM($CN$5:$CO$26)=1,SUM(CB5:CC26)*3,0)</f>
        <v>0</v>
      </c>
      <c r="CC244" s="49"/>
      <c r="CE244" s="13"/>
      <c r="CF244" s="5"/>
      <c r="CG244" s="12"/>
      <c r="CI244" s="13"/>
      <c r="CJ244" s="5"/>
      <c r="CK244" s="12"/>
      <c r="CM244" s="13"/>
      <c r="CN244" s="5"/>
      <c r="CO244" s="12"/>
      <c r="CQ244" s="13"/>
      <c r="CR244" s="5"/>
      <c r="CS244" s="12"/>
      <c r="CU244" s="13"/>
      <c r="CV244" s="5"/>
      <c r="CW244" s="12"/>
      <c r="CY244" s="13"/>
      <c r="CZ244" s="5"/>
      <c r="DA244" s="12"/>
      <c r="DC244" s="13"/>
      <c r="DD244" s="5">
        <f>DD8*DC244+DE8*DC244+DD9*DC244+DE9*DC244+DD10*DC244+DE10*DC244+DD11*DC244+DE11*DC244+DD12*DC244+DE12*DC244+DD13*DC244+DE13*DC244+DD14*DC244+DE14*DC244+DD15*DC244+DE15*DC244+DD16*DC244+DE16*DC244+DD17*DC244+DE17*DC244+DD18*DC244+DE18*DC244+DD19*DC244+DE19*DC244+DD20*DC244+DE20*DC244+DD21*DC244+DE21*DC244+DD22*DC244+DE22*DC244+DD23*DC244+DE23*DC244+DD24*DC244+DE24*DC244+DD25*DC244+DE25*DC244+DD26*DC244+DE26*DC244+DD5*DC244+DE5*DC244+DD6*DC244+DE6*DC244+DD7*DC244+DE7*DC244</f>
        <v>0</v>
      </c>
      <c r="DE244" s="12"/>
      <c r="DG244" s="13">
        <v>1</v>
      </c>
      <c r="DH244" s="5">
        <f>DH6*DG244+DI6*DG244+DH7*DG244+DI7*DG244+DH8*DG244+DI8*DG244+DH9*DG244+DI9*DG244+DH10*DG244+DI10*DG244+DH11*DG244+DI11*DG244+DH12*DG244+DI12*DG244+DH13*DG244+DI13*DG244+DH14*DG244+DI14*DG244+DH15*DG244+DI15*DG244+DH16*DG244+DI16*DG244+DH17*DG244+DI17*DG244+DH18*DG244+DI18*DG244+DH19*DG244+DI19*DG244+DH20*DG244+DI20*DG244+DH21*DG244+DI21*DG244+DH22*DG244+DI22*DG244+DH23*DG244+DI23*DG244+DH24*DG244+DI24*DG244+DH25*DG244+DI25*DG244+DH26*DG244+DI26*DG244+DH5*DG244+DI5*DG244</f>
        <v>0</v>
      </c>
      <c r="DI244" s="12"/>
      <c r="DK244" s="13">
        <v>1</v>
      </c>
      <c r="DL244" s="5"/>
      <c r="DM244" s="12"/>
      <c r="DO244" s="13"/>
      <c r="DP244" s="5"/>
      <c r="DQ244" s="12"/>
      <c r="DS244" s="1336">
        <f t="shared" si="3"/>
        <v>0</v>
      </c>
      <c r="DT244" s="121">
        <f>EXTRAS!D108</f>
        <v>0</v>
      </c>
      <c r="DU244" s="112">
        <f>EXTRAS!E108</f>
        <v>0</v>
      </c>
      <c r="DX244" s="203">
        <f t="shared" si="4"/>
        <v>0</v>
      </c>
      <c r="DZ244" s="924"/>
      <c r="EH244" s="924"/>
    </row>
    <row r="245" spans="1:138" s="6" customFormat="1" ht="15" customHeight="1">
      <c r="A245" s="3">
        <v>90</v>
      </c>
      <c r="B245" s="210" t="s">
        <v>48</v>
      </c>
      <c r="C245" s="473" t="s">
        <v>515</v>
      </c>
      <c r="D245" s="4"/>
      <c r="E245" s="5"/>
      <c r="F245" s="5"/>
      <c r="G245" s="4"/>
      <c r="H245" s="4"/>
      <c r="I245" s="4"/>
      <c r="J245" s="4"/>
      <c r="K245" s="5"/>
      <c r="L245" s="5"/>
      <c r="M245" s="5"/>
      <c r="O245" s="5"/>
      <c r="P245" s="5"/>
      <c r="Q245" s="5"/>
      <c r="S245" s="5"/>
      <c r="T245" s="5"/>
      <c r="U245" s="5"/>
      <c r="W245" s="5"/>
      <c r="X245" s="5"/>
      <c r="Y245" s="12"/>
      <c r="AA245" s="13"/>
      <c r="AB245" s="12"/>
      <c r="AD245" s="13"/>
      <c r="AE245" s="5"/>
      <c r="AF245" s="5"/>
      <c r="AH245" s="13"/>
      <c r="AI245" s="5"/>
      <c r="AK245" s="49"/>
      <c r="AL245" s="54"/>
      <c r="AM245" s="49"/>
      <c r="AN245" s="51"/>
      <c r="AO245" s="49"/>
      <c r="AP245" s="54"/>
      <c r="AQ245" s="49"/>
      <c r="AR245" s="49"/>
      <c r="AS245" s="49"/>
      <c r="AT245" s="49"/>
      <c r="AU245" s="51"/>
      <c r="AV245" s="49"/>
      <c r="AW245" s="49"/>
      <c r="AX245" s="51"/>
      <c r="AY245" s="49"/>
      <c r="AZ245" s="54"/>
      <c r="BA245" s="49"/>
      <c r="BB245" s="51"/>
      <c r="BC245" s="49"/>
      <c r="BD245" s="54"/>
      <c r="BE245" s="49"/>
      <c r="BF245" s="49"/>
      <c r="BG245" s="49"/>
      <c r="BH245" s="49"/>
      <c r="BI245" s="51"/>
      <c r="BJ245" s="49"/>
      <c r="BK245" s="49"/>
      <c r="BL245" s="52"/>
      <c r="BM245" s="49"/>
      <c r="BN245" s="54"/>
      <c r="BO245" s="49"/>
      <c r="BP245" s="51"/>
      <c r="BQ245" s="49"/>
      <c r="BR245" s="54"/>
      <c r="BS245" s="49"/>
      <c r="BT245" s="49"/>
      <c r="BU245" s="49"/>
      <c r="BV245" s="49"/>
      <c r="BW245" s="51"/>
      <c r="BX245" s="49"/>
      <c r="BY245" s="49"/>
      <c r="BZ245" s="51"/>
      <c r="CA245" s="49"/>
      <c r="CB245" s="54"/>
      <c r="CC245" s="49"/>
      <c r="CE245" s="13"/>
      <c r="CF245" s="5"/>
      <c r="CG245" s="12"/>
      <c r="CI245" s="13"/>
      <c r="CJ245" s="5"/>
      <c r="CK245" s="12"/>
      <c r="CM245" s="13"/>
      <c r="CN245" s="5"/>
      <c r="CO245" s="12"/>
      <c r="CQ245" s="13"/>
      <c r="CR245" s="5"/>
      <c r="CS245" s="12"/>
      <c r="CU245" s="13"/>
      <c r="CV245" s="5"/>
      <c r="CW245" s="12"/>
      <c r="CY245" s="13"/>
      <c r="CZ245" s="5"/>
      <c r="DA245" s="12"/>
      <c r="DC245" s="13"/>
      <c r="DD245" s="5"/>
      <c r="DE245" s="12"/>
      <c r="DG245" s="13"/>
      <c r="DH245" s="5"/>
      <c r="DI245" s="12"/>
      <c r="DK245" s="13"/>
      <c r="DL245" s="5">
        <f>DL7*DK245+DM7*DK245+DL8*DK245+DM8*DK245+DL9*DK245+DM9*DK245+DL10*DK245+DM10*DK245+DL11*DK245+DM11*DK245+DL12*DK245+DM12*DK245+DL13*DK245+DM13*DK245+DL14*DK245+DM14*DK245+DL15*DK245+DM15*DK245+DL16*DK245+DM16*DK245+DL17*DK245+DM17*DK245+DL18*DK245+DM18*DK245+DL19*DK245+DM19*DK245+DL20*DK245+DM20*DK245+DL21*DK245+DM21*DK245+DL22*DK245+DM22*DK245+DL23*DK245+DM23*DK245+DL24*DK245+DM24*DK245+DL25*DK245+DM25*DK245+DL26*DK245+DM26*DK245+DL5*DK245+DM5*DK245+DL6*DK245+DM6*DK245</f>
        <v>0</v>
      </c>
      <c r="DM245" s="12"/>
      <c r="DO245" s="13"/>
      <c r="DP245" s="5"/>
      <c r="DQ245" s="12"/>
      <c r="DS245" s="1336">
        <f t="shared" si="3"/>
        <v>0</v>
      </c>
      <c r="DT245" s="121">
        <f>EXTRAS!D109</f>
        <v>0</v>
      </c>
      <c r="DU245" s="112">
        <f>EXTRAS!E109</f>
        <v>0</v>
      </c>
      <c r="DX245" s="203">
        <f t="shared" si="4"/>
        <v>0</v>
      </c>
      <c r="DZ245" s="924"/>
      <c r="EH245" s="924"/>
    </row>
    <row r="246" spans="1:138" s="6" customFormat="1" ht="15" customHeight="1">
      <c r="A246" s="3">
        <v>91</v>
      </c>
      <c r="B246" s="210" t="s">
        <v>49</v>
      </c>
      <c r="C246" s="473" t="s">
        <v>515</v>
      </c>
      <c r="D246" s="4"/>
      <c r="E246" s="5"/>
      <c r="F246" s="5"/>
      <c r="G246" s="4"/>
      <c r="H246" s="4"/>
      <c r="I246" s="4"/>
      <c r="J246" s="4"/>
      <c r="K246" s="5"/>
      <c r="L246" s="5"/>
      <c r="M246" s="5"/>
      <c r="O246" s="5"/>
      <c r="P246" s="5"/>
      <c r="Q246" s="5"/>
      <c r="S246" s="5"/>
      <c r="T246" s="5"/>
      <c r="U246" s="5"/>
      <c r="W246" s="5"/>
      <c r="X246" s="5"/>
      <c r="Y246" s="12"/>
      <c r="AA246" s="13"/>
      <c r="AB246" s="12"/>
      <c r="AD246" s="13"/>
      <c r="AE246" s="5"/>
      <c r="AF246" s="5"/>
      <c r="AH246" s="13"/>
      <c r="AI246" s="5"/>
      <c r="AK246" s="49"/>
      <c r="AL246" s="54"/>
      <c r="AM246" s="49"/>
      <c r="AN246" s="51"/>
      <c r="AO246" s="49"/>
      <c r="AP246" s="54"/>
      <c r="AQ246" s="49"/>
      <c r="AR246" s="49"/>
      <c r="AS246" s="49"/>
      <c r="AT246" s="49"/>
      <c r="AU246" s="51"/>
      <c r="AV246" s="49"/>
      <c r="AW246" s="49"/>
      <c r="AX246" s="51"/>
      <c r="AY246" s="49"/>
      <c r="AZ246" s="54"/>
      <c r="BA246" s="49"/>
      <c r="BB246" s="51"/>
      <c r="BC246" s="49"/>
      <c r="BD246" s="54"/>
      <c r="BE246" s="49"/>
      <c r="BF246" s="49"/>
      <c r="BG246" s="49"/>
      <c r="BH246" s="49"/>
      <c r="BI246" s="51"/>
      <c r="BJ246" s="49"/>
      <c r="BK246" s="49"/>
      <c r="BL246" s="52"/>
      <c r="BM246" s="49"/>
      <c r="BN246" s="54"/>
      <c r="BO246" s="49"/>
      <c r="BP246" s="51"/>
      <c r="BQ246" s="49"/>
      <c r="BR246" s="54"/>
      <c r="BS246" s="49"/>
      <c r="BT246" s="49"/>
      <c r="BU246" s="49"/>
      <c r="BV246" s="49"/>
      <c r="BW246" s="51"/>
      <c r="BX246" s="49"/>
      <c r="BY246" s="49"/>
      <c r="BZ246" s="51"/>
      <c r="CA246" s="49"/>
      <c r="CB246" s="54"/>
      <c r="CC246" s="49"/>
      <c r="CE246" s="13"/>
      <c r="CF246" s="5"/>
      <c r="CG246" s="12"/>
      <c r="CI246" s="13"/>
      <c r="CJ246" s="5"/>
      <c r="CK246" s="12"/>
      <c r="CM246" s="13"/>
      <c r="CN246" s="5"/>
      <c r="CO246" s="12"/>
      <c r="CQ246" s="13"/>
      <c r="CR246" s="5"/>
      <c r="CS246" s="12"/>
      <c r="CU246" s="13"/>
      <c r="CV246" s="5"/>
      <c r="CW246" s="12"/>
      <c r="CY246" s="13"/>
      <c r="CZ246" s="5"/>
      <c r="DA246" s="12"/>
      <c r="DC246" s="13"/>
      <c r="DD246" s="5"/>
      <c r="DE246" s="12"/>
      <c r="DG246" s="13"/>
      <c r="DH246" s="5"/>
      <c r="DI246" s="12"/>
      <c r="DK246" s="13"/>
      <c r="DL246" s="5"/>
      <c r="DM246" s="12"/>
      <c r="DO246" s="13"/>
      <c r="DP246" s="5"/>
      <c r="DQ246" s="12"/>
      <c r="DS246" s="1336">
        <f t="shared" si="3"/>
        <v>0</v>
      </c>
      <c r="DT246" s="121">
        <f>EXTRAS!D110</f>
        <v>0</v>
      </c>
      <c r="DU246" s="112">
        <f>EXTRAS!E110</f>
        <v>0</v>
      </c>
      <c r="DX246" s="203">
        <f t="shared" si="4"/>
        <v>0</v>
      </c>
      <c r="DZ246" s="924"/>
      <c r="EH246" s="924"/>
    </row>
    <row r="247" spans="1:138" s="6" customFormat="1" ht="15" customHeight="1">
      <c r="A247" s="3">
        <v>92</v>
      </c>
      <c r="B247" s="210" t="s">
        <v>488</v>
      </c>
      <c r="C247" s="473" t="s">
        <v>515</v>
      </c>
      <c r="D247" s="4"/>
      <c r="E247" s="5"/>
      <c r="F247" s="5"/>
      <c r="G247" s="4"/>
      <c r="H247" s="4"/>
      <c r="I247" s="4"/>
      <c r="J247" s="4"/>
      <c r="K247" s="5"/>
      <c r="L247" s="5"/>
      <c r="M247" s="5"/>
      <c r="O247" s="5"/>
      <c r="P247" s="5"/>
      <c r="Q247" s="5"/>
      <c r="S247" s="5"/>
      <c r="T247" s="5"/>
      <c r="U247" s="5"/>
      <c r="W247" s="5"/>
      <c r="X247" s="5"/>
      <c r="Y247" s="12"/>
      <c r="AA247" s="13"/>
      <c r="AB247" s="12"/>
      <c r="AD247" s="13"/>
      <c r="AE247" s="5"/>
      <c r="AF247" s="5"/>
      <c r="AH247" s="13"/>
      <c r="AI247" s="5"/>
      <c r="AK247" s="49"/>
      <c r="AL247" s="54">
        <f>IF(SUM($CR$5:$CS$26,$CV$5:$CW$26)=1,SUM(AL5:AM26)*1,0)</f>
        <v>0</v>
      </c>
      <c r="AM247" s="49"/>
      <c r="AN247" s="51"/>
      <c r="AO247" s="49"/>
      <c r="AP247" s="54">
        <f>IF(SUM($CR$5:$CS$26,$CV$5:$CW$26)=1,SUM(AP5:AQ26)*1,0)</f>
        <v>0</v>
      </c>
      <c r="AQ247" s="49"/>
      <c r="AR247" s="49"/>
      <c r="AS247" s="49"/>
      <c r="AT247" s="49"/>
      <c r="AU247" s="51"/>
      <c r="AV247" s="49"/>
      <c r="AW247" s="49"/>
      <c r="AX247" s="51"/>
      <c r="AY247" s="49"/>
      <c r="AZ247" s="54">
        <f>IF(SUM($CR$5:$CS$26,$CV$5:$CW$26)=1,SUM(AZ5:BA26)*1,0)</f>
        <v>0</v>
      </c>
      <c r="BA247" s="49"/>
      <c r="BB247" s="51"/>
      <c r="BC247" s="49"/>
      <c r="BD247" s="54">
        <f>IF(SUM($CR$5:$CS$26,$CV$5:$CW$26)=1,SUM(BD5:BE26)*1,0)</f>
        <v>0</v>
      </c>
      <c r="BE247" s="49"/>
      <c r="BF247" s="49"/>
      <c r="BG247" s="49"/>
      <c r="BH247" s="49"/>
      <c r="BI247" s="51"/>
      <c r="BJ247" s="49"/>
      <c r="BK247" s="49"/>
      <c r="BL247" s="52"/>
      <c r="BM247" s="49"/>
      <c r="BN247" s="54">
        <f>IF(SUM($CR$5:$CS$26,$CV$5:$CW$26)=1,SUM(BN5:BO26)*1,0)</f>
        <v>0</v>
      </c>
      <c r="BO247" s="49"/>
      <c r="BP247" s="51"/>
      <c r="BQ247" s="49"/>
      <c r="BR247" s="54">
        <f>IF(SUM($CR$5:$CS$26,$CV$5:$CW$26)=1,SUM(BR5:BS26)*1,0)</f>
        <v>0</v>
      </c>
      <c r="BS247" s="49"/>
      <c r="BT247" s="49"/>
      <c r="BU247" s="49"/>
      <c r="BV247" s="49"/>
      <c r="BW247" s="51"/>
      <c r="BX247" s="49"/>
      <c r="BY247" s="49"/>
      <c r="BZ247" s="51"/>
      <c r="CA247" s="49"/>
      <c r="CB247" s="54">
        <f>IF(SUM($CR$5:$CS$26,$CV$5:$CW$26)=1,SUM(CB5:CC26)*3,0)</f>
        <v>0</v>
      </c>
      <c r="CC247" s="49"/>
      <c r="CE247" s="13"/>
      <c r="CF247" s="5"/>
      <c r="CG247" s="12"/>
      <c r="CI247" s="13"/>
      <c r="CJ247" s="5"/>
      <c r="CK247" s="12"/>
      <c r="CM247" s="13"/>
      <c r="CN247" s="5"/>
      <c r="CO247" s="12"/>
      <c r="CQ247" s="13"/>
      <c r="CR247" s="5"/>
      <c r="CS247" s="12"/>
      <c r="CU247" s="13"/>
      <c r="CV247" s="5"/>
      <c r="CW247" s="12"/>
      <c r="CY247" s="13"/>
      <c r="CZ247" s="5"/>
      <c r="DA247" s="12"/>
      <c r="DC247" s="13"/>
      <c r="DD247" s="5"/>
      <c r="DE247" s="12"/>
      <c r="DG247" s="13"/>
      <c r="DH247" s="5"/>
      <c r="DI247" s="12"/>
      <c r="DK247" s="13">
        <v>1</v>
      </c>
      <c r="DL247" s="5">
        <f>SUM(DL5:DM26)*DK247</f>
        <v>0</v>
      </c>
      <c r="DM247" s="12"/>
      <c r="DO247" s="13"/>
      <c r="DP247" s="5"/>
      <c r="DQ247" s="12"/>
      <c r="DS247" s="1336">
        <f t="shared" si="3"/>
        <v>0</v>
      </c>
      <c r="DT247" s="121">
        <f>EXTRAS!D111</f>
        <v>0</v>
      </c>
      <c r="DU247" s="112">
        <f>EXTRAS!E111</f>
        <v>0</v>
      </c>
      <c r="DX247" s="203">
        <f t="shared" si="4"/>
        <v>0</v>
      </c>
      <c r="DZ247" s="924"/>
      <c r="EH247" s="924"/>
    </row>
    <row r="248" spans="1:138" s="6" customFormat="1" ht="15" customHeight="1">
      <c r="A248" s="3">
        <v>93</v>
      </c>
      <c r="B248" s="210" t="s">
        <v>250</v>
      </c>
      <c r="C248" s="473" t="s">
        <v>515</v>
      </c>
      <c r="D248" s="4"/>
      <c r="E248" s="5"/>
      <c r="F248" s="5"/>
      <c r="G248" s="4"/>
      <c r="H248" s="4"/>
      <c r="I248" s="4"/>
      <c r="J248" s="4"/>
      <c r="K248" s="5"/>
      <c r="L248" s="5"/>
      <c r="M248" s="5"/>
      <c r="O248" s="5"/>
      <c r="P248" s="5"/>
      <c r="Q248" s="5"/>
      <c r="S248" s="5"/>
      <c r="T248" s="5"/>
      <c r="U248" s="5"/>
      <c r="W248" s="5"/>
      <c r="X248" s="5"/>
      <c r="Y248" s="12"/>
      <c r="AA248" s="13"/>
      <c r="AB248" s="12"/>
      <c r="AD248" s="13"/>
      <c r="AE248" s="5"/>
      <c r="AF248" s="5"/>
      <c r="AH248" s="13"/>
      <c r="AI248" s="5"/>
      <c r="AK248" s="49"/>
      <c r="AL248" s="54"/>
      <c r="AM248" s="49"/>
      <c r="AN248" s="51"/>
      <c r="AO248" s="49"/>
      <c r="AP248" s="54"/>
      <c r="AQ248" s="49"/>
      <c r="AR248" s="49"/>
      <c r="AS248" s="49"/>
      <c r="AT248" s="49"/>
      <c r="AU248" s="51"/>
      <c r="AV248" s="49"/>
      <c r="AW248" s="49"/>
      <c r="AX248" s="51"/>
      <c r="AY248" s="49"/>
      <c r="AZ248" s="54"/>
      <c r="BA248" s="49"/>
      <c r="BB248" s="51"/>
      <c r="BC248" s="49"/>
      <c r="BD248" s="54"/>
      <c r="BE248" s="49"/>
      <c r="BF248" s="49"/>
      <c r="BG248" s="49"/>
      <c r="BH248" s="49"/>
      <c r="BI248" s="51"/>
      <c r="BJ248" s="49"/>
      <c r="BK248" s="49"/>
      <c r="BL248" s="52"/>
      <c r="BM248" s="49"/>
      <c r="BN248" s="54"/>
      <c r="BO248" s="49"/>
      <c r="BP248" s="51"/>
      <c r="BQ248" s="49"/>
      <c r="BR248" s="54"/>
      <c r="BS248" s="49"/>
      <c r="BT248" s="49"/>
      <c r="BU248" s="49"/>
      <c r="BV248" s="49"/>
      <c r="BW248" s="51"/>
      <c r="BX248" s="49"/>
      <c r="BY248" s="49"/>
      <c r="BZ248" s="51"/>
      <c r="CA248" s="49"/>
      <c r="CB248" s="54"/>
      <c r="CC248" s="49"/>
      <c r="CE248" s="13"/>
      <c r="CF248" s="5"/>
      <c r="CG248" s="12"/>
      <c r="CI248" s="13"/>
      <c r="CJ248" s="5"/>
      <c r="CK248" s="12"/>
      <c r="CM248" s="13"/>
      <c r="CN248" s="5"/>
      <c r="CO248" s="12"/>
      <c r="CQ248" s="13"/>
      <c r="CR248" s="5"/>
      <c r="CS248" s="12"/>
      <c r="CU248" s="13"/>
      <c r="CV248" s="5"/>
      <c r="CW248" s="12"/>
      <c r="CY248" s="13"/>
      <c r="CZ248" s="5"/>
      <c r="DA248" s="12"/>
      <c r="DC248" s="13"/>
      <c r="DD248" s="5"/>
      <c r="DE248" s="12"/>
      <c r="DG248" s="13"/>
      <c r="DH248" s="5"/>
      <c r="DI248" s="12"/>
      <c r="DK248" s="13"/>
      <c r="DL248" s="5"/>
      <c r="DM248" s="12"/>
      <c r="DO248" s="13"/>
      <c r="DP248" s="5"/>
      <c r="DQ248" s="12"/>
      <c r="DS248" s="1336">
        <f t="shared" si="3"/>
        <v>0</v>
      </c>
      <c r="DT248" s="121">
        <f>EXTRAS!D112</f>
        <v>0</v>
      </c>
      <c r="DU248" s="112">
        <f>EXTRAS!E112</f>
        <v>0</v>
      </c>
      <c r="DX248" s="203">
        <f t="shared" si="4"/>
        <v>0</v>
      </c>
      <c r="DZ248" s="924"/>
      <c r="EH248" s="924"/>
    </row>
    <row r="249" spans="1:138" s="6" customFormat="1" ht="15" customHeight="1">
      <c r="A249" s="3">
        <v>94</v>
      </c>
      <c r="B249" s="210" t="s">
        <v>50</v>
      </c>
      <c r="C249" s="473" t="s">
        <v>515</v>
      </c>
      <c r="D249" s="4"/>
      <c r="E249" s="5"/>
      <c r="F249" s="5"/>
      <c r="G249" s="4"/>
      <c r="H249" s="4"/>
      <c r="I249" s="4"/>
      <c r="J249" s="4"/>
      <c r="K249" s="5"/>
      <c r="L249" s="5"/>
      <c r="M249" s="5"/>
      <c r="O249" s="5"/>
      <c r="P249" s="5"/>
      <c r="Q249" s="5"/>
      <c r="S249" s="5"/>
      <c r="T249" s="5"/>
      <c r="U249" s="5"/>
      <c r="W249" s="5"/>
      <c r="X249" s="5"/>
      <c r="Y249" s="12"/>
      <c r="AA249" s="13"/>
      <c r="AB249" s="12"/>
      <c r="AD249" s="13"/>
      <c r="AE249" s="5"/>
      <c r="AF249" s="5"/>
      <c r="AH249" s="13"/>
      <c r="AI249" s="5"/>
      <c r="AK249" s="49"/>
      <c r="AL249" s="54"/>
      <c r="AM249" s="49"/>
      <c r="AN249" s="51"/>
      <c r="AO249" s="49"/>
      <c r="AP249" s="54"/>
      <c r="AQ249" s="49"/>
      <c r="AR249" s="49"/>
      <c r="AS249" s="49"/>
      <c r="AT249" s="49"/>
      <c r="AU249" s="51"/>
      <c r="AV249" s="49"/>
      <c r="AW249" s="49"/>
      <c r="AX249" s="51"/>
      <c r="AY249" s="49"/>
      <c r="AZ249" s="54"/>
      <c r="BA249" s="49"/>
      <c r="BB249" s="51"/>
      <c r="BC249" s="49"/>
      <c r="BD249" s="54"/>
      <c r="BE249" s="49"/>
      <c r="BF249" s="49"/>
      <c r="BG249" s="49"/>
      <c r="BH249" s="49"/>
      <c r="BI249" s="51"/>
      <c r="BJ249" s="49"/>
      <c r="BK249" s="49"/>
      <c r="BL249" s="52"/>
      <c r="BM249" s="49"/>
      <c r="BN249" s="54"/>
      <c r="BO249" s="49"/>
      <c r="BP249" s="51"/>
      <c r="BQ249" s="49"/>
      <c r="BR249" s="54"/>
      <c r="BS249" s="49"/>
      <c r="BT249" s="49"/>
      <c r="BU249" s="49"/>
      <c r="BV249" s="49"/>
      <c r="BW249" s="51"/>
      <c r="BX249" s="49"/>
      <c r="BY249" s="49"/>
      <c r="BZ249" s="51"/>
      <c r="CA249" s="49"/>
      <c r="CB249" s="54"/>
      <c r="CC249" s="49"/>
      <c r="CE249" s="13"/>
      <c r="CF249" s="5"/>
      <c r="CG249" s="12"/>
      <c r="CI249" s="13"/>
      <c r="CJ249" s="5"/>
      <c r="CK249" s="12"/>
      <c r="CM249" s="13"/>
      <c r="CN249" s="5"/>
      <c r="CO249" s="12"/>
      <c r="CQ249" s="13"/>
      <c r="CR249" s="5"/>
      <c r="CS249" s="12"/>
      <c r="CU249" s="13"/>
      <c r="CV249" s="5"/>
      <c r="CW249" s="12"/>
      <c r="CY249" s="13"/>
      <c r="CZ249" s="5"/>
      <c r="DA249" s="12"/>
      <c r="DC249" s="13"/>
      <c r="DD249" s="5"/>
      <c r="DE249" s="12"/>
      <c r="DG249" s="13"/>
      <c r="DH249" s="5"/>
      <c r="DI249" s="12"/>
      <c r="DK249" s="13"/>
      <c r="DL249" s="5"/>
      <c r="DM249" s="12"/>
      <c r="DO249" s="13">
        <v>1</v>
      </c>
      <c r="DP249" s="5">
        <f>SUM(DP5:DQ26)*DO249</f>
        <v>0</v>
      </c>
      <c r="DQ249" s="12"/>
      <c r="DS249" s="1336">
        <f t="shared" si="3"/>
        <v>0</v>
      </c>
      <c r="DT249" s="121">
        <f>EXTRAS!D113</f>
        <v>0</v>
      </c>
      <c r="DU249" s="112">
        <f>EXTRAS!E113</f>
        <v>0</v>
      </c>
      <c r="DX249" s="203">
        <f t="shared" si="4"/>
        <v>0</v>
      </c>
      <c r="DZ249" s="924"/>
      <c r="EH249" s="924"/>
    </row>
    <row r="250" spans="1:138" s="6" customFormat="1" ht="15" customHeight="1">
      <c r="A250" s="3">
        <v>95</v>
      </c>
      <c r="B250" s="210" t="s">
        <v>249</v>
      </c>
      <c r="C250" s="473" t="s">
        <v>515</v>
      </c>
      <c r="D250" s="4"/>
      <c r="E250" s="5"/>
      <c r="F250" s="5"/>
      <c r="G250" s="4"/>
      <c r="H250" s="4"/>
      <c r="I250" s="4"/>
      <c r="J250" s="4"/>
      <c r="K250" s="5"/>
      <c r="L250" s="5"/>
      <c r="M250" s="5"/>
      <c r="O250" s="5"/>
      <c r="P250" s="5"/>
      <c r="Q250" s="5"/>
      <c r="S250" s="5"/>
      <c r="T250" s="5"/>
      <c r="U250" s="5"/>
      <c r="W250" s="5"/>
      <c r="X250" s="5"/>
      <c r="Y250" s="12"/>
      <c r="AA250" s="13"/>
      <c r="AB250" s="12"/>
      <c r="AD250" s="13"/>
      <c r="AE250" s="5"/>
      <c r="AF250" s="5"/>
      <c r="AH250" s="13"/>
      <c r="AI250" s="5"/>
      <c r="AK250" s="49"/>
      <c r="AL250" s="54"/>
      <c r="AM250" s="49"/>
      <c r="AN250" s="51"/>
      <c r="AO250" s="49"/>
      <c r="AP250" s="54"/>
      <c r="AQ250" s="49"/>
      <c r="AR250" s="49"/>
      <c r="AS250" s="49"/>
      <c r="AT250" s="49"/>
      <c r="AU250" s="51"/>
      <c r="AV250" s="49"/>
      <c r="AW250" s="49"/>
      <c r="AX250" s="51"/>
      <c r="AY250" s="49"/>
      <c r="AZ250" s="54"/>
      <c r="BA250" s="49"/>
      <c r="BB250" s="51"/>
      <c r="BC250" s="49"/>
      <c r="BD250" s="54"/>
      <c r="BE250" s="49"/>
      <c r="BF250" s="49"/>
      <c r="BG250" s="49"/>
      <c r="BH250" s="49"/>
      <c r="BI250" s="51"/>
      <c r="BJ250" s="49"/>
      <c r="BK250" s="49"/>
      <c r="BL250" s="52"/>
      <c r="BM250" s="49"/>
      <c r="BN250" s="54"/>
      <c r="BO250" s="49"/>
      <c r="BP250" s="51"/>
      <c r="BQ250" s="49"/>
      <c r="BR250" s="54"/>
      <c r="BS250" s="49"/>
      <c r="BT250" s="49"/>
      <c r="BU250" s="49"/>
      <c r="BV250" s="49"/>
      <c r="BW250" s="51"/>
      <c r="BX250" s="49"/>
      <c r="BY250" s="49"/>
      <c r="BZ250" s="51"/>
      <c r="CA250" s="49"/>
      <c r="CB250" s="54"/>
      <c r="CC250" s="49"/>
      <c r="CE250" s="13"/>
      <c r="CF250" s="5"/>
      <c r="CG250" s="12"/>
      <c r="CI250" s="13"/>
      <c r="CJ250" s="5"/>
      <c r="CK250" s="12"/>
      <c r="CM250" s="13"/>
      <c r="CN250" s="5"/>
      <c r="CO250" s="12"/>
      <c r="CQ250" s="13"/>
      <c r="CR250" s="5"/>
      <c r="CS250" s="12"/>
      <c r="CU250" s="13"/>
      <c r="CV250" s="5"/>
      <c r="CW250" s="12"/>
      <c r="CY250" s="13"/>
      <c r="CZ250" s="5"/>
      <c r="DA250" s="12"/>
      <c r="DC250" s="13"/>
      <c r="DD250" s="5"/>
      <c r="DE250" s="12"/>
      <c r="DG250" s="13"/>
      <c r="DH250" s="5"/>
      <c r="DI250" s="12"/>
      <c r="DK250" s="13"/>
      <c r="DL250" s="5"/>
      <c r="DM250" s="12"/>
      <c r="DO250" s="13"/>
      <c r="DP250" s="5"/>
      <c r="DQ250" s="12"/>
      <c r="DS250" s="1336">
        <f t="shared" si="3"/>
        <v>0</v>
      </c>
      <c r="DT250" s="121">
        <f>EXTRAS!D114</f>
        <v>0</v>
      </c>
      <c r="DU250" s="112">
        <f>EXTRAS!E114</f>
        <v>0</v>
      </c>
      <c r="DX250" s="203">
        <f t="shared" si="4"/>
        <v>0</v>
      </c>
      <c r="DZ250" s="924"/>
      <c r="EH250" s="924"/>
    </row>
    <row r="251" spans="1:138" s="6" customFormat="1" ht="15" customHeight="1">
      <c r="A251" s="3">
        <v>96</v>
      </c>
      <c r="B251" s="210" t="s">
        <v>245</v>
      </c>
      <c r="C251" s="473" t="s">
        <v>515</v>
      </c>
      <c r="D251" s="4"/>
      <c r="E251" s="5"/>
      <c r="F251" s="5"/>
      <c r="G251" s="4"/>
      <c r="H251" s="4"/>
      <c r="I251" s="4"/>
      <c r="J251" s="4"/>
      <c r="K251" s="5"/>
      <c r="L251" s="5"/>
      <c r="M251" s="5"/>
      <c r="O251" s="5"/>
      <c r="P251" s="5"/>
      <c r="Q251" s="5"/>
      <c r="S251" s="5"/>
      <c r="T251" s="5"/>
      <c r="U251" s="5"/>
      <c r="W251" s="5"/>
      <c r="X251" s="5"/>
      <c r="Y251" s="12"/>
      <c r="AA251" s="13"/>
      <c r="AB251" s="12"/>
      <c r="AD251" s="13"/>
      <c r="AE251" s="5"/>
      <c r="AF251" s="5"/>
      <c r="AH251" s="13"/>
      <c r="AI251" s="5"/>
      <c r="AK251" s="49"/>
      <c r="AL251" s="54"/>
      <c r="AM251" s="49"/>
      <c r="AN251" s="51"/>
      <c r="AO251" s="49"/>
      <c r="AP251" s="54"/>
      <c r="AQ251" s="49"/>
      <c r="AR251" s="49"/>
      <c r="AS251" s="49"/>
      <c r="AT251" s="49"/>
      <c r="AU251" s="51"/>
      <c r="AV251" s="49"/>
      <c r="AW251" s="49"/>
      <c r="AX251" s="51"/>
      <c r="AY251" s="49"/>
      <c r="AZ251" s="54"/>
      <c r="BA251" s="49"/>
      <c r="BB251" s="51"/>
      <c r="BC251" s="49"/>
      <c r="BD251" s="54"/>
      <c r="BE251" s="49"/>
      <c r="BF251" s="49"/>
      <c r="BG251" s="49"/>
      <c r="BH251" s="49"/>
      <c r="BI251" s="51"/>
      <c r="BJ251" s="49"/>
      <c r="BK251" s="49"/>
      <c r="BL251" s="52"/>
      <c r="BM251" s="49"/>
      <c r="BN251" s="54"/>
      <c r="BO251" s="49"/>
      <c r="BP251" s="51"/>
      <c r="BQ251" s="49"/>
      <c r="BR251" s="54"/>
      <c r="BS251" s="49"/>
      <c r="BT251" s="49"/>
      <c r="BU251" s="49"/>
      <c r="BV251" s="49"/>
      <c r="BW251" s="51"/>
      <c r="BX251" s="49"/>
      <c r="BY251" s="49"/>
      <c r="BZ251" s="51"/>
      <c r="CA251" s="49"/>
      <c r="CB251" s="54"/>
      <c r="CC251" s="49"/>
      <c r="CE251" s="13"/>
      <c r="CF251" s="5"/>
      <c r="CG251" s="12"/>
      <c r="CI251" s="13"/>
      <c r="CJ251" s="5"/>
      <c r="CK251" s="12"/>
      <c r="CM251" s="13"/>
      <c r="CN251" s="5"/>
      <c r="CO251" s="12"/>
      <c r="CQ251" s="13"/>
      <c r="CR251" s="5"/>
      <c r="CS251" s="12"/>
      <c r="CU251" s="13"/>
      <c r="CV251" s="5"/>
      <c r="CW251" s="12"/>
      <c r="CY251" s="13"/>
      <c r="CZ251" s="5"/>
      <c r="DA251" s="12"/>
      <c r="DC251" s="13"/>
      <c r="DD251" s="5"/>
      <c r="DE251" s="12"/>
      <c r="DG251" s="13"/>
      <c r="DH251" s="5"/>
      <c r="DI251" s="12"/>
      <c r="DK251" s="13"/>
      <c r="DL251" s="5"/>
      <c r="DM251" s="12"/>
      <c r="DO251" s="13"/>
      <c r="DP251" s="5"/>
      <c r="DQ251" s="12"/>
      <c r="DS251" s="1336">
        <f t="shared" si="3"/>
        <v>0</v>
      </c>
      <c r="DT251" s="121">
        <f>EXTRAS!D115</f>
        <v>0</v>
      </c>
      <c r="DU251" s="112">
        <f>EXTRAS!E115</f>
        <v>0</v>
      </c>
      <c r="DX251" s="203">
        <f t="shared" si="4"/>
        <v>0</v>
      </c>
      <c r="DZ251" s="924"/>
      <c r="EH251" s="924"/>
    </row>
    <row r="252" spans="1:138" s="6" customFormat="1" ht="15" customHeight="1">
      <c r="A252" s="3">
        <v>97</v>
      </c>
      <c r="B252" s="210" t="s">
        <v>246</v>
      </c>
      <c r="C252" s="473" t="s">
        <v>515</v>
      </c>
      <c r="D252" s="4"/>
      <c r="E252" s="5"/>
      <c r="F252" s="5"/>
      <c r="G252" s="4"/>
      <c r="H252" s="4"/>
      <c r="I252" s="4"/>
      <c r="J252" s="4"/>
      <c r="K252" s="5"/>
      <c r="L252" s="5"/>
      <c r="M252" s="5"/>
      <c r="O252" s="5"/>
      <c r="P252" s="5"/>
      <c r="Q252" s="5"/>
      <c r="S252" s="5"/>
      <c r="T252" s="5"/>
      <c r="U252" s="5"/>
      <c r="W252" s="5"/>
      <c r="X252" s="5"/>
      <c r="Y252" s="12"/>
      <c r="AA252" s="13"/>
      <c r="AB252" s="12"/>
      <c r="AD252" s="13"/>
      <c r="AE252" s="5"/>
      <c r="AF252" s="5"/>
      <c r="AH252" s="13"/>
      <c r="AI252" s="5"/>
      <c r="AK252" s="49"/>
      <c r="AL252" s="49"/>
      <c r="AM252" s="49"/>
      <c r="AN252" s="51"/>
      <c r="AO252" s="49"/>
      <c r="AP252" s="49"/>
      <c r="AQ252" s="49"/>
      <c r="AR252" s="49"/>
      <c r="AS252" s="49"/>
      <c r="AT252" s="49"/>
      <c r="AU252" s="51"/>
      <c r="AV252" s="49"/>
      <c r="AW252" s="49"/>
      <c r="AX252" s="51"/>
      <c r="AY252" s="49"/>
      <c r="AZ252" s="49"/>
      <c r="BA252" s="49"/>
      <c r="BB252" s="51"/>
      <c r="BC252" s="49"/>
      <c r="BD252" s="49"/>
      <c r="BE252" s="49"/>
      <c r="BF252" s="49"/>
      <c r="BG252" s="49"/>
      <c r="BH252" s="49"/>
      <c r="BI252" s="51"/>
      <c r="BJ252" s="49"/>
      <c r="BK252" s="49"/>
      <c r="BL252" s="52"/>
      <c r="BM252" s="49"/>
      <c r="BN252" s="49"/>
      <c r="BO252" s="49"/>
      <c r="BP252" s="51"/>
      <c r="BQ252" s="49"/>
      <c r="BR252" s="49"/>
      <c r="BS252" s="49"/>
      <c r="BT252" s="49"/>
      <c r="BU252" s="49"/>
      <c r="BV252" s="49"/>
      <c r="BW252" s="51"/>
      <c r="BX252" s="49"/>
      <c r="BY252" s="49"/>
      <c r="BZ252" s="51"/>
      <c r="CA252" s="49"/>
      <c r="CB252" s="49"/>
      <c r="CC252" s="49"/>
      <c r="CE252" s="13"/>
      <c r="CF252" s="5"/>
      <c r="CG252" s="12"/>
      <c r="CI252" s="13"/>
      <c r="CJ252" s="5"/>
      <c r="CK252" s="12"/>
      <c r="CM252" s="13"/>
      <c r="CN252" s="5"/>
      <c r="CO252" s="12"/>
      <c r="CQ252" s="13"/>
      <c r="CR252" s="5"/>
      <c r="CS252" s="12"/>
      <c r="CU252" s="13"/>
      <c r="CV252" s="5"/>
      <c r="CW252" s="12"/>
      <c r="CY252" s="13"/>
      <c r="CZ252" s="5"/>
      <c r="DA252" s="12"/>
      <c r="DC252" s="13"/>
      <c r="DD252" s="5"/>
      <c r="DE252" s="12"/>
      <c r="DG252" s="13"/>
      <c r="DH252" s="5"/>
      <c r="DI252" s="12"/>
      <c r="DK252" s="13"/>
      <c r="DL252" s="5"/>
      <c r="DM252" s="12"/>
      <c r="DO252" s="13"/>
      <c r="DP252" s="5"/>
      <c r="DQ252" s="12"/>
      <c r="DS252" s="1336">
        <f t="shared" si="3"/>
        <v>0</v>
      </c>
      <c r="DT252" s="121">
        <f>EXTRAS!D116</f>
        <v>0</v>
      </c>
      <c r="DU252" s="112">
        <f>EXTRAS!E116</f>
        <v>0</v>
      </c>
      <c r="DX252" s="203">
        <f t="shared" si="4"/>
        <v>0</v>
      </c>
      <c r="DZ252" s="924"/>
      <c r="EH252" s="924"/>
    </row>
    <row r="253" spans="1:138" s="6" customFormat="1" ht="15" customHeight="1">
      <c r="A253" s="3">
        <v>98</v>
      </c>
      <c r="B253" s="210" t="s">
        <v>251</v>
      </c>
      <c r="C253" s="473" t="s">
        <v>515</v>
      </c>
      <c r="D253" s="4"/>
      <c r="E253" s="5"/>
      <c r="F253" s="5"/>
      <c r="G253" s="4"/>
      <c r="H253" s="4"/>
      <c r="I253" s="4"/>
      <c r="J253" s="4"/>
      <c r="K253" s="5"/>
      <c r="L253" s="5"/>
      <c r="M253" s="5"/>
      <c r="O253" s="5"/>
      <c r="P253" s="5"/>
      <c r="Q253" s="5"/>
      <c r="S253" s="5"/>
      <c r="T253" s="5"/>
      <c r="U253" s="5"/>
      <c r="W253" s="5"/>
      <c r="X253" s="5"/>
      <c r="Y253" s="12"/>
      <c r="AA253" s="13"/>
      <c r="AB253" s="12"/>
      <c r="AD253" s="13"/>
      <c r="AE253" s="5"/>
      <c r="AF253" s="5"/>
      <c r="AH253" s="13"/>
      <c r="AI253" s="5"/>
      <c r="AK253" s="49"/>
      <c r="AL253" s="49"/>
      <c r="AM253" s="49"/>
      <c r="AN253" s="51"/>
      <c r="AO253" s="49"/>
      <c r="AP253" s="49"/>
      <c r="AQ253" s="49"/>
      <c r="AR253" s="49"/>
      <c r="AS253" s="49"/>
      <c r="AT253" s="49"/>
      <c r="AU253" s="51"/>
      <c r="AV253" s="49"/>
      <c r="AW253" s="49"/>
      <c r="AX253" s="51"/>
      <c r="AY253" s="49"/>
      <c r="AZ253" s="49"/>
      <c r="BA253" s="49"/>
      <c r="BB253" s="51"/>
      <c r="BC253" s="49"/>
      <c r="BD253" s="49"/>
      <c r="BE253" s="49"/>
      <c r="BF253" s="49"/>
      <c r="BG253" s="49"/>
      <c r="BH253" s="49"/>
      <c r="BI253" s="51"/>
      <c r="BJ253" s="49"/>
      <c r="BK253" s="49"/>
      <c r="BL253" s="52"/>
      <c r="BM253" s="49"/>
      <c r="BN253" s="49"/>
      <c r="BO253" s="49"/>
      <c r="BP253" s="51"/>
      <c r="BQ253" s="49"/>
      <c r="BR253" s="49"/>
      <c r="BS253" s="49"/>
      <c r="BT253" s="49"/>
      <c r="BU253" s="49"/>
      <c r="BV253" s="49"/>
      <c r="BW253" s="51"/>
      <c r="BX253" s="49"/>
      <c r="BY253" s="49"/>
      <c r="BZ253" s="51"/>
      <c r="CA253" s="49"/>
      <c r="CB253" s="49"/>
      <c r="CC253" s="49"/>
      <c r="CE253" s="13"/>
      <c r="CF253" s="5"/>
      <c r="CG253" s="12"/>
      <c r="CI253" s="13"/>
      <c r="CJ253" s="5"/>
      <c r="CK253" s="12"/>
      <c r="CM253" s="13"/>
      <c r="CN253" s="5"/>
      <c r="CO253" s="12"/>
      <c r="CQ253" s="13"/>
      <c r="CR253" s="5"/>
      <c r="CS253" s="12"/>
      <c r="CU253" s="13"/>
      <c r="CV253" s="5"/>
      <c r="CW253" s="12"/>
      <c r="CY253" s="13"/>
      <c r="CZ253" s="5"/>
      <c r="DA253" s="12"/>
      <c r="DC253" s="13"/>
      <c r="DD253" s="5"/>
      <c r="DE253" s="12"/>
      <c r="DG253" s="13"/>
      <c r="DH253" s="5"/>
      <c r="DI253" s="12"/>
      <c r="DK253" s="13"/>
      <c r="DL253" s="5"/>
      <c r="DM253" s="12"/>
      <c r="DO253" s="13"/>
      <c r="DP253" s="5"/>
      <c r="DQ253" s="12"/>
      <c r="DS253" s="1336">
        <f t="shared" si="3"/>
        <v>0</v>
      </c>
      <c r="DT253" s="121">
        <f>EXTRAS!D117</f>
        <v>0</v>
      </c>
      <c r="DU253" s="112">
        <f>EXTRAS!E117</f>
        <v>0</v>
      </c>
      <c r="DX253" s="203">
        <f t="shared" si="4"/>
        <v>0</v>
      </c>
      <c r="DZ253" s="924"/>
      <c r="EH253" s="924"/>
    </row>
    <row r="254" spans="1:138" s="6" customFormat="1" ht="15" customHeight="1">
      <c r="A254" s="3">
        <v>99</v>
      </c>
      <c r="B254" s="210" t="s">
        <v>247</v>
      </c>
      <c r="C254" s="473" t="s">
        <v>515</v>
      </c>
      <c r="D254" s="4"/>
      <c r="E254" s="5" t="s">
        <v>1018</v>
      </c>
      <c r="F254" s="5">
        <f>IF(AND($DR$15&gt;=5,$DR$15&lt;=225),SUM(F5:F26)*1,0)</f>
        <v>0</v>
      </c>
      <c r="G254" s="4"/>
      <c r="H254" s="4"/>
      <c r="I254" s="4"/>
      <c r="J254" s="4"/>
      <c r="K254" s="5"/>
      <c r="L254" s="5"/>
      <c r="M254" s="5"/>
      <c r="O254" s="5"/>
      <c r="P254" s="5"/>
      <c r="Q254" s="5"/>
      <c r="S254" s="5"/>
      <c r="T254" s="5"/>
      <c r="U254" s="5"/>
      <c r="W254" s="5"/>
      <c r="X254" s="5"/>
      <c r="Y254" s="12"/>
      <c r="AA254" s="13"/>
      <c r="AB254" s="12"/>
      <c r="AD254" s="13"/>
      <c r="AE254" s="5"/>
      <c r="AF254" s="5"/>
      <c r="AH254" s="13"/>
      <c r="AI254" s="5"/>
      <c r="AK254" s="49" t="s">
        <v>1018</v>
      </c>
      <c r="AL254" s="49">
        <f>IF(AND($DR$5&gt;=5,$DR$5&lt;=225,$DR$6&lt;2),SUM(AL5:AL26,AM5:AM26)*1-SUM(AL242:AL252),0)</f>
        <v>0</v>
      </c>
      <c r="AM254" s="49"/>
      <c r="AN254" s="51"/>
      <c r="AO254" s="49" t="s">
        <v>1018</v>
      </c>
      <c r="AP254" s="49">
        <f>IF(AND($DR$5&gt;=5,$DR$5&lt;=225,$DR$6&lt;2),SUM(AP5:AP26,AQ5:AQ26)*1-SUM(AP242:AP252),0)</f>
        <v>0</v>
      </c>
      <c r="AQ254" s="49"/>
      <c r="AR254" s="49"/>
      <c r="AS254" s="49"/>
      <c r="AT254" s="49"/>
      <c r="AU254" s="51"/>
      <c r="AV254" s="49"/>
      <c r="AW254" s="49"/>
      <c r="AX254" s="51"/>
      <c r="AY254" s="49" t="s">
        <v>1018</v>
      </c>
      <c r="AZ254" s="49">
        <f>IF(AND($DR$5&gt;=5,$DR$5&lt;=225,$DR$6&lt;2),SUM(AZ5:AZ26,BA5:BA26)*1-SUM(AZ242:AZ252),0)</f>
        <v>0</v>
      </c>
      <c r="BA254" s="49"/>
      <c r="BB254" s="51"/>
      <c r="BC254" s="49" t="s">
        <v>1018</v>
      </c>
      <c r="BD254" s="49">
        <f>IF(AND($DR$5&gt;=5,$DR$5&lt;=225,$DR$6&lt;2),SUM(BD5:BD26,BE5:BE26)*1-SUM(BD242:BD252),0)</f>
        <v>0</v>
      </c>
      <c r="BE254" s="49"/>
      <c r="BF254" s="49"/>
      <c r="BG254" s="49"/>
      <c r="BH254" s="49"/>
      <c r="BI254" s="51"/>
      <c r="BJ254" s="49"/>
      <c r="BK254" s="49"/>
      <c r="BL254" s="52"/>
      <c r="BM254" s="49" t="s">
        <v>1018</v>
      </c>
      <c r="BN254" s="49">
        <f>IF(AND($DR$5&gt;=5,$DR$5&lt;=225,$DR$6&lt;2),SUM(BN5:BN26,BO5:BO26)*1-SUM(BN242:BN252),0)</f>
        <v>0</v>
      </c>
      <c r="BO254" s="49"/>
      <c r="BP254" s="51"/>
      <c r="BQ254" s="49" t="s">
        <v>1018</v>
      </c>
      <c r="BR254" s="49">
        <f>IF(AND($DR$5&gt;=5,$DR$5&lt;=225,$DR$6&lt;2),SUM(BR5:BR26,BS5:BS26)*1-SUM(BR242:BR252),0)</f>
        <v>0</v>
      </c>
      <c r="BS254" s="49"/>
      <c r="BT254" s="49"/>
      <c r="BU254" s="49"/>
      <c r="BV254" s="49"/>
      <c r="BW254" s="51"/>
      <c r="BX254" s="49"/>
      <c r="BY254" s="49"/>
      <c r="BZ254" s="51"/>
      <c r="CA254" s="49" t="s">
        <v>1018</v>
      </c>
      <c r="CB254" s="49">
        <f>IF(AND($DR$5&gt;=5,$DR$5&lt;=225,$DR$6&lt;2),SUM(CB5:CB26,CC5:CC26)*3-SUM(CB242:CB252),0)</f>
        <v>0</v>
      </c>
      <c r="CC254" s="49"/>
      <c r="CE254" s="5"/>
      <c r="CF254" s="5"/>
      <c r="CG254" s="12"/>
      <c r="CI254" s="13"/>
      <c r="CJ254" s="5"/>
      <c r="CK254" s="12"/>
      <c r="CM254" s="13"/>
      <c r="CN254" s="5"/>
      <c r="CO254" s="12"/>
      <c r="CQ254" s="13"/>
      <c r="CR254" s="5"/>
      <c r="CS254" s="12"/>
      <c r="CU254" s="13"/>
      <c r="CV254" s="5"/>
      <c r="CW254" s="12"/>
      <c r="CY254" s="13"/>
      <c r="CZ254" s="5"/>
      <c r="DA254" s="12"/>
      <c r="DC254" s="13"/>
      <c r="DD254" s="5"/>
      <c r="DE254" s="12"/>
      <c r="DG254" s="13"/>
      <c r="DH254" s="5"/>
      <c r="DI254" s="12"/>
      <c r="DK254" s="13"/>
      <c r="DL254" s="5"/>
      <c r="DM254" s="12"/>
      <c r="DO254" s="13"/>
      <c r="DP254" s="5"/>
      <c r="DQ254" s="12"/>
      <c r="DS254" s="1336">
        <f t="shared" si="3"/>
        <v>0</v>
      </c>
      <c r="DT254" s="121">
        <f>EXTRAS!D118</f>
        <v>0</v>
      </c>
      <c r="DU254" s="112">
        <f>EXTRAS!E118</f>
        <v>0</v>
      </c>
      <c r="DX254" s="203">
        <f t="shared" si="4"/>
        <v>0</v>
      </c>
      <c r="DZ254" s="924"/>
      <c r="EH254" s="924"/>
    </row>
    <row r="255" spans="1:138" s="6" customFormat="1" ht="15" customHeight="1">
      <c r="A255" s="3">
        <v>100</v>
      </c>
      <c r="B255" s="210" t="s">
        <v>1481</v>
      </c>
      <c r="C255" s="473" t="s">
        <v>515</v>
      </c>
      <c r="D255" s="4"/>
      <c r="E255" s="5" t="s">
        <v>1018</v>
      </c>
      <c r="F255" s="5">
        <f>IF($DR$5&gt;1000,SUM(F5:F26,G5:G26)*1,G255)</f>
        <v>0</v>
      </c>
      <c r="G255" s="5">
        <f>IF(SUM(F254,F256:F257,$DR$5)&gt;=1,0,SUM(F5:G26)*1)</f>
        <v>0</v>
      </c>
      <c r="H255" s="5"/>
      <c r="I255" s="5"/>
      <c r="J255" s="4"/>
      <c r="K255" s="5"/>
      <c r="L255" s="5"/>
      <c r="M255" s="5"/>
      <c r="O255" s="5"/>
      <c r="P255" s="5"/>
      <c r="Q255" s="5"/>
      <c r="S255" s="5"/>
      <c r="T255" s="5"/>
      <c r="U255" s="5"/>
      <c r="W255" s="5"/>
      <c r="X255" s="5"/>
      <c r="Y255" s="12"/>
      <c r="AA255" s="13"/>
      <c r="AB255" s="12"/>
      <c r="AD255" s="13"/>
      <c r="AE255" s="5"/>
      <c r="AF255" s="5"/>
      <c r="AH255" s="13"/>
      <c r="AI255" s="5"/>
      <c r="AK255" s="49" t="s">
        <v>1018</v>
      </c>
      <c r="AL255" s="49" t="b">
        <f>IF($DR$5&gt;750,SUM(AL5:AL26,AM5:AM26)*1-SUM(AL242:AL252),AM255)</f>
        <v>0</v>
      </c>
      <c r="AM255" s="49" t="b">
        <f>IF(SUM(AL254,AL256:AL257,$DR$5)&gt;=1,0,AND(SUM(AL5:AM26)*3,$DR$7&lt;1))</f>
        <v>0</v>
      </c>
      <c r="AN255" s="51"/>
      <c r="AO255" s="49" t="s">
        <v>1018</v>
      </c>
      <c r="AP255" s="49" t="b">
        <f>IF($DR$5&gt;750,SUM(AP5:AP26,AQ5:AQ26)*1-SUM(AP242:AP252),AQ255)</f>
        <v>0</v>
      </c>
      <c r="AQ255" s="49" t="b">
        <f>IF(SUM(AP254,AP256:AP257,$DR$5)&gt;=1,0,AND(SUM(AP5:AQ26)*3,$DR$7&lt;1))</f>
        <v>0</v>
      </c>
      <c r="AR255" s="49"/>
      <c r="AS255" s="49"/>
      <c r="AT255" s="49"/>
      <c r="AU255" s="51"/>
      <c r="AV255" s="49"/>
      <c r="AW255" s="49"/>
      <c r="AX255" s="51"/>
      <c r="AY255" s="49" t="s">
        <v>1018</v>
      </c>
      <c r="AZ255" s="49" t="b">
        <f>IF($DR$5&gt;750,SUM(AZ5:AZ26,BA5:BA26)*1-SUM(AZ242:AZ252),BA255)</f>
        <v>0</v>
      </c>
      <c r="BA255" s="49" t="b">
        <f>IF(SUM(AZ254,AZ256:AZ257,$DR$5)&gt;=1,0,AND(SUM(AZ5:BA26)*3,$DR$7&lt;1))</f>
        <v>0</v>
      </c>
      <c r="BB255" s="51"/>
      <c r="BC255" s="49" t="s">
        <v>1018</v>
      </c>
      <c r="BD255" s="49" t="b">
        <f>IF($DR$5&gt;750,SUM(BD5:BD26,BE5:BE26)*1-SUM(BD242:BD252),BE255)</f>
        <v>0</v>
      </c>
      <c r="BE255" s="49" t="b">
        <f>IF(SUM(BD254,BD256:BD257,$DR$5)&gt;=1,0,AND(SUM(BD5:BE26)*3,$DR$7&lt;1))</f>
        <v>0</v>
      </c>
      <c r="BF255" s="49"/>
      <c r="BG255" s="49"/>
      <c r="BH255" s="49"/>
      <c r="BI255" s="51"/>
      <c r="BJ255" s="49"/>
      <c r="BK255" s="49"/>
      <c r="BL255" s="52"/>
      <c r="BM255" s="49" t="s">
        <v>1018</v>
      </c>
      <c r="BN255" s="49" t="b">
        <f>IF($DR$5&gt;750,SUM(BN5:BN26,BO5:BO26)*1-SUM(BN242:BN252),BO255)</f>
        <v>0</v>
      </c>
      <c r="BO255" s="49" t="b">
        <f>IF(SUM(BN254,BN256:BN257,$DR$5)&gt;=1,0,AND(SUM(BN5:BO26)*3,$DR$7&lt;1))</f>
        <v>0</v>
      </c>
      <c r="BP255" s="51"/>
      <c r="BQ255" s="49" t="s">
        <v>1018</v>
      </c>
      <c r="BR255" s="49" t="b">
        <f>IF($DR$5&gt;750,SUM(BR5:BR26,BS5:BS26)*1-SUM(BR242:BR252),BS255)</f>
        <v>0</v>
      </c>
      <c r="BS255" s="49" t="b">
        <f>IF(SUM(BR254,BR256:BR257,$DR$5)&gt;=1,0,AND(SUM(BR5:BS26)*3,$DR$7&lt;1))</f>
        <v>0</v>
      </c>
      <c r="BT255" s="49"/>
      <c r="BU255" s="49"/>
      <c r="BV255" s="49"/>
      <c r="BW255" s="51"/>
      <c r="BX255" s="49"/>
      <c r="BY255" s="49"/>
      <c r="BZ255" s="51"/>
      <c r="CA255" s="49" t="s">
        <v>1018</v>
      </c>
      <c r="CB255" s="49" t="b">
        <f>IF($DR$5&gt;750,SUM(CB5:CB26,CC5:CC26)*3-SUM(CB242:CB252)*3,CC255)</f>
        <v>0</v>
      </c>
      <c r="CC255" s="49" t="b">
        <f>IF(SUM(CB254,CB256:CB257,$DR$5)&gt;=1,0,AND(SUM(CB5:CC26)*3,$DR$7&lt;1))</f>
        <v>0</v>
      </c>
      <c r="CE255" s="5"/>
      <c r="CF255" s="5"/>
      <c r="CG255" s="12"/>
      <c r="CI255" s="13"/>
      <c r="CJ255" s="5"/>
      <c r="CK255" s="12"/>
      <c r="CM255" s="13"/>
      <c r="CN255" s="5"/>
      <c r="CO255" s="12"/>
      <c r="CQ255" s="13"/>
      <c r="CR255" s="5"/>
      <c r="CS255" s="12"/>
      <c r="CU255" s="13"/>
      <c r="CV255" s="5"/>
      <c r="CW255" s="12"/>
      <c r="CY255" s="13"/>
      <c r="CZ255" s="5"/>
      <c r="DA255" s="12"/>
      <c r="DC255" s="13"/>
      <c r="DD255" s="5"/>
      <c r="DE255" s="12"/>
      <c r="DG255" s="13"/>
      <c r="DH255" s="5"/>
      <c r="DI255" s="12"/>
      <c r="DK255" s="13"/>
      <c r="DL255" s="5"/>
      <c r="DM255" s="12"/>
      <c r="DO255" s="13"/>
      <c r="DP255" s="5"/>
      <c r="DQ255" s="12"/>
      <c r="DS255" s="1336">
        <f t="shared" si="3"/>
        <v>0</v>
      </c>
      <c r="DT255" s="121">
        <f>EXTRAS!D119</f>
        <v>0</v>
      </c>
      <c r="DU255" s="112">
        <f>EXTRAS!E119</f>
        <v>0</v>
      </c>
      <c r="DX255" s="203">
        <f t="shared" si="4"/>
        <v>0</v>
      </c>
      <c r="DZ255" s="924"/>
      <c r="EH255" s="924"/>
    </row>
    <row r="256" spans="1:138" s="6" customFormat="1" ht="15" customHeight="1">
      <c r="A256" s="3">
        <v>101</v>
      </c>
      <c r="B256" s="210" t="s">
        <v>248</v>
      </c>
      <c r="C256" s="473" t="s">
        <v>515</v>
      </c>
      <c r="D256" s="4"/>
      <c r="E256" s="5" t="s">
        <v>1018</v>
      </c>
      <c r="F256" s="5">
        <f>IF(AND($DR$5&lt;=500)*OR($DR$6&gt;=2),SUM(F5:F26)*1,0)</f>
        <v>0</v>
      </c>
      <c r="G256" s="4"/>
      <c r="H256" s="4"/>
      <c r="I256" s="4"/>
      <c r="J256" s="4"/>
      <c r="K256" s="5"/>
      <c r="L256" s="5"/>
      <c r="M256" s="5"/>
      <c r="O256" s="5"/>
      <c r="P256" s="5"/>
      <c r="Q256" s="5"/>
      <c r="S256" s="5"/>
      <c r="T256" s="5"/>
      <c r="U256" s="5"/>
      <c r="W256" s="5"/>
      <c r="X256" s="5"/>
      <c r="Y256" s="12"/>
      <c r="AA256" s="13"/>
      <c r="AB256" s="12"/>
      <c r="AD256" s="13"/>
      <c r="AE256" s="5"/>
      <c r="AF256" s="5"/>
      <c r="AH256" s="13"/>
      <c r="AI256" s="5"/>
      <c r="AK256" s="49" t="s">
        <v>1018</v>
      </c>
      <c r="AL256" s="49">
        <f>IF(AND($DR$5&lt;=500)*OR($DR$6&gt;=2),SUM(AL5:AL26,AM5:AM26)*1-SUM(AL242:AL252),0)</f>
        <v>0</v>
      </c>
      <c r="AM256" s="49"/>
      <c r="AN256" s="51"/>
      <c r="AO256" s="49" t="s">
        <v>1018</v>
      </c>
      <c r="AP256" s="49">
        <f>IF(AND($DR$5&lt;=500)*OR($DR$6&gt;=2),SUM(AP5:AP26,AQ5:AQ26)*1-SUM(AP242:AP252),0)</f>
        <v>0</v>
      </c>
      <c r="AQ256" s="49"/>
      <c r="AR256" s="49"/>
      <c r="AS256" s="49"/>
      <c r="AT256" s="49"/>
      <c r="AU256" s="51"/>
      <c r="AV256" s="49"/>
      <c r="AW256" s="49"/>
      <c r="AX256" s="51"/>
      <c r="AY256" s="49" t="s">
        <v>1018</v>
      </c>
      <c r="AZ256" s="49">
        <f>IF(AND($DR$5&lt;=500)*OR($DR$6&gt;=2),SUM(AZ5:AZ26,BA5:BA26)*1-SUM(AZ242:AZ252),0)</f>
        <v>0</v>
      </c>
      <c r="BA256" s="49"/>
      <c r="BB256" s="51"/>
      <c r="BC256" s="49" t="s">
        <v>1018</v>
      </c>
      <c r="BD256" s="49">
        <f>IF(AND($DR$5&lt;=500)*OR($DR$6&gt;=2),SUM(BD5:BD26,BE5:BE26)*1-SUM(BD242:BD252),0)</f>
        <v>0</v>
      </c>
      <c r="BE256" s="49"/>
      <c r="BF256" s="49"/>
      <c r="BG256" s="49"/>
      <c r="BH256" s="49"/>
      <c r="BI256" s="51"/>
      <c r="BJ256" s="49"/>
      <c r="BK256" s="49"/>
      <c r="BL256" s="52"/>
      <c r="BM256" s="49" t="s">
        <v>1018</v>
      </c>
      <c r="BN256" s="49">
        <f>IF(AND($DR$5&lt;=500)*OR($DR$6&gt;=2),SUM(BN5:BN26,BO5:BO26)*1-SUM(BN242:BN252),0)</f>
        <v>0</v>
      </c>
      <c r="BO256" s="49"/>
      <c r="BP256" s="51"/>
      <c r="BQ256" s="49" t="s">
        <v>1018</v>
      </c>
      <c r="BR256" s="49">
        <f>IF(AND($DR$5&lt;=500)*OR($DR$6&gt;=2),SUM(BR5:BR26,BS5:BS26)*1-SUM(BR242:BR252),0)</f>
        <v>0</v>
      </c>
      <c r="BS256" s="49"/>
      <c r="BT256" s="49"/>
      <c r="BU256" s="49"/>
      <c r="BV256" s="49"/>
      <c r="BW256" s="51"/>
      <c r="BX256" s="49"/>
      <c r="BY256" s="49"/>
      <c r="BZ256" s="51"/>
      <c r="CA256" s="49" t="s">
        <v>1018</v>
      </c>
      <c r="CB256" s="49">
        <f>IF(AND($DR$5&lt;=500)*OR($DR$6&gt;=2),SUM(CB5:CB26,CC5:CC26)*1-SUM(CB242:CB252),0)</f>
        <v>0</v>
      </c>
      <c r="CC256" s="49"/>
      <c r="CE256" s="5"/>
      <c r="CF256" s="5"/>
      <c r="CG256" s="12"/>
      <c r="CI256" s="13"/>
      <c r="CJ256" s="5"/>
      <c r="CK256" s="12"/>
      <c r="CM256" s="13"/>
      <c r="CN256" s="5"/>
      <c r="CO256" s="12"/>
      <c r="CQ256" s="13"/>
      <c r="CR256" s="5"/>
      <c r="CS256" s="12"/>
      <c r="CU256" s="13"/>
      <c r="CV256" s="5"/>
      <c r="CW256" s="12"/>
      <c r="CY256" s="13"/>
      <c r="CZ256" s="5"/>
      <c r="DA256" s="12"/>
      <c r="DC256" s="13"/>
      <c r="DD256" s="5"/>
      <c r="DE256" s="12"/>
      <c r="DG256" s="13"/>
      <c r="DH256" s="5"/>
      <c r="DI256" s="12"/>
      <c r="DK256" s="13"/>
      <c r="DL256" s="5"/>
      <c r="DM256" s="12"/>
      <c r="DO256" s="13"/>
      <c r="DP256" s="5"/>
      <c r="DQ256" s="12"/>
      <c r="DS256" s="1336">
        <f t="shared" si="3"/>
        <v>0</v>
      </c>
      <c r="DT256" s="121">
        <f>EXTRAS!D120</f>
        <v>0</v>
      </c>
      <c r="DU256" s="112">
        <f>EXTRAS!E120</f>
        <v>0</v>
      </c>
      <c r="DX256" s="203">
        <f t="shared" si="4"/>
        <v>0</v>
      </c>
      <c r="DZ256" s="924"/>
      <c r="EH256" s="924"/>
    </row>
    <row r="257" spans="1:138" s="6" customFormat="1" ht="15" customHeight="1">
      <c r="A257" s="3">
        <v>102</v>
      </c>
      <c r="B257" s="210" t="s">
        <v>411</v>
      </c>
      <c r="C257" s="473" t="s">
        <v>515</v>
      </c>
      <c r="D257" s="4"/>
      <c r="E257" s="5" t="s">
        <v>1018</v>
      </c>
      <c r="F257" s="5">
        <f>IF(AND($DR$15&gt;=501,$DR$15&lt;=1000),SUM(F5:F26)*1,0)</f>
        <v>0</v>
      </c>
      <c r="G257" s="4"/>
      <c r="H257" s="4"/>
      <c r="I257" s="4"/>
      <c r="J257" s="4"/>
      <c r="K257" s="5"/>
      <c r="L257" s="5"/>
      <c r="M257" s="5"/>
      <c r="O257" s="5"/>
      <c r="P257" s="5"/>
      <c r="Q257" s="5"/>
      <c r="S257" s="5"/>
      <c r="T257" s="5"/>
      <c r="U257" s="5"/>
      <c r="W257" s="5"/>
      <c r="X257" s="5"/>
      <c r="Y257" s="12"/>
      <c r="AA257" s="13"/>
      <c r="AB257" s="12"/>
      <c r="AD257" s="13"/>
      <c r="AE257" s="5"/>
      <c r="AF257" s="5"/>
      <c r="AH257" s="13"/>
      <c r="AI257" s="5"/>
      <c r="AK257" s="49" t="s">
        <v>1018</v>
      </c>
      <c r="AL257" s="49">
        <f>IF(AND($DR$5&gt;=501,$DR$5&lt;=1000),SUM(AL5:AL26,AM5:AM26)*1-SUM(AL242:AL252),0)</f>
        <v>0</v>
      </c>
      <c r="AM257" s="49"/>
      <c r="AN257" s="51"/>
      <c r="AO257" s="49" t="s">
        <v>1018</v>
      </c>
      <c r="AP257" s="49">
        <f>IF(AND($DR$5&gt;=501,$DR$5&lt;=1000),SUM(AP5:AP26,AQ5:AQ26)*1-SUM(AP242:AP252),0)</f>
        <v>0</v>
      </c>
      <c r="AQ257" s="49"/>
      <c r="AR257" s="49"/>
      <c r="AS257" s="49"/>
      <c r="AT257" s="49"/>
      <c r="AU257" s="51"/>
      <c r="AV257" s="49"/>
      <c r="AW257" s="49"/>
      <c r="AX257" s="51"/>
      <c r="AY257" s="49" t="s">
        <v>1018</v>
      </c>
      <c r="AZ257" s="49">
        <f>IF(AND($DR$5&gt;=501,$DR$5&lt;=1000),SUM(AZ5:AZ26,BA5:BA26)*1-SUM(AZ242:AZ252),0)</f>
        <v>0</v>
      </c>
      <c r="BA257" s="49"/>
      <c r="BB257" s="51"/>
      <c r="BC257" s="49" t="s">
        <v>1018</v>
      </c>
      <c r="BD257" s="49">
        <f>IF(AND($DR$5&gt;=501,$DR$5&lt;=1000),SUM(BD5:BD26,BE5:BE26)*1-SUM(BD242:BD252),0)</f>
        <v>0</v>
      </c>
      <c r="BE257" s="49"/>
      <c r="BF257" s="49"/>
      <c r="BG257" s="49"/>
      <c r="BH257" s="49"/>
      <c r="BI257" s="51"/>
      <c r="BJ257" s="49"/>
      <c r="BK257" s="49"/>
      <c r="BL257" s="52"/>
      <c r="BM257" s="49" t="s">
        <v>1018</v>
      </c>
      <c r="BN257" s="49">
        <f>IF(AND($DR$5&gt;=501,$DR$5&lt;=1000),SUM(BN5:BN26,BO5:BO26)*1-SUM(BN242:BN252),0)</f>
        <v>0</v>
      </c>
      <c r="BO257" s="49"/>
      <c r="BP257" s="51"/>
      <c r="BQ257" s="49" t="s">
        <v>1018</v>
      </c>
      <c r="BR257" s="49">
        <f>IF(AND($DR$5&gt;=501,$DR$5&lt;=1000),SUM(BR5:BR26,BS5:BS26)*1-SUM(BR242:BR252),0)</f>
        <v>0</v>
      </c>
      <c r="BS257" s="49"/>
      <c r="BT257" s="49"/>
      <c r="BU257" s="49"/>
      <c r="BV257" s="49"/>
      <c r="BW257" s="51"/>
      <c r="BX257" s="49"/>
      <c r="BY257" s="49"/>
      <c r="BZ257" s="51"/>
      <c r="CA257" s="49" t="s">
        <v>1018</v>
      </c>
      <c r="CB257" s="49">
        <f>IF(AND($DR$5&gt;=501,$DR$5&lt;=1000),SUM(CB5:CB26,CC5:CC26)*3-SUM(CB242:CB252)*3,0)</f>
        <v>0</v>
      </c>
      <c r="CC257" s="49"/>
      <c r="CE257" s="5"/>
      <c r="CF257" s="5"/>
      <c r="CG257" s="12"/>
      <c r="CI257" s="13"/>
      <c r="CJ257" s="5"/>
      <c r="CK257" s="12"/>
      <c r="CM257" s="13"/>
      <c r="CN257" s="5"/>
      <c r="CO257" s="12"/>
      <c r="CQ257" s="13"/>
      <c r="CR257" s="5"/>
      <c r="CS257" s="12"/>
      <c r="CU257" s="13"/>
      <c r="CV257" s="5"/>
      <c r="CW257" s="12"/>
      <c r="CY257" s="13"/>
      <c r="CZ257" s="5"/>
      <c r="DA257" s="12"/>
      <c r="DC257" s="13"/>
      <c r="DD257" s="5"/>
      <c r="DE257" s="12"/>
      <c r="DG257" s="13"/>
      <c r="DH257" s="5"/>
      <c r="DI257" s="12"/>
      <c r="DK257" s="13"/>
      <c r="DL257" s="5"/>
      <c r="DM257" s="12"/>
      <c r="DO257" s="13"/>
      <c r="DP257" s="5"/>
      <c r="DQ257" s="12"/>
      <c r="DS257" s="1336">
        <f t="shared" si="3"/>
        <v>0</v>
      </c>
      <c r="DT257" s="121">
        <f>EXTRAS!D121</f>
        <v>0</v>
      </c>
      <c r="DU257" s="112">
        <f>EXTRAS!E121</f>
        <v>0</v>
      </c>
      <c r="DX257" s="203">
        <f t="shared" si="4"/>
        <v>0</v>
      </c>
      <c r="DZ257" s="924"/>
      <c r="EH257" s="924"/>
    </row>
    <row r="258" spans="1:138" s="6" customFormat="1" ht="15" customHeight="1">
      <c r="A258" s="3">
        <v>103</v>
      </c>
      <c r="B258" s="210" t="s">
        <v>195</v>
      </c>
      <c r="C258" s="473" t="s">
        <v>515</v>
      </c>
      <c r="D258" s="4"/>
      <c r="E258" s="5"/>
      <c r="F258" s="5"/>
      <c r="G258" s="859">
        <f>C8/(2500)</f>
        <v>0</v>
      </c>
      <c r="H258" s="4"/>
      <c r="I258" s="658">
        <f>ROUNDDOWN(G258,0)</f>
        <v>0</v>
      </c>
      <c r="J258" s="4"/>
      <c r="K258" s="5"/>
      <c r="L258" s="5"/>
      <c r="M258" s="5">
        <f>C16</f>
        <v>0</v>
      </c>
      <c r="O258" s="5"/>
      <c r="P258" s="5"/>
      <c r="Q258" s="5"/>
      <c r="S258" s="5"/>
      <c r="T258" s="5"/>
      <c r="U258" s="5"/>
      <c r="W258" s="5"/>
      <c r="X258" s="5"/>
      <c r="Y258" s="12"/>
      <c r="AA258" s="13"/>
      <c r="AB258" s="12"/>
      <c r="AD258" s="13"/>
      <c r="AE258" s="5"/>
      <c r="AF258" s="5"/>
      <c r="AH258" s="13"/>
      <c r="AI258" s="5"/>
      <c r="AK258" s="5"/>
      <c r="AL258" s="5"/>
      <c r="AM258" s="5"/>
      <c r="AO258" s="5"/>
      <c r="AP258" s="5"/>
      <c r="AR258" s="5"/>
      <c r="AS258" s="5"/>
      <c r="AT258" s="5"/>
      <c r="AV258" s="5"/>
      <c r="AW258" s="5"/>
      <c r="AY258" s="5"/>
      <c r="AZ258" s="5"/>
      <c r="BA258" s="5"/>
      <c r="BC258" s="5"/>
      <c r="BD258" s="5"/>
      <c r="BF258" s="5"/>
      <c r="BG258" s="5"/>
      <c r="BH258" s="5"/>
      <c r="BJ258" s="5"/>
      <c r="BK258" s="5"/>
      <c r="BL258" s="12"/>
      <c r="BM258" s="5"/>
      <c r="BN258" s="5"/>
      <c r="BO258" s="5"/>
      <c r="BQ258" s="5"/>
      <c r="BR258" s="5"/>
      <c r="BT258" s="5"/>
      <c r="BU258" s="5"/>
      <c r="BV258" s="5"/>
      <c r="BX258" s="5"/>
      <c r="BY258" s="5"/>
      <c r="CA258" s="13"/>
      <c r="CB258" s="7"/>
      <c r="CC258" s="11"/>
      <c r="CE258" s="13"/>
      <c r="CF258" s="5"/>
      <c r="CG258" s="12"/>
      <c r="CI258" s="13"/>
      <c r="CJ258" s="5"/>
      <c r="CK258" s="12"/>
      <c r="CM258" s="13"/>
      <c r="CN258" s="5"/>
      <c r="CO258" s="12"/>
      <c r="CQ258" s="13"/>
      <c r="CR258" s="5"/>
      <c r="CS258" s="12"/>
      <c r="CU258" s="13"/>
      <c r="CV258" s="5"/>
      <c r="CW258" s="12"/>
      <c r="CY258" s="13"/>
      <c r="CZ258" s="5"/>
      <c r="DA258" s="12"/>
      <c r="DC258" s="13"/>
      <c r="DD258" s="5"/>
      <c r="DE258" s="12"/>
      <c r="DG258" s="13"/>
      <c r="DH258" s="5"/>
      <c r="DI258" s="12"/>
      <c r="DK258" s="13"/>
      <c r="DL258" s="5"/>
      <c r="DM258" s="12"/>
      <c r="DO258" s="13"/>
      <c r="DP258" s="5"/>
      <c r="DQ258" s="12"/>
      <c r="DS258" s="1336">
        <f t="shared" si="3"/>
        <v>0</v>
      </c>
      <c r="DT258" s="121">
        <f>EXTRAS!D122</f>
        <v>0</v>
      </c>
      <c r="DU258" s="112">
        <f>EXTRAS!E122</f>
        <v>0</v>
      </c>
      <c r="DX258" s="203">
        <f t="shared" si="4"/>
        <v>0</v>
      </c>
      <c r="DZ258" s="924"/>
      <c r="EH258" s="924"/>
    </row>
    <row r="259" spans="1:138" s="6" customFormat="1" ht="15" customHeight="1">
      <c r="A259" s="3">
        <v>104</v>
      </c>
      <c r="B259" s="210" t="s">
        <v>194</v>
      </c>
      <c r="C259" s="473" t="s">
        <v>515</v>
      </c>
      <c r="D259" s="4"/>
      <c r="E259" s="5"/>
      <c r="F259" s="5"/>
      <c r="G259" s="4"/>
      <c r="H259" s="4"/>
      <c r="I259" s="4"/>
      <c r="J259" s="4"/>
      <c r="K259" s="5"/>
      <c r="L259" s="5"/>
      <c r="M259" s="5"/>
      <c r="O259" s="5"/>
      <c r="P259" s="5"/>
      <c r="Q259" s="5"/>
      <c r="S259" s="5"/>
      <c r="T259" s="5"/>
      <c r="U259" s="5"/>
      <c r="W259" s="5"/>
      <c r="X259" s="5"/>
      <c r="Y259" s="12"/>
      <c r="AA259" s="13"/>
      <c r="AB259" s="12"/>
      <c r="AD259" s="13"/>
      <c r="AE259" s="5"/>
      <c r="AF259" s="5"/>
      <c r="AH259" s="13"/>
      <c r="AI259" s="5"/>
      <c r="AK259" s="5"/>
      <c r="AL259" s="5"/>
      <c r="AM259" s="5"/>
      <c r="AO259" s="5"/>
      <c r="AP259" s="5"/>
      <c r="AR259" s="5"/>
      <c r="AS259" s="5"/>
      <c r="AT259" s="5"/>
      <c r="AV259" s="5"/>
      <c r="AW259" s="5"/>
      <c r="AY259" s="5"/>
      <c r="AZ259" s="5"/>
      <c r="BA259" s="5"/>
      <c r="BC259" s="5"/>
      <c r="BD259" s="5"/>
      <c r="BF259" s="5"/>
      <c r="BG259" s="5"/>
      <c r="BH259" s="5"/>
      <c r="BJ259" s="5"/>
      <c r="BK259" s="5"/>
      <c r="BL259" s="12"/>
      <c r="BM259" s="5"/>
      <c r="BN259" s="5"/>
      <c r="BO259" s="5"/>
      <c r="BQ259" s="5"/>
      <c r="BR259" s="5"/>
      <c r="BT259" s="5"/>
      <c r="BU259" s="5"/>
      <c r="BV259" s="5"/>
      <c r="BX259" s="5"/>
      <c r="BY259" s="5"/>
      <c r="CA259" s="13"/>
      <c r="CB259" s="7"/>
      <c r="CC259" s="11"/>
      <c r="CE259" s="13"/>
      <c r="CF259" s="5"/>
      <c r="CG259" s="12"/>
      <c r="CI259" s="13"/>
      <c r="CJ259" s="5"/>
      <c r="CK259" s="12"/>
      <c r="CM259" s="13"/>
      <c r="CN259" s="5"/>
      <c r="CO259" s="12"/>
      <c r="CQ259" s="13"/>
      <c r="CR259" s="5"/>
      <c r="CS259" s="12"/>
      <c r="CU259" s="13"/>
      <c r="CV259" s="5"/>
      <c r="CW259" s="12"/>
      <c r="CY259" s="13"/>
      <c r="CZ259" s="5"/>
      <c r="DA259" s="12"/>
      <c r="DC259" s="13"/>
      <c r="DD259" s="5"/>
      <c r="DE259" s="12"/>
      <c r="DG259" s="13"/>
      <c r="DH259" s="5"/>
      <c r="DI259" s="12"/>
      <c r="DK259" s="13"/>
      <c r="DL259" s="5"/>
      <c r="DM259" s="12"/>
      <c r="DO259" s="13"/>
      <c r="DP259" s="5"/>
      <c r="DQ259" s="12"/>
      <c r="DS259" s="1336">
        <f t="shared" si="3"/>
        <v>0</v>
      </c>
      <c r="DT259" s="121">
        <f>EXTRAS!D123</f>
        <v>0</v>
      </c>
      <c r="DU259" s="112">
        <f>EXTRAS!E123</f>
        <v>0</v>
      </c>
      <c r="DX259" s="203">
        <f t="shared" si="4"/>
        <v>0</v>
      </c>
      <c r="DZ259" s="924"/>
      <c r="EH259" s="924"/>
    </row>
    <row r="260" spans="1:138" s="6" customFormat="1" ht="15" customHeight="1">
      <c r="A260" s="3">
        <v>105</v>
      </c>
      <c r="B260" s="210" t="s">
        <v>196</v>
      </c>
      <c r="C260" s="473" t="s">
        <v>515</v>
      </c>
      <c r="D260" s="4"/>
      <c r="E260" s="5"/>
      <c r="F260" s="5"/>
      <c r="G260" s="4"/>
      <c r="H260" s="4"/>
      <c r="I260" s="4"/>
      <c r="J260" s="4"/>
      <c r="K260" s="5"/>
      <c r="L260" s="5"/>
      <c r="M260" s="5"/>
      <c r="O260" s="5"/>
      <c r="P260" s="5"/>
      <c r="Q260" s="5"/>
      <c r="S260" s="5"/>
      <c r="T260" s="5"/>
      <c r="U260" s="5"/>
      <c r="W260" s="5"/>
      <c r="X260" s="5"/>
      <c r="Y260" s="12"/>
      <c r="AA260" s="13"/>
      <c r="AB260" s="12"/>
      <c r="AD260" s="13"/>
      <c r="AE260" s="5"/>
      <c r="AF260" s="5"/>
      <c r="AH260" s="13"/>
      <c r="AI260" s="5"/>
      <c r="AK260" s="5"/>
      <c r="AL260" s="5"/>
      <c r="AM260" s="5"/>
      <c r="AO260" s="5"/>
      <c r="AP260" s="5"/>
      <c r="AR260" s="5"/>
      <c r="AS260" s="5"/>
      <c r="AT260" s="5"/>
      <c r="AV260" s="5"/>
      <c r="AW260" s="5"/>
      <c r="AY260" s="5"/>
      <c r="AZ260" s="5"/>
      <c r="BA260" s="5"/>
      <c r="BC260" s="5"/>
      <c r="BD260" s="5"/>
      <c r="BF260" s="5"/>
      <c r="BG260" s="5"/>
      <c r="BH260" s="5"/>
      <c r="BJ260" s="5"/>
      <c r="BK260" s="5"/>
      <c r="BL260" s="12"/>
      <c r="BM260" s="5"/>
      <c r="BN260" s="5"/>
      <c r="BO260" s="5"/>
      <c r="BQ260" s="5"/>
      <c r="BR260" s="5"/>
      <c r="BT260" s="5"/>
      <c r="BU260" s="5"/>
      <c r="BV260" s="5"/>
      <c r="BX260" s="5"/>
      <c r="BY260" s="5"/>
      <c r="CA260" s="13"/>
      <c r="CB260" s="7"/>
      <c r="CC260" s="11"/>
      <c r="CE260" s="13"/>
      <c r="CF260" s="5"/>
      <c r="CG260" s="12"/>
      <c r="CI260" s="13"/>
      <c r="CJ260" s="5"/>
      <c r="CK260" s="12"/>
      <c r="CM260" s="13"/>
      <c r="CN260" s="5"/>
      <c r="CO260" s="12"/>
      <c r="CQ260" s="13"/>
      <c r="CR260" s="5"/>
      <c r="CS260" s="12"/>
      <c r="CU260" s="13"/>
      <c r="CV260" s="5"/>
      <c r="CW260" s="12"/>
      <c r="CY260" s="13"/>
      <c r="CZ260" s="5"/>
      <c r="DA260" s="12"/>
      <c r="DC260" s="13"/>
      <c r="DD260" s="5"/>
      <c r="DE260" s="12"/>
      <c r="DG260" s="13"/>
      <c r="DH260" s="5"/>
      <c r="DI260" s="12"/>
      <c r="DK260" s="13"/>
      <c r="DL260" s="5"/>
      <c r="DM260" s="12"/>
      <c r="DO260" s="13"/>
      <c r="DP260" s="5"/>
      <c r="DQ260" s="12"/>
      <c r="DS260" s="1336">
        <f t="shared" si="3"/>
        <v>0</v>
      </c>
      <c r="DT260" s="121">
        <f>EXTRAS!D124</f>
        <v>0</v>
      </c>
      <c r="DU260" s="112">
        <f>EXTRAS!E124</f>
        <v>0</v>
      </c>
      <c r="DX260" s="203">
        <f t="shared" si="4"/>
        <v>0</v>
      </c>
      <c r="DZ260" s="924"/>
      <c r="EH260" s="924"/>
    </row>
    <row r="261" spans="1:138" s="6" customFormat="1" ht="15" customHeight="1">
      <c r="A261" s="3">
        <v>106</v>
      </c>
      <c r="B261" s="210" t="s">
        <v>319</v>
      </c>
      <c r="C261" s="473" t="s">
        <v>515</v>
      </c>
      <c r="D261" s="4"/>
      <c r="E261" s="5"/>
      <c r="F261" s="5"/>
      <c r="G261" s="4"/>
      <c r="H261" s="4"/>
      <c r="I261" s="4"/>
      <c r="J261" s="4"/>
      <c r="K261" s="5"/>
      <c r="L261" s="5"/>
      <c r="M261" s="5"/>
      <c r="O261" s="5"/>
      <c r="P261" s="5"/>
      <c r="Q261" s="5"/>
      <c r="S261" s="5"/>
      <c r="T261" s="5"/>
      <c r="U261" s="5"/>
      <c r="W261" s="5"/>
      <c r="X261" s="5"/>
      <c r="Y261" s="12"/>
      <c r="AA261" s="13"/>
      <c r="AB261" s="12"/>
      <c r="AD261" s="13"/>
      <c r="AE261" s="5"/>
      <c r="AF261" s="5"/>
      <c r="AH261" s="13"/>
      <c r="AI261" s="5"/>
      <c r="AK261" s="5"/>
      <c r="AL261" s="5"/>
      <c r="AM261" s="5"/>
      <c r="AO261" s="5"/>
      <c r="AP261" s="5"/>
      <c r="AR261" s="5"/>
      <c r="AS261" s="5"/>
      <c r="AT261" s="5"/>
      <c r="AV261" s="5"/>
      <c r="AW261" s="5"/>
      <c r="AY261" s="5"/>
      <c r="AZ261" s="5"/>
      <c r="BA261" s="5"/>
      <c r="BC261" s="5"/>
      <c r="BD261" s="5"/>
      <c r="BF261" s="5"/>
      <c r="BG261" s="5"/>
      <c r="BH261" s="5"/>
      <c r="BJ261" s="5"/>
      <c r="BK261" s="5"/>
      <c r="BL261" s="12"/>
      <c r="BM261" s="5"/>
      <c r="BN261" s="5"/>
      <c r="BO261" s="5"/>
      <c r="BQ261" s="5"/>
      <c r="BR261" s="5"/>
      <c r="BT261" s="5"/>
      <c r="BU261" s="5"/>
      <c r="BV261" s="5"/>
      <c r="BX261" s="5"/>
      <c r="BY261" s="5"/>
      <c r="CA261" s="13"/>
      <c r="CB261" s="7"/>
      <c r="CC261" s="11"/>
      <c r="CE261" s="13"/>
      <c r="CF261" s="5"/>
      <c r="CG261" s="12"/>
      <c r="CI261" s="13"/>
      <c r="CJ261" s="5"/>
      <c r="CK261" s="12"/>
      <c r="CM261" s="13"/>
      <c r="CN261" s="5"/>
      <c r="CO261" s="12"/>
      <c r="CQ261" s="13"/>
      <c r="CR261" s="5"/>
      <c r="CS261" s="12"/>
      <c r="CU261" s="13"/>
      <c r="CV261" s="5"/>
      <c r="CW261" s="12"/>
      <c r="CY261" s="13"/>
      <c r="CZ261" s="5"/>
      <c r="DA261" s="12"/>
      <c r="DC261" s="13"/>
      <c r="DD261" s="5"/>
      <c r="DE261" s="12"/>
      <c r="DG261" s="13"/>
      <c r="DH261" s="5"/>
      <c r="DI261" s="12"/>
      <c r="DK261" s="13"/>
      <c r="DL261" s="5"/>
      <c r="DM261" s="12"/>
      <c r="DO261" s="13"/>
      <c r="DP261" s="5"/>
      <c r="DQ261" s="12"/>
      <c r="DS261" s="1336">
        <f t="shared" si="3"/>
        <v>0</v>
      </c>
      <c r="DT261" s="121">
        <f>EXTRAS!D125</f>
        <v>0</v>
      </c>
      <c r="DU261" s="112">
        <f>EXTRAS!E125</f>
        <v>0</v>
      </c>
      <c r="DX261" s="203">
        <f t="shared" si="4"/>
        <v>0</v>
      </c>
      <c r="DZ261" s="924"/>
      <c r="EH261" s="924"/>
    </row>
    <row r="262" spans="1:138" s="6" customFormat="1" ht="15" customHeight="1">
      <c r="A262" s="3">
        <v>107</v>
      </c>
      <c r="B262" s="210" t="s">
        <v>43</v>
      </c>
      <c r="C262" s="473" t="s">
        <v>515</v>
      </c>
      <c r="D262" s="4"/>
      <c r="E262" s="5"/>
      <c r="F262" s="5"/>
      <c r="G262" s="4"/>
      <c r="H262" s="4"/>
      <c r="I262" s="4"/>
      <c r="J262" s="4"/>
      <c r="K262" s="5"/>
      <c r="L262" s="5"/>
      <c r="M262" s="5">
        <f>C18</f>
        <v>0</v>
      </c>
      <c r="O262" s="5"/>
      <c r="P262" s="5"/>
      <c r="Q262" s="5"/>
      <c r="S262" s="5"/>
      <c r="T262" s="5"/>
      <c r="U262" s="5"/>
      <c r="W262" s="5"/>
      <c r="X262" s="5"/>
      <c r="Y262" s="12"/>
      <c r="AA262" s="13"/>
      <c r="AB262" s="12"/>
      <c r="AD262" s="13"/>
      <c r="AE262" s="5"/>
      <c r="AF262" s="5"/>
      <c r="AH262" s="13"/>
      <c r="AI262" s="5"/>
      <c r="AK262" s="5"/>
      <c r="AL262" s="5"/>
      <c r="AM262" s="5"/>
      <c r="AO262" s="5"/>
      <c r="AP262" s="5"/>
      <c r="AR262" s="5"/>
      <c r="AS262" s="5"/>
      <c r="AT262" s="5"/>
      <c r="AV262" s="5"/>
      <c r="AW262" s="5"/>
      <c r="AY262" s="5"/>
      <c r="AZ262" s="5"/>
      <c r="BA262" s="5"/>
      <c r="BC262" s="5"/>
      <c r="BD262" s="5"/>
      <c r="BF262" s="5"/>
      <c r="BG262" s="5"/>
      <c r="BH262" s="5"/>
      <c r="BJ262" s="5"/>
      <c r="BK262" s="5"/>
      <c r="BL262" s="12"/>
      <c r="BM262" s="5"/>
      <c r="BN262" s="5"/>
      <c r="BO262" s="5"/>
      <c r="BQ262" s="5"/>
      <c r="BR262" s="5"/>
      <c r="BT262" s="5"/>
      <c r="BU262" s="5"/>
      <c r="BV262" s="5"/>
      <c r="BX262" s="5"/>
      <c r="BY262" s="5"/>
      <c r="CA262" s="13"/>
      <c r="CB262" s="7"/>
      <c r="CC262" s="11"/>
      <c r="CE262" s="13"/>
      <c r="CF262" s="5"/>
      <c r="CG262" s="12"/>
      <c r="CI262" s="13"/>
      <c r="CJ262" s="5"/>
      <c r="CK262" s="12"/>
      <c r="CM262" s="13"/>
      <c r="CN262" s="5"/>
      <c r="CO262" s="12"/>
      <c r="CQ262" s="13"/>
      <c r="CR262" s="5"/>
      <c r="CS262" s="12"/>
      <c r="CU262" s="13"/>
      <c r="CV262" s="5"/>
      <c r="CW262" s="12"/>
      <c r="CY262" s="13"/>
      <c r="CZ262" s="5"/>
      <c r="DA262" s="12"/>
      <c r="DC262" s="13"/>
      <c r="DD262" s="5"/>
      <c r="DE262" s="12"/>
      <c r="DG262" s="13"/>
      <c r="DH262" s="5"/>
      <c r="DI262" s="12"/>
      <c r="DK262" s="13"/>
      <c r="DL262" s="5"/>
      <c r="DM262" s="12"/>
      <c r="DO262" s="13"/>
      <c r="DP262" s="5"/>
      <c r="DQ262" s="12"/>
      <c r="DS262" s="1336">
        <f t="shared" si="3"/>
        <v>0</v>
      </c>
      <c r="DT262" s="121">
        <f>EXTRAS!D126</f>
        <v>0</v>
      </c>
      <c r="DU262" s="112">
        <f>EXTRAS!E126</f>
        <v>0</v>
      </c>
      <c r="DX262" s="203">
        <f t="shared" si="4"/>
        <v>0</v>
      </c>
      <c r="DZ262" s="924"/>
      <c r="EH262" s="924"/>
    </row>
    <row r="263" spans="1:138" s="6" customFormat="1" ht="15" customHeight="1">
      <c r="A263" s="3">
        <v>108</v>
      </c>
      <c r="B263" s="210" t="s">
        <v>512</v>
      </c>
      <c r="C263" s="473" t="s">
        <v>515</v>
      </c>
      <c r="D263" s="4"/>
      <c r="E263" s="5"/>
      <c r="F263" s="5"/>
      <c r="G263" s="4"/>
      <c r="H263" s="4"/>
      <c r="I263" s="4"/>
      <c r="J263" s="4"/>
      <c r="K263" s="5"/>
      <c r="L263" s="5"/>
      <c r="M263" s="5"/>
      <c r="O263" s="5"/>
      <c r="P263" s="5"/>
      <c r="Q263" s="5"/>
      <c r="S263" s="5"/>
      <c r="T263" s="5"/>
      <c r="U263" s="5"/>
      <c r="W263" s="5"/>
      <c r="X263" s="5"/>
      <c r="Y263" s="12"/>
      <c r="AA263" s="13"/>
      <c r="AB263" s="12"/>
      <c r="AD263" s="13"/>
      <c r="AE263" s="5"/>
      <c r="AF263" s="5"/>
      <c r="AH263" s="13"/>
      <c r="AI263" s="5"/>
      <c r="AK263" s="5"/>
      <c r="AL263" s="5"/>
      <c r="AM263" s="5"/>
      <c r="AO263" s="5"/>
      <c r="AP263" s="5"/>
      <c r="AR263" s="5"/>
      <c r="AS263" s="5"/>
      <c r="AT263" s="5"/>
      <c r="AV263" s="5"/>
      <c r="AW263" s="5"/>
      <c r="AY263" s="5"/>
      <c r="AZ263" s="5"/>
      <c r="BA263" s="5"/>
      <c r="BC263" s="5"/>
      <c r="BD263" s="5"/>
      <c r="BF263" s="5"/>
      <c r="BG263" s="5"/>
      <c r="BH263" s="5"/>
      <c r="BJ263" s="5"/>
      <c r="BK263" s="5"/>
      <c r="BL263" s="12"/>
      <c r="BM263" s="5"/>
      <c r="BN263" s="5"/>
      <c r="BO263" s="5"/>
      <c r="BQ263" s="5"/>
      <c r="BR263" s="5"/>
      <c r="BT263" s="5"/>
      <c r="BU263" s="5"/>
      <c r="BV263" s="5"/>
      <c r="BX263" s="5"/>
      <c r="BY263" s="5"/>
      <c r="CA263" s="13"/>
      <c r="CB263" s="7"/>
      <c r="CC263" s="11"/>
      <c r="CE263" s="13"/>
      <c r="CF263" s="5"/>
      <c r="CG263" s="12"/>
      <c r="CI263" s="13"/>
      <c r="CJ263" s="5"/>
      <c r="CK263" s="12"/>
      <c r="CM263" s="13"/>
      <c r="CN263" s="5"/>
      <c r="CO263" s="12"/>
      <c r="CQ263" s="13"/>
      <c r="CR263" s="5"/>
      <c r="CS263" s="12"/>
      <c r="CU263" s="13"/>
      <c r="CV263" s="5"/>
      <c r="CW263" s="12"/>
      <c r="CY263" s="13"/>
      <c r="CZ263" s="5"/>
      <c r="DA263" s="12"/>
      <c r="DC263" s="13"/>
      <c r="DD263" s="5"/>
      <c r="DE263" s="12"/>
      <c r="DG263" s="13"/>
      <c r="DH263" s="5"/>
      <c r="DI263" s="12"/>
      <c r="DK263" s="13"/>
      <c r="DL263" s="5"/>
      <c r="DM263" s="12"/>
      <c r="DO263" s="13"/>
      <c r="DP263" s="5"/>
      <c r="DQ263" s="12"/>
      <c r="DS263" s="1336">
        <f t="shared" si="3"/>
        <v>0</v>
      </c>
      <c r="DT263" s="121">
        <f>EXTRAS!D127</f>
        <v>0</v>
      </c>
      <c r="DU263" s="112">
        <f>EXTRAS!E127</f>
        <v>0</v>
      </c>
      <c r="DX263" s="203">
        <f t="shared" si="4"/>
        <v>0</v>
      </c>
      <c r="DZ263" s="924"/>
      <c r="EH263" s="924"/>
    </row>
    <row r="264" spans="1:138" s="6" customFormat="1" ht="15" customHeight="1">
      <c r="A264" s="3"/>
      <c r="B264" s="210" t="s">
        <v>1473</v>
      </c>
      <c r="C264" s="473" t="s">
        <v>0</v>
      </c>
      <c r="D264" s="4"/>
      <c r="E264" s="5"/>
      <c r="F264" s="5"/>
      <c r="G264" s="4"/>
      <c r="H264" s="4"/>
      <c r="I264" s="4"/>
      <c r="J264" s="4"/>
      <c r="K264" s="5"/>
      <c r="L264" s="5"/>
      <c r="M264" s="5"/>
      <c r="O264" s="5"/>
      <c r="P264" s="5"/>
      <c r="Q264" s="5"/>
      <c r="S264" s="5"/>
      <c r="T264" s="5"/>
      <c r="U264" s="5"/>
      <c r="W264" s="5"/>
      <c r="X264" s="5"/>
      <c r="Y264" s="12"/>
      <c r="AA264" s="13"/>
      <c r="AB264" s="12"/>
      <c r="AD264" s="13"/>
      <c r="AE264" s="5"/>
      <c r="AF264" s="5"/>
      <c r="AH264" s="13"/>
      <c r="AI264" s="5"/>
      <c r="AK264" s="5"/>
      <c r="AL264" s="5"/>
      <c r="AM264" s="5"/>
      <c r="AO264" s="5"/>
      <c r="AP264" s="5"/>
      <c r="AR264" s="5"/>
      <c r="AS264" s="5"/>
      <c r="AT264" s="5"/>
      <c r="AV264" s="5"/>
      <c r="AW264" s="5"/>
      <c r="AY264" s="5"/>
      <c r="AZ264" s="5"/>
      <c r="BA264" s="5"/>
      <c r="BC264" s="5"/>
      <c r="BD264" s="5"/>
      <c r="BF264" s="5"/>
      <c r="BG264" s="5"/>
      <c r="BH264" s="5"/>
      <c r="BJ264" s="5"/>
      <c r="BK264" s="5"/>
      <c r="BL264" s="12"/>
      <c r="BM264" s="5"/>
      <c r="BN264" s="5"/>
      <c r="BO264" s="5"/>
      <c r="BQ264" s="5"/>
      <c r="BR264" s="5"/>
      <c r="BT264" s="5"/>
      <c r="BU264" s="5"/>
      <c r="BV264" s="5"/>
      <c r="BX264" s="5"/>
      <c r="BY264" s="5"/>
      <c r="CA264" s="13"/>
      <c r="CB264" s="7"/>
      <c r="CC264" s="11"/>
      <c r="CE264" s="13"/>
      <c r="CF264" s="5"/>
      <c r="CG264" s="12"/>
      <c r="CI264" s="13"/>
      <c r="CJ264" s="5"/>
      <c r="CK264" s="12"/>
      <c r="CM264" s="13"/>
      <c r="CN264" s="5"/>
      <c r="CO264" s="12"/>
      <c r="CQ264" s="13"/>
      <c r="CR264" s="5"/>
      <c r="CS264" s="12"/>
      <c r="CU264" s="13"/>
      <c r="CV264" s="5"/>
      <c r="CW264" s="12"/>
      <c r="CY264" s="13"/>
      <c r="CZ264" s="5"/>
      <c r="DA264" s="12"/>
      <c r="DC264" s="13"/>
      <c r="DD264" s="5"/>
      <c r="DE264" s="12"/>
      <c r="DG264" s="13"/>
      <c r="DH264" s="5"/>
      <c r="DI264" s="12"/>
      <c r="DK264" s="13"/>
      <c r="DL264" s="5"/>
      <c r="DM264" s="12"/>
      <c r="DO264" s="13"/>
      <c r="DP264" s="5"/>
      <c r="DQ264" s="12"/>
      <c r="DS264" s="1336">
        <f t="shared" si="3"/>
        <v>0</v>
      </c>
      <c r="DT264" s="121">
        <f>EXTRAS!D128</f>
        <v>0</v>
      </c>
      <c r="DU264" s="112">
        <f>EXTRAS!E128</f>
        <v>0</v>
      </c>
      <c r="DX264" s="203">
        <f t="shared" si="4"/>
        <v>0</v>
      </c>
      <c r="DZ264" s="924"/>
      <c r="EH264" s="924"/>
    </row>
    <row r="265" spans="1:138" s="6" customFormat="1" ht="15" customHeight="1">
      <c r="A265" s="3">
        <v>109</v>
      </c>
      <c r="B265" s="210" t="s">
        <v>51</v>
      </c>
      <c r="C265" s="473" t="s">
        <v>516</v>
      </c>
      <c r="D265" s="4"/>
      <c r="E265" s="5"/>
      <c r="F265" s="5"/>
      <c r="G265" s="4"/>
      <c r="H265" s="4"/>
      <c r="I265" s="4"/>
      <c r="J265" s="4"/>
      <c r="K265" s="5">
        <f>C13*0.05516</f>
        <v>0</v>
      </c>
      <c r="L265" s="5"/>
      <c r="M265" s="5">
        <f>K265+K265*3%</f>
        <v>0</v>
      </c>
      <c r="O265" s="5"/>
      <c r="P265" s="5"/>
      <c r="Q265" s="5"/>
      <c r="S265" s="5"/>
      <c r="T265" s="5"/>
      <c r="U265" s="5"/>
      <c r="W265" s="5"/>
      <c r="X265" s="5"/>
      <c r="Y265" s="12"/>
      <c r="AA265" s="13"/>
      <c r="AB265" s="12"/>
      <c r="AD265" s="13"/>
      <c r="AE265" s="5"/>
      <c r="AF265" s="5"/>
      <c r="AH265" s="13"/>
      <c r="AI265" s="5"/>
      <c r="AK265" s="5"/>
      <c r="AL265" s="5"/>
      <c r="AM265" s="5"/>
      <c r="AO265" s="5"/>
      <c r="AP265" s="5"/>
      <c r="AR265" s="5"/>
      <c r="AS265" s="5"/>
      <c r="AT265" s="5"/>
      <c r="AV265" s="5"/>
      <c r="AW265" s="5"/>
      <c r="AY265" s="5"/>
      <c r="AZ265" s="5"/>
      <c r="BA265" s="5"/>
      <c r="BC265" s="5"/>
      <c r="BD265" s="5"/>
      <c r="BF265" s="5"/>
      <c r="BG265" s="5"/>
      <c r="BH265" s="5"/>
      <c r="BJ265" s="5"/>
      <c r="BK265" s="5"/>
      <c r="BL265" s="12"/>
      <c r="BM265" s="5"/>
      <c r="BN265" s="5"/>
      <c r="BO265" s="5"/>
      <c r="BQ265" s="5"/>
      <c r="BR265" s="5"/>
      <c r="BT265" s="5"/>
      <c r="BU265" s="5"/>
      <c r="BV265" s="5"/>
      <c r="BX265" s="5"/>
      <c r="BY265" s="5"/>
      <c r="CA265" s="13"/>
      <c r="CB265" s="7"/>
      <c r="CC265" s="11"/>
      <c r="CE265" s="13"/>
      <c r="CF265" s="5"/>
      <c r="CG265" s="12"/>
      <c r="CI265" s="13"/>
      <c r="CJ265" s="5"/>
      <c r="CK265" s="12"/>
      <c r="CM265" s="13"/>
      <c r="CN265" s="5"/>
      <c r="CO265" s="12"/>
      <c r="CQ265" s="13"/>
      <c r="CR265" s="5"/>
      <c r="CS265" s="12"/>
      <c r="CU265" s="13"/>
      <c r="CV265" s="5"/>
      <c r="CW265" s="12"/>
      <c r="CY265" s="13"/>
      <c r="CZ265" s="5"/>
      <c r="DA265" s="12"/>
      <c r="DC265" s="13"/>
      <c r="DD265" s="5"/>
      <c r="DE265" s="12"/>
      <c r="DG265" s="13"/>
      <c r="DH265" s="5"/>
      <c r="DI265" s="12"/>
      <c r="DK265" s="13"/>
      <c r="DL265" s="5"/>
      <c r="DM265" s="12"/>
      <c r="DO265" s="13"/>
      <c r="DP265" s="5"/>
      <c r="DQ265" s="12"/>
      <c r="DS265" s="1336">
        <f t="shared" si="3"/>
        <v>0</v>
      </c>
      <c r="DT265" s="121">
        <f>EXTRAS!D129</f>
        <v>0</v>
      </c>
      <c r="DU265" s="112">
        <f>EXTRAS!E129</f>
        <v>0</v>
      </c>
      <c r="DX265" s="203">
        <f t="shared" si="4"/>
        <v>0</v>
      </c>
      <c r="DZ265" s="924"/>
      <c r="EH265" s="924"/>
    </row>
    <row r="266" spans="1:138" s="6" customFormat="1" ht="15" customHeight="1">
      <c r="A266" s="3">
        <v>110</v>
      </c>
      <c r="B266" s="210" t="s">
        <v>507</v>
      </c>
      <c r="C266" s="473" t="s">
        <v>386</v>
      </c>
      <c r="D266" s="198"/>
      <c r="E266" s="199"/>
      <c r="F266" s="199"/>
      <c r="G266" s="198"/>
      <c r="H266" s="4"/>
      <c r="I266" s="4"/>
      <c r="J266" s="198"/>
      <c r="K266" s="5"/>
      <c r="L266" s="5"/>
      <c r="M266" s="5"/>
      <c r="O266" s="5"/>
      <c r="P266" s="5"/>
      <c r="Q266" s="5"/>
      <c r="S266" s="5"/>
      <c r="T266" s="5"/>
      <c r="U266" s="5"/>
      <c r="W266" s="5"/>
      <c r="X266" s="5"/>
      <c r="Y266" s="12"/>
      <c r="AA266" s="13"/>
      <c r="AB266" s="12"/>
      <c r="AD266" s="13"/>
      <c r="AE266" s="5"/>
      <c r="AF266" s="5"/>
      <c r="AH266" s="13"/>
      <c r="AI266" s="5"/>
      <c r="AK266" s="5"/>
      <c r="AL266" s="5"/>
      <c r="AM266" s="5"/>
      <c r="AO266" s="5"/>
      <c r="AP266" s="5"/>
      <c r="AR266" s="5"/>
      <c r="AS266" s="5"/>
      <c r="AT266" s="5"/>
      <c r="AV266" s="5"/>
      <c r="AW266" s="5"/>
      <c r="AY266" s="5"/>
      <c r="AZ266" s="5"/>
      <c r="BA266" s="5"/>
      <c r="BC266" s="5"/>
      <c r="BD266" s="5"/>
      <c r="BF266" s="5"/>
      <c r="BG266" s="5"/>
      <c r="BH266" s="5"/>
      <c r="BJ266" s="5"/>
      <c r="BK266" s="5"/>
      <c r="BL266" s="12"/>
      <c r="BM266" s="5"/>
      <c r="BN266" s="5"/>
      <c r="BO266" s="5"/>
      <c r="BQ266" s="5"/>
      <c r="BR266" s="5"/>
      <c r="BT266" s="5"/>
      <c r="BU266" s="5"/>
      <c r="BV266" s="5"/>
      <c r="BX266" s="5"/>
      <c r="BY266" s="5"/>
      <c r="CA266" s="13">
        <v>0.3</v>
      </c>
      <c r="CB266" s="196">
        <f>CB5*CA266+CC5*CA266+CB6*CA266+CC6*CA266+CB7*CA266+CC7*CA266+CB8*CA266+CC8*CA266+CB9*CA266+CC9*CA266+CB10*CA266+CC10*CA266+CB11*CA266+CC11*CA266+CB12*CA266+CC12*CA266+CB13*CA266+CC13*CA266+CB14*CA266+CC14*CA266+CB15*CA266+CC15*CA266+CB16*CA266+CC16*CA266+CB17*CA266+CC17*CA266+CB18*CA266+CC18*CA266+CB19*CA266+CC19*CA266+CB20*CA266+CC20*CA266+CB21*CA266+CC21*CA266+CB22*CA266+CC22*CA266+CB23*CA266+CC23*CA266+CB24*CA266+CC24*CA266+CB25*CA266+CC25*CA266+CB26*CA266+CC26*CA266+CD5*CA266+CD6*CA266+CD7*CA266+CD8*CA266+CD9*CA266+CD10*CA266+CD11*CA266+CB19*CA266+CD12*CA266+CD13*CA266+CD14*CA266+CD15*CA266+CD16*CA266+CD17*CA266+CD18*CA266+CD19*CA266+CD20*CA266+CD21*CA266+CD22*CA266+CD23*CA266+CD24*CA266+CD25*CA266+CD26*CA266</f>
        <v>0</v>
      </c>
      <c r="CC266" s="11"/>
      <c r="CE266" s="201">
        <v>0.3</v>
      </c>
      <c r="CF266" s="196">
        <f>CF5*CE266+CG5*CE266+CF6*CE266+CG6*CE266+CF7*CE266+CG7*CE266+CF8*CE266+CG8*CE266+CF9*CE266+CG9*CE266+CF10*CE266+CG10*CE266+CF11*CE266+CG11*CE266+CF12*CE266+CG12*CE266+CF13*CE266+CG13*CE266+CF14*CE266+CG14*CE266+CF15*CE266+CG15*CE266+CF16*CE266+CG16*CE266+CF17*CE266+CG17*CE266+CF18*CE266+CG18*CE266+CF19*CE266+CG19*CE266+CF20*CE266+CG20*CE266+CF21*CE266+CG21*CE266+CF22*CE266+CG22*CE266+CF23*CE266+CG23*CE266+CF24*CE266+CG24*CE266+CF25*CE266+CG25*CE266+CF26*CE266+CG26*CE266+CH5*CE266+CH6*CE266+CH7*CE266+CH8*CE266+CH9*CE266+CH10*CE266+CH11*CE266+CF19*CE266+CH12*CE266+CH13*CE266+CH14*CE266+CH15*CE266+CH16*CE266+CH17*CE266+CH18*CE266+CH19*CE266+CH20*CE266+CH21*CE266+CH22*CE266+CH23*CE266+CH24*CE266+CH25*CE266+CH26*CE266</f>
        <v>0</v>
      </c>
      <c r="CG266" s="200"/>
      <c r="CH266" s="196"/>
      <c r="CI266" s="201">
        <v>0.3</v>
      </c>
      <c r="CJ266" s="196">
        <f>CJ5*CI266+CK5*CI266+CJ6*CI266+CK6*CI266+CJ7*CI266+CK7*CI266+CJ8*CI266+CK8*CI266+CJ9*CI266+CK9*CI266+CJ10*CI266+CK10*CI266+CJ11*CI266+CK11*CI266+CJ12*CI266+CK12*CI266+CJ13*CI266+CK13*CI266+CJ14*CI266+CK14*CI266+CJ15*CI266+CK15*CI266+CJ16*CI266+CK16*CI266+CJ17*CI266+CK17*CI266+CJ18*CI266+CK18*CI266+CJ19*CI266+CK19*CI266+CJ20*CI266+CK20*CI266+CJ21*CI266+CK21*CI266+CJ22*CI266+CK22*CI266+CJ23*CI266+CK23*CI266+CJ24*CI266+CK24*CI266+CJ25*CI266+CK25*CI266+CJ26*CI266+CK26*CI266+CL5*CI266+CL6*CI266+CL7*CI266+CL8*CI266+CL9*CI266+CL10*CI266+CL11*CI266+CJ19*CI266+CL12*CI266+CL13*CI266+CL14*CI266+CL15*CI266+CL16*CI266+CL17*CI266+CL18*CI266+CL19*CI266+CL20*CI266+CL21*CI266+CL22*CI266+CL23*CI266+CL24*CI266+CL25*CI266+CL26*CI266</f>
        <v>0</v>
      </c>
      <c r="CK266" s="200"/>
      <c r="CL266" s="196"/>
      <c r="CM266" s="201">
        <v>0.3</v>
      </c>
      <c r="CN266" s="196">
        <f>CN5*CM266+CO5*CM266+CN6*CM266+CO6*CM266+CN7*CM266+CO7*CM266+CN8*CM266+CO8*CM266+CN9*CM266+CO9*CM266+CN10*CM266+CO10*CM266+CN11*CM266+CO11*CM266+CN12*CM266+CO12*CM266+CN13*CM266+CO13*CM266+CN14*CM266+CO14*CM266+CN15*CM266+CO15*CM266+CN16*CM266+CO16*CM266+CN17*CM266+CO17*CM266+CN18*CM266+CO18*CM266+CN19*CM266+CO19*CM266+CN20*CM266+CO20*CM266+CN21*CM266+CO21*CM266+CN22*CM266+CO22*CM266+CN23*CM266+CO23*CM266+CN24*CM266+CO24*CM266+CN25*CM266+CO25*CM266+CN26*CM266+CO26*CM266+CT5*CM266+CT6*CM266+CT7*CM266+CT8*CM266+CT9*CM266+CT10*CM266+CT11*CM266+CN19*CM266+CT12*CM266+CT13*CM266+CT14*CM266+CT15*CM266+CT16*CM266+CT17*CM266+CT18*CM266+CT19*CM266+CT20*CM266+CT21*CM266+CT22*CM266+CT23*CM266+CT24*CM266+CT25*CM266+CT26*CM266</f>
        <v>0</v>
      </c>
      <c r="CO266" s="200"/>
      <c r="CQ266" s="201">
        <v>0.3</v>
      </c>
      <c r="CR266" s="196">
        <f>CR5*CQ266+CS5*CQ266+CR6*CQ266+CS6*CQ266+CR7*CQ266+CS7*CQ266+CR8*CQ266+CS8*CQ266+CR9*CQ266+CS9*CQ266+CR10*CQ266+CS10*CQ266+CR11*CQ266+CS11*CQ266+CR12*CQ266+CS12*CQ266+CR13*CQ266+CS13*CQ266+CR14*CQ266+CS14*CQ266+CR15*CQ266+CS15*CQ266+CR16*CQ266+CS16*CQ266+CR17*CQ266+CS17*CQ266+CR18*CQ266+CS18*CQ266+CR19*CQ266+CS19*CQ266+CR20*CQ266+CS20*CQ266+CR21*CQ266+CS21*CQ266+CR22*CQ266+CS22*CQ266+CR23*CQ266+CS23*CQ266+CR24*CQ266+CS24*CQ266+CR25*CQ266+CS25*CQ266+CR26*CQ266+CS26*CQ266+CT5*CQ266+CT6*CQ266+CT7*CQ266+CT8*CQ266+CT9*CQ266+CT10*CQ266+CT11*CQ266+CR19*CQ266+CT12*CQ266+CT13*CQ266+CT14*CQ266+CT15*CQ266+CT16*CQ266+CT17*CQ266+CT18*CQ266+CT19*CQ266+CT20*CQ266+CT21*CQ266+CT22*CQ266+CT23*CQ266+CT24*CQ266+CT25*CQ266+CT26*CQ266</f>
        <v>0</v>
      </c>
      <c r="CS266" s="200"/>
      <c r="CT266" s="196"/>
      <c r="CU266" s="201">
        <v>0.3</v>
      </c>
      <c r="CV266" s="196">
        <f>CV5*CU266+CW5*CU266+CV6*CU266+CW6*CU266+CV7*CU266+CW7*CU266+CV8*CU266+CW8*CU266+CV9*CU266+CW9*CU266+CV10*CU266+CW10*CU266+CV11*CU266+CW11*CU266+CV12*CU266+CW12*CU266+CV13*CU266+CW13*CU266+CV14*CU266+CW14*CU266+CV15*CU266+CW15*CU266+CV16*CU266+CW16*CU266+CV17*CU266+CW17*CU266+CV18*CU266+CW18*CU266+CV19*CU266+CW19*CU266+CV20*CU266+CW20*CU266+CV21*CU266+CW21*CU266+CV22*CU266+CW22*CU266+CV23*CU266+CW23*CU266+CV24*CU266+CW24*CU266+CV25*CU266+CW25*CU266+CV26*CU266+CW26*CU266+CX5*CU266+CX6*CU266+CX7*CU266+CX8*CU266+CX9*CU266+CX10*CU266+CX11*CU266+CV19*CU266+CX12*CU266+CX13*CU266+CX14*CU266+CX15*CU266+CX16*CU266+CX17*CU266+CX18*CU266+CX19*CU266+CX20*CU266+CX21*CU266+CX22*CU266+CX23*CU266+CX24*CU266+CX25*CU266+CX26*CU266</f>
        <v>0</v>
      </c>
      <c r="CW266" s="200"/>
      <c r="CY266" s="13"/>
      <c r="CZ266" s="5"/>
      <c r="DA266" s="12"/>
      <c r="DC266" s="13"/>
      <c r="DD266" s="5"/>
      <c r="DE266" s="12"/>
      <c r="DG266" s="13"/>
      <c r="DH266" s="5"/>
      <c r="DI266" s="12"/>
      <c r="DK266" s="13"/>
      <c r="DL266" s="5"/>
      <c r="DM266" s="12"/>
      <c r="DO266" s="201"/>
      <c r="DP266" s="199"/>
      <c r="DQ266" s="200"/>
      <c r="DS266" s="1336">
        <f t="shared" si="3"/>
        <v>0</v>
      </c>
      <c r="DT266" s="121">
        <f>EXTRAS!D130</f>
        <v>0</v>
      </c>
      <c r="DU266" s="112">
        <f>EXTRAS!E130</f>
        <v>0</v>
      </c>
      <c r="DX266" s="203">
        <f t="shared" si="4"/>
        <v>0</v>
      </c>
      <c r="DZ266" s="924"/>
      <c r="EH266" s="924"/>
    </row>
    <row r="267" spans="1:138" s="6" customFormat="1" ht="15" customHeight="1">
      <c r="A267" s="3"/>
      <c r="B267" s="210" t="s">
        <v>1510</v>
      </c>
      <c r="C267" s="473" t="s">
        <v>386</v>
      </c>
      <c r="D267" s="198"/>
      <c r="E267" s="199"/>
      <c r="F267" s="199"/>
      <c r="G267" s="198"/>
      <c r="H267" s="4"/>
      <c r="I267" s="4"/>
      <c r="J267" s="198"/>
      <c r="K267" s="5"/>
      <c r="L267" s="5"/>
      <c r="M267" s="5"/>
      <c r="O267" s="5"/>
      <c r="P267" s="5"/>
      <c r="Q267" s="5"/>
      <c r="S267" s="5"/>
      <c r="T267" s="5"/>
      <c r="U267" s="5"/>
      <c r="W267" s="5"/>
      <c r="X267" s="5"/>
      <c r="Y267" s="12"/>
      <c r="AA267" s="13"/>
      <c r="AB267" s="12"/>
      <c r="AD267" s="13"/>
      <c r="AE267" s="5"/>
      <c r="AF267" s="5"/>
      <c r="AH267" s="13"/>
      <c r="AI267" s="5"/>
      <c r="AK267" s="5"/>
      <c r="AL267" s="5"/>
      <c r="AM267" s="5"/>
      <c r="AO267" s="5"/>
      <c r="AP267" s="5"/>
      <c r="AR267" s="5"/>
      <c r="AS267" s="5"/>
      <c r="AT267" s="5"/>
      <c r="AV267" s="5"/>
      <c r="AW267" s="5"/>
      <c r="AY267" s="5"/>
      <c r="AZ267" s="5"/>
      <c r="BA267" s="5"/>
      <c r="BC267" s="5"/>
      <c r="BD267" s="5"/>
      <c r="BF267" s="5"/>
      <c r="BG267" s="5"/>
      <c r="BH267" s="5"/>
      <c r="BJ267" s="5"/>
      <c r="BK267" s="5"/>
      <c r="BL267" s="12"/>
      <c r="BM267" s="5"/>
      <c r="BN267" s="5"/>
      <c r="BO267" s="5"/>
      <c r="BQ267" s="5"/>
      <c r="BR267" s="5"/>
      <c r="BT267" s="5"/>
      <c r="BU267" s="5"/>
      <c r="BV267" s="5"/>
      <c r="BX267" s="5"/>
      <c r="BY267" s="5"/>
      <c r="CA267" s="13"/>
      <c r="CB267" s="196"/>
      <c r="CC267" s="11"/>
      <c r="CE267" s="201"/>
      <c r="CF267" s="196"/>
      <c r="CG267" s="200"/>
      <c r="CH267" s="196"/>
      <c r="CI267" s="201"/>
      <c r="CJ267" s="196"/>
      <c r="CK267" s="200"/>
      <c r="CL267" s="196"/>
      <c r="CM267" s="201"/>
      <c r="CN267" s="196"/>
      <c r="CO267" s="200"/>
      <c r="CQ267" s="201"/>
      <c r="CR267" s="196"/>
      <c r="CS267" s="200"/>
      <c r="CT267" s="196"/>
      <c r="CU267" s="201"/>
      <c r="CV267" s="196"/>
      <c r="CW267" s="200"/>
      <c r="CY267" s="13"/>
      <c r="CZ267" s="5"/>
      <c r="DA267" s="12"/>
      <c r="DC267" s="13"/>
      <c r="DD267" s="5"/>
      <c r="DE267" s="12"/>
      <c r="DG267" s="13"/>
      <c r="DH267" s="5"/>
      <c r="DI267" s="12"/>
      <c r="DK267" s="13"/>
      <c r="DL267" s="5"/>
      <c r="DM267" s="12"/>
      <c r="DO267" s="201"/>
      <c r="DP267" s="199"/>
      <c r="DQ267" s="200"/>
      <c r="DS267" s="1336">
        <f t="shared" si="3"/>
        <v>0</v>
      </c>
      <c r="DT267" s="121">
        <f>EXTRAS!D131</f>
        <v>0</v>
      </c>
      <c r="DU267" s="112">
        <f>EXTRAS!E131</f>
        <v>0</v>
      </c>
      <c r="DX267" s="203">
        <f t="shared" si="4"/>
        <v>0</v>
      </c>
      <c r="DZ267" s="924"/>
      <c r="EH267" s="924"/>
    </row>
    <row r="268" spans="1:138" s="6" customFormat="1" ht="15" customHeight="1">
      <c r="A268" s="3">
        <v>111</v>
      </c>
      <c r="B268" s="210" t="s">
        <v>13</v>
      </c>
      <c r="C268" s="473" t="s">
        <v>515</v>
      </c>
      <c r="D268" s="4"/>
      <c r="E268" s="5"/>
      <c r="F268" s="5"/>
      <c r="G268" s="4"/>
      <c r="H268" s="4"/>
      <c r="I268" s="4"/>
      <c r="J268" s="4"/>
      <c r="K268" s="5"/>
      <c r="L268" s="5"/>
      <c r="M268" s="5"/>
      <c r="O268" s="5"/>
      <c r="P268" s="5"/>
      <c r="Q268" s="5"/>
      <c r="S268" s="5"/>
      <c r="T268" s="5"/>
      <c r="U268" s="5"/>
      <c r="W268" s="5"/>
      <c r="X268" s="5"/>
      <c r="Y268" s="12"/>
      <c r="AA268" s="13"/>
      <c r="AB268" s="12"/>
      <c r="AD268" s="13"/>
      <c r="AE268" s="5"/>
      <c r="AF268" s="5"/>
      <c r="AH268" s="13"/>
      <c r="AI268" s="5"/>
      <c r="AK268" s="5"/>
      <c r="AL268" s="5"/>
      <c r="AM268" s="5"/>
      <c r="AO268" s="5"/>
      <c r="AP268" s="5"/>
      <c r="AR268" s="5"/>
      <c r="AS268" s="5"/>
      <c r="AT268" s="5"/>
      <c r="AV268" s="5"/>
      <c r="AW268" s="5"/>
      <c r="AY268" s="5"/>
      <c r="AZ268" s="5"/>
      <c r="BA268" s="5"/>
      <c r="BC268" s="5"/>
      <c r="BD268" s="5"/>
      <c r="BF268" s="5"/>
      <c r="BG268" s="5"/>
      <c r="BH268" s="5"/>
      <c r="BJ268" s="5"/>
      <c r="BK268" s="5"/>
      <c r="BL268" s="12"/>
      <c r="BM268" s="5"/>
      <c r="BN268" s="5"/>
      <c r="BO268" s="5"/>
      <c r="BQ268" s="5"/>
      <c r="BR268" s="5"/>
      <c r="BT268" s="5"/>
      <c r="BU268" s="5"/>
      <c r="BV268" s="5"/>
      <c r="BX268" s="5"/>
      <c r="BY268" s="5"/>
      <c r="CA268" s="13"/>
      <c r="CB268" s="7"/>
      <c r="CC268" s="11"/>
      <c r="CE268" s="13"/>
      <c r="CF268" s="5"/>
      <c r="CG268" s="12"/>
      <c r="CI268" s="13"/>
      <c r="CJ268" s="5"/>
      <c r="CK268" s="12"/>
      <c r="CM268" s="13"/>
      <c r="CN268" s="5"/>
      <c r="CO268" s="12"/>
      <c r="CQ268" s="13"/>
      <c r="CR268" s="5"/>
      <c r="CS268" s="12"/>
      <c r="CU268" s="13"/>
      <c r="CV268" s="5"/>
      <c r="CW268" s="12"/>
      <c r="CY268" s="13"/>
      <c r="CZ268" s="5"/>
      <c r="DA268" s="12"/>
      <c r="DC268" s="13"/>
      <c r="DD268" s="5"/>
      <c r="DE268" s="12"/>
      <c r="DG268" s="13"/>
      <c r="DH268" s="5"/>
      <c r="DI268" s="12"/>
      <c r="DK268" s="13"/>
      <c r="DL268" s="5"/>
      <c r="DM268" s="12"/>
      <c r="DO268" s="13"/>
      <c r="DP268" s="5"/>
      <c r="DQ268" s="12"/>
      <c r="DS268" s="1336">
        <f t="shared" si="3"/>
        <v>0</v>
      </c>
      <c r="DT268" s="121">
        <f>EXTRAS!D132</f>
        <v>0</v>
      </c>
      <c r="DU268" s="112">
        <f>EXTRAS!E132</f>
        <v>0</v>
      </c>
      <c r="DX268" s="203">
        <f t="shared" si="4"/>
        <v>0</v>
      </c>
      <c r="DZ268" s="924"/>
      <c r="EH268" s="924"/>
    </row>
    <row r="269" spans="1:138" s="6" customFormat="1" ht="15" customHeight="1">
      <c r="A269" s="3">
        <v>112</v>
      </c>
      <c r="B269" s="210" t="s">
        <v>174</v>
      </c>
      <c r="C269" s="473" t="s">
        <v>515</v>
      </c>
      <c r="D269" s="4"/>
      <c r="E269" s="5"/>
      <c r="F269" s="5"/>
      <c r="G269" s="4"/>
      <c r="H269" s="4"/>
      <c r="I269" s="4"/>
      <c r="J269" s="4"/>
      <c r="K269" s="5"/>
      <c r="L269" s="5"/>
      <c r="M269" s="5"/>
      <c r="O269" s="5"/>
      <c r="P269" s="5"/>
      <c r="Q269" s="5"/>
      <c r="S269" s="5"/>
      <c r="T269" s="5"/>
      <c r="U269" s="5"/>
      <c r="W269" s="5"/>
      <c r="X269" s="5"/>
      <c r="Y269" s="12"/>
      <c r="AA269" s="13"/>
      <c r="AB269" s="12"/>
      <c r="AD269" s="13"/>
      <c r="AE269" s="5"/>
      <c r="AF269" s="5"/>
      <c r="AH269" s="13"/>
      <c r="AI269" s="5"/>
      <c r="AK269" s="5"/>
      <c r="AL269" s="5"/>
      <c r="AM269" s="5"/>
      <c r="AO269" s="5"/>
      <c r="AP269" s="5"/>
      <c r="AR269" s="5"/>
      <c r="AS269" s="5"/>
      <c r="AT269" s="5"/>
      <c r="AV269" s="5"/>
      <c r="AW269" s="5"/>
      <c r="AY269" s="5"/>
      <c r="AZ269" s="5"/>
      <c r="BA269" s="5"/>
      <c r="BC269" s="5"/>
      <c r="BD269" s="5"/>
      <c r="BF269" s="5"/>
      <c r="BG269" s="5"/>
      <c r="BH269" s="5"/>
      <c r="BJ269" s="5"/>
      <c r="BK269" s="5"/>
      <c r="BL269" s="12"/>
      <c r="BM269" s="5"/>
      <c r="BN269" s="5"/>
      <c r="BO269" s="5"/>
      <c r="BQ269" s="5"/>
      <c r="BR269" s="5"/>
      <c r="BT269" s="5"/>
      <c r="BU269" s="5"/>
      <c r="BV269" s="5"/>
      <c r="BX269" s="5"/>
      <c r="BY269" s="5"/>
      <c r="CA269" s="13"/>
      <c r="CB269" s="7"/>
      <c r="CC269" s="11"/>
      <c r="CE269" s="13">
        <v>1</v>
      </c>
      <c r="CF269" s="5">
        <f>CF26*CE269+CG26*CE269+CF5*CE269+CG5*CE269+CF6*CE269+CG6*CE269+CF7*CE269+CG7*CE269+CF8*CE269+CG8*CE269+CF9*CE269+CG9*CE269+CF10*CE269+CG10*CE269+CF11*CE269+CG11*CE269+CF12*CE269+CG12*CE269+CF13*CE269+CG13*CE269+CF14*CE269+CG14*CE269+CF15*CE269+CG15*CE269+CF16*CE269+CG16*CE269+CF17*CE269+CG17*CE269+CF18*CE269+CG18*CE269+CF19*CE269+CG19*CE269+CF20*CE269+CG20*CE269+CF21*CE269+CG21*CE269+CF22*CE269+CG22*CE269+CF23*CE269+CG23*CE269+CF24*CE269+CG24*CE269+CF25*CE269+CG25*CE269</f>
        <v>0</v>
      </c>
      <c r="CG269" s="12"/>
      <c r="CI269" s="13">
        <v>1</v>
      </c>
      <c r="CJ269" s="5">
        <f>CJ26*CI269+CK26*CI269+CJ5*CI269+CK5*CI269+CJ6*CI269+CK6*CI269+CJ7*CI269+CK7*CI269+CJ8*CI269+CK8*CI269+CJ9*CI269+CK9*CI269+CJ10*CI269+CK10*CI269+CJ11*CI269+CK11*CI269+CJ12*CI269+CK12*CI269+CJ13*CI269+CK13*CI269+CJ14*CI269+CK14*CI269+CJ15*CI269+CK15*CI269+CJ16*CI269+CK16*CI269+CJ17*CI269+CK17*CI269+CJ18*CI269+CK18*CI269+CJ19*CI269+CK19*CI269+CJ20*CI269+CK20*CI269+CJ21*CI269+CK21*CI269+CJ22*CI269+CK22*CI269+CJ23*CI269+CK23*CI269+CJ24*CI269+CK24*CI269+CJ25*CI269+CK25*CI269</f>
        <v>0</v>
      </c>
      <c r="CK269" s="12"/>
      <c r="CM269" s="13">
        <v>1</v>
      </c>
      <c r="CN269" s="5">
        <f>CN26*CM269+CO26*CM269+CN5*CM269+CO5*CM269+CN6*CM269+CO6*CM269+CN7*CM269+CO7*CM269+CN8*CM269+CO8*CM269+CN9*CM269+CO9*CM269+CN10*CM269+CO10*CM269+CN11*CM269+CO11*CM269+CN12*CM269+CO12*CM269+CN13*CM269+CO13*CM269+CN14*CM269+CO14*CM269+CN15*CM269+CO15*CM269+CN16*CM269+CO16*CM269+CN17*CM269+CO17*CM269+CN18*CM269+CO18*CM269+CN19*CM269+CO19*CM269+CN20*CM269+CO20*CM269+CN21*CM269+CO21*CM269+CN22*CM269+CO22*CM269+CN23*CM269+CO23*CM269+CN24*CM269+CO24*CM269+CN25*CM269+CO25*CM269</f>
        <v>0</v>
      </c>
      <c r="CO269" s="12"/>
      <c r="CQ269" s="13">
        <v>1</v>
      </c>
      <c r="CR269" s="5">
        <f>CR26*CQ269+CS26*CQ269+CR5*CQ269+CS5*CQ269+CR6*CQ269+CS6*CQ269+CR7*CQ269+CS7*CQ269+CR8*CQ269+CS8*CQ269+CR9*CQ269+CS9*CQ269+CR10*CQ269+CS10*CQ269+CR11*CQ269+CS11*CQ269+CR12*CQ269+CS12*CQ269+CR13*CQ269+CS13*CQ269+CR14*CQ269+CS14*CQ269+CR15*CQ269+CS15*CQ269+CR16*CQ269+CS16*CQ269+CR17*CQ269+CS17*CQ269+CR18*CQ269+CS18*CQ269+CR19*CQ269+CS19*CQ269+CR20*CQ269+CS20*CQ269+CR21*CQ269+CS21*CQ269+CR22*CQ269+CS22*CQ269+CR23*CQ269+CS23*CQ269+CR24*CQ269+CS24*CQ269+CR25*CQ269+CS25*CQ269</f>
        <v>0</v>
      </c>
      <c r="CS269" s="12"/>
      <c r="CU269" s="13">
        <v>1</v>
      </c>
      <c r="CV269" s="5">
        <f>CV26*CU269+CW26*CU269+CV5*CU269+CW5*CU269+CV6*CU269+CW6*CU269+CV7*CU269+CW7*CU269+CV8*CU269+CW8*CU269+CV9*CU269+CW9*CU269+CV10*CU269+CW10*CU269+CV11*CU269+CW11*CU269+CV12*CU269+CW12*CU269+CV13*CU269+CW13*CU269+CV14*CU269+CW14*CU269+CV15*CU269+CW15*CU269+CV16*CU269+CW16*CU269+CV17*CU269+CW17*CU269+CV18*CU269+CW18*CU269+CV19*CU269+CW19*CU269+CV20*CU269+CW20*CU269+CV21*CU269+CW21*CU269+CV22*CU269+CW22*CU269+CV23*CU269+CW23*CU269+CV24*CU269+CW24*CU269+CV25*CU269+CW25*CU269</f>
        <v>0</v>
      </c>
      <c r="CW269" s="12"/>
      <c r="CY269" s="13">
        <v>1</v>
      </c>
      <c r="CZ269" s="5">
        <f>CZ26*CY269+DA26*CY269+CZ5*CY269+DA5*CY269+CZ6*CY269+DA6*CY269+CZ7*CY269+DA7*CY269+CZ8*CY269+DA8*CY269+CZ9*CY269+DA9*CY269+CZ10*CY269+DA10*CY269+CZ11*CY269+DA11*CY269+CZ12*CY269+DA12*CY269+CZ13*CY269+DA13*CY269+CZ14*CY269+DA14*CY269+CZ15*CY269+DA15*CY269+CZ16*CY269+DA16*CY269+CZ17*CY269+DA17*CY269+CZ18*CY269+DA18*CY269+CZ19*CY269+DA19*CY269+CZ20*CY269+DA20*CY269+CZ21*CY269+DA21*CY269+CZ22*CY269+DA22*CY269+CZ23*CY269+DA23*CY269+CZ24*CY269+DA24*CY269+CZ25*CY269+DA25*CY269</f>
        <v>0</v>
      </c>
      <c r="DA269" s="12"/>
      <c r="DC269" s="13">
        <v>1</v>
      </c>
      <c r="DD269" s="5">
        <f>DD26*DC269+DE26*DC269+DD5*DC269+DE5*DC269+DD6*DC269+DE6*DC269+DD7*DC269+DE7*DC269+DD8*DC269+DE8*DC269+DD9*DC269+DE9*DC269+DD10*DC269+DE10*DC269+DD11*DC269+DE11*DC269+DD12*DC269+DE12*DC269+DD13*DC269+DE13*DC269+DD14*DC269+DE14*DC269+DD15*DC269+DE15*DC269+DD16*DC269+DE16*DC269+DD17*DC269+DE17*DC269+DD18*DC269+DE18*DC269+DD19*DC269+DE19*DC269+DD20*DC269+DE20*DC269+DD21*DC269+DE21*DC269+DD22*DC269+DE22*DC269+DD23*DC269+DE23*DC269+DD24*DC269+DE24*DC269+DD25*DC269+DE25*DC269</f>
        <v>0</v>
      </c>
      <c r="DE269" s="12"/>
      <c r="DG269" s="13">
        <v>1</v>
      </c>
      <c r="DH269" s="5">
        <f>DH26*DG269+DI26*DG269+DH5*DG269+DI5*DG269+DH6*DG269+DI6*DG269+DH7*DG269+DI7*DG269+DH8*DG269+DI8*DG269+DH9*DG269+DI9*DG269+DH10*DG269+DI10*DG269+DH11*DG269+DI11*DG269+DH12*DG269+DI12*DG269+DH13*DG269+DI13*DG269+DH14*DG269+DI14*DG269+DH15*DG269+DI15*DG269+DH16*DG269+DI16*DG269+DH17*DG269+DI17*DG269+DH18*DG269+DI18*DG269+DH19*DG269+DI19*DG269+DH20*DG269+DI20*DG269+DH21*DG269+DI21*DG269+DH22*DG269+DI22*DG269+DH23*DG269+DI23*DG269+DH24*DG269+DI24*DG269+DH25*DG269+DI25*DG269</f>
        <v>0</v>
      </c>
      <c r="DI269" s="12"/>
      <c r="DK269" s="13">
        <v>1</v>
      </c>
      <c r="DL269" s="5">
        <f>DL26*DK269+DM26*DK269+DL5*DK269+DM5*DK269+DL6*DK269+DM6*DK269+DL7*DK269+DM7*DK269+DL8*DK269+DM8*DK269+DL9*DK269+DM9*DK269+DL10*DK269+DM10*DK269+DL11*DK269+DM11*DK269+DL12*DK269+DM12*DK269+DL13*DK269+DM13*DK269+DL14*DK269+DM14*DK269+DL15*DK269+DM15*DK269+DL16*DK269+DM16*DK269+DL17*DK269+DM17*DK269+DL18*DK269+DM18*DK269+DL19*DK269+DM19*DK269+DL20*DK269+DM20*DK269+DL21*DK269+DM21*DK269+DL22*DK269+DM22*DK269+DL23*DK269+DM23*DK269+DL24*DK269+DM24*DK269+DL25*DK269+DM25*DK269</f>
        <v>0</v>
      </c>
      <c r="DM269" s="12"/>
      <c r="DO269" s="13">
        <v>1</v>
      </c>
      <c r="DP269" s="5">
        <f>DP26*DO269+DQ26*DO269+DP5*DO269+DQ5*DO269+DP6*DO269+DQ6*DO269+DP7*DO269+DQ7*DO269+DP8*DO269+DQ8*DO269+DP9*DO269+DQ9*DO269+DP10*DO269+DQ10*DO269+DP11*DO269+DQ11*DO269+DP12*DO269+DQ12*DO269+DP13*DO269+DQ13*DO269+DP14*DO269+DQ14*DO269+DP15*DO269+DQ15*DO269+DP16*DO269+DQ16*DO269+DP17*DO269+DQ17*DO269+DP18*DO269+DQ18*DO269+DP19*DO269+DQ19*DO269+DP20*DO269+DQ20*DO269+DP21*DO269+DQ21*DO269+DP22*DO269+DQ22*DO269+DP23*DO269+DQ23*DO269+DP24*DO269+DQ24*DO269+DP25*DO269+DQ25*DO269</f>
        <v>0</v>
      </c>
      <c r="DQ269" s="12"/>
      <c r="DS269" s="1336">
        <f t="shared" si="3"/>
        <v>0</v>
      </c>
      <c r="DT269" s="121">
        <f>EXTRAS!D133</f>
        <v>0</v>
      </c>
      <c r="DU269" s="112">
        <f>EXTRAS!E133</f>
        <v>0</v>
      </c>
      <c r="DV269" s="6">
        <f>SUM(DW7:DW14)*1-SUM(DX7:DX14)*1</f>
        <v>0</v>
      </c>
      <c r="DX269" s="203">
        <f t="shared" si="4"/>
        <v>0</v>
      </c>
      <c r="DZ269" s="924"/>
      <c r="EH269" s="924"/>
    </row>
    <row r="270" spans="1:138" s="6" customFormat="1" ht="15" customHeight="1">
      <c r="A270" s="3">
        <v>113</v>
      </c>
      <c r="B270" s="210" t="s">
        <v>15</v>
      </c>
      <c r="C270" s="473" t="s">
        <v>515</v>
      </c>
      <c r="D270" s="4"/>
      <c r="E270" s="5"/>
      <c r="F270" s="5"/>
      <c r="G270" s="4"/>
      <c r="H270" s="4"/>
      <c r="I270" s="4"/>
      <c r="J270" s="4"/>
      <c r="K270" s="5"/>
      <c r="L270" s="5"/>
      <c r="M270" s="5"/>
      <c r="O270" s="5"/>
      <c r="P270" s="5"/>
      <c r="Q270" s="5"/>
      <c r="S270" s="5">
        <v>1</v>
      </c>
      <c r="T270" s="5">
        <f>T5*S270+T6*S270+T7*S270+T8*S270+T9*S270+T10*S270+T11*S270+T12*S270+T13*S270+T14*S270+T15*S270+T16*S270+T17*S270+T18*S270+T19*S270+T20*S270+T21*S270+T22*S270+T23*S270+T24*S270+T25*S270+T26*S270+U5*S270+U6*S270+U7*S270+U8*S270+U9*S270+U10*S270+U11*S270+U12*S270+U13*S270+U14*S270+U15*S270+U16*S270+U17*S270+U18*S270+U19*S270+U20*S270+U21*S270+U22*S270+U23*S270+U24*S270+U25*S270+U26*S270</f>
        <v>0</v>
      </c>
      <c r="U270" s="5"/>
      <c r="W270" s="5">
        <v>1</v>
      </c>
      <c r="X270" s="5">
        <f>X5*W270+X6*W270+X7*W270+X8*W270+X9*W270+X10*W270+X11*W270+X12*W270+X13*W270+X14*W270+X15*W270+X16*W270+X17*W270+X18*W270+X19*W270+X20*W270+X21*W270+X22*W270+X23*W270+X24*W270+X25*W270+X26*W270+Y5*W270+Y6*W270+Y7*W270+Y8*W270+Y9*W270+Y10*W270+Y11*W270+Y12*W270+Y13*W270+Y14*W270+Y15*W270+Y16*W270+Y17*W270+Y18*W270+Y19*W270+Y20*W270+Y21*W270+Y22*W270+Y23*W270+Y24*W270+Y25*W270+Y26*W270</f>
        <v>0</v>
      </c>
      <c r="Y270" s="12"/>
      <c r="AA270" s="13">
        <v>1</v>
      </c>
      <c r="AB270" s="12">
        <f>AB5*AA270+AB6*AA270+AB7*AA270+AB8*AA270+AB9*AA270+AB10*AA270+AB11*AA270+AB12*AA270+AB13*AA270+AB14*AA270+AB15*AA270+AB16*AA270+AB17*AA270+AB18*AA270+AB19*AA270+AB20*AA270+AB21*AA270+AB22*AA270+AB23*AA270+AB24*AA270+AB25*AA270+AB26*AA270+AC5*AA270+AC6*AA270+AC7*AA270+AC8*AA270+AC9*AA270+AC10*AA270+AC11*AA270+AC12*AA270+AC13*AA270+AC14*AA270+AC15*AA270+AC16*AA270+AC17*AA270+AC18*AA270+AC19*AA270+AC20*AA270+AC21*AA270+AC22*AA270+AC23*AA270+AC24*AA270+AC25*AA270+AC26*AA270</f>
        <v>0</v>
      </c>
      <c r="AD270" s="13">
        <v>1</v>
      </c>
      <c r="AE270" s="5">
        <f>AE5*AD270+AF5*AD270+AE6*AD270+AF6*AD270+AE7*AD270+AF7*AD270+AE8*AD270+AF8*AD270+AE9*AD270+AF9*AD270+AE10*AD270+AF10*AD270+AE11*AD270+AF11*AD270+AE12*AD270+AF12*AD270+AE13*AD270+AF13*AD270+AE14*AD270+AF14*AD270+AE15*AD270+AF15*AD270+AE16*AD270+AF16*AD270+AE17*AD270+AF17*AD270+AE18*AD270+AF18*AD270+AE19*AD270+AF19*AD270+AE20*AD270+AF20*AD270+AE21*AD270+AF21*AD270+AE22*AD270+AF22*AD270+AE23*AD270+AF23*AD270+AE24*AD270+AF24*AD270+AE25*AD270+AF25*AD270+AE26*AD270+AF26*AD270</f>
        <v>0</v>
      </c>
      <c r="AF270" s="5"/>
      <c r="AH270" s="13">
        <v>1</v>
      </c>
      <c r="AI270" s="5">
        <f>AI5*AH270+AJ5*AH270+AI6*AH270+AJ6*AH270+AI7*AH270+AJ7*AH270+AI8*AH270+AJ8*AH270+AI9*AH270+AJ9*AH270+AI10*AH270+AJ10*AH270+AI11*AH270+AJ11*AH270+AI12*AH270+AJ12*AH270+AI13*AH270+AJ13*AH270+AI14*AH270+AJ14*AH270+AI15*AH270+AJ15*AH270+AI16*AH270+AJ16*AH270+AI17*AH270+AJ17*AH270+AI18*AH270+AJ18*AH270+AI19*AH270+AJ19*AH270+AI20*AH270+AJ20*AH270+AI21*AH270+AJ21*AH270+AI22*AH270+AJ22*AH270+AI23*AH270+AJ23*AH270+AI24*AH270+AJ24*AH270+AI25*AH270+AJ25*AH270+AI26*AH270+AJ26*AH270</f>
        <v>0</v>
      </c>
      <c r="AK270" s="5">
        <v>1</v>
      </c>
      <c r="AL270" s="5">
        <f>AL5*AK270+AM5*AK270+AL6*AK270+AM6*AK270+AL7*AK270+AM7*AK270+AL8*AK270+AM8*AK270+AL9*AK270+AM9*AK270+AL10*AK270+AM10*AK270+AL11*AK270+AM11*AK270+AL12*AK270+AM12*AK270+AL13*AK270+AM13*AK270+AL14*AK270+AM14*AK270+AL15*AK270+AM15*AK270+AL16*AK270+AM16*AK270+AL17*AK270+AM17*AK270+AL18*AK270+AM18*AK270+AL19*AK270+AM19*AK270+AL20*AK270+AM20*AK270+AL21*AK270+AM21*AK270+AL22*AK270+AM22*AK270+AL23*AK270+AM23*AK270+AL24*AK270+AM24*AK270+AL25*AK270+AM25*AK270+AL26*AK270+AM26*AK270</f>
        <v>0</v>
      </c>
      <c r="AM270" s="5"/>
      <c r="AO270" s="5">
        <v>1</v>
      </c>
      <c r="AP270" s="5">
        <f>AP5*AO270+AQ5*AO270+AP6*AO270+AQ6*AO270+AP7*AO270+AQ7*AO270+AP8*AO270+AQ8*AO270+AP9*AO270+AQ9*AO270+AP10*AO270+AQ10*AO270+AP11*AO270+AQ11*AO270+AP12*AO270+AQ12*AO270+AP13*AO270+AQ13*AO270+AP14*AO270+AQ14*AO270+AP15*AO270+AQ15*AO270+AP16*AO270+AQ16*AO270+AP17*AO270+AQ17*AO270+AP18*AO270+AQ18*AO270+AP19*AO270+AQ19*AO270+AP20*AO270+AQ20*AO270+AP21*AO270+AQ21*AO270+AP22*AO270+AQ22*AO270+AP23*AO270+AQ23*AO270+AP24*AO270+AQ24*AO270+AP25*AO270+AQ25*AO270+AP26*AO270+AQ26*AO270</f>
        <v>0</v>
      </c>
      <c r="AR270" s="5">
        <v>2</v>
      </c>
      <c r="AS270" s="5">
        <f>AS5*AR270+AT5*AR270+AS6*AR270+AT6*AR270+AS7*AR270+AT7*AR270+AS8*AR270+AT8*AR270+AS9*AR270+AT9*AR270+AS10*AR270+AT10*AR270+AS11*AR270+AT11*AR270+AS12*AR270+AT12*AR270+AS13*AR270+AT13*AR270+AS14*AR270+AT14*AR270+AS15*AR270+AT15*AR270+AS16*AR270+AT16*AR270+AS17*AR270+AT17*AR270+AS18*AR270+AT18*AR270+AS19*AR270+AT19*AR270+AS20*AR270+AT20*AR270+AS21*AR270+AT21*AR270+AS22*AR270+AT22*AR270+AS23*AR270+AT23*AR270+AS24*AR270+AT24*AR270+AS25*AR270+AT25*AR270+AS26*AR270+AT26*AR270</f>
        <v>0</v>
      </c>
      <c r="AT270" s="5"/>
      <c r="AV270" s="5">
        <v>2</v>
      </c>
      <c r="AW270" s="5">
        <f>AW5*AV270+AX5*AV270+AW6*AV270+AX6*AV270+AW7*AV270+AX7*AV270+AW8*AV270+AX8*AV270+AW9*AV270+AX9*AV270+AW10*AV270+AX10*AV270+AW11*AV270+AX11*AV270+AW12*AV270+AX12*AV270+AW13*AV270+AX13*AV270+AW14*AV270+AX14*AV270+AW15*AV270+AX15*AV270+AW16*AV270+AX16*AV270+AW17*AV270+AX17*AV270+AW18*AV270+AX18*AV270+AW19*AV270+AX19*AV270+AW20*AV270+AX20*AV270+AW21*AV270+AX21*AV270+AW22*AV270+AX22*AV270+AW23*AV270+AX23*AV270+AW24*AV270+AX24*AV270+AW25*AV270+AX25*AV270+AW26*AV270+AX26*AV270</f>
        <v>0</v>
      </c>
      <c r="AY270" s="5">
        <v>2</v>
      </c>
      <c r="AZ270" s="5">
        <f>AZ5*AY270+BA5*AY270+AZ6*AY270+BA6*AY270+AZ7*AY270+BA7*AY270+AZ8*AY270+BA8*AY270+AZ9*AY270+BA9*AY270+AZ10*AY270+BA10*AY270+AZ11*AY270+BA11*AY270+AZ12*AY270+BA12*AY270+AZ13*AY270+BA13*AY270+AZ14*AY270+BA14*AY270+AZ15*AY270+BA15*AY270+AZ16*AY270+BA16*AY270+AZ17*AY270+BA17*AY270+AZ18*AY270+BA18*AY270+AZ19*AY270+BA19*AY270+AZ20*AY270+BA20*AY270+AZ21*AY270+BA21*AY270+AZ22*AY270+BA22*AY270+AZ23*AY270+BA23*AY270+AZ24*AY270+BA24*AY270+AZ25*AY270+BA25*AY270+AZ26*AY270+BA26*AY270</f>
        <v>0</v>
      </c>
      <c r="BA270" s="5"/>
      <c r="BC270" s="5">
        <v>2</v>
      </c>
      <c r="BD270" s="5">
        <f>BD5*BC270+BE5*BC270+BD6*BC270+BE6*BC270+BD7*BC270+BE7*BC270+BD8*BC270+BE8*BC270+BD9*BC270+BE9*BC270+BD10*BC270+BE10*BC270+BD11*BC270+BE11*BC270+BD12*BC270+BE12*BC270+BD13*BC270+BE13*BC270+BD14*BC270+BE14*BC270+BD15*BC270+BE15*BC270+BD16*BC270+BE16*BC270+BD17*BC270+BE17*BC270+BD18*BC270+BE18*BC270+BD19*BC270+BE19*BC270+BD20*BC270+BE20*BC270+BD21*BC270+BE21*BC270+BD22*BC270+BE22*BC270+BD23*BC270+BE23*BC270+BD24*BC270+BE24*BC270+BD25*BC270+BE25*BC270+BD26*BC270+BE26*BC270</f>
        <v>0</v>
      </c>
      <c r="BF270" s="5">
        <v>2</v>
      </c>
      <c r="BG270" s="5">
        <f>BG5*BF270+BH5*BF270+BG6*BF270+BH6*BF270+BG7*BF270+BH7*BF270+BG8*BF270+BH8*BF270+BG9*BF270+BH9*BF270+BG10*BF270+BH10*BF270+BG11*BF270+BH11*BF270+BG12*BF270+BH12*BF270+BG13*BF270+BH13*BF270+BG14*BF270+BH14*BF270+BG15*BF270+BH15*BF270+BG16*BF270+BH16*BF270+BG17*BF270+BH17*BF270+BG18*BF270+BH18*BF270+BG19*BF270+BH19*BF270+BG20*BF270+BH20*BF270+BG21*BF270+BH21*BF270+BG22*BF270+BH22*BF270+BG23*BF270+BH23*BF270+BG24*BF270+BH24*BF270+BG25*BF270+BH25*BF270+BG26*BF270+BH26*BF270</f>
        <v>0</v>
      </c>
      <c r="BH270" s="5"/>
      <c r="BJ270" s="5">
        <v>2</v>
      </c>
      <c r="BK270" s="5">
        <f>BK5*BJ270+BL5*BJ270+BK6*BJ270+BL6*BJ270+BK7*BJ270+BL7*BJ270+BK8*BJ270+BL8*BJ270+BK9*BJ270+BL9*BJ270+BK10*BJ270+BL10*BJ270+BK11*BJ270+BL11*BJ270+BK12*BJ270+BL12*BJ270+BK13*BJ270+BL13*BJ270+BK14*BJ270+BL14*BJ270+BK15*BJ270+BL15*BJ270+BK16*BJ270+BL16*BJ270+BK17*BJ270+BL17*BJ270+BK18*BJ270+BL18*BJ270+BK19*BJ270+BL19*BJ270+BK20*BJ270+BL20*BJ270+BK21*BJ270+BL21*BJ270+BK22*BJ270+BL22*BJ270+BK23*BJ270+BL23*BJ270+BK24*BJ270+BL24*BJ270+BK25*BJ270+BL25*BJ270+BK26*BJ270+BL26*BJ270</f>
        <v>0</v>
      </c>
      <c r="BL270" s="12"/>
      <c r="BM270" s="5">
        <v>2</v>
      </c>
      <c r="BN270" s="5">
        <f>BN5*BM270+BO5*BM270+BN6*BM270+BO6*BM270+BN7*BM270+BO7*BM270+BN8*BM270+BO8*BM270+BN9*BM270+BO9*BM270+BN10*BM270+BO10*BM270+BN11*BM270+BO11*BM270+BN12*BM270+BO12*BM270+BN13*BM270+BO13*BM270+BN14*BM270+BO14*BM270+BN15*BM270+BO15*BM270+BN16*BM270+BO16*BM270+BN17*BM270+BO17*BM270+BN18*BM270+BO18*BM270+BN19*BM270+BO19*BM270+BN20*BM270+BO20*BM270+BN21*BM270+BO21*BM270+BN22*BM270+BO22*BM270+BN23*BM270+BO23*BM270+BN24*BM270+BO24*BM270+BN25*BM270+BO25*BM270+BN26*BM270+BO26*BM270</f>
        <v>0</v>
      </c>
      <c r="BO270" s="5"/>
      <c r="BQ270" s="5">
        <v>2</v>
      </c>
      <c r="BR270" s="5">
        <f>BR5*BQ270+BS5*BQ270+BR6*BQ270+BS6*BQ270+BR7*BQ270+BS7*BQ270+BR8*BQ270+BS8*BQ270+BR9*BQ270+BS9*BQ270+BR10*BQ270+BS10*BQ270+BR11*BQ270+BS11*BQ270+BR12*BQ270+BS12*BQ270+BR13*BQ270+BS13*BQ270+BR14*BQ270+BS14*BQ270+BR15*BQ270+BS15*BQ270+BR16*BQ270+BS16*BQ270+BR17*BQ270+BS17*BQ270+BR18*BQ270+BS18*BQ270+BR19*BQ270+BS19*BQ270+BR20*BQ270+BS20*BQ270+BR21*BQ270+BS21*BQ270+BR22*BQ270+BS22*BQ270+BR23*BQ270+BS23*BQ270+BR24*BQ270+BS24*BQ270+BR25*BQ270+BS25*BQ270+BR26*BQ270+BS26*BQ270</f>
        <v>0</v>
      </c>
      <c r="BT270" s="5">
        <v>2</v>
      </c>
      <c r="BU270" s="5">
        <f>BU5*BT270+BV5*BT270+BU6*BT270+BV6*BT270+BU7*BT270+BV7*BT270+BU8*BT270+BV8*BT270+BU9*BT270+BV9*BT270+BU10*BT270+BV10*BT270+BU11*BT270+BV11*BT270+BU12*BT270+BV12*BT270+BU13*BT270+BV13*BT270+BU14*BT270+BV14*BT270+BU15*BT270+BV15*BT270+BU16*BT270+BV16*BT270+BU17*BT270+BV17*BT270+BU18*BT270+BV18*BT270+BU19*BT270+BV19*BT270+BU20*BT270+BV20*BT270+BU21*BT270+BV21*BT270+BU22*BT270+BV22*BT270+BU23*BT270+BV23*BT270+BU24*BT270+BV24*BT270+BU25*BT270+BV25*BT270+BU26*BT270+BV26*BT270</f>
        <v>0</v>
      </c>
      <c r="BV270" s="5"/>
      <c r="BX270" s="5">
        <v>2</v>
      </c>
      <c r="BY270" s="5">
        <f>BY5*BX270+BZ5*BX270+BY6*BX270+BZ6*BX270+BY7*BX270+BZ7*BX270+BY8*BX270+BZ8*BX270+BY9*BX270+BZ9*BX270+BY10*BX270+BZ10*BX270+BY11*BX270+BZ11*BX270+BY12*BX270+BZ12*BX270+BY13*BX270+BZ13*BX270+BY14*BX270+BZ14*BX270+BY15*BX270+BZ15*BX270+BY16*BX270+BZ16*BX270+BY17*BX270+BZ17*BX270+BY18*BX270+BZ18*BX270+BY19*BX270+BZ19*BX270+BY20*BX270+BZ20*BX270+BY21*BX270+BZ21*BX270+BY22*BX270+BZ22*BX270+BY23*BX270+BZ23*BX270+BY24*BX270+BZ24*BX270+BY25*BX270+BZ25*BX270+BY26*BX270+BZ26*BX270</f>
        <v>0</v>
      </c>
      <c r="CA270" s="13">
        <v>2</v>
      </c>
      <c r="CB270" s="5">
        <f>CB5*CA270+CC5*CA270+CB6*CA270+CC6*CA270+CB7*CA270+CC7*CA270+CB8*CA270+CC8*CA270+CB9*CA270+CC9*CA270+CB10*CA270+CC10*CA270+CB11*CA270+CC11*CA270+CB12*CA270+CC12*CA270+CB13*CA270+CC13*CA270+CB14*CA270+CC14*CA270+CB15*CA270+CC15*CA270+CB16*CA270+CC16*CA270+CB17*CA270+CC17*CA270+CB18*CA270+CC18*CA270+CB19*CA270+CC19*CA270+CB20*CA270+CC20*CA270+CB21*CA270+CC21*CA270+CB22*CA270+CC22*CA270+CB23*CA270+CC23*CA270+CB24*CA270+CC24*CA270+CB25*CA270+CC25*CA270+CB26*CA270+CC26*CA270</f>
        <v>0</v>
      </c>
      <c r="CC270" s="11"/>
      <c r="CE270" s="13"/>
      <c r="CF270" s="5"/>
      <c r="CG270" s="12"/>
      <c r="CI270" s="13"/>
      <c r="CJ270" s="5"/>
      <c r="CK270" s="12"/>
      <c r="CM270" s="13"/>
      <c r="CN270" s="5"/>
      <c r="CO270" s="12"/>
      <c r="CQ270" s="13"/>
      <c r="CR270" s="5"/>
      <c r="CS270" s="12"/>
      <c r="CU270" s="13"/>
      <c r="CV270" s="5"/>
      <c r="CW270" s="12"/>
      <c r="CY270" s="13"/>
      <c r="CZ270" s="5"/>
      <c r="DA270" s="12"/>
      <c r="DC270" s="13"/>
      <c r="DD270" s="5"/>
      <c r="DE270" s="12"/>
      <c r="DG270" s="13"/>
      <c r="DH270" s="5"/>
      <c r="DI270" s="12"/>
      <c r="DK270" s="13"/>
      <c r="DL270" s="5"/>
      <c r="DM270" s="12"/>
      <c r="DO270" s="13"/>
      <c r="DP270" s="5"/>
      <c r="DQ270" s="12"/>
      <c r="DS270" s="1336">
        <f t="shared" si="3"/>
        <v>0</v>
      </c>
      <c r="DT270" s="121">
        <f>EXTRAS!D134</f>
        <v>0</v>
      </c>
      <c r="DU270" s="112">
        <f>EXTRAS!E134</f>
        <v>0</v>
      </c>
      <c r="DX270" s="203">
        <f t="shared" si="4"/>
        <v>0</v>
      </c>
      <c r="DZ270" s="924"/>
      <c r="EH270" s="924"/>
    </row>
    <row r="271" spans="1:138" s="6" customFormat="1" ht="15" customHeight="1">
      <c r="A271" s="3">
        <v>114</v>
      </c>
      <c r="B271" s="210" t="s">
        <v>408</v>
      </c>
      <c r="C271" s="473" t="s">
        <v>515</v>
      </c>
      <c r="D271" s="4"/>
      <c r="E271" s="5"/>
      <c r="F271" s="5"/>
      <c r="G271" s="4"/>
      <c r="H271" s="4">
        <v>1</v>
      </c>
      <c r="I271" s="658">
        <f>SUM(I5:I26)*H271</f>
        <v>0</v>
      </c>
      <c r="J271" s="4"/>
      <c r="K271" s="5"/>
      <c r="L271" s="5"/>
      <c r="M271" s="5"/>
      <c r="O271" s="5"/>
      <c r="P271" s="5"/>
      <c r="Q271" s="5"/>
      <c r="S271" s="5"/>
      <c r="T271" s="5"/>
      <c r="U271" s="5"/>
      <c r="W271" s="5"/>
      <c r="X271" s="5"/>
      <c r="Y271" s="12"/>
      <c r="AA271" s="13"/>
      <c r="AB271" s="12"/>
      <c r="AD271" s="13"/>
      <c r="AE271" s="5"/>
      <c r="AF271" s="5"/>
      <c r="AH271" s="13"/>
      <c r="AI271" s="5"/>
      <c r="AK271" s="5"/>
      <c r="AL271" s="5"/>
      <c r="AM271" s="5"/>
      <c r="AO271" s="5"/>
      <c r="AP271" s="5"/>
      <c r="AR271" s="5"/>
      <c r="AS271" s="5"/>
      <c r="AT271" s="5"/>
      <c r="AV271" s="5"/>
      <c r="AW271" s="5"/>
      <c r="AY271" s="5"/>
      <c r="AZ271" s="5"/>
      <c r="BA271" s="5"/>
      <c r="BC271" s="5"/>
      <c r="BD271" s="5"/>
      <c r="BF271" s="5"/>
      <c r="BG271" s="5"/>
      <c r="BH271" s="5"/>
      <c r="BJ271" s="5"/>
      <c r="BK271" s="5"/>
      <c r="BL271" s="12"/>
      <c r="BM271" s="5"/>
      <c r="BN271" s="5"/>
      <c r="BO271" s="5"/>
      <c r="BQ271" s="5"/>
      <c r="BR271" s="5"/>
      <c r="BT271" s="5"/>
      <c r="BU271" s="5"/>
      <c r="BV271" s="5"/>
      <c r="BX271" s="5"/>
      <c r="BY271" s="5"/>
      <c r="CA271" s="13"/>
      <c r="CB271" s="7"/>
      <c r="CC271" s="11"/>
      <c r="CE271" s="13"/>
      <c r="CF271" s="5"/>
      <c r="CG271" s="12"/>
      <c r="CI271" s="13"/>
      <c r="CJ271" s="5"/>
      <c r="CK271" s="12"/>
      <c r="CM271" s="13"/>
      <c r="CN271" s="5"/>
      <c r="CO271" s="12"/>
      <c r="CQ271" s="13"/>
      <c r="CR271" s="5"/>
      <c r="CS271" s="12"/>
      <c r="CU271" s="13"/>
      <c r="CV271" s="5"/>
      <c r="CW271" s="12"/>
      <c r="CY271" s="13"/>
      <c r="CZ271" s="5"/>
      <c r="DA271" s="12"/>
      <c r="DC271" s="13"/>
      <c r="DD271" s="5"/>
      <c r="DE271" s="12"/>
      <c r="DG271" s="13"/>
      <c r="DH271" s="5"/>
      <c r="DI271" s="12"/>
      <c r="DK271" s="13"/>
      <c r="DL271" s="5"/>
      <c r="DM271" s="12"/>
      <c r="DO271" s="13"/>
      <c r="DP271" s="5"/>
      <c r="DQ271" s="12"/>
      <c r="DS271" s="1336">
        <f t="shared" si="3"/>
        <v>0</v>
      </c>
      <c r="DT271" s="121">
        <f>EXTRAS!D135</f>
        <v>0</v>
      </c>
      <c r="DU271" s="112">
        <f>EXTRAS!E135</f>
        <v>0</v>
      </c>
      <c r="DX271" s="203">
        <f t="shared" si="4"/>
        <v>0</v>
      </c>
      <c r="DZ271" s="924"/>
      <c r="EH271" s="924"/>
    </row>
    <row r="272" spans="1:138" s="6" customFormat="1" ht="15" customHeight="1">
      <c r="A272" s="3">
        <v>115</v>
      </c>
      <c r="B272" s="210" t="s">
        <v>165</v>
      </c>
      <c r="C272" s="473" t="s">
        <v>515</v>
      </c>
      <c r="D272" s="4"/>
      <c r="E272" s="5"/>
      <c r="F272" s="5"/>
      <c r="G272" s="4"/>
      <c r="H272" s="4"/>
      <c r="I272" s="4"/>
      <c r="J272" s="4"/>
      <c r="K272" s="5"/>
      <c r="L272" s="5"/>
      <c r="M272" s="5">
        <f>C12</f>
        <v>0</v>
      </c>
      <c r="O272" s="5"/>
      <c r="P272" s="5"/>
      <c r="Q272" s="5"/>
      <c r="S272" s="5"/>
      <c r="T272" s="5"/>
      <c r="U272" s="5"/>
      <c r="W272" s="5"/>
      <c r="X272" s="5"/>
      <c r="Y272" s="12"/>
      <c r="AA272" s="13"/>
      <c r="AB272" s="12"/>
      <c r="AD272" s="13"/>
      <c r="AE272" s="5"/>
      <c r="AF272" s="5"/>
      <c r="AH272" s="13"/>
      <c r="AI272" s="5"/>
      <c r="AK272" s="5"/>
      <c r="AL272" s="5"/>
      <c r="AM272" s="5"/>
      <c r="AO272" s="5"/>
      <c r="AP272" s="5"/>
      <c r="AR272" s="5"/>
      <c r="AS272" s="5"/>
      <c r="AT272" s="5"/>
      <c r="AV272" s="5"/>
      <c r="AW272" s="5"/>
      <c r="AY272" s="5"/>
      <c r="AZ272" s="5"/>
      <c r="BA272" s="5"/>
      <c r="BC272" s="5"/>
      <c r="BD272" s="5"/>
      <c r="BF272" s="5"/>
      <c r="BG272" s="5"/>
      <c r="BH272" s="5"/>
      <c r="BJ272" s="5"/>
      <c r="BK272" s="5"/>
      <c r="BL272" s="12"/>
      <c r="BM272" s="5"/>
      <c r="BN272" s="5"/>
      <c r="BO272" s="5"/>
      <c r="BQ272" s="5"/>
      <c r="BR272" s="5"/>
      <c r="BT272" s="5"/>
      <c r="BU272" s="5"/>
      <c r="BV272" s="5"/>
      <c r="BX272" s="5"/>
      <c r="BY272" s="5"/>
      <c r="CA272" s="13"/>
      <c r="CB272" s="7"/>
      <c r="CC272" s="11"/>
      <c r="CE272" s="13"/>
      <c r="CF272" s="5">
        <f>CF20*CE272+CG20*CE272+CF21*CE272+CG21*CE272+CF22*CE272+CG22*CE272+CF23*CE272+CG23*CE272+CF24*CE272+CG24*CE272+CF25*CE272+CG25*CE272+CF26*CE272+CG26*CE272+CF5*CE272+CG5*CE272+CF6*CE272+CG6*CE272+CF7*CE272+CG7*CE272+CF8*CE272+CG8*CE272+CF9*CE272+CG9*CE272+CF10*CE272+CG10*CE272+CF11*CE272+CG11*CE272+CF12*CE272+CG12*CE272+CF13*CE272+CG13*CE272+CF14*CE272+CG14*CE272+CF15*CE272+CG15*CE272+CF16*CE272+CG16*CE272+CF17*CE272+CG17*CE272+CF18*CE272+CG18*CE272+CF19*CE272+CG19*CE272</f>
        <v>0</v>
      </c>
      <c r="CG272" s="12"/>
      <c r="CI272" s="13"/>
      <c r="CJ272" s="5">
        <f>CJ20*CI272+CK20*CI272+CJ21*CI272+CK21*CI272+CJ22*CI272+CK22*CI272+CJ23*CI272+CK23*CI272+CJ24*CI272+CK24*CI272+CJ25*CI272+CK25*CI272+CJ26*CI272+CK26*CI272+CJ5*CI272+CK5*CI272+CJ6*CI272+CK6*CI272+CJ7*CI272+CK7*CI272+CJ8*CI272+CK8*CI272+CJ9*CI272+CK9*CI272+CJ10*CI272+CK10*CI272+CJ11*CI272+CK11*CI272+CJ12*CI272+CK12*CI272+CJ13*CI272+CK13*CI272+CJ14*CI272+CK14*CI272+CJ15*CI272+CK15*CI272+CJ16*CI272+CK16*CI272+CJ17*CI272+CK17*CI272+CJ18*CI272+CK18*CI272+CJ19*CI272+CK19*CI272</f>
        <v>0</v>
      </c>
      <c r="CK272" s="12"/>
      <c r="CM272" s="13"/>
      <c r="CN272" s="5">
        <f>CN20*CM272+CO20*CM272+CN21*CM272+CO21*CM272+CN22*CM272+CO22*CM272+CN23*CM272+CO23*CM272+CN24*CM272+CO24*CM272+CN25*CM272+CO25*CM272+CN26*CM272+CO26*CM272+CN5*CM272+CO5*CM272+CN6*CM272+CO6*CM272+CN7*CM272+CO7*CM272+CN8*CM272+CO8*CM272+CN9*CM272+CO9*CM272+CN10*CM272+CO10*CM272+CN11*CM272+CO11*CM272+CN12*CM272+CO12*CM272+CN13*CM272+CO13*CM272+CN14*CM272+CO14*CM272+CN15*CM272+CO15*CM272+CN16*CM272+CO16*CM272+CN17*CM272+CO17*CM272+CN18*CM272+CO18*CM272+CN19*CM272+CO19*CM272</f>
        <v>0</v>
      </c>
      <c r="CO272" s="12"/>
      <c r="CQ272" s="13"/>
      <c r="CR272" s="5">
        <f>CR20*CQ272+CS20*CQ272+CR21*CQ272+CS21*CQ272+CR22*CQ272+CS22*CQ272+CR23*CQ272+CS23*CQ272+CR24*CQ272+CS24*CQ272+CR25*CQ272+CS25*CQ272+CR26*CQ272+CS26*CQ272+CR5*CQ272+CS5*CQ272+CR6*CQ272+CS6*CQ272+CR7*CQ272+CS7*CQ272+CR8*CQ272+CS8*CQ272+CR9*CQ272+CS9*CQ272+CR10*CQ272+CS10*CQ272+CR11*CQ272+CS11*CQ272+CR12*CQ272+CS12*CQ272+CR13*CQ272+CS13*CQ272+CR14*CQ272+CS14*CQ272+CR15*CQ272+CS15*CQ272+CR16*CQ272+CS16*CQ272+CR17*CQ272+CS17*CQ272+CR18*CQ272+CS18*CQ272+CR19*CQ272+CS19*CQ272</f>
        <v>0</v>
      </c>
      <c r="CS272" s="12"/>
      <c r="CU272" s="13"/>
      <c r="CV272" s="5">
        <f>CV20*CU272+CW20*CU272+CV21*CU272+CW21*CU272+CV22*CU272+CW22*CU272+CV23*CU272+CW23*CU272+CV24*CU272+CW24*CU272+CV25*CU272+CW25*CU272+CV26*CU272+CW26*CU272+CV5*CU272+CW5*CU272+CV6*CU272+CW6*CU272+CV7*CU272+CW7*CU272+CV8*CU272+CW8*CU272+CV9*CU272+CW9*CU272+CV10*CU272+CW10*CU272+CV11*CU272+CW11*CU272+CV12*CU272+CW12*CU272+CV13*CU272+CW13*CU272+CV14*CU272+CW14*CU272+CV15*CU272+CW15*CU272+CV16*CU272+CW16*CU272+CV17*CU272+CW17*CU272+CV18*CU272+CW18*CU272+CV19*CU272+CW19*CU272</f>
        <v>0</v>
      </c>
      <c r="CW272" s="12"/>
      <c r="CY272" s="13"/>
      <c r="CZ272" s="5">
        <f>CZ20*CY272+DA20*CY272+CZ21*CY272+DA21*CY272+CZ22*CY272+DA22*CY272+CZ23*CY272+DA23*CY272+CZ24*CY272+DA24*CY272+CZ25*CY272+DA25*CY272+CZ26*CY272+DA26*CY272+CZ5*CY272+DA5*CY272+CZ6*CY272+DA6*CY272+CZ7*CY272+DA7*CY272+CZ8*CY272+DA8*CY272+CZ9*CY272+DA9*CY272+CZ10*CY272+DA10*CY272+CZ11*CY272+DA11*CY272+CZ12*CY272+DA12*CY272+CZ13*CY272+DA13*CY272+CZ14*CY272+DA14*CY272+CZ15*CY272+DA15*CY272+CZ16*CY272+DA16*CY272+CZ17*CY272+DA17*CY272+CZ18*CY272+DA18*CY272+CZ19*CY272+DA19*CY272</f>
        <v>0</v>
      </c>
      <c r="DA272" s="12"/>
      <c r="DC272" s="13"/>
      <c r="DD272" s="5">
        <f>DD20*DC272+DE20*DC272+DD21*DC272+DE21*DC272+DD22*DC272+DE22*DC272+DD23*DC272+DE23*DC272+DD24*DC272+DE24*DC272+DD25*DC272+DE25*DC272+DD26*DC272+DE26*DC272+DD5*DC272+DE5*DC272+DD6*DC272+DE6*DC272+DD7*DC272+DE7*DC272+DD8*DC272+DE8*DC272+DD9*DC272+DE9*DC272+DD10*DC272+DE10*DC272+DD11*DC272+DE11*DC272+DD12*DC272+DE12*DC272+DD13*DC272+DE13*DC272+DD14*DC272+DE14*DC272+DD15*DC272+DE15*DC272+DD16*DC272+DE16*DC272+DD17*DC272+DE17*DC272+DD18*DC272+DE18*DC272+DD19*DC272+DE19*DC272</f>
        <v>0</v>
      </c>
      <c r="DE272" s="12"/>
      <c r="DG272" s="13"/>
      <c r="DH272" s="5">
        <f>DH20*DG272+DI20*DG272+DH21*DG272+DI21*DG272+DH22*DG272+DI22*DG272+DH23*DG272+DI23*DG272+DH24*DG272+DI24*DG272+DH25*DG272+DI25*DG272+DH26*DG272+DI26*DG272+DH5*DG272+DI5*DG272+DH6*DG272+DI6*DG272+DH7*DG272+DI7*DG272+DH8*DG272+DI8*DG272+DH9*DG272+DI9*DG272+DH10*DG272+DI10*DG272+DH11*DG272+DI11*DG272+DH12*DG272+DI12*DG272+DH13*DG272+DI13*DG272+DH14*DG272+DI14*DG272+DH15*DG272+DI15*DG272+DH16*DG272+DI16*DG272+DH17*DG272+DI17*DG272+DH18*DG272+DI18*DG272+DH19*DG272+DI19*DG272</f>
        <v>0</v>
      </c>
      <c r="DI272" s="12"/>
      <c r="DK272" s="13"/>
      <c r="DL272" s="5">
        <f>DL20*DK272+DM20*DK272+DL21*DK272+DM21*DK272+DL22*DK272+DM22*DK272+DL23*DK272+DM23*DK272+DL24*DK272+DM24*DK272+DL25*DK272+DM25*DK272+DL26*DK272+DM26*DK272+DL5*DK272+DM5*DK272+DL6*DK272+DM6*DK272+DL7*DK272+DM7*DK272+DL8*DK272+DM8*DK272+DL9*DK272+DM9*DK272+DL10*DK272+DM10*DK272+DL11*DK272+DM11*DK272+DL12*DK272+DM12*DK272+DL13*DK272+DM13*DK272+DL14*DK272+DM14*DK272+DL15*DK272+DM15*DK272+DL16*DK272+DM16*DK272+DL17*DK272+DM17*DK272+DL18*DK272+DM18*DK272+DL19*DK272+DM19*DK272</f>
        <v>0</v>
      </c>
      <c r="DM272" s="12"/>
      <c r="DO272" s="13"/>
      <c r="DP272" s="5"/>
      <c r="DQ272" s="12"/>
      <c r="DS272" s="1336">
        <f t="shared" ref="DS272:DS335" si="5">I272+L272+M272+P272+T272+X272+AB272+AE272+F272+CR272+AI272+AL272+AP272+AS272+AW272+AZ272+BD272+BG272+BK272+BN272+BR272+BU272+BY272+CB272+CF272+CJ272+CN272+CV272+CZ272+DD272+DH272+DL272+DP272</f>
        <v>0</v>
      </c>
      <c r="DT272" s="121">
        <f>EXTRAS!D136</f>
        <v>0</v>
      </c>
      <c r="DU272" s="112">
        <f>EXTRAS!E136</f>
        <v>0</v>
      </c>
      <c r="DX272" s="203">
        <f t="shared" si="4"/>
        <v>0</v>
      </c>
      <c r="DZ272" s="924"/>
      <c r="EH272" s="924"/>
    </row>
    <row r="273" spans="1:138" s="6" customFormat="1" ht="15" customHeight="1">
      <c r="A273" s="3">
        <v>116</v>
      </c>
      <c r="B273" s="210" t="s">
        <v>166</v>
      </c>
      <c r="C273" s="473" t="s">
        <v>515</v>
      </c>
      <c r="D273" s="4"/>
      <c r="E273" s="5"/>
      <c r="F273" s="5"/>
      <c r="G273" s="4"/>
      <c r="H273" s="4"/>
      <c r="I273" s="4"/>
      <c r="J273" s="4"/>
      <c r="K273" s="5"/>
      <c r="L273" s="5"/>
      <c r="M273" s="5"/>
      <c r="O273" s="5"/>
      <c r="P273" s="5"/>
      <c r="Q273" s="5"/>
      <c r="S273" s="5"/>
      <c r="T273" s="5"/>
      <c r="U273" s="5"/>
      <c r="W273" s="5"/>
      <c r="X273" s="5"/>
      <c r="Y273" s="12"/>
      <c r="AA273" s="13"/>
      <c r="AB273" s="12"/>
      <c r="AD273" s="13"/>
      <c r="AE273" s="5"/>
      <c r="AF273" s="5"/>
      <c r="AH273" s="13"/>
      <c r="AI273" s="5"/>
      <c r="AK273" s="5"/>
      <c r="AL273" s="5"/>
      <c r="AM273" s="5"/>
      <c r="AO273" s="5"/>
      <c r="AP273" s="5"/>
      <c r="AR273" s="5"/>
      <c r="AS273" s="5"/>
      <c r="AT273" s="5"/>
      <c r="AV273" s="5"/>
      <c r="AW273" s="5"/>
      <c r="AY273" s="5"/>
      <c r="AZ273" s="5"/>
      <c r="BA273" s="5"/>
      <c r="BC273" s="5"/>
      <c r="BD273" s="5"/>
      <c r="BF273" s="5"/>
      <c r="BG273" s="5"/>
      <c r="BH273" s="5"/>
      <c r="BJ273" s="5"/>
      <c r="BK273" s="5"/>
      <c r="BL273" s="12"/>
      <c r="BM273" s="5"/>
      <c r="BN273" s="5"/>
      <c r="BO273" s="5"/>
      <c r="BQ273" s="5"/>
      <c r="BR273" s="5"/>
      <c r="BT273" s="5"/>
      <c r="BU273" s="5"/>
      <c r="BV273" s="5"/>
      <c r="BX273" s="5"/>
      <c r="BY273" s="5"/>
      <c r="CA273" s="13"/>
      <c r="CB273" s="7"/>
      <c r="CC273" s="11"/>
      <c r="CE273" s="13">
        <v>25</v>
      </c>
      <c r="CF273" s="5">
        <f>CF6*CE273+CG6*CE273+CF7*CE273+CG7*CE273+CF8*CE273+CG8*CE273+CF9*CE273+CG9*CE273+CF10*CE273+CG10*CE273+CF11*CE273+CG11*CE273+CF12*CE273+CG12*CE273+CF13*CE273+CG13*CE273+CF14*CE273+CG14*CE273+CF15*CE273+CG15*CE273+CF16*CE273+CG16*CE273+CF17*CE273+CG17*CE273+CF18*CE273+CG18*CE273+CF19*CE273+CG19*CE273+CF20*CE273+CG20*CE273+CF21*CE273+CG21*CE273+CF22*CE273+CG22*CE273+CF23*CE273+CG23*CE273+CF24*CE273+CG24*CE273+CF25*CE273+CG25*CE273+CF26*CE273+CG26*CE273+CF5*CE273+CG5*CE273</f>
        <v>0</v>
      </c>
      <c r="CG273" s="12"/>
      <c r="CI273" s="13">
        <v>25</v>
      </c>
      <c r="CJ273" s="5">
        <f>CJ6*CI273+CK6*CI273+CJ7*CI273+CK7*CI273+CJ8*CI273+CK8*CI273+CJ9*CI273+CK9*CI273+CJ10*CI273+CK10*CI273+CJ11*CI273+CK11*CI273+CJ12*CI273+CK12*CI273+CJ13*CI273+CK13*CI273+CJ14*CI273+CK14*CI273+CJ15*CI273+CK15*CI273+CJ16*CI273+CK16*CI273+CJ17*CI273+CK17*CI273+CJ18*CI273+CK18*CI273+CJ19*CI273+CK19*CI273+CJ20*CI273+CK20*CI273+CJ21*CI273+CK21*CI273+CJ22*CI273+CK22*CI273+CJ23*CI273+CK23*CI273+CJ24*CI273+CK24*CI273+CJ25*CI273+CK25*CI273+CJ26*CI273+CK26*CI273+CJ5*CI273+CK5*CI273</f>
        <v>0</v>
      </c>
      <c r="CK273" s="12"/>
      <c r="CM273" s="13">
        <v>25</v>
      </c>
      <c r="CN273" s="5">
        <f>CN6*CM273+CO6*CM273+CN7*CM273+CO7*CM273+CN8*CM273+CO8*CM273+CN9*CM273+CO9*CM273+CN10*CM273+CO10*CM273+CN11*CM273+CO11*CM273+CN12*CM273+CO12*CM273+CN13*CM273+CO13*CM273+CN14*CM273+CO14*CM273+CN15*CM273+CO15*CM273+CN16*CM273+CO16*CM273+CN17*CM273+CO17*CM273+CN18*CM273+CO18*CM273+CN19*CM273+CO19*CM273+CN20*CM273+CO20*CM273+CN21*CM273+CO21*CM273+CN22*CM273+CO22*CM273+CN23*CM273+CO23*CM273+CN24*CM273+CO24*CM273+CN25*CM273+CO25*CM273+CN26*CM273+CO26*CM273+CN5*CM273+CO5*CM273</f>
        <v>0</v>
      </c>
      <c r="CO273" s="12"/>
      <c r="CQ273" s="13">
        <v>25</v>
      </c>
      <c r="CR273" s="5">
        <f>CR6*CQ273+CS6*CQ273+CR7*CQ273+CS7*CQ273+CR8*CQ273+CS8*CQ273+CR9*CQ273+CS9*CQ273+CR10*CQ273+CS10*CQ273+CR11*CQ273+CS11*CQ273+CR12*CQ273+CS12*CQ273+CR13*CQ273+CS13*CQ273+CR14*CQ273+CS14*CQ273+CR15*CQ273+CS15*CQ273+CR16*CQ273+CS16*CQ273+CR17*CQ273+CS17*CQ273+CR18*CQ273+CS18*CQ273+CR19*CQ273+CS19*CQ273+CR20*CQ273+CS20*CQ273+CR21*CQ273+CS21*CQ273+CR22*CQ273+CS22*CQ273+CR23*CQ273+CS23*CQ273+CR24*CQ273+CS24*CQ273+CR25*CQ273+CS25*CQ273+CR26*CQ273+CS26*CQ273+CR5*CQ273+CS5*CQ273</f>
        <v>0</v>
      </c>
      <c r="CS273" s="12"/>
      <c r="CU273" s="13">
        <v>25</v>
      </c>
      <c r="CV273" s="5">
        <f>CV6*CU273+CW6*CU273+CV7*CU273+CW7*CU273+CV8*CU273+CW8*CU273+CV9*CU273+CW9*CU273+CV10*CU273+CW10*CU273+CV11*CU273+CW11*CU273+CV12*CU273+CW12*CU273+CV13*CU273+CW13*CU273+CV14*CU273+CW14*CU273+CV15*CU273+CW15*CU273+CV16*CU273+CW16*CU273+CV17*CU273+CW17*CU273+CV18*CU273+CW18*CU273+CV19*CU273+CW19*CU273+CV20*CU273+CW20*CU273+CV21*CU273+CW21*CU273+CV22*CU273+CW22*CU273+CV23*CU273+CW23*CU273+CV24*CU273+CW24*CU273+CV25*CU273+CW25*CU273+CV26*CU273+CW26*CU273+CV5*CU273+CW5*CU273</f>
        <v>0</v>
      </c>
      <c r="CW273" s="12"/>
      <c r="CY273" s="13">
        <v>25</v>
      </c>
      <c r="CZ273" s="5">
        <f>CZ6*CY273+DA6*CY273+CZ7*CY273+DA7*CY273+CZ8*CY273+DA8*CY273+CZ9*CY273+DA9*CY273+CZ10*CY273+DA10*CY273+CZ11*CY273+DA11*CY273+CZ12*CY273+DA12*CY273+CZ13*CY273+DA13*CY273+CZ14*CY273+DA14*CY273+CZ15*CY273+DA15*CY273+CZ16*CY273+DA16*CY273+CZ17*CY273+DA17*CY273+CZ18*CY273+DA18*CY273+CZ19*CY273+DA19*CY273+CZ20*CY273+DA20*CY273+CZ21*CY273+DA21*CY273+CZ22*CY273+DA22*CY273+CZ23*CY273+DA23*CY273+CZ24*CY273+DA24*CY273+CZ25*CY273+DA25*CY273+CZ26*CY273+DA26*CY273+CZ5*CY273+DA5*CY273</f>
        <v>0</v>
      </c>
      <c r="DA273" s="12"/>
      <c r="DC273" s="13">
        <v>25</v>
      </c>
      <c r="DD273" s="5">
        <f>DD6*DC273+DE6*DC273+DD7*DC273+DE7*DC273+DD8*DC273+DE8*DC273+DD9*DC273+DE9*DC273+DD10*DC273+DE10*DC273+DD11*DC273+DE11*DC273+DD12*DC273+DE12*DC273+DD13*DC273+DE13*DC273+DD14*DC273+DE14*DC273+DD15*DC273+DE15*DC273+DD16*DC273+DE16*DC273+DD17*DC273+DE17*DC273+DD18*DC273+DE18*DC273+DD19*DC273+DE19*DC273+DD20*DC273+DE20*DC273+DD21*DC273+DE21*DC273+DD22*DC273+DE22*DC273+DD23*DC273+DE23*DC273+DD24*DC273+DE24*DC273+DD25*DC273+DE25*DC273+DD26*DC273+DE26*DC273+DD5*DC273+DE5*DC273</f>
        <v>0</v>
      </c>
      <c r="DE273" s="12"/>
      <c r="DG273" s="13">
        <v>25</v>
      </c>
      <c r="DH273" s="5">
        <f>DH6*DG273+DI6*DG273+DH7*DG273+DI7*DG273+DH8*DG273+DI8*DG273+DH9*DG273+DI9*DG273+DH10*DG273+DI10*DG273+DH11*DG273+DI11*DG273+DH12*DG273+DI12*DG273+DH13*DG273+DI13*DG273+DH14*DG273+DI14*DG273+DH15*DG273+DI15*DG273+DH16*DG273+DI16*DG273+DH17*DG273+DI17*DG273+DH18*DG273+DI18*DG273+DH19*DG273+DI19*DG273+DH20*DG273+DI20*DG273+DH21*DG273+DI21*DG273+DH22*DG273+DI22*DG273+DH23*DG273+DI23*DG273+DH24*DG273+DI24*DG273+DH25*DG273+DI25*DG273+DH26*DG273+DI26*DG273+DH5*DG273+DI5*DG273</f>
        <v>0</v>
      </c>
      <c r="DI273" s="12"/>
      <c r="DK273" s="13">
        <v>25</v>
      </c>
      <c r="DL273" s="5">
        <f>DL6*DK273+DM6*DK273+DL7*DK273+DM7*DK273+DL8*DK273+DM8*DK273+DL9*DK273+DM9*DK273+DL10*DK273+DM10*DK273+DL11*DK273+DM11*DK273+DL12*DK273+DM12*DK273+DL13*DK273+DM13*DK273+DL14*DK273+DM14*DK273+DL15*DK273+DM15*DK273+DL16*DK273+DM16*DK273+DL17*DK273+DM17*DK273+DL18*DK273+DM18*DK273+DL19*DK273+DM19*DK273+DL20*DK273+DM20*DK273+DL21*DK273+DM21*DK273+DL22*DK273+DM22*DK273+DL23*DK273+DM23*DK273+DL24*DK273+DM24*DK273+DL25*DK273+DM25*DK273+DL26*DK273+DM26*DK273+DL5*DK273+DM5*DK273</f>
        <v>0</v>
      </c>
      <c r="DM273" s="12"/>
      <c r="DO273" s="13">
        <v>25</v>
      </c>
      <c r="DP273" s="5">
        <f>DP6*DO273+DQ6*DO273+DP7*DO273+DQ7*DO273+DP8*DO273+DQ8*DO273+DP9*DO273+DQ9*DO273+DP10*DO273+DQ10*DO273+DP11*DO273+DQ11*DO273+DP12*DO273+DQ12*DO273+DP13*DO273+DQ13*DO273+DP14*DO273+DQ14*DO273+DP15*DO273+DQ15*DO273+DP16*DO273+DQ16*DO273+DP17*DO273+DQ17*DO273+DP18*DO273+DQ18*DO273+DP19*DO273+DQ19*DO273+DP20*DO273+DQ20*DO273+DP21*DO273+DQ21*DO273+DP22*DO273+DQ22*DO273+DP23*DO273+DQ23*DO273+DP24*DO273+DQ24*DO273+DP25*DO273+DQ25*DO273+DP26*DO273+DQ26*DO273+DP5*DO273+DQ5*DO273</f>
        <v>0</v>
      </c>
      <c r="DQ273" s="12"/>
      <c r="DS273" s="1336">
        <f t="shared" si="5"/>
        <v>0</v>
      </c>
      <c r="DT273" s="121">
        <f>EXTRAS!D137</f>
        <v>0</v>
      </c>
      <c r="DU273" s="112">
        <f>EXTRAS!E137</f>
        <v>0</v>
      </c>
      <c r="DX273" s="203">
        <f t="shared" ref="DX273:DX336" si="6">I273+L273+M273+P273+T273+X273+AB273+AE273+F273+CR273+AI273+AL273+AP273+AS273+AW273+AZ273+BD273+BG273+BK273+BN273+BR273+BU273+BY273+CB273+CF273+CJ273+CN273+CV273+CZ273+DD273+DH273+DL273+DP273+DT273-DU273+DV273+DW273</f>
        <v>0</v>
      </c>
      <c r="DZ273" s="924"/>
      <c r="EH273" s="924"/>
    </row>
    <row r="274" spans="1:138" s="6" customFormat="1" ht="15" customHeight="1">
      <c r="A274" s="167">
        <v>503034</v>
      </c>
      <c r="B274" s="167" t="s">
        <v>1801</v>
      </c>
      <c r="C274" s="473" t="s">
        <v>515</v>
      </c>
      <c r="D274" s="4"/>
      <c r="E274" s="5"/>
      <c r="F274" s="5"/>
      <c r="G274" s="4"/>
      <c r="H274" s="4"/>
      <c r="I274" s="4">
        <f>C13</f>
        <v>0</v>
      </c>
      <c r="J274" s="4"/>
      <c r="K274" s="5"/>
      <c r="L274" s="5"/>
      <c r="M274" s="5">
        <f>C13</f>
        <v>0</v>
      </c>
      <c r="O274" s="5"/>
      <c r="P274" s="5"/>
      <c r="Q274" s="5"/>
      <c r="S274" s="5"/>
      <c r="T274" s="5"/>
      <c r="U274" s="5"/>
      <c r="W274" s="5"/>
      <c r="X274" s="5"/>
      <c r="Y274" s="12"/>
      <c r="AA274" s="13"/>
      <c r="AB274" s="12"/>
      <c r="AD274" s="13"/>
      <c r="AE274" s="5"/>
      <c r="AF274" s="5"/>
      <c r="AH274" s="13"/>
      <c r="AI274" s="5"/>
      <c r="AK274" s="5"/>
      <c r="AL274" s="5"/>
      <c r="AM274" s="5"/>
      <c r="AO274" s="5"/>
      <c r="AP274" s="5"/>
      <c r="AR274" s="5"/>
      <c r="AS274" s="5"/>
      <c r="AT274" s="5"/>
      <c r="AV274" s="5"/>
      <c r="AW274" s="5"/>
      <c r="AY274" s="5"/>
      <c r="AZ274" s="5"/>
      <c r="BA274" s="5"/>
      <c r="BC274" s="5"/>
      <c r="BD274" s="5"/>
      <c r="BF274" s="5"/>
      <c r="BG274" s="5"/>
      <c r="BH274" s="5"/>
      <c r="BJ274" s="5"/>
      <c r="BK274" s="5"/>
      <c r="BL274" s="12"/>
      <c r="BM274" s="5"/>
      <c r="BN274" s="5"/>
      <c r="BO274" s="5"/>
      <c r="BQ274" s="5"/>
      <c r="BR274" s="5"/>
      <c r="BT274" s="5"/>
      <c r="BU274" s="5"/>
      <c r="BV274" s="5"/>
      <c r="BX274" s="5"/>
      <c r="BY274" s="5"/>
      <c r="CA274" s="13"/>
      <c r="CB274" s="7"/>
      <c r="CC274" s="11"/>
      <c r="CE274" s="13"/>
      <c r="CF274" s="5"/>
      <c r="CG274" s="12"/>
      <c r="CI274" s="13"/>
      <c r="CJ274" s="5"/>
      <c r="CK274" s="12"/>
      <c r="CM274" s="13"/>
      <c r="CN274" s="5"/>
      <c r="CO274" s="12"/>
      <c r="CQ274" s="13"/>
      <c r="CR274" s="5"/>
      <c r="CS274" s="12"/>
      <c r="CU274" s="13"/>
      <c r="CV274" s="5"/>
      <c r="CW274" s="12"/>
      <c r="CY274" s="13"/>
      <c r="CZ274" s="5"/>
      <c r="DA274" s="12"/>
      <c r="DC274" s="13"/>
      <c r="DD274" s="5"/>
      <c r="DE274" s="12"/>
      <c r="DG274" s="13"/>
      <c r="DH274" s="5"/>
      <c r="DI274" s="12"/>
      <c r="DK274" s="13"/>
      <c r="DL274" s="5"/>
      <c r="DM274" s="12"/>
      <c r="DO274" s="13"/>
      <c r="DP274" s="5"/>
      <c r="DQ274" s="12"/>
      <c r="DS274" s="1336">
        <f t="shared" si="5"/>
        <v>0</v>
      </c>
      <c r="DT274" s="121">
        <f>EXTRAS!D138</f>
        <v>0</v>
      </c>
      <c r="DU274" s="112">
        <f>EXTRAS!E138</f>
        <v>0</v>
      </c>
      <c r="DX274" s="203">
        <f t="shared" si="6"/>
        <v>0</v>
      </c>
      <c r="DZ274" s="924"/>
      <c r="EH274" s="924"/>
    </row>
    <row r="275" spans="1:138" s="6" customFormat="1" ht="15" customHeight="1">
      <c r="A275" s="3">
        <v>118</v>
      </c>
      <c r="B275" s="210" t="s">
        <v>210</v>
      </c>
      <c r="C275" s="473" t="s">
        <v>515</v>
      </c>
      <c r="D275" s="50"/>
      <c r="E275" s="49"/>
      <c r="F275" s="49"/>
      <c r="G275" s="50"/>
      <c r="H275" s="4"/>
      <c r="I275" s="658">
        <f>SUM(I5:I26)*H275</f>
        <v>0</v>
      </c>
      <c r="J275" s="50"/>
      <c r="K275" s="5"/>
      <c r="L275" s="5"/>
      <c r="M275" s="49"/>
      <c r="O275" s="5"/>
      <c r="P275" s="5"/>
      <c r="Q275" s="5"/>
      <c r="S275" s="5"/>
      <c r="T275" s="5"/>
      <c r="U275" s="5"/>
      <c r="W275" s="5"/>
      <c r="X275" s="5"/>
      <c r="Y275" s="12"/>
      <c r="AA275" s="13"/>
      <c r="AB275" s="12"/>
      <c r="AD275" s="13"/>
      <c r="AE275" s="5"/>
      <c r="AF275" s="5"/>
      <c r="AH275" s="13"/>
      <c r="AI275" s="5"/>
      <c r="AK275" s="5"/>
      <c r="AL275" s="5"/>
      <c r="AM275" s="5"/>
      <c r="AO275" s="5"/>
      <c r="AP275" s="5"/>
      <c r="AR275" s="5"/>
      <c r="AS275" s="5"/>
      <c r="AT275" s="5"/>
      <c r="AV275" s="5"/>
      <c r="AW275" s="5"/>
      <c r="AY275" s="5"/>
      <c r="AZ275" s="5"/>
      <c r="BA275" s="5"/>
      <c r="BC275" s="5"/>
      <c r="BD275" s="5"/>
      <c r="BF275" s="5"/>
      <c r="BG275" s="5"/>
      <c r="BH275" s="5"/>
      <c r="BJ275" s="5"/>
      <c r="BK275" s="5"/>
      <c r="BL275" s="12"/>
      <c r="BM275" s="5"/>
      <c r="BN275" s="5"/>
      <c r="BO275" s="5"/>
      <c r="BQ275" s="5"/>
      <c r="BR275" s="5"/>
      <c r="BT275" s="5"/>
      <c r="BU275" s="5"/>
      <c r="BV275" s="5"/>
      <c r="BX275" s="5"/>
      <c r="BY275" s="5"/>
      <c r="CA275" s="13"/>
      <c r="CB275" s="7"/>
      <c r="CC275" s="11"/>
      <c r="CE275" s="53"/>
      <c r="CF275" s="49"/>
      <c r="CG275" s="52"/>
      <c r="CH275" s="51"/>
      <c r="CI275" s="53"/>
      <c r="CJ275" s="49"/>
      <c r="CK275" s="52"/>
      <c r="CL275" s="51"/>
      <c r="CM275" s="53"/>
      <c r="CN275" s="49"/>
      <c r="CO275" s="52"/>
      <c r="CQ275" s="53"/>
      <c r="CR275" s="49"/>
      <c r="CS275" s="52"/>
      <c r="CT275" s="51"/>
      <c r="CU275" s="53"/>
      <c r="CV275" s="49"/>
      <c r="CW275" s="52"/>
      <c r="CY275" s="13"/>
      <c r="CZ275" s="5"/>
      <c r="DA275" s="12"/>
      <c r="DC275" s="13"/>
      <c r="DD275" s="5"/>
      <c r="DE275" s="12"/>
      <c r="DG275" s="13"/>
      <c r="DH275" s="5"/>
      <c r="DI275" s="12"/>
      <c r="DK275" s="13"/>
      <c r="DL275" s="5"/>
      <c r="DM275" s="12"/>
      <c r="DO275" s="53"/>
      <c r="DP275" s="49"/>
      <c r="DQ275" s="52"/>
      <c r="DS275" s="1336">
        <f t="shared" si="5"/>
        <v>0</v>
      </c>
      <c r="DT275" s="121">
        <f>EXTRAS!D139</f>
        <v>0</v>
      </c>
      <c r="DU275" s="112">
        <f>EXTRAS!E139</f>
        <v>0</v>
      </c>
      <c r="DX275" s="203">
        <f t="shared" si="6"/>
        <v>0</v>
      </c>
      <c r="DY275" s="142">
        <v>13</v>
      </c>
      <c r="DZ275" s="924"/>
      <c r="EH275" s="924"/>
    </row>
    <row r="276" spans="1:138" s="6" customFormat="1" ht="15" customHeight="1">
      <c r="A276" s="3">
        <v>119</v>
      </c>
      <c r="B276" s="210" t="s">
        <v>67</v>
      </c>
      <c r="C276" s="473" t="s">
        <v>515</v>
      </c>
      <c r="D276" s="4"/>
      <c r="E276" s="5"/>
      <c r="F276" s="5"/>
      <c r="G276" s="4"/>
      <c r="H276" s="4">
        <v>1</v>
      </c>
      <c r="I276" s="658">
        <f>SUM(I5:I26)*H276</f>
        <v>0</v>
      </c>
      <c r="J276" s="4"/>
      <c r="K276" s="5"/>
      <c r="L276" s="5"/>
      <c r="M276" s="5"/>
      <c r="O276" s="5"/>
      <c r="P276" s="5"/>
      <c r="Q276" s="5"/>
      <c r="S276" s="5">
        <v>1</v>
      </c>
      <c r="T276" s="5">
        <f>T5*S276+T6*S276+T7*S276+T8*S276+T9*S276+T10*S276+T11*S276+T12*S276+T13*S276+T14*S276+T15*S276+T16*S276+T17*S276+T18*S276+T19*S276+T20*S276+T21*S276+T22*S276+T23*S276+T24*S276+T25*S276+T26*S276+U5*S276+U6*S276+U7*S276+U8*S276+U9*S276+U10*S276+U11*S276+U12*S276+U13*S276+U14*S276+U15*S276+U16*S276+U17*S276+U18*S276+U19*S276+U20*S276+U21*S276+U22*S276+U23*S276+U24*S276+U25*S276+U26*S276</f>
        <v>0</v>
      </c>
      <c r="U276" s="5"/>
      <c r="W276" s="5">
        <v>1</v>
      </c>
      <c r="X276" s="5">
        <f>X5*W276+X6*W276+X7*W276+X8*W276+X9*W276+X10*W276+X11*W276+X12*W276+X13*W276+X14*W276+X15*W276+X16*W276+X17*W276+X18*W276+X19*W276+X20*W276+X21*W276+X22*W276+X23*W276+X24*W276+X25*W276+X26*W276+Y5*W276+Y6*W276+Y7*W276+Y8*W276+Y9*W276+Y10*W276+Y11*W276+Y12*W276+Y13*W276+Y14*W276+Y15*W276+Y16*W276+Y17*W276+Y18*W276+Y19*W276+Y20*W276+Y21*W276+Y22*W276+Y23*W276+Y24*W276+Y25*W276+Y26*W276</f>
        <v>0</v>
      </c>
      <c r="Y276" s="12"/>
      <c r="AA276" s="13">
        <v>1</v>
      </c>
      <c r="AB276" s="12">
        <f>AB5*AA276+AB6*AA276+AB7*AA276+AB8*AA276+AB9*AA276+AB10*AA276+AB11*AA276+AB12*AA276+AB13*AA276+AB14*AA276+AB15*AA276+AB16*AA276+AB17*AA276+AB18*AA276+AB19*AA276+AB20*AA276+AB21*AA276+AB22*AA276+AB23*AA276+AB24*AA276+AB25*AA276+AB26*AA276+AC5*AA276+AC6*AA276+AC7*AA276+AC8*AA276+AC9*AA276+AC10*AA276+AC11*AA276+AC12*AA276+AC13*AA276+AC14*AA276+AC15*AA276+AC16*AA276+AC17*AA276+AC18*AA276+AC19*AA276+AC20*AA276+AC21*AA276+AC22*AA276+AC23*AA276+AC24*AA276+AC25*AA276+AC26*AA276</f>
        <v>0</v>
      </c>
      <c r="AD276" s="13">
        <v>1</v>
      </c>
      <c r="AE276" s="5">
        <f>AE5*AD276+AF5*AD276+AE6*AD276+AF6*AD276+AE7*AD276+AF7*AD276+AE8*AD276+AF8*AD276+AE9*AD276+AF9*AD276+AE10*AD276+AF10*AD276+AE11*AD276+AF11*AD276+AE12*AD276+AF12*AD276+AE13*AD276+AF13*AD276+AE14*AD276+AF14*AD276+AE15*AD276+AF15*AD276+AE16*AD276+AF16*AD276+AE17*AD276+AF17*AD276+AE18*AD276+AF18*AD276+AE19*AD276+AF19*AD276+AE20*AD276+AF20*AD276+AE21*AD276+AF21*AD276+AE22*AD276+AF22*AD276+AE23*AD276+AF23*AD276+AE24*AD276+AF24*AD276+AE25*AD276+AF25*AD276+AE26*AD276+AF26*AD276</f>
        <v>0</v>
      </c>
      <c r="AF276" s="5"/>
      <c r="AH276" s="13">
        <v>1</v>
      </c>
      <c r="AI276" s="5">
        <f>AI5*AH276+AJ5*AH276+AI6*AH276+AJ6*AH276+AI7*AH276+AJ7*AH276+AI8*AH276+AJ8*AH276+AI9*AH276+AJ9*AH276+AI10*AH276+AJ10*AH276+AI11*AH276+AJ11*AH276+AI12*AH276+AJ12*AH276+AI13*AH276+AJ13*AH276+AI14*AH276+AJ14*AH276+AI15*AH276+AJ15*AH276+AI16*AH276+AJ16*AH276+AI17*AH276+AJ17*AH276+AI18*AH276+AJ18*AH276+AI19*AH276+AJ19*AH276+AI20*AH276+AJ20*AH276+AI21*AH276+AJ21*AH276+AI22*AH276+AJ22*AH276+AI23*AH276+AJ23*AH276+AI24*AH276+AJ24*AH276+AI25*AH276+AJ25*AH276+AI26*AH276+AJ26*AH276</f>
        <v>0</v>
      </c>
      <c r="AK276" s="5">
        <v>1</v>
      </c>
      <c r="AL276" s="5">
        <f>AL5*AK276+AM5*AK276+AL6*AK276+AM6*AK276+AL7*AK276+AM7*AK276+AL8*AK276+AM8*AK276+AL9*AK276+AM9*AK276+AL10*AK276+AM10*AK276+AL11*AK276+AM11*AK276+AL12*AK276+AM12*AK276+AL13*AK276+AM13*AK276+AL14*AK276+AM14*AK276+AL15*AK276+AM15*AK276+AL16*AK276+AM16*AK276+AL17*AK276+AM17*AK276+AL18*AK276+AM18*AK276+AL19*AK276+AM19*AK276+AL20*AK276+AM20*AK276+AL21*AK276+AM21*AK276+AL22*AK276+AM22*AK276+AL23*AK276+AM23*AK276+AL24*AK276+AM24*AK276+AL25*AK276+AM25*AK276+AL26*AK276+AM26*AK276</f>
        <v>0</v>
      </c>
      <c r="AM276" s="5"/>
      <c r="AO276" s="5">
        <v>1</v>
      </c>
      <c r="AP276" s="5">
        <f>AP5*AO276+AQ5*AO276+AP6*AO276+AQ6*AO276+AP7*AO276+AQ7*AO276+AP8*AO276+AQ8*AO276+AP9*AO276+AQ9*AO276+AP10*AO276+AQ10*AO276+AP11*AO276+AQ11*AO276+AP12*AO276+AQ12*AO276+AP13*AO276+AQ13*AO276+AP14*AO276+AQ14*AO276+AP15*AO276+AQ15*AO276+AP16*AO276+AQ16*AO276+AP17*AO276+AQ17*AO276+AP18*AO276+AQ18*AO276+AP19*AO276+AQ19*AO276+AP20*AO276+AQ20*AO276+AP21*AO276+AQ21*AO276+AP22*AO276+AQ22*AO276+AP23*AO276+AQ23*AO276+AP24*AO276+AQ24*AO276+AP25*AO276+AQ25*AO276+AP26*AO276+AQ26*AO276</f>
        <v>0</v>
      </c>
      <c r="AR276" s="5">
        <v>2</v>
      </c>
      <c r="AS276" s="5">
        <f>AS5*AR276+AT5*AR276+AS6*AR276+AT6*AR276+AS7*AR276+AT7*AR276+AS8*AR276+AT8*AR276+AS9*AR276+AT9*AR276+AS10*AR276+AT10*AR276+AS11*AR276+AT11*AR276+AS12*AR276+AT12*AR276+AS13*AR276+AT13*AR276+AS14*AR276+AT14*AR276+AS15*AR276+AT15*AR276+AS16*AR276+AT16*AR276+AS17*AR276+AT17*AR276+AS18*AR276+AT18*AR276+AS19*AR276+AT19*AR276+AS20*AR276+AT20*AR276+AS21*AR276+AT21*AR276+AS22*AR276+AT22*AR276+AS23*AR276+AT23*AR276+AS24*AR276+AT24*AR276+AS25*AR276+AT25*AR276+AS26*AR276+AT26*AR276</f>
        <v>0</v>
      </c>
      <c r="AT276" s="5"/>
      <c r="AV276" s="5">
        <v>2</v>
      </c>
      <c r="AW276" s="5">
        <f>AW5*AV276+AX5*AV276+AW6*AV276+AX6*AV276+AW7*AV276+AX7*AV276+AW8*AV276+AX8*AV276+AW9*AV276+AX9*AV276+AW10*AV276+AX10*AV276+AW11*AV276+AX11*AV276+AW12*AV276+AX12*AV276+AW13*AV276+AX13*AV276+AW14*AV276+AX14*AV276+AW15*AV276+AX15*AV276+AW16*AV276+AX16*AV276+AW17*AV276+AX17*AV276+AW18*AV276+AX18*AV276+AW19*AV276+AX19*AV276+AW20*AV276+AX20*AV276+AW21*AV276+AX21*AV276+AW22*AV276+AX22*AV276+AW23*AV276+AX23*AV276+AW24*AV276+AX24*AV276+AW25*AV276+AX25*AV276+AW26*AV276+AX26*AV276</f>
        <v>0</v>
      </c>
      <c r="AY276" s="5">
        <v>2</v>
      </c>
      <c r="AZ276" s="5">
        <f>AZ5*AY276+BA5*AY276+AZ6*AY276+BA6*AY276+AZ7*AY276+BA7*AY276+AZ8*AY276+BA8*AY276+AZ9*AY276+BA9*AY276+AZ10*AY276+BA10*AY276+AZ11*AY276+BA11*AY276+AZ12*AY276+BA12*AY276+AZ13*AY276+BA13*AY276+AZ14*AY276+BA14*AY276+AZ15*AY276+BA15*AY276+AZ16*AY276+BA16*AY276+AZ17*AY276+BA17*AY276+AZ18*AY276+BA18*AY276+AZ19*AY276+BA19*AY276+AZ20*AY276+BA20*AY276+AZ21*AY276+BA21*AY276+AZ22*AY276+BA22*AY276+AZ23*AY276+BA23*AY276+AZ24*AY276+BA24*AY276+AZ25*AY276+BA25*AY276+AZ26*AY276+BA26*AY276</f>
        <v>0</v>
      </c>
      <c r="BA276" s="5"/>
      <c r="BC276" s="5">
        <v>2</v>
      </c>
      <c r="BD276" s="5">
        <f>BD5*BC276+BE5*BC276+BD6*BC276+BE6*BC276+BD7*BC276+BE7*BC276+BD8*BC276+BE8*BC276+BD9*BC276+BE9*BC276+BD10*BC276+BE10*BC276+BD11*BC276+BE11*BC276+BD12*BC276+BE12*BC276+BD13*BC276+BE13*BC276+BD14*BC276+BE14*BC276+BD15*BC276+BE15*BC276+BD16*BC276+BE16*BC276+BD17*BC276+BE17*BC276+BD18*BC276+BE18*BC276+BD19*BC276+BE19*BC276+BD20*BC276+BE20*BC276+BD21*BC276+BE21*BC276+BD22*BC276+BE22*BC276+BD23*BC276+BE23*BC276+BD24*BC276+BE24*BC276+BD25*BC276+BE25*BC276+BD26*BC276+BE26*BC276</f>
        <v>0</v>
      </c>
      <c r="BF276" s="5">
        <v>2</v>
      </c>
      <c r="BG276" s="5">
        <f>BG5*BF276+BH5*BF276+BG6*BF276+BH6*BF276+BG7*BF276+BH7*BF276+BG8*BF276+BH8*BF276+BG9*BF276+BH9*BF276+BG10*BF276+BH10*BF276+BG11*BF276+BH11*BF276+BG12*BF276+BH12*BF276+BG13*BF276+BH13*BF276+BG14*BF276+BH14*BF276+BG15*BF276+BH15*BF276+BG16*BF276+BH16*BF276+BG17*BF276+BH17*BF276+BG18*BF276+BH18*BF276+BG19*BF276+BH19*BF276+BG20*BF276+BH20*BF276+BG21*BF276+BH21*BF276+BG22*BF276+BH22*BF276+BG23*BF276+BH23*BF276+BG24*BF276+BH24*BF276+BG25*BF276+BH25*BF276+BG26*BF276+BH26*BF276</f>
        <v>0</v>
      </c>
      <c r="BH276" s="5"/>
      <c r="BJ276" s="5">
        <v>2</v>
      </c>
      <c r="BK276" s="5">
        <f>BK5*BJ276+BL5*BJ276+BK6*BJ276+BL6*BJ276+BK7*BJ276+BL7*BJ276+BK8*BJ276+BL8*BJ276+BK9*BJ276+BL9*BJ276+BK10*BJ276+BL10*BJ276+BK11*BJ276+BL11*BJ276+BK12*BJ276+BL12*BJ276+BK13*BJ276+BL13*BJ276+BK14*BJ276+BL14*BJ276+BK15*BJ276+BL15*BJ276+BK16*BJ276+BL16*BJ276+BK17*BJ276+BL17*BJ276+BK18*BJ276+BL18*BJ276+BK19*BJ276+BL19*BJ276+BK20*BJ276+BL20*BJ276+BK21*BJ276+BL21*BJ276+BK22*BJ276+BL22*BJ276+BK23*BJ276+BL23*BJ276+BK24*BJ276+BL24*BJ276+BK25*BJ276+BL25*BJ276+BK26*BJ276+BL26*BJ276</f>
        <v>0</v>
      </c>
      <c r="BL276" s="12"/>
      <c r="BM276" s="5">
        <v>2</v>
      </c>
      <c r="BN276" s="5">
        <f>BN5*BM276+BO5*BM276+BN6*BM276+BO6*BM276+BN7*BM276+BO7*BM276+BN8*BM276+BO8*BM276+BN9*BM276+BO9*BM276+BN10*BM276+BO10*BM276+BN11*BM276+BO11*BM276+BN12*BM276+BO12*BM276+BN13*BM276+BO13*BM276+BN14*BM276+BO14*BM276+BN15*BM276+BO15*BM276+BN16*BM276+BO16*BM276+BN17*BM276+BO17*BM276+BN18*BM276+BO18*BM276+BN19*BM276+BO19*BM276+BN20*BM276+BO20*BM276+BN21*BM276+BO21*BM276+BN22*BM276+BO22*BM276+BN23*BM276+BO23*BM276+BN24*BM276+BO24*BM276+BN25*BM276+BO25*BM276+BN26*BM276+BO26*BM276</f>
        <v>0</v>
      </c>
      <c r="BO276" s="5"/>
      <c r="BQ276" s="5">
        <v>2</v>
      </c>
      <c r="BR276" s="5">
        <f>BR5*BQ276+BS5*BQ276+BR6*BQ276+BS6*BQ276+BR7*BQ276+BS7*BQ276+BR8*BQ276+BS8*BQ276+BR9*BQ276+BS9*BQ276+BR10*BQ276+BS10*BQ276+BR11*BQ276+BS11*BQ276+BR12*BQ276+BS12*BQ276+BR13*BQ276+BS13*BQ276+BR14*BQ276+BS14*BQ276+BR15*BQ276+BS15*BQ276+BR16*BQ276+BS16*BQ276+BR17*BQ276+BS17*BQ276+BR18*BQ276+BS18*BQ276+BR19*BQ276+BS19*BQ276+BR20*BQ276+BS20*BQ276+BR21*BQ276+BS21*BQ276+BR22*BQ276+BS22*BQ276+BR23*BQ276+BS23*BQ276+BR24*BQ276+BS24*BQ276+BR25*BQ276+BS25*BQ276+BR26*BQ276+BS26*BQ276</f>
        <v>0</v>
      </c>
      <c r="BT276" s="5">
        <v>2</v>
      </c>
      <c r="BU276" s="5">
        <f>BU5*BT276+BV5*BT276+BU6*BT276+BV6*BT276+BU7*BT276+BV7*BT276+BU8*BT276+BV8*BT276+BU9*BT276+BV9*BT276+BU10*BT276+BV10*BT276+BU11*BT276+BV11*BT276+BU12*BT276+BV12*BT276+BU13*BT276+BV13*BT276+BU14*BT276+BV14*BT276+BU15*BT276+BV15*BT276+BU16*BT276+BV16*BT276+BU17*BT276+BV17*BT276+BU18*BT276+BV18*BT276+BU19*BT276+BV19*BT276+BU20*BT276+BV20*BT276+BU21*BT276+BV21*BT276+BU22*BT276+BV22*BT276+BU23*BT276+BV23*BT276+BU24*BT276+BV24*BT276+BU25*BT276+BV25*BT276+BU26*BT276+BV26*BT276</f>
        <v>0</v>
      </c>
      <c r="BV276" s="5"/>
      <c r="BX276" s="5">
        <v>2</v>
      </c>
      <c r="BY276" s="5">
        <f>BY5*BX276+BZ5*BX276+BY6*BX276+BZ6*BX276+BY7*BX276+BZ7*BX276+BY8*BX276+BZ8*BX276+BY9*BX276+BZ9*BX276+BY10*BX276+BZ10*BX276+BY11*BX276+BZ11*BX276+BY12*BX276+BZ12*BX276+BY13*BX276+BZ13*BX276+BY14*BX276+BZ14*BX276+BY15*BX276+BZ15*BX276+BY16*BX276+BZ16*BX276+BY17*BX276+BZ17*BX276+BY18*BX276+BZ18*BX276+BY19*BX276+BZ19*BX276+BY20*BX276+BZ20*BX276+BY21*BX276+BZ21*BX276+BY22*BX276+BZ22*BX276+BY23*BX276+BZ23*BX276+BY24*BX276+BZ24*BX276+BY25*BX276+BZ25*BX276+BY26*BX276+BZ26*BX276</f>
        <v>0</v>
      </c>
      <c r="CA276" s="13">
        <v>2</v>
      </c>
      <c r="CB276" s="5">
        <f>SUM(CB5:CB26,CC5:CC26)*CA276</f>
        <v>0</v>
      </c>
      <c r="CC276" s="11"/>
      <c r="CE276" s="13"/>
      <c r="CF276" s="5"/>
      <c r="CG276" s="12"/>
      <c r="CI276" s="13"/>
      <c r="CJ276" s="5"/>
      <c r="CK276" s="12"/>
      <c r="CM276" s="13"/>
      <c r="CN276" s="5"/>
      <c r="CO276" s="12"/>
      <c r="CQ276" s="13"/>
      <c r="CR276" s="5"/>
      <c r="CS276" s="12"/>
      <c r="CU276" s="13"/>
      <c r="CV276" s="5"/>
      <c r="CW276" s="12"/>
      <c r="CY276" s="13"/>
      <c r="CZ276" s="5">
        <f>CZ5*CY276+DA5*CY276+CZ6*CY276+DA6*CY276+CZ7*CY276+DA7*CY276+CZ8*CY276+DA8*CY276+CZ9*CY276+DA9*CY276+CZ10*CY276+DA10*CY276+CZ11*CY276+DA11*CY276+CZ12*CY276+DA12*CY276+CZ13*CY276+DA13*CY276+CZ14*CY276+DA14*CY276+CZ15*CY276+DA15*CY276+CZ16*CY276+DA16*CY276+CZ17*CY276+DA17*CY276+CZ18*CY276+DA18*CY276+CZ19*CY276+DA19*CY276+CZ20*CY276+DA20*CY276+CZ21*CY276+DA21*CY276+CZ22*CY276+DA22*CY276+CZ23*CY276+DA23*CY276+CZ24*CY276+DA24*CY276+CZ25*CY276+DA25*CY276+CZ26*CY276+DA26*CY276</f>
        <v>0</v>
      </c>
      <c r="DA276" s="12"/>
      <c r="DC276" s="13"/>
      <c r="DD276" s="5">
        <f>DD5*DC276+DE5*DC276+DD6*DC276+DE6*DC276+DD7*DC276+DE7*DC276+DD8*DC276+DE8*DC276+DD9*DC276+DE9*DC276+DD10*DC276+DE10*DC276+DD11*DC276+DE11*DC276+DD12*DC276+DE12*DC276+DD13*DC276+DE13*DC276+DD14*DC276+DE14*DC276+DD15*DC276+DE15*DC276+DD16*DC276+DE16*DC276+DD17*DC276+DE17*DC276+DD18*DC276+DE18*DC276+DD19*DC276+DE19*DC276+DD20*DC276+DE20*DC276+DD21*DC276+DE21*DC276+DD22*DC276+DE22*DC276+DD23*DC276+DE23*DC276+DD24*DC276+DE24*DC276+DD25*DC276+DE25*DC276+DD26*DC276+DE26*DC276</f>
        <v>0</v>
      </c>
      <c r="DE276" s="12"/>
      <c r="DG276" s="13"/>
      <c r="DH276" s="5">
        <f>DH5*DG276+DI5*DG276+DH6*DG276+DI6*DG276+DH7*DG276+DI7*DG276+DH8*DG276+DI8*DG276+DH9*DG276+DI9*DG276+DH10*DG276+DI10*DG276+DH11*DG276+DI11*DG276+DH12*DG276+DI12*DG276+DH13*DG276+DI13*DG276+DH14*DG276+DI14*DG276+DH15*DG276+DI15*DG276+DH16*DG276+DI16*DG276+DH17*DG276+DI17*DG276+DH18*DG276+DI18*DG276+DH19*DG276+DI19*DG276+DH20*DG276+DI20*DG276+DH21*DG276+DI21*DG276+DH22*DG276+DI22*DG276+DH23*DG276+DI23*DG276+DH24*DG276+DI24*DG276+DH25*DG276+DI25*DG276+DH26*DG276+DI26*DG276</f>
        <v>0</v>
      </c>
      <c r="DI276" s="12"/>
      <c r="DK276" s="13"/>
      <c r="DL276" s="5">
        <f>DL5*DK276+DM5*DK276+DL6*DK276+DM6*DK276+DL7*DK276+DM7*DK276+DL8*DK276+DM8*DK276+DL9*DK276+DM9*DK276+DL10*DK276+DM10*DK276+DL11*DK276+DM11*DK276+DL12*DK276+DM12*DK276+DL13*DK276+DM13*DK276+DL14*DK276+DM14*DK276+DL15*DK276+DM15*DK276+DL16*DK276+DM16*DK276+DL17*DK276+DM17*DK276+DL18*DK276+DM18*DK276+DL19*DK276+DM19*DK276+DL20*DK276+DM20*DK276+DL21*DK276+DM21*DK276+DL22*DK276+DM22*DK276+DL23*DK276+DM23*DK276+DL24*DK276+DM24*DK276+DL25*DK276+DM25*DK276+DL26*DK276+DM26*DK276</f>
        <v>0</v>
      </c>
      <c r="DM276" s="12"/>
      <c r="DO276" s="13"/>
      <c r="DP276" s="5"/>
      <c r="DQ276" s="12"/>
      <c r="DS276" s="1336">
        <f t="shared" si="5"/>
        <v>0</v>
      </c>
      <c r="DT276" s="121">
        <f>EXTRAS!D140</f>
        <v>0</v>
      </c>
      <c r="DU276" s="112">
        <f>EXTRAS!E140</f>
        <v>0</v>
      </c>
      <c r="DX276" s="203">
        <f t="shared" si="6"/>
        <v>0</v>
      </c>
      <c r="DY276" s="116">
        <v>34</v>
      </c>
      <c r="DZ276" s="924"/>
      <c r="EH276" s="924"/>
    </row>
    <row r="277" spans="1:138" s="6" customFormat="1" ht="15" customHeight="1">
      <c r="A277" s="3">
        <v>120</v>
      </c>
      <c r="B277" s="210" t="s">
        <v>1289</v>
      </c>
      <c r="C277" s="473" t="s">
        <v>515</v>
      </c>
      <c r="D277" s="4"/>
      <c r="E277" s="5"/>
      <c r="F277" s="5"/>
      <c r="G277" s="4"/>
      <c r="H277" s="4"/>
      <c r="I277" s="4"/>
      <c r="J277" s="4"/>
      <c r="K277" s="5"/>
      <c r="L277" s="5"/>
      <c r="M277" s="5"/>
      <c r="O277" s="5"/>
      <c r="P277" s="5"/>
      <c r="Q277" s="5"/>
      <c r="S277" s="5"/>
      <c r="T277" s="5"/>
      <c r="U277" s="5"/>
      <c r="W277" s="5"/>
      <c r="X277" s="5"/>
      <c r="Y277" s="12"/>
      <c r="AA277" s="13"/>
      <c r="AB277" s="5"/>
      <c r="AD277" s="13"/>
      <c r="AE277" s="5"/>
      <c r="AF277" s="5"/>
      <c r="AH277" s="13"/>
      <c r="AI277" s="5"/>
      <c r="AK277" s="5"/>
      <c r="AL277" s="5"/>
      <c r="AM277" s="5"/>
      <c r="AO277" s="5"/>
      <c r="AP277" s="5"/>
      <c r="AR277" s="5"/>
      <c r="AS277" s="5"/>
      <c r="AT277" s="5"/>
      <c r="AV277" s="5"/>
      <c r="AW277" s="5"/>
      <c r="AY277" s="5"/>
      <c r="AZ277" s="5"/>
      <c r="BA277" s="5"/>
      <c r="BC277" s="5"/>
      <c r="BD277" s="5"/>
      <c r="BF277" s="5"/>
      <c r="BG277" s="5"/>
      <c r="BH277" s="5"/>
      <c r="BJ277" s="5"/>
      <c r="BK277" s="5"/>
      <c r="BL277" s="12"/>
      <c r="BM277" s="5"/>
      <c r="BN277" s="5"/>
      <c r="BO277" s="5"/>
      <c r="BQ277" s="5"/>
      <c r="BR277" s="5"/>
      <c r="BT277" s="5"/>
      <c r="BU277" s="5"/>
      <c r="BV277" s="5"/>
      <c r="BX277" s="5"/>
      <c r="BY277" s="5"/>
      <c r="CA277" s="13"/>
      <c r="CB277" s="5"/>
      <c r="CC277" s="11"/>
      <c r="CE277" s="13"/>
      <c r="CF277" s="5"/>
      <c r="CG277" s="12"/>
      <c r="CI277" s="13"/>
      <c r="CJ277" s="5"/>
      <c r="CK277" s="12"/>
      <c r="CM277" s="13"/>
      <c r="CN277" s="5"/>
      <c r="CO277" s="12"/>
      <c r="CQ277" s="13"/>
      <c r="CR277" s="5"/>
      <c r="CS277" s="12"/>
      <c r="CU277" s="13"/>
      <c r="CV277" s="5"/>
      <c r="CW277" s="12"/>
      <c r="CY277" s="13"/>
      <c r="CZ277" s="5"/>
      <c r="DA277" s="12"/>
      <c r="DC277" s="13"/>
      <c r="DD277" s="5"/>
      <c r="DE277" s="12"/>
      <c r="DG277" s="13"/>
      <c r="DH277" s="5"/>
      <c r="DI277" s="12"/>
      <c r="DK277" s="13"/>
      <c r="DL277" s="5"/>
      <c r="DM277" s="12"/>
      <c r="DO277" s="13"/>
      <c r="DP277" s="5"/>
      <c r="DQ277" s="12"/>
      <c r="DS277" s="1336">
        <f t="shared" si="5"/>
        <v>0</v>
      </c>
      <c r="DT277" s="121">
        <f>EXTRAS!D141</f>
        <v>0</v>
      </c>
      <c r="DU277" s="112">
        <f>EXTRAS!E141</f>
        <v>0</v>
      </c>
      <c r="DX277" s="203">
        <f t="shared" si="6"/>
        <v>0</v>
      </c>
      <c r="DY277" s="142">
        <v>13</v>
      </c>
      <c r="DZ277" s="924"/>
      <c r="EH277" s="924"/>
    </row>
    <row r="278" spans="1:138" s="6" customFormat="1" ht="15" customHeight="1">
      <c r="A278" s="3">
        <v>121</v>
      </c>
      <c r="B278" s="210" t="s">
        <v>1290</v>
      </c>
      <c r="C278" s="473" t="s">
        <v>515</v>
      </c>
      <c r="D278" s="4"/>
      <c r="E278" s="5"/>
      <c r="F278" s="5"/>
      <c r="G278" s="4"/>
      <c r="H278" s="4"/>
      <c r="I278" s="4"/>
      <c r="J278" s="4"/>
      <c r="K278" s="5">
        <v>1</v>
      </c>
      <c r="L278" s="5">
        <f>L5*K278+M5*K278+L6*K278+M6*K278+L7*K278+M7*K278+L8*K278+M8*K278+L9*K278+L10*K278+L11*K278+L12*K278+L13*K278+L14*K278+L15*K278+L16*K278+L17*K278+L18*K278+L19*K278+L20*K278+L21*K278+L22*K278+L23*K278+L24*K278+L25*K278+L26*K278+M9*K278+M10*K278+M11*K278+M12*K278+M13*K278+M14*K278+M15*K278+M16*K278+M17*K278+M18*K278+M19*K278+M20*K278+M21*K278+M22*K278+M23*K278+M24*K278+M25*K278+M26*K278</f>
        <v>0</v>
      </c>
      <c r="M278" s="5"/>
      <c r="O278" s="5">
        <v>1</v>
      </c>
      <c r="P278" s="5">
        <f>P5*O278+Q5*O278+P6*O278+Q6*O278+P7*O278+Q7*O278+P8*O278+Q8*O278+P9*O278+P10*O278+P11*O278+P12*O278+P13*O278+P14*O278+P15*O278+P16*O278+P17*O278+P18*O278+P19*O278+P20*O278+P21*O278+P22*O278+P23*O278+P24*O278+P25*O278+P26*O278+Q9*O278+Q10*O278+Q11*O278+Q12*O278+Q13*O278+Q14*O278+Q15*O278+Q16*O278+Q17*O278+Q18*O278+Q19*O278+Q20*O278+Q21*O278+Q22*O278+Q23*O278+Q24*O278+Q25*O278+Q26*O278</f>
        <v>0</v>
      </c>
      <c r="Q278" s="5"/>
      <c r="S278" s="5"/>
      <c r="T278" s="5"/>
      <c r="U278" s="5"/>
      <c r="W278" s="5">
        <v>1</v>
      </c>
      <c r="X278" s="5">
        <f>X5*W278+Y5*W278+X6*W278+Y6*W278+X7*W278+Y7*W278+X8*W278+Y8*W278+X9*W278+X10*W278+X11*W278+X12*W278+X13*W278+X14*W278+X15*W278+X16*W278+X17*W278+X18*W278+X19*W278+X20*W278+X21*W278+X22*W278+X23*W278+X24*W278+X25*W278+X26*W278+Y9*W278+Y10*W278+Y11*W278+Y12*W278+Y13*W278+Y14*W278+Y15*W278+Y16*W278+Y17*W278+Y18*W278+Y19*W278+Y20*W278+Y21*W278+Y22*W278+Y23*W278+Y24*W278+Y25*W278+Y26*W278</f>
        <v>0</v>
      </c>
      <c r="Y278" s="12"/>
      <c r="AA278" s="13">
        <v>1</v>
      </c>
      <c r="AB278" s="12">
        <f>AB5*AA278+AC5*AA278+AB6*AA278+AC6*AA278+AB7*AA278+AC7*AA278+AB8*AA278+AC8*AA278+AB9*AA278+AB10*AA278+AB11*AA278+AB12*AA278+AB13*AA278+AB14*AA278+AB15*AA278+AB16*AA278+AB17*AA278+AB18*AA278+AB19*AA278+AB20*AA278+AB21*AA278+AB22*AA278+AB23*AA278+AB24*AA278+AB25*AA278+AB26*AA278+AC9*AA278+AC10*AA278+AC11*AA278+AC12*AA278+AC13*AA278+AC14*AA278+AC15*AA278+AC16*AA278+AC17*AA278+AC18*AA278+AC19*AA278+AC20*AA278+AC21*AA278+AC22*AA278+AC23*AA278+AC24*AA278+AC25*AA278+AC26*AA278</f>
        <v>0</v>
      </c>
      <c r="AD278" s="13"/>
      <c r="AE278" s="5"/>
      <c r="AF278" s="5"/>
      <c r="AH278" s="13"/>
      <c r="AI278" s="5"/>
      <c r="AK278" s="5"/>
      <c r="AL278" s="5"/>
      <c r="AM278" s="5"/>
      <c r="AO278" s="5"/>
      <c r="AP278" s="5"/>
      <c r="AR278" s="5"/>
      <c r="AS278" s="5"/>
      <c r="AT278" s="5"/>
      <c r="AV278" s="5"/>
      <c r="AW278" s="5"/>
      <c r="AY278" s="5"/>
      <c r="AZ278" s="5"/>
      <c r="BA278" s="5"/>
      <c r="BC278" s="5"/>
      <c r="BD278" s="5"/>
      <c r="BF278" s="5">
        <v>1</v>
      </c>
      <c r="BG278" s="5">
        <f>BG5*BF278+BH5*BF278+BG6*BF278+BH6*BF278+BG7*BF278+BH7*BF278+BG8*BF278+BH8*BF278+BG9*BF278+BG10*BF278+BG11*BF278+BG12*BF278+BG13*BF278+BG14*BF278+BG15*BF278+BG16*BF278+BG17*BF278+BG18*BF278+BG19*BF278+BG20*BF278+BG21*BF278+BG22*BF278+BG23*BF278+BG24*BF278+BG25*BF278+BG26*BF278+BH9*BF278+BH10*BF278+BH11*BF278+BH12*BF278+BH13*BF278+BH14*BF278+BH15*BF278+BH16*BF278+BH17*BF278+BH18*BF278+BH19*BF278+BH20*BF278+BH21*BF278+BH22*BF278+BH23*BF278+BH24*BF278+BH25*BF278+BH26*BF278</f>
        <v>0</v>
      </c>
      <c r="BH278" s="5"/>
      <c r="BJ278" s="5">
        <v>1</v>
      </c>
      <c r="BK278" s="5">
        <f>BK5*BJ278+BL5*BJ278+BK6*BJ278+BL6*BJ278+BK7*BJ278+BL7*BJ278+BK8*BJ278+BL8*BJ278+BK9*BJ278+BK10*BJ278+BK11*BJ278+BK12*BJ278+BK13*BJ278+BK14*BJ278+BK15*BJ278+BK16*BJ278+BK17*BJ278+BK18*BJ278+BK19*BJ278+BK20*BJ278+BK21*BJ278+BK22*BJ278+BK23*BJ278+BK24*BJ278+BK25*BJ278+BK26*BJ278+BL9*BJ278+BL10*BJ278+BL11*BJ278+BL12*BJ278+BL13*BJ278+BL14*BJ278+BL15*BJ278+BL16*BJ278+BL17*BJ278+BL18*BJ278+BL19*BJ278+BL20*BJ278+BL21*BJ278+BL22*BJ278+BL23*BJ278+BL24*BJ278+BL25*BJ278+BL26*BJ278</f>
        <v>0</v>
      </c>
      <c r="BL278" s="12"/>
      <c r="BM278" s="5"/>
      <c r="BN278" s="5">
        <f>BN5*BM278+BO5*BM278+BN6*BM278+BO6*BM278+BN7*BM278+BO7*BM278+BN8*BM278+BO8*BM278+BN9*BM278+BN10*BM278+BN11*BM278+BN12*BM278+BN13*BM278+BN14*BM278+BN15*BM278+BN16*BM278+BN17*BM278+BN18*BM278+BN19*BM278+BN20*BM278+BN21*BM278+BN22*BM278+BN23*BM278+BN24*BM278+BN25*BM278+BN26*BM278+BO9*BM278+BO10*BM278+BO11*BM278+BO12*BM278+BO13*BM278+BO14*BM278+BO15*BM278+BO16*BM278+BO17*BM278+BO18*BM278+BO19*BM278+BO20*BM278+BO21*BM278+BO22*BM278+BO23*BM278+BO24*BM278+BO25*BM278+BO26*BM278</f>
        <v>0</v>
      </c>
      <c r="BO278" s="5"/>
      <c r="BQ278" s="5"/>
      <c r="BR278" s="5">
        <f>BR5*BQ278+BS5*BQ278+BR6*BQ278+BS6*BQ278+BR7*BQ278+BS7*BQ278+BR8*BQ278+BS8*BQ278+BR9*BQ278+BR10*BQ278+BR11*BQ278+BR12*BQ278+BR13*BQ278+BR14*BQ278+BR15*BQ278+BR16*BQ278+BR17*BQ278+BR18*BQ278+BR19*BQ278+BR20*BQ278+BR21*BQ278+BR22*BQ278+BR23*BQ278+BR24*BQ278+BR25*BQ278+BR26*BQ278+BS9*BQ278+BS10*BQ278+BS11*BQ278+BS12*BQ278+BS13*BQ278+BS14*BQ278+BS15*BQ278+BS16*BQ278+BS17*BQ278+BS18*BQ278+BS19*BQ278+BS20*BQ278+BS21*BQ278+BS22*BQ278+BS23*BQ278+BS24*BQ278+BS25*BQ278+BS26*BQ278</f>
        <v>0</v>
      </c>
      <c r="BT278" s="5"/>
      <c r="BU278" s="5"/>
      <c r="BV278" s="5"/>
      <c r="BX278" s="5"/>
      <c r="BY278" s="5"/>
      <c r="CA278" s="13">
        <v>1</v>
      </c>
      <c r="CB278" s="5">
        <f>SUM(CB5:CB26,CC5:CC26)*CA278</f>
        <v>0</v>
      </c>
      <c r="CC278" s="11">
        <f>C15*1</f>
        <v>0</v>
      </c>
      <c r="CE278" s="13">
        <v>1</v>
      </c>
      <c r="CF278" s="5">
        <f>CF5*CE278+CG5*CE278+CF6*CE278+CG6*CE278+CF7*CE278+CG7*CE278+CF8*CE278+CG8*CE278+CF9*CE278+CF10*CE278+CF11*CE278+CF12*CE278+CF13*CE278+CF14*CE278+CF15*CE278+CF16*CE278+CF17*CE278+CF18*CE278+CF19*CE278+CF20*CE278+CF21*CE278+CF22*CE278+CF23*CE278+CF24*CE278+CF25*CE278+CF26*CE278+CG9*CE278+CG10*CE278+CG11*CE278+CG12*CE278+CG13*CE278+CG14*CE278+CG15*CE278+CG16*CE278+CG17*CE278+CG18*CE278+CG19*CE278+CG20*CE278+CG21*CE278+CG22*CE278+CG23*CE278+CG24*CE278+CG25*CE278+CG26*CE278</f>
        <v>0</v>
      </c>
      <c r="CG278" s="12"/>
      <c r="CI278" s="13">
        <v>1</v>
      </c>
      <c r="CJ278" s="5">
        <f>CJ5*CI278+CK5*CI278+CJ6*CI278+CK6*CI278+CJ7*CI278+CK7*CI278+CJ8*CI278+CK8*CI278+CJ9*CI278+CJ10*CI278+CJ11*CI278+CJ12*CI278+CJ13*CI278+CJ14*CI278+CJ15*CI278+CJ16*CI278+CJ17*CI278+CJ18*CI278+CJ19*CI278+CJ20*CI278+CJ21*CI278+CJ22*CI278+CJ23*CI278+CJ24*CI278+CJ25*CI278+CJ26*CI278+CK9*CI278+CK10*CI278+CK11*CI278+CK12*CI278+CK13*CI278+CK14*CI278+CK15*CI278+CK16*CI278+CK17*CI278+CK18*CI278+CK19*CI278+CK20*CI278+CK21*CI278+CK22*CI278+CK23*CI278+CK24*CI278+CK25*CI278+CK26*CI278</f>
        <v>0</v>
      </c>
      <c r="CK278" s="12"/>
      <c r="CM278" s="13">
        <v>1</v>
      </c>
      <c r="CN278" s="5">
        <f>CN5*CM278+CO5*CM278+CN6*CM278+CO6*CM278+CN7*CM278+CO7*CM278+CN8*CM278+CO8*CM278+CN9*CM278+CN10*CM278+CN11*CM278+CN12*CM278+CN13*CM278+CN14*CM278+CN15*CM278+CN16*CM278+CN17*CM278+CN18*CM278+CN19*CM278+CN20*CM278+CN21*CM278+CN22*CM278+CN23*CM278+CN24*CM278+CN25*CM278+CN26*CM278+CO9*CM278+CO10*CM278+CO11*CM278+CO12*CM278+CO13*CM278+CO14*CM278+CO15*CM278+CO16*CM278+CO17*CM278+CO18*CM278+CO19*CM278+CO20*CM278+CO21*CM278+CO22*CM278+CO23*CM278+CO24*CM278+CO25*CM278+CO26*CM278</f>
        <v>0</v>
      </c>
      <c r="CO278" s="12"/>
      <c r="CQ278" s="13">
        <v>1</v>
      </c>
      <c r="CR278" s="5">
        <f>CR5*CQ278+CS5*CQ278+CR6*CQ278+CS6*CQ278+CR7*CQ278+CS7*CQ278+CR8*CQ278+CS8*CQ278+CR9*CQ278+CR10*CQ278+CR11*CQ278+CR12*CQ278+CR13*CQ278+CR14*CQ278+CR15*CQ278+CR16*CQ278+CR17*CQ278+CR18*CQ278+CR19*CQ278+CR20*CQ278+CR21*CQ278+CR22*CQ278+CR23*CQ278+CR24*CQ278+CR25*CQ278+CR26*CQ278+CS9*CQ278+CS10*CQ278+CS11*CQ278+CS12*CQ278+CS13*CQ278+CS14*CQ278+CS15*CQ278+CS16*CQ278+CS17*CQ278+CS18*CQ278+CS19*CQ278+CS20*CQ278+CS21*CQ278+CS22*CQ278+CS23*CQ278+CS24*CQ278+CS25*CQ278+CS26*CQ278</f>
        <v>0</v>
      </c>
      <c r="CS278" s="12"/>
      <c r="CU278" s="13">
        <v>1</v>
      </c>
      <c r="CV278" s="5">
        <f>CV5*CU278+CW5*CU278+CV6*CU278+CW6*CU278+CV7*CU278+CW7*CU278+CV8*CU278+CW8*CU278+CV9*CU278+CV10*CU278+CV11*CU278+CV12*CU278+CV13*CU278+CV14*CU278+CV15*CU278+CV16*CU278+CV17*CU278+CV18*CU278+CV19*CU278+CV20*CU278+CV21*CU278+CV22*CU278+CV23*CU278+CV24*CU278+CV25*CU278+CV26*CU278+CW9*CU278+CW10*CU278+CW11*CU278+CW12*CU278+CW13*CU278+CW14*CU278+CW15*CU278+CW16*CU278+CW17*CU278+CW18*CU278+CW19*CU278+CW20*CU278+CW21*CU278+CW22*CU278+CW23*CU278+CW24*CU278+CW25*CU278+CW26*CU278</f>
        <v>0</v>
      </c>
      <c r="CW278" s="12"/>
      <c r="CY278" s="13"/>
      <c r="CZ278" s="5"/>
      <c r="DA278" s="12"/>
      <c r="DC278" s="13"/>
      <c r="DD278" s="5"/>
      <c r="DE278" s="12"/>
      <c r="DG278" s="13"/>
      <c r="DH278" s="5"/>
      <c r="DI278" s="12"/>
      <c r="DK278" s="13"/>
      <c r="DL278" s="5"/>
      <c r="DM278" s="12"/>
      <c r="DO278" s="13"/>
      <c r="DP278" s="5"/>
      <c r="DQ278" s="12"/>
      <c r="DS278" s="1336">
        <f t="shared" si="5"/>
        <v>0</v>
      </c>
      <c r="DT278" s="121">
        <f>EXTRAS!D142</f>
        <v>0</v>
      </c>
      <c r="DU278" s="112">
        <f>EXTRAS!E142</f>
        <v>0</v>
      </c>
      <c r="DX278" s="203">
        <f t="shared" si="6"/>
        <v>0</v>
      </c>
      <c r="DY278" s="116">
        <v>34</v>
      </c>
      <c r="DZ278" s="924"/>
      <c r="EH278" s="924"/>
    </row>
    <row r="279" spans="1:138" s="6" customFormat="1" ht="15" customHeight="1">
      <c r="A279" s="3">
        <v>122</v>
      </c>
      <c r="B279" s="210" t="s">
        <v>16</v>
      </c>
      <c r="C279" s="473" t="s">
        <v>515</v>
      </c>
      <c r="D279" s="4"/>
      <c r="E279" s="5"/>
      <c r="F279" s="5"/>
      <c r="G279" s="4"/>
      <c r="H279" s="4"/>
      <c r="I279" s="4"/>
      <c r="J279" s="4"/>
      <c r="K279" s="5"/>
      <c r="L279" s="5"/>
      <c r="M279" s="5"/>
      <c r="O279" s="5"/>
      <c r="P279" s="5"/>
      <c r="Q279" s="5"/>
      <c r="S279" s="5"/>
      <c r="T279" s="5"/>
      <c r="U279" s="5"/>
      <c r="W279" s="5"/>
      <c r="X279" s="5"/>
      <c r="Y279" s="12"/>
      <c r="AA279" s="13"/>
      <c r="AB279" s="12"/>
      <c r="AD279" s="13"/>
      <c r="AE279" s="5"/>
      <c r="AF279" s="5"/>
      <c r="AH279" s="13"/>
      <c r="AI279" s="5"/>
      <c r="AK279" s="5"/>
      <c r="AL279" s="5"/>
      <c r="AM279" s="5"/>
      <c r="AO279" s="5"/>
      <c r="AP279" s="5"/>
      <c r="AR279" s="5"/>
      <c r="AS279" s="5"/>
      <c r="AT279" s="5"/>
      <c r="AV279" s="5"/>
      <c r="AW279" s="5"/>
      <c r="AY279" s="5"/>
      <c r="AZ279" s="5"/>
      <c r="BA279" s="5"/>
      <c r="BC279" s="5"/>
      <c r="BD279" s="5"/>
      <c r="BF279" s="5"/>
      <c r="BG279" s="5"/>
      <c r="BH279" s="5"/>
      <c r="BJ279" s="5"/>
      <c r="BK279" s="5"/>
      <c r="BL279" s="12"/>
      <c r="BM279" s="5"/>
      <c r="BN279" s="5"/>
      <c r="BO279" s="5"/>
      <c r="BQ279" s="5"/>
      <c r="BR279" s="5"/>
      <c r="BT279" s="5"/>
      <c r="BU279" s="5"/>
      <c r="BV279" s="5"/>
      <c r="BX279" s="5"/>
      <c r="BY279" s="5"/>
      <c r="CA279" s="13"/>
      <c r="CB279" s="7"/>
      <c r="CC279" s="11"/>
      <c r="CE279" s="13">
        <v>1</v>
      </c>
      <c r="CF279" s="5">
        <f>CF7*CE279+CG7*CE279+CF8*CE279+CG8*CE279+CF9*CE279+CG9*CE279+CF10*CE279+CG10*CE279+CF11*CE279+CG11*CE279+CF12*CE279+CG12*CE279+CF13*CE279+CG13*CE279+CF14*CE279+CG14*CE279+CF15*CE279+CG15*CE279+CF16*CE279+CG16*CE279+CF17*CE279+CG17*CE279+CF18*CE279+CG18*CE279+CF19*CE279+CG19*CE279+CF20*CE279+CG20*CE279+CF21*CE279+CG21*CE279+CF22*CE279+CG22*CE279+CF23*CE279+CG23*CE279+CF24*CE279+CG24*CE279+CF25*CE279+CG25*CE279+CF26*CE279+CG26*CE279+CF5*CE279+CG5*CE279+CF6*CE279+CG6*CE279</f>
        <v>0</v>
      </c>
      <c r="CG279" s="12"/>
      <c r="CI279" s="13">
        <v>1</v>
      </c>
      <c r="CJ279" s="5">
        <f>CJ7*CI279+CK7*CI279+CJ8*CI279+CK8*CI279+CJ9*CI279+CK9*CI279+CJ10*CI279+CK10*CI279+CJ11*CI279+CK11*CI279+CJ12*CI279+CK12*CI279+CJ13*CI279+CK13*CI279+CJ14*CI279+CK14*CI279+CJ15*CI279+CK15*CI279+CJ16*CI279+CK16*CI279+CJ17*CI279+CK17*CI279+CJ18*CI279+CK18*CI279+CJ19*CI279+CK19*CI279+CJ20*CI279+CK20*CI279+CJ21*CI279+CK21*CI279+CJ22*CI279+CK22*CI279+CJ23*CI279+CK23*CI279+CJ24*CI279+CK24*CI279+CJ25*CI279+CK25*CI279+CJ26*CI279+CK26*CI279+CJ5*CI279+CK5*CI279+CJ6*CI279+CK6*CI279</f>
        <v>0</v>
      </c>
      <c r="CK279" s="12"/>
      <c r="CM279" s="13">
        <v>1</v>
      </c>
      <c r="CN279" s="5">
        <f>CN7*CM279+CO7*CM279+CN8*CM279+CO8*CM279+CN9*CM279+CO9*CM279+CN10*CM279+CO10*CM279+CN11*CM279+CO11*CM279+CN12*CM279+CO12*CM279+CN13*CM279+CO13*CM279+CN14*CM279+CO14*CM279+CN15*CM279+CO15*CM279+CN16*CM279+CO16*CM279+CN17*CM279+CO17*CM279+CN18*CM279+CO18*CM279+CN19*CM279+CO19*CM279+CN20*CM279+CO20*CM279+CN21*CM279+CO21*CM279+CN22*CM279+CO22*CM279+CN23*CM279+CO23*CM279+CN24*CM279+CO24*CM279+CN25*CM279+CO25*CM279+CN26*CM279+CO26*CM279+CN5*CM279+CO5*CM279+CN6*CM279+CO6*CM279</f>
        <v>0</v>
      </c>
      <c r="CO279" s="12"/>
      <c r="CQ279" s="13">
        <v>1</v>
      </c>
      <c r="CR279" s="5">
        <f>CR7*CQ279+CS7*CQ279+CR8*CQ279+CS8*CQ279+CR9*CQ279+CS9*CQ279+CR10*CQ279+CS10*CQ279+CR11*CQ279+CS11*CQ279+CR12*CQ279+CS12*CQ279+CR13*CQ279+CS13*CQ279+CR14*CQ279+CS14*CQ279+CR15*CQ279+CS15*CQ279+CR16*CQ279+CS16*CQ279+CR17*CQ279+CS17*CQ279+CR18*CQ279+CS18*CQ279+CR19*CQ279+CS19*CQ279+CR20*CQ279+CS20*CQ279+CR21*CQ279+CS21*CQ279+CR22*CQ279+CS22*CQ279+CR23*CQ279+CS23*CQ279+CR24*CQ279+CS24*CQ279+CR25*CQ279+CS25*CQ279+CR26*CQ279+CS26*CQ279+CR5*CQ279+CS5*CQ279+CR6*CQ279+CS6*CQ279</f>
        <v>0</v>
      </c>
      <c r="CS279" s="12"/>
      <c r="CU279" s="13">
        <v>1</v>
      </c>
      <c r="CV279" s="5">
        <f>CV7*CU279+CW7*CU279+CV8*CU279+CW8*CU279+CV9*CU279+CW9*CU279+CV10*CU279+CW10*CU279+CV11*CU279+CW11*CU279+CV12*CU279+CW12*CU279+CV13*CU279+CW13*CU279+CV14*CU279+CW14*CU279+CV15*CU279+CW15*CU279+CV16*CU279+CW16*CU279+CV17*CU279+CW17*CU279+CV18*CU279+CW18*CU279+CV19*CU279+CW19*CU279+CV20*CU279+CW20*CU279+CV21*CU279+CW21*CU279+CV22*CU279+CW22*CU279+CV23*CU279+CW23*CU279+CV24*CU279+CW24*CU279+CV25*CU279+CW25*CU279+CV26*CU279+CW26*CU279+CV5*CU279+CW5*CU279+CV6*CU279+CW6*CU279</f>
        <v>0</v>
      </c>
      <c r="CW279" s="12"/>
      <c r="CY279" s="13">
        <v>1</v>
      </c>
      <c r="CZ279" s="5">
        <f>CZ7*CY279+DA7*CY279+CZ8*CY279+DA8*CY279+CZ9*CY279+DA9*CY279+CZ10*CY279+DA10*CY279+CZ11*CY279+DA11*CY279+CZ12*CY279+DA12*CY279+CZ13*CY279+DA13*CY279+CZ14*CY279+DA14*CY279+CZ15*CY279+DA15*CY279+CZ16*CY279+DA16*CY279+CZ17*CY279+DA17*CY279+CZ18*CY279+DA18*CY279+CZ19*CY279+DA19*CY279+CZ20*CY279+DA20*CY279+CZ21*CY279+DA21*CY279+CZ22*CY279+DA22*CY279+CZ23*CY279+DA23*CY279+CZ24*CY279+DA24*CY279+CZ25*CY279+DA25*CY279+CZ26*CY279+DA26*CY279+CZ5*CY279+DA5*CY279+CZ6*CY279+DA6*CY279</f>
        <v>0</v>
      </c>
      <c r="DA279" s="12"/>
      <c r="DC279" s="13">
        <v>1</v>
      </c>
      <c r="DD279" s="5">
        <f>DD7*DC279+DE7*DC279+DD8*DC279+DE8*DC279+DD9*DC279+DE9*DC279+DD10*DC279+DE10*DC279+DD11*DC279+DE11*DC279+DD12*DC279+DE12*DC279+DD13*DC279+DE13*DC279+DD14*DC279+DE14*DC279+DD15*DC279+DE15*DC279+DD16*DC279+DE16*DC279+DD17*DC279+DE17*DC279+DD18*DC279+DE18*DC279+DD19*DC279+DE19*DC279+DD20*DC279+DE20*DC279+DD21*DC279+DE21*DC279+DD22*DC279+DE22*DC279+DD23*DC279+DE23*DC279+DD24*DC279+DE24*DC279+DD25*DC279+DE25*DC279+DD26*DC279+DE26*DC279+DD5*DC279+DE5*DC279+DD6*DC279+DE6*DC279</f>
        <v>0</v>
      </c>
      <c r="DE279" s="12"/>
      <c r="DG279" s="13">
        <v>1</v>
      </c>
      <c r="DH279" s="5">
        <f>DH7*DG279+DI7*DG279+DH8*DG279+DI8*DG279+DH9*DG279+DI9*DG279+DH10*DG279+DI10*DG279+DH11*DG279+DI11*DG279+DH12*DG279+DI12*DG279+DH13*DG279+DI13*DG279+DH14*DG279+DI14*DG279+DH15*DG279+DI15*DG279+DH16*DG279+DI16*DG279+DH17*DG279+DI17*DG279+DH18*DG279+DI18*DG279+DH19*DG279+DI19*DG279+DH20*DG279+DI20*DG279+DH21*DG279+DI21*DG279+DH22*DG279+DI22*DG279+DH23*DG279+DI23*DG279+DH24*DG279+DI24*DG279+DH25*DG279+DI25*DG279+DH26*DG279+DI26*DG279+DH5*DG279+DI5*DG279+DH6*DG279+DI6*DG279</f>
        <v>0</v>
      </c>
      <c r="DI279" s="12"/>
      <c r="DK279" s="13">
        <v>1</v>
      </c>
      <c r="DL279" s="5">
        <f>DL7*DK279+DM7*DK279+DL8*DK279+DM8*DK279+DL9*DK279+DM9*DK279+DL10*DK279+DM10*DK279+DL11*DK279+DM11*DK279+DL12*DK279+DM12*DK279+DL13*DK279+DM13*DK279+DL14*DK279+DM14*DK279+DL15*DK279+DM15*DK279+DL16*DK279+DM16*DK279+DL17*DK279+DM17*DK279+DL18*DK279+DM18*DK279+DL19*DK279+DM19*DK279+DL20*DK279+DM20*DK279+DL21*DK279+DM21*DK279+DL22*DK279+DM22*DK279+DL23*DK279+DM23*DK279+DL24*DK279+DM24*DK279+DL25*DK279+DM25*DK279+DL26*DK279+DM26*DK279+DL5*DK279+DM5*DK279+DL6*DK279+DM6*DK279</f>
        <v>0</v>
      </c>
      <c r="DM279" s="12"/>
      <c r="DO279" s="13">
        <v>1</v>
      </c>
      <c r="DP279" s="5">
        <f>DP7*DO279+DQ7*DO279+DP8*DO279+DQ8*DO279+DP9*DO279+DQ9*DO279+DP10*DO279+DQ10*DO279+DP11*DO279+DQ11*DO279+DP12*DO279+DQ12*DO279+DP13*DO279+DQ13*DO279+DP14*DO279+DQ14*DO279+DP15*DO279+DQ15*DO279+DP16*DO279+DQ16*DO279+DP17*DO279+DQ17*DO279+DP18*DO279+DQ18*DO279+DP19*DO279+DQ19*DO279+DP20*DO279+DQ20*DO279+DP21*DO279+DQ21*DO279+DP22*DO279+DQ22*DO279+DP23*DO279+DQ23*DO279+DP24*DO279+DQ24*DO279+DP25*DO279+DQ25*DO279+DP26*DO279+DQ26*DO279+DP5*DO279+DQ5*DO279+DP6*DO279+DQ6*DO279</f>
        <v>0</v>
      </c>
      <c r="DQ279" s="12"/>
      <c r="DS279" s="1336">
        <f t="shared" si="5"/>
        <v>0</v>
      </c>
      <c r="DT279" s="121">
        <f>EXTRAS!D143</f>
        <v>0</v>
      </c>
      <c r="DU279" s="112">
        <f>EXTRAS!E143</f>
        <v>0</v>
      </c>
      <c r="DV279" s="6">
        <f>SUM(DW7:DW14)*1-SUM(DX7:DX14)*1</f>
        <v>0</v>
      </c>
      <c r="DX279" s="203">
        <f t="shared" si="6"/>
        <v>0</v>
      </c>
      <c r="DZ279" s="924"/>
      <c r="EH279" s="924"/>
    </row>
    <row r="280" spans="1:138" s="6" customFormat="1" ht="15" customHeight="1">
      <c r="A280" s="3">
        <v>123</v>
      </c>
      <c r="B280" s="210" t="s">
        <v>17</v>
      </c>
      <c r="C280" s="473" t="s">
        <v>515</v>
      </c>
      <c r="D280" s="4"/>
      <c r="E280" s="5"/>
      <c r="F280" s="5"/>
      <c r="G280" s="4"/>
      <c r="H280" s="4"/>
      <c r="I280" s="4"/>
      <c r="J280" s="4"/>
      <c r="K280" s="5"/>
      <c r="L280" s="5"/>
      <c r="M280" s="5"/>
      <c r="O280" s="5"/>
      <c r="P280" s="5"/>
      <c r="Q280" s="5"/>
      <c r="S280" s="5"/>
      <c r="T280" s="5"/>
      <c r="U280" s="5"/>
      <c r="W280" s="5"/>
      <c r="X280" s="5"/>
      <c r="Y280" s="12"/>
      <c r="AA280" s="13"/>
      <c r="AB280" s="12"/>
      <c r="AD280" s="13"/>
      <c r="AE280" s="5"/>
      <c r="AF280" s="5"/>
      <c r="AH280" s="13"/>
      <c r="AI280" s="5"/>
      <c r="AK280" s="5"/>
      <c r="AL280" s="5"/>
      <c r="AM280" s="5"/>
      <c r="AO280" s="5"/>
      <c r="AP280" s="5"/>
      <c r="AR280" s="5"/>
      <c r="AS280" s="5"/>
      <c r="AT280" s="5"/>
      <c r="AV280" s="5"/>
      <c r="AW280" s="5"/>
      <c r="AY280" s="5"/>
      <c r="AZ280" s="5"/>
      <c r="BA280" s="5"/>
      <c r="BC280" s="5"/>
      <c r="BD280" s="5"/>
      <c r="BF280" s="5"/>
      <c r="BG280" s="5"/>
      <c r="BH280" s="5"/>
      <c r="BJ280" s="5"/>
      <c r="BK280" s="5"/>
      <c r="BL280" s="12"/>
      <c r="BM280" s="5"/>
      <c r="BN280" s="5"/>
      <c r="BO280" s="5"/>
      <c r="BQ280" s="5"/>
      <c r="BR280" s="5"/>
      <c r="BT280" s="5"/>
      <c r="BU280" s="5"/>
      <c r="BV280" s="5"/>
      <c r="BX280" s="5"/>
      <c r="BY280" s="5"/>
      <c r="CA280" s="13"/>
      <c r="CB280" s="7"/>
      <c r="CC280" s="11"/>
      <c r="CE280" s="13">
        <v>1</v>
      </c>
      <c r="CF280" s="5">
        <f>CF8*CE280+CG8*CE280+CF9*CE280+CG9*CE280+CF10*CE280+CG10*CE280+CF11*CE280+CG11*CE280+CF12*CE280+CG12*CE280+CF13*CE280+CG13*CE280+CF14*CE280+CG14*CE280+CF15*CE280+CG15*CE280+CF16*CE280+CG16*CE280+CF17*CE280+CG17*CE280+CF18*CE280+CG18*CE280+CF19*CE280+CG19*CE280+CF20*CE280+CG20*CE280+CF21*CE280+CG21*CE280+CF22*CE280+CG22*CE280+CF23*CE280+CG23*CE280+CF24*CE280+CG24*CE280+CF25*CE280+CG25*CE280+CF26*CE280+CG26*CE280+CF5*CE280+CG5*CE280+CF6*CE280+CG6*CE280+CF7*CE280+CG7*CE280</f>
        <v>0</v>
      </c>
      <c r="CG280" s="12"/>
      <c r="CI280" s="13">
        <v>1</v>
      </c>
      <c r="CJ280" s="5">
        <f>CJ8*CI280+CK8*CI280+CJ9*CI280+CK9*CI280+CJ10*CI280+CK10*CI280+CJ11*CI280+CK11*CI280+CJ12*CI280+CK12*CI280+CJ13*CI280+CK13*CI280+CJ14*CI280+CK14*CI280+CJ15*CI280+CK15*CI280+CJ16*CI280+CK16*CI280+CJ17*CI280+CK17*CI280+CJ18*CI280+CK18*CI280+CJ19*CI280+CK19*CI280+CJ20*CI280+CK20*CI280+CJ21*CI280+CK21*CI280+CJ22*CI280+CK22*CI280+CJ23*CI280+CK23*CI280+CJ24*CI280+CK24*CI280+CJ25*CI280+CK25*CI280+CJ26*CI280+CK26*CI280+CJ5*CI280+CK5*CI280+CJ6*CI280+CK6*CI280+CJ7*CI280+CK7*CI280</f>
        <v>0</v>
      </c>
      <c r="CK280" s="12"/>
      <c r="CM280" s="13">
        <v>1</v>
      </c>
      <c r="CN280" s="5">
        <f>CN8*CM280+CO8*CM280+CN9*CM280+CO9*CM280+CN10*CM280+CO10*CM280+CN11*CM280+CO11*CM280+CN12*CM280+CO12*CM280+CN13*CM280+CO13*CM280+CN14*CM280+CO14*CM280+CN15*CM280+CO15*CM280+CN16*CM280+CO16*CM280+CN17*CM280+CO17*CM280+CN18*CM280+CO18*CM280+CN19*CM280+CO19*CM280+CN20*CM280+CO20*CM280+CN21*CM280+CO21*CM280+CN22*CM280+CO22*CM280+CN23*CM280+CO23*CM280+CN24*CM280+CO24*CM280+CN25*CM280+CO25*CM280+CN26*CM280+CO26*CM280+CN5*CM280+CO5*CM280+CN6*CM280+CO6*CM280+CN7*CM280+CO7*CM280</f>
        <v>0</v>
      </c>
      <c r="CO280" s="12"/>
      <c r="CQ280" s="13">
        <v>1</v>
      </c>
      <c r="CR280" s="5">
        <f>CR8*CQ280+CS8*CQ280+CR9*CQ280+CS9*CQ280+CR10*CQ280+CS10*CQ280+CR11*CQ280+CS11*CQ280+CR12*CQ280+CS12*CQ280+CR13*CQ280+CS13*CQ280+CR14*CQ280+CS14*CQ280+CR15*CQ280+CS15*CQ280+CR16*CQ280+CS16*CQ280+CR17*CQ280+CS17*CQ280+CR18*CQ280+CS18*CQ280+CR19*CQ280+CS19*CQ280+CR20*CQ280+CS20*CQ280+CR21*CQ280+CS21*CQ280+CR22*CQ280+CS22*CQ280+CR23*CQ280+CS23*CQ280+CR24*CQ280+CS24*CQ280+CR25*CQ280+CS25*CQ280+CR26*CQ280+CS26*CQ280+CR5*CQ280+CS5*CQ280+CR6*CQ280+CS6*CQ280+CR7*CQ280+CS7*CQ280</f>
        <v>0</v>
      </c>
      <c r="CS280" s="12"/>
      <c r="CU280" s="13">
        <v>1</v>
      </c>
      <c r="CV280" s="5">
        <f>CV8*CU280+CW8*CU280+CV9*CU280+CW9*CU280+CV10*CU280+CW10*CU280+CV11*CU280+CW11*CU280+CV12*CU280+CW12*CU280+CV13*CU280+CW13*CU280+CV14*CU280+CW14*CU280+CV15*CU280+CW15*CU280+CV16*CU280+CW16*CU280+CV17*CU280+CW17*CU280+CV18*CU280+CW18*CU280+CV19*CU280+CW19*CU280+CV20*CU280+CW20*CU280+CV21*CU280+CW21*CU280+CV22*CU280+CW22*CU280+CV23*CU280+CW23*CU280+CV24*CU280+CW24*CU280+CV25*CU280+CW25*CU280+CV26*CU280+CW26*CU280+CV5*CU280+CW5*CU280+CV6*CU280+CW6*CU280+CV7*CU280+CW7*CU280</f>
        <v>0</v>
      </c>
      <c r="CW280" s="12"/>
      <c r="CY280" s="13">
        <v>1</v>
      </c>
      <c r="CZ280" s="5">
        <f>CZ8*CY280+DA8*CY280+CZ9*CY280+DA9*CY280+CZ10*CY280+DA10*CY280+CZ11*CY280+DA11*CY280+CZ12*CY280+DA12*CY280+CZ13*CY280+DA13*CY280+CZ14*CY280+DA14*CY280+CZ15*CY280+DA15*CY280+CZ16*CY280+DA16*CY280+CZ17*CY280+DA17*CY280+CZ18*CY280+DA18*CY280+CZ19*CY280+DA19*CY280+CZ20*CY280+DA20*CY280+CZ21*CY280+DA21*CY280+CZ22*CY280+DA22*CY280+CZ23*CY280+DA23*CY280+CZ24*CY280+DA24*CY280+CZ25*CY280+DA25*CY280+CZ26*CY280+DA26*CY280+CZ5*CY280+DA5*CY280+CZ6*CY280+DA6*CY280+CZ7*CY280+DA7*CY280</f>
        <v>0</v>
      </c>
      <c r="DA280" s="12"/>
      <c r="DC280" s="13">
        <v>1</v>
      </c>
      <c r="DD280" s="5">
        <f>DD8*DC280+DE8*DC280+DD9*DC280+DE9*DC280+DD10*DC280+DE10*DC280+DD11*DC280+DE11*DC280+DD12*DC280+DE12*DC280+DD13*DC280+DE13*DC280+DD14*DC280+DE14*DC280+DD15*DC280+DE15*DC280+DD16*DC280+DE16*DC280+DD17*DC280+DE17*DC280+DD18*DC280+DE18*DC280+DD19*DC280+DE19*DC280+DD20*DC280+DE20*DC280+DD21*DC280+DE21*DC280+DD22*DC280+DE22*DC280+DD23*DC280+DE23*DC280+DD24*DC280+DE24*DC280+DD25*DC280+DE25*DC280+DD26*DC280+DE26*DC280+DD5*DC280+DE5*DC280+DD6*DC280+DE6*DC280+DD7*DC280+DE7*DC280</f>
        <v>0</v>
      </c>
      <c r="DE280" s="12"/>
      <c r="DG280" s="13">
        <v>1</v>
      </c>
      <c r="DH280" s="5">
        <f>DH8*DG280+DI8*DG280+DH9*DG280+DI9*DG280+DH10*DG280+DI10*DG280+DH11*DG280+DI11*DG280+DH12*DG280+DI12*DG280+DH13*DG280+DI13*DG280+DH14*DG280+DI14*DG280+DH15*DG280+DI15*DG280+DH16*DG280+DI16*DG280+DH17*DG280+DI17*DG280+DH18*DG280+DI18*DG280+DH19*DG280+DI19*DG280+DH20*DG280+DI20*DG280+DH21*DG280+DI21*DG280+DH22*DG280+DI22*DG280+DH23*DG280+DI23*DG280+DH24*DG280+DI24*DG280+DH25*DG280+DI25*DG280+DH26*DG280+DI26*DG280+DH5*DG280+DI5*DG280+DH6*DG280+DI6*DG280+DH7*DG280+DI7*DG280</f>
        <v>0</v>
      </c>
      <c r="DI280" s="12"/>
      <c r="DK280" s="13">
        <v>1</v>
      </c>
      <c r="DL280" s="5">
        <f>DL8*DK280+DM8*DK280+DL9*DK280+DM9*DK280+DL10*DK280+DM10*DK280+DL11*DK280+DM11*DK280+DL12*DK280+DM12*DK280+DL13*DK280+DM13*DK280+DL14*DK280+DM14*DK280+DL15*DK280+DM15*DK280+DL16*DK280+DM16*DK280+DL17*DK280+DM17*DK280+DL18*DK280+DM18*DK280+DL19*DK280+DM19*DK280+DL20*DK280+DM20*DK280+DL21*DK280+DM21*DK280+DL22*DK280+DM22*DK280+DL23*DK280+DM23*DK280+DL24*DK280+DM24*DK280+DL25*DK280+DM25*DK280+DL26*DK280+DM26*DK280+DL5*DK280+DM5*DK280+DL6*DK280+DM6*DK280+DL7*DK280+DM7*DK280</f>
        <v>0</v>
      </c>
      <c r="DM280" s="12"/>
      <c r="DO280" s="13">
        <v>1</v>
      </c>
      <c r="DP280" s="5">
        <f>DP8*DO280+DQ8*DO280+DP9*DO280+DQ9*DO280+DP10*DO280+DQ10*DO280+DP11*DO280+DQ11*DO280+DP12*DO280+DQ12*DO280+DP13*DO280+DQ13*DO280+DP14*DO280+DQ14*DO280+DP15*DO280+DQ15*DO280+DP16*DO280+DQ16*DO280+DP17*DO280+DQ17*DO280+DP18*DO280+DQ18*DO280+DP19*DO280+DQ19*DO280+DP20*DO280+DQ20*DO280+DP21*DO280+DQ21*DO280+DP22*DO280+DQ22*DO280+DP23*DO280+DQ23*DO280+DP24*DO280+DQ24*DO280+DP25*DO280+DQ25*DO280+DP26*DO280+DQ26*DO280+DP5*DO280+DQ5*DO280+DP6*DO280+DQ6*DO280+DP7*DO280+DQ7*DO280</f>
        <v>0</v>
      </c>
      <c r="DQ280" s="12"/>
      <c r="DS280" s="1336">
        <f t="shared" si="5"/>
        <v>0</v>
      </c>
      <c r="DT280" s="121">
        <f>EXTRAS!D144</f>
        <v>0</v>
      </c>
      <c r="DU280" s="112">
        <f>EXTRAS!E144</f>
        <v>0</v>
      </c>
      <c r="DX280" s="203">
        <f t="shared" si="6"/>
        <v>0</v>
      </c>
      <c r="DZ280" s="924"/>
      <c r="EH280" s="924"/>
    </row>
    <row r="281" spans="1:138" s="6" customFormat="1" ht="15" customHeight="1">
      <c r="A281" s="3">
        <v>124</v>
      </c>
      <c r="B281" s="210" t="s">
        <v>199</v>
      </c>
      <c r="C281" s="473" t="s">
        <v>515</v>
      </c>
      <c r="D281" s="4"/>
      <c r="E281" s="5"/>
      <c r="F281" s="5"/>
      <c r="G281" s="4"/>
      <c r="H281" s="4"/>
      <c r="I281" s="4"/>
      <c r="J281" s="4"/>
      <c r="K281" s="5"/>
      <c r="L281" s="5"/>
      <c r="M281" s="5"/>
      <c r="O281" s="5">
        <v>1</v>
      </c>
      <c r="P281" s="5">
        <f>P5*O281+P6*O281+P7*O281+P8*O281+P9*O281+P10*O281+P11*O281+P12*O281+P13*O281+P14*O281+P15*O281+P16*O281+P17*O281+P18*O281+P19*O281+P20*O281+P21*O281+P22*O281+P23*O281+P24*O281+P25*O281+P26*O281</f>
        <v>0</v>
      </c>
      <c r="Q281" s="5"/>
      <c r="S281" s="5"/>
      <c r="T281" s="5"/>
      <c r="U281" s="5"/>
      <c r="W281" s="5">
        <v>1</v>
      </c>
      <c r="X281" s="5">
        <f>X8*W281+X9*W281+X10*W281+X11*W281+X12*W281+X13*W281+X14*W281+X15*W281+X16*W281+X17*W281+X18*W281+X19*W281+X20*W281+X21*W281+X22*W281+X23*W281+X24*W281+X25*W281+X26*W281+X7*W281+X5*W281+X6*W281</f>
        <v>0</v>
      </c>
      <c r="Y281" s="12"/>
      <c r="AA281" s="13"/>
      <c r="AB281" s="12"/>
      <c r="AD281" s="13"/>
      <c r="AE281" s="5"/>
      <c r="AF281" s="5"/>
      <c r="AH281" s="13"/>
      <c r="AI281" s="5"/>
      <c r="AK281" s="5"/>
      <c r="AL281" s="5"/>
      <c r="AM281" s="5"/>
      <c r="AO281" s="5"/>
      <c r="AP281" s="5"/>
      <c r="AR281" s="5"/>
      <c r="AS281" s="5"/>
      <c r="AT281" s="5"/>
      <c r="AV281" s="5"/>
      <c r="AW281" s="5"/>
      <c r="AY281" s="5"/>
      <c r="AZ281" s="5"/>
      <c r="BA281" s="5"/>
      <c r="BC281" s="5"/>
      <c r="BD281" s="5"/>
      <c r="BF281" s="5">
        <v>1</v>
      </c>
      <c r="BG281" s="5">
        <f>BG5*BF281+BG6*BF281+BG7*BF281+BG8*BF281+BG9*BF281+BG10*BF281+BG11*BF281+BG12*BF281+BG13*BF281+BG14*BF281+BG15*BF281+BG16*BF281+BG17*BF281+BG18*BF281+BG19*BF281+BG20*BF281+BG21*BF281+BG22*BF281+BG23*BF281+BG24*BF281+BG25*BF281+BG26*BF281</f>
        <v>0</v>
      </c>
      <c r="BH281" s="5"/>
      <c r="BJ281" s="5"/>
      <c r="BK281" s="5">
        <f>BK5*BJ281+BK6*BJ281+BK7*BJ281+BK8*BJ281+BK9*BJ281+BK10*BJ281+BK11*BJ281+BK12*BJ281+BK13*BJ281+BK14*BJ281+BK15*BJ281+BK16*BJ281+BK17*BJ281+BK18*BJ281+BK19*BJ281+BK20*BJ281+BK21*BJ281+BK22*BJ281+BK23*BJ281+BK24*BJ281+BK25*BJ281+BK26*BJ281</f>
        <v>0</v>
      </c>
      <c r="BL281" s="12"/>
      <c r="BM281" s="5"/>
      <c r="BN281" s="5">
        <f>BN5*BM281+BN6*BM281+BN7*BM281+BN8*BM281+BN9*BM281+BN10*BM281+BN11*BM281+BN12*BM281+BN13*BM281+BN14*BM281+BN15*BM281+BN16*BM281+BN17*BM281+BN18*BM281+BN19*BM281+BN20*BM281+BN21*BM281+BN22*BM281+BN23*BM281+BN24*BM281+BN25*BM281+BN26*BM281</f>
        <v>0</v>
      </c>
      <c r="BO281" s="5"/>
      <c r="BQ281" s="5"/>
      <c r="BR281" s="5">
        <f>BR5*BQ281+BR6*BQ281+BR7*BQ281+BR8*BQ281+BR9*BQ281+BR10*BQ281+BR11*BQ281+BR12*BQ281+BR13*BQ281+BR14*BQ281+BR15*BQ281+BR16*BQ281+BR17*BQ281+BR18*BQ281+BR19*BQ281+BR20*BQ281+BR21*BQ281+BR22*BQ281+BR23*BQ281+BR24*BQ281+BR25*BQ281+BR26*BQ281</f>
        <v>0</v>
      </c>
      <c r="BT281" s="5"/>
      <c r="BU281" s="5">
        <f>BU5*BT281+BU6*BT281+BU7*BT281+BU8*BT281+BU9*BT281+BU10*BT281+BU11*BT281+BU12*BT281+BU13*BT281+BU14*BT281+BU15*BT281+BU16*BT281+BU17*BT281+BU18*BT281+BU19*BT281+BU20*BT281+BU21*BT281+BU22*BT281+BU23*BT281+BU24*BT281+BU25*BT281+BU26*BT281</f>
        <v>0</v>
      </c>
      <c r="BV281" s="5"/>
      <c r="BX281" s="5"/>
      <c r="BY281" s="5">
        <f>BY5*BX281+BY6*BX281+BY7*BX281+BY8*BX281+BY9*BX281+BY10*BX281+BY11*BX281+BY12*BX281+BY13*BX281+BY14*BX281+BY15*BX281+BY16*BX281+BY17*BX281+BY18*BX281+BY19*BX281+BY20*BX281+BY21*BX281+BY22*BX281+BY23*BX281+BY24*BX281+BY25*BX281+BY26*BX281</f>
        <v>0</v>
      </c>
      <c r="CA281" s="13">
        <v>1</v>
      </c>
      <c r="CB281" s="7">
        <f>SUM(CB5:CB26)*CA281</f>
        <v>0</v>
      </c>
      <c r="CC281" s="11"/>
      <c r="CE281" s="13"/>
      <c r="CF281" s="5"/>
      <c r="CG281" s="12"/>
      <c r="CI281" s="13"/>
      <c r="CJ281" s="5"/>
      <c r="CK281" s="12"/>
      <c r="CM281" s="13"/>
      <c r="CN281" s="5"/>
      <c r="CO281" s="12"/>
      <c r="CQ281" s="13"/>
      <c r="CR281" s="5"/>
      <c r="CS281" s="12"/>
      <c r="CU281" s="13"/>
      <c r="CV281" s="5"/>
      <c r="CW281" s="12"/>
      <c r="CY281" s="13"/>
      <c r="CZ281" s="5"/>
      <c r="DA281" s="12"/>
      <c r="DC281" s="13"/>
      <c r="DD281" s="5"/>
      <c r="DE281" s="12"/>
      <c r="DG281" s="13"/>
      <c r="DH281" s="5"/>
      <c r="DI281" s="12"/>
      <c r="DK281" s="13"/>
      <c r="DL281" s="5"/>
      <c r="DM281" s="12"/>
      <c r="DO281" s="13"/>
      <c r="DP281" s="5"/>
      <c r="DQ281" s="12"/>
      <c r="DS281" s="1336">
        <f t="shared" si="5"/>
        <v>0</v>
      </c>
      <c r="DT281" s="121">
        <f>EXTRAS!D145</f>
        <v>0</v>
      </c>
      <c r="DU281" s="112">
        <f>EXTRAS!E145</f>
        <v>0</v>
      </c>
      <c r="DX281" s="203">
        <f t="shared" si="6"/>
        <v>0</v>
      </c>
      <c r="DZ281" s="924"/>
      <c r="EH281" s="924"/>
    </row>
    <row r="282" spans="1:138" s="6" customFormat="1" ht="15" customHeight="1">
      <c r="A282" s="3">
        <v>125</v>
      </c>
      <c r="B282" s="210" t="s">
        <v>197</v>
      </c>
      <c r="C282" s="473" t="s">
        <v>515</v>
      </c>
      <c r="D282" s="4"/>
      <c r="E282" s="5"/>
      <c r="F282" s="5"/>
      <c r="G282" s="4"/>
      <c r="H282" s="4"/>
      <c r="I282" s="4"/>
      <c r="J282" s="4"/>
      <c r="K282" s="5"/>
      <c r="L282" s="5"/>
      <c r="M282" s="5"/>
      <c r="O282" s="5"/>
      <c r="P282" s="5"/>
      <c r="Q282" s="5"/>
      <c r="S282" s="5"/>
      <c r="T282" s="5"/>
      <c r="U282" s="5"/>
      <c r="W282" s="5"/>
      <c r="X282" s="5"/>
      <c r="Y282" s="12"/>
      <c r="AA282" s="13"/>
      <c r="AB282" s="12"/>
      <c r="AD282" s="13"/>
      <c r="AE282" s="5"/>
      <c r="AF282" s="5"/>
      <c r="AH282" s="13"/>
      <c r="AI282" s="5"/>
      <c r="AK282" s="5"/>
      <c r="AL282" s="5"/>
      <c r="AM282" s="5"/>
      <c r="AO282" s="5"/>
      <c r="AP282" s="5"/>
      <c r="AR282" s="5"/>
      <c r="AS282" s="5"/>
      <c r="AT282" s="5"/>
      <c r="AV282" s="5"/>
      <c r="AW282" s="5"/>
      <c r="AY282" s="5"/>
      <c r="AZ282" s="5"/>
      <c r="BA282" s="5"/>
      <c r="BC282" s="5"/>
      <c r="BD282" s="5"/>
      <c r="BF282" s="5"/>
      <c r="BG282" s="5"/>
      <c r="BH282" s="5"/>
      <c r="BJ282" s="5"/>
      <c r="BK282" s="5"/>
      <c r="BL282" s="12"/>
      <c r="BM282" s="5"/>
      <c r="BN282" s="5"/>
      <c r="BO282" s="5"/>
      <c r="BQ282" s="5"/>
      <c r="BR282" s="5"/>
      <c r="BT282" s="5"/>
      <c r="BU282" s="5"/>
      <c r="BV282" s="5"/>
      <c r="BX282" s="5"/>
      <c r="BY282" s="5"/>
      <c r="CA282" s="13"/>
      <c r="CB282" s="7"/>
      <c r="CC282" s="11"/>
      <c r="CE282" s="13"/>
      <c r="CF282" s="5"/>
      <c r="CG282" s="12"/>
      <c r="CI282" s="13"/>
      <c r="CJ282" s="5"/>
      <c r="CK282" s="12"/>
      <c r="CM282" s="13"/>
      <c r="CN282" s="5"/>
      <c r="CO282" s="12"/>
      <c r="CQ282" s="13"/>
      <c r="CR282" s="5"/>
      <c r="CS282" s="12"/>
      <c r="CU282" s="13"/>
      <c r="CV282" s="5"/>
      <c r="CW282" s="12"/>
      <c r="CY282" s="13"/>
      <c r="CZ282" s="5"/>
      <c r="DA282" s="12"/>
      <c r="DC282" s="13"/>
      <c r="DD282" s="5"/>
      <c r="DE282" s="12"/>
      <c r="DG282" s="13"/>
      <c r="DH282" s="5"/>
      <c r="DI282" s="12"/>
      <c r="DK282" s="13"/>
      <c r="DL282" s="5"/>
      <c r="DM282" s="12"/>
      <c r="DO282" s="13"/>
      <c r="DP282" s="5"/>
      <c r="DQ282" s="12"/>
      <c r="DS282" s="1336">
        <f t="shared" si="5"/>
        <v>0</v>
      </c>
      <c r="DT282" s="121">
        <f>EXTRAS!D146</f>
        <v>0</v>
      </c>
      <c r="DU282" s="112">
        <f>EXTRAS!E146</f>
        <v>0</v>
      </c>
      <c r="DX282" s="203">
        <f t="shared" si="6"/>
        <v>0</v>
      </c>
      <c r="DZ282" s="924"/>
      <c r="EH282" s="924"/>
    </row>
    <row r="283" spans="1:138" s="6" customFormat="1" ht="15" customHeight="1">
      <c r="A283" s="3">
        <v>126</v>
      </c>
      <c r="B283" s="210" t="s">
        <v>198</v>
      </c>
      <c r="C283" s="473" t="s">
        <v>515</v>
      </c>
      <c r="D283" s="4"/>
      <c r="E283" s="5"/>
      <c r="F283" s="5"/>
      <c r="G283" s="4"/>
      <c r="H283" s="4"/>
      <c r="I283" s="4"/>
      <c r="J283" s="4"/>
      <c r="K283" s="5"/>
      <c r="L283" s="5"/>
      <c r="M283" s="5"/>
      <c r="O283" s="5"/>
      <c r="P283" s="5"/>
      <c r="Q283" s="5"/>
      <c r="S283" s="5"/>
      <c r="T283" s="5"/>
      <c r="U283" s="5"/>
      <c r="W283" s="5"/>
      <c r="X283" s="5"/>
      <c r="Y283" s="12"/>
      <c r="AA283" s="13"/>
      <c r="AB283" s="12"/>
      <c r="AD283" s="13"/>
      <c r="AE283" s="5"/>
      <c r="AF283" s="5"/>
      <c r="AH283" s="13"/>
      <c r="AI283" s="5"/>
      <c r="AK283" s="5"/>
      <c r="AL283" s="5"/>
      <c r="AM283" s="5"/>
      <c r="AO283" s="5"/>
      <c r="AP283" s="5"/>
      <c r="AR283" s="5"/>
      <c r="AS283" s="5"/>
      <c r="AT283" s="5"/>
      <c r="AV283" s="5"/>
      <c r="AW283" s="5"/>
      <c r="AY283" s="5"/>
      <c r="AZ283" s="5"/>
      <c r="BA283" s="5"/>
      <c r="BC283" s="5"/>
      <c r="BD283" s="5"/>
      <c r="BF283" s="5"/>
      <c r="BG283" s="5"/>
      <c r="BH283" s="5"/>
      <c r="BJ283" s="5"/>
      <c r="BK283" s="5"/>
      <c r="BL283" s="12"/>
      <c r="BM283" s="5"/>
      <c r="BN283" s="5"/>
      <c r="BO283" s="5"/>
      <c r="BQ283" s="5"/>
      <c r="BR283" s="5"/>
      <c r="BT283" s="5"/>
      <c r="BU283" s="5"/>
      <c r="BV283" s="5"/>
      <c r="BX283" s="5"/>
      <c r="BY283" s="5"/>
      <c r="CA283" s="13"/>
      <c r="CB283" s="7"/>
      <c r="CC283" s="11"/>
      <c r="CE283" s="13"/>
      <c r="CF283" s="5"/>
      <c r="CG283" s="12"/>
      <c r="CI283" s="13"/>
      <c r="CJ283" s="5"/>
      <c r="CK283" s="12"/>
      <c r="CM283" s="13"/>
      <c r="CN283" s="5"/>
      <c r="CO283" s="12"/>
      <c r="CQ283" s="13"/>
      <c r="CR283" s="5"/>
      <c r="CS283" s="12"/>
      <c r="CU283" s="13"/>
      <c r="CV283" s="5"/>
      <c r="CW283" s="12"/>
      <c r="CY283" s="13"/>
      <c r="CZ283" s="5"/>
      <c r="DA283" s="12"/>
      <c r="DC283" s="13"/>
      <c r="DD283" s="5"/>
      <c r="DE283" s="12"/>
      <c r="DG283" s="13"/>
      <c r="DH283" s="5"/>
      <c r="DI283" s="12"/>
      <c r="DK283" s="13"/>
      <c r="DL283" s="5"/>
      <c r="DM283" s="12"/>
      <c r="DO283" s="13"/>
      <c r="DP283" s="5"/>
      <c r="DQ283" s="12"/>
      <c r="DS283" s="1336">
        <f t="shared" si="5"/>
        <v>0</v>
      </c>
      <c r="DT283" s="121">
        <f>EXTRAS!D147</f>
        <v>0</v>
      </c>
      <c r="DU283" s="112">
        <f>EXTRAS!E147</f>
        <v>0</v>
      </c>
      <c r="DX283" s="203">
        <f t="shared" si="6"/>
        <v>0</v>
      </c>
      <c r="DZ283" s="924"/>
      <c r="EH283" s="924"/>
    </row>
    <row r="284" spans="1:138" s="6" customFormat="1" ht="15" customHeight="1">
      <c r="A284" s="3">
        <v>127</v>
      </c>
      <c r="B284" s="210" t="s">
        <v>318</v>
      </c>
      <c r="C284" s="473" t="s">
        <v>515</v>
      </c>
      <c r="D284" s="4"/>
      <c r="E284" s="5"/>
      <c r="F284" s="5"/>
      <c r="G284" s="4"/>
      <c r="H284" s="4"/>
      <c r="I284" s="4"/>
      <c r="J284" s="4"/>
      <c r="K284" s="5"/>
      <c r="L284" s="5"/>
      <c r="M284" s="5"/>
      <c r="O284" s="5"/>
      <c r="P284" s="5"/>
      <c r="Q284" s="5"/>
      <c r="S284" s="5"/>
      <c r="T284" s="5"/>
      <c r="U284" s="5"/>
      <c r="W284" s="5"/>
      <c r="X284" s="5"/>
      <c r="Y284" s="12"/>
      <c r="AA284" s="13"/>
      <c r="AB284" s="12"/>
      <c r="AD284" s="13"/>
      <c r="AE284" s="5"/>
      <c r="AF284" s="5"/>
      <c r="AH284" s="13"/>
      <c r="AI284" s="5"/>
      <c r="AK284" s="5"/>
      <c r="AL284" s="5"/>
      <c r="AM284" s="5"/>
      <c r="AO284" s="5"/>
      <c r="AP284" s="5"/>
      <c r="AR284" s="5"/>
      <c r="AS284" s="5"/>
      <c r="AT284" s="5"/>
      <c r="AV284" s="5"/>
      <c r="AW284" s="5"/>
      <c r="AY284" s="5"/>
      <c r="AZ284" s="5"/>
      <c r="BA284" s="5"/>
      <c r="BC284" s="5"/>
      <c r="BD284" s="5"/>
      <c r="BF284" s="5"/>
      <c r="BG284" s="5"/>
      <c r="BH284" s="5"/>
      <c r="BJ284" s="5"/>
      <c r="BK284" s="5"/>
      <c r="BL284" s="12"/>
      <c r="BM284" s="5"/>
      <c r="BN284" s="5"/>
      <c r="BO284" s="5"/>
      <c r="BQ284" s="5"/>
      <c r="BR284" s="5"/>
      <c r="BT284" s="5"/>
      <c r="BU284" s="5"/>
      <c r="BV284" s="5"/>
      <c r="BX284" s="5"/>
      <c r="BY284" s="5"/>
      <c r="CA284" s="13"/>
      <c r="CB284" s="7"/>
      <c r="CC284" s="11"/>
      <c r="CE284" s="13"/>
      <c r="CF284" s="5"/>
      <c r="CG284" s="12"/>
      <c r="CI284" s="13"/>
      <c r="CJ284" s="5"/>
      <c r="CK284" s="12"/>
      <c r="CM284" s="13"/>
      <c r="CN284" s="5"/>
      <c r="CO284" s="12"/>
      <c r="CQ284" s="13"/>
      <c r="CR284" s="5"/>
      <c r="CS284" s="12"/>
      <c r="CU284" s="13"/>
      <c r="CV284" s="5"/>
      <c r="CW284" s="12"/>
      <c r="CY284" s="13"/>
      <c r="CZ284" s="5"/>
      <c r="DA284" s="12"/>
      <c r="DC284" s="13"/>
      <c r="DD284" s="5"/>
      <c r="DE284" s="12"/>
      <c r="DG284" s="13"/>
      <c r="DH284" s="5"/>
      <c r="DI284" s="12"/>
      <c r="DK284" s="13"/>
      <c r="DL284" s="5"/>
      <c r="DM284" s="12"/>
      <c r="DO284" s="13"/>
      <c r="DP284" s="5"/>
      <c r="DQ284" s="12"/>
      <c r="DS284" s="1336">
        <f t="shared" si="5"/>
        <v>0</v>
      </c>
      <c r="DT284" s="121">
        <f>EXTRAS!D148</f>
        <v>0</v>
      </c>
      <c r="DU284" s="112">
        <f>EXTRAS!E148</f>
        <v>0</v>
      </c>
      <c r="DX284" s="203">
        <f t="shared" si="6"/>
        <v>0</v>
      </c>
      <c r="DZ284" s="924"/>
      <c r="EH284" s="924"/>
    </row>
    <row r="285" spans="1:138" s="6" customFormat="1" ht="15" customHeight="1">
      <c r="A285" s="3">
        <v>128</v>
      </c>
      <c r="B285" s="210" t="s">
        <v>53</v>
      </c>
      <c r="C285" s="473" t="s">
        <v>515</v>
      </c>
      <c r="D285" s="4"/>
      <c r="E285" s="5"/>
      <c r="F285" s="5"/>
      <c r="G285" s="4"/>
      <c r="H285" s="4"/>
      <c r="I285" s="4"/>
      <c r="J285" s="4"/>
      <c r="K285" s="5"/>
      <c r="L285" s="5"/>
      <c r="M285" s="5"/>
      <c r="O285" s="5">
        <v>1</v>
      </c>
      <c r="P285" s="5">
        <f>Q5*O285+Q6*O285+Q7*O285+Q8*O285+Q9*O285+Q10*O285+Q11*O285+Q12*O285+Q13*O285+Q14*O285+Q15*O285+Q16*O285+Q17*O285+Q18*O285+Q19*O285+Q20*O285+Q21*O285+Q22*O285+Q23*O285+Q24*O285+Q25*O285+Q26*O285</f>
        <v>0</v>
      </c>
      <c r="Q285" s="5"/>
      <c r="S285" s="5"/>
      <c r="T285" s="5"/>
      <c r="U285" s="5"/>
      <c r="W285" s="5">
        <v>1</v>
      </c>
      <c r="X285" s="5">
        <f>Y5*W285+Y9*W285+Y10*W285+Y11*W285+Y12*W285+Y13*W285+Y14*W285+Y15*W285+Y16*W285+Y17*W285+Y18*W285+Y19*W285+Y20*W285+Y21*W285+Y22*W285+Y23*W285+Y24*W285+Y25*W285+Y26*W285+Y6*W285+Y8*W285+Y7*W285</f>
        <v>0</v>
      </c>
      <c r="Y285" s="12"/>
      <c r="AA285" s="13">
        <v>1</v>
      </c>
      <c r="AB285" s="12">
        <f>AB5*AA285+AB9*AA285+AB10*AA285+AB11*AA285+AB12*AA285+AB13*AA285+AB14*AA285+AB15*AA285+AB16*AA285+AB17*AA285+AB18*AA285+AB19*AA285+AB20*AA285+AB21*AA285+AB22*AA285+AB23*AA285+AB24*AA285+AB25*AA285+AB26*AA285+AB8*AA285+AB6*AA285+AB7*AA285</f>
        <v>0</v>
      </c>
      <c r="AD285" s="13"/>
      <c r="AE285" s="5"/>
      <c r="AF285" s="5"/>
      <c r="AH285" s="13"/>
      <c r="AI285" s="5"/>
      <c r="AK285" s="5"/>
      <c r="AL285" s="5"/>
      <c r="AM285" s="5"/>
      <c r="AO285" s="5"/>
      <c r="AP285" s="5"/>
      <c r="AR285" s="5"/>
      <c r="AS285" s="5"/>
      <c r="AT285" s="5"/>
      <c r="AV285" s="5"/>
      <c r="AW285" s="5"/>
      <c r="AY285" s="5"/>
      <c r="AZ285" s="5"/>
      <c r="BA285" s="5"/>
      <c r="BC285" s="5"/>
      <c r="BD285" s="5"/>
      <c r="BF285" s="5">
        <v>1</v>
      </c>
      <c r="BG285" s="5">
        <f>BH5*BF285+BH6*BF285+BH7*BF285+BH8*BF285+BH9*BF285+BH10*BF285+BH11*BF285+BH12*BF285+BH13*BF285+BH14*BF285+BH15*BF285+BH16*BF285+BH17*BF285+BH18*BF285+BH19*BF285+BH20*BF285+BH21*BF285+BH22*BF285+BH23*BF285+BH24*BF285+BH25*BF285+BH26*BF285</f>
        <v>0</v>
      </c>
      <c r="BH285" s="5"/>
      <c r="BJ285" s="5">
        <v>1</v>
      </c>
      <c r="BK285" s="5">
        <f>BK5*BJ285+BK6*BJ285+BK7*BJ285+BK8*BJ285+BK9*BJ285+BK10*BJ285+BK11*BJ285+BK12*BJ285+BK13*BJ285+BK14*BJ285+BK15*BJ285+BK16*BJ285+BK17*BJ285+BK18*BJ285+BK19*BJ285+BK20*BJ285+BK21*BJ285+BK22*BJ285+BK23*BJ285+BK24*BJ285+BK25*BJ285+BK26*BJ285</f>
        <v>0</v>
      </c>
      <c r="BL285" s="12"/>
      <c r="BM285" s="5"/>
      <c r="BN285" s="5">
        <f>BO5*BM285+BO6*BM285+BO7*BM285+BO8*BM285+BO9*BM285+BO10*BM285+BO11*BM285+BO12*BM285+BO13*BM285+BO14*BM285+BO15*BM285+BO16*BM285+BO17*BM285+BO18*BM285+BO19*BM285+BO20*BM285+BO21*BM285+BO22*BM285+BO23*BM285+BO24*BM285+BO25*BM285+BO26*BM285</f>
        <v>0</v>
      </c>
      <c r="BO285" s="5"/>
      <c r="BQ285" s="5"/>
      <c r="BR285" s="5">
        <f>BS5*BQ285+BS6*BQ285+BS7*BQ285+BS8*BQ285+BS9*BQ285+BS10*BQ285+BS11*BQ285+BS12*BQ285+BS13*BQ285+BS14*BQ285+BS15*BQ285+BS16*BQ285+BS17*BQ285+BS18*BQ285+BS19*BQ285+BS20*BQ285+BS21*BQ285+BS22*BQ285+BS23*BQ285+BS24*BQ285+BS25*BQ285+BS26*BQ285</f>
        <v>0</v>
      </c>
      <c r="BT285" s="5"/>
      <c r="BU285" s="5">
        <f>BV5*BT285+BV6*BT285+BV7*BT285+BV8*BT285+BV9*BT285+BV10*BT285+BV11*BT285+BV12*BT285+BV13*BT285+BV14*BT285+BV15*BT285+BV16*BT285+BV17*BT285+BV18*BT285+BV19*BT285+BV20*BT285+BV21*BT285+BV22*BT285+BV23*BT285+BV24*BT285+BV25*BT285+BV26*BT285</f>
        <v>0</v>
      </c>
      <c r="BV285" s="5"/>
      <c r="BX285" s="5"/>
      <c r="BY285" s="5">
        <f>BZ5*BX285+BZ6*BX285+BZ7*BX285+BZ8*BX285+BZ9*BX285+BZ10*BX285+BZ11*BX285+BZ12*BX285+BZ13*BX285+BZ14*BX285+BZ15*BX285+BZ16*BX285+BZ17*BX285+BZ18*BX285+BZ19*BX285+BZ20*BX285+BZ21*BX285+BZ22*BX285+BZ23*BX285+BZ24*BX285+BZ25*BX285+BZ26*BX285</f>
        <v>0</v>
      </c>
      <c r="CA285" s="13">
        <v>1</v>
      </c>
      <c r="CB285" s="7">
        <f>SUM(CC5:CC26)*CA285</f>
        <v>0</v>
      </c>
      <c r="CC285" s="11"/>
      <c r="CE285" s="13"/>
      <c r="CF285" s="5"/>
      <c r="CG285" s="12"/>
      <c r="CI285" s="13"/>
      <c r="CJ285" s="5"/>
      <c r="CK285" s="12"/>
      <c r="CM285" s="13"/>
      <c r="CN285" s="5"/>
      <c r="CO285" s="12"/>
      <c r="CQ285" s="13"/>
      <c r="CR285" s="5"/>
      <c r="CS285" s="12"/>
      <c r="CU285" s="13"/>
      <c r="CV285" s="5"/>
      <c r="CW285" s="12"/>
      <c r="CY285" s="13"/>
      <c r="CZ285" s="5"/>
      <c r="DA285" s="12"/>
      <c r="DC285" s="13"/>
      <c r="DD285" s="5"/>
      <c r="DE285" s="12"/>
      <c r="DG285" s="13"/>
      <c r="DH285" s="5"/>
      <c r="DI285" s="12"/>
      <c r="DK285" s="13"/>
      <c r="DL285" s="5"/>
      <c r="DM285" s="12"/>
      <c r="DO285" s="13"/>
      <c r="DP285" s="5"/>
      <c r="DQ285" s="12"/>
      <c r="DS285" s="1336">
        <f t="shared" si="5"/>
        <v>0</v>
      </c>
      <c r="DT285" s="121">
        <f>EXTRAS!D149</f>
        <v>0</v>
      </c>
      <c r="DU285" s="112">
        <f>EXTRAS!E149</f>
        <v>0</v>
      </c>
      <c r="DX285" s="203">
        <f t="shared" si="6"/>
        <v>0</v>
      </c>
      <c r="DZ285" s="924"/>
      <c r="EH285" s="924"/>
    </row>
    <row r="286" spans="1:138" s="6" customFormat="1" ht="15" customHeight="1">
      <c r="A286" s="3">
        <v>129</v>
      </c>
      <c r="B286" s="210" t="s">
        <v>202</v>
      </c>
      <c r="C286" s="473" t="s">
        <v>515</v>
      </c>
      <c r="D286" s="4"/>
      <c r="E286" s="5"/>
      <c r="F286" s="5"/>
      <c r="G286" s="4"/>
      <c r="H286" s="4"/>
      <c r="I286" s="4"/>
      <c r="J286" s="4"/>
      <c r="K286" s="5">
        <v>1</v>
      </c>
      <c r="L286" s="5">
        <f>L5*K286+L6*K286+L7*K286+L8*K286+L9*K286+L10*K286+L11*K286+L12*K286+L13*K286+L14*K286+L15*K286+L16*K286+L17*K286+L18*K286+L19*K286+L20*K286+L21*K286+L22*K286+L23*K286+L24*K286+L25*K286+L26*K286</f>
        <v>0</v>
      </c>
      <c r="M286" s="5"/>
      <c r="O286" s="5"/>
      <c r="P286" s="5"/>
      <c r="Q286" s="5"/>
      <c r="S286" s="5"/>
      <c r="T286" s="5"/>
      <c r="U286" s="5"/>
      <c r="W286" s="5"/>
      <c r="X286" s="5"/>
      <c r="Y286" s="12"/>
      <c r="AA286" s="13"/>
      <c r="AB286" s="12"/>
      <c r="AD286" s="13"/>
      <c r="AE286" s="5"/>
      <c r="AF286" s="5"/>
      <c r="AH286" s="13"/>
      <c r="AI286" s="5"/>
      <c r="AK286" s="5"/>
      <c r="AL286" s="5"/>
      <c r="AM286" s="5"/>
      <c r="AO286" s="5"/>
      <c r="AP286" s="5"/>
      <c r="AR286" s="5"/>
      <c r="AS286" s="5"/>
      <c r="AT286" s="5"/>
      <c r="AV286" s="5"/>
      <c r="AW286" s="5"/>
      <c r="AY286" s="5"/>
      <c r="AZ286" s="5"/>
      <c r="BA286" s="5"/>
      <c r="BC286" s="5"/>
      <c r="BD286" s="5"/>
      <c r="BF286" s="5"/>
      <c r="BG286" s="5"/>
      <c r="BH286" s="5"/>
      <c r="BJ286" s="5"/>
      <c r="BK286" s="5"/>
      <c r="BL286" s="12"/>
      <c r="BM286" s="5"/>
      <c r="BN286" s="5"/>
      <c r="BO286" s="5"/>
      <c r="BQ286" s="5"/>
      <c r="BR286" s="5"/>
      <c r="BT286" s="5"/>
      <c r="BU286" s="5"/>
      <c r="BV286" s="5"/>
      <c r="BX286" s="5"/>
      <c r="BY286" s="5"/>
      <c r="CA286" s="13"/>
      <c r="CB286" s="7"/>
      <c r="CC286" s="11"/>
      <c r="CE286" s="13"/>
      <c r="CF286" s="5"/>
      <c r="CG286" s="12"/>
      <c r="CI286" s="13"/>
      <c r="CJ286" s="5"/>
      <c r="CK286" s="12"/>
      <c r="CM286" s="13"/>
      <c r="CN286" s="5"/>
      <c r="CO286" s="12"/>
      <c r="CQ286" s="13"/>
      <c r="CR286" s="5"/>
      <c r="CS286" s="12"/>
      <c r="CU286" s="13"/>
      <c r="CV286" s="5"/>
      <c r="CW286" s="12"/>
      <c r="CY286" s="13"/>
      <c r="CZ286" s="5"/>
      <c r="DA286" s="12"/>
      <c r="DC286" s="13"/>
      <c r="DD286" s="5"/>
      <c r="DE286" s="12"/>
      <c r="DG286" s="13"/>
      <c r="DH286" s="5"/>
      <c r="DI286" s="12"/>
      <c r="DK286" s="13"/>
      <c r="DL286" s="5"/>
      <c r="DM286" s="12"/>
      <c r="DO286" s="13"/>
      <c r="DP286" s="5"/>
      <c r="DQ286" s="12"/>
      <c r="DS286" s="1336">
        <f t="shared" si="5"/>
        <v>0</v>
      </c>
      <c r="DT286" s="121">
        <f>EXTRAS!D150</f>
        <v>0</v>
      </c>
      <c r="DU286" s="112">
        <f>EXTRAS!E150</f>
        <v>0</v>
      </c>
      <c r="DX286" s="203">
        <f t="shared" si="6"/>
        <v>0</v>
      </c>
      <c r="DZ286" s="924"/>
      <c r="EH286" s="924"/>
    </row>
    <row r="287" spans="1:138" s="6" customFormat="1" ht="15" customHeight="1">
      <c r="A287" s="3">
        <v>130</v>
      </c>
      <c r="B287" s="210" t="s">
        <v>200</v>
      </c>
      <c r="C287" s="473" t="s">
        <v>515</v>
      </c>
      <c r="D287" s="4"/>
      <c r="E287" s="5"/>
      <c r="F287" s="5"/>
      <c r="G287" s="4"/>
      <c r="H287" s="4"/>
      <c r="I287" s="4"/>
      <c r="J287" s="4"/>
      <c r="K287" s="5"/>
      <c r="L287" s="5"/>
      <c r="M287" s="5"/>
      <c r="O287" s="5"/>
      <c r="P287" s="5"/>
      <c r="Q287" s="5"/>
      <c r="S287" s="5"/>
      <c r="T287" s="5"/>
      <c r="U287" s="5"/>
      <c r="W287" s="5"/>
      <c r="X287" s="5"/>
      <c r="Y287" s="12"/>
      <c r="AA287" s="13"/>
      <c r="AB287" s="12"/>
      <c r="AD287" s="13"/>
      <c r="AE287" s="5"/>
      <c r="AF287" s="5"/>
      <c r="AH287" s="13"/>
      <c r="AI287" s="5"/>
      <c r="AK287" s="5"/>
      <c r="AL287" s="5"/>
      <c r="AM287" s="5"/>
      <c r="AO287" s="5"/>
      <c r="AP287" s="5"/>
      <c r="AR287" s="5"/>
      <c r="AS287" s="5"/>
      <c r="AT287" s="5"/>
      <c r="AV287" s="5"/>
      <c r="AW287" s="5"/>
      <c r="AY287" s="5"/>
      <c r="AZ287" s="5"/>
      <c r="BA287" s="5"/>
      <c r="BC287" s="5"/>
      <c r="BD287" s="5"/>
      <c r="BF287" s="5"/>
      <c r="BG287" s="5"/>
      <c r="BH287" s="5"/>
      <c r="BJ287" s="5"/>
      <c r="BK287" s="5"/>
      <c r="BL287" s="12"/>
      <c r="BM287" s="5"/>
      <c r="BN287" s="5"/>
      <c r="BO287" s="5"/>
      <c r="BQ287" s="5"/>
      <c r="BR287" s="5"/>
      <c r="BT287" s="5"/>
      <c r="BU287" s="5"/>
      <c r="BV287" s="5"/>
      <c r="BX287" s="5"/>
      <c r="BY287" s="5"/>
      <c r="CA287" s="13"/>
      <c r="CB287" s="7"/>
      <c r="CC287" s="11"/>
      <c r="CE287" s="13"/>
      <c r="CF287" s="5"/>
      <c r="CG287" s="12"/>
      <c r="CI287" s="13"/>
      <c r="CJ287" s="5"/>
      <c r="CK287" s="12"/>
      <c r="CM287" s="13"/>
      <c r="CN287" s="5"/>
      <c r="CO287" s="12"/>
      <c r="CQ287" s="13"/>
      <c r="CR287" s="5"/>
      <c r="CS287" s="12"/>
      <c r="CU287" s="13"/>
      <c r="CV287" s="5"/>
      <c r="CW287" s="12"/>
      <c r="CY287" s="13"/>
      <c r="CZ287" s="5"/>
      <c r="DA287" s="12"/>
      <c r="DC287" s="13"/>
      <c r="DD287" s="5"/>
      <c r="DE287" s="12"/>
      <c r="DG287" s="13"/>
      <c r="DH287" s="5"/>
      <c r="DI287" s="12"/>
      <c r="DK287" s="13"/>
      <c r="DL287" s="5"/>
      <c r="DM287" s="12"/>
      <c r="DO287" s="13"/>
      <c r="DP287" s="5"/>
      <c r="DQ287" s="12"/>
      <c r="DS287" s="1336">
        <f t="shared" si="5"/>
        <v>0</v>
      </c>
      <c r="DT287" s="121">
        <f>EXTRAS!D151</f>
        <v>0</v>
      </c>
      <c r="DU287" s="112">
        <f>EXTRAS!E151</f>
        <v>0</v>
      </c>
      <c r="DX287" s="203">
        <f t="shared" si="6"/>
        <v>0</v>
      </c>
      <c r="DZ287" s="924"/>
      <c r="EH287" s="924"/>
    </row>
    <row r="288" spans="1:138" s="6" customFormat="1" ht="15" customHeight="1">
      <c r="A288" s="3">
        <v>131</v>
      </c>
      <c r="B288" s="210" t="s">
        <v>201</v>
      </c>
      <c r="C288" s="473" t="s">
        <v>515</v>
      </c>
      <c r="D288" s="4"/>
      <c r="E288" s="5"/>
      <c r="F288" s="5"/>
      <c r="G288" s="4"/>
      <c r="H288" s="4"/>
      <c r="I288" s="4"/>
      <c r="J288" s="4"/>
      <c r="K288" s="5"/>
      <c r="L288" s="5"/>
      <c r="M288" s="5"/>
      <c r="O288" s="5"/>
      <c r="P288" s="5"/>
      <c r="Q288" s="5"/>
      <c r="S288" s="5"/>
      <c r="T288" s="5"/>
      <c r="U288" s="5"/>
      <c r="W288" s="5"/>
      <c r="X288" s="5"/>
      <c r="Y288" s="12"/>
      <c r="AA288" s="13"/>
      <c r="AB288" s="12"/>
      <c r="AD288" s="13"/>
      <c r="AE288" s="5"/>
      <c r="AF288" s="5"/>
      <c r="AH288" s="13"/>
      <c r="AI288" s="5"/>
      <c r="AK288" s="5"/>
      <c r="AL288" s="5"/>
      <c r="AM288" s="5"/>
      <c r="AO288" s="5"/>
      <c r="AP288" s="5"/>
      <c r="AR288" s="5"/>
      <c r="AS288" s="5"/>
      <c r="AT288" s="5"/>
      <c r="AV288" s="5"/>
      <c r="AW288" s="5"/>
      <c r="AY288" s="5"/>
      <c r="AZ288" s="5"/>
      <c r="BA288" s="5"/>
      <c r="BC288" s="5"/>
      <c r="BD288" s="5"/>
      <c r="BF288" s="5"/>
      <c r="BG288" s="5"/>
      <c r="BH288" s="5"/>
      <c r="BJ288" s="5"/>
      <c r="BK288" s="5"/>
      <c r="BL288" s="12"/>
      <c r="BM288" s="5"/>
      <c r="BN288" s="5"/>
      <c r="BO288" s="5"/>
      <c r="BQ288" s="5"/>
      <c r="BR288" s="5"/>
      <c r="BT288" s="5"/>
      <c r="BU288" s="5"/>
      <c r="BV288" s="5"/>
      <c r="BX288" s="5"/>
      <c r="BY288" s="5"/>
      <c r="CA288" s="13"/>
      <c r="CB288" s="7"/>
      <c r="CC288" s="11"/>
      <c r="CE288" s="13"/>
      <c r="CF288" s="5"/>
      <c r="CG288" s="12"/>
      <c r="CI288" s="13"/>
      <c r="CJ288" s="5"/>
      <c r="CK288" s="12"/>
      <c r="CM288" s="13"/>
      <c r="CN288" s="5"/>
      <c r="CO288" s="12"/>
      <c r="CQ288" s="13"/>
      <c r="CR288" s="5"/>
      <c r="CS288" s="12"/>
      <c r="CU288" s="13"/>
      <c r="CV288" s="5"/>
      <c r="CW288" s="12"/>
      <c r="CY288" s="13"/>
      <c r="CZ288" s="5"/>
      <c r="DA288" s="12"/>
      <c r="DC288" s="13"/>
      <c r="DD288" s="5"/>
      <c r="DE288" s="12"/>
      <c r="DG288" s="13"/>
      <c r="DH288" s="5"/>
      <c r="DI288" s="12"/>
      <c r="DK288" s="13"/>
      <c r="DL288" s="5"/>
      <c r="DM288" s="12"/>
      <c r="DO288" s="13"/>
      <c r="DP288" s="5"/>
      <c r="DQ288" s="12"/>
      <c r="DS288" s="1336">
        <f t="shared" si="5"/>
        <v>0</v>
      </c>
      <c r="DT288" s="121">
        <f>EXTRAS!D152</f>
        <v>0</v>
      </c>
      <c r="DU288" s="112">
        <f>EXTRAS!E152</f>
        <v>0</v>
      </c>
      <c r="DX288" s="203">
        <f t="shared" si="6"/>
        <v>0</v>
      </c>
      <c r="DZ288" s="924"/>
      <c r="EH288" s="924"/>
    </row>
    <row r="289" spans="1:138" s="6" customFormat="1" ht="15" customHeight="1">
      <c r="A289" s="3">
        <v>132</v>
      </c>
      <c r="B289" s="210" t="s">
        <v>317</v>
      </c>
      <c r="C289" s="473" t="s">
        <v>515</v>
      </c>
      <c r="D289" s="4"/>
      <c r="E289" s="5"/>
      <c r="F289" s="5"/>
      <c r="G289" s="4"/>
      <c r="H289" s="4"/>
      <c r="I289" s="4"/>
      <c r="J289" s="4"/>
      <c r="K289" s="5"/>
      <c r="L289" s="5"/>
      <c r="M289" s="5"/>
      <c r="O289" s="5"/>
      <c r="P289" s="5"/>
      <c r="Q289" s="5"/>
      <c r="S289" s="5"/>
      <c r="T289" s="5"/>
      <c r="U289" s="5"/>
      <c r="W289" s="5"/>
      <c r="X289" s="5"/>
      <c r="Y289" s="12"/>
      <c r="AA289" s="13"/>
      <c r="AB289" s="12"/>
      <c r="AD289" s="13"/>
      <c r="AE289" s="5"/>
      <c r="AF289" s="5"/>
      <c r="AH289" s="13"/>
      <c r="AI289" s="5"/>
      <c r="AK289" s="5"/>
      <c r="AL289" s="5"/>
      <c r="AM289" s="5"/>
      <c r="AO289" s="5"/>
      <c r="AP289" s="5"/>
      <c r="AR289" s="5"/>
      <c r="AS289" s="5"/>
      <c r="AT289" s="5"/>
      <c r="AV289" s="5"/>
      <c r="AW289" s="5"/>
      <c r="AY289" s="5"/>
      <c r="AZ289" s="5"/>
      <c r="BA289" s="5"/>
      <c r="BC289" s="5"/>
      <c r="BD289" s="5"/>
      <c r="BF289" s="5"/>
      <c r="BG289" s="5"/>
      <c r="BH289" s="5"/>
      <c r="BJ289" s="5"/>
      <c r="BK289" s="5"/>
      <c r="BL289" s="12"/>
      <c r="BM289" s="5"/>
      <c r="BN289" s="5"/>
      <c r="BO289" s="5"/>
      <c r="BQ289" s="5"/>
      <c r="BR289" s="5"/>
      <c r="BT289" s="5"/>
      <c r="BU289" s="5"/>
      <c r="BV289" s="5"/>
      <c r="BX289" s="5"/>
      <c r="BY289" s="5"/>
      <c r="CA289" s="13"/>
      <c r="CB289" s="7"/>
      <c r="CC289" s="11"/>
      <c r="CE289" s="13"/>
      <c r="CF289" s="5"/>
      <c r="CG289" s="12"/>
      <c r="CI289" s="13"/>
      <c r="CJ289" s="5"/>
      <c r="CK289" s="12"/>
      <c r="CM289" s="13"/>
      <c r="CN289" s="5"/>
      <c r="CO289" s="12"/>
      <c r="CQ289" s="13"/>
      <c r="CR289" s="5"/>
      <c r="CS289" s="12"/>
      <c r="CU289" s="13"/>
      <c r="CV289" s="5"/>
      <c r="CW289" s="12"/>
      <c r="CY289" s="13"/>
      <c r="CZ289" s="5"/>
      <c r="DA289" s="12"/>
      <c r="DC289" s="13"/>
      <c r="DD289" s="5"/>
      <c r="DE289" s="12"/>
      <c r="DG289" s="13"/>
      <c r="DH289" s="5"/>
      <c r="DI289" s="12"/>
      <c r="DK289" s="13"/>
      <c r="DL289" s="5"/>
      <c r="DM289" s="12"/>
      <c r="DO289" s="13"/>
      <c r="DP289" s="5"/>
      <c r="DQ289" s="12"/>
      <c r="DS289" s="1336">
        <f t="shared" si="5"/>
        <v>0</v>
      </c>
      <c r="DT289" s="121">
        <f>EXTRAS!D153</f>
        <v>0</v>
      </c>
      <c r="DU289" s="112">
        <f>EXTRAS!E153</f>
        <v>0</v>
      </c>
      <c r="DX289" s="203">
        <f t="shared" si="6"/>
        <v>0</v>
      </c>
      <c r="DZ289" s="924"/>
      <c r="EH289" s="924"/>
    </row>
    <row r="290" spans="1:138" s="6" customFormat="1" ht="15" customHeight="1">
      <c r="A290" s="3">
        <v>133</v>
      </c>
      <c r="B290" s="210" t="s">
        <v>54</v>
      </c>
      <c r="C290" s="473" t="s">
        <v>515</v>
      </c>
      <c r="D290" s="4"/>
      <c r="E290" s="5"/>
      <c r="F290" s="5"/>
      <c r="G290" s="4"/>
      <c r="H290" s="4"/>
      <c r="I290" s="4"/>
      <c r="J290" s="4"/>
      <c r="K290" s="5">
        <v>1</v>
      </c>
      <c r="L290" s="5">
        <f>M5*K290+M6*K290+M7*K290+M8*K290+M9*K290+M10*K290+M11*K290+M12*K290+M13*K290+M14*K290+M15*K290+M16*K290+M17*K290+M18*K290+M19*K290+M20*K290+M21*K290+M22*K290+M23*K290+M24*K290+M25*K290+M26*K290</f>
        <v>0</v>
      </c>
      <c r="M290" s="5"/>
      <c r="O290" s="5"/>
      <c r="P290" s="5"/>
      <c r="Q290" s="5"/>
      <c r="S290" s="5"/>
      <c r="T290" s="5"/>
      <c r="U290" s="5"/>
      <c r="W290" s="5"/>
      <c r="X290" s="5"/>
      <c r="Y290" s="12"/>
      <c r="AA290" s="13"/>
      <c r="AB290" s="12"/>
      <c r="AD290" s="13"/>
      <c r="AE290" s="5"/>
      <c r="AF290" s="5"/>
      <c r="AH290" s="13"/>
      <c r="AI290" s="5"/>
      <c r="AK290" s="5"/>
      <c r="AL290" s="5"/>
      <c r="AM290" s="5"/>
      <c r="AO290" s="5"/>
      <c r="AP290" s="5"/>
      <c r="AR290" s="5"/>
      <c r="AS290" s="5"/>
      <c r="AT290" s="5"/>
      <c r="AV290" s="5"/>
      <c r="AW290" s="5"/>
      <c r="AY290" s="5"/>
      <c r="AZ290" s="5"/>
      <c r="BA290" s="5"/>
      <c r="BC290" s="5"/>
      <c r="BD290" s="5"/>
      <c r="BF290" s="5"/>
      <c r="BG290" s="5"/>
      <c r="BH290" s="5"/>
      <c r="BJ290" s="5"/>
      <c r="BK290" s="5"/>
      <c r="BL290" s="12"/>
      <c r="BM290" s="5"/>
      <c r="BN290" s="5"/>
      <c r="BO290" s="5"/>
      <c r="BQ290" s="5"/>
      <c r="BR290" s="5"/>
      <c r="BT290" s="5"/>
      <c r="BU290" s="5"/>
      <c r="BV290" s="5"/>
      <c r="BX290" s="5"/>
      <c r="BY290" s="5"/>
      <c r="CA290" s="13"/>
      <c r="CB290" s="7"/>
      <c r="CC290" s="11"/>
      <c r="CE290" s="13"/>
      <c r="CF290" s="5"/>
      <c r="CG290" s="12"/>
      <c r="CI290" s="13"/>
      <c r="CJ290" s="5"/>
      <c r="CK290" s="12"/>
      <c r="CM290" s="13"/>
      <c r="CN290" s="5"/>
      <c r="CO290" s="12"/>
      <c r="CQ290" s="13"/>
      <c r="CR290" s="5"/>
      <c r="CS290" s="12"/>
      <c r="CU290" s="13"/>
      <c r="CV290" s="5"/>
      <c r="CW290" s="12"/>
      <c r="CY290" s="13"/>
      <c r="CZ290" s="5"/>
      <c r="DA290" s="12"/>
      <c r="DC290" s="13"/>
      <c r="DD290" s="5"/>
      <c r="DE290" s="12"/>
      <c r="DG290" s="13"/>
      <c r="DH290" s="5"/>
      <c r="DI290" s="12"/>
      <c r="DK290" s="13"/>
      <c r="DL290" s="5"/>
      <c r="DM290" s="12"/>
      <c r="DO290" s="13"/>
      <c r="DP290" s="5"/>
      <c r="DQ290" s="12"/>
      <c r="DS290" s="1336">
        <f t="shared" si="5"/>
        <v>0</v>
      </c>
      <c r="DT290" s="121">
        <f>EXTRAS!D154</f>
        <v>0</v>
      </c>
      <c r="DU290" s="112">
        <f>EXTRAS!E154</f>
        <v>0</v>
      </c>
      <c r="DX290" s="203">
        <f t="shared" si="6"/>
        <v>0</v>
      </c>
      <c r="DZ290" s="924"/>
      <c r="EH290" s="924"/>
    </row>
    <row r="291" spans="1:138" s="6" customFormat="1" ht="15" customHeight="1">
      <c r="A291" s="3">
        <v>134</v>
      </c>
      <c r="B291" s="210" t="s">
        <v>480</v>
      </c>
      <c r="C291" s="473" t="s">
        <v>515</v>
      </c>
      <c r="D291" s="4"/>
      <c r="E291" s="5"/>
      <c r="F291" s="5"/>
      <c r="G291" s="4"/>
      <c r="H291" s="4"/>
      <c r="I291" s="4"/>
      <c r="J291" s="4"/>
      <c r="K291" s="5"/>
      <c r="L291" s="5"/>
      <c r="M291" s="5"/>
      <c r="O291" s="5"/>
      <c r="P291" s="5"/>
      <c r="Q291" s="5"/>
      <c r="S291" s="5"/>
      <c r="T291" s="5"/>
      <c r="U291" s="5"/>
      <c r="W291" s="5"/>
      <c r="X291" s="5"/>
      <c r="Y291" s="12"/>
      <c r="AA291" s="13"/>
      <c r="AB291" s="12"/>
      <c r="AD291" s="13"/>
      <c r="AE291" s="5"/>
      <c r="AF291" s="5"/>
      <c r="AH291" s="13"/>
      <c r="AI291" s="5"/>
      <c r="AK291" s="5"/>
      <c r="AL291" s="5"/>
      <c r="AM291" s="5"/>
      <c r="AO291" s="5"/>
      <c r="AP291" s="5"/>
      <c r="AR291" s="5"/>
      <c r="AS291" s="5"/>
      <c r="AT291" s="5"/>
      <c r="AV291" s="5"/>
      <c r="AW291" s="5"/>
      <c r="AY291" s="5"/>
      <c r="AZ291" s="5"/>
      <c r="BA291" s="5"/>
      <c r="BC291" s="5"/>
      <c r="BD291" s="5"/>
      <c r="BF291" s="5"/>
      <c r="BG291" s="5"/>
      <c r="BH291" s="5"/>
      <c r="BJ291" s="5"/>
      <c r="BK291" s="5"/>
      <c r="BL291" s="12"/>
      <c r="BM291" s="5"/>
      <c r="BN291" s="5"/>
      <c r="BO291" s="5"/>
      <c r="BQ291" s="5"/>
      <c r="BR291" s="5"/>
      <c r="BT291" s="5"/>
      <c r="BU291" s="5"/>
      <c r="BV291" s="5"/>
      <c r="BX291" s="5"/>
      <c r="BY291" s="5"/>
      <c r="CA291" s="13"/>
      <c r="CB291" s="7"/>
      <c r="CC291" s="11"/>
      <c r="CE291" s="13">
        <v>15</v>
      </c>
      <c r="CF291" s="5">
        <f>CF5*CE291+CF6*CE291+CF7*CE291+CF8*CE291+CF9*CE291+CF10*CE291+CF11*CE291+CF12*CE291+CF13*CE291+CF14*CE291+CF15*CE291+CF16*CE291+CF17*CE291+CF18*CE291+CF19*CE291+CF20*CE291+CF21*CE291+CF22*CE291+CF23*CE291+CF24*CE291+CG25*CE291+CG26*CE291+CG5*CE291+CG6*CE291+CG7*CE291+CG8*CE291+CG9*CE291+CG10*CE291+CG11*CE291+CG12*CE291+CG13*CE291+CG14*CE291+CG15*CE291+CG16*CE291+CG17*CE291+CG18*CE291+CG19*CE291+CG20*CE291+CG21*CE291+CG22*CE291+CG23*CE291+CG24*CE291+CF25*CE291+CF26*CE291</f>
        <v>0</v>
      </c>
      <c r="CG291" s="12"/>
      <c r="CI291" s="13">
        <v>15</v>
      </c>
      <c r="CJ291" s="5">
        <f>CJ5*CI291+CJ6*CI291+CJ7*CI291+CJ8*CI291+CJ9*CI291+CJ10*CI291+CJ11*CI291+CJ12*CI291+CJ13*CI291+CJ14*CI291+CJ15*CI291+CJ16*CI291+CJ17*CI291+CJ18*CI291+CJ19*CI291+CJ20*CI291+CJ21*CI291+CJ22*CI291+CJ23*CI291+CJ24*CI291+CK25*CI291+CK26*CI291+CK5*CI291+CK6*CI291+CK7*CI291+CK8*CI291+CK9*CI291+CK10*CI291+CK11*CI291+CK12*CI291+CK13*CI291+CK14*CI291+CK15*CI291+CK16*CI291+CK17*CI291+CK18*CI291+CK19*CI291+CK20*CI291+CK21*CI291+CK22*CI291+CK23*CI291+CK24*CI291+CJ25*CI291+CJ26*CI291</f>
        <v>0</v>
      </c>
      <c r="CK291" s="12"/>
      <c r="CM291" s="13">
        <v>15</v>
      </c>
      <c r="CN291" s="5">
        <f>CN5*CM291+CN6*CM291+CN7*CM291+CN8*CM291+CN9*CM291+CN10*CM291+CN11*CM291+CN12*CM291+CN13*CM291+CN14*CM291+CN15*CM291+CN16*CM291+CN17*CM291+CN18*CM291+CN19*CM291+CN20*CM291+CN21*CM291+CN22*CM291+CN23*CM291+CN24*CM291+CO25*CM291+CO26*CM291+CO5*CM291+CO6*CM291+CO7*CM291+CO8*CM291+CO9*CM291+CO10*CM291+CO11*CM291+CO12*CM291+CO13*CM291+CO14*CM291+CO15*CM291+CO16*CM291+CO17*CM291+CO18*CM291+CO19*CM291+CO20*CM291+CO21*CM291+CO22*CM291+CO23*CM291+CO24*CM291+CN25*CM291+CN26*CM291</f>
        <v>0</v>
      </c>
      <c r="CO291" s="12"/>
      <c r="CQ291" s="13">
        <v>15</v>
      </c>
      <c r="CR291" s="5">
        <f>CR5*CQ291+CR6*CQ291+CR7*CQ291+CR8*CQ291+CR9*CQ291+CR10*CQ291+CR11*CQ291+CR12*CQ291+CR13*CQ291+CR14*CQ291+CR15*CQ291+CR16*CQ291+CR17*CQ291+CR18*CQ291+CR19*CQ291+CR20*CQ291+CR21*CQ291+CR22*CQ291+CR23*CQ291+CR24*CQ291+CS25*CQ291+CS26*CQ291+CS5*CQ291+CS6*CQ291+CS7*CQ291+CS8*CQ291+CS9*CQ291+CS10*CQ291+CS11*CQ291+CS12*CQ291+CS13*CQ291+CS14*CQ291+CS15*CQ291+CS16*CQ291+CS17*CQ291+CS18*CQ291+CS19*CQ291+CS20*CQ291+CS21*CQ291+CS22*CQ291+CS23*CQ291+CS24*CQ291+CR25*CQ291+CR26*CQ291</f>
        <v>0</v>
      </c>
      <c r="CS291" s="12"/>
      <c r="CU291" s="13">
        <v>15</v>
      </c>
      <c r="CV291" s="5">
        <f>CV5*CU291+CV6*CU291+CV7*CU291+CV8*CU291+CV9*CU291+CV10*CU291+CV11*CU291+CV12*CU291+CV13*CU291+CV14*CU291+CV15*CU291+CV16*CU291+CV17*CU291+CV18*CU291+CV19*CU291+CV20*CU291+CV21*CU291+CV22*CU291+CV23*CU291+CV24*CU291+CW25*CU291+CW26*CU291+CW5*CU291+CW6*CU291+CW7*CU291+CW8*CU291+CW9*CU291+CW10*CU291+CW11*CU291+CW12*CU291+CW13*CU291+CW14*CU291+CW15*CU291+CW16*CU291+CW17*CU291+CW18*CU291+CW19*CU291+CW20*CU291+CW21*CU291+CW22*CU291+CW23*CU291+CW24*CU291+CV25*CU291+CV26*CU291</f>
        <v>0</v>
      </c>
      <c r="CW291" s="12"/>
      <c r="CY291" s="13">
        <v>10</v>
      </c>
      <c r="CZ291" s="5">
        <f>CZ5*CY291+CZ6*CY291+CZ7*CY291+CZ8*CY291+CZ9*CY291+CZ10*CY291+CZ11*CY291+CZ12*CY291+CZ13*CY291+CZ14*CY291+CZ15*CY291+CZ16*CY291+CZ17*CY291+CZ18*CY291+CZ19*CY291+CZ20*CY291+CZ21*CY291+CZ22*CY291+CZ23*CY291+CZ24*CY291+DA25*CY291+DA26*CY291+DA5*CY291+DA6*CY291+DA7*CY291+DA8*CY291+DA9*CY291+DA10*CY291+DA11*CY291+DA12*CY291+DA13*CY291+DA14*CY291+DA15*CY291+DA16*CY291+DA17*CY291+DA18*CY291+DA19*CY291+DA20*CY291+DA21*CY291+DA22*CY291+DA23*CY291+DA24*CY291+CZ25*CY291+CZ26*CY291</f>
        <v>0</v>
      </c>
      <c r="DA291" s="12"/>
      <c r="DC291" s="13">
        <v>10</v>
      </c>
      <c r="DD291" s="5">
        <f>DD5*DC291+DD6*DC291+DD7*DC291+DD8*DC291+DD9*DC291+DD10*DC291+DD11*DC291+DD12*DC291+DD13*DC291+DD14*DC291+DD15*DC291+DD16*DC291+DD17*DC291+DD18*DC291+DD19*DC291+DD20*DC291+DD21*DC291+DD22*DC291+DD23*DC291+DD24*DC291+DE25*DC291+DE26*DC291+DE5*DC291+DE6*DC291+DE7*DC291+DE8*DC291+DE9*DC291+DE10*DC291+DE11*DC291+DE12*DC291+DE13*DC291+DE14*DC291+DE15*DC291+DE16*DC291+DE17*DC291+DE18*DC291+DE19*DC291+DE20*DC291+DE21*DC291+DE22*DC291+DE23*DC291+DE24*DC291+DD25*DC291+DD26*DC291</f>
        <v>0</v>
      </c>
      <c r="DE291" s="12"/>
      <c r="DG291" s="13">
        <v>10</v>
      </c>
      <c r="DH291" s="5">
        <f>DH5*DG291+DH6*DG291+DH7*DG291+DH8*DG291+DH9*DG291+DH10*DG291+DH11*DG291+DH12*DG291+DH13*DG291+DH14*DG291+DH15*DG291+DH16*DG291+DH17*DG291+DH18*DG291+DH19*DG291+DH20*DG291+DH21*DG291+DH22*DG291+DH23*DG291+DH24*DG291+DI25*DG291+DI26*DG291+DI5*DG291+DI6*DG291+DI7*DG291+DI8*DG291+DI9*DG291+DI10*DG291+DI11*DG291+DI12*DG291+DI13*DG291+DI14*DG291+DI15*DG291+DI16*DG291+DI17*DG291+DI18*DG291+DI19*DG291+DI20*DG291+DI21*DG291+DI22*DG291+DI23*DG291+DI24*DG291+DH25*DG291+DH26*DG291</f>
        <v>0</v>
      </c>
      <c r="DI291" s="12"/>
      <c r="DK291" s="13">
        <v>10</v>
      </c>
      <c r="DL291" s="5">
        <f>DL5*DK291+DL6*DK291+DL7*DK291+DL8*DK291+DL9*DK291+DL10*DK291+DL11*DK291+DL12*DK291+DL13*DK291+DL14*DK291+DL15*DK291+DL16*DK291+DL17*DK291+DL18*DK291+DL19*DK291+DL20*DK291+DL21*DK291+DL22*DK291+DL23*DK291+DL24*DK291+DM25*DK291+DM26*DK291+DM5*DK291+DM6*DK291+DM7*DK291+DM8*DK291+DM9*DK291+DM10*DK291+DM11*DK291+DM12*DK291+DM13*DK291+DM14*DK291+DM15*DK291+DM16*DK291+DM17*DK291+DM18*DK291+DM19*DK291+DM20*DK291+DM21*DK291+DM22*DK291+DM23*DK291+DM24*DK291+DL25*DK291+DL26*DK291</f>
        <v>0</v>
      </c>
      <c r="DM291" s="12"/>
      <c r="DO291" s="13">
        <v>10</v>
      </c>
      <c r="DP291" s="5">
        <f>DP5*DO291+DP6*DO291+DP7*DO291+DP8*DO291+DP9*DO291+DP10*DO291+DP11*DO291+DP12*DO291+DP13*DO291+DP14*DO291+DP15*DO291+DP16*DO291+DP17*DO291+DP18*DO291+DP19*DO291+DP20*DO291+DP21*DO291+DP22*DO291+DP23*DO291+DP24*DO291+DQ25*DO291+DQ26*DO291+DQ5*DO291+DQ6*DO291+DQ7*DO291+DQ8*DO291+DQ9*DO291+DQ10*DO291+DQ11*DO291+DQ12*DO291+DQ13*DO291+DQ14*DO291+DQ15*DO291+DQ16*DO291+DQ17*DO291+DQ18*DO291+DQ19*DO291+DQ20*DO291+DQ21*DO291+DQ22*DO291+DQ23*DO291+DQ24*DO291+DP25*DO291+DP26*DO291</f>
        <v>0</v>
      </c>
      <c r="DQ291" s="12"/>
      <c r="DS291" s="1336">
        <f t="shared" si="5"/>
        <v>0</v>
      </c>
      <c r="DT291" s="121">
        <f>EXTRAS!D155</f>
        <v>0</v>
      </c>
      <c r="DU291" s="112">
        <f>EXTRAS!E155</f>
        <v>0</v>
      </c>
      <c r="DX291" s="203">
        <f t="shared" si="6"/>
        <v>0</v>
      </c>
      <c r="DZ291" s="924"/>
      <c r="EH291" s="924"/>
    </row>
    <row r="292" spans="1:138" s="6" customFormat="1" ht="15" customHeight="1">
      <c r="A292" s="3">
        <v>135</v>
      </c>
      <c r="B292" s="210" t="s">
        <v>508</v>
      </c>
      <c r="C292" s="473" t="s">
        <v>515</v>
      </c>
      <c r="D292" s="4"/>
      <c r="E292" s="5"/>
      <c r="F292" s="5"/>
      <c r="G292" s="4"/>
      <c r="H292" s="4"/>
      <c r="I292" s="4"/>
      <c r="J292" s="4"/>
      <c r="K292" s="5"/>
      <c r="L292" s="5"/>
      <c r="M292" s="5"/>
      <c r="O292" s="5"/>
      <c r="P292" s="5"/>
      <c r="Q292" s="5"/>
      <c r="S292" s="5"/>
      <c r="T292" s="5"/>
      <c r="U292" s="5"/>
      <c r="W292" s="5"/>
      <c r="X292" s="5"/>
      <c r="Y292" s="12"/>
      <c r="AA292" s="13"/>
      <c r="AB292" s="12"/>
      <c r="AD292" s="13"/>
      <c r="AE292" s="5"/>
      <c r="AF292" s="5"/>
      <c r="AH292" s="13"/>
      <c r="AI292" s="5"/>
      <c r="AK292" s="5"/>
      <c r="AL292" s="5"/>
      <c r="AM292" s="5"/>
      <c r="AO292" s="5"/>
      <c r="AP292" s="5"/>
      <c r="AR292" s="5"/>
      <c r="AS292" s="5"/>
      <c r="AT292" s="5"/>
      <c r="AV292" s="5"/>
      <c r="AW292" s="5"/>
      <c r="AY292" s="5"/>
      <c r="AZ292" s="5"/>
      <c r="BA292" s="5"/>
      <c r="BC292" s="5"/>
      <c r="BD292" s="5"/>
      <c r="BF292" s="5"/>
      <c r="BG292" s="5"/>
      <c r="BH292" s="5"/>
      <c r="BJ292" s="5"/>
      <c r="BK292" s="5"/>
      <c r="BL292" s="12"/>
      <c r="BM292" s="5"/>
      <c r="BN292" s="5"/>
      <c r="BO292" s="5"/>
      <c r="BQ292" s="5"/>
      <c r="BR292" s="5"/>
      <c r="BT292" s="5"/>
      <c r="BU292" s="5"/>
      <c r="BV292" s="5"/>
      <c r="BX292" s="5"/>
      <c r="BY292" s="5"/>
      <c r="CA292" s="13"/>
      <c r="CB292" s="7"/>
      <c r="CC292" s="11"/>
      <c r="CE292" s="13"/>
      <c r="CF292" s="5"/>
      <c r="CG292" s="12"/>
      <c r="CI292" s="13"/>
      <c r="CJ292" s="5"/>
      <c r="CK292" s="12"/>
      <c r="CM292" s="13"/>
      <c r="CN292" s="5"/>
      <c r="CO292" s="12"/>
      <c r="CQ292" s="13"/>
      <c r="CR292" s="5"/>
      <c r="CS292" s="12"/>
      <c r="CU292" s="13"/>
      <c r="CV292" s="5"/>
      <c r="CW292" s="12"/>
      <c r="CY292" s="13"/>
      <c r="CZ292" s="5"/>
      <c r="DA292" s="12"/>
      <c r="DC292" s="13"/>
      <c r="DD292" s="5"/>
      <c r="DE292" s="12"/>
      <c r="DG292" s="13"/>
      <c r="DH292" s="5"/>
      <c r="DI292" s="12"/>
      <c r="DK292" s="13"/>
      <c r="DL292" s="5"/>
      <c r="DM292" s="12"/>
      <c r="DO292" s="13"/>
      <c r="DP292" s="5"/>
      <c r="DQ292" s="12"/>
      <c r="DS292" s="1336">
        <f t="shared" si="5"/>
        <v>0</v>
      </c>
      <c r="DT292" s="121">
        <f>EXTRAS!D156</f>
        <v>0</v>
      </c>
      <c r="DU292" s="112">
        <f>EXTRAS!E156</f>
        <v>0</v>
      </c>
      <c r="DX292" s="203">
        <f t="shared" si="6"/>
        <v>0</v>
      </c>
      <c r="DZ292" s="924"/>
      <c r="EH292" s="924"/>
    </row>
    <row r="293" spans="1:138" s="6" customFormat="1" ht="15" customHeight="1">
      <c r="A293" s="3">
        <v>136</v>
      </c>
      <c r="B293" s="210" t="s">
        <v>150</v>
      </c>
      <c r="C293" s="473" t="s">
        <v>515</v>
      </c>
      <c r="D293" s="4"/>
      <c r="E293" s="5"/>
      <c r="F293" s="5"/>
      <c r="G293" s="4"/>
      <c r="H293" s="4"/>
      <c r="I293" s="4"/>
      <c r="J293" s="4"/>
      <c r="K293" s="5"/>
      <c r="L293" s="5"/>
      <c r="M293" s="5"/>
      <c r="O293" s="5"/>
      <c r="P293" s="5"/>
      <c r="Q293" s="5"/>
      <c r="S293" s="5"/>
      <c r="T293" s="5"/>
      <c r="U293" s="5"/>
      <c r="W293" s="5"/>
      <c r="X293" s="5"/>
      <c r="Y293" s="12"/>
      <c r="AA293" s="13"/>
      <c r="AB293" s="12"/>
      <c r="AD293" s="13"/>
      <c r="AE293" s="5"/>
      <c r="AF293" s="5"/>
      <c r="AH293" s="13"/>
      <c r="AI293" s="5"/>
      <c r="AK293" s="5"/>
      <c r="AL293" s="5"/>
      <c r="AM293" s="5"/>
      <c r="AO293" s="5"/>
      <c r="AP293" s="5"/>
      <c r="AR293" s="5"/>
      <c r="AS293" s="5"/>
      <c r="AT293" s="5"/>
      <c r="AV293" s="5"/>
      <c r="AW293" s="5"/>
      <c r="AY293" s="5"/>
      <c r="AZ293" s="5"/>
      <c r="BA293" s="5"/>
      <c r="BC293" s="5"/>
      <c r="BD293" s="5"/>
      <c r="BF293" s="5"/>
      <c r="BG293" s="5"/>
      <c r="BH293" s="5"/>
      <c r="BJ293" s="5"/>
      <c r="BK293" s="5"/>
      <c r="BL293" s="12"/>
      <c r="BM293" s="5"/>
      <c r="BN293" s="5"/>
      <c r="BO293" s="5"/>
      <c r="BQ293" s="5"/>
      <c r="BR293" s="5"/>
      <c r="BT293" s="5"/>
      <c r="BU293" s="5"/>
      <c r="BV293" s="5"/>
      <c r="BX293" s="5"/>
      <c r="BY293" s="5"/>
      <c r="CA293" s="13">
        <v>2</v>
      </c>
      <c r="CB293" s="7">
        <f>SUM(CB5:CB26,CC5:CC26)*CA293</f>
        <v>0</v>
      </c>
      <c r="CC293" s="11"/>
      <c r="CE293" s="13"/>
      <c r="CF293" s="5"/>
      <c r="CG293" s="12"/>
      <c r="CI293" s="13"/>
      <c r="CJ293" s="5"/>
      <c r="CK293" s="12"/>
      <c r="CM293" s="13"/>
      <c r="CN293" s="5"/>
      <c r="CO293" s="12"/>
      <c r="CQ293" s="13"/>
      <c r="CR293" s="5"/>
      <c r="CS293" s="12"/>
      <c r="CU293" s="13"/>
      <c r="CV293" s="5"/>
      <c r="CW293" s="12"/>
      <c r="CY293" s="13"/>
      <c r="CZ293" s="5"/>
      <c r="DA293" s="12"/>
      <c r="DC293" s="13"/>
      <c r="DD293" s="5"/>
      <c r="DE293" s="12"/>
      <c r="DG293" s="13"/>
      <c r="DH293" s="5"/>
      <c r="DI293" s="12"/>
      <c r="DK293" s="13"/>
      <c r="DL293" s="5"/>
      <c r="DM293" s="12"/>
      <c r="DO293" s="13"/>
      <c r="DP293" s="5"/>
      <c r="DQ293" s="12"/>
      <c r="DS293" s="1336">
        <f t="shared" si="5"/>
        <v>0</v>
      </c>
      <c r="DT293" s="121">
        <f>EXTRAS!D157</f>
        <v>0</v>
      </c>
      <c r="DU293" s="112">
        <f>EXTRAS!E157</f>
        <v>0</v>
      </c>
      <c r="DX293" s="203">
        <f t="shared" si="6"/>
        <v>0</v>
      </c>
      <c r="DZ293" s="924"/>
      <c r="EH293" s="924"/>
    </row>
    <row r="294" spans="1:138" s="6" customFormat="1" ht="15" customHeight="1">
      <c r="A294" s="3">
        <v>137</v>
      </c>
      <c r="B294" s="210" t="s">
        <v>19</v>
      </c>
      <c r="C294" s="473" t="s">
        <v>515</v>
      </c>
      <c r="D294" s="4"/>
      <c r="E294" s="5"/>
      <c r="F294" s="5"/>
      <c r="G294" s="4"/>
      <c r="H294" s="4"/>
      <c r="I294" s="4"/>
      <c r="J294" s="4"/>
      <c r="K294" s="5"/>
      <c r="L294" s="5"/>
      <c r="M294" s="5"/>
      <c r="O294" s="5"/>
      <c r="P294" s="5"/>
      <c r="Q294" s="5"/>
      <c r="S294" s="5">
        <v>1</v>
      </c>
      <c r="T294" s="5">
        <f>T5*S294+T6*S294+T7*S294+T8*S294+T9*S294+T10*S294+T11*S294+T12*S294+T13*S294+T14*S294+T15*S294+T16*S294+T17*S294+T18*S294+T19*S294+T20*S294+T21*S294+T22*S294+T23*S294+T24*S294+T25*S294+T26*S294+U5*S294+U6*S294+U7*S294+U8*S294+U9*S294+U10*S294+U11*S294+U12*S294+U13*S294+U14*S294+U15*S294+U16*S294+U17*S294+U18*S294+U19*S294+U20*S294+U21*S294+U22*S294+U23*S294+U24*S294+U25*S294+U26*S294</f>
        <v>0</v>
      </c>
      <c r="U294" s="5"/>
      <c r="W294" s="5">
        <v>1</v>
      </c>
      <c r="X294" s="5">
        <f>X5*W294+X6*W294+X7*W294+X8*W294+X9*W294+X10*W294+X11*W294+X12*W294+X13*W294+X14*W294+X15*W294+X16*W294+X17*W294+X18*W294+X19*W294+X20*W294+X21*W294+X22*W294+X23*W294+X24*W294+X25*W294+X26*W294+Y5*W294+Y6*W294+Y7*W294+Y8*W294+Y9*W294+Y10*W294+Y11*W294+Y12*W294+Y13*W294+Y14*W294+Y15*W294+Y16*W294+Y17*W294+Y18*W294+Y19*W294+Y20*W294+Y21*W294+Y22*W294+Y23*W294+Y24*W294+Y25*W294+Y26*W294</f>
        <v>0</v>
      </c>
      <c r="Y294" s="12"/>
      <c r="AA294" s="5">
        <v>1</v>
      </c>
      <c r="AB294" s="5">
        <f>AB5*AA294+AB6*AA294+AB7*AA294+AB8*AA294+AB9*AA294+AB10*AA294+AB11*AA294+AB12*AA294+AB13*AA294+AB14*AA294+AB15*AA294+AB16*AA294+AB17*AA294+AB18*AA294+AB19*AA294+AB20*AA294+AB21*AA294+AB22*AA294+AB23*AA294+AB24*AA294+AB25*AA294+AB26*AA294+AC5*AA294+AC6*AA294+AC7*AA294+AC8*AA294+AC9*AA294+AC10*AA294+AC11*AA294+AC12*AA294+AC13*AA294+AC14*AA294+AC15*AA294+AC16*AA294+AC17*AA294+AC18*AA294+AC19*AA294+AC20*AA294+AC21*AA294+AC22*AA294+AC23*AA294+AC24*AA294+AC25*AA294+AC26*AA294</f>
        <v>0</v>
      </c>
      <c r="AD294" s="5">
        <v>1</v>
      </c>
      <c r="AE294" s="5">
        <f>AE5*AD294+AE6*AD294+AE7*AD294+AE8*AD294+AE9*AD294+AE10*AD294+AE11*AD294+AE12*AD294+AE13*AD294+AE14*AD294+AE15*AD294+AE16*AD294+AE17*AD294+AE18*AD294+AE19*AD294+AE20*AD294+AE21*AD294+AE22*AD294+AE23*AD294+AE24*AD294+AE25*AD294+AE26*AD294+AF5*AD294+AF6*AD294+AF7*AD294+AF8*AD294+AF9*AD294+AF10*AD294+AF11*AD294+AF12*AD294+AF13*AD294+AF14*AD294+AF15*AD294+AF16*AD294+AF17*AD294+AF18*AD294+AF19*AD294+AF20*AD294+AF21*AD294+AF22*AD294+AF23*AD294+AF24*AD294+AF25*AD294+AF26*AD294</f>
        <v>0</v>
      </c>
      <c r="AF294" s="5"/>
      <c r="AH294" s="5">
        <v>1</v>
      </c>
      <c r="AI294" s="5">
        <f>AI5*AH294+AI6*AH294+AI7*AH294+AI8*AH294+AI9*AH294+AI10*AH294+AI11*AH294+AI12*AH294+AI13*AH294+AI14*AH294+AI15*AH294+AI16*AH294+AI17*AH294+AI18*AH294+AI19*AH294+AI20*AH294+AI21*AH294+AI22*AH294+AI23*AH294+AI24*AH294+AI25*AH294+AI26*AH294+AJ5*AH294+AJ6*AH294+AJ7*AH294+AJ8*AH294+AJ9*AH294+AJ10*AH294+AJ11*AH294+AJ12*AH294+AJ13*AH294+AJ14*AH294+AJ15*AH294+AJ16*AH294+AJ17*AH294+AJ18*AH294+AJ19*AH294+AJ20*AH294+AJ21*AH294+AJ22*AH294+AJ23*AH294+AJ24*AH294+AJ25*AH294+AJ26*AH294</f>
        <v>0</v>
      </c>
      <c r="AK294" s="5">
        <v>1</v>
      </c>
      <c r="AL294" s="5">
        <f>AL5*AK294+AL6*AK294+AL7*AK294+AL8*AK294+AL9*AK294+AL10*AK294+AL11*AK294+AL12*AK294+AL13*AK294+AL14*AK294+AL15*AK294+AL16*AK294+AL17*AK294+AL18*AK294+AL19*AK294+AL20*AK294+AL21*AK294+AL22*AK294+AL23*AK294+AL24*AK294+AL25*AK294+AL26*AK294+AM5*AK294+AM6*AK294+AM7*AK294+AM8*AK294+AM9*AK294+AM10*AK294+AM11*AK294+AM12*AK294+AM13*AK294+AM14*AK294+AM15*AK294+AM16*AK294+AM17*AK294+AM18*AK294+AM19*AK294+AM20*AK294+AM21*AK294+AM22*AK294+AM23*AK294+AM24*AK294+AM25*AK294+AM26*AK294</f>
        <v>0</v>
      </c>
      <c r="AM294" s="5"/>
      <c r="AO294" s="5">
        <v>1</v>
      </c>
      <c r="AP294" s="5">
        <f>AP5*AO294+AP6*AO294+AP7*AO294+AP8*AO294+AP9*AO294+AP10*AO294+AP11*AO294+AP12*AO294+AP13*AO294+AP14*AO294+AP15*AO294+AP16*AO294+AP17*AO294+AP18*AO294+AP19*AO294+AP20*AO294+AP21*AO294+AP22*AO294+AP23*AO294+AP24*AO294+AP25*AO294+AP26*AO294+AQ5*AO294+AQ6*AO294+AQ7*AO294+AQ8*AO294+AQ9*AO294+AQ10*AO294+AQ11*AO294+AQ12*AO294+AQ13*AO294+AQ14*AO294+AQ15*AO294+AQ16*AO294+AQ17*AO294+AQ18*AO294+AQ19*AO294+AQ20*AO294+AQ21*AO294+AQ22*AO294+AQ23*AO294+AQ24*AO294+AQ25*AO294+AQ26*AO294</f>
        <v>0</v>
      </c>
      <c r="AR294" s="5">
        <v>2</v>
      </c>
      <c r="AS294" s="5">
        <f>AS5*AR294+AS6*AR294+AS7*AR294+AS8*AR294+AS9*AR294+AS10*AR294+AS11*AR294+AS12*AR294+AS13*AR294+AS14*AR294+AS15*AR294+AS16*AR294+AS17*AR294+AS18*AR294+AS19*AR294+AS20*AR294+AS21*AR294+AS22*AR294+AS23*AR294+AS24*AR294+AS25*AR294+AS26*AR294+AT5*AR294+AT6*AR294+AT7*AR294+AT8*AR294+AT9*AR294+AT10*AR294+AT11*AR294+AT12*AR294+AT13*AR294+AT14*AR294+AT15*AR294+AT16*AR294+AT17*AR294+AT18*AR294+AT19*AR294+AT20*AR294+AT21*AR294+AT22*AR294+AT23*AR294+AT24*AR294+AT25*AR294+AT26*AR294</f>
        <v>0</v>
      </c>
      <c r="AT294" s="5"/>
      <c r="AV294" s="5">
        <v>2</v>
      </c>
      <c r="AW294" s="5">
        <f>AW5*AV294+AW6*AV294+AW7*AV294+AW8*AV294+AW9*AV294+AW10*AV294+AW11*AV294+AW12*AV294+AW13*AV294+AW14*AV294+AW15*AV294+AW16*AV294+AW17*AV294+AW18*AV294+AW19*AV294+AW20*AV294+AW21*AV294+AW22*AV294+AW23*AV294+AW24*AV294+AW25*AV294+AW26*AV294+AX5*AV294+AX6*AV294+AX7*AV294+AX8*AV294+AX9*AV294+AX10*AV294+AX11*AV294+AX12*AV294+AX13*AV294+AX14*AV294+AX15*AV294+AX16*AV294+AX17*AV294+AX18*AV294+AX19*AV294+AX20*AV294+AX21*AV294+AX22*AV294+AX23*AV294+AX24*AV294+AX25*AV294+AX26*AV294</f>
        <v>0</v>
      </c>
      <c r="AY294" s="5">
        <v>2</v>
      </c>
      <c r="AZ294" s="5">
        <f>AZ5*AY294+AZ6*AY294+AZ7*AY294+AZ8*AY294+AZ9*AY294+AZ10*AY294+AZ11*AY294+AZ12*AY294+AZ13*AY294+AZ14*AY294+AZ15*AY294+AZ16*AY294+AZ17*AY294+AZ18*AY294+AZ19*AY294+AZ20*AY294+AZ21*AY294+AZ22*AY294+AZ23*AY294+AZ24*AY294+AZ25*AY294+AZ26*AY294+BA5*AY294+BA6*AY294+BA7*AY294+BA8*AY294+BA9*AY294+BA10*AY294+BA11*AY294+BA12*AY294+BA13*AY294+BA14*AY294+BA15*AY294+BA16*AY294+BA17*AY294+BA18*AY294+BA19*AY294+BA20*AY294+BA21*AY294+BA22*AY294+BA23*AY294+BA24*AY294+BA25*AY294+BA26*AY294</f>
        <v>0</v>
      </c>
      <c r="BA294" s="5"/>
      <c r="BC294" s="5">
        <v>2</v>
      </c>
      <c r="BD294" s="5">
        <f>BD5*BC294+BD6*BC294+BD7*BC294+BD8*BC294+BD9*BC294+BD10*BC294+BD11*BC294+BD12*BC294+BD13*BC294+BD14*BC294+BD15*BC294+BD16*BC294+BD17*BC294+BD18*BC294+BD19*BC294+BD20*BC294+BD21*BC294+BD22*BC294+BD23*BC294+BD24*BC294+BD25*BC294+BD26*BC294+BE5*BC294+BE6*BC294+BE7*BC294+BE8*BC294+BE9*BC294+BE10*BC294+BE11*BC294+BE12*BC294+BE13*BC294+BE14*BC294+BE15*BC294+BE16*BC294+BE17*BC294+BE18*BC294+BE19*BC294+BE20*BC294+BE21*BC294+BE22*BC294+BE23*BC294+BE24*BC294+BE25*BC294+BE26*BC294</f>
        <v>0</v>
      </c>
      <c r="BF294" s="5">
        <v>2</v>
      </c>
      <c r="BG294" s="5">
        <f>BG5*BF294+BG6*BF294+BG7*BF294+BG8*BF294+BG9*BF294+BG10*BF294+BG11*BF294+BG12*BF294+BG13*BF294+BG14*BF294+BG15*BF294+BG16*BF294+BG17*BF294+BG18*BF294+BG19*BF294+BG20*BF294+BG21*BF294+BG22*BF294+BG23*BF294+BG24*BF294+BG25*BF294+BG26*BF294+BH5*BF294+BH6*BF294+BH7*BF294+BH8*BF294+BH9*BF294+BH10*BF294+BH11*BF294+BH12*BF294+BH13*BF294+BH14*BF294+BH15*BF294+BH16*BF294+BH17*BF294+BH18*BF294+BH19*BF294+BH20*BF294+BH21*BF294+BH22*BF294+BH23*BF294+BH24*BF294+BH25*BF294+BH26*BF294</f>
        <v>0</v>
      </c>
      <c r="BH294" s="5"/>
      <c r="BJ294" s="5">
        <v>2</v>
      </c>
      <c r="BK294" s="5">
        <f>BK5*BJ294+BK6*BJ294+BK7*BJ294+BK8*BJ294+BK9*BJ294+BK10*BJ294+BK11*BJ294+BK12*BJ294+BK13*BJ294+BK14*BJ294+BK15*BJ294+BK16*BJ294+BK17*BJ294+BK18*BJ294+BK19*BJ294+BK20*BJ294+BK21*BJ294+BK22*BJ294+BK23*BJ294+BK24*BJ294+BK25*BJ294+BK26*BJ294+BL5*BJ294+BL6*BJ294+BL7*BJ294+BL8*BJ294+BL9*BJ294+BL10*BJ294+BL11*BJ294+BL12*BJ294+BL13*BJ294+BL14*BJ294+BL15*BJ294+BL16*BJ294+BL17*BJ294+BL18*BJ294+BL19*BJ294+BL20*BJ294+BL21*BJ294+BL22*BJ294+BL23*BJ294+BL24*BJ294+BL25*BJ294+BL26*BJ294</f>
        <v>0</v>
      </c>
      <c r="BL294" s="12"/>
      <c r="BM294" s="5">
        <v>2</v>
      </c>
      <c r="BN294" s="5">
        <f>BN5*BM294+BN6*BM294+BN7*BM294+BN8*BM294+BN9*BM294+BN10*BM294+BN11*BM294+BN12*BM294+BN13*BM294+BN14*BM294+BN15*BM294+BN16*BM294+BN17*BM294+BN18*BM294+BN19*BM294+BN20*BM294+BN21*BM294+BN22*BM294+BN23*BM294+BN24*BM294+BN25*BM294+BN26*BM294+BO5*BM294+BO6*BM294+BO7*BM294+BO8*BM294+BO9*BM294+BO10*BM294+BO11*BM294+BO12*BM294+BO13*BM294+BO14*BM294+BO15*BM294+BO16*BM294+BO17*BM294+BO18*BM294+BO19*BM294+BO20*BM294+BO21*BM294+BO22*BM294+BO23*BM294+BO24*BM294+BO25*BM294+BO26*BM294</f>
        <v>0</v>
      </c>
      <c r="BO294" s="5"/>
      <c r="BQ294" s="5">
        <v>2</v>
      </c>
      <c r="BR294" s="5">
        <f>BR5*BQ294+BR6*BQ294+BR7*BQ294+BR8*BQ294+BR9*BQ294+BR10*BQ294+BR11*BQ294+BR12*BQ294+BR13*BQ294+BR14*BQ294+BR15*BQ294+BR16*BQ294+BR17*BQ294+BR18*BQ294+BR19*BQ294+BR20*BQ294+BR21*BQ294+BR22*BQ294+BR23*BQ294+BR24*BQ294+BR25*BQ294+BR26*BQ294+BS5*BQ294+BS6*BQ294+BS7*BQ294+BS8*BQ294+BS9*BQ294+BS10*BQ294+BS11*BQ294+BS12*BQ294+BS13*BQ294+BS14*BQ294+BS15*BQ294+BS16*BQ294+BS17*BQ294+BS18*BQ294+BS19*BQ294+BS20*BQ294+BS21*BQ294+BS22*BQ294+BS23*BQ294+BS24*BQ294+BS25*BQ294+BS26*BQ294</f>
        <v>0</v>
      </c>
      <c r="BT294" s="5">
        <v>2</v>
      </c>
      <c r="BU294" s="5">
        <f>BU5*BT294+BU6*BT294+BU7*BT294+BU8*BT294+BU9*BT294+BU10*BT294+BU11*BT294+BU12*BT294+BU13*BT294+BU14*BT294+BU15*BT294+BU16*BT294+BU17*BT294+BU18*BT294+BU19*BT294+BU20*BT294+BU21*BT294+BU22*BT294+BU23*BT294+BU24*BT294+BU25*BT294+BU26*BT294+BV5*BT294+BV6*BT294+BV7*BT294+BV8*BT294+BV9*BT294+BV10*BT294+BV11*BT294+BV12*BT294+BV13*BT294+BV14*BT294+BV15*BT294+BV16*BT294+BV17*BT294+BV18*BT294+BV19*BT294+BV20*BT294+BV21*BT294+BV22*BT294+BV23*BT294+BV24*BT294+BV25*BT294+BV26*BT294</f>
        <v>0</v>
      </c>
      <c r="BV294" s="5"/>
      <c r="BX294" s="5">
        <v>2</v>
      </c>
      <c r="BY294" s="5">
        <f>BY5*BX294+BY6*BX294+BY7*BX294+BY8*BX294+BY9*BX294+BY10*BX294+BY11*BX294+BY12*BX294+BY13*BX294+BY14*BX294+BY15*BX294+BY16*BX294+BY17*BX294+BY18*BX294+BY19*BX294+BY20*BX294+BY21*BX294+BY22*BX294+BY23*BX294+BY24*BX294+BY25*BX294+BY26*BX294+BZ5*BX294+BZ6*BX294+BZ7*BX294+BZ8*BX294+BZ9*BX294+BZ10*BX294+BZ11*BX294+BZ12*BX294+BZ13*BX294+BZ14*BX294+BZ15*BX294+BZ16*BX294+BZ17*BX294+BZ18*BX294+BZ19*BX294+BZ20*BX294+BZ21*BX294+BZ22*BX294+BZ23*BX294+BZ24*BX294+BZ25*BX294+BZ26*BX294</f>
        <v>0</v>
      </c>
      <c r="CA294" s="5">
        <v>2</v>
      </c>
      <c r="CB294" s="5">
        <f>SUM(CB5:CB26,CC5:CC26)*CA294</f>
        <v>0</v>
      </c>
      <c r="CC294" s="11"/>
      <c r="CE294" s="13"/>
      <c r="CF294" s="5"/>
      <c r="CG294" s="12"/>
      <c r="CI294" s="13"/>
      <c r="CJ294" s="5"/>
      <c r="CK294" s="12"/>
      <c r="CM294" s="13"/>
      <c r="CN294" s="5"/>
      <c r="CO294" s="12"/>
      <c r="CQ294" s="13"/>
      <c r="CR294" s="5"/>
      <c r="CS294" s="12"/>
      <c r="CU294" s="13"/>
      <c r="CV294" s="5"/>
      <c r="CW294" s="12"/>
      <c r="CY294" s="13"/>
      <c r="CZ294" s="5"/>
      <c r="DA294" s="12"/>
      <c r="DC294" s="13"/>
      <c r="DD294" s="5"/>
      <c r="DE294" s="12"/>
      <c r="DG294" s="13"/>
      <c r="DH294" s="5"/>
      <c r="DI294" s="12"/>
      <c r="DK294" s="13"/>
      <c r="DL294" s="5"/>
      <c r="DM294" s="12"/>
      <c r="DO294" s="13"/>
      <c r="DP294" s="5"/>
      <c r="DQ294" s="12"/>
      <c r="DS294" s="1336">
        <f t="shared" si="5"/>
        <v>0</v>
      </c>
      <c r="DT294" s="121">
        <f>EXTRAS!D158</f>
        <v>0</v>
      </c>
      <c r="DU294" s="112">
        <f>EXTRAS!E158</f>
        <v>0</v>
      </c>
      <c r="DX294" s="203">
        <f t="shared" si="6"/>
        <v>0</v>
      </c>
      <c r="DZ294" s="924"/>
      <c r="EH294" s="924"/>
    </row>
    <row r="295" spans="1:138" s="6" customFormat="1" ht="15" customHeight="1">
      <c r="A295" s="3">
        <v>138</v>
      </c>
      <c r="B295" s="210" t="s">
        <v>1204</v>
      </c>
      <c r="C295" s="473" t="s">
        <v>515</v>
      </c>
      <c r="D295" s="4"/>
      <c r="E295" s="5"/>
      <c r="F295" s="5"/>
      <c r="G295" s="4"/>
      <c r="H295" s="4"/>
      <c r="I295" s="4"/>
      <c r="J295" s="4"/>
      <c r="K295" s="5"/>
      <c r="L295" s="5"/>
      <c r="M295" s="5"/>
      <c r="O295" s="5"/>
      <c r="P295" s="5"/>
      <c r="Q295" s="5"/>
      <c r="S295" s="5"/>
      <c r="T295" s="5"/>
      <c r="U295" s="5"/>
      <c r="W295" s="5"/>
      <c r="X295" s="5"/>
      <c r="Y295" s="12"/>
      <c r="AA295" s="13"/>
      <c r="AB295" s="12"/>
      <c r="AD295" s="13"/>
      <c r="AE295" s="5"/>
      <c r="AF295" s="5"/>
      <c r="AH295" s="13"/>
      <c r="AI295" s="5"/>
      <c r="AK295" s="5"/>
      <c r="AL295" s="5"/>
      <c r="AM295" s="5"/>
      <c r="AO295" s="5"/>
      <c r="AP295" s="5"/>
      <c r="AR295" s="5"/>
      <c r="AS295" s="5"/>
      <c r="AT295" s="5"/>
      <c r="AV295" s="5"/>
      <c r="AW295" s="5"/>
      <c r="AY295" s="5"/>
      <c r="AZ295" s="5"/>
      <c r="BA295" s="5"/>
      <c r="BC295" s="5"/>
      <c r="BD295" s="5"/>
      <c r="BF295" s="5"/>
      <c r="BG295" s="5"/>
      <c r="BH295" s="5"/>
      <c r="BJ295" s="5"/>
      <c r="BK295" s="5"/>
      <c r="BL295" s="12"/>
      <c r="BM295" s="5"/>
      <c r="BN295" s="5"/>
      <c r="BO295" s="5"/>
      <c r="BQ295" s="5"/>
      <c r="BR295" s="5"/>
      <c r="BT295" s="5"/>
      <c r="BU295" s="5"/>
      <c r="BV295" s="5"/>
      <c r="BX295" s="5"/>
      <c r="BY295" s="5"/>
      <c r="CA295" s="13"/>
      <c r="CB295" s="5"/>
      <c r="CC295" s="11"/>
      <c r="CE295" s="13"/>
      <c r="CF295" s="5"/>
      <c r="CG295" s="12"/>
      <c r="CI295" s="13"/>
      <c r="CJ295" s="5"/>
      <c r="CK295" s="12"/>
      <c r="CM295" s="13"/>
      <c r="CN295" s="5"/>
      <c r="CO295" s="12"/>
      <c r="CQ295" s="13"/>
      <c r="CR295" s="5"/>
      <c r="CS295" s="12"/>
      <c r="CU295" s="13"/>
      <c r="CV295" s="5"/>
      <c r="CW295" s="12"/>
      <c r="CY295" s="13"/>
      <c r="CZ295" s="5"/>
      <c r="DA295" s="12"/>
      <c r="DC295" s="13"/>
      <c r="DD295" s="5"/>
      <c r="DE295" s="12"/>
      <c r="DG295" s="13"/>
      <c r="DH295" s="5"/>
      <c r="DI295" s="12"/>
      <c r="DK295" s="13"/>
      <c r="DL295" s="5"/>
      <c r="DM295" s="12"/>
      <c r="DO295" s="13"/>
      <c r="DP295" s="5"/>
      <c r="DQ295" s="12"/>
      <c r="DS295" s="1336">
        <f t="shared" si="5"/>
        <v>0</v>
      </c>
      <c r="DT295" s="121">
        <f>EXTRAS!D159</f>
        <v>0</v>
      </c>
      <c r="DU295" s="112">
        <f>EXTRAS!E159</f>
        <v>0</v>
      </c>
      <c r="DV295" s="161"/>
      <c r="DX295" s="203">
        <f t="shared" si="6"/>
        <v>0</v>
      </c>
      <c r="DZ295" s="924"/>
      <c r="EH295" s="924"/>
    </row>
    <row r="296" spans="1:138" s="6" customFormat="1" ht="15" customHeight="1">
      <c r="A296" s="3">
        <v>139</v>
      </c>
      <c r="B296" s="210" t="s">
        <v>1205</v>
      </c>
      <c r="C296" s="473" t="s">
        <v>515</v>
      </c>
      <c r="D296" s="4"/>
      <c r="E296" s="5"/>
      <c r="F296" s="5"/>
      <c r="G296" s="4"/>
      <c r="H296" s="4"/>
      <c r="I296" s="4"/>
      <c r="J296" s="4"/>
      <c r="K296" s="5"/>
      <c r="L296" s="5"/>
      <c r="M296" s="5"/>
      <c r="O296" s="5"/>
      <c r="P296" s="5"/>
      <c r="Q296" s="5"/>
      <c r="S296" s="5"/>
      <c r="T296" s="5"/>
      <c r="U296" s="5"/>
      <c r="W296" s="5"/>
      <c r="X296" s="5"/>
      <c r="Y296" s="12"/>
      <c r="AA296" s="13"/>
      <c r="AB296" s="12"/>
      <c r="AD296" s="13"/>
      <c r="AE296" s="5"/>
      <c r="AF296" s="5"/>
      <c r="AH296" s="13"/>
      <c r="AI296" s="5"/>
      <c r="AK296" s="5"/>
      <c r="AL296" s="5"/>
      <c r="AM296" s="5"/>
      <c r="AO296" s="5"/>
      <c r="AP296" s="5"/>
      <c r="AR296" s="5"/>
      <c r="AS296" s="5"/>
      <c r="AT296" s="5"/>
      <c r="AV296" s="5"/>
      <c r="AW296" s="5"/>
      <c r="AY296" s="5"/>
      <c r="AZ296" s="5"/>
      <c r="BA296" s="5"/>
      <c r="BC296" s="5"/>
      <c r="BD296" s="5"/>
      <c r="BF296" s="5"/>
      <c r="BG296" s="5"/>
      <c r="BH296" s="5"/>
      <c r="BJ296" s="5"/>
      <c r="BK296" s="5"/>
      <c r="BL296" s="12"/>
      <c r="BM296" s="5"/>
      <c r="BN296" s="5"/>
      <c r="BO296" s="5"/>
      <c r="BQ296" s="5"/>
      <c r="BR296" s="5"/>
      <c r="BT296" s="5"/>
      <c r="BU296" s="5"/>
      <c r="BV296" s="5"/>
      <c r="BX296" s="5"/>
      <c r="BY296" s="5"/>
      <c r="CA296" s="13"/>
      <c r="CB296" s="5"/>
      <c r="CC296" s="11"/>
      <c r="CE296" s="13"/>
      <c r="CF296" s="5"/>
      <c r="CG296" s="12"/>
      <c r="CI296" s="13"/>
      <c r="CJ296" s="5"/>
      <c r="CK296" s="12"/>
      <c r="CM296" s="13"/>
      <c r="CN296" s="5"/>
      <c r="CO296" s="12"/>
      <c r="CQ296" s="13"/>
      <c r="CR296" s="5"/>
      <c r="CS296" s="12"/>
      <c r="CU296" s="13"/>
      <c r="CV296" s="5"/>
      <c r="CW296" s="12"/>
      <c r="CY296" s="13"/>
      <c r="CZ296" s="5"/>
      <c r="DA296" s="12"/>
      <c r="DC296" s="13"/>
      <c r="DD296" s="5"/>
      <c r="DE296" s="12"/>
      <c r="DG296" s="13"/>
      <c r="DH296" s="5"/>
      <c r="DI296" s="12"/>
      <c r="DK296" s="13"/>
      <c r="DL296" s="5"/>
      <c r="DM296" s="12"/>
      <c r="DO296" s="13"/>
      <c r="DP296" s="5"/>
      <c r="DQ296" s="12"/>
      <c r="DS296" s="1336">
        <f t="shared" si="5"/>
        <v>0</v>
      </c>
      <c r="DT296" s="121">
        <f>EXTRAS!D160</f>
        <v>0</v>
      </c>
      <c r="DU296" s="112">
        <f>EXTRAS!E160</f>
        <v>0</v>
      </c>
      <c r="DV296" s="161"/>
      <c r="DX296" s="203">
        <f t="shared" si="6"/>
        <v>0</v>
      </c>
      <c r="DZ296" s="924"/>
      <c r="EH296" s="924"/>
    </row>
    <row r="297" spans="1:138" s="6" customFormat="1" ht="15" customHeight="1">
      <c r="A297" s="3">
        <v>140</v>
      </c>
      <c r="B297" s="210" t="s">
        <v>1206</v>
      </c>
      <c r="C297" s="473" t="s">
        <v>515</v>
      </c>
      <c r="D297" s="4"/>
      <c r="E297" s="5"/>
      <c r="F297" s="5"/>
      <c r="G297" s="4"/>
      <c r="H297" s="4"/>
      <c r="I297" s="4"/>
      <c r="J297" s="4"/>
      <c r="K297" s="5"/>
      <c r="L297" s="5"/>
      <c r="M297" s="5"/>
      <c r="O297" s="5"/>
      <c r="P297" s="5"/>
      <c r="Q297" s="5"/>
      <c r="S297" s="5"/>
      <c r="T297" s="5"/>
      <c r="U297" s="5"/>
      <c r="W297" s="5"/>
      <c r="X297" s="5"/>
      <c r="Y297" s="12"/>
      <c r="AA297" s="13"/>
      <c r="AB297" s="12"/>
      <c r="AD297" s="13"/>
      <c r="AE297" s="5"/>
      <c r="AF297" s="5"/>
      <c r="AH297" s="13"/>
      <c r="AI297" s="5"/>
      <c r="AK297" s="5"/>
      <c r="AL297" s="5"/>
      <c r="AM297" s="5"/>
      <c r="AO297" s="5"/>
      <c r="AP297" s="5"/>
      <c r="AR297" s="5"/>
      <c r="AS297" s="5"/>
      <c r="AT297" s="5"/>
      <c r="AV297" s="5"/>
      <c r="AW297" s="5"/>
      <c r="AY297" s="5"/>
      <c r="AZ297" s="5"/>
      <c r="BA297" s="5"/>
      <c r="BC297" s="5"/>
      <c r="BD297" s="5"/>
      <c r="BF297" s="5"/>
      <c r="BG297" s="5"/>
      <c r="BH297" s="5"/>
      <c r="BJ297" s="5"/>
      <c r="BK297" s="5"/>
      <c r="BL297" s="12"/>
      <c r="BM297" s="5"/>
      <c r="BN297" s="5"/>
      <c r="BO297" s="5"/>
      <c r="BQ297" s="5"/>
      <c r="BR297" s="5"/>
      <c r="BT297" s="5"/>
      <c r="BU297" s="5"/>
      <c r="BV297" s="5"/>
      <c r="BX297" s="5"/>
      <c r="BY297" s="5"/>
      <c r="CA297" s="13"/>
      <c r="CB297" s="5"/>
      <c r="CC297" s="11"/>
      <c r="CE297" s="13"/>
      <c r="CF297" s="5"/>
      <c r="CG297" s="12"/>
      <c r="CI297" s="13"/>
      <c r="CJ297" s="5"/>
      <c r="CK297" s="12"/>
      <c r="CM297" s="13"/>
      <c r="CN297" s="5"/>
      <c r="CO297" s="12"/>
      <c r="CQ297" s="13"/>
      <c r="CR297" s="5"/>
      <c r="CS297" s="12"/>
      <c r="CU297" s="13"/>
      <c r="CV297" s="5"/>
      <c r="CW297" s="12"/>
      <c r="CY297" s="13"/>
      <c r="CZ297" s="5"/>
      <c r="DA297" s="12"/>
      <c r="DC297" s="13"/>
      <c r="DD297" s="5"/>
      <c r="DE297" s="12"/>
      <c r="DG297" s="13"/>
      <c r="DH297" s="5"/>
      <c r="DI297" s="12"/>
      <c r="DK297" s="13"/>
      <c r="DL297" s="5"/>
      <c r="DM297" s="12"/>
      <c r="DO297" s="13"/>
      <c r="DP297" s="5"/>
      <c r="DQ297" s="12"/>
      <c r="DS297" s="1336">
        <f t="shared" si="5"/>
        <v>0</v>
      </c>
      <c r="DT297" s="121">
        <f>EXTRAS!D161</f>
        <v>0</v>
      </c>
      <c r="DU297" s="112">
        <f>EXTRAS!E161</f>
        <v>0</v>
      </c>
      <c r="DV297" s="161"/>
      <c r="DX297" s="203">
        <f t="shared" si="6"/>
        <v>0</v>
      </c>
      <c r="DZ297" s="924"/>
      <c r="EH297" s="924"/>
    </row>
    <row r="298" spans="1:138" s="6" customFormat="1" ht="15" customHeight="1">
      <c r="A298" s="3">
        <v>141</v>
      </c>
      <c r="B298" s="210" t="s">
        <v>1207</v>
      </c>
      <c r="C298" s="473" t="s">
        <v>515</v>
      </c>
      <c r="D298" s="4"/>
      <c r="E298" s="5"/>
      <c r="F298" s="5"/>
      <c r="G298" s="4"/>
      <c r="H298" s="4"/>
      <c r="I298" s="4"/>
      <c r="J298" s="4"/>
      <c r="K298" s="5"/>
      <c r="L298" s="5"/>
      <c r="M298" s="5"/>
      <c r="O298" s="5"/>
      <c r="P298" s="5"/>
      <c r="Q298" s="5"/>
      <c r="S298" s="5"/>
      <c r="T298" s="5"/>
      <c r="U298" s="5"/>
      <c r="W298" s="5"/>
      <c r="X298" s="5"/>
      <c r="Y298" s="12"/>
      <c r="AA298" s="13"/>
      <c r="AB298" s="12"/>
      <c r="AD298" s="13"/>
      <c r="AE298" s="5"/>
      <c r="AF298" s="5"/>
      <c r="AH298" s="13"/>
      <c r="AI298" s="5"/>
      <c r="AK298" s="5"/>
      <c r="AL298" s="5"/>
      <c r="AM298" s="5"/>
      <c r="AO298" s="5"/>
      <c r="AP298" s="5"/>
      <c r="AR298" s="5"/>
      <c r="AS298" s="5"/>
      <c r="AT298" s="5"/>
      <c r="AV298" s="5"/>
      <c r="AW298" s="5"/>
      <c r="AY298" s="5"/>
      <c r="AZ298" s="5"/>
      <c r="BA298" s="5"/>
      <c r="BC298" s="5"/>
      <c r="BD298" s="5"/>
      <c r="BF298" s="5"/>
      <c r="BG298" s="5"/>
      <c r="BH298" s="5"/>
      <c r="BJ298" s="5"/>
      <c r="BK298" s="5"/>
      <c r="BL298" s="12"/>
      <c r="BM298" s="5"/>
      <c r="BN298" s="5"/>
      <c r="BO298" s="5"/>
      <c r="BQ298" s="5"/>
      <c r="BR298" s="5"/>
      <c r="BT298" s="5"/>
      <c r="BU298" s="5"/>
      <c r="BV298" s="5"/>
      <c r="BX298" s="5"/>
      <c r="BY298" s="5"/>
      <c r="CA298" s="13"/>
      <c r="CB298" s="5"/>
      <c r="CC298" s="11"/>
      <c r="CE298" s="13"/>
      <c r="CF298" s="5"/>
      <c r="CG298" s="12"/>
      <c r="CI298" s="13"/>
      <c r="CJ298" s="5"/>
      <c r="CK298" s="12"/>
      <c r="CM298" s="13"/>
      <c r="CN298" s="5"/>
      <c r="CO298" s="12"/>
      <c r="CQ298" s="13"/>
      <c r="CR298" s="5"/>
      <c r="CS298" s="12"/>
      <c r="CU298" s="13"/>
      <c r="CV298" s="5"/>
      <c r="CW298" s="12"/>
      <c r="CY298" s="13"/>
      <c r="CZ298" s="5"/>
      <c r="DA298" s="12"/>
      <c r="DC298" s="13"/>
      <c r="DD298" s="5"/>
      <c r="DE298" s="12"/>
      <c r="DG298" s="13"/>
      <c r="DH298" s="5"/>
      <c r="DI298" s="12"/>
      <c r="DK298" s="13"/>
      <c r="DL298" s="5"/>
      <c r="DM298" s="12"/>
      <c r="DO298" s="13"/>
      <c r="DP298" s="5"/>
      <c r="DQ298" s="12"/>
      <c r="DS298" s="1336">
        <f t="shared" si="5"/>
        <v>0</v>
      </c>
      <c r="DT298" s="121">
        <f>EXTRAS!D162</f>
        <v>0</v>
      </c>
      <c r="DU298" s="112">
        <f>EXTRAS!E162</f>
        <v>0</v>
      </c>
      <c r="DV298" s="161"/>
      <c r="DX298" s="203">
        <f t="shared" si="6"/>
        <v>0</v>
      </c>
      <c r="DZ298" s="924"/>
      <c r="EH298" s="924"/>
    </row>
    <row r="299" spans="1:138" s="6" customFormat="1" ht="15" customHeight="1">
      <c r="A299" s="3">
        <v>142</v>
      </c>
      <c r="B299" s="210" t="s">
        <v>1209</v>
      </c>
      <c r="C299" s="473" t="s">
        <v>515</v>
      </c>
      <c r="D299" s="4"/>
      <c r="E299" s="5"/>
      <c r="F299" s="62"/>
      <c r="G299" s="4"/>
      <c r="H299" s="473"/>
      <c r="I299" s="473"/>
      <c r="J299" s="4"/>
      <c r="K299" s="5"/>
      <c r="L299" s="5"/>
      <c r="M299" s="5"/>
      <c r="O299" s="5"/>
      <c r="P299" s="5"/>
      <c r="Q299" s="5"/>
      <c r="S299" s="5"/>
      <c r="T299" s="5"/>
      <c r="U299" s="5"/>
      <c r="W299" s="5"/>
      <c r="X299" s="5"/>
      <c r="Y299" s="12"/>
      <c r="AA299" s="13"/>
      <c r="AB299" s="12"/>
      <c r="AD299" s="13"/>
      <c r="AE299" s="5"/>
      <c r="AF299" s="5"/>
      <c r="AH299" s="13"/>
      <c r="AI299" s="5"/>
      <c r="AK299" s="5"/>
      <c r="AL299" s="5"/>
      <c r="AM299" s="5"/>
      <c r="AO299" s="5"/>
      <c r="AP299" s="5"/>
      <c r="AR299" s="5"/>
      <c r="AS299" s="5"/>
      <c r="AT299" s="5"/>
      <c r="AV299" s="5"/>
      <c r="AW299" s="5"/>
      <c r="AY299" s="5"/>
      <c r="AZ299" s="5"/>
      <c r="BA299" s="5"/>
      <c r="BC299" s="5"/>
      <c r="BD299" s="5"/>
      <c r="BF299" s="5"/>
      <c r="BG299" s="5"/>
      <c r="BH299" s="5"/>
      <c r="BJ299" s="5"/>
      <c r="BK299" s="5"/>
      <c r="BL299" s="12"/>
      <c r="BM299" s="5"/>
      <c r="BN299" s="5"/>
      <c r="BO299" s="5"/>
      <c r="BQ299" s="5"/>
      <c r="BR299" s="5"/>
      <c r="BT299" s="5"/>
      <c r="BU299" s="5"/>
      <c r="BV299" s="5"/>
      <c r="BX299" s="5"/>
      <c r="BY299" s="5"/>
      <c r="CA299" s="13"/>
      <c r="CB299" s="5"/>
      <c r="CC299" s="11"/>
      <c r="CE299" s="13"/>
      <c r="CF299" s="5"/>
      <c r="CG299" s="12"/>
      <c r="CI299" s="13"/>
      <c r="CJ299" s="5"/>
      <c r="CK299" s="12"/>
      <c r="CM299" s="13"/>
      <c r="CN299" s="5"/>
      <c r="CO299" s="12"/>
      <c r="CQ299" s="13"/>
      <c r="CR299" s="5"/>
      <c r="CS299" s="12"/>
      <c r="CU299" s="13"/>
      <c r="CV299" s="5"/>
      <c r="CW299" s="12"/>
      <c r="CY299" s="13"/>
      <c r="CZ299" s="5"/>
      <c r="DA299" s="12"/>
      <c r="DC299" s="13"/>
      <c r="DD299" s="5"/>
      <c r="DE299" s="12"/>
      <c r="DG299" s="13"/>
      <c r="DH299" s="5"/>
      <c r="DI299" s="12"/>
      <c r="DK299" s="13"/>
      <c r="DL299" s="5"/>
      <c r="DM299" s="12"/>
      <c r="DO299" s="13"/>
      <c r="DP299" s="5"/>
      <c r="DQ299" s="12"/>
      <c r="DS299" s="1336">
        <f t="shared" si="5"/>
        <v>0</v>
      </c>
      <c r="DT299" s="121">
        <f>EXTRAS!D163</f>
        <v>0</v>
      </c>
      <c r="DU299" s="112">
        <f>EXTRAS!E163</f>
        <v>0</v>
      </c>
      <c r="DV299" s="161"/>
      <c r="DX299" s="203">
        <f t="shared" si="6"/>
        <v>0</v>
      </c>
      <c r="DZ299" s="924"/>
      <c r="EH299" s="924"/>
    </row>
    <row r="300" spans="1:138" s="6" customFormat="1" ht="15" customHeight="1">
      <c r="A300" s="3">
        <v>143</v>
      </c>
      <c r="B300" s="210" t="s">
        <v>1208</v>
      </c>
      <c r="C300" s="473" t="s">
        <v>515</v>
      </c>
      <c r="D300" s="4"/>
      <c r="E300" s="5"/>
      <c r="F300" s="62"/>
      <c r="G300" s="4"/>
      <c r="H300" s="473"/>
      <c r="I300" s="473"/>
      <c r="J300" s="4"/>
      <c r="K300" s="5"/>
      <c r="L300" s="5"/>
      <c r="M300" s="5"/>
      <c r="O300" s="5"/>
      <c r="P300" s="5"/>
      <c r="Q300" s="5"/>
      <c r="S300" s="5"/>
      <c r="T300" s="5"/>
      <c r="U300" s="5"/>
      <c r="W300" s="5"/>
      <c r="X300" s="5"/>
      <c r="Y300" s="12"/>
      <c r="AA300" s="13"/>
      <c r="AB300" s="12"/>
      <c r="AD300" s="13"/>
      <c r="AE300" s="5"/>
      <c r="AF300" s="5"/>
      <c r="AH300" s="13"/>
      <c r="AI300" s="5"/>
      <c r="AK300" s="5"/>
      <c r="AL300" s="5"/>
      <c r="AM300" s="5"/>
      <c r="AO300" s="5"/>
      <c r="AP300" s="5"/>
      <c r="AR300" s="5"/>
      <c r="AS300" s="5"/>
      <c r="AT300" s="5"/>
      <c r="AV300" s="5"/>
      <c r="AW300" s="5"/>
      <c r="AY300" s="5"/>
      <c r="AZ300" s="5"/>
      <c r="BA300" s="5"/>
      <c r="BC300" s="5"/>
      <c r="BD300" s="5"/>
      <c r="BF300" s="5"/>
      <c r="BG300" s="5"/>
      <c r="BH300" s="5"/>
      <c r="BJ300" s="5"/>
      <c r="BK300" s="5"/>
      <c r="BL300" s="12"/>
      <c r="BM300" s="5"/>
      <c r="BN300" s="5"/>
      <c r="BO300" s="5"/>
      <c r="BQ300" s="5"/>
      <c r="BR300" s="5"/>
      <c r="BT300" s="5"/>
      <c r="BU300" s="5"/>
      <c r="BV300" s="5"/>
      <c r="BX300" s="5"/>
      <c r="BY300" s="5"/>
      <c r="CA300" s="13"/>
      <c r="CB300" s="5"/>
      <c r="CC300" s="11"/>
      <c r="CE300" s="13"/>
      <c r="CF300" s="5"/>
      <c r="CG300" s="12"/>
      <c r="CI300" s="13"/>
      <c r="CJ300" s="5"/>
      <c r="CK300" s="12"/>
      <c r="CM300" s="13"/>
      <c r="CN300" s="5"/>
      <c r="CO300" s="12"/>
      <c r="CQ300" s="13"/>
      <c r="CR300" s="5"/>
      <c r="CS300" s="12"/>
      <c r="CU300" s="13"/>
      <c r="CV300" s="5"/>
      <c r="CW300" s="12"/>
      <c r="CY300" s="13"/>
      <c r="CZ300" s="5"/>
      <c r="DA300" s="12"/>
      <c r="DC300" s="13"/>
      <c r="DD300" s="5"/>
      <c r="DE300" s="12"/>
      <c r="DG300" s="13"/>
      <c r="DH300" s="5"/>
      <c r="DI300" s="12"/>
      <c r="DK300" s="13"/>
      <c r="DL300" s="5"/>
      <c r="DM300" s="12"/>
      <c r="DO300" s="13"/>
      <c r="DP300" s="5"/>
      <c r="DQ300" s="12"/>
      <c r="DS300" s="1336">
        <f t="shared" si="5"/>
        <v>0</v>
      </c>
      <c r="DT300" s="121">
        <f>EXTRAS!D164</f>
        <v>0</v>
      </c>
      <c r="DU300" s="112">
        <f>EXTRAS!E164</f>
        <v>0</v>
      </c>
      <c r="DV300" s="161"/>
      <c r="DX300" s="203">
        <f t="shared" si="6"/>
        <v>0</v>
      </c>
      <c r="DZ300" s="924"/>
      <c r="EH300" s="924"/>
    </row>
    <row r="301" spans="1:138" s="6" customFormat="1" ht="15" customHeight="1">
      <c r="A301" s="3">
        <v>150</v>
      </c>
      <c r="B301" s="210" t="s">
        <v>20</v>
      </c>
      <c r="C301" s="473" t="s">
        <v>515</v>
      </c>
      <c r="D301" s="4"/>
      <c r="E301" s="5"/>
      <c r="F301" s="5"/>
      <c r="G301" s="4"/>
      <c r="H301" s="4"/>
      <c r="I301" s="4"/>
      <c r="J301" s="4"/>
      <c r="K301" s="5"/>
      <c r="L301" s="5"/>
      <c r="M301" s="5"/>
      <c r="O301" s="5"/>
      <c r="P301" s="5"/>
      <c r="Q301" s="5"/>
      <c r="S301" s="5">
        <v>1</v>
      </c>
      <c r="T301" s="5">
        <f>T6*S301+T7*S301+T8*S301+T9*S301+T10*S301+T11*S301+T12*S301+T13*S301+T14*S301+T15*S301+T16*S301+T17*S301+T18*S301+T19*S301+T20*S301+T21*S301+T22*S301+T23*S301+T24*S301+T25*S301+T26*S301+T5*S301+U6*S301+U7*S301+U8*S301+U9*S301+U10*S301+U11*S301+U12*S301+U13*S301+U14*S301+U15*S301+U16*S301+U17*S301+U18*S301+U19*S301+U20*S301+U21*S301+U22*S301+U23*S301+U24*S301+U26*S301+U25*S301+U5*S301</f>
        <v>0</v>
      </c>
      <c r="U301" s="5"/>
      <c r="W301" s="5">
        <v>1</v>
      </c>
      <c r="X301" s="5">
        <f>X6*W301+X7*W301+X8*W301+X9*W301+X10*W301+X11*W301+X12*W301+X13*W301+X14*W301+X15*W301+X16*W301+X17*W301+X18*W301+X19*W301+X20*W301+X21*W301+X22*W301+X23*W301+X24*W301+X25*W301+X26*W301+X5*W301+Y6*W301+Y7*W301+Y8*W301+Y9*W301+Y10*W301+Y11*W301+Y12*W301+Y13*W301+Y14*W301+Y15*W301+Y16*W301+Y17*W301+Y18*W301+Y19*W301+Y20*W301+Y21*W301+Y22*W301+Y23*W301+Y24*W301+Y26*W301+Y25*W301+Y5*W301</f>
        <v>0</v>
      </c>
      <c r="Y301" s="12"/>
      <c r="AA301" s="13">
        <v>1</v>
      </c>
      <c r="AB301" s="5">
        <f>AB6*AA301+AB7*AA301+AB8*AA301+AB9*AA301+AB10*AA301+AB11*AA301+AB12*AA301+AB13*AA301+AB14*AA301+AB15*AA301+AB16*AA301+AB17*AA301+AB18*AA301+AB19*AA301+AB20*AA301+AB21*AA301+AB22*AA301+AB23*AA301+AB24*AA301+AB25*AA301+AB26*AA301+AB5*AA301+AC6*AA301+AC7*AA301+AC8*AA301+AC9*AA301+AC10*AA301+AC11*AA301+AC12*AA301+AC13*AA301+AC14*AA301+AC15*AA301+AC16*AA301+AC17*AA301+AC18*AA301+AC19*AA301+AC20*AA301+AC21*AA301+AC22*AA301+AC23*AA301+AC24*AA301+AC26*AA301+AC25*AA301+AC5*AA301</f>
        <v>0</v>
      </c>
      <c r="AD301" s="13">
        <v>1</v>
      </c>
      <c r="AE301" s="5">
        <f>AE6*AD301+AE7*AD301+AE8*AD301+AE9*AD301+AE10*AD301+AE11*AD301+AE12*AD301+AE13*AD301+AE14*AD301+AE15*AD301+AE16*AD301+AE17*AD301+AE18*AD301+AE19*AD301+AE20*AD301+AE21*AD301+AE22*AD301+AE23*AD301+AE24*AD301+AE25*AD301+AE26*AD301+AE5*AD301+AF6*AD301+AF7*AD301+AF8*AD301+AF9*AD301+AF10*AD301+AF11*AD301+AF12*AD301+AF13*AD301+AF14*AD301+AF15*AD301+AF16*AD301+AF17*AD301+AF18*AD301+AF19*AD301+AF20*AD301+AF21*AD301+AF22*AD301+AF23*AD301+AF24*AD301+AF26*AD301+AF25*AD301+AF5*AD301</f>
        <v>0</v>
      </c>
      <c r="AF301" s="5"/>
      <c r="AH301" s="13">
        <v>1</v>
      </c>
      <c r="AI301" s="5">
        <f>AI6*AH301+AI7*AH301+AI8*AH301+AI9*AH301+AI10*AH301+AI11*AH301+AI12*AH301+AI13*AH301+AI14*AH301+AI15*AH301+AI16*AH301+AI17*AH301+AI18*AH301+AI19*AH301+AI20*AH301+AI21*AH301+AI22*AH301+AI23*AH301+AI24*AH301+AI25*AH301+AI26*AH301+AI5*AH301+AJ6*AH301+AJ7*AH301+AJ8*AH301+AJ9*AH301+AJ10*AH301+AJ11*AH301+AJ12*AH301+AJ13*AH301+AJ14*AH301+AJ15*AH301+AJ16*AH301+AJ17*AH301+AJ18*AH301+AJ19*AH301+AJ20*AH301+AJ21*AH301+AJ22*AH301+AJ23*AH301+AJ24*AH301+AJ26*AH301+AJ25*AH301+AJ5*AH301</f>
        <v>0</v>
      </c>
      <c r="AK301" s="5">
        <v>1</v>
      </c>
      <c r="AL301" s="5">
        <f>AL6*AK301+AL7*AK301+AL8*AK301+AL9*AK301+AL10*AK301+AL11*AK301+AL12*AK301+AL13*AK301+AL14*AK301+AL15*AK301+AL16*AK301+AL17*AK301+AL18*AK301+AL19*AK301+AL20*AK301+AL21*AK301+AL22*AK301+AL23*AK301+AL24*AK301+AL25*AK301+AL26*AK301+AL5*AK301+AM6*AK301+AM7*AK301+AM8*AK301+AM9*AK301+AM10*AK301+AM11*AK301+AM12*AK301+AM13*AK301+AM14*AK301+AM15*AK301+AM16*AK301+AM17*AK301+AM18*AK301+AM19*AK301+AM20*AK301+AM21*AK301+AM22*AK301+AM23*AK301+AM24*AK301+AM26*AK301+AM25*AK301+AM5*AK301</f>
        <v>0</v>
      </c>
      <c r="AM301" s="5"/>
      <c r="AO301" s="5">
        <v>1</v>
      </c>
      <c r="AP301" s="5">
        <f>AP6*AO301+AP7*AO301+AP8*AO301+AP9*AO301+AP10*AO301+AP11*AO301+AP12*AO301+AP13*AO301+AP14*AO301+AP15*AO301+AP16*AO301+AP17*AO301+AP18*AO301+AP19*AO301+AP20*AO301+AP21*AO301+AP22*AO301+AP23*AO301+AP24*AO301+AP25*AO301+AP26*AO301+AP5*AO301+AQ6*AO301+AQ7*AO301+AQ8*AO301+AQ9*AO301+AQ10*AO301+AQ11*AO301+AQ12*AO301+AQ13*AO301+AQ14*AO301+AQ15*AO301+AQ16*AO301+AQ17*AO301+AQ18*AO301+AQ19*AO301+AQ20*AO301+AQ21*AO301+AQ22*AO301+AQ23*AO301+AQ24*AO301+AQ26*AO301+AQ25*AO301+AQ5*AO301</f>
        <v>0</v>
      </c>
      <c r="AR301" s="5">
        <v>2</v>
      </c>
      <c r="AS301" s="5">
        <f>AS6*AR301+AS7*AR301+AS8*AR301+AS9*AR301+AS10*AR301+AS11*AR301+AS12*AR301+AS13*AR301+AS14*AR301+AS15*AR301+AS16*AR301+AS17*AR301+AS18*AR301+AS19*AR301+AS20*AR301+AS21*AR301+AS22*AR301+AS23*AR301+AS24*AR301+AS25*AR301+AS26*AR301+AS5*AR301+AT6*AR301+AT7*AR301+AT8*AR301+AT9*AR301+AT10*AR301+AT11*AR301+AT12*AR301+AT13*AR301+AT14*AR301+AT15*AR301+AT16*AR301+AT17*AR301+AT18*AR301+AT19*AR301+AT20*AR301+AT21*AR301+AT22*AR301+AT23*AR301+AT24*AR301+AT26*AR301+AT25*AR301+AT5*AR301</f>
        <v>0</v>
      </c>
      <c r="AT301" s="5"/>
      <c r="AV301" s="5">
        <v>2</v>
      </c>
      <c r="AW301" s="5">
        <f>AW6*AV301+AW7*AV301+AW8*AV301+AW9*AV301+AW10*AV301+AW11*AV301+AW12*AV301+AW13*AV301+AW14*AV301+AW15*AV301+AW16*AV301+AW17*AV301+AW18*AV301+AW19*AV301+AW20*AV301+AW21*AV301+AW22*AV301+AW23*AV301+AW24*AV301+AW25*AV301+AW26*AV301+AW5*AV301+AX6*AV301+AX7*AV301+AX8*AV301+AX9*AV301+AX10*AV301+AX11*AV301+AX12*AV301+AX13*AV301+AX14*AV301+AX15*AV301+AX16*AV301+AX17*AV301+AX18*AV301+AX19*AV301+AX20*AV301+AX21*AV301+AX22*AV301+AX23*AV301+AX24*AV301+AX26*AV301+AX25*AV301+AX5*AV301</f>
        <v>0</v>
      </c>
      <c r="AY301" s="5">
        <v>2</v>
      </c>
      <c r="AZ301" s="5">
        <f>AZ6*AY301+AZ7*AY301+AZ8*AY301+AZ9*AY301+AZ10*AY301+AZ11*AY301+AZ12*AY301+AZ13*AY301+AZ14*AY301+AZ15*AY301+AZ16*AY301+AZ17*AY301+AZ18*AY301+AZ19*AY301+AZ20*AY301+AZ21*AY301+AZ22*AY301+AZ23*AY301+AZ24*AY301+AZ25*AY301+AZ26*AY301+AZ5*AY301+BA6*AY301+BA7*AY301+BA8*AY301+BA9*AY301+BA10*AY301+BA11*AY301+BA12*AY301+BA13*AY301+BA14*AY301+BA15*AY301+BA16*AY301+BA17*AY301+BA18*AY301+BA19*AY301+BA20*AY301+BA21*AY301+BA22*AY301+BA23*AY301+BA24*AY301+BA26*AY301+BA25*AY301+BA5*AY301</f>
        <v>0</v>
      </c>
      <c r="BA301" s="5"/>
      <c r="BC301" s="5">
        <v>2</v>
      </c>
      <c r="BD301" s="5">
        <f>BD6*BC301+BD7*BC301+BD8*BC301+BD9*BC301+BD10*BC301+BD11*BC301+BD12*BC301+BD13*BC301+BD14*BC301+BD15*BC301+BD16*BC301+BD17*BC301+BD18*BC301+BD19*BC301+BD20*BC301+BD21*BC301+BD22*BC301+BD23*BC301+BD24*BC301+BD25*BC301+BD26*BC301+BD5*BC301+BE6*BC301+BE7*BC301+BE8*BC301+BE9*BC301+BE10*BC301+BE11*BC301+BE12*BC301+BE13*BC301+BE14*BC301+BE15*BC301+BE16*BC301+BE17*BC301+BE18*BC301+BE19*BC301+BE20*BC301+BE21*BC301+BE22*BC301+BE23*BC301+BE24*BC301+BE26*BC301+BE25*BC301+BE5*BC301</f>
        <v>0</v>
      </c>
      <c r="BF301" s="5">
        <v>2</v>
      </c>
      <c r="BG301" s="5">
        <f>BG6*BF301+BG7*BF301+BG8*BF301+BG9*BF301+BG10*BF301+BG11*BF301+BG12*BF301+BG13*BF301+BG14*BF301+BG15*BF301+BG16*BF301+BG17*BF301+BG18*BF301+BG19*BF301+BG20*BF301+BG21*BF301+BG22*BF301+BG23*BF301+BG24*BF301+BG25*BF301+BG26*BF301+BG5*BF301+BH6*BF301+BH7*BF301+BH8*BF301+BH9*BF301+BH10*BF301+BH11*BF301+BH12*BF301+BH13*BF301+BH14*BF301+BH15*BF301+BH16*BF301+BH17*BF301+BH18*BF301+BH19*BF301+BH20*BF301+BH21*BF301+BH22*BF301+BH23*BF301+BH24*BF301+BH26*BF301+BH25*BF301+BH5*BF301</f>
        <v>0</v>
      </c>
      <c r="BH301" s="5"/>
      <c r="BJ301" s="5">
        <v>2</v>
      </c>
      <c r="BK301" s="5">
        <f>BK6*BJ301+BK7*BJ301+BK8*BJ301+BK9*BJ301+BK10*BJ301+BK11*BJ301+BK12*BJ301+BK13*BJ301+BK14*BJ301+BK15*BJ301+BK16*BJ301+BK17*BJ301+BK18*BJ301+BK19*BJ301+BK20*BJ301+BK21*BJ301+BK22*BJ301+BK23*BJ301+BK24*BJ301+BK25*BJ301+BK26*BJ301+BK5*BJ301+BL6*BJ301+BL7*BJ301+BL8*BJ301+BL9*BJ301+BL10*BJ301+BL11*BJ301+BL12*BJ301+BL13*BJ301+BL14*BJ301+BL15*BJ301+BL16*BJ301+BL17*BJ301+BL18*BJ301+BL19*BJ301+BL20*BJ301+BL21*BJ301+BL22*BJ301+BL23*BJ301+BL24*BJ301+BL26*BJ301+BL25*BJ301+BL5*BJ301</f>
        <v>0</v>
      </c>
      <c r="BL301" s="12"/>
      <c r="BM301" s="5">
        <v>2</v>
      </c>
      <c r="BN301" s="5">
        <f>BN6*BM301+BN7*BM301+BN8*BM301+BN9*BM301+BN10*BM301+BN11*BM301+BN12*BM301+BN13*BM301+BN14*BM301+BN15*BM301+BN16*BM301+BN17*BM301+BN18*BM301+BN19*BM301+BN20*BM301+BN21*BM301+BN22*BM301+BN23*BM301+BN24*BM301+BN25*BM301+BN26*BM301+BN5*BM301+BO6*BM301+BO7*BM301+BO8*BM301+BO9*BM301+BO10*BM301+BO11*BM301+BO12*BM301+BO13*BM301+BO14*BM301+BO15*BM301+BO16*BM301+BO17*BM301+BO18*BM301+BO19*BM301+BO20*BM301+BO21*BM301+BO22*BM301+BO23*BM301+BO24*BM301+BO26*BM301+BO25*BM301+BO5*BM301</f>
        <v>0</v>
      </c>
      <c r="BO301" s="5"/>
      <c r="BQ301" s="5">
        <v>2</v>
      </c>
      <c r="BR301" s="5">
        <f>BR6*BQ301+BR7*BQ301+BR8*BQ301+BR9*BQ301+BR10*BQ301+BR11*BQ301+BR12*BQ301+BR13*BQ301+BR14*BQ301+BR15*BQ301+BR16*BQ301+BR17*BQ301+BR18*BQ301+BR19*BQ301+BR20*BQ301+BR21*BQ301+BR22*BQ301+BR23*BQ301+BR24*BQ301+BR25*BQ301+BR26*BQ301+BR5*BQ301+BS6*BQ301+BS7*BQ301+BS8*BQ301+BS9*BQ301+BS10*BQ301+BS11*BQ301+BS12*BQ301+BS13*BQ301+BS14*BQ301+BS15*BQ301+BS16*BQ301+BS17*BQ301+BS18*BQ301+BS19*BQ301+BS20*BQ301+BS21*BQ301+BS22*BQ301+BS23*BQ301+BS24*BQ301+BS26*BQ301+BS25*BQ301+BS5*BQ301</f>
        <v>0</v>
      </c>
      <c r="BT301" s="5">
        <v>2</v>
      </c>
      <c r="BU301" s="5">
        <f>BU6*BT301+BU7*BT301+BU8*BT301+BU9*BT301+BU10*BT301+BU11*BT301+BU12*BT301+BU13*BT301+BU14*BT301+BU15*BT301+BU16*BT301+BU17*BT301+BU18*BT301+BU19*BT301+BU20*BT301+BU21*BT301+BU22*BT301+BU23*BT301+BU24*BT301+BU25*BT301+BU26*BT301+BU5*BT301+BV6*BT301+BV7*BT301+BV8*BT301+BV9*BT301+BV10*BT301+BV11*BT301+BV12*BT301+BV13*BT301+BV14*BT301+BV15*BT301+BV16*BT301+BV17*BT301+BV18*BT301+BV19*BT301+BV20*BT301+BV21*BT301+BV22*BT301+BV23*BT301+BV24*BT301+BV26*BT301+BV25*BT301+BV5*BT301</f>
        <v>0</v>
      </c>
      <c r="BV301" s="5"/>
      <c r="BX301" s="5">
        <v>2</v>
      </c>
      <c r="BY301" s="5">
        <f>BY6*BX301+BY7*BX301+BY8*BX301+BY9*BX301+BY10*BX301+BY11*BX301+BY12*BX301+BY13*BX301+BY14*BX301+BY15*BX301+BY16*BX301+BY17*BX301+BY18*BX301+BY19*BX301+BY20*BX301+BY21*BX301+BY22*BX301+BY23*BX301+BY24*BX301+BY25*BX301+BY26*BX301+BY5*BX301+BZ6*BX301+BZ7*BX301+BZ8*BX301+BZ9*BX301+BZ10*BX301+BZ11*BX301+BZ12*BX301+BZ13*BX301+BZ14*BX301+BZ15*BX301+BZ16*BX301+BZ17*BX301+BZ18*BX301+BZ19*BX301+BZ20*BX301+BZ21*BX301+BZ22*BX301+BZ23*BX301+BZ24*BX301+BZ26*BX301+BZ25*BX301+BZ5*BX301</f>
        <v>0</v>
      </c>
      <c r="CA301" s="13">
        <v>2</v>
      </c>
      <c r="CB301" s="5">
        <f>SUM(CB5:CB26,CC5:CC26)*CA301</f>
        <v>0</v>
      </c>
      <c r="CC301" s="11"/>
      <c r="CE301" s="13"/>
      <c r="CF301" s="5"/>
      <c r="CG301" s="12"/>
      <c r="CI301" s="13"/>
      <c r="CJ301" s="5"/>
      <c r="CK301" s="12"/>
      <c r="CM301" s="13"/>
      <c r="CN301" s="5"/>
      <c r="CO301" s="12"/>
      <c r="CQ301" s="13"/>
      <c r="CR301" s="5"/>
      <c r="CS301" s="12"/>
      <c r="CU301" s="13"/>
      <c r="CV301" s="5"/>
      <c r="CW301" s="12"/>
      <c r="CY301" s="13"/>
      <c r="CZ301" s="5"/>
      <c r="DA301" s="12"/>
      <c r="DC301" s="13"/>
      <c r="DD301" s="5"/>
      <c r="DE301" s="12"/>
      <c r="DG301" s="13"/>
      <c r="DH301" s="5"/>
      <c r="DI301" s="12"/>
      <c r="DK301" s="13"/>
      <c r="DL301" s="5"/>
      <c r="DM301" s="12"/>
      <c r="DO301" s="13"/>
      <c r="DP301" s="5"/>
      <c r="DQ301" s="12"/>
      <c r="DS301" s="1336">
        <f t="shared" si="5"/>
        <v>0</v>
      </c>
      <c r="DT301" s="121">
        <f>EXTRAS!D171</f>
        <v>0</v>
      </c>
      <c r="DU301" s="112">
        <f>EXTRAS!E171</f>
        <v>0</v>
      </c>
      <c r="DX301" s="203">
        <f t="shared" si="6"/>
        <v>0</v>
      </c>
      <c r="DZ301" s="924"/>
      <c r="EH301" s="924"/>
    </row>
    <row r="302" spans="1:138" s="6" customFormat="1" ht="15.75" customHeight="1">
      <c r="A302" s="3">
        <v>151</v>
      </c>
      <c r="B302" s="118" t="s">
        <v>1497</v>
      </c>
      <c r="C302" s="4" t="s">
        <v>0</v>
      </c>
      <c r="D302" s="2"/>
      <c r="E302" s="5"/>
      <c r="F302" s="5"/>
      <c r="G302" s="2"/>
      <c r="H302" s="4"/>
      <c r="I302" s="4"/>
      <c r="J302" s="2"/>
      <c r="K302" s="5"/>
      <c r="L302" s="5"/>
      <c r="M302" s="5"/>
      <c r="O302" s="5"/>
      <c r="P302" s="5"/>
      <c r="Q302" s="5"/>
      <c r="S302" s="5"/>
      <c r="T302" s="5"/>
      <c r="U302" s="5"/>
      <c r="W302" s="5"/>
      <c r="X302" s="5"/>
      <c r="Y302" s="12"/>
      <c r="AA302" s="13"/>
      <c r="AB302" s="12"/>
      <c r="AD302" s="13"/>
      <c r="AE302" s="5"/>
      <c r="AF302" s="5"/>
      <c r="AH302" s="13"/>
      <c r="AI302" s="5"/>
      <c r="AK302" s="5"/>
      <c r="AL302" s="5"/>
      <c r="AM302" s="5"/>
      <c r="AO302" s="5"/>
      <c r="AP302" s="5"/>
      <c r="AR302" s="5"/>
      <c r="AS302" s="5"/>
      <c r="AT302" s="5"/>
      <c r="AV302" s="5"/>
      <c r="AW302" s="5"/>
      <c r="AY302" s="5"/>
      <c r="AZ302" s="5"/>
      <c r="BA302" s="5"/>
      <c r="BC302" s="5"/>
      <c r="BD302" s="5"/>
      <c r="BF302" s="5"/>
      <c r="BG302" s="5"/>
      <c r="BH302" s="5"/>
      <c r="BJ302" s="5"/>
      <c r="BK302" s="5"/>
      <c r="BL302" s="12"/>
      <c r="BM302" s="5"/>
      <c r="BN302" s="5"/>
      <c r="BO302" s="5"/>
      <c r="BQ302" s="5"/>
      <c r="BR302" s="5"/>
      <c r="BT302" s="5"/>
      <c r="BU302" s="5"/>
      <c r="BV302" s="5"/>
      <c r="BX302" s="5"/>
      <c r="BY302" s="5"/>
      <c r="CA302" s="13"/>
      <c r="CB302" s="7"/>
      <c r="CC302" s="11"/>
      <c r="CE302" s="13">
        <v>1</v>
      </c>
      <c r="CF302" s="5">
        <f>SUM(CF5:CF26)*CE302</f>
        <v>0</v>
      </c>
      <c r="CG302" s="5"/>
      <c r="CI302" s="13"/>
      <c r="CJ302" s="5"/>
      <c r="CK302" s="12"/>
      <c r="CM302" s="13"/>
      <c r="CN302" s="5"/>
      <c r="CO302" s="12"/>
      <c r="CQ302" s="13"/>
      <c r="CR302" s="5"/>
      <c r="CS302" s="12"/>
      <c r="CU302" s="13"/>
      <c r="CV302" s="5"/>
      <c r="CW302" s="12"/>
      <c r="CY302" s="13">
        <v>1</v>
      </c>
      <c r="CZ302" s="5">
        <f>SUM(CZ5:CZ26)*CY302</f>
        <v>0</v>
      </c>
      <c r="DA302" s="5"/>
      <c r="DC302" s="13"/>
      <c r="DD302" s="5"/>
      <c r="DE302" s="12"/>
      <c r="DG302" s="13"/>
      <c r="DH302" s="5"/>
      <c r="DI302" s="12"/>
      <c r="DK302" s="13"/>
      <c r="DL302" s="5"/>
      <c r="DM302" s="12"/>
      <c r="DO302" s="13"/>
      <c r="DP302" s="5"/>
      <c r="DQ302" s="12"/>
      <c r="DS302" s="1336">
        <f t="shared" si="5"/>
        <v>0</v>
      </c>
      <c r="DT302" s="121">
        <f>EXTRAS!D172</f>
        <v>0</v>
      </c>
      <c r="DU302" s="112">
        <f>EXTRAS!E172</f>
        <v>0</v>
      </c>
      <c r="DX302" s="203">
        <f t="shared" si="6"/>
        <v>0</v>
      </c>
      <c r="DZ302" s="924"/>
      <c r="EH302" s="924"/>
    </row>
    <row r="303" spans="1:138" s="6" customFormat="1" ht="15.75" customHeight="1">
      <c r="A303" s="3">
        <v>152</v>
      </c>
      <c r="B303" s="118" t="s">
        <v>1498</v>
      </c>
      <c r="C303" s="4" t="s">
        <v>0</v>
      </c>
      <c r="D303" s="2"/>
      <c r="E303" s="5"/>
      <c r="F303" s="5"/>
      <c r="G303" s="2"/>
      <c r="H303" s="4"/>
      <c r="I303" s="4"/>
      <c r="J303" s="2"/>
      <c r="K303" s="5"/>
      <c r="L303" s="5"/>
      <c r="M303" s="5"/>
      <c r="O303" s="5"/>
      <c r="P303" s="5"/>
      <c r="Q303" s="5"/>
      <c r="S303" s="5"/>
      <c r="T303" s="5"/>
      <c r="U303" s="5"/>
      <c r="W303" s="5"/>
      <c r="X303" s="5"/>
      <c r="Y303" s="12"/>
      <c r="AA303" s="13"/>
      <c r="AB303" s="12"/>
      <c r="AD303" s="13"/>
      <c r="AE303" s="5"/>
      <c r="AF303" s="5"/>
      <c r="AH303" s="13"/>
      <c r="AI303" s="5"/>
      <c r="AK303" s="5"/>
      <c r="AL303" s="5"/>
      <c r="AM303" s="5"/>
      <c r="AO303" s="5"/>
      <c r="AP303" s="5"/>
      <c r="AR303" s="5"/>
      <c r="AS303" s="5"/>
      <c r="AT303" s="5"/>
      <c r="AV303" s="5"/>
      <c r="AW303" s="5"/>
      <c r="AY303" s="5"/>
      <c r="AZ303" s="5"/>
      <c r="BA303" s="5"/>
      <c r="BC303" s="5"/>
      <c r="BD303" s="5"/>
      <c r="BF303" s="5"/>
      <c r="BG303" s="5"/>
      <c r="BH303" s="5"/>
      <c r="BJ303" s="5"/>
      <c r="BK303" s="5"/>
      <c r="BL303" s="12"/>
      <c r="BM303" s="5"/>
      <c r="BN303" s="5"/>
      <c r="BO303" s="5"/>
      <c r="BQ303" s="5"/>
      <c r="BR303" s="5"/>
      <c r="BT303" s="5"/>
      <c r="BU303" s="5"/>
      <c r="BV303" s="5"/>
      <c r="BX303" s="5"/>
      <c r="BY303" s="5"/>
      <c r="CA303" s="13"/>
      <c r="CB303" s="7"/>
      <c r="CC303" s="11"/>
      <c r="CE303" s="13"/>
      <c r="CF303" s="5"/>
      <c r="CG303" s="5"/>
      <c r="CI303" s="13">
        <v>1</v>
      </c>
      <c r="CJ303" s="5">
        <f>SUM(CJ5:CJ26)*CI303</f>
        <v>0</v>
      </c>
      <c r="CK303" s="12"/>
      <c r="CM303" s="13"/>
      <c r="CN303" s="5"/>
      <c r="CO303" s="12"/>
      <c r="CQ303" s="13"/>
      <c r="CR303" s="5"/>
      <c r="CS303" s="12"/>
      <c r="CU303" s="13"/>
      <c r="CV303" s="5"/>
      <c r="CW303" s="12"/>
      <c r="CY303" s="13"/>
      <c r="CZ303" s="5"/>
      <c r="DA303" s="5"/>
      <c r="DC303" s="13">
        <v>1</v>
      </c>
      <c r="DD303" s="5">
        <f>SUM(DD5:DD26)*DC303</f>
        <v>0</v>
      </c>
      <c r="DE303" s="12"/>
      <c r="DG303" s="13"/>
      <c r="DH303" s="5"/>
      <c r="DI303" s="12"/>
      <c r="DK303" s="13"/>
      <c r="DL303" s="5"/>
      <c r="DM303" s="12"/>
      <c r="DO303" s="13"/>
      <c r="DP303" s="5"/>
      <c r="DQ303" s="12"/>
      <c r="DS303" s="1336">
        <f t="shared" si="5"/>
        <v>0</v>
      </c>
      <c r="DT303" s="121">
        <f>EXTRAS!D173</f>
        <v>0</v>
      </c>
      <c r="DU303" s="112">
        <f>EXTRAS!E173</f>
        <v>0</v>
      </c>
      <c r="DX303" s="203">
        <f t="shared" si="6"/>
        <v>0</v>
      </c>
      <c r="DZ303" s="924"/>
      <c r="EH303" s="924"/>
    </row>
    <row r="304" spans="1:138" s="6" customFormat="1" ht="15.75" customHeight="1">
      <c r="A304" s="3">
        <v>153</v>
      </c>
      <c r="B304" s="118" t="s">
        <v>1499</v>
      </c>
      <c r="C304" s="4" t="s">
        <v>0</v>
      </c>
      <c r="D304" s="2"/>
      <c r="E304" s="5"/>
      <c r="F304" s="5"/>
      <c r="G304" s="2"/>
      <c r="H304" s="4"/>
      <c r="I304" s="4"/>
      <c r="J304" s="2"/>
      <c r="K304" s="5"/>
      <c r="L304" s="5"/>
      <c r="M304" s="5"/>
      <c r="O304" s="5"/>
      <c r="P304" s="5"/>
      <c r="Q304" s="5"/>
      <c r="S304" s="5"/>
      <c r="T304" s="5"/>
      <c r="U304" s="5"/>
      <c r="W304" s="5"/>
      <c r="X304" s="5"/>
      <c r="Y304" s="12"/>
      <c r="AA304" s="13"/>
      <c r="AB304" s="12"/>
      <c r="AD304" s="13"/>
      <c r="AE304" s="5"/>
      <c r="AF304" s="5"/>
      <c r="AH304" s="13"/>
      <c r="AI304" s="5"/>
      <c r="AK304" s="5"/>
      <c r="AL304" s="5"/>
      <c r="AM304" s="5"/>
      <c r="AO304" s="5"/>
      <c r="AP304" s="5"/>
      <c r="AR304" s="5"/>
      <c r="AS304" s="5"/>
      <c r="AT304" s="5"/>
      <c r="AV304" s="5"/>
      <c r="AW304" s="5"/>
      <c r="AY304" s="5"/>
      <c r="AZ304" s="5"/>
      <c r="BA304" s="5"/>
      <c r="BC304" s="5"/>
      <c r="BD304" s="5"/>
      <c r="BF304" s="5"/>
      <c r="BG304" s="5"/>
      <c r="BH304" s="5"/>
      <c r="BJ304" s="5"/>
      <c r="BK304" s="5"/>
      <c r="BL304" s="12"/>
      <c r="BM304" s="5"/>
      <c r="BN304" s="5"/>
      <c r="BO304" s="5"/>
      <c r="BQ304" s="5"/>
      <c r="BR304" s="5"/>
      <c r="BT304" s="5"/>
      <c r="BU304" s="5"/>
      <c r="BV304" s="5"/>
      <c r="BX304" s="5"/>
      <c r="BY304" s="5"/>
      <c r="CA304" s="13"/>
      <c r="CB304" s="7"/>
      <c r="CC304" s="11"/>
      <c r="CE304" s="13"/>
      <c r="CF304" s="5"/>
      <c r="CG304" s="5"/>
      <c r="CI304" s="13"/>
      <c r="CJ304" s="5"/>
      <c r="CK304" s="12"/>
      <c r="CM304" s="13">
        <v>1</v>
      </c>
      <c r="CN304" s="5">
        <f>SUM(CN5:CN26)*CM304</f>
        <v>0</v>
      </c>
      <c r="CO304" s="12"/>
      <c r="CQ304" s="13"/>
      <c r="CR304" s="5"/>
      <c r="CS304" s="12"/>
      <c r="CU304" s="13"/>
      <c r="CV304" s="5"/>
      <c r="CW304" s="12"/>
      <c r="CY304" s="13"/>
      <c r="CZ304" s="5"/>
      <c r="DA304" s="5"/>
      <c r="DC304" s="13"/>
      <c r="DD304" s="5"/>
      <c r="DE304" s="12"/>
      <c r="DG304" s="13">
        <v>1</v>
      </c>
      <c r="DH304" s="5">
        <f>SUM(DH5:DH26)*DG304</f>
        <v>0</v>
      </c>
      <c r="DI304" s="12"/>
      <c r="DK304" s="13"/>
      <c r="DL304" s="5"/>
      <c r="DM304" s="12"/>
      <c r="DO304" s="13"/>
      <c r="DP304" s="5"/>
      <c r="DQ304" s="12"/>
      <c r="DS304" s="1336">
        <f t="shared" si="5"/>
        <v>0</v>
      </c>
      <c r="DT304" s="121">
        <f>EXTRAS!D174</f>
        <v>0</v>
      </c>
      <c r="DU304" s="112">
        <f>EXTRAS!E174</f>
        <v>0</v>
      </c>
      <c r="DX304" s="203">
        <f t="shared" si="6"/>
        <v>0</v>
      </c>
      <c r="DZ304" s="924"/>
      <c r="EH304" s="924"/>
    </row>
    <row r="305" spans="1:138" s="6" customFormat="1" ht="15.75" customHeight="1">
      <c r="A305" s="3">
        <v>154</v>
      </c>
      <c r="B305" s="118" t="s">
        <v>1501</v>
      </c>
      <c r="C305" s="4" t="s">
        <v>0</v>
      </c>
      <c r="D305" s="2"/>
      <c r="E305" s="5"/>
      <c r="F305" s="5"/>
      <c r="G305" s="2"/>
      <c r="H305" s="4"/>
      <c r="I305" s="4"/>
      <c r="J305" s="2"/>
      <c r="K305" s="5"/>
      <c r="L305" s="5"/>
      <c r="M305" s="5"/>
      <c r="O305" s="5"/>
      <c r="P305" s="5"/>
      <c r="Q305" s="5"/>
      <c r="S305" s="5"/>
      <c r="T305" s="5"/>
      <c r="U305" s="5"/>
      <c r="W305" s="5"/>
      <c r="X305" s="5"/>
      <c r="Y305" s="12"/>
      <c r="AA305" s="13"/>
      <c r="AB305" s="12"/>
      <c r="AD305" s="13"/>
      <c r="AE305" s="5"/>
      <c r="AF305" s="5"/>
      <c r="AH305" s="13"/>
      <c r="AI305" s="5"/>
      <c r="AK305" s="5"/>
      <c r="AL305" s="5"/>
      <c r="AM305" s="5"/>
      <c r="AO305" s="5"/>
      <c r="AP305" s="5"/>
      <c r="AR305" s="5"/>
      <c r="AS305" s="5"/>
      <c r="AT305" s="5"/>
      <c r="AV305" s="5"/>
      <c r="AW305" s="5"/>
      <c r="AY305" s="5"/>
      <c r="AZ305" s="5"/>
      <c r="BA305" s="5"/>
      <c r="BC305" s="5"/>
      <c r="BD305" s="5"/>
      <c r="BF305" s="5"/>
      <c r="BG305" s="5"/>
      <c r="BH305" s="5"/>
      <c r="BJ305" s="5"/>
      <c r="BK305" s="5"/>
      <c r="BL305" s="12"/>
      <c r="BM305" s="5"/>
      <c r="BN305" s="5"/>
      <c r="BO305" s="5"/>
      <c r="BQ305" s="5"/>
      <c r="BR305" s="5"/>
      <c r="BT305" s="5"/>
      <c r="BU305" s="5"/>
      <c r="BV305" s="5"/>
      <c r="BX305" s="5"/>
      <c r="BY305" s="5"/>
      <c r="CA305" s="13"/>
      <c r="CB305" s="7"/>
      <c r="CC305" s="11"/>
      <c r="CE305" s="13"/>
      <c r="CF305" s="5"/>
      <c r="CG305" s="5"/>
      <c r="CI305" s="13"/>
      <c r="CJ305" s="5"/>
      <c r="CK305" s="12"/>
      <c r="CM305" s="13"/>
      <c r="CN305" s="5"/>
      <c r="CO305" s="12"/>
      <c r="CQ305" s="13">
        <v>1</v>
      </c>
      <c r="CR305" s="5">
        <f>SUM(CR5:CR26)*CQ305</f>
        <v>0</v>
      </c>
      <c r="CS305" s="12"/>
      <c r="CU305" s="13"/>
      <c r="CV305" s="5"/>
      <c r="CW305" s="12"/>
      <c r="CY305" s="13"/>
      <c r="CZ305" s="5"/>
      <c r="DA305" s="5"/>
      <c r="DC305" s="13"/>
      <c r="DD305" s="5"/>
      <c r="DE305" s="12"/>
      <c r="DG305" s="13"/>
      <c r="DH305" s="5"/>
      <c r="DI305" s="12"/>
      <c r="DK305" s="13">
        <v>1</v>
      </c>
      <c r="DL305" s="5">
        <f>SUM(DL5:DL26)*DK305</f>
        <v>0</v>
      </c>
      <c r="DM305" s="12"/>
      <c r="DO305" s="13"/>
      <c r="DP305" s="5"/>
      <c r="DQ305" s="12"/>
      <c r="DS305" s="1336">
        <f t="shared" si="5"/>
        <v>0</v>
      </c>
      <c r="DT305" s="121">
        <f>EXTRAS!D175</f>
        <v>0</v>
      </c>
      <c r="DU305" s="112">
        <f>EXTRAS!E175</f>
        <v>0</v>
      </c>
      <c r="DX305" s="203">
        <f t="shared" si="6"/>
        <v>0</v>
      </c>
      <c r="DZ305" s="924"/>
      <c r="EH305" s="924"/>
    </row>
    <row r="306" spans="1:138" s="6" customFormat="1" ht="15.75" customHeight="1">
      <c r="A306" s="3"/>
      <c r="B306" s="118" t="s">
        <v>1494</v>
      </c>
      <c r="C306" s="4" t="s">
        <v>0</v>
      </c>
      <c r="D306" s="2"/>
      <c r="E306" s="5"/>
      <c r="F306" s="5"/>
      <c r="G306" s="2"/>
      <c r="H306" s="4"/>
      <c r="I306" s="4"/>
      <c r="J306" s="2"/>
      <c r="K306" s="5"/>
      <c r="L306" s="5"/>
      <c r="M306" s="5"/>
      <c r="O306" s="5"/>
      <c r="P306" s="5"/>
      <c r="Q306" s="5"/>
      <c r="S306" s="5"/>
      <c r="T306" s="5"/>
      <c r="U306" s="5"/>
      <c r="W306" s="5"/>
      <c r="X306" s="5"/>
      <c r="Y306" s="12"/>
      <c r="AA306" s="13"/>
      <c r="AB306" s="12"/>
      <c r="AD306" s="13"/>
      <c r="AE306" s="5"/>
      <c r="AF306" s="5"/>
      <c r="AH306" s="13"/>
      <c r="AI306" s="5"/>
      <c r="AK306" s="5"/>
      <c r="AL306" s="5"/>
      <c r="AM306" s="5"/>
      <c r="AO306" s="5"/>
      <c r="AP306" s="5"/>
      <c r="AR306" s="5"/>
      <c r="AS306" s="5"/>
      <c r="AT306" s="5"/>
      <c r="AV306" s="5"/>
      <c r="AW306" s="5"/>
      <c r="AY306" s="5"/>
      <c r="AZ306" s="5"/>
      <c r="BA306" s="5"/>
      <c r="BC306" s="5"/>
      <c r="BD306" s="5"/>
      <c r="BF306" s="5"/>
      <c r="BG306" s="5"/>
      <c r="BH306" s="5"/>
      <c r="BJ306" s="5"/>
      <c r="BK306" s="5"/>
      <c r="BL306" s="12"/>
      <c r="BM306" s="5"/>
      <c r="BN306" s="5"/>
      <c r="BO306" s="5"/>
      <c r="BQ306" s="5"/>
      <c r="BR306" s="5"/>
      <c r="BT306" s="5"/>
      <c r="BU306" s="5"/>
      <c r="BV306" s="5"/>
      <c r="BX306" s="5"/>
      <c r="BY306" s="5"/>
      <c r="CA306" s="13"/>
      <c r="CB306" s="7"/>
      <c r="CC306" s="11"/>
      <c r="CE306" s="13">
        <v>1</v>
      </c>
      <c r="CF306" s="5">
        <f>SUM(CG5:CG26)*CE306</f>
        <v>0</v>
      </c>
      <c r="CG306" s="12"/>
      <c r="CI306" s="13"/>
      <c r="CJ306" s="5"/>
      <c r="CK306" s="12"/>
      <c r="CM306" s="13"/>
      <c r="CN306" s="5"/>
      <c r="CO306" s="12"/>
      <c r="CQ306" s="13"/>
      <c r="CR306" s="5"/>
      <c r="CS306" s="12"/>
      <c r="CU306" s="13"/>
      <c r="CV306" s="5"/>
      <c r="CW306" s="12"/>
      <c r="CY306" s="13">
        <v>1</v>
      </c>
      <c r="CZ306" s="5">
        <f>SUM(DA5:DA26)*CY306</f>
        <v>0</v>
      </c>
      <c r="DA306" s="12"/>
      <c r="DC306" s="13"/>
      <c r="DD306" s="5"/>
      <c r="DE306" s="12"/>
      <c r="DG306" s="13"/>
      <c r="DH306" s="5"/>
      <c r="DI306" s="12"/>
      <c r="DK306" s="13"/>
      <c r="DL306" s="5"/>
      <c r="DM306" s="12"/>
      <c r="DO306" s="13"/>
      <c r="DP306" s="5"/>
      <c r="DQ306" s="12"/>
      <c r="DS306" s="1336">
        <f t="shared" si="5"/>
        <v>0</v>
      </c>
      <c r="DT306" s="121">
        <f>EXTRAS!D176</f>
        <v>0</v>
      </c>
      <c r="DU306" s="112">
        <f>EXTRAS!E176</f>
        <v>0</v>
      </c>
      <c r="DX306" s="203">
        <f t="shared" si="6"/>
        <v>0</v>
      </c>
      <c r="DZ306" s="924"/>
      <c r="EH306" s="924"/>
    </row>
    <row r="307" spans="1:138" s="6" customFormat="1" ht="15.75" customHeight="1">
      <c r="A307" s="3"/>
      <c r="B307" s="118" t="s">
        <v>1495</v>
      </c>
      <c r="C307" s="4" t="s">
        <v>0</v>
      </c>
      <c r="D307" s="2"/>
      <c r="E307" s="5"/>
      <c r="F307" s="5"/>
      <c r="G307" s="2"/>
      <c r="H307" s="4"/>
      <c r="I307" s="4"/>
      <c r="J307" s="2"/>
      <c r="K307" s="5"/>
      <c r="L307" s="5"/>
      <c r="M307" s="5"/>
      <c r="O307" s="5"/>
      <c r="P307" s="5"/>
      <c r="Q307" s="5"/>
      <c r="S307" s="5"/>
      <c r="T307" s="5"/>
      <c r="U307" s="5"/>
      <c r="W307" s="5"/>
      <c r="X307" s="5"/>
      <c r="Y307" s="12"/>
      <c r="AA307" s="13"/>
      <c r="AB307" s="12"/>
      <c r="AD307" s="13"/>
      <c r="AE307" s="5"/>
      <c r="AF307" s="5"/>
      <c r="AH307" s="13"/>
      <c r="AI307" s="5"/>
      <c r="AK307" s="5"/>
      <c r="AL307" s="5"/>
      <c r="AM307" s="5"/>
      <c r="AO307" s="5"/>
      <c r="AP307" s="5"/>
      <c r="AR307" s="5"/>
      <c r="AS307" s="5"/>
      <c r="AT307" s="5"/>
      <c r="AV307" s="5"/>
      <c r="AW307" s="5"/>
      <c r="AY307" s="5"/>
      <c r="AZ307" s="5"/>
      <c r="BA307" s="5"/>
      <c r="BC307" s="5"/>
      <c r="BD307" s="5"/>
      <c r="BF307" s="5"/>
      <c r="BG307" s="5"/>
      <c r="BH307" s="5"/>
      <c r="BJ307" s="5"/>
      <c r="BK307" s="5"/>
      <c r="BL307" s="12"/>
      <c r="BM307" s="5"/>
      <c r="BN307" s="5"/>
      <c r="BO307" s="5"/>
      <c r="BQ307" s="5"/>
      <c r="BR307" s="5"/>
      <c r="BT307" s="5"/>
      <c r="BU307" s="5"/>
      <c r="BV307" s="5"/>
      <c r="BX307" s="5"/>
      <c r="BY307" s="5"/>
      <c r="CA307" s="13"/>
      <c r="CB307" s="7"/>
      <c r="CC307" s="11"/>
      <c r="CE307" s="13"/>
      <c r="CF307" s="5"/>
      <c r="CG307" s="12"/>
      <c r="CI307" s="13">
        <v>1</v>
      </c>
      <c r="CJ307" s="5">
        <f>SUM(CK5:CK26)*CI307</f>
        <v>0</v>
      </c>
      <c r="CK307" s="12"/>
      <c r="CM307" s="13"/>
      <c r="CN307" s="5"/>
      <c r="CO307" s="12"/>
      <c r="CQ307" s="13"/>
      <c r="CR307" s="5"/>
      <c r="CS307" s="12"/>
      <c r="CU307" s="13"/>
      <c r="CV307" s="5"/>
      <c r="CW307" s="12"/>
      <c r="CY307" s="13"/>
      <c r="CZ307" s="5"/>
      <c r="DA307" s="12"/>
      <c r="DC307" s="13">
        <v>1</v>
      </c>
      <c r="DD307" s="5">
        <f>SUM(DE5:DE26)*DC307</f>
        <v>0</v>
      </c>
      <c r="DE307" s="12"/>
      <c r="DG307" s="13"/>
      <c r="DH307" s="5"/>
      <c r="DI307" s="12"/>
      <c r="DK307" s="13"/>
      <c r="DL307" s="5"/>
      <c r="DM307" s="12"/>
      <c r="DO307" s="13"/>
      <c r="DP307" s="5"/>
      <c r="DQ307" s="12"/>
      <c r="DS307" s="1336">
        <f t="shared" si="5"/>
        <v>0</v>
      </c>
      <c r="DT307" s="121">
        <f>EXTRAS!D177</f>
        <v>0</v>
      </c>
      <c r="DU307" s="112">
        <f>EXTRAS!E177</f>
        <v>0</v>
      </c>
      <c r="DX307" s="203">
        <f t="shared" si="6"/>
        <v>0</v>
      </c>
      <c r="DZ307" s="924"/>
      <c r="EH307" s="924"/>
    </row>
    <row r="308" spans="1:138" s="6" customFormat="1" ht="15.75" customHeight="1">
      <c r="A308" s="3"/>
      <c r="B308" s="118" t="s">
        <v>1496</v>
      </c>
      <c r="C308" s="4" t="s">
        <v>0</v>
      </c>
      <c r="D308" s="2"/>
      <c r="E308" s="5"/>
      <c r="F308" s="5"/>
      <c r="G308" s="2"/>
      <c r="H308" s="4"/>
      <c r="I308" s="4"/>
      <c r="J308" s="2"/>
      <c r="K308" s="5"/>
      <c r="L308" s="5"/>
      <c r="M308" s="5"/>
      <c r="O308" s="5"/>
      <c r="P308" s="5"/>
      <c r="Q308" s="5"/>
      <c r="S308" s="5"/>
      <c r="T308" s="5"/>
      <c r="U308" s="5"/>
      <c r="W308" s="5"/>
      <c r="X308" s="5"/>
      <c r="Y308" s="12"/>
      <c r="AA308" s="13"/>
      <c r="AB308" s="12"/>
      <c r="AD308" s="13"/>
      <c r="AE308" s="5"/>
      <c r="AF308" s="5"/>
      <c r="AH308" s="13"/>
      <c r="AI308" s="5"/>
      <c r="AK308" s="5"/>
      <c r="AL308" s="5"/>
      <c r="AM308" s="5"/>
      <c r="AO308" s="5"/>
      <c r="AP308" s="5"/>
      <c r="AR308" s="5"/>
      <c r="AS308" s="5"/>
      <c r="AT308" s="5"/>
      <c r="AV308" s="5"/>
      <c r="AW308" s="5"/>
      <c r="AY308" s="5"/>
      <c r="AZ308" s="5"/>
      <c r="BA308" s="5"/>
      <c r="BC308" s="5"/>
      <c r="BD308" s="5"/>
      <c r="BF308" s="5"/>
      <c r="BG308" s="5"/>
      <c r="BH308" s="5"/>
      <c r="BJ308" s="5"/>
      <c r="BK308" s="5"/>
      <c r="BL308" s="12"/>
      <c r="BM308" s="5"/>
      <c r="BN308" s="5"/>
      <c r="BO308" s="5"/>
      <c r="BQ308" s="5"/>
      <c r="BR308" s="5"/>
      <c r="BT308" s="5"/>
      <c r="BU308" s="5"/>
      <c r="BV308" s="5"/>
      <c r="BX308" s="5"/>
      <c r="BY308" s="5"/>
      <c r="CA308" s="13"/>
      <c r="CB308" s="7"/>
      <c r="CC308" s="11"/>
      <c r="CE308" s="13"/>
      <c r="CF308" s="5"/>
      <c r="CG308" s="12"/>
      <c r="CI308" s="13"/>
      <c r="CJ308" s="5"/>
      <c r="CK308" s="12"/>
      <c r="CM308" s="13">
        <v>1</v>
      </c>
      <c r="CN308" s="5">
        <f>SUM(CO5:CO26)*CM308</f>
        <v>0</v>
      </c>
      <c r="CO308" s="12"/>
      <c r="CQ308" s="13"/>
      <c r="CR308" s="5"/>
      <c r="CS308" s="12"/>
      <c r="CU308" s="13"/>
      <c r="CV308" s="5"/>
      <c r="CW308" s="12"/>
      <c r="CY308" s="13"/>
      <c r="CZ308" s="5"/>
      <c r="DA308" s="12"/>
      <c r="DC308" s="13"/>
      <c r="DD308" s="5"/>
      <c r="DE308" s="12"/>
      <c r="DG308" s="13">
        <v>1</v>
      </c>
      <c r="DH308" s="5">
        <f>SUM(DI5:DI26)*DG308</f>
        <v>0</v>
      </c>
      <c r="DI308" s="12"/>
      <c r="DK308" s="13"/>
      <c r="DL308" s="5"/>
      <c r="DM308" s="12"/>
      <c r="DO308" s="13"/>
      <c r="DP308" s="5"/>
      <c r="DQ308" s="12"/>
      <c r="DS308" s="1336">
        <f t="shared" si="5"/>
        <v>0</v>
      </c>
      <c r="DT308" s="121">
        <f>EXTRAS!D178</f>
        <v>0</v>
      </c>
      <c r="DU308" s="112">
        <f>EXTRAS!E178</f>
        <v>0</v>
      </c>
      <c r="DX308" s="203">
        <f t="shared" si="6"/>
        <v>0</v>
      </c>
      <c r="DZ308" s="924"/>
      <c r="EH308" s="924"/>
    </row>
    <row r="309" spans="1:138" s="6" customFormat="1" ht="15.75" customHeight="1">
      <c r="A309" s="3"/>
      <c r="B309" s="118" t="s">
        <v>1540</v>
      </c>
      <c r="C309" s="4" t="s">
        <v>0</v>
      </c>
      <c r="D309" s="2"/>
      <c r="E309" s="5"/>
      <c r="F309" s="5"/>
      <c r="G309" s="2"/>
      <c r="H309" s="4"/>
      <c r="I309" s="4"/>
      <c r="J309" s="2"/>
      <c r="K309" s="5"/>
      <c r="L309" s="5"/>
      <c r="M309" s="5"/>
      <c r="O309" s="5"/>
      <c r="P309" s="5"/>
      <c r="Q309" s="5"/>
      <c r="S309" s="5"/>
      <c r="T309" s="5"/>
      <c r="U309" s="5"/>
      <c r="W309" s="5"/>
      <c r="X309" s="5"/>
      <c r="Y309" s="12"/>
      <c r="AA309" s="13"/>
      <c r="AB309" s="12"/>
      <c r="AD309" s="13"/>
      <c r="AE309" s="5"/>
      <c r="AF309" s="5"/>
      <c r="AH309" s="13"/>
      <c r="AI309" s="5"/>
      <c r="AK309" s="5"/>
      <c r="AL309" s="5"/>
      <c r="AM309" s="5"/>
      <c r="AO309" s="5"/>
      <c r="AP309" s="5"/>
      <c r="AR309" s="5"/>
      <c r="AS309" s="5"/>
      <c r="AT309" s="5"/>
      <c r="AV309" s="5"/>
      <c r="AW309" s="5"/>
      <c r="AY309" s="5"/>
      <c r="AZ309" s="5"/>
      <c r="BA309" s="5"/>
      <c r="BC309" s="5"/>
      <c r="BD309" s="5"/>
      <c r="BF309" s="5"/>
      <c r="BG309" s="5"/>
      <c r="BH309" s="5"/>
      <c r="BJ309" s="5"/>
      <c r="BK309" s="5"/>
      <c r="BL309" s="12"/>
      <c r="BM309" s="5"/>
      <c r="BN309" s="5"/>
      <c r="BO309" s="5"/>
      <c r="BQ309" s="5"/>
      <c r="BR309" s="5"/>
      <c r="BT309" s="5"/>
      <c r="BU309" s="5"/>
      <c r="BV309" s="5"/>
      <c r="BX309" s="5"/>
      <c r="BY309" s="5"/>
      <c r="CA309" s="13"/>
      <c r="CB309" s="7"/>
      <c r="CC309" s="11"/>
      <c r="CE309" s="13"/>
      <c r="CF309" s="5"/>
      <c r="CG309" s="12"/>
      <c r="CI309" s="13"/>
      <c r="CJ309" s="5"/>
      <c r="CK309" s="12"/>
      <c r="CM309" s="13"/>
      <c r="CN309" s="5"/>
      <c r="CO309" s="12"/>
      <c r="CQ309" s="13">
        <v>1</v>
      </c>
      <c r="CR309" s="5">
        <f>SUM(CS5:CS26)*CQ309</f>
        <v>0</v>
      </c>
      <c r="CS309" s="12"/>
      <c r="CU309" s="13"/>
      <c r="CV309" s="5"/>
      <c r="CW309" s="12"/>
      <c r="CY309" s="13"/>
      <c r="CZ309" s="5"/>
      <c r="DA309" s="12"/>
      <c r="DC309" s="13"/>
      <c r="DD309" s="5"/>
      <c r="DE309" s="12"/>
      <c r="DG309" s="13"/>
      <c r="DH309" s="5"/>
      <c r="DI309" s="12"/>
      <c r="DK309" s="13">
        <v>1</v>
      </c>
      <c r="DL309" s="5">
        <f>SUM(DM5:DM26)*DK309</f>
        <v>0</v>
      </c>
      <c r="DM309" s="12"/>
      <c r="DO309" s="13"/>
      <c r="DP309" s="5"/>
      <c r="DQ309" s="12"/>
      <c r="DS309" s="1336">
        <f t="shared" si="5"/>
        <v>0</v>
      </c>
      <c r="DT309" s="121">
        <f>EXTRAS!D179</f>
        <v>0</v>
      </c>
      <c r="DU309" s="112">
        <f>EXTRAS!E179</f>
        <v>0</v>
      </c>
      <c r="DX309" s="203">
        <f t="shared" si="6"/>
        <v>0</v>
      </c>
      <c r="DZ309" s="924"/>
      <c r="EH309" s="924"/>
    </row>
    <row r="310" spans="1:138" s="6" customFormat="1" ht="15.75" customHeight="1">
      <c r="A310" s="3"/>
      <c r="B310" s="118" t="s">
        <v>1560</v>
      </c>
      <c r="C310" s="4"/>
      <c r="D310" s="2"/>
      <c r="E310" s="5"/>
      <c r="F310" s="5"/>
      <c r="G310" s="2"/>
      <c r="H310" s="4"/>
      <c r="I310" s="4"/>
      <c r="J310" s="2"/>
      <c r="K310" s="5"/>
      <c r="L310" s="5"/>
      <c r="M310" s="5"/>
      <c r="O310" s="5"/>
      <c r="P310" s="5"/>
      <c r="Q310" s="5"/>
      <c r="S310" s="5"/>
      <c r="T310" s="5"/>
      <c r="U310" s="5"/>
      <c r="W310" s="5"/>
      <c r="X310" s="5"/>
      <c r="Y310" s="12"/>
      <c r="AA310" s="13"/>
      <c r="AB310" s="12"/>
      <c r="AD310" s="13"/>
      <c r="AE310" s="5"/>
      <c r="AF310" s="5"/>
      <c r="AH310" s="13"/>
      <c r="AI310" s="5"/>
      <c r="AK310" s="5"/>
      <c r="AL310" s="5"/>
      <c r="AM310" s="5"/>
      <c r="AO310" s="5"/>
      <c r="AP310" s="5"/>
      <c r="AR310" s="5"/>
      <c r="AS310" s="5"/>
      <c r="AT310" s="5"/>
      <c r="AV310" s="5"/>
      <c r="AW310" s="5"/>
      <c r="AY310" s="5"/>
      <c r="AZ310" s="5"/>
      <c r="BA310" s="5"/>
      <c r="BC310" s="5"/>
      <c r="BD310" s="5"/>
      <c r="BF310" s="5"/>
      <c r="BG310" s="5"/>
      <c r="BH310" s="5"/>
      <c r="BJ310" s="5"/>
      <c r="BK310" s="5"/>
      <c r="BL310" s="12"/>
      <c r="BM310" s="5"/>
      <c r="BN310" s="5"/>
      <c r="BO310" s="5"/>
      <c r="BQ310" s="5"/>
      <c r="BR310" s="5"/>
      <c r="BT310" s="5"/>
      <c r="BU310" s="5"/>
      <c r="BV310" s="5"/>
      <c r="BX310" s="5"/>
      <c r="BY310" s="5"/>
      <c r="CA310" s="13"/>
      <c r="CB310" s="7"/>
      <c r="CC310" s="11"/>
      <c r="CE310" s="13"/>
      <c r="CF310" s="5"/>
      <c r="CG310" s="12"/>
      <c r="CI310" s="13"/>
      <c r="CJ310" s="5"/>
      <c r="CK310" s="12"/>
      <c r="CM310" s="13"/>
      <c r="CN310" s="5"/>
      <c r="CO310" s="12"/>
      <c r="CQ310" s="13"/>
      <c r="CR310" s="5"/>
      <c r="CS310" s="12"/>
      <c r="CU310" s="13">
        <v>1</v>
      </c>
      <c r="CV310" s="5">
        <f>SUM(CV5:CV26,CW5:CW26)*CU310</f>
        <v>0</v>
      </c>
      <c r="CW310" s="12"/>
      <c r="CY310" s="13"/>
      <c r="CZ310" s="5"/>
      <c r="DA310" s="12"/>
      <c r="DC310" s="13"/>
      <c r="DD310" s="5"/>
      <c r="DE310" s="12"/>
      <c r="DG310" s="13"/>
      <c r="DH310" s="5"/>
      <c r="DI310" s="12"/>
      <c r="DK310" s="13"/>
      <c r="DL310" s="5"/>
      <c r="DM310" s="12"/>
      <c r="DO310" s="13">
        <v>1</v>
      </c>
      <c r="DP310" s="5">
        <f>DO310*SUM(DQ5:DQ26,DP5:DP26)</f>
        <v>0</v>
      </c>
      <c r="DQ310" s="12"/>
      <c r="DS310" s="1336">
        <f t="shared" si="5"/>
        <v>0</v>
      </c>
      <c r="DT310" s="121">
        <f>EXTRAS!D181</f>
        <v>0</v>
      </c>
      <c r="DU310" s="112">
        <f>EXTRAS!E181</f>
        <v>0</v>
      </c>
      <c r="DX310" s="203">
        <f t="shared" si="6"/>
        <v>0</v>
      </c>
      <c r="DZ310" s="924"/>
      <c r="EH310" s="924"/>
    </row>
    <row r="311" spans="1:138" s="6" customFormat="1" ht="15" customHeight="1">
      <c r="A311" s="3">
        <v>155</v>
      </c>
      <c r="B311" s="214" t="s">
        <v>305</v>
      </c>
      <c r="C311" s="473" t="s">
        <v>515</v>
      </c>
      <c r="D311" s="2"/>
      <c r="E311" s="5"/>
      <c r="F311" s="5"/>
      <c r="G311" s="2"/>
      <c r="H311" s="4"/>
      <c r="I311" s="4"/>
      <c r="J311" s="2"/>
      <c r="K311" s="5"/>
      <c r="L311" s="5"/>
      <c r="M311" s="5"/>
      <c r="O311" s="5"/>
      <c r="P311" s="5"/>
      <c r="Q311" s="5"/>
      <c r="S311" s="5"/>
      <c r="T311" s="5"/>
      <c r="U311" s="5"/>
      <c r="W311" s="5"/>
      <c r="X311" s="5"/>
      <c r="Y311" s="12"/>
      <c r="AA311" s="13"/>
      <c r="AB311" s="12"/>
      <c r="AD311" s="13"/>
      <c r="AE311" s="5"/>
      <c r="AF311" s="5"/>
      <c r="AH311" s="13"/>
      <c r="AI311" s="5"/>
      <c r="AK311" s="5"/>
      <c r="AL311" s="5"/>
      <c r="AM311" s="5"/>
      <c r="AO311" s="5"/>
      <c r="AP311" s="5"/>
      <c r="AR311" s="5"/>
      <c r="AS311" s="5"/>
      <c r="AT311" s="5"/>
      <c r="AV311" s="5"/>
      <c r="AW311" s="5"/>
      <c r="AY311" s="5"/>
      <c r="AZ311" s="5"/>
      <c r="BA311" s="5"/>
      <c r="BC311" s="5"/>
      <c r="BD311" s="5"/>
      <c r="BF311" s="5"/>
      <c r="BG311" s="5"/>
      <c r="BH311" s="5"/>
      <c r="BJ311" s="5"/>
      <c r="BK311" s="5"/>
      <c r="BL311" s="12"/>
      <c r="BM311" s="5"/>
      <c r="BN311" s="5"/>
      <c r="BO311" s="5"/>
      <c r="BQ311" s="5"/>
      <c r="BR311" s="5"/>
      <c r="BT311" s="5"/>
      <c r="BU311" s="5"/>
      <c r="BV311" s="5"/>
      <c r="BX311" s="5"/>
      <c r="BY311" s="5"/>
      <c r="CA311" s="13"/>
      <c r="CB311" s="7"/>
      <c r="CC311" s="11"/>
      <c r="CE311" s="13"/>
      <c r="CF311" s="5"/>
      <c r="CG311" s="12"/>
      <c r="CI311" s="13"/>
      <c r="CJ311" s="5"/>
      <c r="CK311" s="12"/>
      <c r="CM311" s="13"/>
      <c r="CN311" s="5"/>
      <c r="CO311" s="12"/>
      <c r="CQ311" s="13"/>
      <c r="CR311" s="5"/>
      <c r="CS311" s="12"/>
      <c r="CU311" s="13"/>
      <c r="CV311" s="5"/>
      <c r="CW311" s="12"/>
      <c r="CY311" s="13"/>
      <c r="CZ311" s="5"/>
      <c r="DA311" s="12"/>
      <c r="DC311" s="13"/>
      <c r="DD311" s="5"/>
      <c r="DE311" s="12"/>
      <c r="DG311" s="13"/>
      <c r="DH311" s="5"/>
      <c r="DI311" s="12"/>
      <c r="DK311" s="13"/>
      <c r="DL311" s="5"/>
      <c r="DM311" s="12"/>
      <c r="DO311" s="13"/>
      <c r="DP311" s="5"/>
      <c r="DQ311" s="12"/>
      <c r="DS311" s="1336">
        <f t="shared" si="5"/>
        <v>0</v>
      </c>
      <c r="DT311" s="121">
        <f>EXTRAS!D182</f>
        <v>0</v>
      </c>
      <c r="DU311" s="112">
        <f>EXTRAS!E182</f>
        <v>0</v>
      </c>
      <c r="DX311" s="203">
        <f t="shared" si="6"/>
        <v>0</v>
      </c>
      <c r="DZ311" s="924"/>
      <c r="EH311" s="924"/>
    </row>
    <row r="312" spans="1:138" s="6" customFormat="1" ht="15" customHeight="1">
      <c r="A312" s="3">
        <v>156</v>
      </c>
      <c r="B312" s="214" t="s">
        <v>306</v>
      </c>
      <c r="C312" s="473" t="s">
        <v>515</v>
      </c>
      <c r="D312" s="2"/>
      <c r="E312" s="5"/>
      <c r="F312" s="5"/>
      <c r="G312" s="2"/>
      <c r="H312" s="4"/>
      <c r="I312" s="4"/>
      <c r="J312" s="2"/>
      <c r="K312" s="5"/>
      <c r="L312" s="5"/>
      <c r="M312" s="5"/>
      <c r="O312" s="5"/>
      <c r="P312" s="5"/>
      <c r="Q312" s="5"/>
      <c r="S312" s="5"/>
      <c r="T312" s="5"/>
      <c r="U312" s="5"/>
      <c r="W312" s="5"/>
      <c r="X312" s="5"/>
      <c r="Y312" s="12"/>
      <c r="AA312" s="13"/>
      <c r="AB312" s="12"/>
      <c r="AD312" s="13"/>
      <c r="AE312" s="5"/>
      <c r="AF312" s="5"/>
      <c r="AH312" s="13"/>
      <c r="AI312" s="5"/>
      <c r="AK312" s="5"/>
      <c r="AL312" s="5"/>
      <c r="AM312" s="5"/>
      <c r="AO312" s="5"/>
      <c r="AP312" s="5"/>
      <c r="AR312" s="5"/>
      <c r="AS312" s="5"/>
      <c r="AT312" s="5"/>
      <c r="AV312" s="5"/>
      <c r="AW312" s="5"/>
      <c r="AY312" s="5"/>
      <c r="AZ312" s="5"/>
      <c r="BA312" s="5"/>
      <c r="BC312" s="5"/>
      <c r="BD312" s="5"/>
      <c r="BF312" s="5"/>
      <c r="BG312" s="5"/>
      <c r="BH312" s="5"/>
      <c r="BJ312" s="5"/>
      <c r="BK312" s="5"/>
      <c r="BL312" s="12"/>
      <c r="BM312" s="5"/>
      <c r="BN312" s="5"/>
      <c r="BO312" s="5"/>
      <c r="BQ312" s="5"/>
      <c r="BR312" s="5"/>
      <c r="BT312" s="5"/>
      <c r="BU312" s="5"/>
      <c r="BV312" s="5"/>
      <c r="BX312" s="5"/>
      <c r="BY312" s="5"/>
      <c r="CA312" s="13"/>
      <c r="CB312" s="7"/>
      <c r="CC312" s="11"/>
      <c r="CE312" s="13"/>
      <c r="CF312" s="5"/>
      <c r="CG312" s="12"/>
      <c r="CI312" s="13"/>
      <c r="CJ312" s="5"/>
      <c r="CK312" s="12"/>
      <c r="CM312" s="13"/>
      <c r="CN312" s="5"/>
      <c r="CO312" s="12"/>
      <c r="CQ312" s="13"/>
      <c r="CR312" s="5"/>
      <c r="CS312" s="12"/>
      <c r="CU312" s="13"/>
      <c r="CV312" s="5"/>
      <c r="CW312" s="12"/>
      <c r="CY312" s="13"/>
      <c r="CZ312" s="5"/>
      <c r="DA312" s="12"/>
      <c r="DC312" s="13"/>
      <c r="DD312" s="5"/>
      <c r="DE312" s="12"/>
      <c r="DG312" s="13"/>
      <c r="DH312" s="5"/>
      <c r="DI312" s="12"/>
      <c r="DK312" s="13"/>
      <c r="DL312" s="5"/>
      <c r="DM312" s="12"/>
      <c r="DO312" s="13"/>
      <c r="DP312" s="5"/>
      <c r="DQ312" s="12"/>
      <c r="DS312" s="1336">
        <f t="shared" si="5"/>
        <v>0</v>
      </c>
      <c r="DT312" s="121">
        <f>EXTRAS!D182</f>
        <v>0</v>
      </c>
      <c r="DU312" s="112">
        <f>EXTRAS!E182</f>
        <v>0</v>
      </c>
      <c r="DX312" s="203">
        <f t="shared" si="6"/>
        <v>0</v>
      </c>
      <c r="DZ312" s="924"/>
      <c r="EH312" s="924"/>
    </row>
    <row r="313" spans="1:138" s="6" customFormat="1" ht="15" customHeight="1">
      <c r="A313" s="3">
        <v>157</v>
      </c>
      <c r="B313" s="214" t="s">
        <v>399</v>
      </c>
      <c r="C313" s="473" t="s">
        <v>515</v>
      </c>
      <c r="D313" s="2"/>
      <c r="E313" s="5"/>
      <c r="F313" s="5"/>
      <c r="G313" s="2"/>
      <c r="H313" s="4"/>
      <c r="I313" s="4"/>
      <c r="J313" s="2"/>
      <c r="K313" s="5"/>
      <c r="L313" s="5"/>
      <c r="M313" s="5"/>
      <c r="O313" s="5"/>
      <c r="P313" s="5"/>
      <c r="Q313" s="5"/>
      <c r="S313" s="5"/>
      <c r="T313" s="5"/>
      <c r="U313" s="5"/>
      <c r="W313" s="5"/>
      <c r="X313" s="5"/>
      <c r="Y313" s="12"/>
      <c r="AA313" s="13"/>
      <c r="AB313" s="12"/>
      <c r="AD313" s="13"/>
      <c r="AE313" s="5"/>
      <c r="AF313" s="5"/>
      <c r="AH313" s="13"/>
      <c r="AI313" s="5"/>
      <c r="AK313" s="5"/>
      <c r="AL313" s="5"/>
      <c r="AM313" s="5"/>
      <c r="AO313" s="5"/>
      <c r="AP313" s="5"/>
      <c r="AR313" s="5"/>
      <c r="AS313" s="5"/>
      <c r="AT313" s="5"/>
      <c r="AV313" s="5"/>
      <c r="AW313" s="5"/>
      <c r="AY313" s="5"/>
      <c r="AZ313" s="5"/>
      <c r="BA313" s="5"/>
      <c r="BC313" s="5"/>
      <c r="BD313" s="5"/>
      <c r="BF313" s="5"/>
      <c r="BG313" s="5"/>
      <c r="BH313" s="5"/>
      <c r="BJ313" s="5"/>
      <c r="BK313" s="5"/>
      <c r="BL313" s="12"/>
      <c r="BM313" s="5"/>
      <c r="BN313" s="5"/>
      <c r="BO313" s="5"/>
      <c r="BQ313" s="5"/>
      <c r="BR313" s="5"/>
      <c r="BT313" s="5"/>
      <c r="BU313" s="5"/>
      <c r="BV313" s="5"/>
      <c r="BX313" s="5"/>
      <c r="BY313" s="5"/>
      <c r="CA313" s="13"/>
      <c r="CB313" s="7"/>
      <c r="CC313" s="11"/>
      <c r="CE313" s="13"/>
      <c r="CF313" s="5"/>
      <c r="CG313" s="12"/>
      <c r="CI313" s="13"/>
      <c r="CJ313" s="5"/>
      <c r="CK313" s="12"/>
      <c r="CM313" s="13"/>
      <c r="CN313" s="5"/>
      <c r="CO313" s="12"/>
      <c r="CQ313" s="13"/>
      <c r="CR313" s="5"/>
      <c r="CS313" s="12"/>
      <c r="CU313" s="13"/>
      <c r="CV313" s="5"/>
      <c r="CW313" s="12"/>
      <c r="CY313" s="13"/>
      <c r="CZ313" s="5"/>
      <c r="DA313" s="12"/>
      <c r="DC313" s="13"/>
      <c r="DD313" s="5"/>
      <c r="DE313" s="12"/>
      <c r="DG313" s="13"/>
      <c r="DH313" s="5"/>
      <c r="DI313" s="12"/>
      <c r="DK313" s="13"/>
      <c r="DL313" s="5"/>
      <c r="DM313" s="12"/>
      <c r="DO313" s="13"/>
      <c r="DP313" s="5"/>
      <c r="DQ313" s="12"/>
      <c r="DS313" s="1336">
        <f t="shared" si="5"/>
        <v>0</v>
      </c>
      <c r="DT313" s="121">
        <f>EXTRAS!D183</f>
        <v>0</v>
      </c>
      <c r="DU313" s="112">
        <f>EXTRAS!E183</f>
        <v>0</v>
      </c>
      <c r="DX313" s="203">
        <f t="shared" si="6"/>
        <v>0</v>
      </c>
      <c r="DZ313" s="924"/>
      <c r="EH313" s="924"/>
    </row>
    <row r="314" spans="1:138" s="6" customFormat="1" ht="15" customHeight="1">
      <c r="A314" s="3"/>
      <c r="B314" s="210" t="s">
        <v>1511</v>
      </c>
      <c r="C314" s="473" t="s">
        <v>515</v>
      </c>
      <c r="D314" s="2"/>
      <c r="E314" s="5"/>
      <c r="F314" s="5"/>
      <c r="G314" s="2"/>
      <c r="H314" s="4"/>
      <c r="I314" s="4"/>
      <c r="J314" s="2"/>
      <c r="K314" s="5"/>
      <c r="L314" s="5"/>
      <c r="M314" s="5"/>
      <c r="O314" s="5"/>
      <c r="P314" s="5"/>
      <c r="Q314" s="5"/>
      <c r="S314" s="5"/>
      <c r="T314" s="5"/>
      <c r="U314" s="5"/>
      <c r="W314" s="5"/>
      <c r="X314" s="5"/>
      <c r="Y314" s="12"/>
      <c r="AA314" s="13"/>
      <c r="AB314" s="12"/>
      <c r="AD314" s="13"/>
      <c r="AE314" s="5"/>
      <c r="AF314" s="5"/>
      <c r="AH314" s="13"/>
      <c r="AI314" s="5"/>
      <c r="AK314" s="5"/>
      <c r="AL314" s="5"/>
      <c r="AM314" s="5"/>
      <c r="AO314" s="5"/>
      <c r="AP314" s="5"/>
      <c r="AR314" s="5"/>
      <c r="AS314" s="5"/>
      <c r="AT314" s="5"/>
      <c r="AV314" s="5"/>
      <c r="AW314" s="5"/>
      <c r="AY314" s="5"/>
      <c r="AZ314" s="5"/>
      <c r="BA314" s="5"/>
      <c r="BC314" s="5"/>
      <c r="BD314" s="5"/>
      <c r="BF314" s="5"/>
      <c r="BG314" s="5"/>
      <c r="BH314" s="5"/>
      <c r="BJ314" s="5"/>
      <c r="BK314" s="5"/>
      <c r="BL314" s="12"/>
      <c r="BM314" s="5"/>
      <c r="BN314" s="5"/>
      <c r="BO314" s="5"/>
      <c r="BQ314" s="5"/>
      <c r="BR314" s="5"/>
      <c r="BT314" s="5"/>
      <c r="BU314" s="5"/>
      <c r="BV314" s="5"/>
      <c r="BX314" s="5"/>
      <c r="BY314" s="5"/>
      <c r="CA314" s="13"/>
      <c r="CB314" s="7"/>
      <c r="CC314" s="11"/>
      <c r="CE314" s="13"/>
      <c r="CF314" s="5"/>
      <c r="CG314" s="12"/>
      <c r="CI314" s="13"/>
      <c r="CJ314" s="5"/>
      <c r="CK314" s="12"/>
      <c r="CM314" s="13"/>
      <c r="CN314" s="5"/>
      <c r="CO314" s="12"/>
      <c r="CQ314" s="13"/>
      <c r="CR314" s="5"/>
      <c r="CS314" s="12"/>
      <c r="CU314" s="13"/>
      <c r="CV314" s="5"/>
      <c r="CW314" s="12"/>
      <c r="CY314" s="13"/>
      <c r="CZ314" s="5"/>
      <c r="DA314" s="12"/>
      <c r="DC314" s="13"/>
      <c r="DD314" s="5"/>
      <c r="DE314" s="12"/>
      <c r="DG314" s="13"/>
      <c r="DH314" s="5"/>
      <c r="DI314" s="12"/>
      <c r="DK314" s="13"/>
      <c r="DL314" s="5"/>
      <c r="DM314" s="12"/>
      <c r="DO314" s="13"/>
      <c r="DP314" s="5"/>
      <c r="DQ314" s="12"/>
      <c r="DS314" s="1336">
        <f t="shared" si="5"/>
        <v>0</v>
      </c>
      <c r="DT314" s="121">
        <f>EXTRAS!D184</f>
        <v>0</v>
      </c>
      <c r="DU314" s="112">
        <f>EXTRAS!E184</f>
        <v>0</v>
      </c>
      <c r="DX314" s="203">
        <f t="shared" si="6"/>
        <v>0</v>
      </c>
      <c r="DZ314" s="924"/>
      <c r="EH314" s="924"/>
    </row>
    <row r="315" spans="1:138" s="6" customFormat="1" ht="15" customHeight="1">
      <c r="A315" s="3"/>
      <c r="B315" s="210" t="s">
        <v>952</v>
      </c>
      <c r="C315" s="473" t="s">
        <v>515</v>
      </c>
      <c r="D315" s="2"/>
      <c r="E315" s="5"/>
      <c r="F315" s="5"/>
      <c r="G315" s="2"/>
      <c r="H315" s="4"/>
      <c r="I315" s="4"/>
      <c r="J315" s="2"/>
      <c r="K315" s="5"/>
      <c r="L315" s="5"/>
      <c r="M315" s="5"/>
      <c r="O315" s="5"/>
      <c r="P315" s="5"/>
      <c r="Q315" s="5"/>
      <c r="S315" s="5"/>
      <c r="T315" s="5"/>
      <c r="U315" s="5"/>
      <c r="W315" s="5"/>
      <c r="X315" s="5"/>
      <c r="Y315" s="12"/>
      <c r="AA315" s="13"/>
      <c r="AB315" s="12"/>
      <c r="AD315" s="13"/>
      <c r="AE315" s="5"/>
      <c r="AF315" s="5"/>
      <c r="AH315" s="13"/>
      <c r="AI315" s="5"/>
      <c r="AK315" s="5"/>
      <c r="AL315" s="5"/>
      <c r="AM315" s="5"/>
      <c r="AO315" s="5"/>
      <c r="AP315" s="5"/>
      <c r="AR315" s="5"/>
      <c r="AS315" s="5"/>
      <c r="AT315" s="5"/>
      <c r="AV315" s="5"/>
      <c r="AW315" s="5"/>
      <c r="AY315" s="5"/>
      <c r="AZ315" s="5"/>
      <c r="BA315" s="5"/>
      <c r="BC315" s="5"/>
      <c r="BD315" s="5"/>
      <c r="BF315" s="5"/>
      <c r="BG315" s="5"/>
      <c r="BH315" s="5"/>
      <c r="BJ315" s="5"/>
      <c r="BK315" s="5"/>
      <c r="BL315" s="12"/>
      <c r="BM315" s="5"/>
      <c r="BN315" s="5"/>
      <c r="BO315" s="5"/>
      <c r="BQ315" s="5"/>
      <c r="BR315" s="5"/>
      <c r="BT315" s="5"/>
      <c r="BU315" s="5"/>
      <c r="BV315" s="5"/>
      <c r="BX315" s="5"/>
      <c r="BY315" s="5"/>
      <c r="CA315" s="13"/>
      <c r="CB315" s="7"/>
      <c r="CC315" s="11"/>
      <c r="CE315" s="13"/>
      <c r="CF315" s="5"/>
      <c r="CG315" s="12"/>
      <c r="CI315" s="13"/>
      <c r="CJ315" s="5"/>
      <c r="CK315" s="12"/>
      <c r="CM315" s="13"/>
      <c r="CN315" s="5"/>
      <c r="CO315" s="12"/>
      <c r="CQ315" s="13"/>
      <c r="CR315" s="5"/>
      <c r="CS315" s="12"/>
      <c r="CU315" s="13"/>
      <c r="CV315" s="5"/>
      <c r="CW315" s="12"/>
      <c r="CY315" s="13"/>
      <c r="CZ315" s="5"/>
      <c r="DA315" s="12"/>
      <c r="DC315" s="13"/>
      <c r="DD315" s="5"/>
      <c r="DE315" s="12"/>
      <c r="DG315" s="13"/>
      <c r="DH315" s="5"/>
      <c r="DI315" s="12"/>
      <c r="DK315" s="13"/>
      <c r="DL315" s="5"/>
      <c r="DM315" s="12"/>
      <c r="DO315" s="13"/>
      <c r="DP315" s="5"/>
      <c r="DQ315" s="12"/>
      <c r="DS315" s="1336">
        <f t="shared" si="5"/>
        <v>0</v>
      </c>
      <c r="DT315" s="121">
        <f>EXTRAS!D185</f>
        <v>0</v>
      </c>
      <c r="DU315" s="112">
        <f>EXTRAS!E185</f>
        <v>0</v>
      </c>
      <c r="DX315" s="203">
        <f t="shared" si="6"/>
        <v>0</v>
      </c>
      <c r="DZ315" s="924"/>
      <c r="EH315" s="924"/>
    </row>
    <row r="316" spans="1:138" s="6" customFormat="1" ht="15" customHeight="1">
      <c r="A316" s="3">
        <v>158</v>
      </c>
      <c r="B316" s="210" t="s">
        <v>151</v>
      </c>
      <c r="C316" s="473" t="s">
        <v>515</v>
      </c>
      <c r="D316" s="2"/>
      <c r="E316" s="5"/>
      <c r="F316" s="5"/>
      <c r="G316" s="2"/>
      <c r="H316" s="4"/>
      <c r="I316" s="4"/>
      <c r="J316" s="2"/>
      <c r="K316" s="5"/>
      <c r="L316" s="5"/>
      <c r="M316" s="5"/>
      <c r="O316" s="5"/>
      <c r="P316" s="5"/>
      <c r="Q316" s="5"/>
      <c r="S316" s="5"/>
      <c r="T316" s="5"/>
      <c r="U316" s="5"/>
      <c r="W316" s="5"/>
      <c r="X316" s="5"/>
      <c r="Y316" s="12"/>
      <c r="AA316" s="13"/>
      <c r="AB316" s="12"/>
      <c r="AD316" s="13"/>
      <c r="AE316" s="5"/>
      <c r="AF316" s="5"/>
      <c r="AH316" s="13"/>
      <c r="AI316" s="5"/>
      <c r="AK316" s="5"/>
      <c r="AL316" s="5"/>
      <c r="AM316" s="5"/>
      <c r="AO316" s="5"/>
      <c r="AP316" s="5"/>
      <c r="AR316" s="5"/>
      <c r="AS316" s="5"/>
      <c r="AT316" s="5"/>
      <c r="AV316" s="5"/>
      <c r="AW316" s="5"/>
      <c r="AY316" s="5"/>
      <c r="AZ316" s="5"/>
      <c r="BA316" s="5"/>
      <c r="BC316" s="5"/>
      <c r="BD316" s="5"/>
      <c r="BF316" s="5"/>
      <c r="BG316" s="5"/>
      <c r="BH316" s="5"/>
      <c r="BJ316" s="5"/>
      <c r="BK316" s="5"/>
      <c r="BL316" s="12"/>
      <c r="BM316" s="5"/>
      <c r="BN316" s="5"/>
      <c r="BO316" s="5"/>
      <c r="BQ316" s="5"/>
      <c r="BR316" s="5"/>
      <c r="BT316" s="5"/>
      <c r="BU316" s="5"/>
      <c r="BV316" s="5"/>
      <c r="BX316" s="5"/>
      <c r="BY316" s="5"/>
      <c r="CA316" s="13">
        <v>2</v>
      </c>
      <c r="CB316" s="41">
        <f>SUM(CB5:CB26,CC5:CC26)*CA316</f>
        <v>0</v>
      </c>
      <c r="CC316" s="11"/>
      <c r="CE316" s="13"/>
      <c r="CF316" s="5"/>
      <c r="CG316" s="12"/>
      <c r="CI316" s="13"/>
      <c r="CJ316" s="5"/>
      <c r="CK316" s="12"/>
      <c r="CM316" s="13"/>
      <c r="CN316" s="5"/>
      <c r="CO316" s="12"/>
      <c r="CQ316" s="13"/>
      <c r="CR316" s="5"/>
      <c r="CS316" s="12"/>
      <c r="CU316" s="13"/>
      <c r="CV316" s="5"/>
      <c r="CW316" s="12"/>
      <c r="CY316" s="13"/>
      <c r="CZ316" s="5"/>
      <c r="DA316" s="12"/>
      <c r="DC316" s="13"/>
      <c r="DD316" s="5"/>
      <c r="DE316" s="12"/>
      <c r="DG316" s="13"/>
      <c r="DH316" s="5"/>
      <c r="DI316" s="12"/>
      <c r="DK316" s="13"/>
      <c r="DL316" s="5"/>
      <c r="DM316" s="12"/>
      <c r="DO316" s="13"/>
      <c r="DP316" s="5"/>
      <c r="DQ316" s="12"/>
      <c r="DS316" s="1336">
        <f t="shared" si="5"/>
        <v>0</v>
      </c>
      <c r="DT316" s="121">
        <f>EXTRAS!D186</f>
        <v>0</v>
      </c>
      <c r="DU316" s="112">
        <f>EXTRAS!E186</f>
        <v>0</v>
      </c>
      <c r="DX316" s="203">
        <f t="shared" si="6"/>
        <v>0</v>
      </c>
      <c r="DZ316" s="924"/>
      <c r="EH316" s="924"/>
    </row>
    <row r="317" spans="1:138" s="6" customFormat="1" ht="15" customHeight="1">
      <c r="A317" s="3">
        <v>159</v>
      </c>
      <c r="B317" s="210" t="s">
        <v>219</v>
      </c>
      <c r="C317" s="473" t="s">
        <v>515</v>
      </c>
      <c r="D317" s="2"/>
      <c r="E317" s="5"/>
      <c r="F317" s="5"/>
      <c r="G317" s="2"/>
      <c r="H317" s="4"/>
      <c r="I317" s="4"/>
      <c r="J317" s="2"/>
      <c r="K317" s="5"/>
      <c r="L317" s="5"/>
      <c r="M317" s="5"/>
      <c r="O317" s="5"/>
      <c r="P317" s="5"/>
      <c r="Q317" s="5"/>
      <c r="S317" s="5"/>
      <c r="T317" s="5"/>
      <c r="U317" s="5"/>
      <c r="W317" s="5"/>
      <c r="X317" s="5"/>
      <c r="Y317" s="12"/>
      <c r="AA317" s="13"/>
      <c r="AB317" s="12"/>
      <c r="AD317" s="13"/>
      <c r="AE317" s="5"/>
      <c r="AF317" s="5"/>
      <c r="AH317" s="13"/>
      <c r="AI317" s="5"/>
      <c r="AK317" s="5"/>
      <c r="AL317" s="5"/>
      <c r="AM317" s="5"/>
      <c r="AO317" s="5"/>
      <c r="AP317" s="5"/>
      <c r="AR317" s="5"/>
      <c r="AS317" s="5"/>
      <c r="AT317" s="5"/>
      <c r="AV317" s="5"/>
      <c r="AW317" s="5"/>
      <c r="AY317" s="5"/>
      <c r="AZ317" s="5"/>
      <c r="BA317" s="5"/>
      <c r="BC317" s="5"/>
      <c r="BD317" s="5"/>
      <c r="BF317" s="5"/>
      <c r="BG317" s="5"/>
      <c r="BH317" s="5"/>
      <c r="BJ317" s="5"/>
      <c r="BK317" s="5"/>
      <c r="BL317" s="12"/>
      <c r="BM317" s="5"/>
      <c r="BN317" s="5"/>
      <c r="BO317" s="5"/>
      <c r="BQ317" s="5"/>
      <c r="BR317" s="5"/>
      <c r="BT317" s="5"/>
      <c r="BU317" s="5"/>
      <c r="BV317" s="5"/>
      <c r="BX317" s="5"/>
      <c r="BY317" s="5"/>
      <c r="CA317" s="13"/>
      <c r="CB317" s="41"/>
      <c r="CC317" s="11"/>
      <c r="CE317" s="13"/>
      <c r="CF317" s="5"/>
      <c r="CG317" s="12"/>
      <c r="CI317" s="13"/>
      <c r="CJ317" s="5"/>
      <c r="CK317" s="12"/>
      <c r="CM317" s="13"/>
      <c r="CN317" s="5"/>
      <c r="CO317" s="12"/>
      <c r="CQ317" s="13"/>
      <c r="CR317" s="5"/>
      <c r="CS317" s="12"/>
      <c r="CU317" s="13"/>
      <c r="CV317" s="5"/>
      <c r="CW317" s="12"/>
      <c r="CY317" s="13"/>
      <c r="CZ317" s="5"/>
      <c r="DA317" s="12"/>
      <c r="DC317" s="13"/>
      <c r="DD317" s="5"/>
      <c r="DE317" s="12"/>
      <c r="DG317" s="13"/>
      <c r="DH317" s="5"/>
      <c r="DI317" s="12"/>
      <c r="DK317" s="13"/>
      <c r="DL317" s="5"/>
      <c r="DM317" s="12"/>
      <c r="DO317" s="13"/>
      <c r="DP317" s="5"/>
      <c r="DQ317" s="12"/>
      <c r="DS317" s="1336">
        <f t="shared" si="5"/>
        <v>0</v>
      </c>
      <c r="DT317" s="121">
        <f>EXTRAS!D187</f>
        <v>0</v>
      </c>
      <c r="DU317" s="112">
        <f>EXTRAS!E187</f>
        <v>0</v>
      </c>
      <c r="DX317" s="203">
        <f t="shared" si="6"/>
        <v>0</v>
      </c>
      <c r="DZ317" s="924"/>
      <c r="EH317" s="924"/>
    </row>
    <row r="318" spans="1:138" s="6" customFormat="1" ht="15" customHeight="1">
      <c r="A318" s="3">
        <v>160</v>
      </c>
      <c r="B318" s="210" t="s">
        <v>509</v>
      </c>
      <c r="C318" s="473" t="s">
        <v>515</v>
      </c>
      <c r="D318" s="2"/>
      <c r="E318" s="13"/>
      <c r="F318" s="5"/>
      <c r="G318" s="2"/>
      <c r="H318" s="4"/>
      <c r="I318" s="4"/>
      <c r="J318" s="2"/>
      <c r="K318" s="5"/>
      <c r="L318" s="5"/>
      <c r="M318" s="5"/>
      <c r="O318" s="5"/>
      <c r="P318" s="5"/>
      <c r="Q318" s="5"/>
      <c r="S318" s="5"/>
      <c r="T318" s="5"/>
      <c r="U318" s="5"/>
      <c r="W318" s="5"/>
      <c r="X318" s="5"/>
      <c r="Y318" s="12"/>
      <c r="AA318" s="13"/>
      <c r="AB318" s="12"/>
      <c r="AD318" s="13"/>
      <c r="AE318" s="5"/>
      <c r="AF318" s="5"/>
      <c r="AH318" s="13"/>
      <c r="AI318" s="5"/>
      <c r="AK318" s="13"/>
      <c r="AL318" s="5"/>
      <c r="AM318" s="5"/>
      <c r="AO318" s="13"/>
      <c r="AP318" s="5"/>
      <c r="AR318" s="5"/>
      <c r="AS318" s="5"/>
      <c r="AT318" s="5"/>
      <c r="AV318" s="5"/>
      <c r="AW318" s="5"/>
      <c r="AY318" s="5"/>
      <c r="AZ318" s="5"/>
      <c r="BA318" s="5"/>
      <c r="BC318" s="5"/>
      <c r="BD318" s="5"/>
      <c r="BF318" s="5"/>
      <c r="BG318" s="5">
        <f>BG5*BF318+BH5*BF318+BG9*BF318+BH9*BF318+BG6*BF318+BH6*BF318+BG7*BF318+BH8*BF318+BG10*BF318+BH10*BF318+BG11*BF318+BH11*BF318+BG13*BF318+BH13*BF318+BG14*BF318+BH14</f>
        <v>0</v>
      </c>
      <c r="BH318" s="5"/>
      <c r="BJ318" s="5"/>
      <c r="BK318" s="5">
        <f>BK5*BJ318+BL5*BJ318+BK9*BJ318+BL9*BJ318+BK6*BJ318+BL6*BJ318+BK7*BJ318+BL8*BJ318+BK10*BJ318+BL10*BJ318+BK11*BJ318+BL11*BJ318+BK13*BJ318+BL13*BJ318+BK14*BJ318+BL14</f>
        <v>0</v>
      </c>
      <c r="BL318" s="12"/>
      <c r="BM318" s="5"/>
      <c r="BN318" s="5">
        <f>BN5*BM318+BO5*BM318+BN9*BM318+BO9*BM318+BN6*BM318+BO6*BM318+BN7*BM318+BO8*BM318+BN10*BM318+BO10*BM318+BN11*BM318+BO11*BM318+BN13*BM318+BO13*BM318+BN14*BM318+BO14</f>
        <v>0</v>
      </c>
      <c r="BO318" s="5"/>
      <c r="BQ318" s="5"/>
      <c r="BR318" s="5">
        <f>BR5*BQ318+BS5*BQ318+BR9*BQ318+BS9*BQ318+BR6*BQ318+BS6*BQ318+BR7*BQ318+BS8*BQ318+BR10*BQ318+BS10*BQ318+BR11*BQ318+BS11*BQ318+BR13*BQ318+BS13*BQ318+BR14*BQ318+BS14</f>
        <v>0</v>
      </c>
      <c r="BT318" s="5"/>
      <c r="BU318" s="5"/>
      <c r="BV318" s="5"/>
      <c r="BX318" s="5"/>
      <c r="BY318" s="5"/>
      <c r="CA318" s="13"/>
      <c r="CB318" s="41"/>
      <c r="CC318" s="11"/>
      <c r="CE318" s="13"/>
      <c r="CF318" s="5"/>
      <c r="CG318" s="12"/>
      <c r="CI318" s="13"/>
      <c r="CJ318" s="5"/>
      <c r="CK318" s="12"/>
      <c r="CM318" s="13"/>
      <c r="CN318" s="5"/>
      <c r="CO318" s="12"/>
      <c r="CQ318" s="13"/>
      <c r="CR318" s="5"/>
      <c r="CS318" s="12"/>
      <c r="CU318" s="13"/>
      <c r="CV318" s="5"/>
      <c r="CW318" s="12"/>
      <c r="CY318" s="13"/>
      <c r="CZ318" s="5"/>
      <c r="DA318" s="12"/>
      <c r="DC318" s="13"/>
      <c r="DD318" s="5"/>
      <c r="DE318" s="12"/>
      <c r="DG318" s="13"/>
      <c r="DH318" s="5"/>
      <c r="DI318" s="12"/>
      <c r="DK318" s="13"/>
      <c r="DL318" s="5"/>
      <c r="DM318" s="12"/>
      <c r="DO318" s="13"/>
      <c r="DP318" s="5"/>
      <c r="DQ318" s="12"/>
      <c r="DS318" s="1336">
        <f t="shared" si="5"/>
        <v>0</v>
      </c>
      <c r="DT318" s="121">
        <f>EXTRAS!D188</f>
        <v>0</v>
      </c>
      <c r="DU318" s="112">
        <f>EXTRAS!E188</f>
        <v>0</v>
      </c>
      <c r="DX318" s="203">
        <f t="shared" si="6"/>
        <v>0</v>
      </c>
      <c r="DZ318" s="924"/>
      <c r="EH318" s="924"/>
    </row>
    <row r="319" spans="1:138" s="6" customFormat="1" ht="15" customHeight="1">
      <c r="A319" s="3">
        <v>161</v>
      </c>
      <c r="B319" s="210" t="s">
        <v>25</v>
      </c>
      <c r="C319" s="473" t="s">
        <v>515</v>
      </c>
      <c r="D319" s="4"/>
      <c r="E319" s="13">
        <v>0</v>
      </c>
      <c r="F319" s="5">
        <f>F5*E319+G5*E319+F7*E319+G7*E319+F9*E319+G9*E319+F6*E319+G6*E319+F10*E319+G10*E319+F11*E319+G11*E319+F13*E319+G13*E319+F14*E319+G14*E319</f>
        <v>0</v>
      </c>
      <c r="G319" s="4"/>
      <c r="H319" s="4">
        <v>1</v>
      </c>
      <c r="I319" s="658">
        <f>SUM(I5:I6,I9:I10,I13)*H319</f>
        <v>0</v>
      </c>
      <c r="J319" s="4"/>
      <c r="K319" s="5"/>
      <c r="L319" s="5"/>
      <c r="M319" s="5"/>
      <c r="O319" s="5">
        <v>2</v>
      </c>
      <c r="P319" s="5">
        <f>P5*O319+Q5*O319+P9*O319+Q9*O319</f>
        <v>0</v>
      </c>
      <c r="Q319" s="5"/>
      <c r="S319" s="5">
        <v>1</v>
      </c>
      <c r="T319" s="5">
        <f>T5*S319+U5*S319+T7*S319+U7*S319+T9*S319+U9*S319+T6*S319+U6*S319+T10*S319+U10*S319+T11*S319+U11*S319+T13*S319+U13*S319+T14*S319+U14*S319</f>
        <v>0</v>
      </c>
      <c r="U319" s="5"/>
      <c r="W319" s="5">
        <v>1</v>
      </c>
      <c r="X319" s="5">
        <f>X5*W319+Y5*W319+X7*W319+Y7*W319+X9*W319+Y9*W319+X6*W319+Y6*W319+X10*W319+Y10*W319+X11*W319+Y11*W319+X13*W319+Y13*W319+X14*W319+Y14*W319</f>
        <v>0</v>
      </c>
      <c r="Y319" s="12"/>
      <c r="AA319" s="13">
        <v>1</v>
      </c>
      <c r="AB319" s="5">
        <f>AB5*AA319+AC5+AB7*AA319+AB9*AA319+AB6*AA319+AB10*AA319+AB11*AA319+AB13*AA319+AB14*AA319</f>
        <v>0</v>
      </c>
      <c r="AD319" s="13">
        <v>0</v>
      </c>
      <c r="AE319" s="5">
        <f>AE5*AD319+AF5*AD319+AE7*AD319+AF7*AD319+AE9*AD319+AF9*AD319+AE6*AD319+AF6*AD319+AE10*AD319+AF10*AD319+AE11*AD319+AF11*AD319+AE13*AD319+AF13*AD319+AE14*AD319+AF14*AD319</f>
        <v>0</v>
      </c>
      <c r="AF319" s="5"/>
      <c r="AH319" s="13">
        <v>0</v>
      </c>
      <c r="AI319" s="5">
        <f>AI5*AH319+AJ5*AH319+AI7*AH319+AJ7*AH319+AI9*AH319+AJ9*AH319+AI6*AH319+AJ6*AH319+AI10*AH319+AJ10*AH319+AI11*AH319+AJ11*AH319+AI13*AH319+AJ13*AH319+AI14*AH319+AJ14*AH319</f>
        <v>0</v>
      </c>
      <c r="AK319" s="13">
        <v>0</v>
      </c>
      <c r="AL319" s="5">
        <f>AL5*AK319+AM5*AK319+AL7*AK319+AM7*AK319+AL9*AK319+AM9*AK319+AL6*AK319+AM6*AK319+AL10*AK319+AM10*AK319+AL11*AK319+AM11*AK319+AL13*AK319+AM13*AK319+AL14*AK319+AM14*AK319</f>
        <v>0</v>
      </c>
      <c r="AM319" s="5"/>
      <c r="AO319" s="13">
        <v>0</v>
      </c>
      <c r="AP319" s="5">
        <f>AP5*AO319+AQ5*AO319+AP7*AO319+AQ7*AO319+AP9*AO319+AQ9*AO319+AP6*AO319+AQ6*AO319+AP10*AO319+AQ10*AO319+AP11*AO319+AQ11*AO319+AP13*AO319+AQ13*AO319+AP14*AO319+AQ14*AO319</f>
        <v>0</v>
      </c>
      <c r="AR319" s="5">
        <v>0</v>
      </c>
      <c r="AS319" s="5">
        <f>AS5*AR319+AT5*AR319+AS6*AR319+AT6*AR319+AS9*AR319+AT9*AR319+AS10*AR319+AT10*AR319+AS13*AR319+AT13*AR319</f>
        <v>0</v>
      </c>
      <c r="AT319" s="5"/>
      <c r="AV319" s="5">
        <v>0</v>
      </c>
      <c r="AW319" s="5">
        <f>AW5*AV319+AX5*AV319+AW6*AV319+AX6*AV319+AW9*AV319+AX9*AV319+AW10*AV319+AX10*AV319+AW13*AV319+AX13*AV319</f>
        <v>0</v>
      </c>
      <c r="AY319" s="5">
        <v>1</v>
      </c>
      <c r="AZ319" s="5">
        <f>AZ5*AY319+BA5*AY319+AZ6*AY319+BA6*AY319+AZ9*AY319+BA9*AY319+AZ10*AY319+BA10*AY319+AZ13*AY319+BA13*AY319</f>
        <v>0</v>
      </c>
      <c r="BA319" s="5"/>
      <c r="BC319" s="5">
        <v>1</v>
      </c>
      <c r="BD319" s="5">
        <f>BD5*BC319+BE5*BC319+BD6*BC319+BE6*BC319+BD9*BC319+BE9*BC319+BD10*BC319+BE10*BC319+BD13*BC319+BE13*BC319</f>
        <v>0</v>
      </c>
      <c r="BF319" s="5">
        <v>1</v>
      </c>
      <c r="BG319" s="5">
        <f>BG5*BF319+BH5*BF319+BG9*BF319+BH9*BF319+BG6*BF319+BH6*BF319+BG7*BF319+BH8*BF319+BG10*BF319+BH10*BF319+BG11*BF319+BH11*BF319+BG13*BF319+BH13*BF319+BG14*BF319+BH14</f>
        <v>0</v>
      </c>
      <c r="BH319" s="5"/>
      <c r="BJ319" s="5">
        <v>1</v>
      </c>
      <c r="BK319" s="5">
        <f>BK5*BJ319+BL5*BJ319+BK9*BJ319+BL9*BJ319+BK6*BJ319+BL6*BJ319+BK7*BJ319+BL8*BJ319+BK10*BJ319+BL10*BJ319+BK11*BJ319+BL11*BJ319+BK13*BJ319+BL13*BJ319+BK14*BJ319+BL14</f>
        <v>0</v>
      </c>
      <c r="BL319" s="12"/>
      <c r="BM319" s="5">
        <v>1</v>
      </c>
      <c r="BN319" s="5">
        <f>BN5*BM319+BO5*BM319+BN9*BM319+BO9*BM319+BN6*BM319+BO6*BM319+BN7*BM319+BN10*BM319+BO10*BM319+BN11*BM319+BO11*BM319+BN13*BM319+BO13*BM319+BN14*BM319+BO14*BM319+BO7*BM319</f>
        <v>0</v>
      </c>
      <c r="BO319" s="5"/>
      <c r="BQ319" s="5">
        <v>1</v>
      </c>
      <c r="BR319" s="5">
        <f>BR5*BQ319+BS5*BQ319+BR9*BQ319+BS9*BQ319+BR6*BQ319+BS6*BQ319+BR7*BQ319+BR10*BQ319+BS10*BQ319+BR11*BQ319+BS11*BQ319+BR13*BQ319+BS13*BQ319+BR14*BQ319+BS14*BQ319+BS7*BQ319</f>
        <v>0</v>
      </c>
      <c r="BT319" s="5">
        <v>3</v>
      </c>
      <c r="BU319" s="5">
        <f>BU5*BT319+BV5*BT319+BU7*BT319+BV7*BT319+BU9*BT319+BV9*BT319+BU6*BT319+BV6*BT319+BU10*BT319+BV10*BT319+BU11*BT319+BV11*BT319+BU13*BT319+BV13*BT319+BU14*BT319+BV14*BT319</f>
        <v>0</v>
      </c>
      <c r="BV319" s="5"/>
      <c r="BX319" s="5">
        <v>3</v>
      </c>
      <c r="BY319" s="5">
        <f>BY5*BX319+BZ5*BX319+BY7*BX319+BZ7*BX319+BY9*BX319+BZ9*BX319+BY6*BX319+BZ6*BX319+BY10*BX319+BZ10*BX319+BY11*BX319+BZ11*BX319+BY13*BX319+BZ13*BX319+BY14*BX319+BZ14*BX319</f>
        <v>0</v>
      </c>
      <c r="CA319" s="13">
        <v>1</v>
      </c>
      <c r="CB319" s="5">
        <f>CB7*CA319+CC7*CA319+CB6*CA319+CC6*CA319+CB10*CA319+CC10*CA319+CB11*CA319+CC11*CA319+CB13*CA319+CC13*CA319+CB14*CA319+CC14*CA319+CB5*2+CC5*2+CB9*2+CC9*2</f>
        <v>0</v>
      </c>
      <c r="CC319" s="11"/>
      <c r="CE319" s="21" t="s">
        <v>155</v>
      </c>
      <c r="CF319" s="5"/>
      <c r="CG319" s="12"/>
      <c r="CI319" s="13"/>
      <c r="CJ319" s="5"/>
      <c r="CK319" s="12"/>
      <c r="CM319" s="13"/>
      <c r="CN319" s="5"/>
      <c r="CO319" s="12"/>
      <c r="CQ319" s="13"/>
      <c r="CR319" s="5"/>
      <c r="CS319" s="12"/>
      <c r="CU319" s="13"/>
      <c r="CV319" s="5"/>
      <c r="CW319" s="12"/>
      <c r="CY319" s="21" t="s">
        <v>155</v>
      </c>
      <c r="CZ319" s="5">
        <f>CZ5*5+DA5*5+CZ7*2+DA7*2+CZ9*5+DA9*5+CZ6*2+DA6*2+CZ10*2+DA10*2+CZ11*2+DA11*2+CZ13*2+DA13*2+CZ14*2+DA14*2</f>
        <v>0</v>
      </c>
      <c r="DA319" s="12"/>
      <c r="DC319" s="13">
        <v>2</v>
      </c>
      <c r="DD319" s="5">
        <f>DD5*5+DE5*5+DD7*2+DE7*2+DD9*5+DE9*5+DD6*2+DE6*2+DD10*2+DE10*2+DD11*2+DE11*2+DD13*2+DE13*2+DD14*2+DE14*2</f>
        <v>0</v>
      </c>
      <c r="DE319" s="12"/>
      <c r="DG319" s="13">
        <v>2</v>
      </c>
      <c r="DH319" s="5">
        <f>DH5*5+DI5*5+DH7*2+DI7*2+DH9*5+DI9*5+DH6*2+DI6*2+DH10*2+DI10*2+DH11*2+DI11*2+DH13*2+DI13*2+DH14*2+DI14*2</f>
        <v>0</v>
      </c>
      <c r="DI319" s="12"/>
      <c r="DK319" s="13">
        <v>2</v>
      </c>
      <c r="DL319" s="5">
        <f>DL5*5+DM5*5+DL7*2+DM7*2+DL9*5+DM9*5+DL6*2+DM6*2+DL10*2+DM10*2+DL11*2+DM11*2+DL13*2+DM13*2+DL14*2+DM14*2</f>
        <v>0</v>
      </c>
      <c r="DM319" s="12"/>
      <c r="DO319" s="13">
        <v>2</v>
      </c>
      <c r="DP319" s="5">
        <f>DP5*5+DQ5*5+DP7*2+DQ7*2+DP9*5+DQ9*5+DP6*2+DQ6*2+DP10*2+DQ10*2+DP11*2+DQ11*2+DP13*2+DQ13*2+DP14*2+DQ14*2</f>
        <v>0</v>
      </c>
      <c r="DQ319" s="12"/>
      <c r="DS319" s="1336">
        <f t="shared" si="5"/>
        <v>0</v>
      </c>
      <c r="DT319" s="121">
        <f>EXTRAS!D189</f>
        <v>0</v>
      </c>
      <c r="DU319" s="112">
        <f>EXTRAS!E189</f>
        <v>0</v>
      </c>
      <c r="DX319" s="203">
        <f t="shared" si="6"/>
        <v>0</v>
      </c>
      <c r="DZ319" s="924"/>
      <c r="EH319" s="924"/>
    </row>
    <row r="320" spans="1:138" s="6" customFormat="1" ht="15" customHeight="1">
      <c r="A320" s="3">
        <v>162</v>
      </c>
      <c r="B320" s="210" t="s">
        <v>26</v>
      </c>
      <c r="C320" s="473" t="s">
        <v>515</v>
      </c>
      <c r="D320" s="4"/>
      <c r="E320" s="13">
        <v>2</v>
      </c>
      <c r="F320" s="5">
        <f>SUM(F5:F7,F9:F11,F13:F14)*E320</f>
        <v>0</v>
      </c>
      <c r="G320" s="4"/>
      <c r="H320" s="4">
        <v>1</v>
      </c>
      <c r="I320" s="658">
        <f>SUM(I7:I8,I11:I12,I14:I15)*H320</f>
        <v>0</v>
      </c>
      <c r="J320" s="4"/>
      <c r="K320" s="5"/>
      <c r="L320" s="5"/>
      <c r="M320" s="5"/>
      <c r="O320" s="5">
        <v>2</v>
      </c>
      <c r="P320" s="5">
        <f>P6*O320+Q6*O320+P7*O320+Q7*O320+P8*O320+Q8*O320+P10*O320+Q10*O320+P11*O320+Q11*O320+P12*O320+P13*O320+Q13*O320+Q12*O320+P14*O320+Q14*O320+P15*O320+Q15*O320</f>
        <v>0</v>
      </c>
      <c r="Q320" s="5"/>
      <c r="S320" s="5">
        <v>1</v>
      </c>
      <c r="T320" s="5">
        <f>T8*S320+U8*S320+T12*S320+U12*S320+T15*S320+U15*S320</f>
        <v>0</v>
      </c>
      <c r="U320" s="5"/>
      <c r="W320" s="5">
        <v>1</v>
      </c>
      <c r="X320" s="5">
        <f>X8*W320+Y8*W320+X12*W320+Y12*W320+X15*W320+Y15*W320</f>
        <v>0</v>
      </c>
      <c r="Y320" s="12"/>
      <c r="AA320" s="13">
        <v>1</v>
      </c>
      <c r="AB320" s="5">
        <f>AB8*AA320+AB12*AA320+AB15*AA320</f>
        <v>0</v>
      </c>
      <c r="AD320" s="13">
        <v>2</v>
      </c>
      <c r="AE320" s="5">
        <f>AE5*AD320+AF5*AD320+AE7*AD320+AF7*AD320+AE9*AD320+AF9*AD320+AE6*AD320+AF6*AD320+AE10*AD320+AF10*AD320+AE11*AD320+AF11*AD320+AE13*AD320+AF13*AD320+AE14*AD320+AF14*AD320</f>
        <v>0</v>
      </c>
      <c r="AF320" s="5"/>
      <c r="AH320" s="13">
        <v>2</v>
      </c>
      <c r="AI320" s="5">
        <f>AI5*AH320+AJ5*AH320+AI7*AH320+AJ7*AH320+AI9*AH320+AJ9*AH320+AI6*AH320+AJ6*AH320+AI10*AH320+AJ10*AH320+AI11*AH320+AJ11*AH320+AI13*AH320+AJ13*AH320+AI14*AH320+AJ14*AH320</f>
        <v>0</v>
      </c>
      <c r="AK320" s="13">
        <v>2</v>
      </c>
      <c r="AL320" s="5">
        <f>AL5*AK320+AM5*AK320+AL7*AK320+AM7*AK320+AL9*AK320+AM9*AK320+AL6*AK320+AM6*AK320+AL10*AK320+AM10*AK320+AL11*AK320+AM11*AK320+AL13*AK320+AM13*AK320+AL14*AK320+AM14*AK320</f>
        <v>0</v>
      </c>
      <c r="AM320" s="5"/>
      <c r="AO320" s="13">
        <v>2</v>
      </c>
      <c r="AP320" s="5">
        <f>AP5*AO320+AQ5*AO320+AP7*AO320+AQ7*AO320+AP9*AO320+AQ9*AO320+AP6*AO320+AQ6*AO320+AP10*AO320+AQ10*AO320+AP11*AO320+AQ11*AO320+AP13*AO320+AQ13*AO320+AP14*AO320+AQ14*AO320</f>
        <v>0</v>
      </c>
      <c r="AR320" s="13">
        <v>1</v>
      </c>
      <c r="AS320" s="5">
        <f>AS5*AR320+AT5*AR320+AS7*AR320+AT7*AR320+AS9*AR320+AT9*AR320+AS6*AR320+AT6*AR320+AS10*AR320+AT10*AR320+AS11*AR320+AT11*AR320+AS13*AR320+AT13*AR320+AS14*AR320+AT14*AR320</f>
        <v>0</v>
      </c>
      <c r="AT320" s="5"/>
      <c r="AV320" s="13">
        <v>1</v>
      </c>
      <c r="AW320" s="5">
        <f>AW5*AV320+AX5*AV320+AW7*AV320+AX7*AV320+AW9*AV320+AX9*AV320+AW6*AV320+AX6*AV320+AW10*AV320+AX10*AV320+AW11*AV320+AX11*AV320+AW13*AV320+AX13*AV320+AW14*AV320+AX14*AV320</f>
        <v>0</v>
      </c>
      <c r="AY320" s="5">
        <v>2</v>
      </c>
      <c r="AZ320" s="5">
        <f>AZ5*AY320+BA5*AY320+AZ6*AY320+BA6*AY320+AZ9*AY320+BA9*AY320+AZ10*AY320+BA10*AY320+AZ13*AY320+BA13*AY320+AZ8*AY320/2+BA8*AY320/2+AZ12*AY320/2+BA12*AY320/2+AZ15*AY320/2+BA15*AY320/2+AZ7*AY320/2+BA7*AY320/2+AZ11*AY320/2+BA11*AY320/2+AZ14*AY320/2+BA14*AY320/2</f>
        <v>0</v>
      </c>
      <c r="BA320" s="5"/>
      <c r="BC320" s="5">
        <v>2</v>
      </c>
      <c r="BD320" s="5">
        <f>BD5*BC320+BE5*BC320+BD6*BC320+BE6*BC320+BD9*BC320+BE9*BC320+BD10*BC320+BE10*BC320+BD13*BC320+BE13*BC320+BD8*BC320/2+BE8*BC320/2+BD12*BC320/2+BE12*BC320/2+BD15*BC320/2+BE15*BC320/2+BD7*BC320/2+BE7*BC320/2+BD11*BC320/2+BE11*BC320/2+BD14*BC320/2+BE14*BC320/2</f>
        <v>0</v>
      </c>
      <c r="BF320" s="5">
        <v>1</v>
      </c>
      <c r="BG320" s="5">
        <f>BG8*BF320+BH8*BF320+BG12*BF320+BH12*BF320</f>
        <v>0</v>
      </c>
      <c r="BH320" s="5"/>
      <c r="BJ320" s="5">
        <v>1</v>
      </c>
      <c r="BK320" s="5">
        <f>BK8*BJ320+BL8*BJ320+BK12*BJ320+BL12*BJ320</f>
        <v>0</v>
      </c>
      <c r="BL320" s="12"/>
      <c r="BM320" s="5">
        <v>2</v>
      </c>
      <c r="BN320" s="5">
        <f>BN5*BM320+BO5*BM320+BN9*BM320+BO9*BM320+BN6*BM320+BO6*BM320+BN7*BM320+BN10*BM320+BO10*BM320+BN11*BM320+BO11*BM320+BN13*BM320+BO13*BM320+BN14*BM320+BO14*BM320+BO7*BM320+BN8*3+BO8*3+BN12*3+BO12*3+BN15*3+BO15*3</f>
        <v>0</v>
      </c>
      <c r="BO320" s="5"/>
      <c r="BQ320" s="5">
        <v>2</v>
      </c>
      <c r="BR320" s="5">
        <f>BR5*BQ320+BS5*BQ320+BR9*BQ320+BS9*BQ320+BR6*BQ320+BS6*BQ320+BR7*BQ320+BR10*BQ320+BS10*BQ320+BR11*BQ320+BS11*BQ320+BR13*BQ320+BS13*BQ320+BR14*BQ320+BS14*BQ320+BS7*BQ320+BR8*3+BS8*3+BR12*3+BS12*3+BR15*3+BS15*3</f>
        <v>0</v>
      </c>
      <c r="BT320" s="5">
        <v>3</v>
      </c>
      <c r="BU320" s="5">
        <f>BU8*BT320+BV8*BT320+BU12*BT320+BV12*BT320+BU15*BT320+BV15*BT320</f>
        <v>0</v>
      </c>
      <c r="BV320" s="5"/>
      <c r="BX320" s="5">
        <v>3</v>
      </c>
      <c r="BY320" s="5">
        <f>BY8*BX320+BZ8*BX320+BY12*BX320+BZ12*BX320+BY15*BX320+BZ15*BX320</f>
        <v>0</v>
      </c>
      <c r="CA320" s="13">
        <v>1</v>
      </c>
      <c r="CB320" s="7">
        <f>CB5*CA320+CC5*CA320+CB7*CA320+CC7*CA320+CB6*CA320+CC6*CA320+CB8*CA320+CC8*CA320+CB9*CA320+CC9*CA320+CB10*CA320+CC10*CA320+CB11*CA320+CC11*CA320+CB12*CA320+CC12*CA320+CB13*CA320+CC13*CA320+CB14*CA320+CC14*CA320+CB15*CA320+CC15*CA320</f>
        <v>0</v>
      </c>
      <c r="CC320" s="11">
        <f>C15*1</f>
        <v>0</v>
      </c>
      <c r="CE320" s="21" t="s">
        <v>155</v>
      </c>
      <c r="CF320" s="7">
        <f>CF7*3+CG7*3+CF6*3+CG6*3+CF8*2+CG8*2+CF10*3+CG10*3+CF11*3+CG11*3+CF12*2+CG12*2+CF13*3+CG13*3+CF14*3+CG14*3+CF15*2+CG15*2</f>
        <v>0</v>
      </c>
      <c r="CG320" s="12"/>
      <c r="CI320" s="13">
        <v>3</v>
      </c>
      <c r="CJ320" s="7">
        <f>CJ7*3+CK7*3+CJ6*3+CK6*3+CJ8*2+CK8*2+CJ10*3+CK10*3+CJ11*3+CK11*3+CJ12*2+CK12*2+CJ13*3+CK13*3+CJ14*3+CK14*3+CJ15*2+CK15*2</f>
        <v>0</v>
      </c>
      <c r="CK320" s="12"/>
      <c r="CM320" s="13">
        <v>3</v>
      </c>
      <c r="CN320" s="7">
        <f>CN7*3+CO7*3+CN6*3+CO6*3+CN8*2+CO8*2+CN10*3+CO10*3+CN11*3+CO11*3+CN12*2+CO12*2+CN13*3+CO13*3+CN14*3+CO14*3+CN15*2+CO15*2</f>
        <v>0</v>
      </c>
      <c r="CO320" s="12"/>
      <c r="CQ320" s="13">
        <v>3</v>
      </c>
      <c r="CR320" s="7">
        <f>CR7*3+CS7*3+CR6*3+CS6*3+CR8*2+CS8*2+CR10*3+CS10*3+CR11*3+CS11*3+CR12*2+CS12*2+CR13*3+CS13*3+CR14*3+CS14*3+CR15*2+CS15*2</f>
        <v>0</v>
      </c>
      <c r="CS320" s="12"/>
      <c r="CU320" s="13">
        <v>3</v>
      </c>
      <c r="CV320" s="7">
        <f>CV7*3+CW7*3+CV6*3+CW6*3+CV8*2+CW8*2+CV10*3+CW10*3+CV11*3+CW11*3+CV12*2+CW12*2+CV13*3+CW13*3+CV14*3+CW14*3+CV15*2+CW15*2</f>
        <v>0</v>
      </c>
      <c r="CW320" s="12"/>
      <c r="CY320" s="21" t="s">
        <v>155</v>
      </c>
      <c r="CZ320" s="7">
        <f>CZ7*3+DA7*3+CZ6*3+DA6*3+CZ8*2+DA8*2+CZ10*3+DA10*3+CZ11*3+DA11*3+CZ12*2+DA12*2+CZ13*3+DA13*3+CZ14*3+DA14*3+CZ15*2+DA15*2</f>
        <v>0</v>
      </c>
      <c r="DA320" s="12"/>
      <c r="DC320" s="13">
        <v>3</v>
      </c>
      <c r="DD320" s="7">
        <f>DD7*3+DE7*3+DD6*3+DE6*3+DD8*2+DE8*2+DD10*3+DE10*3+DD11*3+DE11*3+DD12*2+DE12*2+DD13*3+DE13*3+DD14*3+DE14*3+DD15*2+DE15*2</f>
        <v>0</v>
      </c>
      <c r="DE320" s="12"/>
      <c r="DG320" s="13">
        <v>3</v>
      </c>
      <c r="DH320" s="7">
        <f>DH7*3+DI7*3+DH6*3+DI6*3+DH8*2+DI8*2+DH10*3+DI10*3+DH11*3+DI11*3+DH12*2+DI12*2+DH13*3+DI13*3+DH14*3+DI14*3+DH15*2+DI15*2</f>
        <v>0</v>
      </c>
      <c r="DI320" s="12"/>
      <c r="DK320" s="13">
        <v>3</v>
      </c>
      <c r="DL320" s="7">
        <f>DL7*3+DM7*3+DL6*3+DM6*3+DL8*2+DM8*2+DL10*3+DM10*3+DL11*3+DM11*3+DL12*2+DM12*2+DL13*3+DM13*3+DL14*3+DM14*3+DL15*2+DM15*2</f>
        <v>0</v>
      </c>
      <c r="DM320" s="12"/>
      <c r="DO320" s="13">
        <v>3</v>
      </c>
      <c r="DP320" s="7">
        <f>DP7*3+DQ7*3+DP6*3+DQ6*3+DP8*2+DQ8*2+DP10*3+DQ10*3+DP11*3+DQ11*3+DP12*2+DQ12*2+DP13*3+DQ13*3+DP14*3+DQ14*3+DP15*2+DQ15*2</f>
        <v>0</v>
      </c>
      <c r="DQ320" s="12"/>
      <c r="DS320" s="1336">
        <f t="shared" si="5"/>
        <v>0</v>
      </c>
      <c r="DT320" s="121">
        <f>EXTRAS!D190</f>
        <v>0</v>
      </c>
      <c r="DU320" s="112">
        <f>EXTRAS!E190</f>
        <v>0</v>
      </c>
      <c r="DX320" s="203">
        <f t="shared" si="6"/>
        <v>0</v>
      </c>
      <c r="DZ320" s="924"/>
      <c r="EH320" s="924"/>
    </row>
    <row r="321" spans="1:138" s="6" customFormat="1" ht="15" customHeight="1">
      <c r="A321" s="3">
        <v>163</v>
      </c>
      <c r="B321" s="210" t="s">
        <v>27</v>
      </c>
      <c r="C321" s="473" t="s">
        <v>515</v>
      </c>
      <c r="D321" s="4"/>
      <c r="E321" s="13">
        <v>2</v>
      </c>
      <c r="F321" s="5">
        <f>F8*E321+G8*E321+F12*E321+G12*E321+F15*E321+G15*E321</f>
        <v>0</v>
      </c>
      <c r="G321" s="4"/>
      <c r="H321" s="4"/>
      <c r="I321" s="4"/>
      <c r="J321" s="4"/>
      <c r="K321" s="5"/>
      <c r="L321" s="5"/>
      <c r="M321" s="5"/>
      <c r="O321" s="5"/>
      <c r="P321" s="5"/>
      <c r="Q321" s="5"/>
      <c r="S321" s="5"/>
      <c r="T321" s="5"/>
      <c r="U321" s="5"/>
      <c r="W321" s="5"/>
      <c r="X321" s="5"/>
      <c r="Y321" s="12"/>
      <c r="AA321" s="13"/>
      <c r="AB321" s="12"/>
      <c r="AD321" s="13">
        <v>2</v>
      </c>
      <c r="AE321" s="5">
        <f>AE8*AD321+AF8*AD321+AE12*AD321+AF12*AD321+AE15*AD321+AF15*AD321</f>
        <v>0</v>
      </c>
      <c r="AF321" s="5"/>
      <c r="AH321" s="13">
        <v>2</v>
      </c>
      <c r="AI321" s="5">
        <f>AI8*AH321+AJ8*AH321+AI12*AH321+AJ12*AH321+AI15*AH321+AJ15*AH321</f>
        <v>0</v>
      </c>
      <c r="AK321" s="13">
        <v>2</v>
      </c>
      <c r="AL321" s="5">
        <f>AL8*AK321+AM8*AK321+AL12*AK321+AM12*AK321+AL15*AK321+AM15*AK321</f>
        <v>0</v>
      </c>
      <c r="AM321" s="5"/>
      <c r="AO321" s="13">
        <v>2</v>
      </c>
      <c r="AP321" s="5">
        <f>AP8*AO321+AQ8*AO321+AP12*AO321+AQ12*AO321+AP15*AO321+AQ15*AO321</f>
        <v>0</v>
      </c>
      <c r="AR321" s="13">
        <v>1</v>
      </c>
      <c r="AS321" s="5">
        <f>AS8*AR321+AT8*AR321+AS12*AR321+AT12*AR321+AS15*AR321+AT15*AR321</f>
        <v>0</v>
      </c>
      <c r="AT321" s="5"/>
      <c r="AV321" s="13">
        <v>1</v>
      </c>
      <c r="AW321" s="5">
        <f>AW8*AV321+AX8*AV321+AW12*AV321+AX12*AV321+AW15*AV321+AX15*AV321</f>
        <v>0</v>
      </c>
      <c r="AY321" s="5">
        <v>2</v>
      </c>
      <c r="AZ321" s="5">
        <f>AZ7*AY321+BA7*AY321+AZ8*AY321+BA8*AY321+AZ11*AY321+BA11*AY321+AZ12*AY321+BA12*AY321+AZ14*AY321+BA14*AY321+AZ15*AY321+BA15*AY321</f>
        <v>0</v>
      </c>
      <c r="BA321" s="5"/>
      <c r="BC321" s="5">
        <v>2</v>
      </c>
      <c r="BD321" s="5">
        <f>BD7*BC321+BE7*BC321+BD8*BC321+BE8*BC321+BD11*BC321+BE11*BC321+BD12*BC321+BE12*BC321+BD14*BC321+BE14*BC321+BD15*BC321+BE15*BC321</f>
        <v>0</v>
      </c>
      <c r="BF321" s="5"/>
      <c r="BG321" s="5"/>
      <c r="BH321" s="5"/>
      <c r="BJ321" s="5"/>
      <c r="BK321" s="5"/>
      <c r="BL321" s="12"/>
      <c r="BM321" s="5"/>
      <c r="BN321" s="5">
        <f>BN8*BM321+BO8*BM321+BN12*BM321+BO12*BM321+BN15*BM321+BO15*BM321</f>
        <v>0</v>
      </c>
      <c r="BO321" s="5"/>
      <c r="BQ321" s="5"/>
      <c r="BR321" s="5">
        <f>BR8*BQ321+BS8*BQ321+BR12*BQ321+BS12*BQ321+BR15*BQ321+BS15*BQ321</f>
        <v>0</v>
      </c>
      <c r="BT321" s="5"/>
      <c r="BU321" s="5">
        <f>BU8*BT321+BV8*BT321+BU12*BT321+BV12*BT321+BU15*BT321+BV15*BT321</f>
        <v>0</v>
      </c>
      <c r="BV321" s="5"/>
      <c r="BX321" s="5"/>
      <c r="BY321" s="5">
        <f>BY8*BX321+BZ8*BX321+BY12*BX321+BZ12*BX321+BY15*BX321+BZ15*BX321</f>
        <v>0</v>
      </c>
      <c r="CA321" s="13">
        <v>1</v>
      </c>
      <c r="CB321" s="7">
        <f>CB6*CA321+CC6*CA321+CB8*CA321+CC8*CA321+CB7*CA321+CC7*CA321+CB10*CA321+CC10*CA321+CB11*CA321+CC11*CA321+CB12*CA321+CC12*CA321+CB13*CA321+CC13*CA321+CB14*CA321+CC14*CA321+CB15*CA321+CC15*CA321</f>
        <v>0</v>
      </c>
      <c r="CC321" s="11"/>
      <c r="CE321" s="13">
        <v>3</v>
      </c>
      <c r="CF321" s="5">
        <f>CF8*CE321+CG8*CE321+CF12*CE321+CG12*CE321+CF15*CE321+CG15*CE321</f>
        <v>0</v>
      </c>
      <c r="CG321" s="12"/>
      <c r="CI321" s="13">
        <v>3</v>
      </c>
      <c r="CJ321" s="5">
        <f>CJ8*CI321+CK8*CI321+CJ12*CI321+CK12*CI321+CJ15*CI321+CK15*CI321</f>
        <v>0</v>
      </c>
      <c r="CK321" s="12"/>
      <c r="CM321" s="13">
        <v>3</v>
      </c>
      <c r="CN321" s="5">
        <f>CN8*CM321+CO8*CM321+CN12*CM321+CO12*CM321+CN15*CM321+CO15*CM321</f>
        <v>0</v>
      </c>
      <c r="CO321" s="12"/>
      <c r="CQ321" s="13">
        <v>3</v>
      </c>
      <c r="CR321" s="5">
        <f>CR8*CQ321+CS8*CQ321+CR12*CQ321+CS12*CQ321+CR15*CQ321+CS15*CQ321</f>
        <v>0</v>
      </c>
      <c r="CS321" s="12"/>
      <c r="CU321" s="13">
        <v>3</v>
      </c>
      <c r="CV321" s="5">
        <f>CV8*CU321+CW8*CU321+CV12*CU321+CW12*CU321+CV15*CU321+CW15*CU321</f>
        <v>0</v>
      </c>
      <c r="CW321" s="12"/>
      <c r="CY321" s="13">
        <v>3</v>
      </c>
      <c r="CZ321" s="5">
        <f>CZ8*CY321+DA8*CY321+CZ12*CY321+DA12*CY321+CZ15*CY321+DA15*CY321</f>
        <v>0</v>
      </c>
      <c r="DA321" s="12"/>
      <c r="DC321" s="13">
        <v>3</v>
      </c>
      <c r="DD321" s="5">
        <f>DD8*DC321+DE8*DC321+DD12*DC321+DE12*DC321+DD15*DC321+DE15*DC321</f>
        <v>0</v>
      </c>
      <c r="DE321" s="12"/>
      <c r="DG321" s="13">
        <v>3</v>
      </c>
      <c r="DH321" s="5">
        <f>DH8*DG321+DI8*DG321+DH12*DG321+DI12*DG321+DH15*DG321+DI15*DG321</f>
        <v>0</v>
      </c>
      <c r="DI321" s="12"/>
      <c r="DK321" s="13">
        <v>3</v>
      </c>
      <c r="DL321" s="5">
        <f>DL8*DK321+DM8*DK321+DL12*DK321+DM12*DK321+DL15*DK321+DM15*DK321</f>
        <v>0</v>
      </c>
      <c r="DM321" s="12"/>
      <c r="DO321" s="13">
        <v>3</v>
      </c>
      <c r="DP321" s="5">
        <f>DP8*DO321+DQ8*DO321+DP12*DO321+DQ12*DO321+DP15*DO321+DQ15*DO321</f>
        <v>0</v>
      </c>
      <c r="DQ321" s="12"/>
      <c r="DS321" s="1336">
        <f t="shared" si="5"/>
        <v>0</v>
      </c>
      <c r="DT321" s="121">
        <f>EXTRAS!D191</f>
        <v>0</v>
      </c>
      <c r="DU321" s="112">
        <f>EXTRAS!E191</f>
        <v>0</v>
      </c>
      <c r="DX321" s="203">
        <f t="shared" si="6"/>
        <v>0</v>
      </c>
      <c r="DZ321" s="924"/>
      <c r="EH321" s="924"/>
    </row>
    <row r="322" spans="1:138" s="6" customFormat="1" ht="15" customHeight="1">
      <c r="A322" s="3">
        <v>164</v>
      </c>
      <c r="B322" s="210" t="s">
        <v>152</v>
      </c>
      <c r="C322" s="473" t="s">
        <v>515</v>
      </c>
      <c r="D322" s="4"/>
      <c r="E322" s="5"/>
      <c r="F322" s="5"/>
      <c r="G322" s="4"/>
      <c r="H322" s="4"/>
      <c r="I322" s="4"/>
      <c r="J322" s="4"/>
      <c r="K322" s="5"/>
      <c r="L322" s="5"/>
      <c r="M322" s="5"/>
      <c r="O322" s="5"/>
      <c r="P322" s="5"/>
      <c r="Q322" s="5"/>
      <c r="S322" s="5"/>
      <c r="T322" s="5"/>
      <c r="U322" s="5"/>
      <c r="W322" s="5"/>
      <c r="X322" s="5"/>
      <c r="Y322" s="12"/>
      <c r="AA322" s="13"/>
      <c r="AB322" s="12"/>
      <c r="AD322" s="13"/>
      <c r="AE322" s="5"/>
      <c r="AF322" s="5"/>
      <c r="AH322" s="13"/>
      <c r="AI322" s="5"/>
      <c r="AK322" s="5"/>
      <c r="AL322" s="5"/>
      <c r="AM322" s="5"/>
      <c r="AO322" s="5"/>
      <c r="AP322" s="5"/>
      <c r="AR322" s="5"/>
      <c r="AS322" s="5"/>
      <c r="AT322" s="5"/>
      <c r="AV322" s="5"/>
      <c r="AW322" s="5"/>
      <c r="AY322" s="5"/>
      <c r="AZ322" s="5"/>
      <c r="BA322" s="5"/>
      <c r="BC322" s="5"/>
      <c r="BD322" s="5"/>
      <c r="BF322" s="5"/>
      <c r="BG322" s="5"/>
      <c r="BH322" s="5"/>
      <c r="BJ322" s="5"/>
      <c r="BK322" s="5"/>
      <c r="BL322" s="12"/>
      <c r="BM322" s="5"/>
      <c r="BN322" s="5"/>
      <c r="BO322" s="5"/>
      <c r="BQ322" s="5"/>
      <c r="BR322" s="5"/>
      <c r="BT322" s="5"/>
      <c r="BU322" s="5"/>
      <c r="BV322" s="5"/>
      <c r="BX322" s="5"/>
      <c r="BY322" s="5"/>
      <c r="CA322" s="13">
        <v>1</v>
      </c>
      <c r="CB322" s="7">
        <f>CB8*CA322+CB12*CA322+CB15*CA322+CC8*CA322+CC12*CA322+CC15*CA322</f>
        <v>0</v>
      </c>
      <c r="CC322" s="11"/>
      <c r="CE322" s="13"/>
      <c r="CF322" s="5"/>
      <c r="CG322" s="12"/>
      <c r="CI322" s="13"/>
      <c r="CJ322" s="5"/>
      <c r="CK322" s="12"/>
      <c r="CM322" s="13"/>
      <c r="CN322" s="5"/>
      <c r="CO322" s="12"/>
      <c r="CQ322" s="13"/>
      <c r="CR322" s="5"/>
      <c r="CS322" s="12"/>
      <c r="CU322" s="13"/>
      <c r="CV322" s="5"/>
      <c r="CW322" s="12"/>
      <c r="CY322" s="13"/>
      <c r="CZ322" s="5"/>
      <c r="DA322" s="12"/>
      <c r="DC322" s="13"/>
      <c r="DD322" s="5"/>
      <c r="DE322" s="12"/>
      <c r="DG322" s="13"/>
      <c r="DH322" s="5"/>
      <c r="DI322" s="12"/>
      <c r="DK322" s="13"/>
      <c r="DL322" s="5"/>
      <c r="DM322" s="12"/>
      <c r="DO322" s="13"/>
      <c r="DP322" s="5"/>
      <c r="DQ322" s="12"/>
      <c r="DS322" s="1336">
        <f t="shared" si="5"/>
        <v>0</v>
      </c>
      <c r="DT322" s="121">
        <f>EXTRAS!D192</f>
        <v>0</v>
      </c>
      <c r="DU322" s="112">
        <f>EXTRAS!E192</f>
        <v>0</v>
      </c>
      <c r="DX322" s="203">
        <f t="shared" si="6"/>
        <v>0</v>
      </c>
      <c r="DZ322" s="924"/>
      <c r="EH322" s="924"/>
    </row>
    <row r="323" spans="1:138" s="6" customFormat="1" ht="15" customHeight="1">
      <c r="A323" s="3"/>
      <c r="B323" s="210" t="s">
        <v>1019</v>
      </c>
      <c r="C323" s="473" t="s">
        <v>515</v>
      </c>
      <c r="D323" s="4"/>
      <c r="E323" s="5"/>
      <c r="F323" s="5"/>
      <c r="G323" s="4"/>
      <c r="H323" s="4"/>
      <c r="I323" s="4"/>
      <c r="J323" s="4"/>
      <c r="K323" s="5"/>
      <c r="L323" s="5"/>
      <c r="M323" s="5"/>
      <c r="O323" s="5"/>
      <c r="P323" s="5"/>
      <c r="Q323" s="5"/>
      <c r="S323" s="5"/>
      <c r="T323" s="5"/>
      <c r="U323" s="5"/>
      <c r="W323" s="5"/>
      <c r="X323" s="5"/>
      <c r="Y323" s="12"/>
      <c r="AA323" s="13"/>
      <c r="AB323" s="12"/>
      <c r="AD323" s="13"/>
      <c r="AE323" s="5"/>
      <c r="AF323" s="5"/>
      <c r="AH323" s="13"/>
      <c r="AI323" s="5"/>
      <c r="AK323" s="5"/>
      <c r="AL323" s="5"/>
      <c r="AM323" s="5"/>
      <c r="AO323" s="5"/>
      <c r="AP323" s="5"/>
      <c r="AR323" s="5"/>
      <c r="AS323" s="5"/>
      <c r="AT323" s="5"/>
      <c r="AV323" s="5"/>
      <c r="AW323" s="5"/>
      <c r="AY323" s="5"/>
      <c r="AZ323" s="5"/>
      <c r="BA323" s="5"/>
      <c r="BC323" s="5"/>
      <c r="BD323" s="5"/>
      <c r="BF323" s="5"/>
      <c r="BG323" s="5"/>
      <c r="BH323" s="5"/>
      <c r="BJ323" s="5"/>
      <c r="BK323" s="5"/>
      <c r="BL323" s="12"/>
      <c r="BM323" s="5"/>
      <c r="BN323" s="5"/>
      <c r="BO323" s="5"/>
      <c r="BQ323" s="5"/>
      <c r="BR323" s="5"/>
      <c r="BT323" s="5"/>
      <c r="BU323" s="5"/>
      <c r="BV323" s="5"/>
      <c r="BX323" s="5"/>
      <c r="BY323" s="5"/>
      <c r="CA323" s="13"/>
      <c r="CB323" s="7"/>
      <c r="CC323" s="11"/>
      <c r="CE323" s="13"/>
      <c r="CF323" s="5"/>
      <c r="CG323" s="12"/>
      <c r="CI323" s="13"/>
      <c r="CJ323" s="5"/>
      <c r="CK323" s="12"/>
      <c r="CM323" s="13"/>
      <c r="CN323" s="5"/>
      <c r="CO323" s="12"/>
      <c r="CQ323" s="13"/>
      <c r="CR323" s="5"/>
      <c r="CS323" s="12"/>
      <c r="CU323" s="13"/>
      <c r="CV323" s="5"/>
      <c r="CW323" s="12"/>
      <c r="CY323" s="13"/>
      <c r="CZ323" s="5"/>
      <c r="DA323" s="12"/>
      <c r="DC323" s="13"/>
      <c r="DD323" s="5"/>
      <c r="DE323" s="12"/>
      <c r="DG323" s="13"/>
      <c r="DH323" s="5"/>
      <c r="DI323" s="12"/>
      <c r="DK323" s="13"/>
      <c r="DL323" s="5"/>
      <c r="DM323" s="12"/>
      <c r="DO323" s="13"/>
      <c r="DP323" s="5"/>
      <c r="DQ323" s="12"/>
      <c r="DS323" s="1336">
        <f t="shared" si="5"/>
        <v>0</v>
      </c>
      <c r="DT323" s="121">
        <f>EXTRAS!D193</f>
        <v>0</v>
      </c>
      <c r="DU323" s="112">
        <f>EXTRAS!E193</f>
        <v>0</v>
      </c>
      <c r="DX323" s="203">
        <f t="shared" si="6"/>
        <v>0</v>
      </c>
      <c r="DZ323" s="924"/>
      <c r="EH323" s="924"/>
    </row>
    <row r="324" spans="1:138" s="6" customFormat="1" ht="15" customHeight="1">
      <c r="A324" s="3">
        <v>165</v>
      </c>
      <c r="B324" s="210" t="s">
        <v>132</v>
      </c>
      <c r="C324" s="473" t="s">
        <v>515</v>
      </c>
      <c r="D324" s="4"/>
      <c r="E324" s="5">
        <v>2</v>
      </c>
      <c r="F324" s="5">
        <f>SUM(F16:F26)*E324</f>
        <v>0</v>
      </c>
      <c r="G324" s="4"/>
      <c r="H324" s="4">
        <v>1</v>
      </c>
      <c r="I324" s="658">
        <f>SUM(I16:I26)*H324</f>
        <v>0</v>
      </c>
      <c r="J324" s="4"/>
      <c r="K324" s="5">
        <v>2</v>
      </c>
      <c r="L324" s="5">
        <f>L16*K324+M16*K324+L17*K324+M17*K324+L18*K324+M18*K324+L19*K324+M19*K324+L20*K324+M20*K324+L21*K324+M21*K324+L22*K324+M22*K324+L23*K324+M23*K324+L24*K324+M24*K324+L25*K324+M25*K324+L26*K324+M26*K324</f>
        <v>0</v>
      </c>
      <c r="M324" s="5"/>
      <c r="O324" s="5">
        <v>2</v>
      </c>
      <c r="P324" s="5">
        <f>P16*O324+Q16*O324+P17*O324+Q17*O324+P18*O324+Q18*O324+P19*O324+Q19*O324+P20*O324+Q20*O324+P21*O324+Q21*O324+P22*O324+Q22*O324+P23*O324+Q23*O324+P24*O324+Q24*O324+P25*O324+Q25*O324+P26*O324+Q26*O324</f>
        <v>0</v>
      </c>
      <c r="Q324" s="5"/>
      <c r="S324" s="5">
        <v>1</v>
      </c>
      <c r="T324" s="5">
        <f>T16*S324+U16*S324+T17*S324+U17*S324+T18*S324+U18*S324+T19*S324+U19*S324+T20*S324+U20*S324+T21*S324+U21*S324+T22*S324+U22*S324+T23*S324+U23*S324+T24*S324+U24*S324+T25*S324+U25*S324+T26*S324+U26*S324</f>
        <v>0</v>
      </c>
      <c r="U324" s="5"/>
      <c r="W324" s="5">
        <v>2</v>
      </c>
      <c r="X324" s="5">
        <f>X16*W324+Y16*W324+X17*W324+Y17*W324+X18*W324+Y18*W324+X19*W324+Y19*W324+X20*W324+Y20*W324+X21*W324+Y21*W324+X22*W324+Y22*W324+X23*W324+Y23*W324+X24*W324+Y24*W324+X25*W324+Y25*W324+X26*W324+Y26*W324</f>
        <v>0</v>
      </c>
      <c r="Y324" s="12"/>
      <c r="AA324" s="13">
        <v>2</v>
      </c>
      <c r="AB324" s="12">
        <f>AB16*AA324+AC16*AA324+AB17*AA324+AC17*AA324+AB18*AA324+AC18*AA324+AB19*AA324+AC19*AA324+AB20*AA324+AC20*AA324+AB21*AA324+AC21*AA324+AB22*AA324+AC22*AA324+AB23*AA324+AC23*AA324+AB24*AA324+AC24*AA324+AB25*AA324+AC25*AA324+AB26*AA324+AC26*AA324</f>
        <v>0</v>
      </c>
      <c r="AD324" s="13">
        <v>1</v>
      </c>
      <c r="AE324" s="5">
        <f>AE16*AD324+AF16*AD324+AE17*AD324+AF17*AD324+AE18*AD324+AF18*AD324+AE19*AD324+AF19*AD324+AE20*AD324+AF20*AD324+AE21*AD324+AF21*AD324+AE22*AD324+AF22*AD324+AE23*AD324+AF23*AD324+AE24*AD324+AF24*AD324+AE25*AD324+AF25*AD324+AE26*AD324+AF26*AD324</f>
        <v>0</v>
      </c>
      <c r="AF324" s="5"/>
      <c r="AH324" s="13">
        <v>1</v>
      </c>
      <c r="AI324" s="5">
        <f>AI16*AH324+AJ16*AH324+AI17*AH324+AJ17*AH324+AI18*AH324+AJ18*AH324+AI19*AH324+AJ19*AH324+AI20*AH324+AJ20*AH324+AI21*AH324+AJ21*AH324+AI22*AH324+AJ22*AH324+AI23*AH324+AJ23*AH324+AI24*AH324+AJ24*AH324+AI25*AH324+AJ25*AH324+AI26*AH324+AJ26*AH324</f>
        <v>0</v>
      </c>
      <c r="AK324" s="5">
        <v>2</v>
      </c>
      <c r="AL324" s="5">
        <f>AL16*AK324+AM16*AK324+AL17*AK324+AM17*AK324+AL18*AK324+AM18*AK324+AL19*AK324+AM19*AK324+AL20*AK324+AM20*AK324+AL21*AK324+AM21*AK324+AL22*AK324+AM22*AK324+AL23*AK324+AM23*AK324+AL24*AK324+AM24*AK324+AL25*AK324+AM25*AK324+AL26*AK324+AM26*AK324</f>
        <v>0</v>
      </c>
      <c r="AM324" s="5"/>
      <c r="AO324" s="5">
        <v>2</v>
      </c>
      <c r="AP324" s="5">
        <f>AP16*AO324+AQ16*AO324+AP17*AO324+AQ17*AO324+AP18*AO324+AQ18*AO324+AP19*AO324+AQ19*AO324+AP20*AO324+AQ20*AO324+AP21*AO324+AQ21*AO324+AP22*AO324+AQ22*AO324+AP23*AO324+AQ23*AO324+AP24*AO324+AQ24*AO324+AP25*AO324+AQ25*AO324+AP26*AO324+AQ26*AO324</f>
        <v>0</v>
      </c>
      <c r="AR324" s="5">
        <v>2</v>
      </c>
      <c r="AS324" s="5">
        <f>AS16*AR324+AT16*AR324+AS17*AR324+AT17*AR324+AS18*AR324+AT18*AR324+AS19*AR324+AT19*AR324+AS20*AR324+AT20*AR324+AS21*AR324+AT21*AR324+AS22*AR324+AT22*AR324+AS23*AR324+AT23*AR324+AS24*AR324+AT24*AR324+AS25*AR324+AT25*AR324+AS26*AR324+AT26*AR324</f>
        <v>0</v>
      </c>
      <c r="AT324" s="5"/>
      <c r="AV324" s="5">
        <v>2</v>
      </c>
      <c r="AW324" s="5">
        <f>AW16*AV324+AX16*AV324+AW17*AV324+AX17*AV324+AW18*AV324+AX18*AV324+AW19*AV324+AX19*AV324+AW20*AV324+AX20*AV324+AW21*AV324+AX21*AV324+AW22*AV324+AX22*AV324+AW23*AV324+AX23*AV324+AW24*AV324+AX24*AV324+AW25*AV324+AX25*AV324+AW26*AV324+AX26*AV324</f>
        <v>0</v>
      </c>
      <c r="AY324" s="5">
        <v>2</v>
      </c>
      <c r="AZ324" s="5">
        <f>AZ16*AY324+BA16*AY324+AZ17*AY324+BA17*AY324+AZ18*AY324+BA18*AY324+AZ19*AY324+BA19*AY324+AZ20*AY324+BA20*AY324+AZ21*AY324+BA21*AY324+AZ22*AY324+BA22*AY324+AZ23*AY324+BA23*AY324+AZ24*AY324+BA24*AY324+AZ25*AY324+BA25*AY324+AZ26*AY324+BA26*AY324</f>
        <v>0</v>
      </c>
      <c r="BA324" s="5"/>
      <c r="BC324" s="5">
        <v>2</v>
      </c>
      <c r="BD324" s="5">
        <f>BD16*BC324+BE16*BC324+BD17*BC324+BE17*BC324+BD18*BC324+BE18*BC324+BD19*BC324+BE19*BC324+BD20*BC324+BE20*BC324+BD21*BC324+BE21*BC324+BD22*BC324+BE22*BC324+BD23*BC324+BE23*BC324+BD24*BC324+BE24*BC324+BD25*BC324+BE25*BC324+BD26*BC324+BE26*BC324</f>
        <v>0</v>
      </c>
      <c r="BF324" s="5">
        <v>4</v>
      </c>
      <c r="BG324" s="5">
        <f>BG16*BF324+BH16*BF324+BG17*BF324+BH17*BF324+BG18*BF324+BH18*BF324+BG19*BF324+BH19*BF324+BG20*BF324+BH20*BF324+BG21*BF324+BH21*BF324+BG22*BF324+BH22*BF324+BG23*BF324+BH23*BF324+BG24*BF324+BH24*BF324+BG25*BF324+BH25*BF324+BG26*BF324+BH26*BF324</f>
        <v>0</v>
      </c>
      <c r="BH324" s="5"/>
      <c r="BJ324" s="5">
        <v>4</v>
      </c>
      <c r="BK324" s="5">
        <f>BK16*BJ324+BL16*BJ324+BK17*BJ324+BL17*BJ324+BK18*BJ324+BL18*BJ324+BK19*BJ324+BL19*BJ324+BK20*BJ324+BL20*BJ324+BK21*BJ324+BL21*BJ324+BK22*BJ324+BL22*BJ324+BK23*BJ324+BL23*BJ324+BK24*BJ324+BL24*BJ324+BK25*BJ324+BL25*BJ324+BK26*BJ324+BL26*BJ324</f>
        <v>0</v>
      </c>
      <c r="BL324" s="12"/>
      <c r="BM324" s="5">
        <v>4</v>
      </c>
      <c r="BN324" s="5">
        <f>BN16*BM324+BO16*BM324+BN17*BM324+BO17*BM324+BN18*BM324+BO18*BM324+BN19*BM324+BO19*BM324+BN20*BM324+BO20*BM324+BN21*BM324+BO21*BM324+BN22*BM324+BO22*BM324+BN23*BM324+BO23*BM324+BN24*BM324+BO24*BM324+BN25*BM324+BO25*BM324+BN26*BM324+BO26*BM324</f>
        <v>0</v>
      </c>
      <c r="BO324" s="5"/>
      <c r="BQ324" s="5">
        <v>4</v>
      </c>
      <c r="BR324" s="5">
        <f>BR16*BQ324+BS16*BQ324+BR17*BQ324+BS17*BQ324+BR18*BQ324+BS18*BQ324+BR19*BQ324+BS19*BQ324+BR20*BQ324+BS20*BQ324+BR21*BQ324+BS21*BQ324+BR22*BQ324+BS22*BQ324+BR23*BQ324+BS23*BQ324+BR24*BQ324+BS24*BQ324+BR25*BQ324+BS25*BQ324+BR26*BQ324+BS26*BQ324</f>
        <v>0</v>
      </c>
      <c r="BT324" s="5">
        <v>4</v>
      </c>
      <c r="BU324" s="5">
        <f>BU16*BT324+BV16*BT324+BU17*BT324+BV17*BT324+BU18*BT324+BV18*BT324+BU19*BT324+BV19*BT324+BU20*BT324+BV20*BT324+BU21*BT324+BV21*BT324+BU22*BT324+BV22*BT324+BU23*BT324+BV23*BT324+BU24*BT324+BV24*BT324+BU25*BT324+BV25*BT324+BU26*BT324+BV26*BT324</f>
        <v>0</v>
      </c>
      <c r="BV324" s="5"/>
      <c r="BX324" s="5">
        <v>4</v>
      </c>
      <c r="BY324" s="5">
        <f>BY16*BX324+BZ16*BX324+BY17*BX324+BZ17*BX324+BY18*BX324+BZ18*BX324+BY19*BX324+BZ19*BX324+BY20*BX324+BZ20*BX324+BY21*BX324+BZ21*BX324+BY22*BX324+BZ22*BX324+BY23*BX324+BZ23*BX324+BY24*BX324+BZ24*BX324+BY25*BX324+BZ25*BX324+BY26*BX324+BZ26*BX324</f>
        <v>0</v>
      </c>
      <c r="CA324" s="13">
        <v>3</v>
      </c>
      <c r="CB324" s="5">
        <f>CB16*CA324+CC16*CA324+CB17*CA324+CC17*CA324+CB18*CA324+CC18*CA324+CB19*CA324+CC19*CA324+CB20*CA324+CC20*CA324+CB21*CA324+CC21*CA324+CB22*CA324+CC22*CA324+CB23*CA324+CC23*CA324+CB24*CA324+CC24*CA324+CB25*CA324+CC25*CA324+CB26*CA324+CC26*CA324</f>
        <v>0</v>
      </c>
      <c r="CC324" s="11"/>
      <c r="CE324" s="5">
        <v>4</v>
      </c>
      <c r="CF324" s="5">
        <f>CF19*CE324+CG19*CE324+CF20*CE324+CG20*CE324+CF21*CE324+CG21*CE324+CF22*CE324+CG22*CE324+CF23*CE324+CG23*CE324+CF24*CE324+CG24*CE324+CF25*CE324+CG25*CE324+CF26*CE324+CG26*CE324+CF27*CE324+CG27*CE324+CF28*CE324+CG28*CE324+CF29*CE324+CG29*CE324</f>
        <v>0</v>
      </c>
      <c r="CG324" s="12"/>
      <c r="CI324" s="5">
        <v>4</v>
      </c>
      <c r="CJ324" s="5">
        <f>CJ19*CI324+CK19*CI324+CJ20*CI324+CK20*CI324+CJ21*CI324+CK21*CI324+CJ22*CI324+CK22*CI324+CJ23*CI324+CK23*CI324+CJ24*CI324+CK24*CI324+CJ25*CI324+CK25*CI324+CJ26*CI324+CK26*CI324+CJ27*CI324+CK27*CI324+CJ28*CI324+CK28*CI324+CJ29*CI324+CK29*CI324</f>
        <v>0</v>
      </c>
      <c r="CK324" s="12"/>
      <c r="CM324" s="5">
        <v>4</v>
      </c>
      <c r="CN324" s="5">
        <f>CN19*CM324+CO19*CM324+CN20*CM324+CO20*CM324+CN21*CM324+CO21*CM324+CN22*CM324+CO22*CM324+CN23*CM324+CO23*CM324+CN24*CM324+CO24*CM324+CN25*CM324+CO25*CM324+CN26*CM324+CO26*CM324+CN27*CM324+CO27*CM324+CN28*CM324+CO28*CM324+CN29*CM324+CO29*CM324</f>
        <v>0</v>
      </c>
      <c r="CO324" s="12"/>
      <c r="CQ324" s="5">
        <v>4</v>
      </c>
      <c r="CR324" s="5">
        <f>CR19*CQ324+CS19*CQ324+CR20*CQ324+CS20*CQ324+CR21*CQ324+CS21*CQ324+CR22*CQ324+CS22*CQ324+CR23*CQ324+CS23*CQ324+CR24*CQ324+CS24*CQ324+CR25*CQ324+CS25*CQ324+CR26*CQ324+CS26*CQ324+CR27*CQ324+CS27*CQ324+CR28*CQ324+CS28*CQ324+CR29*CQ324+CS29*CQ324</f>
        <v>0</v>
      </c>
      <c r="CS324" s="12"/>
      <c r="CU324" s="5">
        <v>4</v>
      </c>
      <c r="CV324" s="5">
        <f>CV19*CU324+CW19*CU324+CV20*CU324+CW20*CU324+CV21*CU324+CW21*CU324+CV22*CU324+CW22*CU324+CV23*CU324+CW23*CU324+CV24*CU324+CW24*CU324+CV25*CU324+CW25*CU324+CV26*CU324+CW26*CU324+CV27*CU324+CW27*CU324+CV28*CU324+CW28*CU324+CV29*CU324+CW29*CU324</f>
        <v>0</v>
      </c>
      <c r="CW324" s="12"/>
      <c r="CY324" s="5">
        <v>5</v>
      </c>
      <c r="CZ324" s="5">
        <f>CZ19*CY324+DA19*CY324+CZ20*CY324+DA20*CY324+CZ21*CY324+DA21*CY324+CZ22*CY324+DA22*CY324+CZ23*CY324+DA23*CY324+CZ24*CY324+DA24*CY324+CZ25*CY324+DA25*CY324+CZ26*CY324+DA26*CY324+CZ27*CY324+DA27*CY324+CZ28*CY324+DA28*CY324+CZ29*CY324+DA29*CY324</f>
        <v>0</v>
      </c>
      <c r="DA324" s="12"/>
      <c r="DC324" s="5">
        <v>5</v>
      </c>
      <c r="DD324" s="5">
        <f>DD19*DC324+DE19*DC324+DD20*DC324+DE20*DC324+DD21*DC324+DE21*DC324+DD22*DC324+DE22*DC324+DD23*DC324+DE23*DC324+DD24*DC324+DE24*DC324+DD25*DC324+DE25*DC324+DD26*DC324+DE26*DC324+DD27*DC324+DE27*DC324+DD28*DC324+DE28*DC324+DD29*DC324+DE29*DC324</f>
        <v>0</v>
      </c>
      <c r="DE324" s="12"/>
      <c r="DG324" s="5">
        <v>5</v>
      </c>
      <c r="DH324" s="5">
        <f>DH19*DG324+DI19*DG324+DH20*DG324+DI20*DG324+DH21*DG324+DI21*DG324+DH22*DG324+DI22*DG324+DH23*DG324+DI23*DG324+DH24*DG324+DI24*DG324+DH25*DG324+DI25*DG324+DH26*DG324+DI26*DG324+DH27*DG324+DI27*DG324+DH28*DG324+DI28*DG324+DH29*DG324+DI29*DG324</f>
        <v>0</v>
      </c>
      <c r="DI324" s="12"/>
      <c r="DK324" s="5">
        <v>5</v>
      </c>
      <c r="DL324" s="5">
        <f>DL19*DK324+DM19*DK324+DL20*DK324+DM20*DK324+DL21*DK324+DM21*DK324+DL22*DK324+DM22*DK324+DL23*DK324+DM23*DK324+DL24*DK324+DM24*DK324+DL25*DK324+DM25*DK324+DL26*DK324+DM26*DK324+DL27*DK324+DM27*DK324+DL28*DK324+DM28*DK324+DL29*DK324+DM29*DK324</f>
        <v>0</v>
      </c>
      <c r="DM324" s="12"/>
      <c r="DO324" s="5">
        <v>5</v>
      </c>
      <c r="DP324" s="5">
        <f>DP19*DO324+DQ19*DO324+DP20*DO324+DQ20*DO324+DP21*DO324+DQ21*DO324+DP22*DO324+DQ22*DO324+DP23*DO324+DQ23*DO324+DP24*DO324+DQ24*DO324+DP25*DO324+DQ25*DO324+DP26*DO324+DQ26*DO324+DP27*DO324+DQ27*DO324+DP28*DO324+DQ28*DO324+DP29*DO324+DQ29*DO324</f>
        <v>0</v>
      </c>
      <c r="DQ324" s="12"/>
      <c r="DS324" s="1336">
        <f t="shared" si="5"/>
        <v>0</v>
      </c>
      <c r="DT324" s="121">
        <f>EXTRAS!D194</f>
        <v>0</v>
      </c>
      <c r="DU324" s="112">
        <f>EXTRAS!E194</f>
        <v>0</v>
      </c>
      <c r="DX324" s="203">
        <f t="shared" si="6"/>
        <v>0</v>
      </c>
      <c r="DZ324" s="924"/>
      <c r="EH324" s="924"/>
    </row>
    <row r="325" spans="1:138" s="6" customFormat="1" ht="15" customHeight="1">
      <c r="A325" s="3">
        <v>166</v>
      </c>
      <c r="B325" s="210" t="s">
        <v>153</v>
      </c>
      <c r="C325" s="473" t="s">
        <v>515</v>
      </c>
      <c r="D325" s="4"/>
      <c r="E325" s="5"/>
      <c r="F325" s="5"/>
      <c r="G325" s="4"/>
      <c r="H325" s="4"/>
      <c r="I325" s="4"/>
      <c r="J325" s="4"/>
      <c r="K325" s="5"/>
      <c r="L325" s="5"/>
      <c r="M325" s="5"/>
      <c r="O325" s="5"/>
      <c r="P325" s="5"/>
      <c r="Q325" s="5"/>
      <c r="S325" s="5"/>
      <c r="T325" s="5"/>
      <c r="U325" s="5"/>
      <c r="W325" s="5"/>
      <c r="X325" s="5"/>
      <c r="Y325" s="12"/>
      <c r="AA325" s="13"/>
      <c r="AB325" s="12"/>
      <c r="AD325" s="13"/>
      <c r="AE325" s="5"/>
      <c r="AF325" s="5"/>
      <c r="AH325" s="13"/>
      <c r="AI325" s="5"/>
      <c r="AK325" s="5"/>
      <c r="AL325" s="5"/>
      <c r="AM325" s="5"/>
      <c r="AO325" s="5"/>
      <c r="AP325" s="5"/>
      <c r="AR325" s="5"/>
      <c r="AS325" s="5"/>
      <c r="AT325" s="5"/>
      <c r="AV325" s="5"/>
      <c r="AW325" s="5"/>
      <c r="AY325" s="5"/>
      <c r="AZ325" s="5"/>
      <c r="BA325" s="5"/>
      <c r="BC325" s="5"/>
      <c r="BD325" s="5"/>
      <c r="BF325" s="5"/>
      <c r="BG325" s="5"/>
      <c r="BH325" s="5"/>
      <c r="BJ325" s="5"/>
      <c r="BK325" s="5"/>
      <c r="BL325" s="12"/>
      <c r="BM325" s="5"/>
      <c r="BN325" s="5"/>
      <c r="BO325" s="5"/>
      <c r="BQ325" s="5"/>
      <c r="BR325" s="5"/>
      <c r="BT325" s="5"/>
      <c r="BU325" s="5"/>
      <c r="BV325" s="5"/>
      <c r="BX325" s="5"/>
      <c r="BY325" s="5"/>
      <c r="CA325" s="13">
        <v>1</v>
      </c>
      <c r="CB325" s="5">
        <f>CB16*CA325+CC16*CA325+CB17*CA325+CC17*CA325+CB18*CA325+CC18*CA325+CB19*CA325+CC19*CA325+CB20*CA325+CC20*CA325+CB21*CA325+CC21*CA325+CB22*CA325+CC22*CA325+CB23*CA325+CC23*CA325+CB24*CA325+CC24*CA325+CB25*CA325+CC25*CA325+CB26*CA325+CC26*CA325</f>
        <v>0</v>
      </c>
      <c r="CC325" s="11"/>
      <c r="CE325" s="13"/>
      <c r="CF325" s="5"/>
      <c r="CG325" s="12"/>
      <c r="CI325" s="13"/>
      <c r="CJ325" s="5"/>
      <c r="CK325" s="12"/>
      <c r="CM325" s="13"/>
      <c r="CN325" s="5"/>
      <c r="CO325" s="12"/>
      <c r="CQ325" s="13"/>
      <c r="CR325" s="5"/>
      <c r="CS325" s="12"/>
      <c r="CU325" s="13"/>
      <c r="CV325" s="5"/>
      <c r="CW325" s="12"/>
      <c r="CY325" s="13"/>
      <c r="CZ325" s="5"/>
      <c r="DA325" s="12"/>
      <c r="DC325" s="13"/>
      <c r="DD325" s="5"/>
      <c r="DE325" s="12"/>
      <c r="DG325" s="13"/>
      <c r="DH325" s="5"/>
      <c r="DI325" s="12"/>
      <c r="DK325" s="13"/>
      <c r="DL325" s="5"/>
      <c r="DM325" s="12"/>
      <c r="DO325" s="13"/>
      <c r="DP325" s="5"/>
      <c r="DQ325" s="12"/>
      <c r="DS325" s="1336">
        <f t="shared" si="5"/>
        <v>0</v>
      </c>
      <c r="DT325" s="121">
        <f>EXTRAS!D195</f>
        <v>0</v>
      </c>
      <c r="DU325" s="112">
        <f>EXTRAS!E195</f>
        <v>0</v>
      </c>
      <c r="DX325" s="203">
        <f t="shared" si="6"/>
        <v>0</v>
      </c>
      <c r="DZ325" s="924"/>
      <c r="EH325" s="924"/>
    </row>
    <row r="326" spans="1:138" s="6" customFormat="1" ht="15" customHeight="1">
      <c r="A326" s="3"/>
      <c r="B326" s="210" t="s">
        <v>1474</v>
      </c>
      <c r="C326" s="473" t="s">
        <v>0</v>
      </c>
      <c r="D326" s="4"/>
      <c r="E326" s="5"/>
      <c r="F326" s="5"/>
      <c r="G326" s="4"/>
      <c r="H326" s="4"/>
      <c r="I326" s="4"/>
      <c r="J326" s="4"/>
      <c r="K326" s="5"/>
      <c r="L326" s="5"/>
      <c r="M326" s="5"/>
      <c r="O326" s="5"/>
      <c r="P326" s="5"/>
      <c r="Q326" s="5"/>
      <c r="S326" s="5"/>
      <c r="T326" s="5"/>
      <c r="U326" s="5"/>
      <c r="W326" s="5"/>
      <c r="X326" s="5"/>
      <c r="Y326" s="12"/>
      <c r="AA326" s="13"/>
      <c r="AB326" s="12"/>
      <c r="AD326" s="13"/>
      <c r="AE326" s="5"/>
      <c r="AF326" s="5"/>
      <c r="AH326" s="13"/>
      <c r="AI326" s="5"/>
      <c r="AK326" s="5"/>
      <c r="AL326" s="5"/>
      <c r="AM326" s="5"/>
      <c r="AO326" s="5"/>
      <c r="AP326" s="5"/>
      <c r="AR326" s="5"/>
      <c r="AS326" s="5"/>
      <c r="AT326" s="5"/>
      <c r="AV326" s="5"/>
      <c r="AW326" s="5"/>
      <c r="AY326" s="5"/>
      <c r="AZ326" s="5"/>
      <c r="BA326" s="5"/>
      <c r="BC326" s="5"/>
      <c r="BD326" s="5"/>
      <c r="BF326" s="5"/>
      <c r="BG326" s="5"/>
      <c r="BH326" s="5"/>
      <c r="BJ326" s="5"/>
      <c r="BK326" s="5"/>
      <c r="BL326" s="12"/>
      <c r="BM326" s="5"/>
      <c r="BN326" s="5"/>
      <c r="BO326" s="5"/>
      <c r="BQ326" s="5"/>
      <c r="BR326" s="5"/>
      <c r="BT326" s="5"/>
      <c r="BU326" s="5"/>
      <c r="BV326" s="5"/>
      <c r="BX326" s="5"/>
      <c r="BY326" s="5"/>
      <c r="CA326" s="13"/>
      <c r="CB326" s="7"/>
      <c r="CC326" s="11"/>
      <c r="CE326" s="13"/>
      <c r="CF326" s="5"/>
      <c r="CG326" s="12"/>
      <c r="CI326" s="13"/>
      <c r="CJ326" s="5"/>
      <c r="CK326" s="12"/>
      <c r="CM326" s="13"/>
      <c r="CN326" s="5"/>
      <c r="CO326" s="12"/>
      <c r="CQ326" s="13"/>
      <c r="CR326" s="5"/>
      <c r="CS326" s="12"/>
      <c r="CU326" s="13"/>
      <c r="CV326" s="5"/>
      <c r="CW326" s="12"/>
      <c r="CY326" s="13"/>
      <c r="CZ326" s="5"/>
      <c r="DA326" s="12"/>
      <c r="DC326" s="13"/>
      <c r="DD326" s="5"/>
      <c r="DE326" s="12"/>
      <c r="DG326" s="13"/>
      <c r="DH326" s="5"/>
      <c r="DI326" s="12"/>
      <c r="DK326" s="13"/>
      <c r="DL326" s="5"/>
      <c r="DM326" s="12"/>
      <c r="DO326" s="13"/>
      <c r="DP326" s="5"/>
      <c r="DQ326" s="12"/>
      <c r="DS326" s="1336">
        <f t="shared" si="5"/>
        <v>0</v>
      </c>
      <c r="DT326" s="121">
        <f>EXTRAS!D196</f>
        <v>0</v>
      </c>
      <c r="DU326" s="112">
        <f>EXTRAS!E196</f>
        <v>0</v>
      </c>
      <c r="DX326" s="203">
        <f t="shared" si="6"/>
        <v>0</v>
      </c>
      <c r="DZ326" s="924"/>
      <c r="EH326" s="924"/>
    </row>
    <row r="327" spans="1:138" s="6" customFormat="1" ht="15" customHeight="1">
      <c r="A327" s="3">
        <v>167</v>
      </c>
      <c r="B327" s="210" t="s">
        <v>236</v>
      </c>
      <c r="C327" s="473" t="s">
        <v>515</v>
      </c>
      <c r="D327" s="4"/>
      <c r="E327" s="5"/>
      <c r="F327" s="5"/>
      <c r="G327" s="4"/>
      <c r="H327" s="4"/>
      <c r="I327" s="4"/>
      <c r="J327" s="4"/>
      <c r="K327" s="5"/>
      <c r="L327" s="5"/>
      <c r="M327" s="5"/>
      <c r="O327" s="5"/>
      <c r="P327" s="5"/>
      <c r="Q327" s="5"/>
      <c r="S327" s="5"/>
      <c r="T327" s="5"/>
      <c r="U327" s="5"/>
      <c r="W327" s="5"/>
      <c r="X327" s="5"/>
      <c r="Y327" s="12"/>
      <c r="AA327" s="13"/>
      <c r="AB327" s="12"/>
      <c r="AD327" s="13"/>
      <c r="AE327" s="5"/>
      <c r="AF327" s="5"/>
      <c r="AH327" s="13"/>
      <c r="AI327" s="5"/>
      <c r="AK327" s="5"/>
      <c r="AL327" s="5"/>
      <c r="AM327" s="5"/>
      <c r="AO327" s="5"/>
      <c r="AP327" s="5"/>
      <c r="AR327" s="5"/>
      <c r="AS327" s="5"/>
      <c r="AT327" s="5"/>
      <c r="AV327" s="5"/>
      <c r="AW327" s="5"/>
      <c r="AY327" s="5"/>
      <c r="AZ327" s="5"/>
      <c r="BA327" s="5"/>
      <c r="BC327" s="5"/>
      <c r="BD327" s="5"/>
      <c r="BF327" s="5"/>
      <c r="BG327" s="5"/>
      <c r="BH327" s="5"/>
      <c r="BJ327" s="5"/>
      <c r="BK327" s="5"/>
      <c r="BL327" s="12"/>
      <c r="BM327" s="5"/>
      <c r="BN327" s="5"/>
      <c r="BO327" s="5"/>
      <c r="BQ327" s="5"/>
      <c r="BR327" s="5"/>
      <c r="BT327" s="5"/>
      <c r="BU327" s="5"/>
      <c r="BV327" s="5"/>
      <c r="BX327" s="5"/>
      <c r="BY327" s="5"/>
      <c r="CA327" s="13"/>
      <c r="CB327" s="7"/>
      <c r="CC327" s="11"/>
      <c r="CE327" s="13"/>
      <c r="CF327" s="5"/>
      <c r="CG327" s="12"/>
      <c r="CI327" s="13"/>
      <c r="CJ327" s="5"/>
      <c r="CK327" s="12"/>
      <c r="CM327" s="13"/>
      <c r="CN327" s="5"/>
      <c r="CO327" s="12"/>
      <c r="CQ327" s="13"/>
      <c r="CR327" s="5"/>
      <c r="CS327" s="12"/>
      <c r="CU327" s="13"/>
      <c r="CV327" s="5"/>
      <c r="CW327" s="12"/>
      <c r="CY327" s="13"/>
      <c r="CZ327" s="5"/>
      <c r="DA327" s="12"/>
      <c r="DC327" s="13"/>
      <c r="DD327" s="5"/>
      <c r="DE327" s="12"/>
      <c r="DG327" s="13"/>
      <c r="DH327" s="5"/>
      <c r="DI327" s="12"/>
      <c r="DK327" s="13"/>
      <c r="DL327" s="5"/>
      <c r="DM327" s="12"/>
      <c r="DO327" s="13"/>
      <c r="DP327" s="5"/>
      <c r="DQ327" s="12"/>
      <c r="DS327" s="1336">
        <f t="shared" si="5"/>
        <v>0</v>
      </c>
      <c r="DT327" s="121">
        <f>EXTRAS!D197</f>
        <v>0</v>
      </c>
      <c r="DU327" s="112">
        <f>EXTRAS!E197</f>
        <v>0</v>
      </c>
      <c r="DX327" s="203">
        <f t="shared" si="6"/>
        <v>0</v>
      </c>
      <c r="DZ327" s="924"/>
      <c r="EH327" s="924"/>
    </row>
    <row r="328" spans="1:138" s="6" customFormat="1" ht="15" customHeight="1">
      <c r="A328" s="3">
        <v>168</v>
      </c>
      <c r="B328" s="210" t="s">
        <v>221</v>
      </c>
      <c r="C328" s="473" t="s">
        <v>515</v>
      </c>
      <c r="D328" s="4"/>
      <c r="E328" s="5"/>
      <c r="F328" s="5"/>
      <c r="G328" s="4"/>
      <c r="H328" s="4"/>
      <c r="I328" s="4"/>
      <c r="J328" s="4"/>
      <c r="K328" s="5"/>
      <c r="L328" s="5"/>
      <c r="M328" s="5"/>
      <c r="O328" s="5"/>
      <c r="P328" s="5"/>
      <c r="Q328" s="5"/>
      <c r="S328" s="5"/>
      <c r="T328" s="5"/>
      <c r="U328" s="5"/>
      <c r="W328" s="5"/>
      <c r="X328" s="5"/>
      <c r="Y328" s="12"/>
      <c r="AA328" s="13"/>
      <c r="AB328" s="12"/>
      <c r="AD328" s="13"/>
      <c r="AE328" s="5"/>
      <c r="AF328" s="5"/>
      <c r="AH328" s="13"/>
      <c r="AI328" s="5"/>
      <c r="AK328" s="5"/>
      <c r="AL328" s="5"/>
      <c r="AM328" s="5"/>
      <c r="AO328" s="5"/>
      <c r="AP328" s="5"/>
      <c r="AR328" s="5"/>
      <c r="AS328" s="5"/>
      <c r="AT328" s="5"/>
      <c r="AV328" s="5"/>
      <c r="AW328" s="5"/>
      <c r="AY328" s="5"/>
      <c r="AZ328" s="5"/>
      <c r="BA328" s="5"/>
      <c r="BC328" s="5"/>
      <c r="BD328" s="5"/>
      <c r="BF328" s="5"/>
      <c r="BG328" s="5"/>
      <c r="BH328" s="5"/>
      <c r="BJ328" s="5"/>
      <c r="BK328" s="5"/>
      <c r="BL328" s="12"/>
      <c r="BM328" s="5"/>
      <c r="BN328" s="5"/>
      <c r="BO328" s="5"/>
      <c r="BQ328" s="5"/>
      <c r="BR328" s="5"/>
      <c r="BT328" s="5"/>
      <c r="BU328" s="5"/>
      <c r="BV328" s="5"/>
      <c r="BX328" s="5"/>
      <c r="BY328" s="5"/>
      <c r="CA328" s="13"/>
      <c r="CB328" s="7"/>
      <c r="CC328" s="11"/>
      <c r="CE328" s="13"/>
      <c r="CF328" s="5"/>
      <c r="CG328" s="12"/>
      <c r="CI328" s="13"/>
      <c r="CJ328" s="5"/>
      <c r="CK328" s="12"/>
      <c r="CM328" s="13"/>
      <c r="CN328" s="5"/>
      <c r="CO328" s="12"/>
      <c r="CQ328" s="13"/>
      <c r="CR328" s="5"/>
      <c r="CS328" s="12"/>
      <c r="CU328" s="13"/>
      <c r="CV328" s="5"/>
      <c r="CW328" s="12"/>
      <c r="CY328" s="13"/>
      <c r="CZ328" s="5"/>
      <c r="DA328" s="12"/>
      <c r="DC328" s="13"/>
      <c r="DD328" s="5"/>
      <c r="DE328" s="12"/>
      <c r="DG328" s="13"/>
      <c r="DH328" s="5"/>
      <c r="DI328" s="12"/>
      <c r="DK328" s="13"/>
      <c r="DL328" s="5"/>
      <c r="DM328" s="12"/>
      <c r="DO328" s="13"/>
      <c r="DP328" s="5"/>
      <c r="DQ328" s="12"/>
      <c r="DS328" s="1336">
        <f t="shared" si="5"/>
        <v>0</v>
      </c>
      <c r="DT328" s="121">
        <f>EXTRAS!D198</f>
        <v>0</v>
      </c>
      <c r="DU328" s="112">
        <f>EXTRAS!E198</f>
        <v>0</v>
      </c>
      <c r="DX328" s="203">
        <f t="shared" si="6"/>
        <v>0</v>
      </c>
      <c r="DZ328" s="924"/>
      <c r="EH328" s="924"/>
    </row>
    <row r="329" spans="1:138" s="6" customFormat="1" ht="15" customHeight="1">
      <c r="A329" s="3">
        <v>169</v>
      </c>
      <c r="B329" s="210" t="s">
        <v>222</v>
      </c>
      <c r="C329" s="473" t="s">
        <v>515</v>
      </c>
      <c r="D329" s="4"/>
      <c r="E329" s="5"/>
      <c r="F329" s="5"/>
      <c r="G329" s="4"/>
      <c r="H329" s="4"/>
      <c r="I329" s="4"/>
      <c r="J329" s="4"/>
      <c r="K329" s="5"/>
      <c r="L329" s="5"/>
      <c r="M329" s="5"/>
      <c r="O329" s="5"/>
      <c r="P329" s="5"/>
      <c r="Q329" s="5"/>
      <c r="S329" s="5"/>
      <c r="T329" s="5"/>
      <c r="U329" s="5"/>
      <c r="W329" s="5"/>
      <c r="X329" s="5"/>
      <c r="Y329" s="12"/>
      <c r="AA329" s="13"/>
      <c r="AB329" s="12"/>
      <c r="AD329" s="13"/>
      <c r="AE329" s="5"/>
      <c r="AF329" s="5"/>
      <c r="AH329" s="13"/>
      <c r="AI329" s="5"/>
      <c r="AK329" s="5"/>
      <c r="AL329" s="5"/>
      <c r="AM329" s="5"/>
      <c r="AO329" s="5"/>
      <c r="AP329" s="5"/>
      <c r="AR329" s="5"/>
      <c r="AS329" s="5"/>
      <c r="AT329" s="5"/>
      <c r="AV329" s="5"/>
      <c r="AW329" s="5"/>
      <c r="AY329" s="5"/>
      <c r="AZ329" s="5"/>
      <c r="BA329" s="5"/>
      <c r="BC329" s="5"/>
      <c r="BD329" s="5"/>
      <c r="BF329" s="5"/>
      <c r="BG329" s="5"/>
      <c r="BH329" s="5"/>
      <c r="BJ329" s="5"/>
      <c r="BK329" s="5"/>
      <c r="BL329" s="12"/>
      <c r="BM329" s="5"/>
      <c r="BN329" s="5"/>
      <c r="BO329" s="5"/>
      <c r="BQ329" s="5"/>
      <c r="BR329" s="5"/>
      <c r="BT329" s="5"/>
      <c r="BU329" s="5"/>
      <c r="BV329" s="5"/>
      <c r="BX329" s="5"/>
      <c r="BY329" s="5"/>
      <c r="CA329" s="13"/>
      <c r="CB329" s="7"/>
      <c r="CC329" s="11"/>
      <c r="CE329" s="13"/>
      <c r="CF329" s="5"/>
      <c r="CG329" s="12"/>
      <c r="CI329" s="13"/>
      <c r="CJ329" s="5"/>
      <c r="CK329" s="12"/>
      <c r="CM329" s="13"/>
      <c r="CN329" s="5"/>
      <c r="CO329" s="12"/>
      <c r="CQ329" s="13"/>
      <c r="CR329" s="5"/>
      <c r="CS329" s="12"/>
      <c r="CU329" s="13"/>
      <c r="CV329" s="5"/>
      <c r="CW329" s="12"/>
      <c r="CY329" s="13"/>
      <c r="CZ329" s="5"/>
      <c r="DA329" s="12"/>
      <c r="DC329" s="13"/>
      <c r="DD329" s="5"/>
      <c r="DE329" s="12"/>
      <c r="DG329" s="13"/>
      <c r="DH329" s="5"/>
      <c r="DI329" s="12"/>
      <c r="DK329" s="13"/>
      <c r="DL329" s="5"/>
      <c r="DM329" s="12"/>
      <c r="DO329" s="13"/>
      <c r="DP329" s="5"/>
      <c r="DQ329" s="12"/>
      <c r="DS329" s="1336">
        <f t="shared" si="5"/>
        <v>0</v>
      </c>
      <c r="DT329" s="121">
        <f>EXTRAS!D199</f>
        <v>0</v>
      </c>
      <c r="DU329" s="112">
        <f>EXTRAS!E199</f>
        <v>0</v>
      </c>
      <c r="DX329" s="203">
        <f t="shared" si="6"/>
        <v>0</v>
      </c>
      <c r="DZ329" s="924"/>
      <c r="EH329" s="924"/>
    </row>
    <row r="330" spans="1:138" s="6" customFormat="1" ht="15" customHeight="1">
      <c r="A330" s="3">
        <v>170</v>
      </c>
      <c r="B330" s="210" t="s">
        <v>223</v>
      </c>
      <c r="C330" s="473" t="s">
        <v>515</v>
      </c>
      <c r="D330" s="4"/>
      <c r="E330" s="5"/>
      <c r="F330" s="5"/>
      <c r="G330" s="4"/>
      <c r="H330" s="4"/>
      <c r="I330" s="4"/>
      <c r="J330" s="4"/>
      <c r="K330" s="5"/>
      <c r="L330" s="5"/>
      <c r="M330" s="5"/>
      <c r="O330" s="5"/>
      <c r="P330" s="5"/>
      <c r="Q330" s="5"/>
      <c r="S330" s="5"/>
      <c r="T330" s="5"/>
      <c r="U330" s="5"/>
      <c r="W330" s="5"/>
      <c r="X330" s="5"/>
      <c r="Y330" s="12"/>
      <c r="AA330" s="13"/>
      <c r="AB330" s="12"/>
      <c r="AD330" s="13"/>
      <c r="AE330" s="5"/>
      <c r="AF330" s="5"/>
      <c r="AH330" s="13"/>
      <c r="AI330" s="5"/>
      <c r="AK330" s="5"/>
      <c r="AL330" s="5"/>
      <c r="AM330" s="5"/>
      <c r="AO330" s="5"/>
      <c r="AP330" s="5"/>
      <c r="AR330" s="5"/>
      <c r="AS330" s="5"/>
      <c r="AT330" s="5"/>
      <c r="AV330" s="5"/>
      <c r="AW330" s="5"/>
      <c r="AY330" s="5"/>
      <c r="AZ330" s="5"/>
      <c r="BA330" s="5"/>
      <c r="BC330" s="5"/>
      <c r="BD330" s="5"/>
      <c r="BF330" s="5"/>
      <c r="BG330" s="5"/>
      <c r="BH330" s="5"/>
      <c r="BJ330" s="5"/>
      <c r="BK330" s="5"/>
      <c r="BL330" s="12"/>
      <c r="BM330" s="5"/>
      <c r="BN330" s="5"/>
      <c r="BO330" s="5"/>
      <c r="BQ330" s="5"/>
      <c r="BR330" s="5"/>
      <c r="BT330" s="5"/>
      <c r="BU330" s="5"/>
      <c r="BV330" s="5"/>
      <c r="BX330" s="5"/>
      <c r="BY330" s="5"/>
      <c r="CA330" s="13"/>
      <c r="CB330" s="7"/>
      <c r="CC330" s="11"/>
      <c r="CE330" s="13"/>
      <c r="CF330" s="5"/>
      <c r="CG330" s="12"/>
      <c r="CI330" s="13"/>
      <c r="CJ330" s="5"/>
      <c r="CK330" s="12"/>
      <c r="CM330" s="13"/>
      <c r="CN330" s="5"/>
      <c r="CO330" s="12"/>
      <c r="CQ330" s="13"/>
      <c r="CR330" s="5"/>
      <c r="CS330" s="12"/>
      <c r="CU330" s="13"/>
      <c r="CV330" s="5"/>
      <c r="CW330" s="12"/>
      <c r="CY330" s="13"/>
      <c r="CZ330" s="5"/>
      <c r="DA330" s="12"/>
      <c r="DC330" s="13"/>
      <c r="DD330" s="5"/>
      <c r="DE330" s="12"/>
      <c r="DG330" s="13"/>
      <c r="DH330" s="5"/>
      <c r="DI330" s="12"/>
      <c r="DK330" s="13"/>
      <c r="DL330" s="5"/>
      <c r="DM330" s="12"/>
      <c r="DO330" s="13"/>
      <c r="DP330" s="5"/>
      <c r="DQ330" s="12"/>
      <c r="DS330" s="1336">
        <f t="shared" si="5"/>
        <v>0</v>
      </c>
      <c r="DT330" s="121">
        <f>EXTRAS!D200</f>
        <v>0</v>
      </c>
      <c r="DU330" s="112">
        <f>EXTRAS!E200</f>
        <v>0</v>
      </c>
      <c r="DX330" s="203">
        <f t="shared" si="6"/>
        <v>0</v>
      </c>
      <c r="DZ330" s="924"/>
      <c r="EH330" s="924"/>
    </row>
    <row r="331" spans="1:138" s="6" customFormat="1" ht="15" customHeight="1">
      <c r="A331" s="3">
        <v>171</v>
      </c>
      <c r="B331" s="210" t="s">
        <v>228</v>
      </c>
      <c r="C331" s="473" t="s">
        <v>515</v>
      </c>
      <c r="D331" s="4"/>
      <c r="E331" s="5"/>
      <c r="F331" s="5"/>
      <c r="G331" s="4"/>
      <c r="H331" s="4"/>
      <c r="I331" s="4"/>
      <c r="J331" s="4"/>
      <c r="K331" s="5"/>
      <c r="L331" s="5"/>
      <c r="M331" s="5"/>
      <c r="O331" s="5"/>
      <c r="P331" s="5"/>
      <c r="Q331" s="5"/>
      <c r="S331" s="5"/>
      <c r="T331" s="5"/>
      <c r="U331" s="5"/>
      <c r="W331" s="5"/>
      <c r="X331" s="5"/>
      <c r="Y331" s="12"/>
      <c r="AA331" s="13"/>
      <c r="AB331" s="12"/>
      <c r="AD331" s="13"/>
      <c r="AE331" s="5"/>
      <c r="AF331" s="5"/>
      <c r="AH331" s="13"/>
      <c r="AI331" s="5"/>
      <c r="AK331" s="5"/>
      <c r="AL331" s="5"/>
      <c r="AM331" s="5"/>
      <c r="AO331" s="5"/>
      <c r="AP331" s="5"/>
      <c r="AR331" s="5"/>
      <c r="AS331" s="5"/>
      <c r="AT331" s="5"/>
      <c r="AV331" s="5"/>
      <c r="AW331" s="5"/>
      <c r="AY331" s="5"/>
      <c r="AZ331" s="5"/>
      <c r="BA331" s="5"/>
      <c r="BC331" s="5"/>
      <c r="BD331" s="5"/>
      <c r="BF331" s="5"/>
      <c r="BG331" s="5"/>
      <c r="BH331" s="5"/>
      <c r="BJ331" s="5"/>
      <c r="BK331" s="5"/>
      <c r="BL331" s="12"/>
      <c r="BM331" s="5"/>
      <c r="BN331" s="5"/>
      <c r="BO331" s="5"/>
      <c r="BQ331" s="5"/>
      <c r="BR331" s="5"/>
      <c r="BT331" s="5"/>
      <c r="BU331" s="5"/>
      <c r="BV331" s="5"/>
      <c r="BX331" s="5"/>
      <c r="BY331" s="5"/>
      <c r="CA331" s="13"/>
      <c r="CB331" s="7"/>
      <c r="CC331" s="11"/>
      <c r="CE331" s="13"/>
      <c r="CF331" s="5"/>
      <c r="CG331" s="12"/>
      <c r="CI331" s="13"/>
      <c r="CJ331" s="5"/>
      <c r="CK331" s="12"/>
      <c r="CM331" s="13"/>
      <c r="CN331" s="5"/>
      <c r="CO331" s="12"/>
      <c r="CQ331" s="13"/>
      <c r="CR331" s="5"/>
      <c r="CS331" s="12"/>
      <c r="CU331" s="13"/>
      <c r="CV331" s="5"/>
      <c r="CW331" s="12"/>
      <c r="CY331" s="13"/>
      <c r="CZ331" s="5"/>
      <c r="DA331" s="12"/>
      <c r="DC331" s="13"/>
      <c r="DD331" s="5"/>
      <c r="DE331" s="12"/>
      <c r="DG331" s="13"/>
      <c r="DH331" s="5"/>
      <c r="DI331" s="12"/>
      <c r="DK331" s="13"/>
      <c r="DL331" s="5"/>
      <c r="DM331" s="12"/>
      <c r="DO331" s="13"/>
      <c r="DP331" s="5"/>
      <c r="DQ331" s="12"/>
      <c r="DS331" s="1336">
        <f t="shared" si="5"/>
        <v>0</v>
      </c>
      <c r="DT331" s="121">
        <f>EXTRAS!D201</f>
        <v>0</v>
      </c>
      <c r="DU331" s="112">
        <f>EXTRAS!E201</f>
        <v>0</v>
      </c>
      <c r="DX331" s="203">
        <f t="shared" si="6"/>
        <v>0</v>
      </c>
      <c r="DZ331" s="924"/>
      <c r="EH331" s="924"/>
    </row>
    <row r="332" spans="1:138" s="6" customFormat="1" ht="15" customHeight="1">
      <c r="A332" s="3"/>
      <c r="B332" s="210" t="s">
        <v>1476</v>
      </c>
      <c r="C332" s="473" t="s">
        <v>515</v>
      </c>
      <c r="D332" s="4"/>
      <c r="E332" s="5"/>
      <c r="F332" s="5"/>
      <c r="G332" s="4"/>
      <c r="H332" s="4"/>
      <c r="I332" s="4"/>
      <c r="J332" s="4"/>
      <c r="K332" s="5"/>
      <c r="L332" s="5"/>
      <c r="M332" s="5"/>
      <c r="O332" s="5"/>
      <c r="P332" s="5"/>
      <c r="Q332" s="5"/>
      <c r="S332" s="5"/>
      <c r="T332" s="5"/>
      <c r="U332" s="5"/>
      <c r="W332" s="5"/>
      <c r="X332" s="5"/>
      <c r="Y332" s="12"/>
      <c r="AA332" s="13"/>
      <c r="AB332" s="12"/>
      <c r="AD332" s="13"/>
      <c r="AE332" s="5"/>
      <c r="AF332" s="5"/>
      <c r="AH332" s="13"/>
      <c r="AI332" s="5"/>
      <c r="AK332" s="5"/>
      <c r="AL332" s="5"/>
      <c r="AM332" s="5"/>
      <c r="AO332" s="5"/>
      <c r="AP332" s="5"/>
      <c r="AR332" s="5"/>
      <c r="AS332" s="5"/>
      <c r="AT332" s="5"/>
      <c r="AV332" s="5"/>
      <c r="AW332" s="5"/>
      <c r="AY332" s="5"/>
      <c r="AZ332" s="5"/>
      <c r="BA332" s="5"/>
      <c r="BC332" s="5"/>
      <c r="BD332" s="5"/>
      <c r="BF332" s="5"/>
      <c r="BG332" s="5"/>
      <c r="BH332" s="5"/>
      <c r="BJ332" s="5"/>
      <c r="BK332" s="5"/>
      <c r="BL332" s="12"/>
      <c r="BM332" s="5"/>
      <c r="BN332" s="5"/>
      <c r="BO332" s="5"/>
      <c r="BQ332" s="5"/>
      <c r="BR332" s="5"/>
      <c r="BT332" s="5"/>
      <c r="BU332" s="5"/>
      <c r="BV332" s="5"/>
      <c r="BX332" s="5"/>
      <c r="BY332" s="5"/>
      <c r="CA332" s="13"/>
      <c r="CB332" s="7"/>
      <c r="CC332" s="11"/>
      <c r="CE332" s="13"/>
      <c r="CF332" s="5"/>
      <c r="CG332" s="12"/>
      <c r="CI332" s="13"/>
      <c r="CJ332" s="5"/>
      <c r="CK332" s="12"/>
      <c r="CM332" s="13"/>
      <c r="CN332" s="5"/>
      <c r="CO332" s="12"/>
      <c r="CQ332" s="13"/>
      <c r="CR332" s="5"/>
      <c r="CS332" s="12"/>
      <c r="CU332" s="13"/>
      <c r="CV332" s="5"/>
      <c r="CW332" s="12"/>
      <c r="CY332" s="13"/>
      <c r="CZ332" s="5"/>
      <c r="DA332" s="12"/>
      <c r="DC332" s="13"/>
      <c r="DD332" s="5"/>
      <c r="DE332" s="12"/>
      <c r="DG332" s="13"/>
      <c r="DH332" s="5"/>
      <c r="DI332" s="12"/>
      <c r="DK332" s="13"/>
      <c r="DL332" s="5"/>
      <c r="DM332" s="12"/>
      <c r="DO332" s="13"/>
      <c r="DP332" s="5"/>
      <c r="DQ332" s="12"/>
      <c r="DS332" s="1336">
        <f t="shared" si="5"/>
        <v>0</v>
      </c>
      <c r="DT332" s="121">
        <f>EXTRAS!D202</f>
        <v>0</v>
      </c>
      <c r="DU332" s="112">
        <f>EXTRAS!E202</f>
        <v>0</v>
      </c>
      <c r="DX332" s="203">
        <f t="shared" si="6"/>
        <v>0</v>
      </c>
      <c r="DZ332" s="924"/>
      <c r="EH332" s="924"/>
    </row>
    <row r="333" spans="1:138" s="6" customFormat="1" ht="15" customHeight="1">
      <c r="A333" s="3"/>
      <c r="B333" s="210" t="s">
        <v>1477</v>
      </c>
      <c r="C333" s="473" t="s">
        <v>515</v>
      </c>
      <c r="D333" s="4"/>
      <c r="E333" s="5"/>
      <c r="F333" s="5"/>
      <c r="G333" s="4"/>
      <c r="H333" s="4"/>
      <c r="I333" s="4"/>
      <c r="J333" s="4"/>
      <c r="K333" s="5"/>
      <c r="L333" s="5"/>
      <c r="M333" s="5"/>
      <c r="O333" s="5"/>
      <c r="P333" s="5"/>
      <c r="Q333" s="5"/>
      <c r="S333" s="5"/>
      <c r="T333" s="5"/>
      <c r="U333" s="5"/>
      <c r="W333" s="5"/>
      <c r="X333" s="5"/>
      <c r="Y333" s="12"/>
      <c r="AA333" s="13"/>
      <c r="AB333" s="12"/>
      <c r="AD333" s="13"/>
      <c r="AE333" s="5"/>
      <c r="AF333" s="5"/>
      <c r="AH333" s="13"/>
      <c r="AI333" s="5"/>
      <c r="AK333" s="5"/>
      <c r="AL333" s="5"/>
      <c r="AM333" s="5"/>
      <c r="AO333" s="5"/>
      <c r="AP333" s="5"/>
      <c r="AR333" s="5"/>
      <c r="AS333" s="5"/>
      <c r="AT333" s="5"/>
      <c r="AV333" s="5"/>
      <c r="AW333" s="5"/>
      <c r="AY333" s="5"/>
      <c r="AZ333" s="5"/>
      <c r="BA333" s="5"/>
      <c r="BC333" s="5"/>
      <c r="BD333" s="5"/>
      <c r="BF333" s="5"/>
      <c r="BG333" s="5"/>
      <c r="BH333" s="5"/>
      <c r="BJ333" s="5"/>
      <c r="BK333" s="5"/>
      <c r="BL333" s="12"/>
      <c r="BM333" s="5"/>
      <c r="BN333" s="5"/>
      <c r="BO333" s="5"/>
      <c r="BQ333" s="5"/>
      <c r="BR333" s="5"/>
      <c r="BT333" s="5"/>
      <c r="BU333" s="5"/>
      <c r="BV333" s="5"/>
      <c r="BX333" s="5"/>
      <c r="BY333" s="5"/>
      <c r="CA333" s="13"/>
      <c r="CB333" s="7"/>
      <c r="CC333" s="11"/>
      <c r="CE333" s="13"/>
      <c r="CF333" s="5"/>
      <c r="CG333" s="12"/>
      <c r="CI333" s="13"/>
      <c r="CJ333" s="5"/>
      <c r="CK333" s="12"/>
      <c r="CM333" s="13"/>
      <c r="CN333" s="5"/>
      <c r="CO333" s="12"/>
      <c r="CQ333" s="13"/>
      <c r="CR333" s="5"/>
      <c r="CS333" s="12"/>
      <c r="CU333" s="13"/>
      <c r="CV333" s="5"/>
      <c r="CW333" s="12"/>
      <c r="CY333" s="13"/>
      <c r="CZ333" s="5"/>
      <c r="DA333" s="12"/>
      <c r="DC333" s="13"/>
      <c r="DD333" s="5"/>
      <c r="DE333" s="12"/>
      <c r="DG333" s="13"/>
      <c r="DH333" s="5"/>
      <c r="DI333" s="12"/>
      <c r="DK333" s="13"/>
      <c r="DL333" s="5"/>
      <c r="DM333" s="12"/>
      <c r="DO333" s="13"/>
      <c r="DP333" s="5"/>
      <c r="DQ333" s="12"/>
      <c r="DS333" s="1336">
        <f t="shared" si="5"/>
        <v>0</v>
      </c>
      <c r="DT333" s="121">
        <f>EXTRAS!D203</f>
        <v>0</v>
      </c>
      <c r="DU333" s="112">
        <f>EXTRAS!E203</f>
        <v>0</v>
      </c>
      <c r="DX333" s="203">
        <f t="shared" si="6"/>
        <v>0</v>
      </c>
      <c r="DZ333" s="924"/>
      <c r="EH333" s="924"/>
    </row>
    <row r="334" spans="1:138" s="6" customFormat="1" ht="15" customHeight="1">
      <c r="A334" s="3">
        <v>172</v>
      </c>
      <c r="B334" s="210" t="s">
        <v>162</v>
      </c>
      <c r="C334" s="473" t="s">
        <v>515</v>
      </c>
      <c r="D334" s="4"/>
      <c r="E334" s="5"/>
      <c r="F334" s="5"/>
      <c r="G334" s="4"/>
      <c r="H334" s="4"/>
      <c r="I334" s="4"/>
      <c r="J334" s="4"/>
      <c r="K334" s="5"/>
      <c r="L334" s="5"/>
      <c r="M334" s="5"/>
      <c r="O334" s="5"/>
      <c r="P334" s="5"/>
      <c r="Q334" s="5"/>
      <c r="S334" s="5"/>
      <c r="T334" s="5"/>
      <c r="U334" s="5"/>
      <c r="W334" s="5"/>
      <c r="X334" s="5"/>
      <c r="Y334" s="12"/>
      <c r="AA334" s="13"/>
      <c r="AB334" s="12"/>
      <c r="AD334" s="13"/>
      <c r="AE334" s="5"/>
      <c r="AF334" s="5"/>
      <c r="AH334" s="13"/>
      <c r="AI334" s="5"/>
      <c r="AK334" s="5"/>
      <c r="AL334" s="5"/>
      <c r="AM334" s="5"/>
      <c r="AO334" s="5"/>
      <c r="AP334" s="5"/>
      <c r="AR334" s="5"/>
      <c r="AS334" s="5"/>
      <c r="AT334" s="5"/>
      <c r="AV334" s="5"/>
      <c r="AW334" s="5"/>
      <c r="AY334" s="5"/>
      <c r="AZ334" s="5"/>
      <c r="BA334" s="5"/>
      <c r="BC334" s="5"/>
      <c r="BD334" s="5"/>
      <c r="BF334" s="5"/>
      <c r="BG334" s="5"/>
      <c r="BH334" s="5"/>
      <c r="BJ334" s="5"/>
      <c r="BK334" s="5"/>
      <c r="BL334" s="12"/>
      <c r="BM334" s="5"/>
      <c r="BN334" s="5"/>
      <c r="BO334" s="5"/>
      <c r="BQ334" s="5"/>
      <c r="BR334" s="5"/>
      <c r="BT334" s="5"/>
      <c r="BU334" s="5"/>
      <c r="BV334" s="5"/>
      <c r="BX334" s="5"/>
      <c r="BY334" s="5"/>
      <c r="CA334" s="13"/>
      <c r="CB334" s="7"/>
      <c r="CC334" s="11"/>
      <c r="CE334" s="13"/>
      <c r="CF334" s="5"/>
      <c r="CG334" s="12"/>
      <c r="CI334" s="13"/>
      <c r="CJ334" s="5"/>
      <c r="CK334" s="12"/>
      <c r="CM334" s="13"/>
      <c r="CN334" s="5"/>
      <c r="CO334" s="12"/>
      <c r="CQ334" s="13"/>
      <c r="CR334" s="5"/>
      <c r="CS334" s="12"/>
      <c r="CU334" s="13"/>
      <c r="CV334" s="5"/>
      <c r="CW334" s="12"/>
      <c r="CY334" s="13"/>
      <c r="CZ334" s="5"/>
      <c r="DA334" s="12"/>
      <c r="DC334" s="13"/>
      <c r="DD334" s="5"/>
      <c r="DE334" s="12"/>
      <c r="DG334" s="13"/>
      <c r="DH334" s="5"/>
      <c r="DI334" s="12"/>
      <c r="DK334" s="13"/>
      <c r="DL334" s="5"/>
      <c r="DM334" s="12"/>
      <c r="DO334" s="13"/>
      <c r="DP334" s="5"/>
      <c r="DQ334" s="12"/>
      <c r="DS334" s="1336">
        <f t="shared" si="5"/>
        <v>0</v>
      </c>
      <c r="DT334" s="121">
        <f>EXTRAS!D204</f>
        <v>0</v>
      </c>
      <c r="DU334" s="112">
        <f>EXTRAS!E204</f>
        <v>0</v>
      </c>
      <c r="DX334" s="203">
        <f t="shared" si="6"/>
        <v>0</v>
      </c>
      <c r="DY334" s="142">
        <v>13</v>
      </c>
      <c r="DZ334" s="924"/>
      <c r="EH334" s="924"/>
    </row>
    <row r="335" spans="1:138" s="6" customFormat="1" ht="15" customHeight="1">
      <c r="A335" s="3">
        <v>173</v>
      </c>
      <c r="B335" s="210" t="s">
        <v>69</v>
      </c>
      <c r="C335" s="473" t="s">
        <v>515</v>
      </c>
      <c r="D335" s="4"/>
      <c r="E335" s="5"/>
      <c r="F335" s="5"/>
      <c r="G335" s="4"/>
      <c r="H335" s="4"/>
      <c r="I335" s="4"/>
      <c r="J335" s="4"/>
      <c r="K335" s="5"/>
      <c r="L335" s="5"/>
      <c r="M335" s="5"/>
      <c r="O335" s="5"/>
      <c r="P335" s="5"/>
      <c r="Q335" s="5"/>
      <c r="S335" s="5"/>
      <c r="T335" s="5"/>
      <c r="U335" s="5"/>
      <c r="W335" s="5"/>
      <c r="X335" s="5"/>
      <c r="Y335" s="12"/>
      <c r="AA335" s="13"/>
      <c r="AB335" s="12"/>
      <c r="AD335" s="13"/>
      <c r="AE335" s="5"/>
      <c r="AF335" s="5"/>
      <c r="AH335" s="13"/>
      <c r="AI335" s="5"/>
      <c r="AK335" s="5"/>
      <c r="AL335" s="5"/>
      <c r="AM335" s="5"/>
      <c r="AO335" s="5"/>
      <c r="AP335" s="5"/>
      <c r="AR335" s="5"/>
      <c r="AS335" s="5"/>
      <c r="AT335" s="5"/>
      <c r="AV335" s="5"/>
      <c r="AW335" s="5"/>
      <c r="AY335" s="5"/>
      <c r="AZ335" s="5"/>
      <c r="BA335" s="5"/>
      <c r="BC335" s="5"/>
      <c r="BD335" s="5"/>
      <c r="BF335" s="5"/>
      <c r="BG335" s="5"/>
      <c r="BH335" s="5"/>
      <c r="BJ335" s="5"/>
      <c r="BK335" s="5"/>
      <c r="BL335" s="12"/>
      <c r="BM335" s="5"/>
      <c r="BN335" s="5"/>
      <c r="BO335" s="5"/>
      <c r="BQ335" s="5"/>
      <c r="BR335" s="5"/>
      <c r="BT335" s="5"/>
      <c r="BU335" s="5"/>
      <c r="BV335" s="5"/>
      <c r="BX335" s="5"/>
      <c r="BY335" s="5"/>
      <c r="CA335" s="13"/>
      <c r="CB335" s="7"/>
      <c r="CC335" s="11"/>
      <c r="CE335" s="13">
        <v>1</v>
      </c>
      <c r="CF335" s="5">
        <f>CF5*CE335+CF6*CE335+CF7*CE335+CF8*CE335+CF9*CE335+CF10*CE335+CF11*CE335+CF12*CE335+CF13*CE335+CF14*CE335+CF15*CE335+CF16*CE335+CF17*CE335+CF18*CE335+CF19*CE335+CF20*CE335+CF21*CE335+CF22*CE335+CF23*CE335+CF24*CE335+CG25*CE335+CG26*CE335+CG5*CE335+CG6*CE335+CG7*CE335+CG8*CE335+CG9*CE335+CG10*CE335+CG11*CE335+CG12*CE335+CG13*CE335+CG14*CE335+CG15*CE335+CG16*CE335+CG17*CE335+CG18*CE335+CG19*CE335+CG20*CE335+CG21*CE335+CG22*CE335+CG23*CE335+CG24*CE335+CF25*CE335+CF26*CE335</f>
        <v>0</v>
      </c>
      <c r="CG335" s="12"/>
      <c r="CI335" s="13">
        <v>1</v>
      </c>
      <c r="CJ335" s="5">
        <f>CJ5*CI335+CJ6*CI335+CJ7*CI335+CJ8*CI335+CJ9*CI335+CJ10*CI335+CJ11*CI335+CJ12*CI335+CJ13*CI335+CJ14*CI335+CJ15*CI335+CJ16*CI335+CJ17*CI335+CJ18*CI335+CJ19*CI335+CJ20*CI335+CJ21*CI335+CJ22*CI335+CJ23*CI335+CJ24*CI335+CK25*CI335+CK26*CI335+CK5*CI335+CK6*CI335+CK7*CI335+CK8*CI335+CK9*CI335+CK10*CI335+CK11*CI335+CK12*CI335+CK13*CI335+CK14*CI335+CK15*CI335+CK16*CI335+CK17*CI335+CK18*CI335+CK19*CI335+CK20*CI335+CK21*CI335+CK22*CI335+CK23*CI335+CK24*CI335+CJ25*CI335+CJ26*CI335</f>
        <v>0</v>
      </c>
      <c r="CK335" s="12"/>
      <c r="CM335" s="13">
        <v>1</v>
      </c>
      <c r="CN335" s="5">
        <f>CN5*CM335+CN6*CM335+CN7*CM335+CN8*CM335+CN9*CM335+CN10*CM335+CN11*CM335+CN12*CM335+CN13*CM335+CN14*CM335+CN15*CM335+CN16*CM335+CN17*CM335+CN18*CM335+CN19*CM335+CN20*CM335+CN21*CM335+CN22*CM335+CN23*CM335+CN24*CM335+CO25*CM335+CO26*CM335+CO5*CM335+CO6*CM335+CO7*CM335+CO8*CM335+CO9*CM335+CO10*CM335+CO11*CM335+CO12*CM335+CO13*CM335+CO14*CM335+CO15*CM335+CO16*CM335+CO17*CM335+CO18*CM335+CO19*CM335+CO20*CM335+CO21*CM335+CO22*CM335+CO23*CM335+CO24*CM335+CN25*CM335+CN26*CM335</f>
        <v>0</v>
      </c>
      <c r="CO335" s="12"/>
      <c r="CQ335" s="13">
        <v>1</v>
      </c>
      <c r="CR335" s="5">
        <f>CR5*CQ335+CR6*CQ335+CR7*CQ335+CR8*CQ335+CR9*CQ335+CR10*CQ335+CR11*CQ335+CR12*CQ335+CR13*CQ335+CR14*CQ335+CR15*CQ335+CR16*CQ335+CR17*CQ335+CR18*CQ335+CR19*CQ335+CR20*CQ335+CR21*CQ335+CR22*CQ335+CR23*CQ335+CR24*CQ335+CS25*CQ335+CS26*CQ335+CS5*CQ335+CS6*CQ335+CS7*CQ335+CS8*CQ335+CS9*CQ335+CS10*CQ335+CS11*CQ335+CS12*CQ335+CS13*CQ335+CS14*CQ335+CS15*CQ335+CS16*CQ335+CS17*CQ335+CS18*CQ335+CS19*CQ335+CS20*CQ335+CS21*CQ335+CS22*CQ335+CS23*CQ335+CS24*CQ335+CR25*CQ335+CR26*CQ335</f>
        <v>0</v>
      </c>
      <c r="CS335" s="12"/>
      <c r="CU335" s="13">
        <v>1</v>
      </c>
      <c r="CV335" s="5">
        <f>CV5*CU335+CV6*CU335+CV7*CU335+CV8*CU335+CV9*CU335+CV10*CU335+CV11*CU335+CV12*CU335+CV13*CU335+CV14*CU335+CV15*CU335+CV16*CU335+CV17*CU335+CV18*CU335+CV19*CU335+CV20*CU335+CV21*CU335+CV22*CU335+CV23*CU335+CV24*CU335+CW25*CU335+CW26*CU335+CW5*CU335+CW6*CU335+CW7*CU335+CW8*CU335+CW9*CU335+CW10*CU335+CW11*CU335+CW12*CU335+CW13*CU335+CW14*CU335+CW15*CU335+CW16*CU335+CW17*CU335+CW18*CU335+CW19*CU335+CW20*CU335+CW21*CU335+CW22*CU335+CW23*CU335+CW24*CU335+CV25*CU335+CV26*CU335</f>
        <v>0</v>
      </c>
      <c r="CW335" s="12"/>
      <c r="CY335" s="13">
        <v>1</v>
      </c>
      <c r="CZ335" s="5">
        <f>CZ5*CY335+CZ6*CY335+CZ7*CY335+CZ8*CY335+CZ9*CY335+CZ10*CY335+CZ11*CY335+CZ12*CY335+CZ13*CY335+CZ14*CY335+CZ15*CY335+CZ16*CY335+CZ17*CY335+CZ18*CY335+CZ19*CY335+CZ20*CY335+CZ21*CY335+CZ22*CY335+CZ23*CY335+CZ24*CY335+DA25*CY335+DA26*CY335+DA5*CY335+DA6*CY335+DA7*CY335+DA8*CY335+DA9*CY335+DA10*CY335+DA11*CY335+DA12*CY335+DA13*CY335+DA14*CY335+DA15*CY335+DA16*CY335+DA17*CY335+DA18*CY335+DA19*CY335+DA20*CY335+DA21*CY335+DA22*CY335+DA23*CY335+DA24*CY335+CZ25*CY335+CZ26*CY335</f>
        <v>0</v>
      </c>
      <c r="DA335" s="12"/>
      <c r="DC335" s="13">
        <v>1</v>
      </c>
      <c r="DD335" s="5">
        <f>DD5*DC335+DD6*DC335+DD7*DC335+DD8*DC335+DD9*DC335+DD10*DC335+DD11*DC335+DD12*DC335+DD13*DC335+DD14*DC335+DD15*DC335+DD16*DC335+DD17*DC335+DD18*DC335+DD19*DC335+DD20*DC335+DD21*DC335+DD22*DC335+DD23*DC335+DD24*DC335+DE25*DC335+DE26*DC335+DE5*DC335+DE6*DC335+DE7*DC335+DE8*DC335+DE9*DC335+DE10*DC335+DE11*DC335+DE12*DC335+DE13*DC335+DE14*DC335+DE15*DC335+DE16*DC335+DE17*DC335+DE18*DC335+DE19*DC335+DE20*DC335+DE21*DC335+DE22*DC335+DE23*DC335+DE24*DC335+DD25*DC335+DD26*DC335</f>
        <v>0</v>
      </c>
      <c r="DE335" s="12"/>
      <c r="DG335" s="13">
        <v>1</v>
      </c>
      <c r="DH335" s="5">
        <f>DH5*DG335+DH6*DG335+DH7*DG335+DH8*DG335+DH9*DG335+DH10*DG335+DH11*DG335+DH12*DG335+DH13*DG335+DH14*DG335+DH15*DG335+DH16*DG335+DH17*DG335+DH18*DG335+DH19*DG335+DH20*DG335+DH21*DG335+DH22*DG335+DH23*DG335+DH24*DG335+DI25*DG335+DI26*DG335+DI5*DG335+DI6*DG335+DI7*DG335+DI8*DG335+DI9*DG335+DI10*DG335+DI11*DG335+DI12*DG335+DI13*DG335+DI14*DG335+DI15*DG335+DI16*DG335+DI17*DG335+DI18*DG335+DI19*DG335+DI20*DG335+DI21*DG335+DI22*DG335+DI23*DG335+DI24*DG335+DH25*DG335+DH26*DG335</f>
        <v>0</v>
      </c>
      <c r="DI335" s="12"/>
      <c r="DK335" s="13">
        <v>1</v>
      </c>
      <c r="DL335" s="5">
        <f>DL5*DK335+DL6*DK335+DL7*DK335+DL8*DK335+DL9*DK335+DL10*DK335+DL11*DK335+DL12*DK335+DL13*DK335+DL14*DK335+DL15*DK335+DL16*DK335+DL17*DK335+DL18*DK335+DL19*DK335+DL20*DK335+DL21*DK335+DL22*DK335+DL23*DK335+DL24*DK335+DM25*DK335+DM26*DK335+DM5*DK335+DM6*DK335+DM7*DK335+DM8*DK335+DM9*DK335+DM10*DK335+DM11*DK335+DM12*DK335+DM13*DK335+DM14*DK335+DM15*DK335+DM16*DK335+DM17*DK335+DM18*DK335+DM19*DK335+DM20*DK335+DM21*DK335+DM22*DK335+DM23*DK335+DM24*DK335+DL25*DK335+DL26*DK335</f>
        <v>0</v>
      </c>
      <c r="DM335" s="12"/>
      <c r="DO335" s="13">
        <v>1</v>
      </c>
      <c r="DP335" s="5">
        <f>SUM(DP5:DP26,DQ5:DQ26)*DO335</f>
        <v>0</v>
      </c>
      <c r="DQ335" s="12"/>
      <c r="DS335" s="1336">
        <f t="shared" si="5"/>
        <v>0</v>
      </c>
      <c r="DT335" s="121">
        <f>EXTRAS!D205</f>
        <v>0</v>
      </c>
      <c r="DU335" s="112">
        <f>EXTRAS!E205</f>
        <v>0</v>
      </c>
      <c r="DX335" s="203">
        <f t="shared" si="6"/>
        <v>0</v>
      </c>
      <c r="DY335" s="116">
        <v>34</v>
      </c>
      <c r="DZ335" s="924"/>
      <c r="EH335" s="924"/>
    </row>
    <row r="336" spans="1:138" s="6" customFormat="1" ht="15" customHeight="1">
      <c r="A336" s="3">
        <v>174</v>
      </c>
      <c r="B336" s="210" t="s">
        <v>556</v>
      </c>
      <c r="C336" s="473" t="s">
        <v>515</v>
      </c>
      <c r="D336" s="4"/>
      <c r="E336" s="5"/>
      <c r="F336" s="5"/>
      <c r="G336" s="4"/>
      <c r="H336" s="4"/>
      <c r="I336" s="4"/>
      <c r="J336" s="4"/>
      <c r="K336" s="5">
        <v>1</v>
      </c>
      <c r="L336" s="5">
        <f>L16*K336+M16*K336+L17*K336+M17*K336+L18*K336+M18*K336+L19*K336+M19*K336+L20*K336+M20*K336+L21*K336+M21*K336+L22*K336+M22*K336+L23*K336+M23*K336+L24*K336+M24*K336+L25*K336+M25*K336+L26*K336+M26*K336</f>
        <v>0</v>
      </c>
      <c r="M336" s="5"/>
      <c r="O336" s="5">
        <v>1</v>
      </c>
      <c r="P336" s="5">
        <f>P16*O336+Q16*O336+P17*O336+Q17*O336+P18*O336+Q18*O336+P19*O336+Q19*O336+P20*O336+Q20*O336+P21*O336+Q21*O336+P22*O336+Q22*O336+P23*O336+Q23*O336+P24*O336+Q24*O336+P25*O336+Q25*O336+P26*O336+Q26*O336+P5*O336+Q5*O336+P6*O336+Q6*O336+P7*O336+Q7*O336+P8*O336+Q8*O336+P9*O336+Q9*O336+P10*O336+Q10*O336+P11*O336+Q11*O336+P12*O336+Q12*O336+P13*O336+Q13*O336+P14*O336+Q14*O336+P15*O336+Q15*O336</f>
        <v>0</v>
      </c>
      <c r="Q336" s="5"/>
      <c r="S336" s="5"/>
      <c r="T336" s="5"/>
      <c r="U336" s="5"/>
      <c r="W336" s="5">
        <v>1</v>
      </c>
      <c r="X336" s="5">
        <f>X16*W336+Y16*W336+X17*W336+Y17*W336+X18*W336+Y18*W336+X19*W336+Y19*W336+X20*W336+Y20*W336+X21*W336+Y21*W336+X22*W336+Y22*W336+X23*W336+Y23*W336+X24*W336+Y24*W336+X25*W336+Y25*W336+X26*W336+Y26*W336</f>
        <v>0</v>
      </c>
      <c r="Y336" s="12"/>
      <c r="AA336" s="13">
        <v>1</v>
      </c>
      <c r="AB336" s="12">
        <f>AB16*AA336+AC16*AA336+AB17*AA336+AC17*AA336+AB18*AA336+AC18*AA336+AB19*AA336+AC19*AA336+AB20*AA336+AC20*AA336+AB21*AA336+AC21*AA336+AB22*AA336+AC22*AA336+AB23*AA336+AC23*AA336+AB24*AA336+AC24*AA336+AB25*AA336+AC25*AA336+AB26*AA336+AC26*AA336</f>
        <v>0</v>
      </c>
      <c r="AD336" s="13"/>
      <c r="AE336" s="5"/>
      <c r="AF336" s="5"/>
      <c r="AH336" s="13"/>
      <c r="AI336" s="5"/>
      <c r="AK336" s="5"/>
      <c r="AL336" s="5"/>
      <c r="AM336" s="5"/>
      <c r="AO336" s="5"/>
      <c r="AP336" s="5"/>
      <c r="AR336" s="5"/>
      <c r="AS336" s="5"/>
      <c r="AT336" s="5"/>
      <c r="AV336" s="5"/>
      <c r="AW336" s="5"/>
      <c r="AY336" s="5"/>
      <c r="AZ336" s="5"/>
      <c r="BA336" s="5"/>
      <c r="BC336" s="5"/>
      <c r="BD336" s="5"/>
      <c r="BF336" s="5">
        <v>1</v>
      </c>
      <c r="BG336" s="5">
        <f>BG16*BF336+BH16*BF336+BG17*BF336+BH17*BF336+BG18*BF336+BH18*BF336+BG19*BF336+BH19*BF336+BG20*BF336+BH20*BF336+BG21*BF336+BH21*BF336+BG22*BF336+BH22*BF336+BG23*BF336+BH23*BF336+BG24*BF336+BH24*BF336+BG25*BF336+BH25*BF336+BG26*BF336+BH26*BF336</f>
        <v>0</v>
      </c>
      <c r="BH336" s="5"/>
      <c r="BJ336" s="5">
        <v>1</v>
      </c>
      <c r="BK336" s="5">
        <f>BK16*BJ336+BL16*BJ336+BK17*BJ336+BL17*BJ336+BK18*BJ336+BL18*BJ336+BK19*BJ336+BL19*BJ336+BK20*BJ336+BL20*BJ336+BK21*BJ336+BL21*BJ336+BK22*BJ336+BL22*BJ336+BK23*BJ336+BL23*BJ336+BK24*BJ336+BL24*BJ336+BK25*BJ336+BL25*BJ336+BK26*BJ336+BL26*BJ336</f>
        <v>0</v>
      </c>
      <c r="BL336" s="12"/>
      <c r="BM336" s="5">
        <v>1</v>
      </c>
      <c r="BN336" s="5">
        <f>BN16*BM336+BO16*BM336+BN17*BM336+BO17*BM336+BN18*BM336+BO18*BM336+BN19*BM336+BO19*BM336+BN20*BM336+BO20*BM336+BN21*BM336+BO21*BM336+BN22*BM336+BO22*BM336+BN23*BM336+BO23*BM336+BN24*BM336+BO24*BM336+BN25*BM336+BO25*BM336+BN26*BM336+BO26*BM336</f>
        <v>0</v>
      </c>
      <c r="BO336" s="5"/>
      <c r="BQ336" s="5">
        <v>1</v>
      </c>
      <c r="BR336" s="5">
        <f>BR16*BQ336+BS16*BQ336+BR17*BQ336+BS17*BQ336+BR18*BQ336+BS18*BQ336+BR19*BQ336+BS19*BQ336+BR20*BQ336+BS20*BQ336+BR21*BQ336+BS21*BQ336+BR22*BQ336+BS22*BQ336+BR23*BQ336+BS23*BQ336+BR24*BQ336+BS24*BQ336+BR25*BQ336+BS25*BQ336+BR26*BQ336+BS26*BQ336</f>
        <v>0</v>
      </c>
      <c r="BT336" s="5"/>
      <c r="BU336" s="5"/>
      <c r="BV336" s="5"/>
      <c r="BX336" s="5"/>
      <c r="BY336" s="5"/>
      <c r="CA336" s="13">
        <v>1</v>
      </c>
      <c r="CB336" s="7">
        <f>SUM(CB16:CB26,CC16:CC26)*CA336</f>
        <v>0</v>
      </c>
      <c r="CC336" s="5"/>
      <c r="CE336" s="13">
        <v>1</v>
      </c>
      <c r="CF336" s="5">
        <f>SUM(CF16:CF26,CG16:CG26)*CE336</f>
        <v>0</v>
      </c>
      <c r="CG336" s="12"/>
      <c r="CI336" s="13">
        <v>1</v>
      </c>
      <c r="CJ336" s="5">
        <f>SUM(CJ16:CJ26,CK16:CK26)*CI336</f>
        <v>0</v>
      </c>
      <c r="CK336" s="12"/>
      <c r="CM336" s="13">
        <v>1</v>
      </c>
      <c r="CN336" s="5">
        <f>SUM(CN16:CN26,CO16:CO26)*CM336</f>
        <v>0</v>
      </c>
      <c r="CO336" s="12"/>
      <c r="CQ336" s="13">
        <v>1</v>
      </c>
      <c r="CR336" s="5">
        <f>SUM(CR16:CR26,CS16:CS26)*CQ336</f>
        <v>0</v>
      </c>
      <c r="CS336" s="12"/>
      <c r="CU336" s="13">
        <v>1</v>
      </c>
      <c r="CV336" s="5">
        <f>SUM(CV16:CV26,CW16:CW26)*CU336</f>
        <v>0</v>
      </c>
      <c r="CW336" s="12"/>
      <c r="CY336" s="13"/>
      <c r="CZ336" s="5"/>
      <c r="DA336" s="12"/>
      <c r="DC336" s="13"/>
      <c r="DD336" s="5"/>
      <c r="DE336" s="12"/>
      <c r="DG336" s="13"/>
      <c r="DH336" s="5"/>
      <c r="DI336" s="12"/>
      <c r="DK336" s="13"/>
      <c r="DL336" s="5"/>
      <c r="DM336" s="12"/>
      <c r="DO336" s="13"/>
      <c r="DP336" s="5"/>
      <c r="DQ336" s="12"/>
      <c r="DS336" s="1336">
        <f t="shared" ref="DS336:DS399" si="7">I336+L336+M336+P336+T336+X336+AB336+AE336+F336+CR336+AI336+AL336+AP336+AS336+AW336+AZ336+BD336+BG336+BK336+BN336+BR336+BU336+BY336+CB336+CF336+CJ336+CN336+CV336+CZ336+DD336+DH336+DL336+DP336</f>
        <v>0</v>
      </c>
      <c r="DT336" s="121">
        <f>EXTRAS!D206</f>
        <v>0</v>
      </c>
      <c r="DU336" s="112">
        <f>EXTRAS!E206</f>
        <v>0</v>
      </c>
      <c r="DX336" s="203">
        <f t="shared" si="6"/>
        <v>0</v>
      </c>
      <c r="DZ336" s="924"/>
      <c r="EH336" s="924"/>
    </row>
    <row r="337" spans="1:138" s="6" customFormat="1" ht="15" customHeight="1">
      <c r="A337" s="3">
        <v>175</v>
      </c>
      <c r="B337" s="210" t="s">
        <v>148</v>
      </c>
      <c r="C337" s="473" t="s">
        <v>515</v>
      </c>
      <c r="D337" s="4"/>
      <c r="E337" s="5"/>
      <c r="F337" s="5"/>
      <c r="G337" s="4"/>
      <c r="H337" s="4"/>
      <c r="I337" s="4"/>
      <c r="J337" s="4"/>
      <c r="K337" s="5"/>
      <c r="L337" s="5"/>
      <c r="M337" s="5"/>
      <c r="O337" s="5"/>
      <c r="P337" s="5"/>
      <c r="Q337" s="5"/>
      <c r="S337" s="5"/>
      <c r="T337" s="5"/>
      <c r="U337" s="5"/>
      <c r="W337" s="5"/>
      <c r="X337" s="5"/>
      <c r="Y337" s="12"/>
      <c r="AA337" s="13"/>
      <c r="AB337" s="12"/>
      <c r="AD337" s="13"/>
      <c r="AE337" s="5"/>
      <c r="AF337" s="5"/>
      <c r="AH337" s="13"/>
      <c r="AI337" s="5"/>
      <c r="AK337" s="5"/>
      <c r="AL337" s="5"/>
      <c r="AM337" s="5"/>
      <c r="AO337" s="5"/>
      <c r="AP337" s="5"/>
      <c r="AR337" s="5"/>
      <c r="AS337" s="5"/>
      <c r="AT337" s="5"/>
      <c r="AV337" s="5"/>
      <c r="AW337" s="5"/>
      <c r="AY337" s="5"/>
      <c r="AZ337" s="5"/>
      <c r="BA337" s="5"/>
      <c r="BC337" s="5"/>
      <c r="BD337" s="5"/>
      <c r="BF337" s="5"/>
      <c r="BG337" s="5"/>
      <c r="BH337" s="5"/>
      <c r="BJ337" s="5"/>
      <c r="BK337" s="5"/>
      <c r="BL337" s="12"/>
      <c r="BM337" s="5"/>
      <c r="BN337" s="5"/>
      <c r="BO337" s="5"/>
      <c r="BQ337" s="5"/>
      <c r="BR337" s="5"/>
      <c r="BT337" s="5"/>
      <c r="BU337" s="5"/>
      <c r="BV337" s="5"/>
      <c r="BX337" s="5"/>
      <c r="BY337" s="5"/>
      <c r="CA337" s="13">
        <v>1</v>
      </c>
      <c r="CB337" s="5">
        <f>SUM(CB5:CB26,CC5:CC26)*CA337</f>
        <v>0</v>
      </c>
      <c r="CC337" s="5"/>
      <c r="CE337" s="13"/>
      <c r="CF337" s="5"/>
      <c r="CG337" s="12"/>
      <c r="CI337" s="13"/>
      <c r="CJ337" s="5"/>
      <c r="CK337" s="12"/>
      <c r="CM337" s="13"/>
      <c r="CN337" s="5"/>
      <c r="CO337" s="12"/>
      <c r="CQ337" s="13"/>
      <c r="CR337" s="5"/>
      <c r="CS337" s="12"/>
      <c r="CU337" s="13"/>
      <c r="CV337" s="5"/>
      <c r="CW337" s="12"/>
      <c r="CY337" s="13"/>
      <c r="CZ337" s="5"/>
      <c r="DA337" s="12"/>
      <c r="DC337" s="13"/>
      <c r="DD337" s="5"/>
      <c r="DE337" s="12"/>
      <c r="DG337" s="13"/>
      <c r="DH337" s="5"/>
      <c r="DI337" s="12"/>
      <c r="DK337" s="13"/>
      <c r="DL337" s="5"/>
      <c r="DM337" s="12"/>
      <c r="DO337" s="13"/>
      <c r="DP337" s="5"/>
      <c r="DQ337" s="12"/>
      <c r="DS337" s="1336">
        <f t="shared" si="7"/>
        <v>0</v>
      </c>
      <c r="DT337" s="121">
        <f>EXTRAS!D207</f>
        <v>0</v>
      </c>
      <c r="DU337" s="112">
        <f>EXTRAS!E207</f>
        <v>0</v>
      </c>
      <c r="DX337" s="203">
        <f t="shared" ref="DX337:DX400" si="8">I337+L337+M337+P337+T337+X337+AB337+AE337+F337+CR337+AI337+AL337+AP337+AS337+AW337+AZ337+BD337+BG337+BK337+BN337+BR337+BU337+BY337+CB337+CF337+CJ337+CN337+CV337+CZ337+DD337+DH337+DL337+DP337+DT337-DU337+DV337+DW337</f>
        <v>0</v>
      </c>
      <c r="DZ337" s="924"/>
      <c r="EH337" s="924"/>
    </row>
    <row r="338" spans="1:138" s="6" customFormat="1" ht="15" customHeight="1">
      <c r="A338" s="3">
        <v>176</v>
      </c>
      <c r="B338" s="210" t="s">
        <v>555</v>
      </c>
      <c r="C338" s="473" t="s">
        <v>515</v>
      </c>
      <c r="D338" s="4"/>
      <c r="E338" s="5"/>
      <c r="F338" s="5"/>
      <c r="G338" s="4"/>
      <c r="H338" s="4"/>
      <c r="I338" s="4"/>
      <c r="J338" s="4"/>
      <c r="K338" s="5">
        <v>1</v>
      </c>
      <c r="L338" s="5">
        <f>L5*K338+M5*K338+L6*K338+M6*K338+L7*K338+M7*K338+L9*K338+M9*K338+L10*K338+M10*K338+L11*K338+M11*K338+L13*K338+M13*K338+L14*K338+M14*K338</f>
        <v>0</v>
      </c>
      <c r="M338" s="5"/>
      <c r="O338" s="5"/>
      <c r="P338" s="5"/>
      <c r="Q338" s="5"/>
      <c r="S338" s="5"/>
      <c r="T338" s="5"/>
      <c r="U338" s="5"/>
      <c r="W338" s="5">
        <v>1</v>
      </c>
      <c r="X338" s="5">
        <f>X5*W338+Y5*W338+X6*W338+Y6*W338+X7*W338+Y7*W338+X9*W338+Y9*W338+X10*W338+Y10*W338+X11*W338+Y11*W338+X13*W338+Y13*W338+X14*W338+Y14*W338</f>
        <v>0</v>
      </c>
      <c r="Y338" s="12"/>
      <c r="AA338" s="13">
        <v>1</v>
      </c>
      <c r="AB338" s="12">
        <f>AB5*AA338+AC5*AA338+AB6*AA338+AC6*AA338+AB7*AA338+AC7*AA338+AB9*AA338+AC9*AA338+AB10*AA338+AC10*AA338+AB11*AA338+AC11*AA338+AB13*AA338+AC13*AA338+AB14*AA338+AC14*AA338</f>
        <v>0</v>
      </c>
      <c r="AD338" s="13"/>
      <c r="AE338" s="5"/>
      <c r="AF338" s="5"/>
      <c r="AH338" s="13"/>
      <c r="AI338" s="5"/>
      <c r="AK338" s="5"/>
      <c r="AL338" s="5"/>
      <c r="AM338" s="5"/>
      <c r="AO338" s="5"/>
      <c r="AP338" s="5"/>
      <c r="AR338" s="5"/>
      <c r="AS338" s="5"/>
      <c r="AT338" s="5"/>
      <c r="AV338" s="5"/>
      <c r="AW338" s="5"/>
      <c r="AY338" s="5"/>
      <c r="AZ338" s="5"/>
      <c r="BA338" s="5"/>
      <c r="BC338" s="5"/>
      <c r="BD338" s="5"/>
      <c r="BF338" s="5">
        <v>1</v>
      </c>
      <c r="BG338" s="5">
        <f>BG5*BF338+BH5*BF338+BG6*BF338+BH6*BF338+BG7*BF338+BH7*BF338+BG9*BF338+BH9*BF338+BG10*BF338+BH10*BF338+BG11*BF338+BH11*BF338+BG13*BF338+BH13*BF338+BG14*BF338+BH14*BF338</f>
        <v>0</v>
      </c>
      <c r="BH338" s="5"/>
      <c r="BJ338" s="5">
        <v>1</v>
      </c>
      <c r="BK338" s="5">
        <f>BK5*BJ338+BL5*BJ338+BK6*BJ338+BL6*BJ338+BK7*BJ338+BL7*BJ338+BK9*BJ338+BL9*BJ338+BK10*BJ338+BL10*BJ338+BK11*BJ338+BL11*BJ338+BK13*BJ338+BL13*BJ338+BK14*BJ338+BL14*BJ338</f>
        <v>0</v>
      </c>
      <c r="BL338" s="12"/>
      <c r="BM338" s="5"/>
      <c r="BN338" s="5"/>
      <c r="BO338" s="5"/>
      <c r="BQ338" s="5"/>
      <c r="BR338" s="5"/>
      <c r="BT338" s="5"/>
      <c r="BU338" s="5"/>
      <c r="BV338" s="5"/>
      <c r="BX338" s="5"/>
      <c r="BY338" s="5"/>
      <c r="CA338" s="13"/>
      <c r="CB338" s="7"/>
      <c r="CC338" s="11"/>
      <c r="CE338" s="5">
        <v>1</v>
      </c>
      <c r="CF338" s="5">
        <f>CF5*CE338+CG5*CE338+CF6*CE338+CG6*CE338+CF7*CE338+CG7*CE338+CF9*CE338+CG9*CE338+CF10*CE338+CG10*CE338+CF11*CE338+CG11*CE338+CF13*CE338+CG13*CE338+CF14*CE338+CG14*CE338</f>
        <v>0</v>
      </c>
      <c r="CG338" s="12"/>
      <c r="CI338" s="5">
        <v>1</v>
      </c>
      <c r="CJ338" s="5">
        <f>CJ5*CI338+CK5*CI338+CJ6*CI338+CK6*CI338+CJ7*CI338+CK7*CI338+CJ9*CI338+CK9*CI338+CJ10*CI338+CK10*CI338+CJ11*CI338+CK11*CI338+CJ13*CI338+CK13*CI338+CJ14*CI338+CK14*CI338</f>
        <v>0</v>
      </c>
      <c r="CK338" s="12"/>
      <c r="CM338" s="5">
        <v>1</v>
      </c>
      <c r="CN338" s="5">
        <f>CN5*CM338+CO5*CM338+CN6*CM338+CO6*CM338+CN7*CM338+CO7*CM338+CN9*CM338+CO9*CM338+CN10*CM338+CO10*CM338+CN11*CM338+CO11*CM338+CN13*CM338+CO13*CM338+CN14*CM338+CO14*CM338</f>
        <v>0</v>
      </c>
      <c r="CO338" s="12"/>
      <c r="CQ338" s="5">
        <v>1</v>
      </c>
      <c r="CR338" s="5">
        <f>CR5*CQ338+CS5*CQ338+CR6*CQ338+CS6*CQ338+CR7*CQ338+CS7*CQ338+CR9*CQ338+CS9*CQ338+CR10*CQ338+CS10*CQ338+CR11*CQ338+CS11*CQ338+CR13*CQ338+CS13*CQ338+CR14*CQ338+CS14*CQ338</f>
        <v>0</v>
      </c>
      <c r="CS338" s="12"/>
      <c r="CU338" s="5">
        <v>1</v>
      </c>
      <c r="CV338" s="5">
        <f>CV5*CU338+CW5*CU338+CV6*CU338+CW6*CU338+CV7*CU338+CW7*CU338+CV9*CU338+CW9*CU338+CV10*CU338+CW10*CU338+CV11*CU338+CW11*CU338+CV13*CU338+CW13*CU338+CV14*CU338+CW14*CU338</f>
        <v>0</v>
      </c>
      <c r="CW338" s="12"/>
      <c r="CY338" s="13"/>
      <c r="CZ338" s="5"/>
      <c r="DA338" s="12"/>
      <c r="DC338" s="13"/>
      <c r="DD338" s="5"/>
      <c r="DE338" s="12"/>
      <c r="DG338" s="13"/>
      <c r="DH338" s="5"/>
      <c r="DI338" s="12"/>
      <c r="DK338" s="13"/>
      <c r="DL338" s="5"/>
      <c r="DM338" s="12"/>
      <c r="DO338" s="13"/>
      <c r="DP338" s="5"/>
      <c r="DQ338" s="12"/>
      <c r="DS338" s="1336">
        <f t="shared" si="7"/>
        <v>0</v>
      </c>
      <c r="DT338" s="121">
        <f>EXTRAS!D208</f>
        <v>0</v>
      </c>
      <c r="DU338" s="112">
        <f>EXTRAS!E208</f>
        <v>0</v>
      </c>
      <c r="DX338" s="203">
        <f t="shared" si="8"/>
        <v>0</v>
      </c>
      <c r="DZ338" s="924"/>
      <c r="EH338" s="924"/>
    </row>
    <row r="339" spans="1:138" s="6" customFormat="1" ht="15" customHeight="1">
      <c r="A339" s="3">
        <v>177</v>
      </c>
      <c r="B339" s="210" t="s">
        <v>133</v>
      </c>
      <c r="C339" s="473" t="s">
        <v>515</v>
      </c>
      <c r="D339" s="4"/>
      <c r="E339" s="5"/>
      <c r="F339" s="5"/>
      <c r="G339" s="4"/>
      <c r="H339" s="4"/>
      <c r="I339" s="4"/>
      <c r="J339" s="4"/>
      <c r="K339" s="5">
        <v>1</v>
      </c>
      <c r="L339" s="5">
        <f>L8*K339+M8*K339+L12*K339+M12*K339+L15*K339+M15*K339</f>
        <v>0</v>
      </c>
      <c r="M339" s="5"/>
      <c r="O339" s="5"/>
      <c r="P339" s="5"/>
      <c r="Q339" s="5"/>
      <c r="S339" s="5"/>
      <c r="T339" s="5"/>
      <c r="U339" s="5"/>
      <c r="W339" s="5">
        <v>1</v>
      </c>
      <c r="X339" s="5">
        <f>X8*W339+Y8*W339+X12*W339+Y12*W339+X15*W339+Y15*W339</f>
        <v>0</v>
      </c>
      <c r="Y339" s="12"/>
      <c r="AA339" s="13">
        <v>1</v>
      </c>
      <c r="AB339" s="12">
        <f>AB8*AA339+AC8*AA339+AB12*AA339+AC12*AA339+AB15*AA339+AC15*AA339</f>
        <v>0</v>
      </c>
      <c r="AD339" s="13"/>
      <c r="AE339" s="5"/>
      <c r="AF339" s="5"/>
      <c r="AH339" s="13"/>
      <c r="AI339" s="5"/>
      <c r="AK339" s="5"/>
      <c r="AL339" s="5"/>
      <c r="AM339" s="5"/>
      <c r="AO339" s="5"/>
      <c r="AP339" s="5"/>
      <c r="AR339" s="5"/>
      <c r="AS339" s="5"/>
      <c r="AT339" s="5"/>
      <c r="AV339" s="5"/>
      <c r="AW339" s="5"/>
      <c r="AY339" s="5"/>
      <c r="AZ339" s="5"/>
      <c r="BA339" s="5"/>
      <c r="BC339" s="5"/>
      <c r="BD339" s="5"/>
      <c r="BF339" s="5">
        <v>1</v>
      </c>
      <c r="BG339" s="5">
        <f>BG8*BF339+BH8*BF339+BG12*BF339+BH12*BF339+BG15*BF339+BH15*BF339</f>
        <v>0</v>
      </c>
      <c r="BH339" s="5"/>
      <c r="BJ339" s="5">
        <v>1</v>
      </c>
      <c r="BK339" s="5">
        <f>BK8*BJ339+BL8*BJ339+BK12*BJ339+BL12*BJ339+BK15*BJ339+BL15*BJ339</f>
        <v>0</v>
      </c>
      <c r="BL339" s="12"/>
      <c r="BM339" s="5"/>
      <c r="BN339" s="5"/>
      <c r="BO339" s="5"/>
      <c r="BQ339" s="5"/>
      <c r="BR339" s="5"/>
      <c r="BT339" s="5"/>
      <c r="BU339" s="5"/>
      <c r="BV339" s="5"/>
      <c r="BX339" s="5"/>
      <c r="BY339" s="5"/>
      <c r="CA339" s="13"/>
      <c r="CB339" s="7"/>
      <c r="CC339" s="11"/>
      <c r="CE339" s="5">
        <v>1</v>
      </c>
      <c r="CF339" s="5">
        <f>CF8*CE339+CG8*CE339+CF12*CE339+CG12*CE339+CF15*CE339+CG15*CE339</f>
        <v>0</v>
      </c>
      <c r="CG339" s="12"/>
      <c r="CI339" s="5">
        <v>1</v>
      </c>
      <c r="CJ339" s="5">
        <f>CJ8*CI339+CK8*CI339+CJ12*CI339+CK12*CI339+CJ15*CI339+CK15*CI339</f>
        <v>0</v>
      </c>
      <c r="CK339" s="12"/>
      <c r="CM339" s="5">
        <v>1</v>
      </c>
      <c r="CN339" s="5">
        <f>CN8*CM339+CO8*CM339+CN12*CM339+CO12*CM339+CN15*CM339+CO15*CM339</f>
        <v>0</v>
      </c>
      <c r="CO339" s="12"/>
      <c r="CQ339" s="5">
        <v>1</v>
      </c>
      <c r="CR339" s="5">
        <f>CR8*CQ339+CS8*CQ339+CR12*CQ339+CS12*CQ339+CR15*CQ339+CS15*CQ339</f>
        <v>0</v>
      </c>
      <c r="CS339" s="12"/>
      <c r="CU339" s="5">
        <v>1</v>
      </c>
      <c r="CV339" s="5">
        <f>CV8*CU339+CW8*CU339+CV12*CU339+CW12*CU339+CV15*CU339+CW15*CU339</f>
        <v>0</v>
      </c>
      <c r="CW339" s="12"/>
      <c r="CY339" s="13"/>
      <c r="CZ339" s="5"/>
      <c r="DA339" s="12"/>
      <c r="DC339" s="13"/>
      <c r="DD339" s="5"/>
      <c r="DE339" s="12"/>
      <c r="DG339" s="13"/>
      <c r="DH339" s="5"/>
      <c r="DI339" s="12"/>
      <c r="DK339" s="13"/>
      <c r="DL339" s="5"/>
      <c r="DM339" s="12"/>
      <c r="DO339" s="13"/>
      <c r="DP339" s="5"/>
      <c r="DQ339" s="12"/>
      <c r="DS339" s="1336">
        <f t="shared" si="7"/>
        <v>0</v>
      </c>
      <c r="DT339" s="121">
        <f>EXTRAS!D209</f>
        <v>0</v>
      </c>
      <c r="DU339" s="112">
        <f>EXTRAS!E209</f>
        <v>0</v>
      </c>
      <c r="DX339" s="203">
        <f t="shared" si="8"/>
        <v>0</v>
      </c>
      <c r="DZ339" s="924"/>
      <c r="EH339" s="924"/>
    </row>
    <row r="340" spans="1:138" s="6" customFormat="1" ht="15" customHeight="1">
      <c r="A340" s="3">
        <v>151</v>
      </c>
      <c r="B340" s="210" t="s">
        <v>39</v>
      </c>
      <c r="C340" s="473" t="s">
        <v>515</v>
      </c>
      <c r="D340" s="4"/>
      <c r="E340" s="5"/>
      <c r="F340" s="5"/>
      <c r="G340" s="4"/>
      <c r="H340" s="4">
        <v>1</v>
      </c>
      <c r="I340" s="658">
        <f>SUM(I5:I26)*H340</f>
        <v>0</v>
      </c>
      <c r="J340" s="4"/>
      <c r="K340" s="5">
        <v>2</v>
      </c>
      <c r="L340" s="5">
        <f>SUM(L6:M6,L10:M10,L13:M13,L17:M17,L21:M21,L24:M24)*2</f>
        <v>0</v>
      </c>
      <c r="M340" s="5"/>
      <c r="O340" s="5">
        <v>2</v>
      </c>
      <c r="P340" s="5">
        <f>SUM(P6:Q6,P10:Q10,P13:Q13,P17:Q17,P21:Q21,P24:Q24)*2</f>
        <v>0</v>
      </c>
      <c r="Q340" s="5"/>
      <c r="S340" s="5">
        <v>2</v>
      </c>
      <c r="T340" s="5">
        <f>SUM(T6:U6,T10:U10,T13:U13,T17:U17,T21:U21,T24:U24)*2</f>
        <v>0</v>
      </c>
      <c r="U340" s="5"/>
      <c r="W340" s="5">
        <v>1</v>
      </c>
      <c r="X340" s="5"/>
      <c r="Y340" s="12"/>
      <c r="AA340" s="13">
        <v>1</v>
      </c>
      <c r="AB340" s="5"/>
      <c r="AD340" s="13"/>
      <c r="AE340" s="5"/>
      <c r="AF340" s="5"/>
      <c r="AH340" s="13"/>
      <c r="AI340" s="5"/>
      <c r="AK340" s="5"/>
      <c r="AL340" s="5"/>
      <c r="AM340" s="5"/>
      <c r="AO340" s="5"/>
      <c r="AP340" s="5"/>
      <c r="AR340" s="5">
        <v>2</v>
      </c>
      <c r="AS340" s="5">
        <f>SUM(AS6:AT6,AS10:AT10,AS13:AT13,AS17:AT17,AS21:AT21,AS24:AT24)*2</f>
        <v>0</v>
      </c>
      <c r="AT340" s="5"/>
      <c r="AV340" s="5">
        <v>2</v>
      </c>
      <c r="AW340" s="5">
        <f>SUM(AW6:AX6,AW10:AX10,AW13:AX13,AW17:AX17,AW21:AX21,AW24:AX24)*2</f>
        <v>0</v>
      </c>
      <c r="AY340" s="5">
        <v>2</v>
      </c>
      <c r="AZ340" s="5">
        <f>SUM(AZ6:BA6,AZ10:BA10,AZ13:BA13,AZ17:BA17,AZ21:BA21,AZ24:BA24)*2</f>
        <v>0</v>
      </c>
      <c r="BA340" s="5"/>
      <c r="BC340" s="5">
        <v>2</v>
      </c>
      <c r="BD340" s="5">
        <f>SUM(BD6:BE6,BD10:BE10,BD13:BE13,BD17:BE17,BD21:BE21,BD24:BE24)*2</f>
        <v>0</v>
      </c>
      <c r="BF340" s="5">
        <v>2</v>
      </c>
      <c r="BG340" s="5">
        <f>SUM(BG6:BH6,BG10:BH10,BG13:BH13,BG17:BH17,BG21:BH21,BG24:BH24)*2</f>
        <v>0</v>
      </c>
      <c r="BH340" s="5"/>
      <c r="BJ340" s="5">
        <v>2</v>
      </c>
      <c r="BK340" s="5">
        <f>SUM(BK6:BL6,BK10:BL10,BK13:BL13,BK17:BL17,BK21:BL21,BK24:BL24)*2</f>
        <v>0</v>
      </c>
      <c r="BL340" s="12"/>
      <c r="BM340" s="5">
        <v>2</v>
      </c>
      <c r="BN340" s="5">
        <f>SUM(BN6:BO6,BN10:BO10,BN13:BO13,BN17:BO17,BN21:BO21,BN24:BO24)*2</f>
        <v>0</v>
      </c>
      <c r="BO340" s="5"/>
      <c r="BQ340" s="5">
        <v>2</v>
      </c>
      <c r="BR340" s="5">
        <f>SUM(BR6:BS6,BR10:BS10,BR13:BS13,BR17:BS17,BR21:BS21,BR24:BS24)*2</f>
        <v>0</v>
      </c>
      <c r="BT340" s="5">
        <v>2</v>
      </c>
      <c r="BU340" s="5">
        <f>SUM(BU6:BV6,BU10:BV10,BU13:BV13,BU17:BV17,BU21:BV21,BU24:BV24)*2</f>
        <v>0</v>
      </c>
      <c r="BV340" s="5"/>
      <c r="BX340" s="5">
        <v>2</v>
      </c>
      <c r="BY340" s="5">
        <f>SUM(BY6:BZ6,BY10:BZ10,BY13:BZ13,BY17:BZ17,BY21:BZ21,BY24:BZ24)*2</f>
        <v>0</v>
      </c>
      <c r="CA340" s="13">
        <v>2</v>
      </c>
      <c r="CB340" s="5">
        <f>SUM(CB6:CC6,CB10:CC10,CB13:CC13,CB17:CC17,CB21:CC21,CB24:CC24)*2</f>
        <v>0</v>
      </c>
      <c r="CC340" s="11"/>
      <c r="CE340" s="13"/>
      <c r="CF340" s="5"/>
      <c r="CG340" s="12"/>
      <c r="CI340" s="13"/>
      <c r="CJ340" s="5"/>
      <c r="CK340" s="12"/>
      <c r="CM340" s="13"/>
      <c r="CN340" s="5"/>
      <c r="CO340" s="12"/>
      <c r="CQ340" s="13"/>
      <c r="CR340" s="5"/>
      <c r="CS340" s="12"/>
      <c r="CU340" s="13"/>
      <c r="CV340" s="5"/>
      <c r="CW340" s="12"/>
      <c r="CY340" s="13"/>
      <c r="CZ340" s="5"/>
      <c r="DA340" s="12"/>
      <c r="DC340" s="13"/>
      <c r="DD340" s="5"/>
      <c r="DE340" s="12"/>
      <c r="DG340" s="13"/>
      <c r="DH340" s="5"/>
      <c r="DI340" s="12"/>
      <c r="DK340" s="13"/>
      <c r="DL340" s="5"/>
      <c r="DM340" s="12"/>
      <c r="DO340" s="13"/>
      <c r="DP340" s="5"/>
      <c r="DQ340" s="12"/>
      <c r="DS340" s="1336">
        <f t="shared" si="7"/>
        <v>0</v>
      </c>
      <c r="DT340" s="121">
        <f>EXTRAS!D210+SUM(DT6,DT10,DT13,DT16)*2</f>
        <v>0</v>
      </c>
      <c r="DU340" s="121">
        <f>EXTRAS!E210+SUM(DU6,DU10,DU13,DU16)*2</f>
        <v>0</v>
      </c>
      <c r="DW340" s="659"/>
      <c r="DX340" s="203">
        <f t="shared" si="8"/>
        <v>0</v>
      </c>
      <c r="DZ340" s="924"/>
      <c r="EH340" s="924"/>
    </row>
    <row r="341" spans="1:138" s="6" customFormat="1" ht="15" customHeight="1">
      <c r="A341" s="3">
        <v>179</v>
      </c>
      <c r="B341" s="210" t="s">
        <v>30</v>
      </c>
      <c r="C341" s="473" t="s">
        <v>515</v>
      </c>
      <c r="D341" s="4"/>
      <c r="E341" s="5"/>
      <c r="F341" s="5"/>
      <c r="G341" s="4"/>
      <c r="H341" s="4"/>
      <c r="I341" s="4"/>
      <c r="J341" s="4"/>
      <c r="K341" s="5">
        <v>1</v>
      </c>
      <c r="L341" s="5">
        <f t="shared" ref="L341:L351" si="9">L5+M5</f>
        <v>0</v>
      </c>
      <c r="M341" s="5"/>
      <c r="O341" s="5">
        <v>1</v>
      </c>
      <c r="P341" s="5">
        <f t="shared" ref="P341:P351" si="10">P5+Q5</f>
        <v>0</v>
      </c>
      <c r="Q341" s="5"/>
      <c r="S341" s="5">
        <v>1</v>
      </c>
      <c r="T341" s="5">
        <f t="shared" ref="T341:T351" si="11">T5+U5</f>
        <v>0</v>
      </c>
      <c r="U341" s="5"/>
      <c r="W341" s="5"/>
      <c r="X341" s="5"/>
      <c r="Y341" s="12"/>
      <c r="AA341" s="13"/>
      <c r="AB341" s="12"/>
      <c r="AD341" s="13"/>
      <c r="AE341" s="5"/>
      <c r="AF341" s="5"/>
      <c r="AH341" s="13"/>
      <c r="AI341" s="5"/>
      <c r="AK341" s="5"/>
      <c r="AL341" s="5"/>
      <c r="AM341" s="5"/>
      <c r="AO341" s="5"/>
      <c r="AP341" s="5"/>
      <c r="AR341" s="5">
        <v>1</v>
      </c>
      <c r="AS341" s="5">
        <f t="shared" ref="AS341:AS351" si="12">AS5+AT5</f>
        <v>0</v>
      </c>
      <c r="AT341" s="5"/>
      <c r="AV341" s="5">
        <v>1</v>
      </c>
      <c r="AW341" s="5">
        <f t="shared" ref="AW341:AW351" si="13">AW5+AX5</f>
        <v>0</v>
      </c>
      <c r="AY341" s="5">
        <v>1</v>
      </c>
      <c r="AZ341" s="5">
        <f t="shared" ref="AZ341:AZ351" si="14">AZ5+BA5</f>
        <v>0</v>
      </c>
      <c r="BA341" s="5"/>
      <c r="BC341" s="5">
        <v>1</v>
      </c>
      <c r="BD341" s="5">
        <f t="shared" ref="BD341:BD351" si="15">BD5+BE5</f>
        <v>0</v>
      </c>
      <c r="BF341" s="5">
        <v>1</v>
      </c>
      <c r="BG341" s="5">
        <f t="shared" ref="BG341:BG351" si="16">BG5+BH5</f>
        <v>0</v>
      </c>
      <c r="BH341" s="5"/>
      <c r="BJ341" s="5">
        <v>1</v>
      </c>
      <c r="BK341" s="5">
        <f t="shared" ref="BK341:BK351" si="17">BK5+BL5</f>
        <v>0</v>
      </c>
      <c r="BL341" s="12"/>
      <c r="BM341" s="5">
        <v>1</v>
      </c>
      <c r="BN341" s="5">
        <f t="shared" ref="BN341:BN351" si="18">BN5+BO5</f>
        <v>0</v>
      </c>
      <c r="BO341" s="5"/>
      <c r="BQ341" s="5">
        <v>1</v>
      </c>
      <c r="BR341" s="5">
        <f t="shared" ref="BR341:BR351" si="19">BR5+BS5</f>
        <v>0</v>
      </c>
      <c r="BT341" s="5">
        <v>1</v>
      </c>
      <c r="BU341" s="5">
        <f t="shared" ref="BU341:BU351" si="20">BU5+BV5</f>
        <v>0</v>
      </c>
      <c r="BV341" s="5"/>
      <c r="BX341" s="5">
        <v>1</v>
      </c>
      <c r="BY341" s="5">
        <f t="shared" ref="BY341:BY351" si="21">BY5+BZ5</f>
        <v>0</v>
      </c>
      <c r="CA341" s="13">
        <v>1</v>
      </c>
      <c r="CB341" s="5">
        <f t="shared" ref="CB341:CB351" si="22">CB5+CC5</f>
        <v>0</v>
      </c>
      <c r="CC341" s="11"/>
      <c r="CE341" s="13"/>
      <c r="CF341" s="5"/>
      <c r="CG341" s="12"/>
      <c r="CI341" s="13"/>
      <c r="CJ341" s="5"/>
      <c r="CK341" s="12"/>
      <c r="CM341" s="13"/>
      <c r="CN341" s="5"/>
      <c r="CO341" s="12"/>
      <c r="CQ341" s="13"/>
      <c r="CR341" s="5"/>
      <c r="CS341" s="12"/>
      <c r="CU341" s="13"/>
      <c r="CV341" s="5"/>
      <c r="CW341" s="12"/>
      <c r="CY341" s="13"/>
      <c r="CZ341" s="5"/>
      <c r="DA341" s="12"/>
      <c r="DC341" s="13"/>
      <c r="DD341" s="5"/>
      <c r="DE341" s="12"/>
      <c r="DG341" s="13"/>
      <c r="DH341" s="5"/>
      <c r="DI341" s="12"/>
      <c r="DK341" s="13"/>
      <c r="DL341" s="5"/>
      <c r="DM341" s="12"/>
      <c r="DO341" s="13"/>
      <c r="DP341" s="5"/>
      <c r="DQ341" s="166">
        <v>1</v>
      </c>
      <c r="DS341" s="1336">
        <f t="shared" si="7"/>
        <v>0</v>
      </c>
      <c r="DT341" s="121">
        <f t="shared" ref="DT341:DT368" si="23">DT5*DQ341</f>
        <v>0</v>
      </c>
      <c r="DU341" s="112">
        <f t="shared" ref="DU341:DU368" si="24">DU5*DQ341</f>
        <v>0</v>
      </c>
      <c r="DX341" s="203">
        <f t="shared" si="8"/>
        <v>0</v>
      </c>
      <c r="DZ341" s="924"/>
      <c r="EH341" s="924"/>
    </row>
    <row r="342" spans="1:138" s="6" customFormat="1" ht="15" customHeight="1">
      <c r="A342" s="3">
        <v>180</v>
      </c>
      <c r="B342" s="210" t="s">
        <v>31</v>
      </c>
      <c r="C342" s="473" t="s">
        <v>515</v>
      </c>
      <c r="D342" s="4"/>
      <c r="E342" s="5"/>
      <c r="F342" s="5"/>
      <c r="G342" s="4"/>
      <c r="H342" s="4"/>
      <c r="I342" s="4"/>
      <c r="J342" s="4"/>
      <c r="K342" s="5">
        <v>1</v>
      </c>
      <c r="L342" s="5">
        <f t="shared" si="9"/>
        <v>0</v>
      </c>
      <c r="M342" s="5"/>
      <c r="O342" s="5">
        <v>1</v>
      </c>
      <c r="P342" s="5">
        <f t="shared" si="10"/>
        <v>0</v>
      </c>
      <c r="Q342" s="5"/>
      <c r="S342" s="5">
        <v>1</v>
      </c>
      <c r="T342" s="5">
        <f t="shared" si="11"/>
        <v>0</v>
      </c>
      <c r="U342" s="5"/>
      <c r="W342" s="5"/>
      <c r="X342" s="5"/>
      <c r="Y342" s="12"/>
      <c r="AA342" s="13"/>
      <c r="AB342" s="12"/>
      <c r="AD342" s="13"/>
      <c r="AE342" s="5"/>
      <c r="AF342" s="5"/>
      <c r="AH342" s="13"/>
      <c r="AI342" s="5"/>
      <c r="AK342" s="5"/>
      <c r="AL342" s="5"/>
      <c r="AM342" s="5"/>
      <c r="AO342" s="5"/>
      <c r="AP342" s="5"/>
      <c r="AR342" s="5">
        <v>1</v>
      </c>
      <c r="AS342" s="5">
        <f t="shared" si="12"/>
        <v>0</v>
      </c>
      <c r="AT342" s="5"/>
      <c r="AV342" s="5">
        <v>1</v>
      </c>
      <c r="AW342" s="5">
        <f t="shared" si="13"/>
        <v>0</v>
      </c>
      <c r="AY342" s="5">
        <v>1</v>
      </c>
      <c r="AZ342" s="5">
        <f t="shared" si="14"/>
        <v>0</v>
      </c>
      <c r="BA342" s="5"/>
      <c r="BC342" s="5">
        <v>1</v>
      </c>
      <c r="BD342" s="5">
        <f t="shared" si="15"/>
        <v>0</v>
      </c>
      <c r="BF342" s="5">
        <v>1</v>
      </c>
      <c r="BG342" s="5">
        <f t="shared" si="16"/>
        <v>0</v>
      </c>
      <c r="BH342" s="5"/>
      <c r="BJ342" s="5">
        <v>1</v>
      </c>
      <c r="BK342" s="5">
        <f t="shared" si="17"/>
        <v>0</v>
      </c>
      <c r="BL342" s="12"/>
      <c r="BM342" s="5">
        <v>1</v>
      </c>
      <c r="BN342" s="5">
        <f t="shared" si="18"/>
        <v>0</v>
      </c>
      <c r="BO342" s="5"/>
      <c r="BQ342" s="5">
        <v>1</v>
      </c>
      <c r="BR342" s="5">
        <f t="shared" si="19"/>
        <v>0</v>
      </c>
      <c r="BT342" s="5">
        <v>1</v>
      </c>
      <c r="BU342" s="5">
        <f t="shared" si="20"/>
        <v>0</v>
      </c>
      <c r="BV342" s="5"/>
      <c r="BX342" s="5">
        <v>1</v>
      </c>
      <c r="BY342" s="5">
        <f t="shared" si="21"/>
        <v>0</v>
      </c>
      <c r="CA342" s="13">
        <v>1</v>
      </c>
      <c r="CB342" s="5">
        <f t="shared" si="22"/>
        <v>0</v>
      </c>
      <c r="CC342" s="11"/>
      <c r="CE342" s="13"/>
      <c r="CF342" s="5"/>
      <c r="CG342" s="12"/>
      <c r="CI342" s="13"/>
      <c r="CJ342" s="5"/>
      <c r="CK342" s="12"/>
      <c r="CM342" s="13"/>
      <c r="CN342" s="5"/>
      <c r="CO342" s="12"/>
      <c r="CQ342" s="13"/>
      <c r="CR342" s="5"/>
      <c r="CS342" s="12"/>
      <c r="CU342" s="13"/>
      <c r="CV342" s="5"/>
      <c r="CW342" s="12"/>
      <c r="CY342" s="13"/>
      <c r="CZ342" s="5"/>
      <c r="DA342" s="12"/>
      <c r="DC342" s="13"/>
      <c r="DD342" s="5"/>
      <c r="DE342" s="12"/>
      <c r="DG342" s="13"/>
      <c r="DH342" s="5"/>
      <c r="DI342" s="12"/>
      <c r="DK342" s="13"/>
      <c r="DL342" s="5"/>
      <c r="DM342" s="12"/>
      <c r="DO342" s="13"/>
      <c r="DP342" s="5"/>
      <c r="DQ342" s="166">
        <v>1</v>
      </c>
      <c r="DS342" s="1336">
        <f t="shared" si="7"/>
        <v>0</v>
      </c>
      <c r="DT342" s="121">
        <f t="shared" si="23"/>
        <v>0</v>
      </c>
      <c r="DU342" s="112">
        <f t="shared" si="24"/>
        <v>0</v>
      </c>
      <c r="DX342" s="203">
        <f t="shared" si="8"/>
        <v>0</v>
      </c>
      <c r="DZ342" s="924"/>
      <c r="EH342" s="924"/>
    </row>
    <row r="343" spans="1:138" s="6" customFormat="1" ht="15" customHeight="1">
      <c r="A343" s="3">
        <v>181</v>
      </c>
      <c r="B343" s="210" t="s">
        <v>41</v>
      </c>
      <c r="C343" s="473" t="s">
        <v>515</v>
      </c>
      <c r="D343" s="4"/>
      <c r="E343" s="5"/>
      <c r="F343" s="5"/>
      <c r="G343" s="4"/>
      <c r="H343" s="4"/>
      <c r="I343" s="4"/>
      <c r="J343" s="4"/>
      <c r="K343" s="5">
        <v>1</v>
      </c>
      <c r="L343" s="5">
        <f t="shared" si="9"/>
        <v>0</v>
      </c>
      <c r="M343" s="5"/>
      <c r="O343" s="5">
        <v>1</v>
      </c>
      <c r="P343" s="5">
        <f t="shared" si="10"/>
        <v>0</v>
      </c>
      <c r="Q343" s="5"/>
      <c r="S343" s="5">
        <v>1</v>
      </c>
      <c r="T343" s="5">
        <f t="shared" si="11"/>
        <v>0</v>
      </c>
      <c r="U343" s="5"/>
      <c r="W343" s="5"/>
      <c r="X343" s="5"/>
      <c r="Y343" s="12"/>
      <c r="AA343" s="13"/>
      <c r="AB343" s="12"/>
      <c r="AD343" s="13"/>
      <c r="AE343" s="5"/>
      <c r="AF343" s="5"/>
      <c r="AH343" s="13"/>
      <c r="AI343" s="5"/>
      <c r="AK343" s="5"/>
      <c r="AL343" s="5"/>
      <c r="AM343" s="5"/>
      <c r="AO343" s="5"/>
      <c r="AP343" s="5"/>
      <c r="AR343" s="5">
        <v>1</v>
      </c>
      <c r="AS343" s="5">
        <f t="shared" si="12"/>
        <v>0</v>
      </c>
      <c r="AT343" s="5"/>
      <c r="AV343" s="5">
        <v>1</v>
      </c>
      <c r="AW343" s="5">
        <f t="shared" si="13"/>
        <v>0</v>
      </c>
      <c r="AY343" s="5">
        <v>1</v>
      </c>
      <c r="AZ343" s="5">
        <f t="shared" si="14"/>
        <v>0</v>
      </c>
      <c r="BA343" s="5"/>
      <c r="BC343" s="5">
        <v>1</v>
      </c>
      <c r="BD343" s="5">
        <f t="shared" si="15"/>
        <v>0</v>
      </c>
      <c r="BF343" s="5">
        <v>1</v>
      </c>
      <c r="BG343" s="5">
        <f t="shared" si="16"/>
        <v>0</v>
      </c>
      <c r="BH343" s="5"/>
      <c r="BJ343" s="5">
        <v>1</v>
      </c>
      <c r="BK343" s="5">
        <f t="shared" si="17"/>
        <v>0</v>
      </c>
      <c r="BL343" s="12"/>
      <c r="BM343" s="5">
        <v>1</v>
      </c>
      <c r="BN343" s="5">
        <f t="shared" si="18"/>
        <v>0</v>
      </c>
      <c r="BO343" s="5"/>
      <c r="BQ343" s="5">
        <v>1</v>
      </c>
      <c r="BR343" s="5">
        <f t="shared" si="19"/>
        <v>0</v>
      </c>
      <c r="BT343" s="5">
        <v>1</v>
      </c>
      <c r="BU343" s="5">
        <f t="shared" si="20"/>
        <v>0</v>
      </c>
      <c r="BV343" s="5"/>
      <c r="BX343" s="5">
        <v>1</v>
      </c>
      <c r="BY343" s="5">
        <f t="shared" si="21"/>
        <v>0</v>
      </c>
      <c r="CA343" s="13">
        <v>1</v>
      </c>
      <c r="CB343" s="5">
        <f t="shared" si="22"/>
        <v>0</v>
      </c>
      <c r="CC343" s="11"/>
      <c r="CE343" s="13"/>
      <c r="CF343" s="5"/>
      <c r="CG343" s="12"/>
      <c r="CI343" s="13"/>
      <c r="CJ343" s="5"/>
      <c r="CK343" s="12"/>
      <c r="CM343" s="13"/>
      <c r="CN343" s="5"/>
      <c r="CO343" s="12"/>
      <c r="CQ343" s="13"/>
      <c r="CR343" s="5"/>
      <c r="CS343" s="12"/>
      <c r="CU343" s="13"/>
      <c r="CV343" s="5"/>
      <c r="CW343" s="12"/>
      <c r="CY343" s="13"/>
      <c r="CZ343" s="5"/>
      <c r="DA343" s="12"/>
      <c r="DC343" s="13"/>
      <c r="DD343" s="5"/>
      <c r="DE343" s="12"/>
      <c r="DG343" s="13"/>
      <c r="DH343" s="5"/>
      <c r="DI343" s="12"/>
      <c r="DK343" s="13"/>
      <c r="DL343" s="5"/>
      <c r="DM343" s="12"/>
      <c r="DO343" s="13"/>
      <c r="DP343" s="5"/>
      <c r="DQ343" s="166">
        <v>1</v>
      </c>
      <c r="DS343" s="1336">
        <f t="shared" si="7"/>
        <v>0</v>
      </c>
      <c r="DT343" s="121">
        <f t="shared" si="23"/>
        <v>0</v>
      </c>
      <c r="DU343" s="112">
        <f t="shared" si="24"/>
        <v>0</v>
      </c>
      <c r="DX343" s="203">
        <f t="shared" si="8"/>
        <v>0</v>
      </c>
      <c r="DZ343" s="924"/>
      <c r="EH343" s="924"/>
    </row>
    <row r="344" spans="1:138" s="6" customFormat="1" ht="15" customHeight="1">
      <c r="A344" s="3">
        <v>182</v>
      </c>
      <c r="B344" s="210" t="s">
        <v>98</v>
      </c>
      <c r="C344" s="473" t="s">
        <v>515</v>
      </c>
      <c r="D344" s="4"/>
      <c r="E344" s="5"/>
      <c r="F344" s="5"/>
      <c r="G344" s="4"/>
      <c r="H344" s="4"/>
      <c r="I344" s="4"/>
      <c r="J344" s="4"/>
      <c r="K344" s="5">
        <v>1</v>
      </c>
      <c r="L344" s="5">
        <f t="shared" si="9"/>
        <v>0</v>
      </c>
      <c r="M344" s="5"/>
      <c r="O344" s="5">
        <v>1</v>
      </c>
      <c r="P344" s="5">
        <f t="shared" si="10"/>
        <v>0</v>
      </c>
      <c r="Q344" s="5"/>
      <c r="S344" s="5">
        <v>1</v>
      </c>
      <c r="T344" s="5">
        <f t="shared" si="11"/>
        <v>0</v>
      </c>
      <c r="U344" s="5"/>
      <c r="W344" s="5"/>
      <c r="X344" s="5"/>
      <c r="Y344" s="12"/>
      <c r="AA344" s="13"/>
      <c r="AB344" s="12"/>
      <c r="AD344" s="13"/>
      <c r="AE344" s="5"/>
      <c r="AF344" s="5"/>
      <c r="AH344" s="13"/>
      <c r="AI344" s="5"/>
      <c r="AK344" s="5"/>
      <c r="AL344" s="5"/>
      <c r="AM344" s="5"/>
      <c r="AO344" s="5"/>
      <c r="AP344" s="5"/>
      <c r="AR344" s="5">
        <v>1</v>
      </c>
      <c r="AS344" s="5">
        <f t="shared" si="12"/>
        <v>0</v>
      </c>
      <c r="AT344" s="5"/>
      <c r="AV344" s="5">
        <v>1</v>
      </c>
      <c r="AW344" s="5">
        <f t="shared" si="13"/>
        <v>0</v>
      </c>
      <c r="AY344" s="5">
        <v>1</v>
      </c>
      <c r="AZ344" s="5">
        <f t="shared" si="14"/>
        <v>0</v>
      </c>
      <c r="BA344" s="5"/>
      <c r="BC344" s="5">
        <v>1</v>
      </c>
      <c r="BD344" s="5">
        <f t="shared" si="15"/>
        <v>0</v>
      </c>
      <c r="BF344" s="5">
        <v>1</v>
      </c>
      <c r="BG344" s="5">
        <f t="shared" si="16"/>
        <v>0</v>
      </c>
      <c r="BH344" s="5"/>
      <c r="BJ344" s="5">
        <v>1</v>
      </c>
      <c r="BK344" s="5">
        <f t="shared" si="17"/>
        <v>0</v>
      </c>
      <c r="BL344" s="12"/>
      <c r="BM344" s="5">
        <v>1</v>
      </c>
      <c r="BN344" s="5">
        <f t="shared" si="18"/>
        <v>0</v>
      </c>
      <c r="BO344" s="5"/>
      <c r="BQ344" s="5">
        <v>1</v>
      </c>
      <c r="BR344" s="5">
        <f t="shared" si="19"/>
        <v>0</v>
      </c>
      <c r="BT344" s="5">
        <v>1</v>
      </c>
      <c r="BU344" s="5">
        <f t="shared" si="20"/>
        <v>0</v>
      </c>
      <c r="BV344" s="5"/>
      <c r="BX344" s="5">
        <v>1</v>
      </c>
      <c r="BY344" s="5">
        <f t="shared" si="21"/>
        <v>0</v>
      </c>
      <c r="CA344" s="13">
        <v>1</v>
      </c>
      <c r="CB344" s="5">
        <f t="shared" si="22"/>
        <v>0</v>
      </c>
      <c r="CC344" s="11"/>
      <c r="CE344" s="13"/>
      <c r="CF344" s="5"/>
      <c r="CG344" s="12"/>
      <c r="CI344" s="13"/>
      <c r="CJ344" s="5"/>
      <c r="CK344" s="12"/>
      <c r="CM344" s="13"/>
      <c r="CN344" s="5"/>
      <c r="CO344" s="12"/>
      <c r="CQ344" s="13"/>
      <c r="CR344" s="5"/>
      <c r="CS344" s="12"/>
      <c r="CU344" s="13"/>
      <c r="CV344" s="5"/>
      <c r="CW344" s="12"/>
      <c r="CY344" s="13"/>
      <c r="CZ344" s="5"/>
      <c r="DA344" s="12"/>
      <c r="DC344" s="13"/>
      <c r="DD344" s="5"/>
      <c r="DE344" s="12"/>
      <c r="DG344" s="13"/>
      <c r="DH344" s="5"/>
      <c r="DI344" s="12"/>
      <c r="DK344" s="13"/>
      <c r="DL344" s="5"/>
      <c r="DM344" s="12"/>
      <c r="DO344" s="13"/>
      <c r="DP344" s="5"/>
      <c r="DQ344" s="166">
        <v>1</v>
      </c>
      <c r="DS344" s="1336">
        <f t="shared" si="7"/>
        <v>0</v>
      </c>
      <c r="DT344" s="121">
        <f t="shared" si="23"/>
        <v>0</v>
      </c>
      <c r="DU344" s="112">
        <f t="shared" si="24"/>
        <v>0</v>
      </c>
      <c r="DX344" s="203">
        <f t="shared" si="8"/>
        <v>0</v>
      </c>
      <c r="DZ344" s="924"/>
      <c r="EH344" s="924"/>
    </row>
    <row r="345" spans="1:138" s="6" customFormat="1" ht="15" customHeight="1">
      <c r="A345" s="3">
        <v>183</v>
      </c>
      <c r="B345" s="210" t="s">
        <v>99</v>
      </c>
      <c r="C345" s="473" t="s">
        <v>515</v>
      </c>
      <c r="D345" s="4"/>
      <c r="E345" s="5"/>
      <c r="F345" s="5"/>
      <c r="G345" s="4"/>
      <c r="H345" s="4"/>
      <c r="I345" s="4"/>
      <c r="J345" s="4"/>
      <c r="K345" s="5">
        <v>1</v>
      </c>
      <c r="L345" s="5">
        <f t="shared" si="9"/>
        <v>0</v>
      </c>
      <c r="M345" s="5"/>
      <c r="O345" s="5">
        <v>1</v>
      </c>
      <c r="P345" s="5">
        <f t="shared" si="10"/>
        <v>0</v>
      </c>
      <c r="Q345" s="5"/>
      <c r="S345" s="5">
        <v>1</v>
      </c>
      <c r="T345" s="5">
        <f t="shared" si="11"/>
        <v>0</v>
      </c>
      <c r="U345" s="5"/>
      <c r="W345" s="5"/>
      <c r="X345" s="5"/>
      <c r="Y345" s="12"/>
      <c r="AA345" s="13"/>
      <c r="AB345" s="12"/>
      <c r="AD345" s="13"/>
      <c r="AE345" s="5"/>
      <c r="AF345" s="5"/>
      <c r="AH345" s="13"/>
      <c r="AI345" s="5"/>
      <c r="AK345" s="5"/>
      <c r="AL345" s="5"/>
      <c r="AM345" s="5"/>
      <c r="AO345" s="5"/>
      <c r="AP345" s="5"/>
      <c r="AR345" s="5">
        <v>1</v>
      </c>
      <c r="AS345" s="5">
        <f t="shared" si="12"/>
        <v>0</v>
      </c>
      <c r="AT345" s="5"/>
      <c r="AV345" s="5">
        <v>1</v>
      </c>
      <c r="AW345" s="5">
        <f t="shared" si="13"/>
        <v>0</v>
      </c>
      <c r="AY345" s="5">
        <v>1</v>
      </c>
      <c r="AZ345" s="5">
        <f t="shared" si="14"/>
        <v>0</v>
      </c>
      <c r="BA345" s="5"/>
      <c r="BC345" s="5">
        <v>1</v>
      </c>
      <c r="BD345" s="5">
        <f t="shared" si="15"/>
        <v>0</v>
      </c>
      <c r="BF345" s="5">
        <v>1</v>
      </c>
      <c r="BG345" s="5">
        <f t="shared" si="16"/>
        <v>0</v>
      </c>
      <c r="BH345" s="5"/>
      <c r="BJ345" s="5">
        <v>1</v>
      </c>
      <c r="BK345" s="5">
        <f t="shared" si="17"/>
        <v>0</v>
      </c>
      <c r="BL345" s="12"/>
      <c r="BM345" s="5">
        <v>1</v>
      </c>
      <c r="BN345" s="5">
        <f t="shared" si="18"/>
        <v>0</v>
      </c>
      <c r="BO345" s="5"/>
      <c r="BQ345" s="5">
        <v>1</v>
      </c>
      <c r="BR345" s="5">
        <f t="shared" si="19"/>
        <v>0</v>
      </c>
      <c r="BT345" s="5">
        <v>1</v>
      </c>
      <c r="BU345" s="5">
        <f t="shared" si="20"/>
        <v>0</v>
      </c>
      <c r="BV345" s="5"/>
      <c r="BX345" s="5">
        <v>1</v>
      </c>
      <c r="BY345" s="5">
        <f t="shared" si="21"/>
        <v>0</v>
      </c>
      <c r="CA345" s="13">
        <v>1</v>
      </c>
      <c r="CB345" s="5">
        <f t="shared" si="22"/>
        <v>0</v>
      </c>
      <c r="CC345" s="11"/>
      <c r="CE345" s="13"/>
      <c r="CF345" s="5"/>
      <c r="CG345" s="12"/>
      <c r="CI345" s="13"/>
      <c r="CJ345" s="5"/>
      <c r="CK345" s="12"/>
      <c r="CM345" s="13"/>
      <c r="CN345" s="5"/>
      <c r="CO345" s="12"/>
      <c r="CQ345" s="13"/>
      <c r="CR345" s="5"/>
      <c r="CS345" s="12"/>
      <c r="CU345" s="13"/>
      <c r="CV345" s="5"/>
      <c r="CW345" s="12"/>
      <c r="CY345" s="13"/>
      <c r="CZ345" s="5"/>
      <c r="DA345" s="12"/>
      <c r="DC345" s="13"/>
      <c r="DD345" s="5"/>
      <c r="DE345" s="12"/>
      <c r="DG345" s="13"/>
      <c r="DH345" s="5"/>
      <c r="DI345" s="12"/>
      <c r="DK345" s="13"/>
      <c r="DL345" s="5"/>
      <c r="DM345" s="12"/>
      <c r="DO345" s="13"/>
      <c r="DP345" s="5"/>
      <c r="DQ345" s="166">
        <v>1</v>
      </c>
      <c r="DS345" s="1336">
        <f t="shared" si="7"/>
        <v>0</v>
      </c>
      <c r="DT345" s="121">
        <f t="shared" si="23"/>
        <v>0</v>
      </c>
      <c r="DU345" s="112">
        <f t="shared" si="24"/>
        <v>0</v>
      </c>
      <c r="DX345" s="203">
        <f t="shared" si="8"/>
        <v>0</v>
      </c>
      <c r="DZ345" s="924"/>
      <c r="EH345" s="924"/>
    </row>
    <row r="346" spans="1:138" s="6" customFormat="1" ht="15" customHeight="1">
      <c r="A346" s="3">
        <v>184</v>
      </c>
      <c r="B346" s="210" t="s">
        <v>102</v>
      </c>
      <c r="C346" s="473" t="s">
        <v>515</v>
      </c>
      <c r="D346" s="4"/>
      <c r="E346" s="5"/>
      <c r="F346" s="5"/>
      <c r="G346" s="4"/>
      <c r="H346" s="4"/>
      <c r="I346" s="4"/>
      <c r="J346" s="4"/>
      <c r="K346" s="5">
        <v>1</v>
      </c>
      <c r="L346" s="5">
        <f t="shared" si="9"/>
        <v>0</v>
      </c>
      <c r="M346" s="5"/>
      <c r="O346" s="5">
        <v>1</v>
      </c>
      <c r="P346" s="5">
        <f t="shared" si="10"/>
        <v>0</v>
      </c>
      <c r="Q346" s="5"/>
      <c r="S346" s="5">
        <v>1</v>
      </c>
      <c r="T346" s="5">
        <f t="shared" si="11"/>
        <v>0</v>
      </c>
      <c r="U346" s="5"/>
      <c r="W346" s="5"/>
      <c r="X346" s="5"/>
      <c r="Y346" s="12"/>
      <c r="AA346" s="13"/>
      <c r="AB346" s="12"/>
      <c r="AD346" s="13"/>
      <c r="AE346" s="5"/>
      <c r="AF346" s="5"/>
      <c r="AH346" s="13"/>
      <c r="AI346" s="5"/>
      <c r="AK346" s="5"/>
      <c r="AL346" s="5"/>
      <c r="AM346" s="5"/>
      <c r="AO346" s="5"/>
      <c r="AP346" s="5"/>
      <c r="AR346" s="5">
        <v>1</v>
      </c>
      <c r="AS346" s="5">
        <f t="shared" si="12"/>
        <v>0</v>
      </c>
      <c r="AT346" s="5"/>
      <c r="AV346" s="5">
        <v>1</v>
      </c>
      <c r="AW346" s="5">
        <f t="shared" si="13"/>
        <v>0</v>
      </c>
      <c r="AY346" s="5">
        <v>1</v>
      </c>
      <c r="AZ346" s="5">
        <f t="shared" si="14"/>
        <v>0</v>
      </c>
      <c r="BA346" s="5"/>
      <c r="BC346" s="5">
        <v>1</v>
      </c>
      <c r="BD346" s="5">
        <f t="shared" si="15"/>
        <v>0</v>
      </c>
      <c r="BF346" s="5">
        <v>1</v>
      </c>
      <c r="BG346" s="5">
        <f t="shared" si="16"/>
        <v>0</v>
      </c>
      <c r="BH346" s="5"/>
      <c r="BJ346" s="5">
        <v>1</v>
      </c>
      <c r="BK346" s="5">
        <f t="shared" si="17"/>
        <v>0</v>
      </c>
      <c r="BL346" s="12"/>
      <c r="BM346" s="5">
        <v>1</v>
      </c>
      <c r="BN346" s="5">
        <f t="shared" si="18"/>
        <v>0</v>
      </c>
      <c r="BO346" s="5"/>
      <c r="BQ346" s="5">
        <v>1</v>
      </c>
      <c r="BR346" s="5">
        <f t="shared" si="19"/>
        <v>0</v>
      </c>
      <c r="BT346" s="5">
        <v>1</v>
      </c>
      <c r="BU346" s="5">
        <f t="shared" si="20"/>
        <v>0</v>
      </c>
      <c r="BV346" s="5"/>
      <c r="BX346" s="5">
        <v>1</v>
      </c>
      <c r="BY346" s="5">
        <f t="shared" si="21"/>
        <v>0</v>
      </c>
      <c r="CA346" s="13">
        <v>1</v>
      </c>
      <c r="CB346" s="5">
        <f t="shared" si="22"/>
        <v>0</v>
      </c>
      <c r="CC346" s="11"/>
      <c r="CE346" s="13"/>
      <c r="CF346" s="5"/>
      <c r="CG346" s="12"/>
      <c r="CI346" s="13"/>
      <c r="CJ346" s="5"/>
      <c r="CK346" s="12"/>
      <c r="CM346" s="13"/>
      <c r="CN346" s="5"/>
      <c r="CO346" s="12"/>
      <c r="CQ346" s="13"/>
      <c r="CR346" s="5"/>
      <c r="CS346" s="12"/>
      <c r="CU346" s="13"/>
      <c r="CV346" s="5"/>
      <c r="CW346" s="12"/>
      <c r="CY346" s="13"/>
      <c r="CZ346" s="5"/>
      <c r="DA346" s="12"/>
      <c r="DC346" s="13"/>
      <c r="DD346" s="5"/>
      <c r="DE346" s="12"/>
      <c r="DG346" s="13"/>
      <c r="DH346" s="5"/>
      <c r="DI346" s="12"/>
      <c r="DK346" s="13"/>
      <c r="DL346" s="5"/>
      <c r="DM346" s="12"/>
      <c r="DO346" s="13"/>
      <c r="DP346" s="5"/>
      <c r="DQ346" s="166">
        <v>1</v>
      </c>
      <c r="DS346" s="1336">
        <f t="shared" si="7"/>
        <v>0</v>
      </c>
      <c r="DT346" s="121">
        <f t="shared" si="23"/>
        <v>0</v>
      </c>
      <c r="DU346" s="112">
        <f t="shared" si="24"/>
        <v>0</v>
      </c>
      <c r="DX346" s="203">
        <f t="shared" si="8"/>
        <v>0</v>
      </c>
      <c r="DZ346" s="924"/>
      <c r="EH346" s="924"/>
    </row>
    <row r="347" spans="1:138" s="6" customFormat="1" ht="15" customHeight="1">
      <c r="A347" s="3">
        <v>185</v>
      </c>
      <c r="B347" s="210" t="s">
        <v>103</v>
      </c>
      <c r="C347" s="473" t="s">
        <v>515</v>
      </c>
      <c r="D347" s="4"/>
      <c r="E347" s="5"/>
      <c r="F347" s="5"/>
      <c r="G347" s="4"/>
      <c r="H347" s="4"/>
      <c r="I347" s="4"/>
      <c r="J347" s="4"/>
      <c r="K347" s="5">
        <v>1</v>
      </c>
      <c r="L347" s="5">
        <f t="shared" si="9"/>
        <v>0</v>
      </c>
      <c r="M347" s="5"/>
      <c r="O347" s="5">
        <v>1</v>
      </c>
      <c r="P347" s="5">
        <f t="shared" si="10"/>
        <v>0</v>
      </c>
      <c r="Q347" s="5"/>
      <c r="S347" s="5">
        <v>1</v>
      </c>
      <c r="T347" s="5">
        <f t="shared" si="11"/>
        <v>0</v>
      </c>
      <c r="U347" s="5"/>
      <c r="W347" s="5"/>
      <c r="X347" s="5"/>
      <c r="Y347" s="12"/>
      <c r="AA347" s="13"/>
      <c r="AB347" s="12"/>
      <c r="AD347" s="13"/>
      <c r="AE347" s="5"/>
      <c r="AF347" s="5"/>
      <c r="AH347" s="13"/>
      <c r="AI347" s="5"/>
      <c r="AK347" s="5"/>
      <c r="AL347" s="5"/>
      <c r="AM347" s="5"/>
      <c r="AO347" s="5"/>
      <c r="AP347" s="5"/>
      <c r="AR347" s="5">
        <v>1</v>
      </c>
      <c r="AS347" s="5">
        <f t="shared" si="12"/>
        <v>0</v>
      </c>
      <c r="AT347" s="5"/>
      <c r="AV347" s="5">
        <v>1</v>
      </c>
      <c r="AW347" s="5">
        <f t="shared" si="13"/>
        <v>0</v>
      </c>
      <c r="AY347" s="5">
        <v>1</v>
      </c>
      <c r="AZ347" s="5">
        <f t="shared" si="14"/>
        <v>0</v>
      </c>
      <c r="BA347" s="5"/>
      <c r="BC347" s="5">
        <v>1</v>
      </c>
      <c r="BD347" s="5">
        <f t="shared" si="15"/>
        <v>0</v>
      </c>
      <c r="BF347" s="5">
        <v>1</v>
      </c>
      <c r="BG347" s="5">
        <f t="shared" si="16"/>
        <v>0</v>
      </c>
      <c r="BH347" s="5"/>
      <c r="BJ347" s="5">
        <v>1</v>
      </c>
      <c r="BK347" s="5">
        <f t="shared" si="17"/>
        <v>0</v>
      </c>
      <c r="BL347" s="12"/>
      <c r="BM347" s="5">
        <v>1</v>
      </c>
      <c r="BN347" s="5">
        <f t="shared" si="18"/>
        <v>0</v>
      </c>
      <c r="BO347" s="5"/>
      <c r="BQ347" s="5">
        <v>1</v>
      </c>
      <c r="BR347" s="5">
        <f t="shared" si="19"/>
        <v>0</v>
      </c>
      <c r="BT347" s="5">
        <v>1</v>
      </c>
      <c r="BU347" s="5">
        <f t="shared" si="20"/>
        <v>0</v>
      </c>
      <c r="BV347" s="5"/>
      <c r="BX347" s="5">
        <v>1</v>
      </c>
      <c r="BY347" s="5">
        <f t="shared" si="21"/>
        <v>0</v>
      </c>
      <c r="CA347" s="13">
        <v>1</v>
      </c>
      <c r="CB347" s="5">
        <f t="shared" si="22"/>
        <v>0</v>
      </c>
      <c r="CC347" s="11"/>
      <c r="CE347" s="13"/>
      <c r="CF347" s="5"/>
      <c r="CG347" s="12"/>
      <c r="CI347" s="13"/>
      <c r="CJ347" s="5"/>
      <c r="CK347" s="12"/>
      <c r="CM347" s="13"/>
      <c r="CN347" s="5"/>
      <c r="CO347" s="12"/>
      <c r="CQ347" s="13"/>
      <c r="CR347" s="5"/>
      <c r="CS347" s="12"/>
      <c r="CU347" s="13"/>
      <c r="CV347" s="5"/>
      <c r="CW347" s="12"/>
      <c r="CY347" s="13"/>
      <c r="CZ347" s="5"/>
      <c r="DA347" s="12"/>
      <c r="DC347" s="13"/>
      <c r="DD347" s="5"/>
      <c r="DE347" s="12"/>
      <c r="DG347" s="13"/>
      <c r="DH347" s="5"/>
      <c r="DI347" s="12"/>
      <c r="DK347" s="13"/>
      <c r="DL347" s="5"/>
      <c r="DM347" s="12"/>
      <c r="DO347" s="13"/>
      <c r="DP347" s="5"/>
      <c r="DQ347" s="166">
        <v>1</v>
      </c>
      <c r="DS347" s="1336">
        <f t="shared" si="7"/>
        <v>0</v>
      </c>
      <c r="DT347" s="121">
        <f t="shared" si="23"/>
        <v>0</v>
      </c>
      <c r="DU347" s="112">
        <f t="shared" si="24"/>
        <v>0</v>
      </c>
      <c r="DX347" s="203">
        <f t="shared" si="8"/>
        <v>0</v>
      </c>
      <c r="DZ347" s="924"/>
      <c r="EH347" s="924"/>
    </row>
    <row r="348" spans="1:138" s="6" customFormat="1" ht="15" customHeight="1">
      <c r="A348" s="3">
        <v>186</v>
      </c>
      <c r="B348" s="210" t="s">
        <v>104</v>
      </c>
      <c r="C348" s="473" t="s">
        <v>515</v>
      </c>
      <c r="D348" s="4"/>
      <c r="E348" s="5"/>
      <c r="F348" s="5"/>
      <c r="G348" s="4"/>
      <c r="H348" s="4"/>
      <c r="I348" s="4"/>
      <c r="J348" s="4"/>
      <c r="K348" s="5">
        <v>1</v>
      </c>
      <c r="L348" s="5">
        <f t="shared" si="9"/>
        <v>0</v>
      </c>
      <c r="M348" s="5"/>
      <c r="O348" s="5">
        <v>1</v>
      </c>
      <c r="P348" s="5">
        <f t="shared" si="10"/>
        <v>0</v>
      </c>
      <c r="Q348" s="5"/>
      <c r="S348" s="5">
        <v>1</v>
      </c>
      <c r="T348" s="5">
        <f t="shared" si="11"/>
        <v>0</v>
      </c>
      <c r="U348" s="5"/>
      <c r="W348" s="5"/>
      <c r="X348" s="5"/>
      <c r="Y348" s="12"/>
      <c r="AA348" s="13"/>
      <c r="AB348" s="12"/>
      <c r="AD348" s="13"/>
      <c r="AE348" s="5"/>
      <c r="AF348" s="5"/>
      <c r="AH348" s="13"/>
      <c r="AI348" s="5"/>
      <c r="AK348" s="5"/>
      <c r="AL348" s="5"/>
      <c r="AM348" s="5"/>
      <c r="AO348" s="5"/>
      <c r="AP348" s="5"/>
      <c r="AR348" s="5">
        <v>1</v>
      </c>
      <c r="AS348" s="5">
        <f t="shared" si="12"/>
        <v>0</v>
      </c>
      <c r="AT348" s="5"/>
      <c r="AV348" s="5">
        <v>1</v>
      </c>
      <c r="AW348" s="5">
        <f t="shared" si="13"/>
        <v>0</v>
      </c>
      <c r="AY348" s="5">
        <v>1</v>
      </c>
      <c r="AZ348" s="5">
        <f t="shared" si="14"/>
        <v>0</v>
      </c>
      <c r="BA348" s="5"/>
      <c r="BC348" s="5">
        <v>1</v>
      </c>
      <c r="BD348" s="5">
        <f t="shared" si="15"/>
        <v>0</v>
      </c>
      <c r="BF348" s="5">
        <v>1</v>
      </c>
      <c r="BG348" s="5">
        <f t="shared" si="16"/>
        <v>0</v>
      </c>
      <c r="BH348" s="5"/>
      <c r="BJ348" s="5">
        <v>1</v>
      </c>
      <c r="BK348" s="5">
        <f t="shared" si="17"/>
        <v>0</v>
      </c>
      <c r="BL348" s="12"/>
      <c r="BM348" s="5">
        <v>1</v>
      </c>
      <c r="BN348" s="5">
        <f t="shared" si="18"/>
        <v>0</v>
      </c>
      <c r="BO348" s="5"/>
      <c r="BQ348" s="5">
        <v>1</v>
      </c>
      <c r="BR348" s="5">
        <f t="shared" si="19"/>
        <v>0</v>
      </c>
      <c r="BT348" s="5">
        <v>1</v>
      </c>
      <c r="BU348" s="5">
        <f t="shared" si="20"/>
        <v>0</v>
      </c>
      <c r="BV348" s="5"/>
      <c r="BX348" s="5">
        <v>1</v>
      </c>
      <c r="BY348" s="5">
        <f t="shared" si="21"/>
        <v>0</v>
      </c>
      <c r="CA348" s="13">
        <v>1</v>
      </c>
      <c r="CB348" s="5">
        <f t="shared" si="22"/>
        <v>0</v>
      </c>
      <c r="CC348" s="11"/>
      <c r="CE348" s="13"/>
      <c r="CF348" s="5"/>
      <c r="CG348" s="12"/>
      <c r="CI348" s="13"/>
      <c r="CJ348" s="5"/>
      <c r="CK348" s="12"/>
      <c r="CM348" s="13"/>
      <c r="CN348" s="5"/>
      <c r="CO348" s="12"/>
      <c r="CQ348" s="13"/>
      <c r="CR348" s="5"/>
      <c r="CS348" s="12"/>
      <c r="CU348" s="13"/>
      <c r="CV348" s="5"/>
      <c r="CW348" s="12"/>
      <c r="CY348" s="13"/>
      <c r="CZ348" s="5"/>
      <c r="DA348" s="12"/>
      <c r="DC348" s="13"/>
      <c r="DD348" s="5"/>
      <c r="DE348" s="12"/>
      <c r="DG348" s="13"/>
      <c r="DH348" s="5"/>
      <c r="DI348" s="12"/>
      <c r="DK348" s="13"/>
      <c r="DL348" s="5"/>
      <c r="DM348" s="12"/>
      <c r="DO348" s="13"/>
      <c r="DP348" s="5"/>
      <c r="DQ348" s="166">
        <v>1</v>
      </c>
      <c r="DS348" s="1336">
        <f t="shared" si="7"/>
        <v>0</v>
      </c>
      <c r="DT348" s="121">
        <f t="shared" si="23"/>
        <v>0</v>
      </c>
      <c r="DU348" s="112">
        <f t="shared" si="24"/>
        <v>0</v>
      </c>
      <c r="DX348" s="203">
        <f t="shared" si="8"/>
        <v>0</v>
      </c>
      <c r="DZ348" s="924"/>
      <c r="EH348" s="924"/>
    </row>
    <row r="349" spans="1:138" s="6" customFormat="1" ht="15" customHeight="1">
      <c r="A349" s="3">
        <v>187</v>
      </c>
      <c r="B349" s="210" t="s">
        <v>105</v>
      </c>
      <c r="C349" s="473" t="s">
        <v>515</v>
      </c>
      <c r="D349" s="4"/>
      <c r="E349" s="5"/>
      <c r="F349" s="5"/>
      <c r="G349" s="4"/>
      <c r="H349" s="4"/>
      <c r="I349" s="4"/>
      <c r="J349" s="4"/>
      <c r="K349" s="5">
        <v>1</v>
      </c>
      <c r="L349" s="5">
        <f t="shared" si="9"/>
        <v>0</v>
      </c>
      <c r="M349" s="5"/>
      <c r="O349" s="5">
        <v>1</v>
      </c>
      <c r="P349" s="5">
        <f t="shared" si="10"/>
        <v>0</v>
      </c>
      <c r="Q349" s="5"/>
      <c r="S349" s="5">
        <v>1</v>
      </c>
      <c r="T349" s="5">
        <f t="shared" si="11"/>
        <v>0</v>
      </c>
      <c r="U349" s="5"/>
      <c r="W349" s="5"/>
      <c r="X349" s="5"/>
      <c r="Y349" s="12"/>
      <c r="AA349" s="13"/>
      <c r="AB349" s="12"/>
      <c r="AD349" s="13"/>
      <c r="AE349" s="5"/>
      <c r="AF349" s="5"/>
      <c r="AH349" s="13"/>
      <c r="AI349" s="5"/>
      <c r="AK349" s="5"/>
      <c r="AL349" s="5"/>
      <c r="AM349" s="5"/>
      <c r="AO349" s="5"/>
      <c r="AP349" s="5"/>
      <c r="AR349" s="5">
        <v>1</v>
      </c>
      <c r="AS349" s="5">
        <f t="shared" si="12"/>
        <v>0</v>
      </c>
      <c r="AT349" s="5"/>
      <c r="AV349" s="5">
        <v>1</v>
      </c>
      <c r="AW349" s="5">
        <f t="shared" si="13"/>
        <v>0</v>
      </c>
      <c r="AY349" s="5">
        <v>1</v>
      </c>
      <c r="AZ349" s="5">
        <f t="shared" si="14"/>
        <v>0</v>
      </c>
      <c r="BA349" s="5"/>
      <c r="BC349" s="5">
        <v>1</v>
      </c>
      <c r="BD349" s="5">
        <f t="shared" si="15"/>
        <v>0</v>
      </c>
      <c r="BF349" s="5">
        <v>1</v>
      </c>
      <c r="BG349" s="5">
        <f t="shared" si="16"/>
        <v>0</v>
      </c>
      <c r="BH349" s="5"/>
      <c r="BJ349" s="5">
        <v>1</v>
      </c>
      <c r="BK349" s="5">
        <f t="shared" si="17"/>
        <v>0</v>
      </c>
      <c r="BL349" s="12"/>
      <c r="BM349" s="5">
        <v>1</v>
      </c>
      <c r="BN349" s="5">
        <f t="shared" si="18"/>
        <v>0</v>
      </c>
      <c r="BO349" s="5"/>
      <c r="BQ349" s="5">
        <v>1</v>
      </c>
      <c r="BR349" s="5">
        <f t="shared" si="19"/>
        <v>0</v>
      </c>
      <c r="BT349" s="5">
        <v>1</v>
      </c>
      <c r="BU349" s="5">
        <f t="shared" si="20"/>
        <v>0</v>
      </c>
      <c r="BV349" s="5"/>
      <c r="BX349" s="5">
        <v>1</v>
      </c>
      <c r="BY349" s="5">
        <f t="shared" si="21"/>
        <v>0</v>
      </c>
      <c r="CA349" s="13">
        <v>1</v>
      </c>
      <c r="CB349" s="5">
        <f t="shared" si="22"/>
        <v>0</v>
      </c>
      <c r="CC349" s="11"/>
      <c r="CE349" s="13"/>
      <c r="CF349" s="5"/>
      <c r="CG349" s="12"/>
      <c r="CI349" s="13"/>
      <c r="CJ349" s="5"/>
      <c r="CK349" s="12"/>
      <c r="CM349" s="13"/>
      <c r="CN349" s="5"/>
      <c r="CO349" s="12"/>
      <c r="CQ349" s="13"/>
      <c r="CR349" s="5"/>
      <c r="CS349" s="12"/>
      <c r="CU349" s="13"/>
      <c r="CV349" s="5"/>
      <c r="CW349" s="12"/>
      <c r="CY349" s="13"/>
      <c r="CZ349" s="5"/>
      <c r="DA349" s="12"/>
      <c r="DC349" s="13"/>
      <c r="DD349" s="5"/>
      <c r="DE349" s="12"/>
      <c r="DG349" s="13"/>
      <c r="DH349" s="5"/>
      <c r="DI349" s="12"/>
      <c r="DK349" s="13"/>
      <c r="DL349" s="5"/>
      <c r="DM349" s="12"/>
      <c r="DO349" s="13"/>
      <c r="DP349" s="5"/>
      <c r="DQ349" s="166">
        <v>1</v>
      </c>
      <c r="DS349" s="1336">
        <f t="shared" si="7"/>
        <v>0</v>
      </c>
      <c r="DT349" s="121">
        <f t="shared" si="23"/>
        <v>0</v>
      </c>
      <c r="DU349" s="112">
        <f t="shared" si="24"/>
        <v>0</v>
      </c>
      <c r="DX349" s="203">
        <f t="shared" si="8"/>
        <v>0</v>
      </c>
      <c r="DZ349" s="924"/>
      <c r="EH349" s="924"/>
    </row>
    <row r="350" spans="1:138" s="6" customFormat="1" ht="15" customHeight="1">
      <c r="A350" s="3">
        <v>188</v>
      </c>
      <c r="B350" s="210" t="s">
        <v>106</v>
      </c>
      <c r="C350" s="473" t="s">
        <v>515</v>
      </c>
      <c r="D350" s="4"/>
      <c r="E350" s="5"/>
      <c r="F350" s="5"/>
      <c r="G350" s="4"/>
      <c r="H350" s="4"/>
      <c r="I350" s="4"/>
      <c r="J350" s="4"/>
      <c r="K350" s="5">
        <v>1</v>
      </c>
      <c r="L350" s="5">
        <f t="shared" si="9"/>
        <v>0</v>
      </c>
      <c r="M350" s="5"/>
      <c r="O350" s="5">
        <v>1</v>
      </c>
      <c r="P350" s="5">
        <f t="shared" si="10"/>
        <v>0</v>
      </c>
      <c r="Q350" s="5"/>
      <c r="S350" s="5">
        <v>1</v>
      </c>
      <c r="T350" s="5">
        <f t="shared" si="11"/>
        <v>0</v>
      </c>
      <c r="U350" s="5"/>
      <c r="W350" s="5"/>
      <c r="X350" s="5"/>
      <c r="Y350" s="12"/>
      <c r="AA350" s="13"/>
      <c r="AB350" s="12"/>
      <c r="AD350" s="13"/>
      <c r="AE350" s="5"/>
      <c r="AF350" s="5"/>
      <c r="AH350" s="13"/>
      <c r="AI350" s="5"/>
      <c r="AK350" s="5"/>
      <c r="AL350" s="5"/>
      <c r="AM350" s="5"/>
      <c r="AO350" s="5"/>
      <c r="AP350" s="5"/>
      <c r="AR350" s="5">
        <v>1</v>
      </c>
      <c r="AS350" s="5">
        <f t="shared" si="12"/>
        <v>0</v>
      </c>
      <c r="AT350" s="5"/>
      <c r="AV350" s="5">
        <v>1</v>
      </c>
      <c r="AW350" s="5">
        <f t="shared" si="13"/>
        <v>0</v>
      </c>
      <c r="AY350" s="5">
        <v>1</v>
      </c>
      <c r="AZ350" s="5">
        <f t="shared" si="14"/>
        <v>0</v>
      </c>
      <c r="BA350" s="5"/>
      <c r="BC350" s="5">
        <v>1</v>
      </c>
      <c r="BD350" s="5">
        <f t="shared" si="15"/>
        <v>0</v>
      </c>
      <c r="BF350" s="5">
        <v>1</v>
      </c>
      <c r="BG350" s="5">
        <f t="shared" si="16"/>
        <v>0</v>
      </c>
      <c r="BH350" s="5"/>
      <c r="BJ350" s="5">
        <v>1</v>
      </c>
      <c r="BK350" s="5">
        <f t="shared" si="17"/>
        <v>0</v>
      </c>
      <c r="BL350" s="12"/>
      <c r="BM350" s="5">
        <v>1</v>
      </c>
      <c r="BN350" s="5">
        <f t="shared" si="18"/>
        <v>0</v>
      </c>
      <c r="BO350" s="5"/>
      <c r="BQ350" s="5">
        <v>1</v>
      </c>
      <c r="BR350" s="5">
        <f t="shared" si="19"/>
        <v>0</v>
      </c>
      <c r="BT350" s="5">
        <v>1</v>
      </c>
      <c r="BU350" s="5">
        <f t="shared" si="20"/>
        <v>0</v>
      </c>
      <c r="BV350" s="5"/>
      <c r="BX350" s="5">
        <v>1</v>
      </c>
      <c r="BY350" s="5">
        <f t="shared" si="21"/>
        <v>0</v>
      </c>
      <c r="CA350" s="13">
        <v>1</v>
      </c>
      <c r="CB350" s="5">
        <f t="shared" si="22"/>
        <v>0</v>
      </c>
      <c r="CC350" s="11"/>
      <c r="CE350" s="13"/>
      <c r="CF350" s="5"/>
      <c r="CG350" s="12"/>
      <c r="CI350" s="13"/>
      <c r="CJ350" s="5"/>
      <c r="CK350" s="12"/>
      <c r="CM350" s="13"/>
      <c r="CN350" s="5"/>
      <c r="CO350" s="12"/>
      <c r="CQ350" s="13"/>
      <c r="CR350" s="5"/>
      <c r="CS350" s="12"/>
      <c r="CU350" s="13"/>
      <c r="CV350" s="5"/>
      <c r="CW350" s="12"/>
      <c r="CY350" s="13"/>
      <c r="CZ350" s="5"/>
      <c r="DA350" s="12"/>
      <c r="DC350" s="13"/>
      <c r="DD350" s="5"/>
      <c r="DE350" s="12"/>
      <c r="DG350" s="13"/>
      <c r="DH350" s="5"/>
      <c r="DI350" s="12"/>
      <c r="DK350" s="13"/>
      <c r="DL350" s="5"/>
      <c r="DM350" s="12"/>
      <c r="DO350" s="13"/>
      <c r="DP350" s="5"/>
      <c r="DQ350" s="166">
        <v>1</v>
      </c>
      <c r="DS350" s="1336">
        <f t="shared" si="7"/>
        <v>0</v>
      </c>
      <c r="DT350" s="121">
        <f t="shared" si="23"/>
        <v>0</v>
      </c>
      <c r="DU350" s="112">
        <f t="shared" si="24"/>
        <v>0</v>
      </c>
      <c r="DX350" s="203">
        <f t="shared" si="8"/>
        <v>0</v>
      </c>
      <c r="DZ350" s="924"/>
      <c r="EH350" s="924"/>
    </row>
    <row r="351" spans="1:138" s="6" customFormat="1" ht="15" customHeight="1">
      <c r="A351" s="3">
        <v>189</v>
      </c>
      <c r="B351" s="210" t="s">
        <v>107</v>
      </c>
      <c r="C351" s="473" t="s">
        <v>515</v>
      </c>
      <c r="D351" s="4"/>
      <c r="E351" s="5"/>
      <c r="F351" s="5"/>
      <c r="G351" s="4"/>
      <c r="H351" s="4"/>
      <c r="I351" s="4"/>
      <c r="J351" s="4"/>
      <c r="K351" s="5">
        <v>1</v>
      </c>
      <c r="L351" s="5">
        <f t="shared" si="9"/>
        <v>0</v>
      </c>
      <c r="M351" s="5"/>
      <c r="O351" s="5">
        <v>1</v>
      </c>
      <c r="P351" s="5">
        <f t="shared" si="10"/>
        <v>0</v>
      </c>
      <c r="Q351" s="5"/>
      <c r="S351" s="5">
        <v>1</v>
      </c>
      <c r="T351" s="5">
        <f t="shared" si="11"/>
        <v>0</v>
      </c>
      <c r="U351" s="5"/>
      <c r="W351" s="5"/>
      <c r="X351" s="5"/>
      <c r="Y351" s="12"/>
      <c r="AA351" s="13"/>
      <c r="AB351" s="12"/>
      <c r="AD351" s="13"/>
      <c r="AE351" s="5"/>
      <c r="AF351" s="5"/>
      <c r="AH351" s="13"/>
      <c r="AI351" s="5"/>
      <c r="AK351" s="5"/>
      <c r="AL351" s="5"/>
      <c r="AM351" s="5"/>
      <c r="AO351" s="5"/>
      <c r="AP351" s="5"/>
      <c r="AR351" s="5">
        <v>1</v>
      </c>
      <c r="AS351" s="5">
        <f t="shared" si="12"/>
        <v>0</v>
      </c>
      <c r="AT351" s="5"/>
      <c r="AV351" s="5">
        <v>1</v>
      </c>
      <c r="AW351" s="5">
        <f t="shared" si="13"/>
        <v>0</v>
      </c>
      <c r="AY351" s="5">
        <v>1</v>
      </c>
      <c r="AZ351" s="5">
        <f t="shared" si="14"/>
        <v>0</v>
      </c>
      <c r="BA351" s="5"/>
      <c r="BC351" s="5">
        <v>1</v>
      </c>
      <c r="BD351" s="5">
        <f t="shared" si="15"/>
        <v>0</v>
      </c>
      <c r="BF351" s="5">
        <v>1</v>
      </c>
      <c r="BG351" s="5">
        <f t="shared" si="16"/>
        <v>0</v>
      </c>
      <c r="BH351" s="5"/>
      <c r="BJ351" s="5">
        <v>1</v>
      </c>
      <c r="BK351" s="5">
        <f t="shared" si="17"/>
        <v>0</v>
      </c>
      <c r="BL351" s="12"/>
      <c r="BM351" s="5">
        <v>1</v>
      </c>
      <c r="BN351" s="5">
        <f t="shared" si="18"/>
        <v>0</v>
      </c>
      <c r="BO351" s="5"/>
      <c r="BQ351" s="5">
        <v>1</v>
      </c>
      <c r="BR351" s="5">
        <f t="shared" si="19"/>
        <v>0</v>
      </c>
      <c r="BT351" s="5">
        <v>1</v>
      </c>
      <c r="BU351" s="5">
        <f t="shared" si="20"/>
        <v>0</v>
      </c>
      <c r="BV351" s="5"/>
      <c r="BX351" s="5">
        <v>1</v>
      </c>
      <c r="BY351" s="5">
        <f t="shared" si="21"/>
        <v>0</v>
      </c>
      <c r="CA351" s="13">
        <v>1</v>
      </c>
      <c r="CB351" s="5">
        <f t="shared" si="22"/>
        <v>0</v>
      </c>
      <c r="CC351" s="11"/>
      <c r="CE351" s="13"/>
      <c r="CF351" s="5"/>
      <c r="CG351" s="12"/>
      <c r="CI351" s="13"/>
      <c r="CJ351" s="5"/>
      <c r="CK351" s="12"/>
      <c r="CM351" s="13"/>
      <c r="CN351" s="5"/>
      <c r="CO351" s="12"/>
      <c r="CQ351" s="13"/>
      <c r="CR351" s="5"/>
      <c r="CS351" s="12"/>
      <c r="CU351" s="13"/>
      <c r="CV351" s="5"/>
      <c r="CW351" s="12"/>
      <c r="CY351" s="13"/>
      <c r="CZ351" s="5"/>
      <c r="DA351" s="12"/>
      <c r="DC351" s="13"/>
      <c r="DD351" s="5"/>
      <c r="DE351" s="12"/>
      <c r="DG351" s="13"/>
      <c r="DH351" s="5"/>
      <c r="DI351" s="12"/>
      <c r="DK351" s="13"/>
      <c r="DL351" s="5"/>
      <c r="DM351" s="12"/>
      <c r="DO351" s="13"/>
      <c r="DP351" s="5"/>
      <c r="DQ351" s="166">
        <v>1</v>
      </c>
      <c r="DS351" s="1336">
        <f t="shared" si="7"/>
        <v>0</v>
      </c>
      <c r="DT351" s="121">
        <f t="shared" si="23"/>
        <v>0</v>
      </c>
      <c r="DU351" s="112">
        <f t="shared" si="24"/>
        <v>0</v>
      </c>
      <c r="DX351" s="203">
        <f t="shared" si="8"/>
        <v>0</v>
      </c>
      <c r="DZ351" s="924"/>
      <c r="EH351" s="924"/>
    </row>
    <row r="352" spans="1:138" s="6" customFormat="1" ht="15" customHeight="1">
      <c r="A352" s="3">
        <v>190</v>
      </c>
      <c r="B352" s="210" t="s">
        <v>401</v>
      </c>
      <c r="C352" s="473" t="s">
        <v>515</v>
      </c>
      <c r="D352" s="4"/>
      <c r="E352" s="5"/>
      <c r="F352" s="5"/>
      <c r="G352" s="4"/>
      <c r="H352" s="4"/>
      <c r="I352" s="4"/>
      <c r="J352" s="4"/>
      <c r="K352" s="5"/>
      <c r="L352" s="5"/>
      <c r="M352" s="5"/>
      <c r="O352" s="5"/>
      <c r="P352" s="5"/>
      <c r="Q352" s="5"/>
      <c r="S352" s="5"/>
      <c r="T352" s="5"/>
      <c r="U352" s="5"/>
      <c r="W352" s="5"/>
      <c r="X352" s="5"/>
      <c r="Y352" s="12"/>
      <c r="AA352" s="13"/>
      <c r="AB352" s="12"/>
      <c r="AD352" s="13"/>
      <c r="AE352" s="5"/>
      <c r="AF352" s="5"/>
      <c r="AH352" s="13"/>
      <c r="AI352" s="5"/>
      <c r="AK352" s="5"/>
      <c r="AL352" s="5"/>
      <c r="AM352" s="5"/>
      <c r="AO352" s="5"/>
      <c r="AP352" s="5"/>
      <c r="AR352" s="5"/>
      <c r="AS352" s="5"/>
      <c r="AT352" s="5"/>
      <c r="AV352" s="5"/>
      <c r="AW352" s="5"/>
      <c r="AY352" s="5"/>
      <c r="AZ352" s="5"/>
      <c r="BA352" s="5"/>
      <c r="BC352" s="5"/>
      <c r="BD352" s="5"/>
      <c r="BF352" s="5"/>
      <c r="BG352" s="5"/>
      <c r="BH352" s="5"/>
      <c r="BJ352" s="5"/>
      <c r="BK352" s="5"/>
      <c r="BL352" s="12"/>
      <c r="BM352" s="5"/>
      <c r="BN352" s="5"/>
      <c r="BO352" s="5"/>
      <c r="BQ352" s="5"/>
      <c r="BR352" s="5"/>
      <c r="BT352" s="5"/>
      <c r="BU352" s="5"/>
      <c r="BV352" s="5"/>
      <c r="BX352" s="5"/>
      <c r="BY352" s="5"/>
      <c r="CA352" s="13"/>
      <c r="CB352" s="5"/>
      <c r="CC352" s="11"/>
      <c r="CE352" s="13"/>
      <c r="CF352" s="5"/>
      <c r="CG352" s="12"/>
      <c r="CI352" s="13"/>
      <c r="CJ352" s="5"/>
      <c r="CK352" s="12"/>
      <c r="CM352" s="13"/>
      <c r="CN352" s="5"/>
      <c r="CO352" s="12"/>
      <c r="CQ352" s="13"/>
      <c r="CR352" s="5"/>
      <c r="CS352" s="12"/>
      <c r="CU352" s="13"/>
      <c r="CV352" s="5"/>
      <c r="CW352" s="12"/>
      <c r="CY352" s="13"/>
      <c r="CZ352" s="5"/>
      <c r="DA352" s="12"/>
      <c r="DC352" s="13"/>
      <c r="DD352" s="5"/>
      <c r="DE352" s="12"/>
      <c r="DG352" s="13"/>
      <c r="DH352" s="5"/>
      <c r="DI352" s="12"/>
      <c r="DK352" s="13"/>
      <c r="DL352" s="5"/>
      <c r="DM352" s="12"/>
      <c r="DO352" s="13"/>
      <c r="DP352" s="5"/>
      <c r="DQ352" s="166">
        <v>1</v>
      </c>
      <c r="DS352" s="1336">
        <f t="shared" si="7"/>
        <v>0</v>
      </c>
      <c r="DT352" s="121">
        <f t="shared" si="23"/>
        <v>0</v>
      </c>
      <c r="DU352" s="112">
        <f t="shared" si="24"/>
        <v>0</v>
      </c>
      <c r="DX352" s="203">
        <f t="shared" si="8"/>
        <v>0</v>
      </c>
      <c r="DZ352" s="924"/>
      <c r="EH352" s="924"/>
    </row>
    <row r="353" spans="1:138" s="6" customFormat="1" ht="15" customHeight="1">
      <c r="A353" s="3">
        <v>191</v>
      </c>
      <c r="B353" s="210" t="s">
        <v>402</v>
      </c>
      <c r="C353" s="473" t="s">
        <v>515</v>
      </c>
      <c r="D353" s="4"/>
      <c r="E353" s="5"/>
      <c r="F353" s="5"/>
      <c r="G353" s="4"/>
      <c r="H353" s="4"/>
      <c r="I353" s="4"/>
      <c r="J353" s="4"/>
      <c r="K353" s="5"/>
      <c r="L353" s="5"/>
      <c r="M353" s="5"/>
      <c r="O353" s="5"/>
      <c r="P353" s="5"/>
      <c r="Q353" s="5"/>
      <c r="S353" s="5"/>
      <c r="T353" s="5"/>
      <c r="U353" s="5"/>
      <c r="W353" s="5"/>
      <c r="X353" s="5"/>
      <c r="Y353" s="12"/>
      <c r="AA353" s="13"/>
      <c r="AB353" s="12"/>
      <c r="AD353" s="13"/>
      <c r="AE353" s="5"/>
      <c r="AF353" s="5"/>
      <c r="AH353" s="13"/>
      <c r="AI353" s="5"/>
      <c r="AK353" s="5"/>
      <c r="AL353" s="5"/>
      <c r="AM353" s="5"/>
      <c r="AO353" s="5"/>
      <c r="AP353" s="5"/>
      <c r="AR353" s="5"/>
      <c r="AS353" s="5"/>
      <c r="AT353" s="5"/>
      <c r="AV353" s="5"/>
      <c r="AW353" s="5"/>
      <c r="AY353" s="5"/>
      <c r="AZ353" s="5"/>
      <c r="BA353" s="5"/>
      <c r="BC353" s="5"/>
      <c r="BD353" s="5"/>
      <c r="BF353" s="5"/>
      <c r="BG353" s="5"/>
      <c r="BH353" s="5"/>
      <c r="BJ353" s="5"/>
      <c r="BK353" s="5"/>
      <c r="BL353" s="12"/>
      <c r="BM353" s="5"/>
      <c r="BN353" s="5"/>
      <c r="BO353" s="5"/>
      <c r="BQ353" s="5"/>
      <c r="BR353" s="5"/>
      <c r="BT353" s="5"/>
      <c r="BU353" s="5"/>
      <c r="BV353" s="5"/>
      <c r="BX353" s="5"/>
      <c r="BY353" s="5"/>
      <c r="CA353" s="13"/>
      <c r="CB353" s="5"/>
      <c r="CC353" s="11"/>
      <c r="CE353" s="13"/>
      <c r="CF353" s="5"/>
      <c r="CG353" s="12"/>
      <c r="CI353" s="13"/>
      <c r="CJ353" s="5"/>
      <c r="CK353" s="12"/>
      <c r="CM353" s="13"/>
      <c r="CN353" s="5"/>
      <c r="CO353" s="12"/>
      <c r="CQ353" s="13"/>
      <c r="CR353" s="5"/>
      <c r="CS353" s="12"/>
      <c r="CU353" s="13"/>
      <c r="CV353" s="5"/>
      <c r="CW353" s="12"/>
      <c r="CY353" s="13"/>
      <c r="CZ353" s="5"/>
      <c r="DA353" s="12"/>
      <c r="DC353" s="13"/>
      <c r="DD353" s="5"/>
      <c r="DE353" s="12"/>
      <c r="DG353" s="13"/>
      <c r="DH353" s="5"/>
      <c r="DI353" s="12"/>
      <c r="DK353" s="13"/>
      <c r="DL353" s="5"/>
      <c r="DM353" s="12"/>
      <c r="DO353" s="13"/>
      <c r="DP353" s="5"/>
      <c r="DQ353" s="166">
        <v>1</v>
      </c>
      <c r="DS353" s="1336">
        <f t="shared" si="7"/>
        <v>0</v>
      </c>
      <c r="DT353" s="121">
        <f t="shared" si="23"/>
        <v>0</v>
      </c>
      <c r="DU353" s="112">
        <f t="shared" si="24"/>
        <v>0</v>
      </c>
      <c r="DX353" s="203">
        <f t="shared" si="8"/>
        <v>0</v>
      </c>
      <c r="DZ353" s="924"/>
      <c r="EH353" s="924"/>
    </row>
    <row r="354" spans="1:138" s="6" customFormat="1" ht="15" customHeight="1">
      <c r="A354" s="3">
        <v>192</v>
      </c>
      <c r="B354" s="210" t="s">
        <v>403</v>
      </c>
      <c r="C354" s="473" t="s">
        <v>515</v>
      </c>
      <c r="D354" s="4"/>
      <c r="E354" s="5"/>
      <c r="F354" s="5"/>
      <c r="G354" s="4"/>
      <c r="H354" s="4"/>
      <c r="I354" s="4"/>
      <c r="J354" s="4"/>
      <c r="K354" s="5"/>
      <c r="L354" s="5"/>
      <c r="M354" s="5"/>
      <c r="O354" s="5"/>
      <c r="P354" s="5"/>
      <c r="Q354" s="5"/>
      <c r="S354" s="5"/>
      <c r="T354" s="5"/>
      <c r="U354" s="5"/>
      <c r="W354" s="5"/>
      <c r="X354" s="5"/>
      <c r="Y354" s="12"/>
      <c r="AA354" s="13"/>
      <c r="AB354" s="12"/>
      <c r="AD354" s="13"/>
      <c r="AE354" s="5"/>
      <c r="AF354" s="5"/>
      <c r="AH354" s="13"/>
      <c r="AI354" s="5"/>
      <c r="AK354" s="5"/>
      <c r="AL354" s="5"/>
      <c r="AM354" s="5"/>
      <c r="AO354" s="5"/>
      <c r="AP354" s="5"/>
      <c r="AR354" s="5"/>
      <c r="AS354" s="5"/>
      <c r="AT354" s="5"/>
      <c r="AV354" s="5"/>
      <c r="AW354" s="5"/>
      <c r="AY354" s="5"/>
      <c r="AZ354" s="5"/>
      <c r="BA354" s="5"/>
      <c r="BC354" s="5"/>
      <c r="BD354" s="5"/>
      <c r="BF354" s="5"/>
      <c r="BG354" s="5"/>
      <c r="BH354" s="5"/>
      <c r="BJ354" s="5"/>
      <c r="BK354" s="5"/>
      <c r="BL354" s="12"/>
      <c r="BM354" s="5"/>
      <c r="BN354" s="5"/>
      <c r="BO354" s="5"/>
      <c r="BQ354" s="5"/>
      <c r="BR354" s="5"/>
      <c r="BT354" s="5"/>
      <c r="BU354" s="5"/>
      <c r="BV354" s="5"/>
      <c r="BX354" s="5"/>
      <c r="BY354" s="5"/>
      <c r="CA354" s="13"/>
      <c r="CB354" s="5"/>
      <c r="CC354" s="11"/>
      <c r="CE354" s="13"/>
      <c r="CF354" s="5"/>
      <c r="CG354" s="12"/>
      <c r="CI354" s="13"/>
      <c r="CJ354" s="5"/>
      <c r="CK354" s="12"/>
      <c r="CM354" s="13"/>
      <c r="CN354" s="5"/>
      <c r="CO354" s="12"/>
      <c r="CQ354" s="13"/>
      <c r="CR354" s="5"/>
      <c r="CS354" s="12"/>
      <c r="CU354" s="13"/>
      <c r="CV354" s="5"/>
      <c r="CW354" s="12"/>
      <c r="CY354" s="13"/>
      <c r="CZ354" s="5"/>
      <c r="DA354" s="12"/>
      <c r="DC354" s="13"/>
      <c r="DD354" s="5"/>
      <c r="DE354" s="12"/>
      <c r="DG354" s="13"/>
      <c r="DH354" s="5"/>
      <c r="DI354" s="12"/>
      <c r="DK354" s="13"/>
      <c r="DL354" s="5"/>
      <c r="DM354" s="12"/>
      <c r="DO354" s="13"/>
      <c r="DP354" s="5"/>
      <c r="DQ354" s="166">
        <v>1</v>
      </c>
      <c r="DS354" s="1336">
        <f t="shared" si="7"/>
        <v>0</v>
      </c>
      <c r="DT354" s="121">
        <f t="shared" si="23"/>
        <v>0</v>
      </c>
      <c r="DU354" s="112">
        <f t="shared" si="24"/>
        <v>0</v>
      </c>
      <c r="DX354" s="203">
        <f t="shared" si="8"/>
        <v>0</v>
      </c>
      <c r="DZ354" s="924"/>
      <c r="EH354" s="924"/>
    </row>
    <row r="355" spans="1:138" s="6" customFormat="1" ht="15" customHeight="1">
      <c r="A355" s="3">
        <v>193</v>
      </c>
      <c r="B355" s="210" t="s">
        <v>108</v>
      </c>
      <c r="C355" s="473" t="s">
        <v>515</v>
      </c>
      <c r="D355" s="4"/>
      <c r="E355" s="5"/>
      <c r="F355" s="5"/>
      <c r="G355" s="4"/>
      <c r="H355" s="4"/>
      <c r="I355" s="4"/>
      <c r="J355" s="4"/>
      <c r="K355" s="5">
        <v>1</v>
      </c>
      <c r="L355" s="5">
        <f t="shared" ref="L355:L365" si="25">L16+M16</f>
        <v>0</v>
      </c>
      <c r="M355" s="5"/>
      <c r="O355" s="5">
        <v>1</v>
      </c>
      <c r="P355" s="5">
        <f t="shared" ref="P355:P365" si="26">P16+Q16</f>
        <v>0</v>
      </c>
      <c r="Q355" s="5"/>
      <c r="S355" s="5">
        <v>1</v>
      </c>
      <c r="T355" s="5">
        <f t="shared" ref="T355:T365" si="27">T16+U16</f>
        <v>0</v>
      </c>
      <c r="U355" s="5"/>
      <c r="W355" s="5"/>
      <c r="X355" s="5"/>
      <c r="Y355" s="12"/>
      <c r="AA355" s="13"/>
      <c r="AB355" s="12"/>
      <c r="AD355" s="13"/>
      <c r="AE355" s="5"/>
      <c r="AF355" s="5"/>
      <c r="AH355" s="13"/>
      <c r="AI355" s="5"/>
      <c r="AK355" s="5"/>
      <c r="AL355" s="5"/>
      <c r="AM355" s="5"/>
      <c r="AO355" s="5"/>
      <c r="AP355" s="5"/>
      <c r="AR355" s="5">
        <v>1</v>
      </c>
      <c r="AS355" s="5">
        <f t="shared" ref="AS355:AS365" si="28">AS16+AT16</f>
        <v>0</v>
      </c>
      <c r="AT355" s="5"/>
      <c r="AV355" s="5">
        <v>1</v>
      </c>
      <c r="AW355" s="5">
        <f t="shared" ref="AW355:AW365" si="29">AW16+AX16</f>
        <v>0</v>
      </c>
      <c r="AY355" s="5">
        <v>1</v>
      </c>
      <c r="AZ355" s="5">
        <f t="shared" ref="AZ355:AZ365" si="30">AZ16+BA16</f>
        <v>0</v>
      </c>
      <c r="BA355" s="5"/>
      <c r="BC355" s="5">
        <v>1</v>
      </c>
      <c r="BD355" s="5">
        <f t="shared" ref="BD355:BD365" si="31">BD16+BE16</f>
        <v>0</v>
      </c>
      <c r="BF355" s="5">
        <v>1</v>
      </c>
      <c r="BG355" s="5">
        <f t="shared" ref="BG355:BG365" si="32">BG16+BH16</f>
        <v>0</v>
      </c>
      <c r="BH355" s="5"/>
      <c r="BJ355" s="5">
        <v>1</v>
      </c>
      <c r="BK355" s="5">
        <f t="shared" ref="BK355:BK365" si="33">BK16+BL16</f>
        <v>0</v>
      </c>
      <c r="BL355" s="12"/>
      <c r="BM355" s="5">
        <v>1</v>
      </c>
      <c r="BN355" s="5">
        <f t="shared" ref="BN355:BN365" si="34">BN16+BO16</f>
        <v>0</v>
      </c>
      <c r="BO355" s="5"/>
      <c r="BQ355" s="5">
        <v>1</v>
      </c>
      <c r="BR355" s="5">
        <f t="shared" ref="BR355:BR365" si="35">BR16+BS16</f>
        <v>0</v>
      </c>
      <c r="BT355" s="5">
        <v>1</v>
      </c>
      <c r="BU355" s="5">
        <f t="shared" ref="BU355:BU365" si="36">BU16+BV16</f>
        <v>0</v>
      </c>
      <c r="BV355" s="5"/>
      <c r="BX355" s="5">
        <v>1</v>
      </c>
      <c r="BY355" s="5">
        <f t="shared" ref="BY355:BY365" si="37">BY16+BZ16</f>
        <v>0</v>
      </c>
      <c r="CA355" s="13">
        <v>1</v>
      </c>
      <c r="CB355" s="5">
        <f t="shared" ref="CB355:CB365" si="38">CB16+CC16</f>
        <v>0</v>
      </c>
      <c r="CC355" s="11"/>
      <c r="CE355" s="13"/>
      <c r="CF355" s="5"/>
      <c r="CG355" s="12"/>
      <c r="CI355" s="13"/>
      <c r="CJ355" s="5"/>
      <c r="CK355" s="12"/>
      <c r="CM355" s="13"/>
      <c r="CN355" s="5"/>
      <c r="CO355" s="12"/>
      <c r="CQ355" s="13"/>
      <c r="CR355" s="5"/>
      <c r="CS355" s="12"/>
      <c r="CU355" s="13"/>
      <c r="CV355" s="5"/>
      <c r="CW355" s="12"/>
      <c r="CY355" s="13"/>
      <c r="CZ355" s="5"/>
      <c r="DA355" s="12"/>
      <c r="DC355" s="13"/>
      <c r="DD355" s="5"/>
      <c r="DE355" s="12"/>
      <c r="DG355" s="13"/>
      <c r="DH355" s="5"/>
      <c r="DI355" s="12"/>
      <c r="DK355" s="13"/>
      <c r="DL355" s="5"/>
      <c r="DM355" s="12"/>
      <c r="DO355" s="13"/>
      <c r="DP355" s="5"/>
      <c r="DQ355" s="166">
        <v>1</v>
      </c>
      <c r="DS355" s="1336">
        <f t="shared" si="7"/>
        <v>0</v>
      </c>
      <c r="DT355" s="121">
        <f t="shared" si="23"/>
        <v>0</v>
      </c>
      <c r="DU355" s="112">
        <f t="shared" si="24"/>
        <v>0</v>
      </c>
      <c r="DX355" s="203">
        <f t="shared" si="8"/>
        <v>0</v>
      </c>
      <c r="DZ355" s="924"/>
      <c r="EH355" s="924"/>
    </row>
    <row r="356" spans="1:138" s="6" customFormat="1" ht="15" customHeight="1">
      <c r="A356" s="3">
        <v>194</v>
      </c>
      <c r="B356" s="210" t="s">
        <v>109</v>
      </c>
      <c r="C356" s="473" t="s">
        <v>515</v>
      </c>
      <c r="D356" s="4"/>
      <c r="E356" s="5"/>
      <c r="F356" s="5"/>
      <c r="G356" s="4"/>
      <c r="H356" s="4"/>
      <c r="I356" s="4"/>
      <c r="J356" s="4"/>
      <c r="K356" s="5">
        <v>1</v>
      </c>
      <c r="L356" s="5">
        <f t="shared" si="25"/>
        <v>0</v>
      </c>
      <c r="M356" s="5"/>
      <c r="O356" s="5">
        <v>1</v>
      </c>
      <c r="P356" s="5">
        <f t="shared" si="26"/>
        <v>0</v>
      </c>
      <c r="Q356" s="5"/>
      <c r="S356" s="5">
        <v>1</v>
      </c>
      <c r="T356" s="5">
        <f t="shared" si="27"/>
        <v>0</v>
      </c>
      <c r="U356" s="5"/>
      <c r="W356" s="5"/>
      <c r="X356" s="5"/>
      <c r="Y356" s="12"/>
      <c r="AA356" s="13"/>
      <c r="AB356" s="12"/>
      <c r="AD356" s="13"/>
      <c r="AE356" s="5"/>
      <c r="AF356" s="5"/>
      <c r="AH356" s="13"/>
      <c r="AI356" s="5"/>
      <c r="AK356" s="5"/>
      <c r="AL356" s="5"/>
      <c r="AM356" s="5"/>
      <c r="AO356" s="5"/>
      <c r="AP356" s="5"/>
      <c r="AR356" s="5">
        <v>1</v>
      </c>
      <c r="AS356" s="5">
        <f t="shared" si="28"/>
        <v>0</v>
      </c>
      <c r="AT356" s="5"/>
      <c r="AV356" s="5">
        <v>1</v>
      </c>
      <c r="AW356" s="5">
        <f t="shared" si="29"/>
        <v>0</v>
      </c>
      <c r="AY356" s="5">
        <v>1</v>
      </c>
      <c r="AZ356" s="5">
        <f t="shared" si="30"/>
        <v>0</v>
      </c>
      <c r="BA356" s="5"/>
      <c r="BC356" s="5">
        <v>1</v>
      </c>
      <c r="BD356" s="5">
        <f t="shared" si="31"/>
        <v>0</v>
      </c>
      <c r="BF356" s="5">
        <v>1</v>
      </c>
      <c r="BG356" s="5">
        <f t="shared" si="32"/>
        <v>0</v>
      </c>
      <c r="BH356" s="5"/>
      <c r="BJ356" s="5">
        <v>1</v>
      </c>
      <c r="BK356" s="5">
        <f t="shared" si="33"/>
        <v>0</v>
      </c>
      <c r="BL356" s="12"/>
      <c r="BM356" s="5">
        <v>1</v>
      </c>
      <c r="BN356" s="5">
        <f t="shared" si="34"/>
        <v>0</v>
      </c>
      <c r="BO356" s="5"/>
      <c r="BQ356" s="5">
        <v>1</v>
      </c>
      <c r="BR356" s="5">
        <f t="shared" si="35"/>
        <v>0</v>
      </c>
      <c r="BT356" s="5">
        <v>1</v>
      </c>
      <c r="BU356" s="5">
        <f t="shared" si="36"/>
        <v>0</v>
      </c>
      <c r="BV356" s="5"/>
      <c r="BX356" s="5">
        <v>1</v>
      </c>
      <c r="BY356" s="5">
        <f t="shared" si="37"/>
        <v>0</v>
      </c>
      <c r="CA356" s="13">
        <v>1</v>
      </c>
      <c r="CB356" s="5">
        <f t="shared" si="38"/>
        <v>0</v>
      </c>
      <c r="CC356" s="11"/>
      <c r="CE356" s="13"/>
      <c r="CF356" s="5"/>
      <c r="CG356" s="12"/>
      <c r="CI356" s="13"/>
      <c r="CJ356" s="5"/>
      <c r="CK356" s="12"/>
      <c r="CM356" s="13"/>
      <c r="CN356" s="5"/>
      <c r="CO356" s="12"/>
      <c r="CQ356" s="13"/>
      <c r="CR356" s="5"/>
      <c r="CS356" s="12"/>
      <c r="CU356" s="13"/>
      <c r="CV356" s="5"/>
      <c r="CW356" s="12"/>
      <c r="CY356" s="13"/>
      <c r="CZ356" s="5"/>
      <c r="DA356" s="12"/>
      <c r="DC356" s="13"/>
      <c r="DD356" s="5"/>
      <c r="DE356" s="12"/>
      <c r="DG356" s="13"/>
      <c r="DH356" s="5"/>
      <c r="DI356" s="12"/>
      <c r="DK356" s="13"/>
      <c r="DL356" s="5"/>
      <c r="DM356" s="12"/>
      <c r="DO356" s="13"/>
      <c r="DP356" s="5"/>
      <c r="DQ356" s="166">
        <v>1</v>
      </c>
      <c r="DS356" s="1336">
        <f t="shared" si="7"/>
        <v>0</v>
      </c>
      <c r="DT356" s="121">
        <f t="shared" si="23"/>
        <v>0</v>
      </c>
      <c r="DU356" s="112">
        <f t="shared" si="24"/>
        <v>0</v>
      </c>
      <c r="DX356" s="203">
        <f t="shared" si="8"/>
        <v>0</v>
      </c>
      <c r="DZ356" s="924"/>
      <c r="EH356" s="924"/>
    </row>
    <row r="357" spans="1:138" s="6" customFormat="1" ht="15" customHeight="1">
      <c r="A357" s="3">
        <v>195</v>
      </c>
      <c r="B357" s="210" t="s">
        <v>32</v>
      </c>
      <c r="C357" s="473" t="s">
        <v>515</v>
      </c>
      <c r="D357" s="4"/>
      <c r="E357" s="5"/>
      <c r="F357" s="5"/>
      <c r="G357" s="4"/>
      <c r="H357" s="4"/>
      <c r="I357" s="4"/>
      <c r="J357" s="4"/>
      <c r="K357" s="5">
        <v>1</v>
      </c>
      <c r="L357" s="5">
        <f t="shared" si="25"/>
        <v>0</v>
      </c>
      <c r="M357" s="5"/>
      <c r="O357" s="5">
        <v>1</v>
      </c>
      <c r="P357" s="5">
        <f t="shared" si="26"/>
        <v>0</v>
      </c>
      <c r="Q357" s="5"/>
      <c r="S357" s="5">
        <v>1</v>
      </c>
      <c r="T357" s="5">
        <f t="shared" si="27"/>
        <v>0</v>
      </c>
      <c r="U357" s="5"/>
      <c r="W357" s="5"/>
      <c r="X357" s="5"/>
      <c r="Y357" s="12"/>
      <c r="AA357" s="13"/>
      <c r="AB357" s="12"/>
      <c r="AD357" s="13"/>
      <c r="AE357" s="5"/>
      <c r="AF357" s="5"/>
      <c r="AH357" s="13"/>
      <c r="AI357" s="5"/>
      <c r="AK357" s="5"/>
      <c r="AL357" s="5"/>
      <c r="AM357" s="5"/>
      <c r="AO357" s="5"/>
      <c r="AP357" s="5"/>
      <c r="AR357" s="5">
        <v>1</v>
      </c>
      <c r="AS357" s="5">
        <f t="shared" si="28"/>
        <v>0</v>
      </c>
      <c r="AT357" s="5"/>
      <c r="AV357" s="5">
        <v>1</v>
      </c>
      <c r="AW357" s="5">
        <f t="shared" si="29"/>
        <v>0</v>
      </c>
      <c r="AY357" s="5">
        <v>1</v>
      </c>
      <c r="AZ357" s="5">
        <f t="shared" si="30"/>
        <v>0</v>
      </c>
      <c r="BA357" s="5"/>
      <c r="BC357" s="5">
        <v>1</v>
      </c>
      <c r="BD357" s="5">
        <f t="shared" si="31"/>
        <v>0</v>
      </c>
      <c r="BF357" s="5">
        <v>1</v>
      </c>
      <c r="BG357" s="5">
        <f t="shared" si="32"/>
        <v>0</v>
      </c>
      <c r="BH357" s="5"/>
      <c r="BJ357" s="5">
        <v>1</v>
      </c>
      <c r="BK357" s="5">
        <f t="shared" si="33"/>
        <v>0</v>
      </c>
      <c r="BL357" s="12"/>
      <c r="BM357" s="5">
        <v>1</v>
      </c>
      <c r="BN357" s="5">
        <f t="shared" si="34"/>
        <v>0</v>
      </c>
      <c r="BO357" s="5"/>
      <c r="BQ357" s="5">
        <v>1</v>
      </c>
      <c r="BR357" s="5">
        <f t="shared" si="35"/>
        <v>0</v>
      </c>
      <c r="BT357" s="5">
        <v>1</v>
      </c>
      <c r="BU357" s="5">
        <f t="shared" si="36"/>
        <v>0</v>
      </c>
      <c r="BV357" s="5"/>
      <c r="BX357" s="5">
        <v>1</v>
      </c>
      <c r="BY357" s="5">
        <f t="shared" si="37"/>
        <v>0</v>
      </c>
      <c r="CA357" s="13">
        <v>1</v>
      </c>
      <c r="CB357" s="5">
        <f t="shared" si="38"/>
        <v>0</v>
      </c>
      <c r="CC357" s="11"/>
      <c r="CE357" s="13"/>
      <c r="CF357" s="5"/>
      <c r="CG357" s="12"/>
      <c r="CI357" s="13"/>
      <c r="CJ357" s="5"/>
      <c r="CK357" s="12"/>
      <c r="CM357" s="13"/>
      <c r="CN357" s="5"/>
      <c r="CO357" s="12"/>
      <c r="CQ357" s="13"/>
      <c r="CR357" s="5"/>
      <c r="CS357" s="12"/>
      <c r="CU357" s="13"/>
      <c r="CV357" s="5"/>
      <c r="CW357" s="12"/>
      <c r="CY357" s="13"/>
      <c r="CZ357" s="5"/>
      <c r="DA357" s="12"/>
      <c r="DC357" s="13"/>
      <c r="DD357" s="5"/>
      <c r="DE357" s="12"/>
      <c r="DG357" s="13"/>
      <c r="DH357" s="5"/>
      <c r="DI357" s="12"/>
      <c r="DK357" s="13"/>
      <c r="DL357" s="5"/>
      <c r="DM357" s="12"/>
      <c r="DO357" s="13"/>
      <c r="DP357" s="5"/>
      <c r="DQ357" s="166">
        <v>1</v>
      </c>
      <c r="DS357" s="1336">
        <f t="shared" si="7"/>
        <v>0</v>
      </c>
      <c r="DT357" s="121">
        <f t="shared" si="23"/>
        <v>0</v>
      </c>
      <c r="DU357" s="112">
        <f t="shared" si="24"/>
        <v>0</v>
      </c>
      <c r="DX357" s="203">
        <f t="shared" si="8"/>
        <v>0</v>
      </c>
      <c r="DZ357" s="924"/>
      <c r="EH357" s="924"/>
    </row>
    <row r="358" spans="1:138" s="6" customFormat="1" ht="15" customHeight="1">
      <c r="A358" s="3">
        <v>196</v>
      </c>
      <c r="B358" s="210" t="s">
        <v>110</v>
      </c>
      <c r="C358" s="473" t="s">
        <v>515</v>
      </c>
      <c r="D358" s="4"/>
      <c r="E358" s="5"/>
      <c r="F358" s="5"/>
      <c r="G358" s="4"/>
      <c r="H358" s="4"/>
      <c r="I358" s="4"/>
      <c r="J358" s="4"/>
      <c r="K358" s="5">
        <v>1</v>
      </c>
      <c r="L358" s="5">
        <f t="shared" si="25"/>
        <v>0</v>
      </c>
      <c r="M358" s="5"/>
      <c r="O358" s="5">
        <v>1</v>
      </c>
      <c r="P358" s="5">
        <f t="shared" si="26"/>
        <v>0</v>
      </c>
      <c r="Q358" s="5"/>
      <c r="S358" s="5">
        <v>1</v>
      </c>
      <c r="T358" s="5">
        <f t="shared" si="27"/>
        <v>0</v>
      </c>
      <c r="U358" s="5"/>
      <c r="W358" s="5"/>
      <c r="X358" s="5"/>
      <c r="Y358" s="12"/>
      <c r="AA358" s="13"/>
      <c r="AB358" s="12"/>
      <c r="AD358" s="13"/>
      <c r="AE358" s="5"/>
      <c r="AF358" s="5"/>
      <c r="AH358" s="13"/>
      <c r="AI358" s="5"/>
      <c r="AK358" s="5"/>
      <c r="AL358" s="5"/>
      <c r="AM358" s="5"/>
      <c r="AO358" s="5"/>
      <c r="AP358" s="5"/>
      <c r="AR358" s="5">
        <v>1</v>
      </c>
      <c r="AS358" s="5">
        <f t="shared" si="28"/>
        <v>0</v>
      </c>
      <c r="AT358" s="5"/>
      <c r="AV358" s="5">
        <v>1</v>
      </c>
      <c r="AW358" s="5">
        <f t="shared" si="29"/>
        <v>0</v>
      </c>
      <c r="AY358" s="5">
        <v>1</v>
      </c>
      <c r="AZ358" s="5">
        <f t="shared" si="30"/>
        <v>0</v>
      </c>
      <c r="BA358" s="5"/>
      <c r="BC358" s="5">
        <v>1</v>
      </c>
      <c r="BD358" s="5">
        <f t="shared" si="31"/>
        <v>0</v>
      </c>
      <c r="BF358" s="5">
        <v>1</v>
      </c>
      <c r="BG358" s="5">
        <f t="shared" si="32"/>
        <v>0</v>
      </c>
      <c r="BH358" s="5"/>
      <c r="BJ358" s="5">
        <v>1</v>
      </c>
      <c r="BK358" s="5">
        <f t="shared" si="33"/>
        <v>0</v>
      </c>
      <c r="BL358" s="12"/>
      <c r="BM358" s="5">
        <v>1</v>
      </c>
      <c r="BN358" s="5">
        <f t="shared" si="34"/>
        <v>0</v>
      </c>
      <c r="BO358" s="5"/>
      <c r="BQ358" s="5">
        <v>1</v>
      </c>
      <c r="BR358" s="5">
        <f t="shared" si="35"/>
        <v>0</v>
      </c>
      <c r="BT358" s="5">
        <v>1</v>
      </c>
      <c r="BU358" s="5">
        <f t="shared" si="36"/>
        <v>0</v>
      </c>
      <c r="BV358" s="5"/>
      <c r="BX358" s="5">
        <v>1</v>
      </c>
      <c r="BY358" s="5">
        <f t="shared" si="37"/>
        <v>0</v>
      </c>
      <c r="CA358" s="13">
        <v>1</v>
      </c>
      <c r="CB358" s="5">
        <f t="shared" si="38"/>
        <v>0</v>
      </c>
      <c r="CC358" s="11"/>
      <c r="CE358" s="13"/>
      <c r="CF358" s="5"/>
      <c r="CG358" s="12"/>
      <c r="CI358" s="13"/>
      <c r="CJ358" s="5"/>
      <c r="CK358" s="12"/>
      <c r="CM358" s="13"/>
      <c r="CN358" s="5"/>
      <c r="CO358" s="12"/>
      <c r="CQ358" s="13"/>
      <c r="CR358" s="5"/>
      <c r="CS358" s="12"/>
      <c r="CU358" s="13"/>
      <c r="CV358" s="5"/>
      <c r="CW358" s="12"/>
      <c r="CY358" s="13"/>
      <c r="CZ358" s="5"/>
      <c r="DA358" s="12"/>
      <c r="DC358" s="13"/>
      <c r="DD358" s="5"/>
      <c r="DE358" s="12"/>
      <c r="DG358" s="13"/>
      <c r="DH358" s="5"/>
      <c r="DI358" s="12"/>
      <c r="DK358" s="13"/>
      <c r="DL358" s="5"/>
      <c r="DM358" s="12"/>
      <c r="DO358" s="13"/>
      <c r="DP358" s="5"/>
      <c r="DQ358" s="166">
        <v>1</v>
      </c>
      <c r="DS358" s="1336">
        <f t="shared" si="7"/>
        <v>0</v>
      </c>
      <c r="DT358" s="121">
        <f t="shared" si="23"/>
        <v>0</v>
      </c>
      <c r="DU358" s="112">
        <f t="shared" si="24"/>
        <v>0</v>
      </c>
      <c r="DX358" s="203">
        <f t="shared" si="8"/>
        <v>0</v>
      </c>
      <c r="DZ358" s="924"/>
      <c r="EH358" s="924"/>
    </row>
    <row r="359" spans="1:138" s="6" customFormat="1" ht="15" customHeight="1">
      <c r="A359" s="3">
        <v>197</v>
      </c>
      <c r="B359" s="210" t="s">
        <v>111</v>
      </c>
      <c r="C359" s="473" t="s">
        <v>515</v>
      </c>
      <c r="D359" s="4"/>
      <c r="E359" s="5"/>
      <c r="F359" s="5"/>
      <c r="G359" s="4"/>
      <c r="H359" s="4"/>
      <c r="I359" s="4"/>
      <c r="J359" s="4"/>
      <c r="K359" s="5">
        <v>1</v>
      </c>
      <c r="L359" s="5">
        <f t="shared" si="25"/>
        <v>0</v>
      </c>
      <c r="M359" s="5"/>
      <c r="O359" s="5">
        <v>1</v>
      </c>
      <c r="P359" s="5">
        <f t="shared" si="26"/>
        <v>0</v>
      </c>
      <c r="Q359" s="5"/>
      <c r="S359" s="5">
        <v>1</v>
      </c>
      <c r="T359" s="5">
        <f t="shared" si="27"/>
        <v>0</v>
      </c>
      <c r="U359" s="5"/>
      <c r="W359" s="5"/>
      <c r="X359" s="5"/>
      <c r="Y359" s="12"/>
      <c r="AA359" s="13"/>
      <c r="AB359" s="12"/>
      <c r="AD359" s="13"/>
      <c r="AE359" s="5"/>
      <c r="AF359" s="5"/>
      <c r="AH359" s="13"/>
      <c r="AI359" s="5"/>
      <c r="AK359" s="5"/>
      <c r="AL359" s="5"/>
      <c r="AM359" s="5"/>
      <c r="AO359" s="5"/>
      <c r="AP359" s="5"/>
      <c r="AR359" s="5">
        <v>1</v>
      </c>
      <c r="AS359" s="5">
        <f t="shared" si="28"/>
        <v>0</v>
      </c>
      <c r="AT359" s="5"/>
      <c r="AV359" s="5">
        <v>1</v>
      </c>
      <c r="AW359" s="5">
        <f t="shared" si="29"/>
        <v>0</v>
      </c>
      <c r="AY359" s="5">
        <v>1</v>
      </c>
      <c r="AZ359" s="5">
        <f t="shared" si="30"/>
        <v>0</v>
      </c>
      <c r="BA359" s="5"/>
      <c r="BC359" s="5">
        <v>1</v>
      </c>
      <c r="BD359" s="5">
        <f t="shared" si="31"/>
        <v>0</v>
      </c>
      <c r="BF359" s="5">
        <v>1</v>
      </c>
      <c r="BG359" s="5">
        <f t="shared" si="32"/>
        <v>0</v>
      </c>
      <c r="BH359" s="5"/>
      <c r="BJ359" s="5">
        <v>1</v>
      </c>
      <c r="BK359" s="5">
        <f t="shared" si="33"/>
        <v>0</v>
      </c>
      <c r="BL359" s="12"/>
      <c r="BM359" s="5">
        <v>1</v>
      </c>
      <c r="BN359" s="5">
        <f t="shared" si="34"/>
        <v>0</v>
      </c>
      <c r="BO359" s="5"/>
      <c r="BQ359" s="5">
        <v>1</v>
      </c>
      <c r="BR359" s="5">
        <f t="shared" si="35"/>
        <v>0</v>
      </c>
      <c r="BT359" s="5">
        <v>1</v>
      </c>
      <c r="BU359" s="5">
        <f t="shared" si="36"/>
        <v>0</v>
      </c>
      <c r="BV359" s="5"/>
      <c r="BX359" s="5">
        <v>1</v>
      </c>
      <c r="BY359" s="5">
        <f t="shared" si="37"/>
        <v>0</v>
      </c>
      <c r="CA359" s="13">
        <v>1</v>
      </c>
      <c r="CB359" s="5">
        <f t="shared" si="38"/>
        <v>0</v>
      </c>
      <c r="CC359" s="11"/>
      <c r="CE359" s="13"/>
      <c r="CF359" s="5"/>
      <c r="CG359" s="12"/>
      <c r="CI359" s="13"/>
      <c r="CJ359" s="5"/>
      <c r="CK359" s="12"/>
      <c r="CM359" s="13"/>
      <c r="CN359" s="5"/>
      <c r="CO359" s="12"/>
      <c r="CQ359" s="13"/>
      <c r="CR359" s="5"/>
      <c r="CS359" s="12"/>
      <c r="CU359" s="13"/>
      <c r="CV359" s="5"/>
      <c r="CW359" s="12"/>
      <c r="CY359" s="13"/>
      <c r="CZ359" s="5"/>
      <c r="DA359" s="12"/>
      <c r="DC359" s="13"/>
      <c r="DD359" s="5"/>
      <c r="DE359" s="12"/>
      <c r="DG359" s="13"/>
      <c r="DH359" s="5"/>
      <c r="DI359" s="12"/>
      <c r="DK359" s="13"/>
      <c r="DL359" s="5"/>
      <c r="DM359" s="12"/>
      <c r="DO359" s="13"/>
      <c r="DP359" s="5"/>
      <c r="DQ359" s="166">
        <v>1</v>
      </c>
      <c r="DS359" s="1336">
        <f t="shared" si="7"/>
        <v>0</v>
      </c>
      <c r="DT359" s="121">
        <f t="shared" si="23"/>
        <v>0</v>
      </c>
      <c r="DU359" s="112">
        <f t="shared" si="24"/>
        <v>0</v>
      </c>
      <c r="DX359" s="203">
        <f t="shared" si="8"/>
        <v>0</v>
      </c>
      <c r="DZ359" s="924"/>
      <c r="EH359" s="924"/>
    </row>
    <row r="360" spans="1:138" s="6" customFormat="1" ht="15" customHeight="1">
      <c r="A360" s="3">
        <v>198</v>
      </c>
      <c r="B360" s="210" t="s">
        <v>112</v>
      </c>
      <c r="C360" s="473" t="s">
        <v>515</v>
      </c>
      <c r="D360" s="4"/>
      <c r="E360" s="5"/>
      <c r="F360" s="5"/>
      <c r="G360" s="4"/>
      <c r="H360" s="4"/>
      <c r="I360" s="4"/>
      <c r="J360" s="4"/>
      <c r="K360" s="5">
        <v>1</v>
      </c>
      <c r="L360" s="5">
        <f t="shared" si="25"/>
        <v>0</v>
      </c>
      <c r="M360" s="5"/>
      <c r="O360" s="5">
        <v>1</v>
      </c>
      <c r="P360" s="5">
        <f t="shared" si="26"/>
        <v>0</v>
      </c>
      <c r="Q360" s="5"/>
      <c r="S360" s="5">
        <v>1</v>
      </c>
      <c r="T360" s="5">
        <f t="shared" si="27"/>
        <v>0</v>
      </c>
      <c r="U360" s="5"/>
      <c r="W360" s="5"/>
      <c r="X360" s="5"/>
      <c r="Y360" s="12"/>
      <c r="AA360" s="13"/>
      <c r="AB360" s="12"/>
      <c r="AD360" s="13"/>
      <c r="AE360" s="5"/>
      <c r="AF360" s="5"/>
      <c r="AH360" s="13"/>
      <c r="AI360" s="5"/>
      <c r="AK360" s="5"/>
      <c r="AL360" s="5"/>
      <c r="AM360" s="5"/>
      <c r="AO360" s="5"/>
      <c r="AP360" s="5"/>
      <c r="AR360" s="5">
        <v>1</v>
      </c>
      <c r="AS360" s="5">
        <f t="shared" si="28"/>
        <v>0</v>
      </c>
      <c r="AT360" s="5"/>
      <c r="AV360" s="5">
        <v>1</v>
      </c>
      <c r="AW360" s="5">
        <f t="shared" si="29"/>
        <v>0</v>
      </c>
      <c r="AY360" s="5">
        <v>1</v>
      </c>
      <c r="AZ360" s="5">
        <f t="shared" si="30"/>
        <v>0</v>
      </c>
      <c r="BA360" s="5"/>
      <c r="BC360" s="5">
        <v>1</v>
      </c>
      <c r="BD360" s="5">
        <f t="shared" si="31"/>
        <v>0</v>
      </c>
      <c r="BF360" s="5">
        <v>1</v>
      </c>
      <c r="BG360" s="5">
        <f t="shared" si="32"/>
        <v>0</v>
      </c>
      <c r="BH360" s="5"/>
      <c r="BJ360" s="5">
        <v>1</v>
      </c>
      <c r="BK360" s="5">
        <f t="shared" si="33"/>
        <v>0</v>
      </c>
      <c r="BL360" s="12"/>
      <c r="BM360" s="5">
        <v>1</v>
      </c>
      <c r="BN360" s="5">
        <f t="shared" si="34"/>
        <v>0</v>
      </c>
      <c r="BO360" s="5"/>
      <c r="BQ360" s="5">
        <v>1</v>
      </c>
      <c r="BR360" s="5">
        <f t="shared" si="35"/>
        <v>0</v>
      </c>
      <c r="BT360" s="5">
        <v>1</v>
      </c>
      <c r="BU360" s="5">
        <f t="shared" si="36"/>
        <v>0</v>
      </c>
      <c r="BV360" s="5"/>
      <c r="BX360" s="5">
        <v>1</v>
      </c>
      <c r="BY360" s="5">
        <f t="shared" si="37"/>
        <v>0</v>
      </c>
      <c r="CA360" s="13">
        <v>1</v>
      </c>
      <c r="CB360" s="5">
        <f t="shared" si="38"/>
        <v>0</v>
      </c>
      <c r="CC360" s="11"/>
      <c r="CE360" s="13"/>
      <c r="CF360" s="5"/>
      <c r="CG360" s="12"/>
      <c r="CI360" s="13"/>
      <c r="CJ360" s="5"/>
      <c r="CK360" s="12"/>
      <c r="CM360" s="13"/>
      <c r="CN360" s="5"/>
      <c r="CO360" s="12"/>
      <c r="CQ360" s="13"/>
      <c r="CR360" s="5"/>
      <c r="CS360" s="12"/>
      <c r="CU360" s="13"/>
      <c r="CV360" s="5"/>
      <c r="CW360" s="12"/>
      <c r="CY360" s="13"/>
      <c r="CZ360" s="5"/>
      <c r="DA360" s="12"/>
      <c r="DC360" s="13"/>
      <c r="DD360" s="5"/>
      <c r="DE360" s="12"/>
      <c r="DG360" s="13"/>
      <c r="DH360" s="5"/>
      <c r="DI360" s="12"/>
      <c r="DK360" s="13"/>
      <c r="DL360" s="5"/>
      <c r="DM360" s="12"/>
      <c r="DO360" s="13"/>
      <c r="DP360" s="5"/>
      <c r="DQ360" s="166">
        <v>1</v>
      </c>
      <c r="DS360" s="1336">
        <f t="shared" si="7"/>
        <v>0</v>
      </c>
      <c r="DT360" s="121">
        <f t="shared" si="23"/>
        <v>0</v>
      </c>
      <c r="DU360" s="112">
        <f t="shared" si="24"/>
        <v>0</v>
      </c>
      <c r="DX360" s="203">
        <f t="shared" si="8"/>
        <v>0</v>
      </c>
      <c r="DZ360" s="924"/>
      <c r="EH360" s="924"/>
    </row>
    <row r="361" spans="1:138" s="6" customFormat="1" ht="15" customHeight="1">
      <c r="A361" s="3">
        <v>199</v>
      </c>
      <c r="B361" s="210" t="s">
        <v>38</v>
      </c>
      <c r="C361" s="473" t="s">
        <v>515</v>
      </c>
      <c r="D361" s="4"/>
      <c r="E361" s="5"/>
      <c r="F361" s="5"/>
      <c r="G361" s="4"/>
      <c r="H361" s="4"/>
      <c r="I361" s="4"/>
      <c r="J361" s="4"/>
      <c r="K361" s="5">
        <v>1</v>
      </c>
      <c r="L361" s="5">
        <f t="shared" si="25"/>
        <v>0</v>
      </c>
      <c r="M361" s="5"/>
      <c r="O361" s="5">
        <v>1</v>
      </c>
      <c r="P361" s="5">
        <f t="shared" si="26"/>
        <v>0</v>
      </c>
      <c r="Q361" s="5"/>
      <c r="S361" s="5">
        <v>1</v>
      </c>
      <c r="T361" s="5">
        <f t="shared" si="27"/>
        <v>0</v>
      </c>
      <c r="U361" s="5"/>
      <c r="W361" s="5"/>
      <c r="X361" s="5"/>
      <c r="Y361" s="12"/>
      <c r="AA361" s="13"/>
      <c r="AB361" s="12"/>
      <c r="AD361" s="13"/>
      <c r="AE361" s="5"/>
      <c r="AF361" s="5"/>
      <c r="AH361" s="13"/>
      <c r="AI361" s="5"/>
      <c r="AK361" s="5"/>
      <c r="AL361" s="5"/>
      <c r="AM361" s="5"/>
      <c r="AO361" s="5"/>
      <c r="AP361" s="5"/>
      <c r="AR361" s="5">
        <v>1</v>
      </c>
      <c r="AS361" s="5">
        <f t="shared" si="28"/>
        <v>0</v>
      </c>
      <c r="AT361" s="5"/>
      <c r="AV361" s="5">
        <v>1</v>
      </c>
      <c r="AW361" s="5">
        <f t="shared" si="29"/>
        <v>0</v>
      </c>
      <c r="AY361" s="5">
        <v>1</v>
      </c>
      <c r="AZ361" s="5">
        <f t="shared" si="30"/>
        <v>0</v>
      </c>
      <c r="BA361" s="5"/>
      <c r="BC361" s="5">
        <v>1</v>
      </c>
      <c r="BD361" s="5">
        <f t="shared" si="31"/>
        <v>0</v>
      </c>
      <c r="BF361" s="5">
        <v>1</v>
      </c>
      <c r="BG361" s="5">
        <f t="shared" si="32"/>
        <v>0</v>
      </c>
      <c r="BH361" s="5"/>
      <c r="BJ361" s="5">
        <v>1</v>
      </c>
      <c r="BK361" s="5">
        <f t="shared" si="33"/>
        <v>0</v>
      </c>
      <c r="BL361" s="12"/>
      <c r="BM361" s="5">
        <v>1</v>
      </c>
      <c r="BN361" s="5">
        <f t="shared" si="34"/>
        <v>0</v>
      </c>
      <c r="BO361" s="5"/>
      <c r="BQ361" s="5">
        <v>1</v>
      </c>
      <c r="BR361" s="5">
        <f t="shared" si="35"/>
        <v>0</v>
      </c>
      <c r="BT361" s="5">
        <v>1</v>
      </c>
      <c r="BU361" s="5">
        <f t="shared" si="36"/>
        <v>0</v>
      </c>
      <c r="BV361" s="5"/>
      <c r="BX361" s="5">
        <v>1</v>
      </c>
      <c r="BY361" s="5">
        <f t="shared" si="37"/>
        <v>0</v>
      </c>
      <c r="CA361" s="13">
        <v>1</v>
      </c>
      <c r="CB361" s="5">
        <f t="shared" si="38"/>
        <v>0</v>
      </c>
      <c r="CC361" s="11"/>
      <c r="CE361" s="13"/>
      <c r="CF361" s="5"/>
      <c r="CG361" s="12"/>
      <c r="CI361" s="13"/>
      <c r="CJ361" s="5"/>
      <c r="CK361" s="12"/>
      <c r="CM361" s="13"/>
      <c r="CN361" s="5"/>
      <c r="CO361" s="12"/>
      <c r="CQ361" s="13"/>
      <c r="CR361" s="5"/>
      <c r="CS361" s="12"/>
      <c r="CU361" s="13"/>
      <c r="CV361" s="5"/>
      <c r="CW361" s="12"/>
      <c r="CY361" s="13"/>
      <c r="CZ361" s="5"/>
      <c r="DA361" s="12"/>
      <c r="DC361" s="13"/>
      <c r="DD361" s="5"/>
      <c r="DE361" s="12"/>
      <c r="DG361" s="13"/>
      <c r="DH361" s="5"/>
      <c r="DI361" s="12"/>
      <c r="DK361" s="13"/>
      <c r="DL361" s="5"/>
      <c r="DM361" s="12"/>
      <c r="DO361" s="13"/>
      <c r="DP361" s="5"/>
      <c r="DQ361" s="166">
        <v>1</v>
      </c>
      <c r="DS361" s="1336">
        <f t="shared" si="7"/>
        <v>0</v>
      </c>
      <c r="DT361" s="121">
        <f t="shared" si="23"/>
        <v>0</v>
      </c>
      <c r="DU361" s="112">
        <f t="shared" si="24"/>
        <v>0</v>
      </c>
      <c r="DX361" s="203">
        <f t="shared" si="8"/>
        <v>0</v>
      </c>
      <c r="DZ361" s="924"/>
      <c r="EH361" s="924"/>
    </row>
    <row r="362" spans="1:138" s="6" customFormat="1" ht="15" customHeight="1">
      <c r="A362" s="3">
        <v>200</v>
      </c>
      <c r="B362" s="210" t="s">
        <v>113</v>
      </c>
      <c r="C362" s="473" t="s">
        <v>515</v>
      </c>
      <c r="D362" s="4"/>
      <c r="E362" s="5"/>
      <c r="F362" s="5"/>
      <c r="G362" s="4"/>
      <c r="H362" s="4"/>
      <c r="I362" s="4"/>
      <c r="J362" s="4"/>
      <c r="K362" s="5">
        <v>1</v>
      </c>
      <c r="L362" s="5">
        <f t="shared" si="25"/>
        <v>0</v>
      </c>
      <c r="M362" s="5"/>
      <c r="O362" s="5">
        <v>1</v>
      </c>
      <c r="P362" s="5">
        <f t="shared" si="26"/>
        <v>0</v>
      </c>
      <c r="Q362" s="5"/>
      <c r="S362" s="5">
        <v>1</v>
      </c>
      <c r="T362" s="5">
        <f t="shared" si="27"/>
        <v>0</v>
      </c>
      <c r="U362" s="5"/>
      <c r="W362" s="5"/>
      <c r="X362" s="5"/>
      <c r="Y362" s="12"/>
      <c r="AA362" s="13"/>
      <c r="AB362" s="12"/>
      <c r="AD362" s="13"/>
      <c r="AE362" s="5"/>
      <c r="AF362" s="5"/>
      <c r="AH362" s="13"/>
      <c r="AI362" s="5"/>
      <c r="AK362" s="5"/>
      <c r="AL362" s="5"/>
      <c r="AM362" s="5"/>
      <c r="AO362" s="5"/>
      <c r="AP362" s="5"/>
      <c r="AR362" s="5">
        <v>1</v>
      </c>
      <c r="AS362" s="5">
        <f t="shared" si="28"/>
        <v>0</v>
      </c>
      <c r="AT362" s="5"/>
      <c r="AV362" s="5">
        <v>1</v>
      </c>
      <c r="AW362" s="5">
        <f t="shared" si="29"/>
        <v>0</v>
      </c>
      <c r="AY362" s="5">
        <v>1</v>
      </c>
      <c r="AZ362" s="5">
        <f t="shared" si="30"/>
        <v>0</v>
      </c>
      <c r="BA362" s="5"/>
      <c r="BC362" s="5">
        <v>1</v>
      </c>
      <c r="BD362" s="5">
        <f t="shared" si="31"/>
        <v>0</v>
      </c>
      <c r="BF362" s="5">
        <v>1</v>
      </c>
      <c r="BG362" s="5">
        <f t="shared" si="32"/>
        <v>0</v>
      </c>
      <c r="BH362" s="5"/>
      <c r="BJ362" s="5">
        <v>1</v>
      </c>
      <c r="BK362" s="5">
        <f t="shared" si="33"/>
        <v>0</v>
      </c>
      <c r="BL362" s="12"/>
      <c r="BM362" s="5">
        <v>1</v>
      </c>
      <c r="BN362" s="5">
        <f t="shared" si="34"/>
        <v>0</v>
      </c>
      <c r="BO362" s="5"/>
      <c r="BQ362" s="5">
        <v>1</v>
      </c>
      <c r="BR362" s="5">
        <f t="shared" si="35"/>
        <v>0</v>
      </c>
      <c r="BT362" s="5">
        <v>1</v>
      </c>
      <c r="BU362" s="5">
        <f t="shared" si="36"/>
        <v>0</v>
      </c>
      <c r="BV362" s="5"/>
      <c r="BX362" s="5">
        <v>1</v>
      </c>
      <c r="BY362" s="5">
        <f t="shared" si="37"/>
        <v>0</v>
      </c>
      <c r="CA362" s="13">
        <v>1</v>
      </c>
      <c r="CB362" s="5">
        <f t="shared" si="38"/>
        <v>0</v>
      </c>
      <c r="CC362" s="11"/>
      <c r="CE362" s="13"/>
      <c r="CF362" s="5"/>
      <c r="CG362" s="12"/>
      <c r="CI362" s="13"/>
      <c r="CJ362" s="5"/>
      <c r="CK362" s="12"/>
      <c r="CM362" s="13"/>
      <c r="CN362" s="5"/>
      <c r="CO362" s="12"/>
      <c r="CQ362" s="13"/>
      <c r="CR362" s="5"/>
      <c r="CS362" s="12"/>
      <c r="CU362" s="13"/>
      <c r="CV362" s="5"/>
      <c r="CW362" s="12"/>
      <c r="CY362" s="13"/>
      <c r="CZ362" s="5"/>
      <c r="DA362" s="12"/>
      <c r="DC362" s="13"/>
      <c r="DD362" s="5"/>
      <c r="DE362" s="12"/>
      <c r="DG362" s="13"/>
      <c r="DH362" s="5"/>
      <c r="DI362" s="12"/>
      <c r="DK362" s="13"/>
      <c r="DL362" s="5"/>
      <c r="DM362" s="12"/>
      <c r="DO362" s="13"/>
      <c r="DP362" s="5"/>
      <c r="DQ362" s="166">
        <v>1</v>
      </c>
      <c r="DS362" s="1336">
        <f t="shared" si="7"/>
        <v>0</v>
      </c>
      <c r="DT362" s="121">
        <f t="shared" si="23"/>
        <v>0</v>
      </c>
      <c r="DU362" s="112">
        <f t="shared" si="24"/>
        <v>0</v>
      </c>
      <c r="DX362" s="203">
        <f t="shared" si="8"/>
        <v>0</v>
      </c>
      <c r="DZ362" s="924"/>
      <c r="EH362" s="924"/>
    </row>
    <row r="363" spans="1:138" s="6" customFormat="1" ht="15" customHeight="1">
      <c r="A363" s="3">
        <v>201</v>
      </c>
      <c r="B363" s="210" t="s">
        <v>114</v>
      </c>
      <c r="C363" s="473" t="s">
        <v>515</v>
      </c>
      <c r="D363" s="4"/>
      <c r="E363" s="5"/>
      <c r="F363" s="5"/>
      <c r="G363" s="4"/>
      <c r="H363" s="4"/>
      <c r="I363" s="4"/>
      <c r="J363" s="4"/>
      <c r="K363" s="5">
        <v>1</v>
      </c>
      <c r="L363" s="5">
        <f t="shared" si="25"/>
        <v>0</v>
      </c>
      <c r="M363" s="5"/>
      <c r="O363" s="5">
        <v>1</v>
      </c>
      <c r="P363" s="5">
        <f t="shared" si="26"/>
        <v>0</v>
      </c>
      <c r="Q363" s="5"/>
      <c r="S363" s="5">
        <v>1</v>
      </c>
      <c r="T363" s="5">
        <f t="shared" si="27"/>
        <v>0</v>
      </c>
      <c r="U363" s="5"/>
      <c r="W363" s="5"/>
      <c r="X363" s="5"/>
      <c r="Y363" s="12"/>
      <c r="AA363" s="13"/>
      <c r="AB363" s="12"/>
      <c r="AD363" s="13"/>
      <c r="AE363" s="5"/>
      <c r="AF363" s="5"/>
      <c r="AH363" s="13"/>
      <c r="AI363" s="5"/>
      <c r="AK363" s="5"/>
      <c r="AL363" s="5"/>
      <c r="AM363" s="5"/>
      <c r="AO363" s="5"/>
      <c r="AP363" s="5"/>
      <c r="AR363" s="5">
        <v>1</v>
      </c>
      <c r="AS363" s="5">
        <f t="shared" si="28"/>
        <v>0</v>
      </c>
      <c r="AT363" s="5"/>
      <c r="AV363" s="5">
        <v>1</v>
      </c>
      <c r="AW363" s="5">
        <f t="shared" si="29"/>
        <v>0</v>
      </c>
      <c r="AY363" s="5">
        <v>1</v>
      </c>
      <c r="AZ363" s="5">
        <f t="shared" si="30"/>
        <v>0</v>
      </c>
      <c r="BA363" s="5"/>
      <c r="BC363" s="5">
        <v>1</v>
      </c>
      <c r="BD363" s="5">
        <f t="shared" si="31"/>
        <v>0</v>
      </c>
      <c r="BF363" s="5">
        <v>1</v>
      </c>
      <c r="BG363" s="5">
        <f t="shared" si="32"/>
        <v>0</v>
      </c>
      <c r="BH363" s="5"/>
      <c r="BJ363" s="5">
        <v>1</v>
      </c>
      <c r="BK363" s="5">
        <f t="shared" si="33"/>
        <v>0</v>
      </c>
      <c r="BL363" s="12"/>
      <c r="BM363" s="5">
        <v>1</v>
      </c>
      <c r="BN363" s="5">
        <f t="shared" si="34"/>
        <v>0</v>
      </c>
      <c r="BO363" s="5"/>
      <c r="BQ363" s="5">
        <v>1</v>
      </c>
      <c r="BR363" s="5">
        <f t="shared" si="35"/>
        <v>0</v>
      </c>
      <c r="BT363" s="5">
        <v>1</v>
      </c>
      <c r="BU363" s="5">
        <f t="shared" si="36"/>
        <v>0</v>
      </c>
      <c r="BV363" s="5"/>
      <c r="BX363" s="5">
        <v>1</v>
      </c>
      <c r="BY363" s="5">
        <f t="shared" si="37"/>
        <v>0</v>
      </c>
      <c r="CA363" s="13">
        <v>1</v>
      </c>
      <c r="CB363" s="5">
        <f t="shared" si="38"/>
        <v>0</v>
      </c>
      <c r="CC363" s="11"/>
      <c r="CE363" s="13"/>
      <c r="CF363" s="5"/>
      <c r="CG363" s="12"/>
      <c r="CI363" s="13"/>
      <c r="CJ363" s="5"/>
      <c r="CK363" s="12"/>
      <c r="CM363" s="13"/>
      <c r="CN363" s="5"/>
      <c r="CO363" s="12"/>
      <c r="CQ363" s="13"/>
      <c r="CR363" s="5"/>
      <c r="CS363" s="12"/>
      <c r="CU363" s="13"/>
      <c r="CV363" s="5"/>
      <c r="CW363" s="12"/>
      <c r="CY363" s="13"/>
      <c r="CZ363" s="5"/>
      <c r="DA363" s="12"/>
      <c r="DC363" s="13"/>
      <c r="DD363" s="5"/>
      <c r="DE363" s="12"/>
      <c r="DG363" s="13"/>
      <c r="DH363" s="5"/>
      <c r="DI363" s="12"/>
      <c r="DK363" s="13"/>
      <c r="DL363" s="5"/>
      <c r="DM363" s="12"/>
      <c r="DO363" s="13"/>
      <c r="DP363" s="5"/>
      <c r="DQ363" s="166">
        <v>1</v>
      </c>
      <c r="DS363" s="1336">
        <f t="shared" si="7"/>
        <v>0</v>
      </c>
      <c r="DT363" s="121">
        <f t="shared" si="23"/>
        <v>0</v>
      </c>
      <c r="DU363" s="112">
        <f t="shared" si="24"/>
        <v>0</v>
      </c>
      <c r="DX363" s="203">
        <f t="shared" si="8"/>
        <v>0</v>
      </c>
      <c r="DZ363" s="924"/>
      <c r="EH363" s="924"/>
    </row>
    <row r="364" spans="1:138" s="6" customFormat="1" ht="15" customHeight="1">
      <c r="A364" s="3">
        <v>202</v>
      </c>
      <c r="B364" s="210" t="s">
        <v>115</v>
      </c>
      <c r="C364" s="473" t="s">
        <v>515</v>
      </c>
      <c r="D364" s="4"/>
      <c r="E364" s="5"/>
      <c r="F364" s="5"/>
      <c r="G364" s="4"/>
      <c r="H364" s="4"/>
      <c r="I364" s="4"/>
      <c r="J364" s="4"/>
      <c r="K364" s="5">
        <v>1</v>
      </c>
      <c r="L364" s="5">
        <f t="shared" si="25"/>
        <v>0</v>
      </c>
      <c r="M364" s="5"/>
      <c r="O364" s="5">
        <v>1</v>
      </c>
      <c r="P364" s="5">
        <f t="shared" si="26"/>
        <v>0</v>
      </c>
      <c r="Q364" s="5"/>
      <c r="S364" s="5">
        <v>1</v>
      </c>
      <c r="T364" s="5">
        <f t="shared" si="27"/>
        <v>0</v>
      </c>
      <c r="U364" s="5"/>
      <c r="W364" s="5"/>
      <c r="X364" s="5"/>
      <c r="Y364" s="12"/>
      <c r="AA364" s="13"/>
      <c r="AB364" s="12"/>
      <c r="AD364" s="13"/>
      <c r="AE364" s="5"/>
      <c r="AF364" s="5"/>
      <c r="AH364" s="13"/>
      <c r="AI364" s="5"/>
      <c r="AK364" s="5"/>
      <c r="AL364" s="5"/>
      <c r="AM364" s="5"/>
      <c r="AO364" s="5"/>
      <c r="AP364" s="5"/>
      <c r="AR364" s="5">
        <v>1</v>
      </c>
      <c r="AS364" s="5">
        <f t="shared" si="28"/>
        <v>0</v>
      </c>
      <c r="AT364" s="5"/>
      <c r="AV364" s="5">
        <v>1</v>
      </c>
      <c r="AW364" s="5">
        <f t="shared" si="29"/>
        <v>0</v>
      </c>
      <c r="AY364" s="5">
        <v>1</v>
      </c>
      <c r="AZ364" s="5">
        <f t="shared" si="30"/>
        <v>0</v>
      </c>
      <c r="BA364" s="5"/>
      <c r="BC364" s="5">
        <v>1</v>
      </c>
      <c r="BD364" s="5">
        <f t="shared" si="31"/>
        <v>0</v>
      </c>
      <c r="BF364" s="5">
        <v>1</v>
      </c>
      <c r="BG364" s="5">
        <f t="shared" si="32"/>
        <v>0</v>
      </c>
      <c r="BH364" s="5"/>
      <c r="BJ364" s="5">
        <v>1</v>
      </c>
      <c r="BK364" s="5">
        <f t="shared" si="33"/>
        <v>0</v>
      </c>
      <c r="BL364" s="12"/>
      <c r="BM364" s="5">
        <v>1</v>
      </c>
      <c r="BN364" s="5">
        <f t="shared" si="34"/>
        <v>0</v>
      </c>
      <c r="BO364" s="5"/>
      <c r="BQ364" s="5">
        <v>1</v>
      </c>
      <c r="BR364" s="5">
        <f t="shared" si="35"/>
        <v>0</v>
      </c>
      <c r="BT364" s="5">
        <v>1</v>
      </c>
      <c r="BU364" s="5">
        <f t="shared" si="36"/>
        <v>0</v>
      </c>
      <c r="BV364" s="5"/>
      <c r="BX364" s="5">
        <v>1</v>
      </c>
      <c r="BY364" s="5">
        <f t="shared" si="37"/>
        <v>0</v>
      </c>
      <c r="CA364" s="13">
        <v>1</v>
      </c>
      <c r="CB364" s="5">
        <f t="shared" si="38"/>
        <v>0</v>
      </c>
      <c r="CC364" s="11"/>
      <c r="CE364" s="13"/>
      <c r="CF364" s="5"/>
      <c r="CG364" s="12"/>
      <c r="CI364" s="13"/>
      <c r="CJ364" s="5"/>
      <c r="CK364" s="12"/>
      <c r="CM364" s="13"/>
      <c r="CN364" s="5"/>
      <c r="CO364" s="12"/>
      <c r="CQ364" s="13"/>
      <c r="CR364" s="5"/>
      <c r="CS364" s="12"/>
      <c r="CU364" s="13"/>
      <c r="CV364" s="5"/>
      <c r="CW364" s="12"/>
      <c r="CY364" s="13"/>
      <c r="CZ364" s="5"/>
      <c r="DA364" s="12"/>
      <c r="DC364" s="13"/>
      <c r="DD364" s="5"/>
      <c r="DE364" s="12"/>
      <c r="DG364" s="13"/>
      <c r="DH364" s="5"/>
      <c r="DI364" s="12"/>
      <c r="DK364" s="13"/>
      <c r="DL364" s="5"/>
      <c r="DM364" s="12"/>
      <c r="DO364" s="13"/>
      <c r="DP364" s="5"/>
      <c r="DQ364" s="166">
        <v>1</v>
      </c>
      <c r="DS364" s="1336">
        <f t="shared" si="7"/>
        <v>0</v>
      </c>
      <c r="DT364" s="121">
        <f t="shared" si="23"/>
        <v>0</v>
      </c>
      <c r="DU364" s="112">
        <f t="shared" si="24"/>
        <v>0</v>
      </c>
      <c r="DX364" s="203">
        <f t="shared" si="8"/>
        <v>0</v>
      </c>
      <c r="DZ364" s="924"/>
      <c r="EH364" s="924"/>
    </row>
    <row r="365" spans="1:138" s="6" customFormat="1" ht="15" customHeight="1">
      <c r="A365" s="3">
        <v>203</v>
      </c>
      <c r="B365" s="210" t="s">
        <v>116</v>
      </c>
      <c r="C365" s="473" t="s">
        <v>515</v>
      </c>
      <c r="D365" s="4"/>
      <c r="E365" s="5"/>
      <c r="F365" s="5"/>
      <c r="G365" s="4"/>
      <c r="H365" s="4"/>
      <c r="I365" s="4"/>
      <c r="J365" s="4"/>
      <c r="K365" s="5">
        <v>1</v>
      </c>
      <c r="L365" s="5">
        <f t="shared" si="25"/>
        <v>0</v>
      </c>
      <c r="M365" s="5"/>
      <c r="O365" s="5">
        <v>1</v>
      </c>
      <c r="P365" s="5">
        <f t="shared" si="26"/>
        <v>0</v>
      </c>
      <c r="Q365" s="5"/>
      <c r="S365" s="5">
        <v>1</v>
      </c>
      <c r="T365" s="5">
        <f t="shared" si="27"/>
        <v>0</v>
      </c>
      <c r="U365" s="5"/>
      <c r="W365" s="5"/>
      <c r="X365" s="5"/>
      <c r="Y365" s="12"/>
      <c r="AA365" s="13"/>
      <c r="AB365" s="12"/>
      <c r="AD365" s="13"/>
      <c r="AE365" s="5"/>
      <c r="AF365" s="5"/>
      <c r="AH365" s="13"/>
      <c r="AI365" s="5"/>
      <c r="AK365" s="5"/>
      <c r="AL365" s="5"/>
      <c r="AM365" s="5"/>
      <c r="AO365" s="5"/>
      <c r="AP365" s="5"/>
      <c r="AR365" s="5">
        <v>1</v>
      </c>
      <c r="AS365" s="5">
        <f t="shared" si="28"/>
        <v>0</v>
      </c>
      <c r="AT365" s="5"/>
      <c r="AV365" s="5">
        <v>1</v>
      </c>
      <c r="AW365" s="5">
        <f t="shared" si="29"/>
        <v>0</v>
      </c>
      <c r="AY365" s="5">
        <v>1</v>
      </c>
      <c r="AZ365" s="5">
        <f t="shared" si="30"/>
        <v>0</v>
      </c>
      <c r="BA365" s="5"/>
      <c r="BC365" s="5">
        <v>1</v>
      </c>
      <c r="BD365" s="5">
        <f t="shared" si="31"/>
        <v>0</v>
      </c>
      <c r="BF365" s="5">
        <v>1</v>
      </c>
      <c r="BG365" s="5">
        <f t="shared" si="32"/>
        <v>0</v>
      </c>
      <c r="BH365" s="5"/>
      <c r="BJ365" s="5">
        <v>1</v>
      </c>
      <c r="BK365" s="5">
        <f t="shared" si="33"/>
        <v>0</v>
      </c>
      <c r="BL365" s="12"/>
      <c r="BM365" s="5">
        <v>1</v>
      </c>
      <c r="BN365" s="5">
        <f t="shared" si="34"/>
        <v>0</v>
      </c>
      <c r="BO365" s="5"/>
      <c r="BQ365" s="5">
        <v>1</v>
      </c>
      <c r="BR365" s="5">
        <f t="shared" si="35"/>
        <v>0</v>
      </c>
      <c r="BT365" s="5">
        <v>1</v>
      </c>
      <c r="BU365" s="5">
        <f t="shared" si="36"/>
        <v>0</v>
      </c>
      <c r="BV365" s="5"/>
      <c r="BX365" s="5">
        <v>1</v>
      </c>
      <c r="BY365" s="5">
        <f t="shared" si="37"/>
        <v>0</v>
      </c>
      <c r="CA365" s="13">
        <v>1</v>
      </c>
      <c r="CB365" s="5">
        <f t="shared" si="38"/>
        <v>0</v>
      </c>
      <c r="CC365" s="11"/>
      <c r="CE365" s="13"/>
      <c r="CF365" s="5"/>
      <c r="CG365" s="12"/>
      <c r="CI365" s="13"/>
      <c r="CJ365" s="5"/>
      <c r="CK365" s="12"/>
      <c r="CM365" s="13"/>
      <c r="CN365" s="5"/>
      <c r="CO365" s="12"/>
      <c r="CQ365" s="13"/>
      <c r="CR365" s="5"/>
      <c r="CS365" s="12"/>
      <c r="CU365" s="13"/>
      <c r="CV365" s="5"/>
      <c r="CW365" s="12"/>
      <c r="CY365" s="13"/>
      <c r="CZ365" s="5"/>
      <c r="DA365" s="12"/>
      <c r="DC365" s="13"/>
      <c r="DD365" s="5"/>
      <c r="DE365" s="12"/>
      <c r="DG365" s="13"/>
      <c r="DH365" s="5"/>
      <c r="DI365" s="12"/>
      <c r="DK365" s="13"/>
      <c r="DL365" s="5"/>
      <c r="DM365" s="12"/>
      <c r="DO365" s="13"/>
      <c r="DP365" s="5"/>
      <c r="DQ365" s="166">
        <v>1</v>
      </c>
      <c r="DS365" s="1336">
        <f t="shared" si="7"/>
        <v>0</v>
      </c>
      <c r="DT365" s="121">
        <f t="shared" si="23"/>
        <v>0</v>
      </c>
      <c r="DU365" s="112">
        <f t="shared" si="24"/>
        <v>0</v>
      </c>
      <c r="DX365" s="203">
        <f t="shared" si="8"/>
        <v>0</v>
      </c>
      <c r="DZ365" s="924"/>
      <c r="EH365" s="924"/>
    </row>
    <row r="366" spans="1:138" s="6" customFormat="1" ht="15" customHeight="1">
      <c r="A366" s="3">
        <v>204</v>
      </c>
      <c r="B366" s="210" t="s">
        <v>404</v>
      </c>
      <c r="C366" s="473" t="s">
        <v>515</v>
      </c>
      <c r="D366" s="4"/>
      <c r="E366" s="5"/>
      <c r="F366" s="5"/>
      <c r="G366" s="4"/>
      <c r="H366" s="4"/>
      <c r="I366" s="4"/>
      <c r="J366" s="4"/>
      <c r="K366" s="5"/>
      <c r="L366" s="5"/>
      <c r="M366" s="5"/>
      <c r="O366" s="5"/>
      <c r="P366" s="5"/>
      <c r="Q366" s="5"/>
      <c r="S366" s="5"/>
      <c r="T366" s="5"/>
      <c r="U366" s="5"/>
      <c r="W366" s="5"/>
      <c r="X366" s="5"/>
      <c r="Y366" s="12"/>
      <c r="AA366" s="13"/>
      <c r="AB366" s="12"/>
      <c r="AD366" s="13"/>
      <c r="AE366" s="5"/>
      <c r="AF366" s="5"/>
      <c r="AH366" s="13"/>
      <c r="AI366" s="5"/>
      <c r="AK366" s="5"/>
      <c r="AL366" s="5"/>
      <c r="AM366" s="5"/>
      <c r="AO366" s="5"/>
      <c r="AP366" s="5"/>
      <c r="AR366" s="5"/>
      <c r="AS366" s="5"/>
      <c r="AT366" s="5"/>
      <c r="AV366" s="5"/>
      <c r="AW366" s="5"/>
      <c r="AY366" s="5"/>
      <c r="AZ366" s="5"/>
      <c r="BA366" s="5"/>
      <c r="BC366" s="5"/>
      <c r="BD366" s="5"/>
      <c r="BF366" s="5"/>
      <c r="BG366" s="5"/>
      <c r="BH366" s="5"/>
      <c r="BJ366" s="5"/>
      <c r="BK366" s="5"/>
      <c r="BL366" s="12"/>
      <c r="BM366" s="5"/>
      <c r="BN366" s="5"/>
      <c r="BO366" s="5"/>
      <c r="BQ366" s="5"/>
      <c r="BR366" s="5"/>
      <c r="BT366" s="5"/>
      <c r="BU366" s="5"/>
      <c r="BV366" s="5"/>
      <c r="BX366" s="5"/>
      <c r="BY366" s="5"/>
      <c r="CA366" s="13"/>
      <c r="CB366" s="7"/>
      <c r="CC366" s="11"/>
      <c r="CE366" s="13"/>
      <c r="CF366" s="5"/>
      <c r="CG366" s="12"/>
      <c r="CI366" s="13"/>
      <c r="CJ366" s="5"/>
      <c r="CK366" s="12"/>
      <c r="CM366" s="13"/>
      <c r="CN366" s="5"/>
      <c r="CO366" s="12"/>
      <c r="CQ366" s="13"/>
      <c r="CR366" s="5"/>
      <c r="CS366" s="12"/>
      <c r="CU366" s="13"/>
      <c r="CV366" s="5"/>
      <c r="CW366" s="12"/>
      <c r="CY366" s="13"/>
      <c r="CZ366" s="5"/>
      <c r="DA366" s="12"/>
      <c r="DC366" s="13"/>
      <c r="DD366" s="5"/>
      <c r="DE366" s="12"/>
      <c r="DG366" s="13"/>
      <c r="DH366" s="5"/>
      <c r="DI366" s="12"/>
      <c r="DK366" s="13"/>
      <c r="DL366" s="5"/>
      <c r="DM366" s="12"/>
      <c r="DO366" s="13"/>
      <c r="DP366" s="5"/>
      <c r="DQ366" s="166">
        <v>1</v>
      </c>
      <c r="DS366" s="1336">
        <f t="shared" si="7"/>
        <v>0</v>
      </c>
      <c r="DT366" s="121">
        <f t="shared" si="23"/>
        <v>0</v>
      </c>
      <c r="DU366" s="112">
        <f t="shared" si="24"/>
        <v>0</v>
      </c>
      <c r="DX366" s="203">
        <f t="shared" si="8"/>
        <v>0</v>
      </c>
      <c r="DZ366" s="924"/>
      <c r="EH366" s="924"/>
    </row>
    <row r="367" spans="1:138" s="6" customFormat="1" ht="15" customHeight="1">
      <c r="A367" s="3">
        <v>205</v>
      </c>
      <c r="B367" s="210" t="s">
        <v>405</v>
      </c>
      <c r="C367" s="473" t="s">
        <v>515</v>
      </c>
      <c r="D367" s="4"/>
      <c r="E367" s="5"/>
      <c r="F367" s="5"/>
      <c r="G367" s="4"/>
      <c r="H367" s="4"/>
      <c r="I367" s="4"/>
      <c r="J367" s="4"/>
      <c r="K367" s="5"/>
      <c r="L367" s="5"/>
      <c r="M367" s="5"/>
      <c r="O367" s="5"/>
      <c r="P367" s="5"/>
      <c r="Q367" s="5"/>
      <c r="S367" s="5"/>
      <c r="T367" s="5"/>
      <c r="U367" s="5"/>
      <c r="W367" s="5"/>
      <c r="X367" s="5"/>
      <c r="Y367" s="12"/>
      <c r="AA367" s="13"/>
      <c r="AB367" s="12"/>
      <c r="AD367" s="13"/>
      <c r="AE367" s="5"/>
      <c r="AF367" s="5"/>
      <c r="AH367" s="13"/>
      <c r="AI367" s="5"/>
      <c r="AK367" s="5"/>
      <c r="AL367" s="5"/>
      <c r="AM367" s="5"/>
      <c r="AO367" s="5"/>
      <c r="AP367" s="5"/>
      <c r="AR367" s="5"/>
      <c r="AS367" s="5"/>
      <c r="AT367" s="5"/>
      <c r="AV367" s="5"/>
      <c r="AW367" s="5"/>
      <c r="AY367" s="5"/>
      <c r="AZ367" s="5"/>
      <c r="BA367" s="5"/>
      <c r="BC367" s="5"/>
      <c r="BD367" s="5"/>
      <c r="BF367" s="5"/>
      <c r="BG367" s="5"/>
      <c r="BH367" s="5"/>
      <c r="BJ367" s="5"/>
      <c r="BK367" s="5"/>
      <c r="BL367" s="12"/>
      <c r="BM367" s="5"/>
      <c r="BN367" s="5"/>
      <c r="BO367" s="5"/>
      <c r="BQ367" s="5"/>
      <c r="BR367" s="5"/>
      <c r="BT367" s="5"/>
      <c r="BU367" s="5"/>
      <c r="BV367" s="5"/>
      <c r="BX367" s="5"/>
      <c r="BY367" s="5"/>
      <c r="CA367" s="13"/>
      <c r="CB367" s="7"/>
      <c r="CC367" s="11"/>
      <c r="CE367" s="13"/>
      <c r="CF367" s="5"/>
      <c r="CG367" s="12"/>
      <c r="CI367" s="13"/>
      <c r="CJ367" s="5"/>
      <c r="CK367" s="12"/>
      <c r="CM367" s="13"/>
      <c r="CN367" s="5"/>
      <c r="CO367" s="12"/>
      <c r="CQ367" s="13"/>
      <c r="CR367" s="5"/>
      <c r="CS367" s="12"/>
      <c r="CU367" s="13"/>
      <c r="CV367" s="5"/>
      <c r="CW367" s="12"/>
      <c r="CY367" s="13"/>
      <c r="CZ367" s="5"/>
      <c r="DA367" s="12"/>
      <c r="DC367" s="13"/>
      <c r="DD367" s="5"/>
      <c r="DE367" s="12"/>
      <c r="DG367" s="13"/>
      <c r="DH367" s="5"/>
      <c r="DI367" s="12"/>
      <c r="DK367" s="13"/>
      <c r="DL367" s="5"/>
      <c r="DM367" s="12"/>
      <c r="DO367" s="13"/>
      <c r="DP367" s="5"/>
      <c r="DQ367" s="166">
        <v>1</v>
      </c>
      <c r="DS367" s="1336">
        <f t="shared" si="7"/>
        <v>0</v>
      </c>
      <c r="DT367" s="121">
        <f t="shared" si="23"/>
        <v>0</v>
      </c>
      <c r="DU367" s="112">
        <f t="shared" si="24"/>
        <v>0</v>
      </c>
      <c r="DX367" s="203">
        <f t="shared" si="8"/>
        <v>0</v>
      </c>
      <c r="DZ367" s="924"/>
      <c r="EH367" s="924"/>
    </row>
    <row r="368" spans="1:138" s="6" customFormat="1" ht="15" customHeight="1">
      <c r="A368" s="3">
        <v>206</v>
      </c>
      <c r="B368" s="210" t="s">
        <v>406</v>
      </c>
      <c r="C368" s="473" t="s">
        <v>515</v>
      </c>
      <c r="D368" s="4"/>
      <c r="E368" s="5"/>
      <c r="F368" s="5"/>
      <c r="G368" s="4"/>
      <c r="H368" s="4"/>
      <c r="I368" s="4"/>
      <c r="J368" s="4"/>
      <c r="K368" s="5"/>
      <c r="L368" s="5"/>
      <c r="M368" s="5"/>
      <c r="O368" s="5"/>
      <c r="P368" s="5"/>
      <c r="Q368" s="5"/>
      <c r="S368" s="5"/>
      <c r="T368" s="5"/>
      <c r="U368" s="5"/>
      <c r="W368" s="5"/>
      <c r="X368" s="5"/>
      <c r="Y368" s="12"/>
      <c r="AA368" s="13"/>
      <c r="AB368" s="12"/>
      <c r="AD368" s="13"/>
      <c r="AE368" s="5"/>
      <c r="AF368" s="5"/>
      <c r="AH368" s="13"/>
      <c r="AI368" s="5"/>
      <c r="AK368" s="5"/>
      <c r="AL368" s="5"/>
      <c r="AM368" s="5"/>
      <c r="AO368" s="5"/>
      <c r="AP368" s="5"/>
      <c r="AR368" s="5"/>
      <c r="AS368" s="5"/>
      <c r="AT368" s="5"/>
      <c r="AV368" s="5"/>
      <c r="AW368" s="5"/>
      <c r="AY368" s="5"/>
      <c r="AZ368" s="5"/>
      <c r="BA368" s="5"/>
      <c r="BC368" s="5"/>
      <c r="BD368" s="5"/>
      <c r="BF368" s="5"/>
      <c r="BG368" s="5"/>
      <c r="BH368" s="5"/>
      <c r="BJ368" s="5"/>
      <c r="BK368" s="5"/>
      <c r="BL368" s="12"/>
      <c r="BM368" s="5"/>
      <c r="BN368" s="5"/>
      <c r="BO368" s="5"/>
      <c r="BQ368" s="5"/>
      <c r="BR368" s="5"/>
      <c r="BT368" s="5"/>
      <c r="BU368" s="5"/>
      <c r="BV368" s="5"/>
      <c r="BX368" s="5"/>
      <c r="BY368" s="5"/>
      <c r="CA368" s="13"/>
      <c r="CB368" s="7"/>
      <c r="CC368" s="11"/>
      <c r="CE368" s="13"/>
      <c r="CF368" s="5"/>
      <c r="CG368" s="12"/>
      <c r="CI368" s="13"/>
      <c r="CJ368" s="5"/>
      <c r="CK368" s="12"/>
      <c r="CM368" s="13"/>
      <c r="CN368" s="5"/>
      <c r="CO368" s="12"/>
      <c r="CQ368" s="13"/>
      <c r="CR368" s="5"/>
      <c r="CS368" s="12"/>
      <c r="CU368" s="13"/>
      <c r="CV368" s="5"/>
      <c r="CW368" s="12"/>
      <c r="CY368" s="13"/>
      <c r="CZ368" s="5"/>
      <c r="DA368" s="12"/>
      <c r="DC368" s="13"/>
      <c r="DD368" s="5"/>
      <c r="DE368" s="12"/>
      <c r="DG368" s="13"/>
      <c r="DH368" s="5"/>
      <c r="DI368" s="12"/>
      <c r="DK368" s="13"/>
      <c r="DL368" s="5"/>
      <c r="DM368" s="12"/>
      <c r="DO368" s="13"/>
      <c r="DP368" s="5"/>
      <c r="DQ368" s="166">
        <v>1</v>
      </c>
      <c r="DS368" s="1336">
        <f t="shared" si="7"/>
        <v>0</v>
      </c>
      <c r="DT368" s="121">
        <f t="shared" si="23"/>
        <v>0</v>
      </c>
      <c r="DU368" s="112">
        <f t="shared" si="24"/>
        <v>0</v>
      </c>
      <c r="DX368" s="203">
        <f t="shared" si="8"/>
        <v>0</v>
      </c>
      <c r="DZ368" s="924"/>
      <c r="EH368" s="924"/>
    </row>
    <row r="369" spans="1:138" s="6" customFormat="1" ht="15" customHeight="1">
      <c r="A369" s="3">
        <v>207</v>
      </c>
      <c r="B369" s="210" t="s">
        <v>33</v>
      </c>
      <c r="C369" s="473" t="s">
        <v>515</v>
      </c>
      <c r="D369" s="4"/>
      <c r="E369" s="5"/>
      <c r="F369" s="5"/>
      <c r="G369" s="4"/>
      <c r="H369" s="4"/>
      <c r="I369" s="4"/>
      <c r="J369" s="4"/>
      <c r="K369" s="5"/>
      <c r="L369" s="5"/>
      <c r="M369" s="5"/>
      <c r="O369" s="5"/>
      <c r="P369" s="5"/>
      <c r="Q369" s="5"/>
      <c r="S369" s="5"/>
      <c r="T369" s="5"/>
      <c r="U369" s="5"/>
      <c r="W369" s="5"/>
      <c r="X369" s="5"/>
      <c r="Y369" s="12"/>
      <c r="AA369" s="13"/>
      <c r="AB369" s="12"/>
      <c r="AD369" s="13"/>
      <c r="AE369" s="5"/>
      <c r="AF369" s="5"/>
      <c r="AH369" s="13"/>
      <c r="AI369" s="5"/>
      <c r="AK369" s="5"/>
      <c r="AL369" s="5"/>
      <c r="AM369" s="5"/>
      <c r="AO369" s="5"/>
      <c r="AP369" s="5"/>
      <c r="AR369" s="5"/>
      <c r="AS369" s="5"/>
      <c r="AT369" s="5"/>
      <c r="AV369" s="5"/>
      <c r="AW369" s="5"/>
      <c r="AY369" s="5"/>
      <c r="AZ369" s="5"/>
      <c r="BA369" s="5"/>
      <c r="BC369" s="5"/>
      <c r="BD369" s="5"/>
      <c r="BF369" s="5"/>
      <c r="BG369" s="5"/>
      <c r="BH369" s="5"/>
      <c r="BJ369" s="5"/>
      <c r="BK369" s="5"/>
      <c r="BL369" s="12"/>
      <c r="BM369" s="5"/>
      <c r="BN369" s="5"/>
      <c r="BO369" s="5"/>
      <c r="BQ369" s="5"/>
      <c r="BR369" s="5"/>
      <c r="BT369" s="5"/>
      <c r="BU369" s="5"/>
      <c r="BV369" s="5"/>
      <c r="BX369" s="5"/>
      <c r="BY369" s="5"/>
      <c r="CA369" s="13"/>
      <c r="CB369" s="7"/>
      <c r="CC369" s="11"/>
      <c r="CE369" s="13">
        <v>2</v>
      </c>
      <c r="CF369" s="5">
        <f>CF5*CE369+CF6*CE369+CF7*CE369+CF8*CE369+CF9*CE369+CF10*CE369+CF11*CE369+CF12*CE369+CF13*CE369+CF14*CE369+CF15*CE369+CF16*CE369+CF17*CE369+CF18*CE369+CF19*CE369+CF20*CE369+CF21*CE369+CF22*CE369+CF23*CE369+CF24*CE369+CG25*CE369+CG26*CE369+CG5*CE369+CG6*CE369+CG7*CE369+CG8*CE369+CG9*CE369+CG10*CE369+CG11*CE369+CG12*CE369+CG13*CE369+CG14*CE369+CG15*CE369+CG16*CE369+CG17*CE369+CG18*CE369+CG19*CE369+CG20*CE369+CG21*CE369+CG22*CE369+CG23*CE369+CG24*CE369+CF25*CE369+CF26*CE369</f>
        <v>0</v>
      </c>
      <c r="CG369" s="12"/>
      <c r="CI369" s="13">
        <v>2</v>
      </c>
      <c r="CJ369" s="5">
        <f>CJ5*CI369+CJ6*CI369+CJ7*CI369+CJ8*CI369+CJ9*CI369+CJ10*CI369+CJ11*CI369+CJ12*CI369+CJ13*CI369+CJ14*CI369+CJ15*CI369+CJ16*CI369+CJ17*CI369+CJ18*CI369+CJ19*CI369+CJ20*CI369+CJ21*CI369+CJ22*CI369+CJ23*CI369+CJ24*CI369+CK25*CI369+CK26*CI369+CK5*CI369+CK6*CI369+CK7*CI369+CK8*CI369+CK9*CI369+CK10*CI369+CK11*CI369+CK12*CI369+CK13*CI369+CK14*CI369+CK15*CI369+CK16*CI369+CK17*CI369+CK18*CI369+CK19*CI369+CK20*CI369+CK21*CI369+CK22*CI369+CK23*CI369+CK24*CI369+CJ25*CI369+CJ26*CI369</f>
        <v>0</v>
      </c>
      <c r="CK369" s="12"/>
      <c r="CM369" s="13">
        <v>2</v>
      </c>
      <c r="CN369" s="5">
        <f>CN5*CM369+CN6*CM369+CN7*CM369+CN8*CM369+CN9*CM369+CN10*CM369+CN11*CM369+CN12*CM369+CN13*CM369+CN14*CM369+CN15*CM369+CN16*CM369+CN17*CM369+CN18*CM369+CN19*CM369+CN20*CM369+CN21*CM369+CN22*CM369+CN23*CM369+CN24*CM369+CO25*CM369+CO26*CM369+CO5*CM369+CO6*CM369+CO7*CM369+CO8*CM369+CO9*CM369+CO10*CM369+CO11*CM369+CO12*CM369+CO13*CM369+CO14*CM369+CO15*CM369+CO16*CM369+CO17*CM369+CO18*CM369+CO19*CM369+CO20*CM369+CO21*CM369+CO22*CM369+CO23*CM369+CO24*CM369+CN25*CM369+CN26*CM369</f>
        <v>0</v>
      </c>
      <c r="CO369" s="12"/>
      <c r="CQ369" s="13">
        <v>2</v>
      </c>
      <c r="CR369" s="5">
        <f>CR5*CQ369+CR6*CQ369+CR7*CQ369+CR8*CQ369+CR9*CQ369+CR10*CQ369+CR11*CQ369+CR12*CQ369+CR13*CQ369+CR14*CQ369+CR15*CQ369+CR16*CQ369+CR17*CQ369+CR18*CQ369+CR19*CQ369+CR20*CQ369+CR21*CQ369+CR22*CQ369+CR23*CQ369+CR24*CQ369+CS25*CQ369+CS26*CQ369+CS5*CQ369+CS6*CQ369+CS7*CQ369+CS8*CQ369+CS9*CQ369+CS10*CQ369+CS11*CQ369+CS12*CQ369+CS13*CQ369+CS14*CQ369+CS15*CQ369+CS16*CQ369+CS17*CQ369+CS18*CQ369+CS19*CQ369+CS20*CQ369+CS21*CQ369+CS22*CQ369+CS23*CQ369+CS24*CQ369+CR25*CQ369+CR26*CQ369</f>
        <v>0</v>
      </c>
      <c r="CS369" s="12"/>
      <c r="CU369" s="13">
        <v>2</v>
      </c>
      <c r="CV369" s="5">
        <f>CV5*CU369+CV6*CU369+CV7*CU369+CV8*CU369+CV9*CU369+CV10*CU369+CV11*CU369+CV12*CU369+CV13*CU369+CV14*CU369+CV15*CU369+CV16*CU369+CV17*CU369+CV18*CU369+CV19*CU369+CV20*CU369+CV21*CU369+CV22*CU369+CV23*CU369+CV24*CU369+CW25*CU369+CW26*CU369+CW5*CU369+CW6*CU369+CW7*CU369+CW8*CU369+CW9*CU369+CW10*CU369+CW11*CU369+CW12*CU369+CW13*CU369+CW14*CU369+CW15*CU369+CW16*CU369+CW17*CU369+CW18*CU369+CW19*CU369+CW20*CU369+CW21*CU369+CW22*CU369+CW23*CU369+CW24*CU369+CV25*CU369+CV26*CU369</f>
        <v>0</v>
      </c>
      <c r="CW369" s="12"/>
      <c r="CY369" s="13">
        <v>2</v>
      </c>
      <c r="CZ369" s="5">
        <f>CZ5*CY369+CZ6*CY369+CZ7*CY369+CZ8*CY369+CZ9*CY369+CZ10*CY369+CZ11*CY369+CZ12*CY369+CZ13*CY369+CZ14*CY369+CZ15*CY369+CZ16*CY369+CZ17*CY369+CZ18*CY369+CZ19*CY369+CZ20*CY369+CZ21*CY369+CZ22*CY369+CZ23*CY369+CZ24*CY369+DA25*CY369+DA26*CY369+DA5*CY369+DA6*CY369+DA7*CY369+DA8*CY369+DA9*CY369+DA10*CY369+DA11*CY369+DA12*CY369+DA13*CY369+DA14*CY369+DA15*CY369+DA16*CY369+DA17*CY369+DA18*CY369+DA19*CY369+DA20*CY369+DA21*CY369+DA22*CY369+DA23*CY369+DA24*CY369+CZ25*CY369+CZ26*CY369</f>
        <v>0</v>
      </c>
      <c r="DA369" s="12"/>
      <c r="DC369" s="13">
        <v>2</v>
      </c>
      <c r="DD369" s="5">
        <f>DD5*DC369+DD6*DC369+DD7*DC369+DD8*DC369+DD9*DC369+DD10*DC369+DD11*DC369+DD12*DC369+DD13*DC369+DD14*DC369+DD15*DC369+DD16*DC369+DD17*DC369+DD18*DC369+DD19*DC369+DD20*DC369+DD21*DC369+DD22*DC369+DD23*DC369+DD24*DC369+DE25*DC369+DE26*DC369+DE5*DC369+DE6*DC369+DE7*DC369+DE8*DC369+DE9*DC369+DE10*DC369+DE11*DC369+DE12*DC369+DE13*DC369+DE14*DC369+DE15*DC369+DE16*DC369+DE17*DC369+DE18*DC369+DE19*DC369+DE20*DC369+DE21*DC369+DE22*DC369+DE23*DC369+DE24*DC369+DD25*DC369+DD26*DC369</f>
        <v>0</v>
      </c>
      <c r="DE369" s="12"/>
      <c r="DG369" s="13">
        <v>2</v>
      </c>
      <c r="DH369" s="5">
        <f>DH5*DG369+DH6*DG369+DH7*DG369+DH8*DG369+DH9*DG369+DH10*DG369+DH11*DG369+DH12*DG369+DH13*DG369+DH14*DG369+DH15*DG369+DH16*DG369+DH17*DG369+DH18*DG369+DH19*DG369+DH20*DG369+DH21*DG369+DH22*DG369+DH23*DG369+DH24*DG369+DI25*DG369+DI26*DG369+DI5*DG369+DI6*DG369+DI7*DG369+DI8*DG369+DI9*DG369+DI10*DG369+DI11*DG369+DI12*DG369+DI13*DG369+DI14*DG369+DI15*DG369+DI16*DG369+DI17*DG369+DI18*DG369+DI19*DG369+DI20*DG369+DI21*DG369+DI22*DG369+DI23*DG369+DI24*DG369+DH25*DG369+DH26*DG369</f>
        <v>0</v>
      </c>
      <c r="DI369" s="12"/>
      <c r="DK369" s="13">
        <v>2</v>
      </c>
      <c r="DL369" s="5">
        <f>DL5*DK369+DL6*DK369+DL7*DK369+DL8*DK369+DL9*DK369+DL10*DK369+DL11*DK369+DL12*DK369+DL13*DK369+DL14*DK369+DL15*DK369+DL16*DK369+DL17*DK369+DL18*DK369+DL19*DK369+DL20*DK369+DL21*DK369+DL22*DK369+DL23*DK369+DL24*DK369+DM25*DK369+DM26*DK369+DM5*DK369+DM6*DK369+DM7*DK369+DM8*DK369+DM9*DK369+DM10*DK369+DM11*DK369+DM12*DK369+DM13*DK369+DM14*DK369+DM15*DK369+DM16*DK369+DM17*DK369+DM18*DK369+DM19*DK369+DM20*DK369+DM21*DK369+DM22*DK369+DM23*DK369+DM24*DK369+DL25*DK369+DL26*DK369</f>
        <v>0</v>
      </c>
      <c r="DM369" s="12"/>
      <c r="DO369" s="13">
        <v>2</v>
      </c>
      <c r="DP369" s="5">
        <f>DP5*DO369+DP6*DO369+DP7*DO369+DP8*DO369+DP9*DO369+DP10*DO369+DP11*DO369+DP12*DO369+DP13*DO369+DP14*DO369+DP15*DO369+DP16*DO369+DP17*DO369+DP18*DO369+DP19*DO369+DP20*DO369+DP21*DO369+DP22*DO369+DP23*DO369+DP24*DO369+DQ25*DO369+DQ26*DO369+DQ5*DO369+DQ6*DO369+DQ7*DO369+DQ8*DO369+DQ9*DO369+DQ10*DO369+DQ11*DO369+DQ12*DO369+DQ13*DO369+DQ14*DO369+DQ15*DO369+DQ16*DO369+DQ17*DO369+DQ18*DO369+DQ19*DO369+DQ20*DO369+DQ21*DO369+DQ22*DO369+DQ23*DO369+DQ24*DO369+DP25*DO369+DP26*DO369</f>
        <v>0</v>
      </c>
      <c r="DQ369" s="166">
        <v>1</v>
      </c>
      <c r="DS369" s="1336">
        <f t="shared" si="7"/>
        <v>0</v>
      </c>
      <c r="DT369" s="121">
        <f>EXTRAS!D239</f>
        <v>0</v>
      </c>
      <c r="DU369" s="112">
        <f>EXTRAS!E239</f>
        <v>0</v>
      </c>
      <c r="DX369" s="203">
        <f t="shared" si="8"/>
        <v>0</v>
      </c>
      <c r="DZ369" s="924"/>
      <c r="EH369" s="924"/>
    </row>
    <row r="370" spans="1:138" s="6" customFormat="1" ht="15" customHeight="1">
      <c r="A370" s="3"/>
      <c r="B370" s="210" t="s">
        <v>1512</v>
      </c>
      <c r="C370" s="473" t="s">
        <v>0</v>
      </c>
      <c r="D370" s="4"/>
      <c r="E370" s="5"/>
      <c r="F370" s="5"/>
      <c r="G370" s="4"/>
      <c r="H370" s="4"/>
      <c r="I370" s="4"/>
      <c r="J370" s="4"/>
      <c r="K370" s="5"/>
      <c r="L370" s="5"/>
      <c r="M370" s="5"/>
      <c r="O370" s="5"/>
      <c r="P370" s="5"/>
      <c r="Q370" s="5"/>
      <c r="S370" s="5"/>
      <c r="T370" s="5"/>
      <c r="U370" s="5"/>
      <c r="W370" s="5"/>
      <c r="X370" s="5"/>
      <c r="Y370" s="12"/>
      <c r="AA370" s="13"/>
      <c r="AB370" s="12"/>
      <c r="AD370" s="13"/>
      <c r="AE370" s="5"/>
      <c r="AF370" s="5"/>
      <c r="AH370" s="13"/>
      <c r="AI370" s="5"/>
      <c r="AK370" s="5"/>
      <c r="AL370" s="5"/>
      <c r="AM370" s="5"/>
      <c r="AO370" s="5"/>
      <c r="AP370" s="5"/>
      <c r="AR370" s="5"/>
      <c r="AS370" s="5"/>
      <c r="AT370" s="5"/>
      <c r="AV370" s="5"/>
      <c r="AW370" s="5"/>
      <c r="AY370" s="5"/>
      <c r="AZ370" s="5"/>
      <c r="BA370" s="5"/>
      <c r="BC370" s="5"/>
      <c r="BD370" s="5"/>
      <c r="BF370" s="5"/>
      <c r="BG370" s="5"/>
      <c r="BH370" s="5"/>
      <c r="BJ370" s="5"/>
      <c r="BK370" s="5"/>
      <c r="BL370" s="12"/>
      <c r="BM370" s="5"/>
      <c r="BN370" s="5"/>
      <c r="BO370" s="5"/>
      <c r="BQ370" s="5"/>
      <c r="BR370" s="5"/>
      <c r="BT370" s="5"/>
      <c r="BU370" s="5"/>
      <c r="BV370" s="5"/>
      <c r="BX370" s="5"/>
      <c r="BY370" s="5"/>
      <c r="CA370" s="13"/>
      <c r="CB370" s="7"/>
      <c r="CC370" s="11"/>
      <c r="CE370" s="13"/>
      <c r="CF370" s="5"/>
      <c r="CG370" s="12"/>
      <c r="CI370" s="13"/>
      <c r="CJ370" s="5"/>
      <c r="CK370" s="12"/>
      <c r="CM370" s="13"/>
      <c r="CN370" s="5"/>
      <c r="CO370" s="12"/>
      <c r="CQ370" s="13"/>
      <c r="CR370" s="5"/>
      <c r="CS370" s="12"/>
      <c r="CU370" s="13"/>
      <c r="CV370" s="5"/>
      <c r="CW370" s="12"/>
      <c r="CY370" s="13"/>
      <c r="CZ370" s="5"/>
      <c r="DA370" s="12"/>
      <c r="DC370" s="13"/>
      <c r="DD370" s="5"/>
      <c r="DE370" s="12"/>
      <c r="DG370" s="13"/>
      <c r="DH370" s="5"/>
      <c r="DI370" s="12"/>
      <c r="DK370" s="13"/>
      <c r="DL370" s="5"/>
      <c r="DM370" s="12"/>
      <c r="DO370" s="13"/>
      <c r="DP370" s="5"/>
      <c r="DQ370" s="12"/>
      <c r="DS370" s="1336">
        <f t="shared" si="7"/>
        <v>0</v>
      </c>
      <c r="DT370" s="121">
        <f>EXTRAS!D240</f>
        <v>0</v>
      </c>
      <c r="DU370" s="112">
        <f>EXTRAS!E240</f>
        <v>0</v>
      </c>
      <c r="DX370" s="203">
        <f t="shared" si="8"/>
        <v>0</v>
      </c>
      <c r="DZ370" s="924"/>
      <c r="EH370" s="924"/>
    </row>
    <row r="371" spans="1:138" s="6" customFormat="1" ht="15" customHeight="1">
      <c r="A371" s="3"/>
      <c r="B371" s="210" t="s">
        <v>1513</v>
      </c>
      <c r="C371" s="473" t="s">
        <v>0</v>
      </c>
      <c r="D371" s="4"/>
      <c r="E371" s="5"/>
      <c r="F371" s="5"/>
      <c r="G371" s="4"/>
      <c r="H371" s="4"/>
      <c r="I371" s="4"/>
      <c r="J371" s="4"/>
      <c r="K371" s="5"/>
      <c r="L371" s="5"/>
      <c r="M371" s="5"/>
      <c r="O371" s="5"/>
      <c r="P371" s="5"/>
      <c r="Q371" s="5"/>
      <c r="S371" s="5"/>
      <c r="T371" s="5"/>
      <c r="U371" s="5"/>
      <c r="W371" s="5"/>
      <c r="X371" s="5"/>
      <c r="Y371" s="12"/>
      <c r="AA371" s="13"/>
      <c r="AB371" s="12"/>
      <c r="AD371" s="13"/>
      <c r="AE371" s="5"/>
      <c r="AF371" s="5"/>
      <c r="AH371" s="13"/>
      <c r="AI371" s="5"/>
      <c r="AK371" s="5"/>
      <c r="AL371" s="5"/>
      <c r="AM371" s="5"/>
      <c r="AO371" s="5"/>
      <c r="AP371" s="5"/>
      <c r="AR371" s="5"/>
      <c r="AS371" s="5"/>
      <c r="AT371" s="5"/>
      <c r="AV371" s="5"/>
      <c r="AW371" s="5"/>
      <c r="AY371" s="5"/>
      <c r="AZ371" s="5"/>
      <c r="BA371" s="5"/>
      <c r="BC371" s="5"/>
      <c r="BD371" s="5"/>
      <c r="BF371" s="5"/>
      <c r="BG371" s="5"/>
      <c r="BH371" s="5"/>
      <c r="BJ371" s="5"/>
      <c r="BK371" s="5"/>
      <c r="BL371" s="12"/>
      <c r="BM371" s="5"/>
      <c r="BN371" s="5"/>
      <c r="BO371" s="5"/>
      <c r="BQ371" s="5"/>
      <c r="BR371" s="5"/>
      <c r="BT371" s="5"/>
      <c r="BU371" s="5"/>
      <c r="BV371" s="5"/>
      <c r="BX371" s="5"/>
      <c r="BY371" s="5"/>
      <c r="CA371" s="13"/>
      <c r="CB371" s="7"/>
      <c r="CC371" s="11"/>
      <c r="CE371" s="13"/>
      <c r="CF371" s="5"/>
      <c r="CG371" s="12"/>
      <c r="CI371" s="13"/>
      <c r="CJ371" s="5"/>
      <c r="CK371" s="12"/>
      <c r="CM371" s="13"/>
      <c r="CN371" s="5"/>
      <c r="CO371" s="12"/>
      <c r="CQ371" s="13"/>
      <c r="CR371" s="5"/>
      <c r="CS371" s="12"/>
      <c r="CU371" s="13"/>
      <c r="CV371" s="5"/>
      <c r="CW371" s="12"/>
      <c r="CY371" s="13"/>
      <c r="CZ371" s="5"/>
      <c r="DA371" s="12"/>
      <c r="DC371" s="13"/>
      <c r="DD371" s="5"/>
      <c r="DE371" s="12"/>
      <c r="DG371" s="13"/>
      <c r="DH371" s="5"/>
      <c r="DI371" s="12"/>
      <c r="DK371" s="13"/>
      <c r="DL371" s="5"/>
      <c r="DM371" s="12"/>
      <c r="DO371" s="13"/>
      <c r="DP371" s="5"/>
      <c r="DQ371" s="12"/>
      <c r="DS371" s="1336">
        <f t="shared" si="7"/>
        <v>0</v>
      </c>
      <c r="DT371" s="121">
        <f>EXTRAS!D241</f>
        <v>0</v>
      </c>
      <c r="DU371" s="112">
        <f>EXTRAS!E241</f>
        <v>0</v>
      </c>
      <c r="DX371" s="203">
        <f t="shared" si="8"/>
        <v>0</v>
      </c>
      <c r="DZ371" s="924"/>
      <c r="EH371" s="924"/>
    </row>
    <row r="372" spans="1:138" s="6" customFormat="1" ht="15" customHeight="1">
      <c r="A372" s="3"/>
      <c r="B372" s="210" t="s">
        <v>1514</v>
      </c>
      <c r="C372" s="473" t="s">
        <v>0</v>
      </c>
      <c r="D372" s="4"/>
      <c r="E372" s="5"/>
      <c r="F372" s="5"/>
      <c r="G372" s="4"/>
      <c r="H372" s="4"/>
      <c r="I372" s="4"/>
      <c r="J372" s="4"/>
      <c r="K372" s="5"/>
      <c r="L372" s="5"/>
      <c r="M372" s="5"/>
      <c r="O372" s="5"/>
      <c r="P372" s="5"/>
      <c r="Q372" s="5"/>
      <c r="S372" s="5"/>
      <c r="T372" s="5"/>
      <c r="U372" s="5"/>
      <c r="W372" s="5"/>
      <c r="X372" s="5"/>
      <c r="Y372" s="12"/>
      <c r="AA372" s="13"/>
      <c r="AB372" s="12"/>
      <c r="AD372" s="13"/>
      <c r="AE372" s="5"/>
      <c r="AF372" s="5"/>
      <c r="AH372" s="13"/>
      <c r="AI372" s="5"/>
      <c r="AK372" s="5"/>
      <c r="AL372" s="5"/>
      <c r="AM372" s="5"/>
      <c r="AO372" s="5"/>
      <c r="AP372" s="5"/>
      <c r="AR372" s="5"/>
      <c r="AS372" s="5"/>
      <c r="AT372" s="5"/>
      <c r="AV372" s="5"/>
      <c r="AW372" s="5"/>
      <c r="AY372" s="5"/>
      <c r="AZ372" s="5"/>
      <c r="BA372" s="5"/>
      <c r="BC372" s="5"/>
      <c r="BD372" s="5"/>
      <c r="BF372" s="5"/>
      <c r="BG372" s="5"/>
      <c r="BH372" s="5"/>
      <c r="BJ372" s="5"/>
      <c r="BK372" s="5"/>
      <c r="BL372" s="12"/>
      <c r="BM372" s="5"/>
      <c r="BN372" s="5"/>
      <c r="BO372" s="5"/>
      <c r="BQ372" s="5"/>
      <c r="BR372" s="5"/>
      <c r="BT372" s="5"/>
      <c r="BU372" s="5"/>
      <c r="BV372" s="5"/>
      <c r="BX372" s="5"/>
      <c r="BY372" s="5"/>
      <c r="CA372" s="13"/>
      <c r="CB372" s="7"/>
      <c r="CC372" s="11"/>
      <c r="CE372" s="13"/>
      <c r="CF372" s="5"/>
      <c r="CG372" s="12"/>
      <c r="CI372" s="13"/>
      <c r="CJ372" s="5"/>
      <c r="CK372" s="12"/>
      <c r="CM372" s="13"/>
      <c r="CN372" s="5"/>
      <c r="CO372" s="12"/>
      <c r="CQ372" s="13"/>
      <c r="CR372" s="5"/>
      <c r="CS372" s="12"/>
      <c r="CU372" s="13"/>
      <c r="CV372" s="5"/>
      <c r="CW372" s="12"/>
      <c r="CY372" s="13"/>
      <c r="CZ372" s="5"/>
      <c r="DA372" s="12"/>
      <c r="DC372" s="13"/>
      <c r="DD372" s="5"/>
      <c r="DE372" s="12"/>
      <c r="DG372" s="13"/>
      <c r="DH372" s="5"/>
      <c r="DI372" s="12"/>
      <c r="DK372" s="13"/>
      <c r="DL372" s="5"/>
      <c r="DM372" s="12"/>
      <c r="DO372" s="13"/>
      <c r="DP372" s="5"/>
      <c r="DQ372" s="12"/>
      <c r="DS372" s="1336">
        <f t="shared" si="7"/>
        <v>0</v>
      </c>
      <c r="DT372" s="121">
        <f>EXTRAS!D242</f>
        <v>0</v>
      </c>
      <c r="DU372" s="112">
        <f>EXTRAS!E242</f>
        <v>0</v>
      </c>
      <c r="DX372" s="203">
        <f t="shared" si="8"/>
        <v>0</v>
      </c>
      <c r="DZ372" s="924"/>
      <c r="EH372" s="924"/>
    </row>
    <row r="373" spans="1:138" s="6" customFormat="1" ht="15" customHeight="1">
      <c r="A373" s="3">
        <v>208</v>
      </c>
      <c r="B373" s="210" t="s">
        <v>225</v>
      </c>
      <c r="C373" s="473" t="s">
        <v>515</v>
      </c>
      <c r="D373" s="4"/>
      <c r="E373" s="5"/>
      <c r="F373" s="5"/>
      <c r="G373" s="4"/>
      <c r="H373" s="4"/>
      <c r="I373" s="4"/>
      <c r="J373" s="4"/>
      <c r="K373" s="5"/>
      <c r="L373" s="5"/>
      <c r="M373" s="5"/>
      <c r="O373" s="5"/>
      <c r="P373" s="5"/>
      <c r="Q373" s="5"/>
      <c r="S373" s="5"/>
      <c r="T373" s="5"/>
      <c r="U373" s="5"/>
      <c r="W373" s="5"/>
      <c r="X373" s="5"/>
      <c r="Y373" s="12"/>
      <c r="AA373" s="13"/>
      <c r="AB373" s="5"/>
      <c r="AD373" s="13"/>
      <c r="AE373" s="5"/>
      <c r="AF373" s="5"/>
      <c r="AH373" s="13"/>
      <c r="AI373" s="5"/>
      <c r="AK373" s="5"/>
      <c r="AL373" s="5"/>
      <c r="AM373" s="5"/>
      <c r="AO373" s="5"/>
      <c r="AP373" s="5"/>
      <c r="AR373" s="5"/>
      <c r="AS373" s="5"/>
      <c r="AT373" s="5"/>
      <c r="AV373" s="5"/>
      <c r="AW373" s="5"/>
      <c r="AY373" s="5"/>
      <c r="AZ373" s="5"/>
      <c r="BA373" s="5"/>
      <c r="BC373" s="5"/>
      <c r="BD373" s="5"/>
      <c r="BF373" s="5"/>
      <c r="BG373" s="5"/>
      <c r="BH373" s="5"/>
      <c r="BJ373" s="5"/>
      <c r="BK373" s="5"/>
      <c r="BL373" s="12"/>
      <c r="BM373" s="5"/>
      <c r="BN373" s="5"/>
      <c r="BO373" s="5"/>
      <c r="BQ373" s="5"/>
      <c r="BR373" s="5"/>
      <c r="BT373" s="5"/>
      <c r="BU373" s="5"/>
      <c r="BV373" s="5"/>
      <c r="BX373" s="5"/>
      <c r="BY373" s="5"/>
      <c r="CA373" s="13"/>
      <c r="CB373" s="5"/>
      <c r="CC373" s="11">
        <f>C15*4</f>
        <v>0</v>
      </c>
      <c r="CE373" s="13"/>
      <c r="CF373" s="5"/>
      <c r="CG373" s="12"/>
      <c r="CI373" s="13"/>
      <c r="CJ373" s="5"/>
      <c r="CK373" s="12"/>
      <c r="CM373" s="13"/>
      <c r="CN373" s="5"/>
      <c r="CO373" s="12"/>
      <c r="CQ373" s="13"/>
      <c r="CR373" s="5"/>
      <c r="CS373" s="12"/>
      <c r="CU373" s="13"/>
      <c r="CV373" s="5"/>
      <c r="CW373" s="12"/>
      <c r="CY373" s="13"/>
      <c r="CZ373" s="5"/>
      <c r="DA373" s="12"/>
      <c r="DC373" s="13"/>
      <c r="DD373" s="5"/>
      <c r="DE373" s="12"/>
      <c r="DG373" s="13"/>
      <c r="DH373" s="5"/>
      <c r="DI373" s="12"/>
      <c r="DK373" s="13"/>
      <c r="DL373" s="5"/>
      <c r="DM373" s="12"/>
      <c r="DO373" s="13"/>
      <c r="DP373" s="5"/>
      <c r="DQ373" s="12"/>
      <c r="DS373" s="1336">
        <f t="shared" si="7"/>
        <v>0</v>
      </c>
      <c r="DT373" s="121">
        <f>EXTRAS!D243</f>
        <v>0</v>
      </c>
      <c r="DU373" s="112">
        <f>EXTRAS!E243</f>
        <v>0</v>
      </c>
      <c r="DX373" s="203">
        <f t="shared" si="8"/>
        <v>0</v>
      </c>
      <c r="DZ373" s="924"/>
      <c r="EH373" s="924"/>
    </row>
    <row r="374" spans="1:138" s="6" customFormat="1" ht="15" customHeight="1">
      <c r="A374" s="3">
        <v>209</v>
      </c>
      <c r="B374" s="210" t="s">
        <v>34</v>
      </c>
      <c r="C374" s="473" t="s">
        <v>515</v>
      </c>
      <c r="D374" s="4"/>
      <c r="E374" s="5"/>
      <c r="F374" s="5"/>
      <c r="G374" s="4"/>
      <c r="H374" s="4"/>
      <c r="I374" s="4"/>
      <c r="J374" s="4"/>
      <c r="K374" s="5"/>
      <c r="L374" s="5"/>
      <c r="M374" s="5">
        <f>C14</f>
        <v>0</v>
      </c>
      <c r="O374" s="5"/>
      <c r="P374" s="5"/>
      <c r="Q374" s="5"/>
      <c r="S374" s="5"/>
      <c r="T374" s="5"/>
      <c r="U374" s="5"/>
      <c r="W374" s="5"/>
      <c r="X374" s="5"/>
      <c r="Y374" s="12"/>
      <c r="AA374" s="13"/>
      <c r="AB374" s="12"/>
      <c r="AD374" s="13"/>
      <c r="AE374" s="5"/>
      <c r="AF374" s="5"/>
      <c r="AH374" s="13"/>
      <c r="AI374" s="5"/>
      <c r="AK374" s="5"/>
      <c r="AL374" s="5"/>
      <c r="AM374" s="5"/>
      <c r="AO374" s="5"/>
      <c r="AP374" s="5"/>
      <c r="AR374" s="5"/>
      <c r="AS374" s="5"/>
      <c r="AT374" s="5"/>
      <c r="AV374" s="5"/>
      <c r="AW374" s="5"/>
      <c r="AY374" s="5"/>
      <c r="AZ374" s="5"/>
      <c r="BA374" s="5"/>
      <c r="BC374" s="5"/>
      <c r="BD374" s="5"/>
      <c r="BF374" s="5"/>
      <c r="BG374" s="5"/>
      <c r="BH374" s="5"/>
      <c r="BJ374" s="5"/>
      <c r="BK374" s="5"/>
      <c r="BL374" s="12"/>
      <c r="BM374" s="5"/>
      <c r="BN374" s="5"/>
      <c r="BO374" s="5"/>
      <c r="BQ374" s="5"/>
      <c r="BR374" s="5"/>
      <c r="BT374" s="5"/>
      <c r="BU374" s="5"/>
      <c r="BV374" s="5"/>
      <c r="BX374" s="5"/>
      <c r="BY374" s="5"/>
      <c r="CA374" s="13"/>
      <c r="CB374" s="7"/>
      <c r="CC374" s="11"/>
      <c r="CE374" s="13"/>
      <c r="CF374" s="5"/>
      <c r="CG374" s="12"/>
      <c r="CI374" s="13"/>
      <c r="CJ374" s="5"/>
      <c r="CK374" s="12"/>
      <c r="CM374" s="13"/>
      <c r="CN374" s="5"/>
      <c r="CO374" s="12"/>
      <c r="CQ374" s="13"/>
      <c r="CR374" s="5"/>
      <c r="CS374" s="12"/>
      <c r="CU374" s="13"/>
      <c r="CV374" s="5"/>
      <c r="CW374" s="12"/>
      <c r="CY374" s="13"/>
      <c r="CZ374" s="5"/>
      <c r="DA374" s="12"/>
      <c r="DC374" s="13"/>
      <c r="DD374" s="5"/>
      <c r="DE374" s="12"/>
      <c r="DG374" s="13"/>
      <c r="DH374" s="5"/>
      <c r="DI374" s="12"/>
      <c r="DK374" s="13"/>
      <c r="DL374" s="5"/>
      <c r="DM374" s="12"/>
      <c r="DO374" s="13"/>
      <c r="DP374" s="5"/>
      <c r="DQ374" s="12"/>
      <c r="DS374" s="1336">
        <f t="shared" si="7"/>
        <v>0</v>
      </c>
      <c r="DT374" s="121">
        <f>EXTRAS!D244</f>
        <v>0</v>
      </c>
      <c r="DU374" s="112">
        <f>EXTRAS!E244</f>
        <v>0</v>
      </c>
      <c r="DX374" s="203">
        <f t="shared" si="8"/>
        <v>0</v>
      </c>
      <c r="DZ374" s="924"/>
      <c r="EH374" s="924"/>
    </row>
    <row r="375" spans="1:138" s="6" customFormat="1" ht="15" customHeight="1">
      <c r="A375" s="3">
        <v>210</v>
      </c>
      <c r="B375" s="210" t="s">
        <v>230</v>
      </c>
      <c r="C375" s="473" t="s">
        <v>515</v>
      </c>
      <c r="D375" s="4"/>
      <c r="E375" s="5"/>
      <c r="F375" s="5"/>
      <c r="G375" s="4"/>
      <c r="H375" s="4"/>
      <c r="I375" s="4"/>
      <c r="J375" s="4"/>
      <c r="K375" s="5"/>
      <c r="L375" s="5"/>
      <c r="M375" s="5"/>
      <c r="O375" s="5"/>
      <c r="P375" s="5"/>
      <c r="Q375" s="5"/>
      <c r="S375" s="5"/>
      <c r="T375" s="5"/>
      <c r="U375" s="5"/>
      <c r="W375" s="5"/>
      <c r="X375" s="5"/>
      <c r="Y375" s="12"/>
      <c r="AA375" s="13"/>
      <c r="AB375" s="12"/>
      <c r="AD375" s="13"/>
      <c r="AE375" s="5"/>
      <c r="AF375" s="5"/>
      <c r="AH375" s="13"/>
      <c r="AI375" s="5"/>
      <c r="AK375" s="5"/>
      <c r="AL375" s="5"/>
      <c r="AM375" s="5"/>
      <c r="AO375" s="5"/>
      <c r="AP375" s="5"/>
      <c r="AR375" s="5"/>
      <c r="AS375" s="5"/>
      <c r="AT375" s="5"/>
      <c r="AV375" s="5"/>
      <c r="AW375" s="5"/>
      <c r="AY375" s="5"/>
      <c r="AZ375" s="5"/>
      <c r="BA375" s="5"/>
      <c r="BC375" s="5"/>
      <c r="BD375" s="5"/>
      <c r="BF375" s="5"/>
      <c r="BG375" s="5"/>
      <c r="BH375" s="5"/>
      <c r="BJ375" s="5"/>
      <c r="BK375" s="5"/>
      <c r="BL375" s="12"/>
      <c r="BM375" s="5"/>
      <c r="BN375" s="5"/>
      <c r="BO375" s="5"/>
      <c r="BQ375" s="5"/>
      <c r="BR375" s="5"/>
      <c r="BT375" s="5"/>
      <c r="BU375" s="5"/>
      <c r="BV375" s="5"/>
      <c r="BX375" s="5"/>
      <c r="BY375" s="5"/>
      <c r="CA375" s="13">
        <v>1</v>
      </c>
      <c r="CB375" s="5">
        <f>CB16*CA375+CC16*CA375+CB17*CA375+CC17*CA375+CB18*CA375+CC18*CA375+CB19*CA375+CC19*CA375+CB20*CA375+CC20*CA375+CB21*CA375+CC21*CA375+CB22*CA375+CC22*CA375+CB23*CA375+CC23*CA375+CB24*CA375+CC24*CA375+CB25*CA375+CC25*CA375+CB26*CA375+CC26*CA375</f>
        <v>0</v>
      </c>
      <c r="CC375" s="11"/>
      <c r="CE375" s="13"/>
      <c r="CF375" s="5"/>
      <c r="CG375" s="12"/>
      <c r="CI375" s="13"/>
      <c r="CJ375" s="5"/>
      <c r="CK375" s="12"/>
      <c r="CM375" s="13"/>
      <c r="CN375" s="5"/>
      <c r="CO375" s="12"/>
      <c r="CQ375" s="13"/>
      <c r="CR375" s="5"/>
      <c r="CS375" s="12"/>
      <c r="CU375" s="13"/>
      <c r="CV375" s="5"/>
      <c r="CW375" s="12"/>
      <c r="CY375" s="13"/>
      <c r="CZ375" s="5"/>
      <c r="DA375" s="12"/>
      <c r="DC375" s="13"/>
      <c r="DD375" s="5"/>
      <c r="DE375" s="12"/>
      <c r="DG375" s="13"/>
      <c r="DH375" s="5"/>
      <c r="DI375" s="12"/>
      <c r="DK375" s="13"/>
      <c r="DL375" s="5"/>
      <c r="DM375" s="12"/>
      <c r="DO375" s="13"/>
      <c r="DP375" s="5"/>
      <c r="DQ375" s="12"/>
      <c r="DS375" s="1336">
        <f t="shared" si="7"/>
        <v>0</v>
      </c>
      <c r="DT375" s="121">
        <f>EXTRAS!D245</f>
        <v>0</v>
      </c>
      <c r="DU375" s="112">
        <f>EXTRAS!E245</f>
        <v>0</v>
      </c>
      <c r="DX375" s="203">
        <f t="shared" si="8"/>
        <v>0</v>
      </c>
      <c r="DZ375" s="924"/>
      <c r="EH375" s="924"/>
    </row>
    <row r="376" spans="1:138" s="6" customFormat="1" ht="15" customHeight="1">
      <c r="A376" s="3">
        <v>211</v>
      </c>
      <c r="B376" s="210" t="s">
        <v>238</v>
      </c>
      <c r="C376" s="473" t="s">
        <v>515</v>
      </c>
      <c r="D376" s="4"/>
      <c r="E376" s="5"/>
      <c r="F376" s="5"/>
      <c r="G376" s="4"/>
      <c r="H376" s="4"/>
      <c r="I376" s="4"/>
      <c r="J376" s="4"/>
      <c r="K376" s="5"/>
      <c r="L376" s="5"/>
      <c r="M376" s="5"/>
      <c r="O376" s="5"/>
      <c r="P376" s="5"/>
      <c r="Q376" s="5"/>
      <c r="S376" s="5"/>
      <c r="T376" s="5"/>
      <c r="U376" s="5"/>
      <c r="W376" s="5"/>
      <c r="X376" s="5"/>
      <c r="Y376" s="12"/>
      <c r="AA376" s="13"/>
      <c r="AB376" s="12"/>
      <c r="AD376" s="13"/>
      <c r="AE376" s="5"/>
      <c r="AF376" s="5"/>
      <c r="AH376" s="13"/>
      <c r="AI376" s="5"/>
      <c r="AK376" s="5"/>
      <c r="AL376" s="5"/>
      <c r="AM376" s="5"/>
      <c r="AO376" s="5"/>
      <c r="AP376" s="5"/>
      <c r="AR376" s="5"/>
      <c r="AS376" s="5"/>
      <c r="AT376" s="5"/>
      <c r="AV376" s="5"/>
      <c r="AW376" s="5"/>
      <c r="AY376" s="5"/>
      <c r="AZ376" s="5"/>
      <c r="BA376" s="5"/>
      <c r="BC376" s="5"/>
      <c r="BD376" s="5"/>
      <c r="BF376" s="5"/>
      <c r="BG376" s="5"/>
      <c r="BH376" s="5"/>
      <c r="BJ376" s="5"/>
      <c r="BK376" s="5"/>
      <c r="BL376" s="12"/>
      <c r="BM376" s="5"/>
      <c r="BN376" s="5"/>
      <c r="BO376" s="5"/>
      <c r="BQ376" s="5"/>
      <c r="BR376" s="5"/>
      <c r="BT376" s="5"/>
      <c r="BU376" s="5"/>
      <c r="BV376" s="5"/>
      <c r="BX376" s="5"/>
      <c r="BY376" s="5"/>
      <c r="CA376" s="13"/>
      <c r="CB376" s="7"/>
      <c r="CC376" s="11"/>
      <c r="CE376" s="13"/>
      <c r="CF376" s="5"/>
      <c r="CG376" s="12"/>
      <c r="CI376" s="13"/>
      <c r="CJ376" s="5"/>
      <c r="CK376" s="12"/>
      <c r="CM376" s="13"/>
      <c r="CN376" s="5"/>
      <c r="CO376" s="12"/>
      <c r="CQ376" s="13"/>
      <c r="CR376" s="5"/>
      <c r="CS376" s="12"/>
      <c r="CU376" s="13"/>
      <c r="CV376" s="5"/>
      <c r="CW376" s="12"/>
      <c r="CY376" s="13"/>
      <c r="CZ376" s="5"/>
      <c r="DA376" s="12"/>
      <c r="DC376" s="13"/>
      <c r="DD376" s="5"/>
      <c r="DE376" s="12"/>
      <c r="DG376" s="13"/>
      <c r="DH376" s="5"/>
      <c r="DI376" s="12"/>
      <c r="DK376" s="13"/>
      <c r="DL376" s="5"/>
      <c r="DM376" s="12"/>
      <c r="DO376" s="13"/>
      <c r="DP376" s="5"/>
      <c r="DQ376" s="12"/>
      <c r="DS376" s="1336">
        <f t="shared" si="7"/>
        <v>0</v>
      </c>
      <c r="DT376" s="121">
        <f>EXTRAS!D246</f>
        <v>0</v>
      </c>
      <c r="DU376" s="112">
        <f>EXTRAS!E246</f>
        <v>0</v>
      </c>
      <c r="DX376" s="203">
        <f t="shared" si="8"/>
        <v>0</v>
      </c>
      <c r="DZ376" s="924"/>
      <c r="EH376" s="924"/>
    </row>
    <row r="377" spans="1:138" s="6" customFormat="1" ht="15" customHeight="1">
      <c r="A377" s="3">
        <v>212</v>
      </c>
      <c r="B377" s="210" t="s">
        <v>239</v>
      </c>
      <c r="C377" s="473" t="s">
        <v>515</v>
      </c>
      <c r="D377" s="4"/>
      <c r="E377" s="5"/>
      <c r="F377" s="5"/>
      <c r="G377" s="4"/>
      <c r="H377" s="4"/>
      <c r="I377" s="4"/>
      <c r="J377" s="4"/>
      <c r="K377" s="5"/>
      <c r="L377" s="5"/>
      <c r="M377" s="5"/>
      <c r="O377" s="5"/>
      <c r="P377" s="5"/>
      <c r="Q377" s="5"/>
      <c r="S377" s="5"/>
      <c r="T377" s="5"/>
      <c r="U377" s="5"/>
      <c r="W377" s="5"/>
      <c r="X377" s="5"/>
      <c r="Y377" s="12"/>
      <c r="AA377" s="13"/>
      <c r="AB377" s="12"/>
      <c r="AD377" s="13"/>
      <c r="AE377" s="5"/>
      <c r="AF377" s="5"/>
      <c r="AH377" s="13"/>
      <c r="AI377" s="5"/>
      <c r="AK377" s="5"/>
      <c r="AL377" s="5"/>
      <c r="AM377" s="5"/>
      <c r="AO377" s="5"/>
      <c r="AP377" s="5"/>
      <c r="AR377" s="5"/>
      <c r="AS377" s="5"/>
      <c r="AT377" s="5"/>
      <c r="AV377" s="5"/>
      <c r="AW377" s="5"/>
      <c r="AY377" s="5"/>
      <c r="AZ377" s="5"/>
      <c r="BA377" s="5"/>
      <c r="BC377" s="5"/>
      <c r="BD377" s="5"/>
      <c r="BF377" s="5"/>
      <c r="BG377" s="5"/>
      <c r="BH377" s="5"/>
      <c r="BJ377" s="5"/>
      <c r="BK377" s="5"/>
      <c r="BL377" s="12"/>
      <c r="BM377" s="5"/>
      <c r="BN377" s="5"/>
      <c r="BO377" s="5"/>
      <c r="BQ377" s="5"/>
      <c r="BR377" s="5"/>
      <c r="BT377" s="5"/>
      <c r="BU377" s="5"/>
      <c r="BV377" s="5"/>
      <c r="BX377" s="5"/>
      <c r="BY377" s="5"/>
      <c r="CA377" s="13"/>
      <c r="CB377" s="7"/>
      <c r="CC377" s="11"/>
      <c r="CE377" s="13"/>
      <c r="CF377" s="5"/>
      <c r="CG377" s="12"/>
      <c r="CI377" s="13"/>
      <c r="CJ377" s="5"/>
      <c r="CK377" s="12"/>
      <c r="CM377" s="13"/>
      <c r="CN377" s="5"/>
      <c r="CO377" s="12"/>
      <c r="CQ377" s="13"/>
      <c r="CR377" s="5"/>
      <c r="CS377" s="12"/>
      <c r="CU377" s="13"/>
      <c r="CV377" s="5"/>
      <c r="CW377" s="12"/>
      <c r="CY377" s="13"/>
      <c r="CZ377" s="5"/>
      <c r="DA377" s="12"/>
      <c r="DC377" s="13"/>
      <c r="DD377" s="5"/>
      <c r="DE377" s="12"/>
      <c r="DG377" s="13"/>
      <c r="DH377" s="5"/>
      <c r="DI377" s="12"/>
      <c r="DK377" s="13"/>
      <c r="DL377" s="5"/>
      <c r="DM377" s="12"/>
      <c r="DO377" s="13"/>
      <c r="DP377" s="5"/>
      <c r="DQ377" s="12"/>
      <c r="DS377" s="1336">
        <f t="shared" si="7"/>
        <v>0</v>
      </c>
      <c r="DT377" s="121">
        <f>EXTRAS!D247</f>
        <v>0</v>
      </c>
      <c r="DU377" s="112">
        <f>EXTRAS!E247</f>
        <v>0</v>
      </c>
      <c r="DX377" s="203">
        <f t="shared" si="8"/>
        <v>0</v>
      </c>
      <c r="DZ377" s="924"/>
      <c r="EH377" s="924"/>
    </row>
    <row r="378" spans="1:138" s="6" customFormat="1" ht="15" customHeight="1">
      <c r="A378" s="3">
        <v>213</v>
      </c>
      <c r="B378" s="210" t="s">
        <v>240</v>
      </c>
      <c r="C378" s="473" t="s">
        <v>515</v>
      </c>
      <c r="D378" s="4"/>
      <c r="E378" s="5"/>
      <c r="F378" s="5"/>
      <c r="G378" s="4"/>
      <c r="H378" s="4"/>
      <c r="I378" s="4"/>
      <c r="J378" s="4"/>
      <c r="K378" s="5"/>
      <c r="L378" s="5"/>
      <c r="M378" s="5"/>
      <c r="O378" s="5"/>
      <c r="P378" s="5"/>
      <c r="Q378" s="5"/>
      <c r="S378" s="5"/>
      <c r="T378" s="5"/>
      <c r="U378" s="5"/>
      <c r="W378" s="5"/>
      <c r="X378" s="5"/>
      <c r="Y378" s="12"/>
      <c r="AA378" s="13"/>
      <c r="AB378" s="12"/>
      <c r="AD378" s="13"/>
      <c r="AE378" s="5"/>
      <c r="AF378" s="5"/>
      <c r="AH378" s="13"/>
      <c r="AI378" s="5"/>
      <c r="AK378" s="5"/>
      <c r="AL378" s="5"/>
      <c r="AM378" s="5"/>
      <c r="AO378" s="5"/>
      <c r="AP378" s="5"/>
      <c r="AR378" s="5"/>
      <c r="AS378" s="5"/>
      <c r="AT378" s="5"/>
      <c r="AV378" s="5"/>
      <c r="AW378" s="5"/>
      <c r="AY378" s="5"/>
      <c r="AZ378" s="5"/>
      <c r="BA378" s="5"/>
      <c r="BC378" s="5"/>
      <c r="BD378" s="5"/>
      <c r="BF378" s="5"/>
      <c r="BG378" s="5"/>
      <c r="BH378" s="5"/>
      <c r="BJ378" s="5"/>
      <c r="BK378" s="5"/>
      <c r="BL378" s="12"/>
      <c r="BM378" s="5"/>
      <c r="BN378" s="5"/>
      <c r="BO378" s="5"/>
      <c r="BQ378" s="5"/>
      <c r="BR378" s="5"/>
      <c r="BT378" s="5"/>
      <c r="BU378" s="5"/>
      <c r="BV378" s="5"/>
      <c r="BX378" s="5"/>
      <c r="BY378" s="5"/>
      <c r="CA378" s="13"/>
      <c r="CB378" s="7"/>
      <c r="CC378" s="11"/>
      <c r="CE378" s="13"/>
      <c r="CF378" s="5"/>
      <c r="CG378" s="12"/>
      <c r="CI378" s="13"/>
      <c r="CJ378" s="5"/>
      <c r="CK378" s="12"/>
      <c r="CM378" s="13"/>
      <c r="CN378" s="5"/>
      <c r="CO378" s="12"/>
      <c r="CQ378" s="13"/>
      <c r="CR378" s="5"/>
      <c r="CS378" s="12"/>
      <c r="CU378" s="13"/>
      <c r="CV378" s="5"/>
      <c r="CW378" s="12"/>
      <c r="CY378" s="13"/>
      <c r="CZ378" s="5"/>
      <c r="DA378" s="12"/>
      <c r="DC378" s="13"/>
      <c r="DD378" s="5"/>
      <c r="DE378" s="12"/>
      <c r="DG378" s="13"/>
      <c r="DH378" s="5"/>
      <c r="DI378" s="12"/>
      <c r="DK378" s="13"/>
      <c r="DL378" s="5"/>
      <c r="DM378" s="12"/>
      <c r="DO378" s="13"/>
      <c r="DP378" s="5"/>
      <c r="DQ378" s="12"/>
      <c r="DS378" s="1336">
        <f t="shared" si="7"/>
        <v>0</v>
      </c>
      <c r="DT378" s="121">
        <f>EXTRAS!D248</f>
        <v>0</v>
      </c>
      <c r="DU378" s="112">
        <f>EXTRAS!E248</f>
        <v>0</v>
      </c>
      <c r="DX378" s="203">
        <f t="shared" si="8"/>
        <v>0</v>
      </c>
      <c r="DZ378" s="924"/>
      <c r="EH378" s="924"/>
    </row>
    <row r="379" spans="1:138" s="6" customFormat="1" ht="15" customHeight="1">
      <c r="A379" s="3"/>
      <c r="B379" s="210" t="s">
        <v>1515</v>
      </c>
      <c r="C379" s="473" t="s">
        <v>0</v>
      </c>
      <c r="D379" s="4"/>
      <c r="E379" s="5"/>
      <c r="F379" s="5"/>
      <c r="G379" s="4"/>
      <c r="H379" s="4"/>
      <c r="I379" s="4"/>
      <c r="J379" s="4"/>
      <c r="K379" s="5"/>
      <c r="L379" s="5"/>
      <c r="M379" s="5"/>
      <c r="O379" s="5"/>
      <c r="P379" s="5"/>
      <c r="Q379" s="5"/>
      <c r="S379" s="5"/>
      <c r="T379" s="5"/>
      <c r="U379" s="5"/>
      <c r="W379" s="5"/>
      <c r="X379" s="5"/>
      <c r="Y379" s="12"/>
      <c r="AA379" s="13"/>
      <c r="AB379" s="12"/>
      <c r="AD379" s="13"/>
      <c r="AE379" s="5"/>
      <c r="AF379" s="5"/>
      <c r="AH379" s="13"/>
      <c r="AI379" s="5"/>
      <c r="AK379" s="5"/>
      <c r="AL379" s="5"/>
      <c r="AM379" s="5"/>
      <c r="AO379" s="5"/>
      <c r="AP379" s="5"/>
      <c r="AR379" s="5"/>
      <c r="AS379" s="5"/>
      <c r="AT379" s="5"/>
      <c r="AV379" s="5"/>
      <c r="AW379" s="5"/>
      <c r="AY379" s="5"/>
      <c r="AZ379" s="5"/>
      <c r="BA379" s="5"/>
      <c r="BC379" s="5"/>
      <c r="BD379" s="5"/>
      <c r="BF379" s="5"/>
      <c r="BG379" s="5"/>
      <c r="BH379" s="5"/>
      <c r="BJ379" s="5"/>
      <c r="BK379" s="5"/>
      <c r="BL379" s="12"/>
      <c r="BM379" s="5"/>
      <c r="BN379" s="5"/>
      <c r="BO379" s="5"/>
      <c r="BQ379" s="5"/>
      <c r="BR379" s="5"/>
      <c r="BT379" s="5"/>
      <c r="BU379" s="5"/>
      <c r="BV379" s="5"/>
      <c r="BX379" s="5"/>
      <c r="BY379" s="5"/>
      <c r="CA379" s="13"/>
      <c r="CB379" s="7"/>
      <c r="CC379" s="11"/>
      <c r="CE379" s="13"/>
      <c r="CF379" s="5"/>
      <c r="CG379" s="12"/>
      <c r="CI379" s="13"/>
      <c r="CJ379" s="5"/>
      <c r="CK379" s="12"/>
      <c r="CM379" s="13"/>
      <c r="CN379" s="5"/>
      <c r="CO379" s="12"/>
      <c r="CQ379" s="13"/>
      <c r="CR379" s="5"/>
      <c r="CS379" s="12"/>
      <c r="CU379" s="13"/>
      <c r="CV379" s="5"/>
      <c r="CW379" s="12"/>
      <c r="CY379" s="13"/>
      <c r="CZ379" s="5"/>
      <c r="DA379" s="12"/>
      <c r="DC379" s="13"/>
      <c r="DD379" s="5"/>
      <c r="DE379" s="12"/>
      <c r="DG379" s="13"/>
      <c r="DH379" s="5"/>
      <c r="DI379" s="12"/>
      <c r="DK379" s="13"/>
      <c r="DL379" s="5"/>
      <c r="DM379" s="12"/>
      <c r="DO379" s="13"/>
      <c r="DP379" s="5"/>
      <c r="DQ379" s="12"/>
      <c r="DS379" s="1336">
        <f t="shared" si="7"/>
        <v>0</v>
      </c>
      <c r="DT379" s="121">
        <f>EXTRAS!D249</f>
        <v>0</v>
      </c>
      <c r="DU379" s="112">
        <f>EXTRAS!E249</f>
        <v>0</v>
      </c>
      <c r="DX379" s="203">
        <f t="shared" si="8"/>
        <v>0</v>
      </c>
      <c r="DZ379" s="924"/>
      <c r="EH379" s="924"/>
    </row>
    <row r="380" spans="1:138" s="6" customFormat="1" ht="15" customHeight="1">
      <c r="A380" s="3">
        <v>214</v>
      </c>
      <c r="B380" s="210" t="s">
        <v>241</v>
      </c>
      <c r="C380" s="473" t="s">
        <v>515</v>
      </c>
      <c r="D380" s="4"/>
      <c r="E380" s="5"/>
      <c r="F380" s="5"/>
      <c r="G380" s="4"/>
      <c r="H380" s="4"/>
      <c r="I380" s="4"/>
      <c r="J380" s="4"/>
      <c r="K380" s="5"/>
      <c r="L380" s="5"/>
      <c r="M380" s="5"/>
      <c r="O380" s="5"/>
      <c r="P380" s="5"/>
      <c r="Q380" s="5"/>
      <c r="S380" s="5"/>
      <c r="T380" s="5"/>
      <c r="U380" s="5"/>
      <c r="W380" s="5"/>
      <c r="X380" s="5"/>
      <c r="Y380" s="12"/>
      <c r="AA380" s="13"/>
      <c r="AB380" s="12"/>
      <c r="AD380" s="13"/>
      <c r="AE380" s="5"/>
      <c r="AF380" s="5"/>
      <c r="AH380" s="13"/>
      <c r="AI380" s="5"/>
      <c r="AK380" s="5"/>
      <c r="AL380" s="5"/>
      <c r="AM380" s="5"/>
      <c r="AO380" s="5"/>
      <c r="AP380" s="5"/>
      <c r="AR380" s="5"/>
      <c r="AS380" s="5"/>
      <c r="AT380" s="5"/>
      <c r="AV380" s="5"/>
      <c r="AW380" s="5"/>
      <c r="AY380" s="5"/>
      <c r="AZ380" s="5"/>
      <c r="BA380" s="5"/>
      <c r="BC380" s="5"/>
      <c r="BD380" s="5"/>
      <c r="BF380" s="5"/>
      <c r="BG380" s="5"/>
      <c r="BH380" s="5"/>
      <c r="BJ380" s="5"/>
      <c r="BK380" s="5"/>
      <c r="BL380" s="12"/>
      <c r="BM380" s="5"/>
      <c r="BN380" s="5"/>
      <c r="BO380" s="5"/>
      <c r="BQ380" s="5"/>
      <c r="BR380" s="5"/>
      <c r="BT380" s="5"/>
      <c r="BU380" s="5"/>
      <c r="BV380" s="5"/>
      <c r="BX380" s="5"/>
      <c r="BY380" s="5"/>
      <c r="CA380" s="13"/>
      <c r="CB380" s="7"/>
      <c r="CC380" s="11"/>
      <c r="CE380" s="13"/>
      <c r="CF380" s="5"/>
      <c r="CG380" s="12"/>
      <c r="CI380" s="13"/>
      <c r="CJ380" s="5"/>
      <c r="CK380" s="12"/>
      <c r="CM380" s="13"/>
      <c r="CN380" s="5"/>
      <c r="CO380" s="12"/>
      <c r="CQ380" s="13"/>
      <c r="CR380" s="5"/>
      <c r="CS380" s="12"/>
      <c r="CU380" s="13"/>
      <c r="CV380" s="5"/>
      <c r="CW380" s="12"/>
      <c r="CY380" s="13"/>
      <c r="CZ380" s="5"/>
      <c r="DA380" s="12"/>
      <c r="DC380" s="13"/>
      <c r="DD380" s="5"/>
      <c r="DE380" s="12"/>
      <c r="DG380" s="13"/>
      <c r="DH380" s="5"/>
      <c r="DI380" s="12"/>
      <c r="DK380" s="13"/>
      <c r="DL380" s="5"/>
      <c r="DM380" s="12"/>
      <c r="DO380" s="13"/>
      <c r="DP380" s="5"/>
      <c r="DQ380" s="12"/>
      <c r="DS380" s="1336">
        <f t="shared" si="7"/>
        <v>0</v>
      </c>
      <c r="DT380" s="121">
        <f>EXTRAS!D250</f>
        <v>0</v>
      </c>
      <c r="DU380" s="112">
        <f>EXTRAS!E250</f>
        <v>0</v>
      </c>
      <c r="DX380" s="203">
        <f t="shared" si="8"/>
        <v>0</v>
      </c>
      <c r="DZ380" s="924"/>
      <c r="EH380" s="924"/>
    </row>
    <row r="381" spans="1:138" s="6" customFormat="1" ht="15" customHeight="1">
      <c r="A381" s="3">
        <v>215</v>
      </c>
      <c r="B381" s="210" t="s">
        <v>237</v>
      </c>
      <c r="C381" s="473" t="s">
        <v>515</v>
      </c>
      <c r="D381" s="4"/>
      <c r="E381" s="5"/>
      <c r="F381" s="5"/>
      <c r="G381" s="4"/>
      <c r="H381" s="4"/>
      <c r="I381" s="4"/>
      <c r="J381" s="4"/>
      <c r="K381" s="5"/>
      <c r="L381" s="5"/>
      <c r="M381" s="5"/>
      <c r="O381" s="5"/>
      <c r="P381" s="5"/>
      <c r="Q381" s="5"/>
      <c r="S381" s="5"/>
      <c r="T381" s="5"/>
      <c r="U381" s="5"/>
      <c r="W381" s="5"/>
      <c r="X381" s="5"/>
      <c r="Y381" s="12"/>
      <c r="AA381" s="13"/>
      <c r="AB381" s="12"/>
      <c r="AD381" s="13"/>
      <c r="AE381" s="5"/>
      <c r="AF381" s="5"/>
      <c r="AH381" s="13"/>
      <c r="AI381" s="5"/>
      <c r="AK381" s="5"/>
      <c r="AL381" s="5"/>
      <c r="AM381" s="5"/>
      <c r="AO381" s="5"/>
      <c r="AP381" s="5"/>
      <c r="AR381" s="5"/>
      <c r="AS381" s="5"/>
      <c r="AT381" s="5"/>
      <c r="AV381" s="5"/>
      <c r="AW381" s="5"/>
      <c r="AY381" s="5"/>
      <c r="AZ381" s="5"/>
      <c r="BA381" s="5"/>
      <c r="BC381" s="5"/>
      <c r="BD381" s="5"/>
      <c r="BF381" s="5"/>
      <c r="BG381" s="5"/>
      <c r="BH381" s="5"/>
      <c r="BJ381" s="5"/>
      <c r="BK381" s="5"/>
      <c r="BL381" s="12"/>
      <c r="BM381" s="5"/>
      <c r="BN381" s="5"/>
      <c r="BO381" s="5"/>
      <c r="BQ381" s="5"/>
      <c r="BR381" s="5"/>
      <c r="BT381" s="5"/>
      <c r="BU381" s="5"/>
      <c r="BV381" s="5"/>
      <c r="BX381" s="5"/>
      <c r="BY381" s="5"/>
      <c r="CA381" s="13"/>
      <c r="CB381" s="7"/>
      <c r="CC381" s="11"/>
      <c r="CE381" s="13"/>
      <c r="CF381" s="5"/>
      <c r="CG381" s="12"/>
      <c r="CI381" s="13"/>
      <c r="CJ381" s="5"/>
      <c r="CK381" s="12"/>
      <c r="CM381" s="13"/>
      <c r="CN381" s="5"/>
      <c r="CO381" s="12"/>
      <c r="CQ381" s="13"/>
      <c r="CR381" s="5"/>
      <c r="CS381" s="12"/>
      <c r="CU381" s="13"/>
      <c r="CV381" s="5"/>
      <c r="CW381" s="12"/>
      <c r="CY381" s="13"/>
      <c r="CZ381" s="5"/>
      <c r="DA381" s="12"/>
      <c r="DC381" s="13"/>
      <c r="DD381" s="5"/>
      <c r="DE381" s="12"/>
      <c r="DG381" s="13"/>
      <c r="DH381" s="5"/>
      <c r="DI381" s="12"/>
      <c r="DK381" s="13"/>
      <c r="DL381" s="5"/>
      <c r="DM381" s="12"/>
      <c r="DO381" s="13"/>
      <c r="DP381" s="5"/>
      <c r="DQ381" s="12"/>
      <c r="DS381" s="1336">
        <f t="shared" si="7"/>
        <v>0</v>
      </c>
      <c r="DT381" s="121">
        <f>EXTRAS!D251</f>
        <v>0</v>
      </c>
      <c r="DU381" s="112">
        <f>EXTRAS!E251</f>
        <v>0</v>
      </c>
      <c r="DX381" s="203">
        <f t="shared" si="8"/>
        <v>0</v>
      </c>
      <c r="DZ381" s="924"/>
      <c r="EH381" s="924"/>
    </row>
    <row r="382" spans="1:138" s="6" customFormat="1" ht="15" customHeight="1">
      <c r="A382" s="3"/>
      <c r="B382" s="210" t="s">
        <v>1516</v>
      </c>
      <c r="C382" s="473" t="s">
        <v>0</v>
      </c>
      <c r="D382" s="4"/>
      <c r="E382" s="5"/>
      <c r="F382" s="5"/>
      <c r="G382" s="4"/>
      <c r="H382" s="4"/>
      <c r="I382" s="4"/>
      <c r="J382" s="4"/>
      <c r="K382" s="5"/>
      <c r="L382" s="5"/>
      <c r="M382" s="5"/>
      <c r="O382" s="5"/>
      <c r="P382" s="5"/>
      <c r="Q382" s="5"/>
      <c r="S382" s="5"/>
      <c r="T382" s="5"/>
      <c r="U382" s="5"/>
      <c r="W382" s="5"/>
      <c r="X382" s="5"/>
      <c r="Y382" s="12"/>
      <c r="AA382" s="13"/>
      <c r="AB382" s="12"/>
      <c r="AD382" s="13"/>
      <c r="AE382" s="5"/>
      <c r="AF382" s="5"/>
      <c r="AH382" s="13"/>
      <c r="AI382" s="5"/>
      <c r="AK382" s="5"/>
      <c r="AL382" s="5"/>
      <c r="AM382" s="5"/>
      <c r="AO382" s="5"/>
      <c r="AP382" s="5"/>
      <c r="AR382" s="5"/>
      <c r="AS382" s="5"/>
      <c r="AT382" s="5"/>
      <c r="AV382" s="5"/>
      <c r="AW382" s="5"/>
      <c r="AY382" s="5"/>
      <c r="AZ382" s="5"/>
      <c r="BA382" s="5"/>
      <c r="BC382" s="5"/>
      <c r="BD382" s="5"/>
      <c r="BF382" s="5"/>
      <c r="BG382" s="5"/>
      <c r="BH382" s="5"/>
      <c r="BJ382" s="5"/>
      <c r="BK382" s="5"/>
      <c r="BL382" s="12"/>
      <c r="BM382" s="5"/>
      <c r="BN382" s="5"/>
      <c r="BO382" s="5"/>
      <c r="BQ382" s="5"/>
      <c r="BR382" s="5"/>
      <c r="BT382" s="5"/>
      <c r="BU382" s="5"/>
      <c r="BV382" s="5"/>
      <c r="BX382" s="5"/>
      <c r="BY382" s="5"/>
      <c r="CA382" s="13"/>
      <c r="CB382" s="7"/>
      <c r="CC382" s="11"/>
      <c r="CE382" s="13"/>
      <c r="CF382" s="5"/>
      <c r="CG382" s="12"/>
      <c r="CI382" s="13"/>
      <c r="CJ382" s="5"/>
      <c r="CK382" s="12"/>
      <c r="CM382" s="13"/>
      <c r="CN382" s="5"/>
      <c r="CO382" s="12"/>
      <c r="CQ382" s="13"/>
      <c r="CR382" s="5"/>
      <c r="CS382" s="12"/>
      <c r="CU382" s="13"/>
      <c r="CV382" s="5"/>
      <c r="CW382" s="12"/>
      <c r="CY382" s="13"/>
      <c r="CZ382" s="5"/>
      <c r="DA382" s="12"/>
      <c r="DC382" s="13"/>
      <c r="DD382" s="5"/>
      <c r="DE382" s="12"/>
      <c r="DG382" s="13"/>
      <c r="DH382" s="5"/>
      <c r="DI382" s="12"/>
      <c r="DK382" s="13"/>
      <c r="DL382" s="5"/>
      <c r="DM382" s="12"/>
      <c r="DO382" s="13"/>
      <c r="DP382" s="5"/>
      <c r="DQ382" s="12"/>
      <c r="DS382" s="1336">
        <f t="shared" si="7"/>
        <v>0</v>
      </c>
      <c r="DT382" s="121">
        <f>EXTRAS!D252</f>
        <v>0</v>
      </c>
      <c r="DU382" s="112">
        <f>EXTRAS!E252</f>
        <v>0</v>
      </c>
      <c r="DX382" s="203">
        <f t="shared" si="8"/>
        <v>0</v>
      </c>
      <c r="DZ382" s="924"/>
      <c r="EH382" s="924"/>
    </row>
    <row r="383" spans="1:138" s="6" customFormat="1" ht="15" customHeight="1">
      <c r="A383" s="3"/>
      <c r="B383" s="210" t="s">
        <v>1517</v>
      </c>
      <c r="C383" s="473" t="s">
        <v>0</v>
      </c>
      <c r="D383" s="4"/>
      <c r="E383" s="5"/>
      <c r="F383" s="5"/>
      <c r="G383" s="4"/>
      <c r="H383" s="4"/>
      <c r="I383" s="4"/>
      <c r="J383" s="4"/>
      <c r="K383" s="5"/>
      <c r="L383" s="5"/>
      <c r="M383" s="5"/>
      <c r="O383" s="5"/>
      <c r="P383" s="5"/>
      <c r="Q383" s="5"/>
      <c r="S383" s="5"/>
      <c r="T383" s="5"/>
      <c r="U383" s="5"/>
      <c r="W383" s="5"/>
      <c r="X383" s="5"/>
      <c r="Y383" s="12"/>
      <c r="AA383" s="13"/>
      <c r="AB383" s="12"/>
      <c r="AD383" s="13"/>
      <c r="AE383" s="5"/>
      <c r="AF383" s="5"/>
      <c r="AH383" s="13"/>
      <c r="AI383" s="5"/>
      <c r="AK383" s="5"/>
      <c r="AL383" s="5"/>
      <c r="AM383" s="5"/>
      <c r="AO383" s="5"/>
      <c r="AP383" s="5"/>
      <c r="AR383" s="5"/>
      <c r="AS383" s="5"/>
      <c r="AT383" s="5"/>
      <c r="AV383" s="5"/>
      <c r="AW383" s="5"/>
      <c r="AY383" s="5"/>
      <c r="AZ383" s="5"/>
      <c r="BA383" s="5"/>
      <c r="BC383" s="5"/>
      <c r="BD383" s="5"/>
      <c r="BF383" s="5"/>
      <c r="BG383" s="5"/>
      <c r="BH383" s="5"/>
      <c r="BJ383" s="5"/>
      <c r="BK383" s="5"/>
      <c r="BL383" s="12"/>
      <c r="BM383" s="5"/>
      <c r="BN383" s="5"/>
      <c r="BO383" s="5"/>
      <c r="BQ383" s="5"/>
      <c r="BR383" s="5"/>
      <c r="BT383" s="5"/>
      <c r="BU383" s="5"/>
      <c r="BV383" s="5"/>
      <c r="BX383" s="5"/>
      <c r="BY383" s="5"/>
      <c r="CA383" s="13"/>
      <c r="CB383" s="7"/>
      <c r="CC383" s="11"/>
      <c r="CE383" s="13"/>
      <c r="CF383" s="5"/>
      <c r="CG383" s="12"/>
      <c r="CI383" s="13"/>
      <c r="CJ383" s="5"/>
      <c r="CK383" s="12"/>
      <c r="CM383" s="13"/>
      <c r="CN383" s="5"/>
      <c r="CO383" s="12"/>
      <c r="CQ383" s="13"/>
      <c r="CR383" s="5"/>
      <c r="CS383" s="12"/>
      <c r="CU383" s="13"/>
      <c r="CV383" s="5"/>
      <c r="CW383" s="12"/>
      <c r="CY383" s="13"/>
      <c r="CZ383" s="5"/>
      <c r="DA383" s="12"/>
      <c r="DC383" s="13"/>
      <c r="DD383" s="5"/>
      <c r="DE383" s="12"/>
      <c r="DG383" s="13"/>
      <c r="DH383" s="5"/>
      <c r="DI383" s="12"/>
      <c r="DK383" s="13"/>
      <c r="DL383" s="5"/>
      <c r="DM383" s="12"/>
      <c r="DO383" s="13"/>
      <c r="DP383" s="5"/>
      <c r="DQ383" s="12"/>
      <c r="DS383" s="1336">
        <f t="shared" si="7"/>
        <v>0</v>
      </c>
      <c r="DT383" s="121">
        <f>EXTRAS!D253</f>
        <v>0</v>
      </c>
      <c r="DU383" s="112">
        <f>EXTRAS!E253</f>
        <v>0</v>
      </c>
      <c r="DX383" s="203">
        <f t="shared" si="8"/>
        <v>0</v>
      </c>
      <c r="DZ383" s="924"/>
      <c r="EH383" s="924"/>
    </row>
    <row r="384" spans="1:138" s="6" customFormat="1" ht="15" customHeight="1">
      <c r="A384" s="3">
        <v>216</v>
      </c>
      <c r="B384" s="210" t="s">
        <v>160</v>
      </c>
      <c r="C384" s="473" t="s">
        <v>515</v>
      </c>
      <c r="D384" s="4"/>
      <c r="E384" s="5"/>
      <c r="F384" s="5">
        <f>SUM(F5:F26)*E384</f>
        <v>0</v>
      </c>
      <c r="G384" s="4"/>
      <c r="H384" s="4"/>
      <c r="I384" s="4"/>
      <c r="J384" s="4"/>
      <c r="K384" s="5"/>
      <c r="L384" s="5"/>
      <c r="M384" s="5"/>
      <c r="O384" s="5"/>
      <c r="P384" s="5"/>
      <c r="Q384" s="5"/>
      <c r="S384" s="5"/>
      <c r="T384" s="5"/>
      <c r="U384" s="5"/>
      <c r="W384" s="5"/>
      <c r="X384" s="5"/>
      <c r="Y384" s="12"/>
      <c r="AA384" s="13"/>
      <c r="AB384" s="12"/>
      <c r="AD384" s="13"/>
      <c r="AE384" s="5"/>
      <c r="AF384" s="5"/>
      <c r="AH384" s="13"/>
      <c r="AI384" s="5"/>
      <c r="AK384" s="5"/>
      <c r="AL384" s="5"/>
      <c r="AM384" s="5"/>
      <c r="AO384" s="5"/>
      <c r="AP384" s="5"/>
      <c r="AR384" s="5"/>
      <c r="AS384" s="5"/>
      <c r="AT384" s="5"/>
      <c r="AV384" s="5"/>
      <c r="AW384" s="5"/>
      <c r="AY384" s="5"/>
      <c r="AZ384" s="5"/>
      <c r="BA384" s="5"/>
      <c r="BC384" s="5"/>
      <c r="BD384" s="5"/>
      <c r="BF384" s="5"/>
      <c r="BG384" s="5"/>
      <c r="BH384" s="5"/>
      <c r="BJ384" s="5"/>
      <c r="BK384" s="5"/>
      <c r="BL384" s="12"/>
      <c r="BM384" s="5"/>
      <c r="BN384" s="5"/>
      <c r="BO384" s="5"/>
      <c r="BQ384" s="5"/>
      <c r="BR384" s="5"/>
      <c r="BT384" s="5"/>
      <c r="BU384" s="5"/>
      <c r="BV384" s="5"/>
      <c r="BX384" s="5"/>
      <c r="BY384" s="5"/>
      <c r="CA384" s="13"/>
      <c r="CB384" s="7"/>
      <c r="CC384" s="11"/>
      <c r="CE384" s="5"/>
      <c r="CF384" s="5"/>
      <c r="CG384" s="12"/>
      <c r="CI384" s="5"/>
      <c r="CJ384" s="5"/>
      <c r="CK384" s="12"/>
      <c r="CM384" s="5"/>
      <c r="CN384" s="5"/>
      <c r="CO384" s="12"/>
      <c r="CQ384" s="5"/>
      <c r="CR384" s="5"/>
      <c r="CS384" s="12"/>
      <c r="CU384" s="5"/>
      <c r="CV384" s="5"/>
      <c r="CW384" s="12"/>
      <c r="CY384" s="5"/>
      <c r="CZ384" s="5"/>
      <c r="DA384" s="12"/>
      <c r="DC384" s="5"/>
      <c r="DD384" s="5"/>
      <c r="DE384" s="12"/>
      <c r="DG384" s="5"/>
      <c r="DH384" s="5"/>
      <c r="DI384" s="12"/>
      <c r="DK384" s="5"/>
      <c r="DL384" s="5"/>
      <c r="DM384" s="12"/>
      <c r="DO384" s="5"/>
      <c r="DP384" s="5"/>
      <c r="DQ384" s="12"/>
      <c r="DS384" s="1336">
        <f t="shared" si="7"/>
        <v>0</v>
      </c>
      <c r="DT384" s="121">
        <f>EXTRAS!D254</f>
        <v>0</v>
      </c>
      <c r="DU384" s="112">
        <f>EXTRAS!E254</f>
        <v>0</v>
      </c>
      <c r="DX384" s="203">
        <f t="shared" si="8"/>
        <v>0</v>
      </c>
      <c r="DY384" s="142">
        <v>13</v>
      </c>
      <c r="DZ384" s="924"/>
      <c r="EH384" s="924"/>
    </row>
    <row r="385" spans="1:138" s="6" customFormat="1" ht="15" customHeight="1">
      <c r="A385" s="3">
        <v>217</v>
      </c>
      <c r="B385" s="210" t="s">
        <v>161</v>
      </c>
      <c r="C385" s="473" t="s">
        <v>515</v>
      </c>
      <c r="D385" s="4"/>
      <c r="E385" s="5">
        <v>1</v>
      </c>
      <c r="F385" s="5">
        <f>SUM(F5:F26)*E385</f>
        <v>0</v>
      </c>
      <c r="G385" s="4"/>
      <c r="H385" s="4"/>
      <c r="I385" s="4"/>
      <c r="J385" s="4"/>
      <c r="K385" s="5"/>
      <c r="L385" s="5"/>
      <c r="M385" s="5"/>
      <c r="O385" s="5"/>
      <c r="P385" s="5"/>
      <c r="Q385" s="5"/>
      <c r="S385" s="5"/>
      <c r="T385" s="5"/>
      <c r="U385" s="5"/>
      <c r="W385" s="5"/>
      <c r="X385" s="5"/>
      <c r="Y385" s="12"/>
      <c r="AA385" s="13"/>
      <c r="AB385" s="12"/>
      <c r="AD385" s="13"/>
      <c r="AE385" s="5"/>
      <c r="AF385" s="5"/>
      <c r="AH385" s="13"/>
      <c r="AI385" s="5"/>
      <c r="AK385" s="5">
        <v>1</v>
      </c>
      <c r="AL385" s="5">
        <f>AL5*AK385+AM5*AK385+AL6*AK385+AM6*AK385+AL7*AK385+AM7*AK385+AL8*AK385+AM8*AK385+AL9*AK385+AM9*AK385+AL10*AK385+AM10*AK385+AL11*AK385+AM11*AK385+AL12*AK385+AM12*AK385+AL13*AK385+AM13*AK385+AL14*AK385+AM14*AK385+AL15*AK385+AM15*AK385+AL16*AK385+AM16*AK385+AL17*AK385+AM17*AK385+AL18*AK385+AM18*AK385+AL19*AK385+AM19*AK385+AL20*AK385+AM20*AK385+AL21*AK385+AM21*AK385+AL22*AK385+AM22*AK385+AL23*AK385+AM23*AK385+AL24*AK385+AM24*AK385+AL25*AK385+AM25*AK385+AL26*AK385+AM26*AK385</f>
        <v>0</v>
      </c>
      <c r="AM385" s="5"/>
      <c r="AO385" s="5">
        <v>1</v>
      </c>
      <c r="AP385" s="5">
        <f>AP5*AO385+AQ5*AO385+AP6*AO385+AQ6*AO385+AP7*AO385+AQ7*AO385+AP8*AO385+AQ8*AO385+AP9*AO385+AQ9*AO385+AP10*AO385+AQ10*AO385+AP11*AO385+AQ11*AO385+AP12*AO385+AQ12*AO385+AP13*AO385+AQ13*AO385+AP14*AO385+AQ14*AO385+AP15*AO385+AQ15*AO385+AP16*AO385+AQ16*AO385+AP17*AO385+AQ17*AO385+AP18*AO385+AQ18*AO385+AP19*AO385+AQ19*AO385+AP20*AO385+AQ20*AO385+AP21*AO385+AQ21*AO385+AP22*AO385+AQ22*AO385+AP23*AO385+AQ23*AO385+AP24*AO385+AQ24*AO385+AP25*AO385+AQ25*AO385+AP26*AO385+AQ26*AO385</f>
        <v>0</v>
      </c>
      <c r="AR385" s="5"/>
      <c r="AS385" s="5"/>
      <c r="AT385" s="5"/>
      <c r="AV385" s="5"/>
      <c r="AW385" s="5"/>
      <c r="AY385" s="5">
        <v>1</v>
      </c>
      <c r="AZ385" s="5">
        <f>AZ5*AY385+BA5*AY385+AZ6*AY385+BA6*AY385+AZ7*AY385+BA7*AY385+AZ8*AY385+BA8*AY385+AZ9*AY385+BA9*AY385+AZ10*AY385+BA10*AY385+AZ11*AY385+BA11*AY385+AZ12*AY385+BA12*AY385+AZ13*AY385+BA13*AY385+AZ14*AY385+BA14*AY385+AZ15*AY385+BA15*AY385+AZ16*AY385+BA16*AY385+AZ17*AY385+BA17*AY385+AZ18*AY385+BA18*AY385+AZ19*AY385+BA19*AY385+AZ20*AY385+BA20*AY385+AZ21*AY385+BA21*AY385+AZ22*AY385+BA22*AY385+AZ23*AY385+BA23*AY385+AZ24*AY385+BA24*AY385+AZ25*AY385+BA25*AY385+AZ26*AY385+BA26*AY385</f>
        <v>0</v>
      </c>
      <c r="BA385" s="5"/>
      <c r="BC385" s="5">
        <v>1</v>
      </c>
      <c r="BD385" s="5">
        <f>BD5*BC385+BE5*BC385+BD6*BC385+BE6*BC385+BD7*BC385+BE7*BC385+BD8*BC385+BE8*BC385+BD9*BC385+BE9*BC385+BD10*BC385+BE10*BC385+BD11*BC385+BE11*BC385+BD12*BC385+BE12*BC385+BD13*BC385+BE13*BC385+BD14*BC385+BE14*BC385+BD15*BC385+BE15*BC385+BD16*BC385+BE16*BC385+BD17*BC385+BE17*BC385+BD18*BC385+BE18*BC385+BD19*BC385+BE19*BC385+BD20*BC385+BE20*BC385+BD21*BC385+BE21*BC385+BD22*BC385+BE22*BC385+BD23*BC385+BE23*BC385+BD24*BC385+BE24*BC385+BD25*BC385+BE25*BC385+BD26*BC385+BE26*BC385</f>
        <v>0</v>
      </c>
      <c r="BF385" s="5"/>
      <c r="BG385" s="5"/>
      <c r="BH385" s="5"/>
      <c r="BJ385" s="5"/>
      <c r="BK385" s="5"/>
      <c r="BL385" s="12"/>
      <c r="BM385" s="5">
        <v>1</v>
      </c>
      <c r="BN385" s="5">
        <f>BN5*BM385+BO5*BM385+BN6*BM385+BO6*BM385+BN7*BM385+BO7*BM385+BN8*BM385+BO8*BM385+BN9*BM385+BO9*BM385+BN10*BM385+BO10*BM385+BN11*BM385+BO11*BM385+BN12*BM385+BO12*BM385+BN13*BM385+BO13*BM385+BN14*BM385+BO14*BM385+BN15*BM385+BO15*BM385+BN16*BM385+BO16*BM385+BN17*BM385+BO17*BM385+BN18*BM385+BO18*BM385+BN19*BM385+BO19*BM385+BN20*BM385+BO20*BM385+BN21*BM385+BO21*BM385+BN22*BM385+BO22*BM385+BN23*BM385+BO23*BM385+BN24*BM385+BO24*BM385+BN25*BM385+BO25*BM385+BN26*BM385+BO26*BM385</f>
        <v>0</v>
      </c>
      <c r="BO385" s="5"/>
      <c r="BQ385" s="5">
        <v>1</v>
      </c>
      <c r="BR385" s="5">
        <f>BR5*BQ385+BS5*BQ385+BR6*BQ385+BS6*BQ385+BR7*BQ385+BS7*BQ385+BR8*BQ385+BS8*BQ385+BR9*BQ385+BS9*BQ385+BR10*BQ385+BS10*BQ385+BR11*BQ385+BS11*BQ385+BR12*BQ385+BS12*BQ385+BR13*BQ385+BS13*BQ385+BR14*BQ385+BS14*BQ385+BR15*BQ385+BS15*BQ385+BR16*BQ385+BS16*BQ385+BR17*BQ385+BS17*BQ385+BR18*BQ385+BS18*BQ385+BR19*BQ385+BS19*BQ385+BR20*BQ385+BS20*BQ385+BR21*BQ385+BS21*BQ385+BR22*BQ385+BS22*BQ385+BR23*BQ385+BS23*BQ385+BR24*BQ385+BS24*BQ385+BR25*BQ385+BS25*BQ385+BR26*BQ385+BS26*BQ385</f>
        <v>0</v>
      </c>
      <c r="BT385" s="5"/>
      <c r="BU385" s="5"/>
      <c r="BV385" s="5"/>
      <c r="BX385" s="5"/>
      <c r="BY385" s="5"/>
      <c r="CA385" s="13"/>
      <c r="CB385" s="7"/>
      <c r="CC385" s="11"/>
      <c r="CE385" s="13"/>
      <c r="CF385" s="5"/>
      <c r="CG385" s="12"/>
      <c r="CI385" s="13"/>
      <c r="CJ385" s="5"/>
      <c r="CK385" s="12"/>
      <c r="CM385" s="13"/>
      <c r="CN385" s="5"/>
      <c r="CO385" s="12"/>
      <c r="CQ385" s="13"/>
      <c r="CR385" s="5"/>
      <c r="CS385" s="12"/>
      <c r="CU385" s="13"/>
      <c r="CV385" s="5"/>
      <c r="CW385" s="12"/>
      <c r="CY385" s="13">
        <v>1</v>
      </c>
      <c r="CZ385" s="5">
        <f>CZ5*CY385+DA5*CY385+CZ6*CY385+DA6*CY385+CZ7*CY385+DA7*CY385+CZ8*CY385+DA8*CY385+CZ9*CY385+DA9*CY385+CZ10*CY385+DA10*CY385+CZ11*CY385+DA11*CY385+CZ12*CY385+DA12*CY385+CZ13*CY385+DA13*CY385+CZ14*CY385+DA14*CY385+CZ15*CY385+DA15*CY385+CZ16*CY385+DA16*CY385+CZ17*CY385+DA17*CY385+CZ18*CY385+DA18*CY385+CZ19*CY385+DA19*CY385+CZ20*CY385+DA20*CY385+CZ21*CY385+DA21*CY385+CZ22*CY385+DA22*CY385+CZ23*CY385+DA23*CY385+CZ24*CY385+DA24*CY385+CZ25*CY385+DA25*CY385+CZ26*CY385+DA26*CY385</f>
        <v>0</v>
      </c>
      <c r="DA385" s="12"/>
      <c r="DC385" s="13">
        <v>1</v>
      </c>
      <c r="DD385" s="5">
        <f>DD5*DC385+DE5*DC385+DD6*DC385+DE6*DC385+DD7*DC385+DE7*DC385+DD8*DC385+DE8*DC385+DD9*DC385+DE9*DC385+DD10*DC385+DE10*DC385+DD11*DC385+DE11*DC385+DD12*DC385+DE12*DC385+DD13*DC385+DE13*DC385+DD14*DC385+DE14*DC385+DD15*DC385+DE15*DC385+DD16*DC385+DE16*DC385+DD17*DC385+DE17*DC385+DD18*DC385+DE18*DC385+DD19*DC385+DE19*DC385+DD20*DC385+DE20*DC385+DD21*DC385+DE21*DC385+DD22*DC385+DE22*DC385+DD23*DC385+DE23*DC385+DD24*DC385+DE24*DC385+DD25*DC385+DE25*DC385+DD26*DC385+DE26*DC385</f>
        <v>0</v>
      </c>
      <c r="DE385" s="12"/>
      <c r="DG385" s="13">
        <v>1</v>
      </c>
      <c r="DH385" s="5">
        <f>DH5*DG385+DI5*DG385+DH6*DG385+DI6*DG385+DH7*DG385+DI7*DG385+DH8*DG385+DI8*DG385+DH9*DG385+DI9*DG385+DH10*DG385+DI10*DG385+DH11*DG385+DI11*DG385+DH12*DG385+DI12*DG385+DH13*DG385+DI13*DG385+DH14*DG385+DI14*DG385+DH15*DG385+DI15*DG385+DH16*DG385+DI16*DG385+DH17*DG385+DI17*DG385+DH18*DG385+DI18*DG385+DH19*DG385+DI19*DG385+DH20*DG385+DI20*DG385+DH21*DG385+DI21*DG385+DH22*DG385+DI22*DG385+DH23*DG385+DI23*DG385+DH24*DG385+DI24*DG385+DH25*DG385+DI25*DG385+DH26*DG385+DI26*DG385</f>
        <v>0</v>
      </c>
      <c r="DI385" s="12"/>
      <c r="DK385" s="13">
        <v>1</v>
      </c>
      <c r="DL385" s="5">
        <f>DL5*DK385+DM5*DK385+DL6*DK385+DM6*DK385+DL7*DK385+DM7*DK385+DL8*DK385+DM8*DK385+DL9*DK385+DM9*DK385+DL10*DK385+DM10*DK385+DL11*DK385+DM11*DK385+DL12*DK385+DM12*DK385+DL13*DK385+DM13*DK385+DL14*DK385+DM14*DK385+DL15*DK385+DM15*DK385+DL16*DK385+DM16*DK385+DL17*DK385+DM17*DK385+DL18*DK385+DM18*DK385+DL19*DK385+DM19*DK385+DL20*DK385+DM20*DK385+DL21*DK385+DM21*DK385+DL22*DK385+DM22*DK385+DL23*DK385+DM23*DK385+DL24*DK385+DM24*DK385+DL25*DK385+DM25*DK385+DL26*DK385+DM26*DK385</f>
        <v>0</v>
      </c>
      <c r="DM385" s="12"/>
      <c r="DO385" s="13">
        <v>1</v>
      </c>
      <c r="DP385" s="5">
        <f>DP5*DO385+DQ5*DO385+DP6*DO385+DQ6*DO385+DP7*DO385+DQ7*DO385+DP8*DO385+DQ8*DO385+DP9*DO385+DQ9*DO385+DP10*DO385+DQ10*DO385+DP11*DO385+DQ11*DO385+DP12*DO385+DQ12*DO385+DP13*DO385+DQ13*DO385+DP14*DO385+DQ14*DO385+DP15*DO385+DQ15*DO385+DP16*DO385+DQ16*DO385+DP17*DO385+DQ17*DO385+DP18*DO385+DQ18*DO385+DP19*DO385+DQ19*DO385+DP20*DO385+DQ20*DO385+DP21*DO385+DQ21*DO385+DP22*DO385+DQ22*DO385+DP23*DO385+DQ23*DO385+DP24*DO385+DQ24*DO385+DP25*DO385+DQ25*DO385+DP26*DO385+DQ26*DO385</f>
        <v>0</v>
      </c>
      <c r="DQ385" s="12"/>
      <c r="DS385" s="1336">
        <f t="shared" si="7"/>
        <v>0</v>
      </c>
      <c r="DT385" s="121">
        <f>EXTRAS!D255</f>
        <v>0</v>
      </c>
      <c r="DU385" s="112">
        <f>EXTRAS!E255</f>
        <v>0</v>
      </c>
      <c r="DX385" s="203">
        <f t="shared" si="8"/>
        <v>0</v>
      </c>
      <c r="DY385" s="116">
        <v>34</v>
      </c>
      <c r="DZ385" s="924"/>
      <c r="EH385" s="924"/>
    </row>
    <row r="386" spans="1:138" s="6" customFormat="1" ht="15" customHeight="1">
      <c r="A386" s="3">
        <v>218</v>
      </c>
      <c r="B386" s="210" t="s">
        <v>128</v>
      </c>
      <c r="C386" s="473" t="s">
        <v>515</v>
      </c>
      <c r="D386" s="4"/>
      <c r="E386" s="5"/>
      <c r="F386" s="5"/>
      <c r="G386" s="4"/>
      <c r="H386" s="4"/>
      <c r="I386" s="4"/>
      <c r="J386" s="4"/>
      <c r="K386" s="5">
        <v>1</v>
      </c>
      <c r="L386" s="5">
        <f>L16*K386+M16*K386+L17*K386+M17*K386+L18*K386+M18*K386+L19*K386+M19*K386+L20*K386+M20*K386+L21*K386+M21*K386+L22*K386+M22*K386+L23*K386+M23*K386+L24*K386+M24*K386+L25*K386+M25*K386+L26*K386+M26*K386</f>
        <v>0</v>
      </c>
      <c r="M386" s="5"/>
      <c r="O386" s="5"/>
      <c r="P386" s="5"/>
      <c r="Q386" s="5"/>
      <c r="S386" s="5"/>
      <c r="T386" s="5"/>
      <c r="U386" s="5"/>
      <c r="W386" s="5"/>
      <c r="X386" s="5"/>
      <c r="Y386" s="12"/>
      <c r="AA386" s="13"/>
      <c r="AB386" s="12"/>
      <c r="AD386" s="13"/>
      <c r="AE386" s="5"/>
      <c r="AF386" s="5"/>
      <c r="AH386" s="13"/>
      <c r="AI386" s="5"/>
      <c r="AK386" s="5"/>
      <c r="AL386" s="5"/>
      <c r="AM386" s="5"/>
      <c r="AO386" s="5"/>
      <c r="AP386" s="5"/>
      <c r="AR386" s="5"/>
      <c r="AS386" s="5"/>
      <c r="AT386" s="5"/>
      <c r="AV386" s="5"/>
      <c r="AW386" s="5"/>
      <c r="AY386" s="5"/>
      <c r="AZ386" s="5"/>
      <c r="BA386" s="5"/>
      <c r="BC386" s="5"/>
      <c r="BD386" s="5"/>
      <c r="BF386" s="5">
        <v>1</v>
      </c>
      <c r="BG386" s="5">
        <f>BG16*BF386+BH16*BF386+BG17*BF386+BH17*BF386+BG18*BF386+BH18*BF386+BG19*BF386+BH19*BF386+BG20*BF386+BH20*BF386+BG21*BF386+BH21*BF386+BG22*BF386+BH22*BF386+BG23*BF386+BH23*BF386+BG24*BF386+BH24*BF386+BG25*BF386+BH25*BF386+BG26*BF386+BH26*BF386</f>
        <v>0</v>
      </c>
      <c r="BH386" s="5"/>
      <c r="BJ386" s="5">
        <v>1</v>
      </c>
      <c r="BK386" s="5">
        <f>BK16*BJ386+BL16*BJ386+BK17*BJ386+BL17*BJ386+BK18*BJ386+BL18*BJ386+BK19*BJ386+BL19*BJ386+BK20*BJ386+BL20*BJ386+BK21*BJ386+BL21*BJ386+BK22*BJ386+BL22*BJ386+BK23*BJ386+BL23*BJ386+BK24*BJ386+BL24*BJ386+BK25*BJ386+BL25*BJ386+BK26*BJ386+BL26*BJ386</f>
        <v>0</v>
      </c>
      <c r="BL386" s="12"/>
      <c r="BM386" s="5"/>
      <c r="BN386" s="5">
        <f>BN16*BM386+BO16*BM386+BN17*BM386+BO17*BM386+BN18*BM386+BO18*BM386+BN19*BM386+BO19*BM386+BN20*BM386+BO20*BM386+BN21*BM386+BO21*BM386+BN22*BM386+BO22*BM386+BN23*BM386+BO23*BM386+BN24*BM386+BO24*BM386+BN25*BM386+BO25*BM386+BN26*BM386+BO26*BM386</f>
        <v>0</v>
      </c>
      <c r="BO386" s="5"/>
      <c r="BQ386" s="5"/>
      <c r="BR386" s="5">
        <f>BR16*BQ386+BS16*BQ386+BR17*BQ386+BS17*BQ386+BR18*BQ386+BS18*BQ386+BR19*BQ386+BS19*BQ386+BR20*BQ386+BS20*BQ386+BR21*BQ386+BS21*BQ386+BR22*BQ386+BS22*BQ386+BR23*BQ386+BS23*BQ386+BR24*BQ386+BS24*BQ386+BR25*BQ386+BS25*BQ386+BR26*BQ386+BS26*BQ386</f>
        <v>0</v>
      </c>
      <c r="BT386" s="5"/>
      <c r="BU386" s="5">
        <f>BU16*BT386+BV16*BT386+BU17*BT386+BV17*BT386+BU18*BT386+BV18*BT386+BU19*BT386+BV19*BT386+BU20*BT386+BV20*BT386+BU21*BT386+BV21*BT386+BU22*BT386+BV22*BT386+BU23*BT386+BV23*BT386+BU24*BT386+BV24*BT386+BU25*BT386+BV25*BT386+BU26*BT386+BV26*BT386</f>
        <v>0</v>
      </c>
      <c r="BV386" s="5"/>
      <c r="BX386" s="5"/>
      <c r="BY386" s="5">
        <f>BY16*BX386+BZ16*BX386+BY17*BX386+BZ17*BX386+BY18*BX386+BZ18*BX386+BY19*BX386+BZ19*BX386+BY20*BX386+BZ20*BX386+BY21*BX386+BZ21*BX386+BY22*BX386+BZ22*BX386+BY23*BX386+BZ23*BX386+BY24*BX386+BZ24*BX386+BY25*BX386+BZ25*BX386+BY26*BX386+BZ26*BX386</f>
        <v>0</v>
      </c>
      <c r="CA386" s="13"/>
      <c r="CB386" s="5"/>
      <c r="CC386" s="11"/>
      <c r="CE386" s="13"/>
      <c r="CF386" s="5"/>
      <c r="CG386" s="12"/>
      <c r="CI386" s="13"/>
      <c r="CJ386" s="5"/>
      <c r="CK386" s="12"/>
      <c r="CM386" s="13"/>
      <c r="CN386" s="5"/>
      <c r="CO386" s="12"/>
      <c r="CQ386" s="13"/>
      <c r="CR386" s="5"/>
      <c r="CS386" s="12"/>
      <c r="CU386" s="13"/>
      <c r="CV386" s="5"/>
      <c r="CW386" s="12"/>
      <c r="CY386" s="13"/>
      <c r="CZ386" s="5"/>
      <c r="DA386" s="12"/>
      <c r="DC386" s="13"/>
      <c r="DD386" s="5"/>
      <c r="DE386" s="12"/>
      <c r="DG386" s="13"/>
      <c r="DH386" s="5"/>
      <c r="DI386" s="12"/>
      <c r="DK386" s="13"/>
      <c r="DL386" s="5"/>
      <c r="DM386" s="12"/>
      <c r="DO386" s="13"/>
      <c r="DP386" s="5"/>
      <c r="DQ386" s="12"/>
      <c r="DS386" s="1336">
        <f t="shared" si="7"/>
        <v>0</v>
      </c>
      <c r="DT386" s="121">
        <f>EXTRAS!D256</f>
        <v>0</v>
      </c>
      <c r="DU386" s="112">
        <f>EXTRAS!E256</f>
        <v>0</v>
      </c>
      <c r="DX386" s="203">
        <f t="shared" si="8"/>
        <v>0</v>
      </c>
      <c r="DZ386" s="924"/>
      <c r="EH386" s="924"/>
    </row>
    <row r="387" spans="1:138" s="6" customFormat="1" ht="15" customHeight="1">
      <c r="A387" s="3">
        <v>219</v>
      </c>
      <c r="B387" s="210" t="s">
        <v>35</v>
      </c>
      <c r="C387" s="473" t="s">
        <v>515</v>
      </c>
      <c r="D387" s="4"/>
      <c r="E387" s="5"/>
      <c r="F387" s="5"/>
      <c r="G387" s="4"/>
      <c r="H387" s="4"/>
      <c r="I387" s="4"/>
      <c r="J387" s="4"/>
      <c r="K387" s="5"/>
      <c r="L387" s="5"/>
      <c r="M387" s="5"/>
      <c r="O387" s="5">
        <v>1</v>
      </c>
      <c r="P387" s="47">
        <f>P5*O387+P6*O387+P7*O387+P8*O387+P9*O387+P10*O387+P11*O387+P12*O387+P13*O387+P14*O387+P15*O387+P16*O387+P17*O387+P18*O387+P19*O387+P20*O387+P21*O387+P22*O387+P23*O387+P24*O387+P25*O387+P26*O387+Q5*O387+Q6*O387+Q7*O387+Q8*O387+Q9*O387+Q10*O387+Q11*O387+Q12*O387+Q13*O387+Q14*O387+Q15*O387+Q16*O387+Q17*O387+Q18*O387+Q19*O387+Q20*O387+Q21*O387+Q22*O387+Q23*O387+Q24*O387+Q25*O387+Q26*O387</f>
        <v>0</v>
      </c>
      <c r="Q387" s="5"/>
      <c r="S387" s="5"/>
      <c r="T387" s="5"/>
      <c r="U387" s="5"/>
      <c r="W387" s="5"/>
      <c r="X387" s="5"/>
      <c r="Y387" s="12"/>
      <c r="AA387" s="13"/>
      <c r="AB387" s="12"/>
      <c r="AD387" s="13"/>
      <c r="AE387" s="5"/>
      <c r="AF387" s="5"/>
      <c r="AH387" s="13"/>
      <c r="AI387" s="5"/>
      <c r="AK387" s="5"/>
      <c r="AL387" s="5"/>
      <c r="AM387" s="5"/>
      <c r="AO387" s="5"/>
      <c r="AP387" s="5"/>
      <c r="AR387" s="5"/>
      <c r="AS387" s="5"/>
      <c r="AT387" s="5"/>
      <c r="AV387" s="5"/>
      <c r="AW387" s="5"/>
      <c r="AY387" s="5"/>
      <c r="AZ387" s="5"/>
      <c r="BA387" s="5"/>
      <c r="BC387" s="5"/>
      <c r="BD387" s="5"/>
      <c r="BF387" s="5"/>
      <c r="BG387" s="5"/>
      <c r="BH387" s="5"/>
      <c r="BJ387" s="5"/>
      <c r="BK387" s="5"/>
      <c r="BL387" s="12"/>
      <c r="BM387" s="5"/>
      <c r="BN387" s="5"/>
      <c r="BO387" s="5"/>
      <c r="BQ387" s="5"/>
      <c r="BR387" s="5"/>
      <c r="BT387" s="5"/>
      <c r="BU387" s="5"/>
      <c r="BV387" s="5"/>
      <c r="BX387" s="5"/>
      <c r="BY387" s="5"/>
      <c r="CA387" s="13"/>
      <c r="CB387" s="7"/>
      <c r="CC387" s="11"/>
      <c r="CE387" s="13"/>
      <c r="CF387" s="5"/>
      <c r="CG387" s="12"/>
      <c r="CI387" s="13"/>
      <c r="CJ387" s="5"/>
      <c r="CK387" s="12"/>
      <c r="CM387" s="13"/>
      <c r="CN387" s="5"/>
      <c r="CO387" s="12"/>
      <c r="CQ387" s="13"/>
      <c r="CR387" s="5"/>
      <c r="CS387" s="12"/>
      <c r="CU387" s="13"/>
      <c r="CV387" s="5"/>
      <c r="CW387" s="12"/>
      <c r="CY387" s="13"/>
      <c r="CZ387" s="5"/>
      <c r="DA387" s="12"/>
      <c r="DC387" s="13"/>
      <c r="DD387" s="5"/>
      <c r="DE387" s="12"/>
      <c r="DG387" s="13"/>
      <c r="DH387" s="5"/>
      <c r="DI387" s="12"/>
      <c r="DK387" s="13"/>
      <c r="DL387" s="5"/>
      <c r="DM387" s="12"/>
      <c r="DO387" s="13"/>
      <c r="DP387" s="5"/>
      <c r="DQ387" s="12"/>
      <c r="DS387" s="1336">
        <f t="shared" si="7"/>
        <v>0</v>
      </c>
      <c r="DT387" s="121">
        <f>EXTRAS!D257</f>
        <v>0</v>
      </c>
      <c r="DU387" s="112">
        <f>EXTRAS!E257</f>
        <v>0</v>
      </c>
      <c r="DX387" s="203">
        <f t="shared" si="8"/>
        <v>0</v>
      </c>
      <c r="DZ387" s="924"/>
      <c r="EH387" s="924"/>
    </row>
    <row r="388" spans="1:138" s="6" customFormat="1" ht="15" customHeight="1">
      <c r="A388" s="3">
        <v>220</v>
      </c>
      <c r="B388" s="210" t="s">
        <v>40</v>
      </c>
      <c r="C388" s="473" t="s">
        <v>515</v>
      </c>
      <c r="D388" s="4"/>
      <c r="E388" s="5"/>
      <c r="F388" s="5"/>
      <c r="G388" s="4"/>
      <c r="H388" s="4"/>
      <c r="I388" s="4"/>
      <c r="J388" s="4"/>
      <c r="K388" s="5"/>
      <c r="L388" s="5"/>
      <c r="M388" s="5"/>
      <c r="O388" s="5"/>
      <c r="P388" s="5"/>
      <c r="Q388" s="5"/>
      <c r="S388" s="5"/>
      <c r="T388" s="5"/>
      <c r="U388" s="5"/>
      <c r="W388" s="5"/>
      <c r="X388" s="5"/>
      <c r="Y388" s="12"/>
      <c r="AA388" s="13"/>
      <c r="AB388" s="12"/>
      <c r="AD388" s="13"/>
      <c r="AE388" s="5"/>
      <c r="AF388" s="5"/>
      <c r="AH388" s="13"/>
      <c r="AI388" s="5"/>
      <c r="AK388" s="5"/>
      <c r="AL388" s="5"/>
      <c r="AM388" s="5"/>
      <c r="AO388" s="5"/>
      <c r="AP388" s="5"/>
      <c r="AR388" s="5"/>
      <c r="AS388" s="5"/>
      <c r="AT388" s="5"/>
      <c r="AV388" s="5"/>
      <c r="AW388" s="5"/>
      <c r="AY388" s="5"/>
      <c r="AZ388" s="5"/>
      <c r="BA388" s="5"/>
      <c r="BC388" s="5"/>
      <c r="BD388" s="5"/>
      <c r="BF388" s="5"/>
      <c r="BG388" s="5"/>
      <c r="BH388" s="5"/>
      <c r="BJ388" s="5"/>
      <c r="BK388" s="5"/>
      <c r="BL388" s="12"/>
      <c r="BM388" s="5"/>
      <c r="BN388" s="5"/>
      <c r="BO388" s="5"/>
      <c r="BQ388" s="5"/>
      <c r="BR388" s="5"/>
      <c r="BT388" s="5">
        <v>1</v>
      </c>
      <c r="BU388" s="5">
        <f>BU5*BT388+BU6*BT388+BU7*BT388+BU8*BT388+BU9*BT388+BU10*BT388+BU11*BT388+BU12*BT388+BU13*BT388+BU14*BT388+BU15*BT388+BU16*BT388+BU17*BT388+BU18*BT388+BU19*BT388+BU20*BT388+BU21*BT388+BU22*BT388+BU23*BT388+BU24*BT388+BU25*BT388+BU26*BT388+BV5*BT388+BV6*BT388+BV7*BT388+BV8*BT388+BV9*BT388+BV10*BT388+BV11*BT388+BV12*BT388+BV13*BT388+BV14*BT388+BV15*BT388+BV16*BT388+BV17*BT388+BV18*BT388+BV19*BT388+BV20*BT388+BV21*BT388+BV22*BT388+BV23*BT388+BV24*BT388+BV25*BT388+BV26*BT388</f>
        <v>0</v>
      </c>
      <c r="BV388" s="5"/>
      <c r="BX388" s="5">
        <v>1</v>
      </c>
      <c r="BY388" s="5">
        <f>BY5*BX388+BY6*BX388+BY7*BX388+BY8*BX388+BY9*BX388+BY10*BX388+BY11*BX388+BY12*BX388+BY13*BX388+BY14*BX388+BY15*BX388+BY16*BX388+BY17*BX388+BY18*BX388+BY19*BX388+BY20*BX388+BY21*BX388+BY22*BX388+BY23*BX388+BY24*BX388+BY25*BX388+BY26*BX388</f>
        <v>0</v>
      </c>
      <c r="CA388" s="13"/>
      <c r="CB388" s="7"/>
      <c r="CC388" s="11"/>
      <c r="CE388" s="13"/>
      <c r="CF388" s="5"/>
      <c r="CG388" s="12"/>
      <c r="CI388" s="13"/>
      <c r="CJ388" s="5"/>
      <c r="CK388" s="12"/>
      <c r="CM388" s="13"/>
      <c r="CN388" s="5"/>
      <c r="CO388" s="12"/>
      <c r="CQ388" s="13"/>
      <c r="CR388" s="5"/>
      <c r="CS388" s="12"/>
      <c r="CU388" s="13"/>
      <c r="CV388" s="5"/>
      <c r="CW388" s="12"/>
      <c r="CY388" s="13"/>
      <c r="CZ388" s="5"/>
      <c r="DA388" s="12"/>
      <c r="DC388" s="13"/>
      <c r="DD388" s="5"/>
      <c r="DE388" s="12"/>
      <c r="DG388" s="13"/>
      <c r="DH388" s="5"/>
      <c r="DI388" s="12"/>
      <c r="DK388" s="13"/>
      <c r="DL388" s="5"/>
      <c r="DM388" s="12"/>
      <c r="DO388" s="13"/>
      <c r="DP388" s="5"/>
      <c r="DQ388" s="12"/>
      <c r="DS388" s="1336">
        <f t="shared" si="7"/>
        <v>0</v>
      </c>
      <c r="DT388" s="121">
        <f>EXTRAS!D258</f>
        <v>0</v>
      </c>
      <c r="DU388" s="112">
        <f>EXTRAS!E258</f>
        <v>0</v>
      </c>
      <c r="DX388" s="203">
        <f t="shared" si="8"/>
        <v>0</v>
      </c>
      <c r="DZ388" s="924"/>
      <c r="EH388" s="924"/>
    </row>
    <row r="389" spans="1:138" s="6" customFormat="1" ht="15" customHeight="1">
      <c r="A389" s="3">
        <v>221</v>
      </c>
      <c r="B389" s="210" t="s">
        <v>156</v>
      </c>
      <c r="C389" s="473" t="s">
        <v>515</v>
      </c>
      <c r="D389" s="4"/>
      <c r="E389" s="5"/>
      <c r="F389" s="5"/>
      <c r="G389" s="4"/>
      <c r="H389" s="4"/>
      <c r="I389" s="4"/>
      <c r="J389" s="4"/>
      <c r="K389" s="5"/>
      <c r="L389" s="5"/>
      <c r="M389" s="5"/>
      <c r="O389" s="5"/>
      <c r="P389" s="5"/>
      <c r="Q389" s="5"/>
      <c r="S389" s="5"/>
      <c r="T389" s="5"/>
      <c r="U389" s="5"/>
      <c r="W389" s="5"/>
      <c r="X389" s="5"/>
      <c r="Y389" s="12"/>
      <c r="AA389" s="13"/>
      <c r="AB389" s="12"/>
      <c r="AD389" s="13"/>
      <c r="AE389" s="5"/>
      <c r="AF389" s="5"/>
      <c r="AH389" s="13"/>
      <c r="AI389" s="5"/>
      <c r="AK389" s="5"/>
      <c r="AL389" s="5"/>
      <c r="AM389" s="5"/>
      <c r="AO389" s="5"/>
      <c r="AP389" s="5"/>
      <c r="AR389" s="5"/>
      <c r="AS389" s="5"/>
      <c r="AT389" s="5"/>
      <c r="AV389" s="5"/>
      <c r="AW389" s="5"/>
      <c r="AY389" s="5"/>
      <c r="AZ389" s="5"/>
      <c r="BA389" s="5"/>
      <c r="BC389" s="5"/>
      <c r="BD389" s="5"/>
      <c r="BF389" s="5"/>
      <c r="BG389" s="5"/>
      <c r="BH389" s="5"/>
      <c r="BJ389" s="5"/>
      <c r="BK389" s="5"/>
      <c r="BL389" s="12"/>
      <c r="BM389" s="5"/>
      <c r="BN389" s="5"/>
      <c r="BO389" s="5"/>
      <c r="BQ389" s="5"/>
      <c r="BR389" s="5"/>
      <c r="BT389" s="5"/>
      <c r="BU389" s="5"/>
      <c r="BV389" s="5"/>
      <c r="BX389" s="5"/>
      <c r="BY389" s="5"/>
      <c r="CA389" s="13"/>
      <c r="CB389" s="7"/>
      <c r="CC389" s="11"/>
      <c r="CE389" s="13"/>
      <c r="CF389" s="5"/>
      <c r="CG389" s="12"/>
      <c r="CI389" s="13"/>
      <c r="CJ389" s="5"/>
      <c r="CK389" s="12"/>
      <c r="CM389" s="13"/>
      <c r="CN389" s="5"/>
      <c r="CO389" s="12"/>
      <c r="CQ389" s="13"/>
      <c r="CR389" s="5"/>
      <c r="CS389" s="12"/>
      <c r="CU389" s="13"/>
      <c r="CV389" s="5"/>
      <c r="CW389" s="12"/>
      <c r="CY389" s="13"/>
      <c r="CZ389" s="5"/>
      <c r="DA389" s="12"/>
      <c r="DC389" s="13"/>
      <c r="DD389" s="5"/>
      <c r="DE389" s="12"/>
      <c r="DG389" s="13"/>
      <c r="DH389" s="5"/>
      <c r="DI389" s="12"/>
      <c r="DK389" s="13"/>
      <c r="DL389" s="5"/>
      <c r="DM389" s="12"/>
      <c r="DO389" s="13"/>
      <c r="DP389" s="5"/>
      <c r="DQ389" s="12"/>
      <c r="DS389" s="1336">
        <f t="shared" si="7"/>
        <v>0</v>
      </c>
      <c r="DT389" s="121">
        <f>EXTRAS!D259</f>
        <v>0</v>
      </c>
      <c r="DU389" s="112">
        <f>EXTRAS!E259</f>
        <v>0</v>
      </c>
      <c r="DX389" s="203">
        <f t="shared" si="8"/>
        <v>0</v>
      </c>
      <c r="DY389" s="142">
        <v>13</v>
      </c>
      <c r="DZ389" s="924"/>
      <c r="EH389" s="924"/>
    </row>
    <row r="390" spans="1:138" s="6" customFormat="1" ht="15" customHeight="1">
      <c r="A390" s="3">
        <v>222</v>
      </c>
      <c r="B390" s="210" t="s">
        <v>70</v>
      </c>
      <c r="C390" s="473" t="s">
        <v>515</v>
      </c>
      <c r="D390" s="4"/>
      <c r="E390" s="5"/>
      <c r="F390" s="5"/>
      <c r="G390" s="4"/>
      <c r="H390" s="4"/>
      <c r="I390" s="4"/>
      <c r="J390" s="4"/>
      <c r="K390" s="5"/>
      <c r="L390" s="5"/>
      <c r="M390" s="5"/>
      <c r="O390" s="5"/>
      <c r="P390" s="5"/>
      <c r="Q390" s="5"/>
      <c r="S390" s="5"/>
      <c r="T390" s="5"/>
      <c r="U390" s="5"/>
      <c r="W390" s="5"/>
      <c r="X390" s="5"/>
      <c r="Y390" s="12"/>
      <c r="AA390" s="13"/>
      <c r="AB390" s="12"/>
      <c r="AD390" s="13"/>
      <c r="AE390" s="5"/>
      <c r="AF390" s="5"/>
      <c r="AH390" s="13"/>
      <c r="AI390" s="5"/>
      <c r="AK390" s="5"/>
      <c r="AL390" s="5"/>
      <c r="AM390" s="5"/>
      <c r="AO390" s="5"/>
      <c r="AP390" s="5"/>
      <c r="AR390" s="5"/>
      <c r="AS390" s="5"/>
      <c r="AT390" s="5"/>
      <c r="AV390" s="5"/>
      <c r="AW390" s="5"/>
      <c r="AY390" s="5"/>
      <c r="AZ390" s="5"/>
      <c r="BA390" s="5"/>
      <c r="BC390" s="5"/>
      <c r="BD390" s="5"/>
      <c r="BF390" s="5"/>
      <c r="BG390" s="5"/>
      <c r="BH390" s="5"/>
      <c r="BJ390" s="5"/>
      <c r="BK390" s="5"/>
      <c r="BL390" s="12"/>
      <c r="BM390" s="5"/>
      <c r="BN390" s="5"/>
      <c r="BO390" s="5"/>
      <c r="BQ390" s="5"/>
      <c r="BR390" s="5"/>
      <c r="BT390" s="5"/>
      <c r="BU390" s="5"/>
      <c r="BV390" s="5"/>
      <c r="BX390" s="5"/>
      <c r="BY390" s="5"/>
      <c r="CA390" s="13"/>
      <c r="CB390" s="7"/>
      <c r="CC390" s="11"/>
      <c r="CE390" s="13">
        <v>1</v>
      </c>
      <c r="CF390" s="5">
        <f>CF5*CE390+CG5*CE390+CF6*CE390+CG6*CE390+CF7*CE390+CG7*CE390+CF8*CE390+CG8*CE390+CF9*CE390+CG9*CE390+CF10*CE390+CG10*CE390+CF11*CE390+CG11*CE390+CF12*CE390+CG12*CE390+CF13*CE390+CG13*CE390+CF14*CE390+CG14*CE390+CF15*CE390+CG15*CE390+CF16*CE390+CG16*CE390+CF17*CE390+CG17*CE390+CF18*CE390+CG18*CE390+CF19*CE390+CG19*CE390+CF20*CE390+CG20*CE390+CF21*CE390+CG21*CE390+CF22*CE390+CG22*CE390+CF23*CE390+CG23*CE390+CF24*CE390+CG24*CE390+CF25*CE390+CG25*CE390+CF26*CE390+CG26*CE390</f>
        <v>0</v>
      </c>
      <c r="CG390" s="12"/>
      <c r="CI390" s="13"/>
      <c r="CJ390" s="5"/>
      <c r="CK390" s="12"/>
      <c r="CM390" s="13"/>
      <c r="CN390" s="5"/>
      <c r="CO390" s="12"/>
      <c r="CQ390" s="13"/>
      <c r="CR390" s="5"/>
      <c r="CS390" s="12"/>
      <c r="CU390" s="13"/>
      <c r="CV390" s="5"/>
      <c r="CW390" s="12"/>
      <c r="CY390" s="13">
        <v>1</v>
      </c>
      <c r="CZ390" s="5">
        <f>CZ5*CY390+DA5*CY390+CZ6*CY390+DA6*CY390+CZ7*CY390+DA7*CY390+CZ8*CY390+DA8*CY390+CZ9*CY390+DA9*CY390+CZ10*CY390+DA10*CY390+CZ11*CY390+DA11*CY390+CZ12*CY390+DA12*CY390+CZ13*CY390+DA13*CY390+CZ14*CY390+DA14*CY390+CZ15*CY390+DA15*CY390+CZ16*CY390+DA16*CY390+CZ17*CY390+DA17*CY390+CZ18*CY390+DA18*CY390+CZ19*CY390+DA19*CY390+CZ20*CY390+DA20*CY390+CZ21*CY390+DA21*CY390+CZ22*CY390+DA22*CY390+CZ23*CY390+DA23*CY390+CZ24*CY390+DA24*CY390+CZ25*CY390+DA25*CY390+CZ26*CY390+DA26*CY390</f>
        <v>0</v>
      </c>
      <c r="DA390" s="12"/>
      <c r="DC390" s="13"/>
      <c r="DD390" s="5"/>
      <c r="DE390" s="12"/>
      <c r="DG390" s="13"/>
      <c r="DH390" s="5"/>
      <c r="DI390" s="12"/>
      <c r="DK390" s="13"/>
      <c r="DL390" s="5"/>
      <c r="DM390" s="12"/>
      <c r="DO390" s="13"/>
      <c r="DP390" s="5"/>
      <c r="DQ390" s="12"/>
      <c r="DS390" s="1336">
        <f t="shared" si="7"/>
        <v>0</v>
      </c>
      <c r="DT390" s="121">
        <f>EXTRAS!D260</f>
        <v>0</v>
      </c>
      <c r="DU390" s="112">
        <f>EXTRAS!E260</f>
        <v>0</v>
      </c>
      <c r="DX390" s="203">
        <f t="shared" si="8"/>
        <v>0</v>
      </c>
      <c r="DY390" s="116">
        <v>34</v>
      </c>
      <c r="DZ390" s="924"/>
      <c r="EH390" s="924"/>
    </row>
    <row r="391" spans="1:138" s="6" customFormat="1" ht="15" customHeight="1">
      <c r="A391" s="3">
        <v>223</v>
      </c>
      <c r="B391" s="210" t="s">
        <v>157</v>
      </c>
      <c r="C391" s="473" t="s">
        <v>515</v>
      </c>
      <c r="D391" s="4"/>
      <c r="E391" s="5"/>
      <c r="F391" s="5"/>
      <c r="G391" s="4"/>
      <c r="H391" s="4"/>
      <c r="I391" s="4"/>
      <c r="J391" s="4"/>
      <c r="K391" s="5"/>
      <c r="L391" s="5"/>
      <c r="M391" s="5"/>
      <c r="O391" s="5"/>
      <c r="P391" s="5"/>
      <c r="Q391" s="5"/>
      <c r="S391" s="5"/>
      <c r="T391" s="5"/>
      <c r="U391" s="5"/>
      <c r="W391" s="5"/>
      <c r="X391" s="5"/>
      <c r="Y391" s="12"/>
      <c r="AA391" s="13"/>
      <c r="AB391" s="12"/>
      <c r="AD391" s="13"/>
      <c r="AE391" s="5"/>
      <c r="AF391" s="5"/>
      <c r="AH391" s="13"/>
      <c r="AI391" s="5"/>
      <c r="AK391" s="5"/>
      <c r="AL391" s="5"/>
      <c r="AM391" s="5"/>
      <c r="AO391" s="5"/>
      <c r="AP391" s="5"/>
      <c r="AR391" s="5"/>
      <c r="AS391" s="5"/>
      <c r="AT391" s="5"/>
      <c r="AV391" s="5"/>
      <c r="AW391" s="5"/>
      <c r="AY391" s="5"/>
      <c r="AZ391" s="5"/>
      <c r="BA391" s="5"/>
      <c r="BC391" s="5"/>
      <c r="BD391" s="5"/>
      <c r="BF391" s="5"/>
      <c r="BG391" s="5"/>
      <c r="BH391" s="5"/>
      <c r="BJ391" s="5"/>
      <c r="BK391" s="5"/>
      <c r="BL391" s="12"/>
      <c r="BM391" s="5"/>
      <c r="BN391" s="5"/>
      <c r="BO391" s="5"/>
      <c r="BQ391" s="5"/>
      <c r="BR391" s="5"/>
      <c r="BT391" s="5"/>
      <c r="BU391" s="5"/>
      <c r="BV391" s="5"/>
      <c r="BX391" s="5"/>
      <c r="BY391" s="5"/>
      <c r="CA391" s="13"/>
      <c r="CB391" s="7"/>
      <c r="CC391" s="11"/>
      <c r="CE391" s="13"/>
      <c r="CF391" s="5"/>
      <c r="CG391" s="12"/>
      <c r="CI391" s="13"/>
      <c r="CJ391" s="5"/>
      <c r="CK391" s="12"/>
      <c r="CM391" s="13"/>
      <c r="CN391" s="5"/>
      <c r="CO391" s="12"/>
      <c r="CQ391" s="13"/>
      <c r="CR391" s="5"/>
      <c r="CS391" s="12"/>
      <c r="CU391" s="13"/>
      <c r="CV391" s="5"/>
      <c r="CW391" s="12"/>
      <c r="CY391" s="13"/>
      <c r="CZ391" s="5"/>
      <c r="DA391" s="12"/>
      <c r="DC391" s="13"/>
      <c r="DD391" s="5"/>
      <c r="DE391" s="12"/>
      <c r="DG391" s="13"/>
      <c r="DH391" s="5"/>
      <c r="DI391" s="12"/>
      <c r="DK391" s="13"/>
      <c r="DL391" s="5"/>
      <c r="DM391" s="12"/>
      <c r="DO391" s="13"/>
      <c r="DP391" s="5"/>
      <c r="DQ391" s="12"/>
      <c r="DS391" s="1336">
        <f t="shared" si="7"/>
        <v>0</v>
      </c>
      <c r="DT391" s="121">
        <f>EXTRAS!D261</f>
        <v>0</v>
      </c>
      <c r="DU391" s="112">
        <f>EXTRAS!E261</f>
        <v>0</v>
      </c>
      <c r="DX391" s="203">
        <f t="shared" si="8"/>
        <v>0</v>
      </c>
      <c r="DY391" s="142">
        <v>13</v>
      </c>
      <c r="DZ391" s="924"/>
      <c r="EH391" s="924"/>
    </row>
    <row r="392" spans="1:138" s="6" customFormat="1" ht="15" customHeight="1">
      <c r="A392" s="3">
        <v>224</v>
      </c>
      <c r="B392" s="210" t="s">
        <v>71</v>
      </c>
      <c r="C392" s="473" t="s">
        <v>515</v>
      </c>
      <c r="D392" s="4"/>
      <c r="E392" s="5"/>
      <c r="F392" s="5"/>
      <c r="G392" s="4"/>
      <c r="H392" s="4"/>
      <c r="I392" s="4"/>
      <c r="J392" s="4"/>
      <c r="K392" s="5"/>
      <c r="L392" s="5"/>
      <c r="M392" s="5"/>
      <c r="O392" s="5"/>
      <c r="P392" s="5"/>
      <c r="Q392" s="5"/>
      <c r="S392" s="5"/>
      <c r="T392" s="5"/>
      <c r="U392" s="5"/>
      <c r="W392" s="5"/>
      <c r="X392" s="5"/>
      <c r="Y392" s="12"/>
      <c r="AA392" s="13"/>
      <c r="AB392" s="12"/>
      <c r="AD392" s="13"/>
      <c r="AE392" s="5"/>
      <c r="AF392" s="5"/>
      <c r="AH392" s="13"/>
      <c r="AI392" s="5"/>
      <c r="AK392" s="5"/>
      <c r="AL392" s="5"/>
      <c r="AM392" s="5"/>
      <c r="AO392" s="5"/>
      <c r="AP392" s="5"/>
      <c r="AR392" s="5"/>
      <c r="AS392" s="5"/>
      <c r="AT392" s="5"/>
      <c r="AV392" s="5"/>
      <c r="AW392" s="5"/>
      <c r="AY392" s="5"/>
      <c r="AZ392" s="5"/>
      <c r="BA392" s="5"/>
      <c r="BC392" s="5"/>
      <c r="BD392" s="5"/>
      <c r="BF392" s="5"/>
      <c r="BG392" s="5"/>
      <c r="BH392" s="5"/>
      <c r="BJ392" s="5"/>
      <c r="BK392" s="5"/>
      <c r="BL392" s="12"/>
      <c r="BM392" s="5"/>
      <c r="BN392" s="5"/>
      <c r="BO392" s="5"/>
      <c r="BQ392" s="5"/>
      <c r="BR392" s="5"/>
      <c r="BT392" s="5"/>
      <c r="BU392" s="5"/>
      <c r="BV392" s="5"/>
      <c r="BX392" s="5"/>
      <c r="BY392" s="5"/>
      <c r="CA392" s="13"/>
      <c r="CB392" s="7"/>
      <c r="CC392" s="11"/>
      <c r="CE392" s="13"/>
      <c r="CF392" s="5"/>
      <c r="CG392" s="12"/>
      <c r="CI392" s="13">
        <v>1</v>
      </c>
      <c r="CJ392" s="5">
        <f>CJ5*CI392+CK5*CI392+CJ6*CI392+CK6*CI392+CJ7*CI392+CK7*CI392+CJ8*CI392+CK8*CI392+CJ9*CI392+CK9*CI392+CJ10*CI392+CK10*CI392+CJ11*CI392+CK11*CI392+CJ12*CI392+CK12*CI392+CJ13*CI392+CK13*CI392+CJ14*CI392+CK14*CI392+CJ15*CI392+CK15*CI392+CJ16*CI392+CK16*CI392+CJ17*CI392+CK17*CI392+CJ18*CI392+CK18*CI392+CJ19*CI392+CK19*CI392+CJ20*CI392+CK20*CI392+CJ21*CI392+CK21*CI392+CJ22*CI392+CK22*CI392+CJ23*CI392+CK23*CI392+CJ24*CI392+CK24*CI392+CJ25*CI392+CK25*CI392+CJ26*CI392+CK26*CI392</f>
        <v>0</v>
      </c>
      <c r="CK392" s="12"/>
      <c r="CM392" s="13"/>
      <c r="CN392" s="5"/>
      <c r="CO392" s="12"/>
      <c r="CQ392" s="13"/>
      <c r="CR392" s="5"/>
      <c r="CS392" s="12"/>
      <c r="CU392" s="13"/>
      <c r="CV392" s="5"/>
      <c r="CW392" s="12"/>
      <c r="CY392" s="13"/>
      <c r="CZ392" s="5"/>
      <c r="DA392" s="12"/>
      <c r="DC392" s="13">
        <v>1</v>
      </c>
      <c r="DD392" s="5">
        <f>DD5*DC392+DE5*DC392+DD6*DC392+DE6*DC392+DD7*DC392+DE7*DC392+DD8*DC392+DE8*DC392+DD9*DC392+DE9*DC392+DD10*DC392+DE10*DC392+DD11*DC392+DE11*DC392+DD12*DC392+DE12*DC392+DD13*DC392+DE13*DC392+DD14*DC392+DE14*DC392+DD15*DC392+DE15*DC392+DD16*DC392+DE16*DC392+DD17*DC392+DE17*DC392+DD18*DC392+DE18*DC392+DD19*DC392+DE19*DC392+DD20*DC392+DE20*DC392+DD21*DC392+DE21*DC392+DD22*DC392+DE22*DC392+DD23*DC392+DE23*DC392+DD24*DC392+DE24*DC392+DD25*DC392+DE25*DC392+DD26*DC392+DE26*DC392</f>
        <v>0</v>
      </c>
      <c r="DE392" s="12"/>
      <c r="DG392" s="13"/>
      <c r="DH392" s="5"/>
      <c r="DI392" s="12"/>
      <c r="DK392" s="13"/>
      <c r="DL392" s="5"/>
      <c r="DM392" s="12"/>
      <c r="DO392" s="13"/>
      <c r="DP392" s="5"/>
      <c r="DQ392" s="12"/>
      <c r="DS392" s="1336">
        <f t="shared" si="7"/>
        <v>0</v>
      </c>
      <c r="DT392" s="121">
        <f>EXTRAS!D262</f>
        <v>0</v>
      </c>
      <c r="DU392" s="112">
        <f>EXTRAS!E262</f>
        <v>0</v>
      </c>
      <c r="DX392" s="203">
        <f t="shared" si="8"/>
        <v>0</v>
      </c>
      <c r="DY392" s="116">
        <v>34</v>
      </c>
      <c r="DZ392" s="924"/>
      <c r="EH392" s="924"/>
    </row>
    <row r="393" spans="1:138" s="6" customFormat="1" ht="15" customHeight="1">
      <c r="A393" s="3">
        <v>225</v>
      </c>
      <c r="B393" s="210" t="s">
        <v>158</v>
      </c>
      <c r="C393" s="473" t="s">
        <v>515</v>
      </c>
      <c r="D393" s="4"/>
      <c r="E393" s="5"/>
      <c r="F393" s="5"/>
      <c r="G393" s="4"/>
      <c r="H393" s="4"/>
      <c r="I393" s="4"/>
      <c r="J393" s="4"/>
      <c r="K393" s="5"/>
      <c r="L393" s="5"/>
      <c r="M393" s="5"/>
      <c r="O393" s="5"/>
      <c r="P393" s="5"/>
      <c r="Q393" s="5"/>
      <c r="S393" s="5"/>
      <c r="T393" s="5"/>
      <c r="U393" s="5"/>
      <c r="W393" s="5"/>
      <c r="X393" s="5"/>
      <c r="Y393" s="12"/>
      <c r="AA393" s="13"/>
      <c r="AB393" s="12"/>
      <c r="AD393" s="13"/>
      <c r="AE393" s="5"/>
      <c r="AF393" s="5"/>
      <c r="AH393" s="13"/>
      <c r="AI393" s="5"/>
      <c r="AK393" s="5"/>
      <c r="AL393" s="5"/>
      <c r="AM393" s="5"/>
      <c r="AO393" s="5"/>
      <c r="AP393" s="5"/>
      <c r="AR393" s="5"/>
      <c r="AS393" s="5"/>
      <c r="AT393" s="5"/>
      <c r="AV393" s="5"/>
      <c r="AW393" s="5"/>
      <c r="AY393" s="5"/>
      <c r="AZ393" s="5"/>
      <c r="BA393" s="5"/>
      <c r="BC393" s="5"/>
      <c r="BD393" s="5"/>
      <c r="BF393" s="5"/>
      <c r="BG393" s="5"/>
      <c r="BH393" s="5"/>
      <c r="BJ393" s="5"/>
      <c r="BK393" s="5"/>
      <c r="BL393" s="12"/>
      <c r="BM393" s="5"/>
      <c r="BN393" s="5"/>
      <c r="BO393" s="5"/>
      <c r="BQ393" s="5"/>
      <c r="BR393" s="5"/>
      <c r="BT393" s="5"/>
      <c r="BU393" s="5"/>
      <c r="BV393" s="5"/>
      <c r="BX393" s="5"/>
      <c r="BY393" s="5"/>
      <c r="CA393" s="13"/>
      <c r="CB393" s="7"/>
      <c r="CC393" s="11"/>
      <c r="CE393" s="13"/>
      <c r="CF393" s="5"/>
      <c r="CG393" s="12"/>
      <c r="CI393" s="13"/>
      <c r="CJ393" s="5"/>
      <c r="CK393" s="12"/>
      <c r="CM393" s="13"/>
      <c r="CN393" s="5"/>
      <c r="CO393" s="12"/>
      <c r="CQ393" s="13"/>
      <c r="CR393" s="5"/>
      <c r="CS393" s="12"/>
      <c r="CU393" s="13"/>
      <c r="CV393" s="5"/>
      <c r="CW393" s="12"/>
      <c r="CY393" s="13"/>
      <c r="CZ393" s="5"/>
      <c r="DA393" s="12"/>
      <c r="DC393" s="13"/>
      <c r="DD393" s="5"/>
      <c r="DE393" s="12"/>
      <c r="DG393" s="13"/>
      <c r="DH393" s="5"/>
      <c r="DI393" s="12"/>
      <c r="DK393" s="13"/>
      <c r="DL393" s="5"/>
      <c r="DM393" s="12"/>
      <c r="DO393" s="13"/>
      <c r="DP393" s="5"/>
      <c r="DQ393" s="12"/>
      <c r="DS393" s="1336">
        <f t="shared" si="7"/>
        <v>0</v>
      </c>
      <c r="DT393" s="121">
        <f>EXTRAS!D263</f>
        <v>0</v>
      </c>
      <c r="DU393" s="112">
        <f>EXTRAS!E263</f>
        <v>0</v>
      </c>
      <c r="DX393" s="203">
        <f t="shared" si="8"/>
        <v>0</v>
      </c>
      <c r="DY393" s="142">
        <v>13</v>
      </c>
      <c r="DZ393" s="924"/>
      <c r="EH393" s="924"/>
    </row>
    <row r="394" spans="1:138" s="6" customFormat="1" ht="15" customHeight="1">
      <c r="A394" s="3">
        <v>226</v>
      </c>
      <c r="B394" s="210" t="s">
        <v>72</v>
      </c>
      <c r="C394" s="473" t="s">
        <v>515</v>
      </c>
      <c r="D394" s="4"/>
      <c r="E394" s="5"/>
      <c r="F394" s="5"/>
      <c r="G394" s="4"/>
      <c r="H394" s="4"/>
      <c r="I394" s="4"/>
      <c r="J394" s="4"/>
      <c r="K394" s="5"/>
      <c r="L394" s="5"/>
      <c r="M394" s="5"/>
      <c r="O394" s="5"/>
      <c r="P394" s="5"/>
      <c r="Q394" s="5"/>
      <c r="S394" s="5"/>
      <c r="T394" s="5"/>
      <c r="U394" s="5"/>
      <c r="W394" s="5"/>
      <c r="X394" s="5"/>
      <c r="Y394" s="12"/>
      <c r="AA394" s="13"/>
      <c r="AB394" s="12"/>
      <c r="AD394" s="13"/>
      <c r="AE394" s="5"/>
      <c r="AF394" s="5"/>
      <c r="AH394" s="13"/>
      <c r="AI394" s="5"/>
      <c r="AK394" s="5"/>
      <c r="AL394" s="5"/>
      <c r="AM394" s="5"/>
      <c r="AO394" s="5"/>
      <c r="AP394" s="5"/>
      <c r="AR394" s="5"/>
      <c r="AS394" s="5"/>
      <c r="AT394" s="5"/>
      <c r="AV394" s="5"/>
      <c r="AW394" s="5"/>
      <c r="AY394" s="5"/>
      <c r="AZ394" s="5"/>
      <c r="BA394" s="5"/>
      <c r="BC394" s="5"/>
      <c r="BD394" s="5"/>
      <c r="BF394" s="5"/>
      <c r="BG394" s="5"/>
      <c r="BH394" s="5"/>
      <c r="BJ394" s="5"/>
      <c r="BK394" s="5"/>
      <c r="BL394" s="12"/>
      <c r="BM394" s="5"/>
      <c r="BN394" s="5"/>
      <c r="BO394" s="5"/>
      <c r="BQ394" s="5"/>
      <c r="BR394" s="5"/>
      <c r="BT394" s="5"/>
      <c r="BU394" s="5"/>
      <c r="BV394" s="5"/>
      <c r="BX394" s="5"/>
      <c r="BY394" s="5"/>
      <c r="CA394" s="13"/>
      <c r="CB394" s="7"/>
      <c r="CC394" s="11"/>
      <c r="CE394" s="13"/>
      <c r="CF394" s="5"/>
      <c r="CG394" s="12"/>
      <c r="CI394" s="13"/>
      <c r="CJ394" s="5"/>
      <c r="CK394" s="12"/>
      <c r="CM394" s="13">
        <v>1</v>
      </c>
      <c r="CN394" s="5">
        <f>CN5*CM394+CO5*CM394+CN6*CM394+CO6*CM394+CN7*CM394+CO7*CM394+CN8*CM394+CO8*CM394+CN9*CM394+CO9*CM394+CN10*CM394+CO10*CM394+CN11*CM394+CO11*CM394+CN12*CM394+CO12*CM394+CN13*CM394+CO13*CM394+CN14*CM394+CO14*CM394+CN15*CM394+CO15*CM394+CN16*CM394+CO16*CM394+CN17*CM394+CO17*CM394+CN18*CM394+CO18*CM394+CN19*CM394+CO19*CM394+CN20*CM394+CO20*CM394+CN21*CM394+CO21*CM394+CN22*CM394+CO22*CM394+CN23*CM394+CO23*CM394+CN24*CM394+CO24*CM394+CN25*CM394+CO25*CM394+CN26*CM394+CO26*CM394</f>
        <v>0</v>
      </c>
      <c r="CO394" s="12"/>
      <c r="CQ394" s="13"/>
      <c r="CR394" s="5"/>
      <c r="CS394" s="12"/>
      <c r="CU394" s="13"/>
      <c r="CV394" s="5"/>
      <c r="CW394" s="12"/>
      <c r="CY394" s="13"/>
      <c r="CZ394" s="5"/>
      <c r="DA394" s="12"/>
      <c r="DC394" s="13"/>
      <c r="DD394" s="5"/>
      <c r="DE394" s="12"/>
      <c r="DG394" s="13">
        <v>1</v>
      </c>
      <c r="DH394" s="5">
        <f>DH5*DG394+DI5*DG394+DH6*DG394+DI6*DG394+DH7*DG394+DI7*DG394+DH8*DG394+DI8*DG394+DH9*DG394+DI9*DG394+DH10*DG394+DI10*DG394+DH11*DG394+DI11*DG394+DH12*DG394+DI12*DG394+DH13*DG394+DI13*DG394+DH14*DG394+DI14*DG394+DH15*DG394+DI15*DG394+DH16*DG394+DI16*DG394+DH17*DG394+DI17*DG394+DH18*DG394+DI18*DG394+DH19*DG394+DI19*DG394+DH20*DG394+DI20*DG394+DH21*DG394+DI21*DG394+DH22*DG394+DI22*DG394+DH23*DG394+DI23*DG394+DH24*DG394+DI24*DG394+DH25*DG394+DI25*DG394+DH26*DG394+DI26*DG394</f>
        <v>0</v>
      </c>
      <c r="DI394" s="12"/>
      <c r="DK394" s="13"/>
      <c r="DL394" s="5"/>
      <c r="DM394" s="12"/>
      <c r="DO394" s="13"/>
      <c r="DP394" s="5"/>
      <c r="DQ394" s="12"/>
      <c r="DS394" s="1336">
        <f t="shared" si="7"/>
        <v>0</v>
      </c>
      <c r="DT394" s="121">
        <f>EXTRAS!D264</f>
        <v>0</v>
      </c>
      <c r="DU394" s="112">
        <f>EXTRAS!E264</f>
        <v>0</v>
      </c>
      <c r="DX394" s="203">
        <f t="shared" si="8"/>
        <v>0</v>
      </c>
      <c r="DY394" s="116">
        <v>34</v>
      </c>
      <c r="DZ394" s="924"/>
      <c r="EH394" s="924"/>
    </row>
    <row r="395" spans="1:138" s="6" customFormat="1" ht="15" customHeight="1">
      <c r="A395" s="3">
        <v>227</v>
      </c>
      <c r="B395" s="210" t="s">
        <v>159</v>
      </c>
      <c r="C395" s="473" t="s">
        <v>515</v>
      </c>
      <c r="D395" s="4"/>
      <c r="E395" s="5"/>
      <c r="F395" s="5"/>
      <c r="G395" s="4"/>
      <c r="H395" s="4"/>
      <c r="I395" s="4"/>
      <c r="J395" s="4"/>
      <c r="K395" s="5"/>
      <c r="L395" s="5"/>
      <c r="M395" s="5"/>
      <c r="O395" s="5"/>
      <c r="P395" s="5"/>
      <c r="Q395" s="5"/>
      <c r="S395" s="5"/>
      <c r="T395" s="5"/>
      <c r="U395" s="5"/>
      <c r="W395" s="5"/>
      <c r="X395" s="5"/>
      <c r="Y395" s="12"/>
      <c r="AA395" s="13"/>
      <c r="AB395" s="12"/>
      <c r="AD395" s="13"/>
      <c r="AE395" s="5"/>
      <c r="AF395" s="5"/>
      <c r="AH395" s="13"/>
      <c r="AI395" s="5"/>
      <c r="AK395" s="5"/>
      <c r="AL395" s="5"/>
      <c r="AM395" s="5"/>
      <c r="AO395" s="5"/>
      <c r="AP395" s="5"/>
      <c r="AR395" s="5"/>
      <c r="AS395" s="5"/>
      <c r="AT395" s="5"/>
      <c r="AV395" s="5"/>
      <c r="AW395" s="5"/>
      <c r="AY395" s="5"/>
      <c r="AZ395" s="5"/>
      <c r="BA395" s="5"/>
      <c r="BC395" s="5"/>
      <c r="BD395" s="5"/>
      <c r="BF395" s="5"/>
      <c r="BG395" s="5"/>
      <c r="BH395" s="5"/>
      <c r="BJ395" s="5"/>
      <c r="BK395" s="5"/>
      <c r="BL395" s="12"/>
      <c r="BM395" s="5"/>
      <c r="BN395" s="5"/>
      <c r="BO395" s="5"/>
      <c r="BQ395" s="5"/>
      <c r="BR395" s="5"/>
      <c r="BT395" s="5"/>
      <c r="BU395" s="5"/>
      <c r="BV395" s="5"/>
      <c r="BX395" s="5"/>
      <c r="BY395" s="5"/>
      <c r="CA395" s="13"/>
      <c r="CB395" s="7"/>
      <c r="CC395" s="11"/>
      <c r="CE395" s="13"/>
      <c r="CF395" s="5"/>
      <c r="CG395" s="12"/>
      <c r="CI395" s="13"/>
      <c r="CJ395" s="5"/>
      <c r="CK395" s="12"/>
      <c r="CM395" s="13"/>
      <c r="CN395" s="5"/>
      <c r="CO395" s="12"/>
      <c r="CQ395" s="13"/>
      <c r="CR395" s="5"/>
      <c r="CS395" s="12"/>
      <c r="CU395" s="13"/>
      <c r="CV395" s="5"/>
      <c r="CW395" s="12"/>
      <c r="CY395" s="13"/>
      <c r="CZ395" s="5"/>
      <c r="DA395" s="12"/>
      <c r="DC395" s="13"/>
      <c r="DD395" s="5"/>
      <c r="DE395" s="12"/>
      <c r="DG395" s="13"/>
      <c r="DH395" s="5"/>
      <c r="DI395" s="12"/>
      <c r="DK395" s="13"/>
      <c r="DL395" s="5"/>
      <c r="DM395" s="12"/>
      <c r="DO395" s="13"/>
      <c r="DP395" s="5"/>
      <c r="DQ395" s="12"/>
      <c r="DS395" s="1336">
        <f t="shared" si="7"/>
        <v>0</v>
      </c>
      <c r="DT395" s="121">
        <f>EXTRAS!D265</f>
        <v>0</v>
      </c>
      <c r="DU395" s="112">
        <f>EXTRAS!E265</f>
        <v>0</v>
      </c>
      <c r="DX395" s="203">
        <f t="shared" si="8"/>
        <v>0</v>
      </c>
      <c r="DY395" s="142">
        <v>13</v>
      </c>
      <c r="DZ395" s="924"/>
      <c r="EH395" s="924"/>
    </row>
    <row r="396" spans="1:138" s="6" customFormat="1" ht="15" customHeight="1">
      <c r="A396" s="3">
        <v>228</v>
      </c>
      <c r="B396" s="210" t="s">
        <v>73</v>
      </c>
      <c r="C396" s="473" t="s">
        <v>515</v>
      </c>
      <c r="D396" s="4"/>
      <c r="E396" s="5"/>
      <c r="F396" s="5"/>
      <c r="G396" s="4"/>
      <c r="H396" s="4"/>
      <c r="I396" s="4"/>
      <c r="J396" s="4"/>
      <c r="K396" s="5"/>
      <c r="L396" s="5"/>
      <c r="M396" s="5"/>
      <c r="O396" s="5"/>
      <c r="P396" s="5"/>
      <c r="Q396" s="5"/>
      <c r="S396" s="5"/>
      <c r="T396" s="5"/>
      <c r="U396" s="5"/>
      <c r="W396" s="5"/>
      <c r="X396" s="5"/>
      <c r="Y396" s="12"/>
      <c r="AA396" s="13"/>
      <c r="AB396" s="12"/>
      <c r="AD396" s="13"/>
      <c r="AE396" s="5"/>
      <c r="AF396" s="5"/>
      <c r="AH396" s="13"/>
      <c r="AI396" s="5"/>
      <c r="AK396" s="5"/>
      <c r="AL396" s="5"/>
      <c r="AM396" s="5"/>
      <c r="AO396" s="5"/>
      <c r="AP396" s="5"/>
      <c r="AR396" s="5"/>
      <c r="AS396" s="5"/>
      <c r="AT396" s="5"/>
      <c r="AV396" s="5"/>
      <c r="AW396" s="5"/>
      <c r="AY396" s="5"/>
      <c r="AZ396" s="5"/>
      <c r="BA396" s="5"/>
      <c r="BC396" s="5"/>
      <c r="BD396" s="5"/>
      <c r="BF396" s="5"/>
      <c r="BG396" s="5"/>
      <c r="BH396" s="5"/>
      <c r="BJ396" s="5"/>
      <c r="BK396" s="5"/>
      <c r="BL396" s="12"/>
      <c r="BM396" s="5"/>
      <c r="BN396" s="5"/>
      <c r="BO396" s="5"/>
      <c r="BQ396" s="5"/>
      <c r="BR396" s="5"/>
      <c r="BT396" s="5"/>
      <c r="BU396" s="5"/>
      <c r="BV396" s="5"/>
      <c r="BX396" s="5"/>
      <c r="BY396" s="5"/>
      <c r="CA396" s="13"/>
      <c r="CB396" s="7"/>
      <c r="CC396" s="11"/>
      <c r="CE396" s="13"/>
      <c r="CF396" s="5"/>
      <c r="CG396" s="12"/>
      <c r="CI396" s="13"/>
      <c r="CJ396" s="5"/>
      <c r="CK396" s="12"/>
      <c r="CM396" s="13"/>
      <c r="CN396" s="5"/>
      <c r="CO396" s="12"/>
      <c r="CQ396" s="13">
        <v>1</v>
      </c>
      <c r="CR396" s="5">
        <f>CR5*CQ396+CS5*CQ396+CR6*CQ396+CS6*CQ396+CR7*CQ396+CS7*CQ396+CR8*CQ396+CS8*CQ396+CR9*CQ396+CS9*CQ396+CR10*CQ396+CS10*CQ396+CR11*CQ396+CS11*CQ396+CR12*CQ396+CS12*CQ396+CR13*CQ396+CS13*CQ396+CR14*CQ396+CS14*CQ396+CR15*CQ396+CS15*CQ396+CR16*CQ396+CS16*CQ396+CR17*CQ396+CS17*CQ396+CR18*CQ396+CS18*CQ396+CR19*CQ396+CS19*CQ396+CR20*CQ396+CS20*CQ396+CR21*CQ396+CS21*CQ396+CR22*CQ396+CS22*CQ396+CR23*CQ396+CS23*CQ396+CR24*CQ396+CS24*CQ396+CR25*CQ396+CS25*CQ396+CR26*CQ396+CS26*CQ396</f>
        <v>0</v>
      </c>
      <c r="CS396" s="12"/>
      <c r="CU396" s="13"/>
      <c r="CV396" s="5"/>
      <c r="CW396" s="12"/>
      <c r="CY396" s="13"/>
      <c r="CZ396" s="5"/>
      <c r="DA396" s="12"/>
      <c r="DC396" s="13"/>
      <c r="DD396" s="5"/>
      <c r="DE396" s="12"/>
      <c r="DG396" s="13"/>
      <c r="DH396" s="5"/>
      <c r="DI396" s="12"/>
      <c r="DK396" s="13">
        <v>1</v>
      </c>
      <c r="DL396" s="5">
        <f>DL5*DK396+DM5*DK396+DL6*DK396+DM6*DK396+DL7*DK396+DM7*DK396+DL8*DK396+DM8*DK396+DL9*DK396+DM9*DK396+DL10*DK396+DM10*DK396+DL11*DK396+DM11*DK396+DL12*DK396+DM12*DK396+DL13*DK396+DM13*DK396+DL14*DK396+DM14*DK396+DL15*DK396+DM15*DK396+DL16*DK396+DM16*DK396+DL17*DK396+DM17*DK396+DL18*DK396+DM18*DK396+DL19*DK396+DM19*DK396+DL20*DK396+DM20*DK396+DL21*DK396+DM21*DK396+DL22*DK396+DM22*DK396+DL23*DK396+DM23*DK396+DL24*DK396+DM24*DK396+DL25*DK396+DM25*DK396+DL26*DK396+DM26*DK396</f>
        <v>0</v>
      </c>
      <c r="DM396" s="12"/>
      <c r="DO396" s="13"/>
      <c r="DP396" s="5"/>
      <c r="DQ396" s="12"/>
      <c r="DS396" s="1336">
        <f t="shared" si="7"/>
        <v>0</v>
      </c>
      <c r="DT396" s="121">
        <f>EXTRAS!D266</f>
        <v>0</v>
      </c>
      <c r="DU396" s="112">
        <f>EXTRAS!E266</f>
        <v>0</v>
      </c>
      <c r="DX396" s="203">
        <f t="shared" si="8"/>
        <v>0</v>
      </c>
      <c r="DY396" s="116">
        <v>34</v>
      </c>
      <c r="DZ396" s="924"/>
      <c r="EH396" s="924"/>
    </row>
    <row r="397" spans="1:138" s="6" customFormat="1" ht="15" customHeight="1">
      <c r="A397" s="3"/>
      <c r="B397" s="210" t="s">
        <v>1552</v>
      </c>
      <c r="C397" s="473"/>
      <c r="D397" s="138"/>
      <c r="G397" s="138"/>
      <c r="H397" s="138"/>
      <c r="I397" s="138"/>
      <c r="J397" s="138"/>
      <c r="DS397" s="1336">
        <f t="shared" si="7"/>
        <v>0</v>
      </c>
      <c r="DT397" s="121">
        <f>EXTRAS!D267</f>
        <v>0</v>
      </c>
      <c r="DU397" s="112">
        <f>EXTRAS!E267</f>
        <v>0</v>
      </c>
      <c r="DX397" s="203">
        <f t="shared" si="8"/>
        <v>0</v>
      </c>
      <c r="DY397" s="142">
        <v>13</v>
      </c>
      <c r="DZ397" s="924"/>
      <c r="EH397" s="924"/>
    </row>
    <row r="398" spans="1:138" s="6" customFormat="1" ht="15" customHeight="1">
      <c r="A398" s="3"/>
      <c r="B398" s="210" t="s">
        <v>1553</v>
      </c>
      <c r="C398" s="473"/>
      <c r="D398" s="138"/>
      <c r="G398" s="138"/>
      <c r="H398" s="138"/>
      <c r="I398" s="138"/>
      <c r="J398" s="138"/>
      <c r="CU398" s="6">
        <v>1</v>
      </c>
      <c r="CV398" s="6">
        <f>SUM(CV5:CV26,CW5:CW26)*CU398</f>
        <v>0</v>
      </c>
      <c r="DO398" s="6">
        <v>1</v>
      </c>
      <c r="DP398" s="6">
        <f>DO398*SUM(DP5:DP26,DQ5:DQ26)</f>
        <v>0</v>
      </c>
      <c r="DS398" s="1336">
        <f t="shared" si="7"/>
        <v>0</v>
      </c>
      <c r="DT398" s="121">
        <f>EXTRAS!D268</f>
        <v>0</v>
      </c>
      <c r="DU398" s="112">
        <f>EXTRAS!E268</f>
        <v>0</v>
      </c>
      <c r="DX398" s="203">
        <f t="shared" si="8"/>
        <v>0</v>
      </c>
      <c r="DY398" s="116">
        <v>34</v>
      </c>
      <c r="DZ398" s="924"/>
      <c r="EH398" s="924"/>
    </row>
    <row r="399" spans="1:138" s="6" customFormat="1" ht="15.75" customHeight="1">
      <c r="A399" s="3">
        <v>229</v>
      </c>
      <c r="B399" s="214" t="s">
        <v>374</v>
      </c>
      <c r="C399" s="473" t="s">
        <v>515</v>
      </c>
      <c r="E399" s="138"/>
      <c r="F399" s="138"/>
      <c r="H399" s="138"/>
      <c r="I399" s="138"/>
      <c r="DS399" s="1336">
        <f t="shared" si="7"/>
        <v>0</v>
      </c>
      <c r="DT399" s="121">
        <f>EXTRAS!D269</f>
        <v>0</v>
      </c>
      <c r="DU399" s="112">
        <f>EXTRAS!E269</f>
        <v>0</v>
      </c>
      <c r="DX399" s="203">
        <f t="shared" si="8"/>
        <v>0</v>
      </c>
      <c r="DY399" s="142">
        <v>13</v>
      </c>
      <c r="DZ399" s="924"/>
      <c r="EH399" s="924"/>
    </row>
    <row r="400" spans="1:138" ht="15" customHeight="1">
      <c r="A400" s="3">
        <v>230</v>
      </c>
      <c r="B400" s="214" t="s">
        <v>375</v>
      </c>
      <c r="C400" s="473" t="s">
        <v>515</v>
      </c>
      <c r="E400" s="138"/>
      <c r="F400" s="138"/>
      <c r="H400" s="138"/>
      <c r="I400" s="138"/>
      <c r="AL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  <c r="BC400" s="6"/>
      <c r="BD400" s="6"/>
      <c r="BE400" s="6"/>
      <c r="BF400" s="6"/>
      <c r="BG400" s="6"/>
      <c r="BH400" s="6"/>
      <c r="BI400" s="6"/>
      <c r="BJ400" s="6"/>
      <c r="BK400" s="6"/>
      <c r="BL400" s="6"/>
      <c r="BM400" s="6"/>
      <c r="BN400" s="6"/>
      <c r="BO400" s="6"/>
      <c r="BP400" s="6"/>
      <c r="BQ400" s="6"/>
      <c r="BR400" s="6"/>
      <c r="BS400" s="6"/>
      <c r="BT400" s="6"/>
      <c r="BU400" s="6"/>
      <c r="BV400" s="6"/>
      <c r="BW400" s="6"/>
      <c r="BX400" s="6"/>
      <c r="BY400" s="6"/>
      <c r="BZ400" s="6"/>
      <c r="CA400" s="6"/>
      <c r="CB400" s="6"/>
      <c r="CC400" s="6"/>
      <c r="DO400" s="6"/>
      <c r="DP400" s="6"/>
      <c r="DQ400" s="6"/>
      <c r="DS400" s="1336">
        <f t="shared" ref="DS400:DS463" si="39">I400+L400+M400+P400+T400+X400+AB400+AE400+F400+CR400+AI400+AL400+AP400+AS400+AW400+AZ400+BD400+BG400+BK400+BN400+BR400+BU400+BY400+CB400+CF400+CJ400+CN400+CV400+CZ400+DD400+DH400+DL400+DP400</f>
        <v>0</v>
      </c>
      <c r="DT400" s="121">
        <f>EXTRAS!D270</f>
        <v>0</v>
      </c>
      <c r="DU400" s="112">
        <f>EXTRAS!E270</f>
        <v>0</v>
      </c>
      <c r="DX400" s="203">
        <f t="shared" si="8"/>
        <v>0</v>
      </c>
      <c r="DY400" s="116">
        <v>34</v>
      </c>
      <c r="DZ400" s="924"/>
      <c r="EH400" s="924"/>
    </row>
    <row r="401" spans="1:138" ht="15" customHeight="1">
      <c r="A401" s="3">
        <v>231</v>
      </c>
      <c r="B401" s="214" t="s">
        <v>376</v>
      </c>
      <c r="C401" s="473" t="s">
        <v>515</v>
      </c>
      <c r="E401" s="138"/>
      <c r="F401" s="138"/>
      <c r="H401" s="138"/>
      <c r="I401" s="138"/>
      <c r="AL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  <c r="BC401" s="6"/>
      <c r="BD401" s="6"/>
      <c r="BE401" s="6"/>
      <c r="BF401" s="6"/>
      <c r="BG401" s="6"/>
      <c r="BH401" s="6"/>
      <c r="BI401" s="6"/>
      <c r="BJ401" s="6"/>
      <c r="BK401" s="6"/>
      <c r="BL401" s="6"/>
      <c r="BM401" s="6"/>
      <c r="BN401" s="6"/>
      <c r="BO401" s="6"/>
      <c r="BP401" s="6"/>
      <c r="BQ401" s="6"/>
      <c r="BR401" s="6"/>
      <c r="BS401" s="6"/>
      <c r="BT401" s="6"/>
      <c r="BU401" s="6"/>
      <c r="BV401" s="6"/>
      <c r="BW401" s="6"/>
      <c r="BX401" s="6"/>
      <c r="BY401" s="6"/>
      <c r="BZ401" s="6"/>
      <c r="CA401" s="6"/>
      <c r="CB401" s="6"/>
      <c r="CC401" s="6"/>
      <c r="DO401" s="6"/>
      <c r="DP401" s="6"/>
      <c r="DQ401" s="6"/>
      <c r="DS401" s="1336">
        <f t="shared" si="39"/>
        <v>0</v>
      </c>
      <c r="DT401" s="121">
        <f>EXTRAS!D271</f>
        <v>0</v>
      </c>
      <c r="DU401" s="112">
        <f>EXTRAS!E271</f>
        <v>0</v>
      </c>
      <c r="DX401" s="203">
        <f t="shared" ref="DX401:DX464" si="40">I401+L401+M401+P401+T401+X401+AB401+AE401+F401+CR401+AI401+AL401+AP401+AS401+AW401+AZ401+BD401+BG401+BK401+BN401+BR401+BU401+BY401+CB401+CF401+CJ401+CN401+CV401+CZ401+DD401+DH401+DL401+DP401+DT401-DU401+DV401+DW401</f>
        <v>0</v>
      </c>
      <c r="DY401" s="142">
        <v>13</v>
      </c>
      <c r="DZ401" s="924"/>
      <c r="EH401" s="924"/>
    </row>
    <row r="402" spans="1:138" ht="15" customHeight="1">
      <c r="A402" s="3">
        <v>232</v>
      </c>
      <c r="B402" s="214" t="s">
        <v>490</v>
      </c>
      <c r="C402" s="473" t="s">
        <v>515</v>
      </c>
      <c r="E402" s="138"/>
      <c r="F402" s="138"/>
      <c r="H402" s="138"/>
      <c r="I402" s="138"/>
      <c r="AL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  <c r="BC402" s="6"/>
      <c r="BD402" s="6"/>
      <c r="BE402" s="6"/>
      <c r="BF402" s="6"/>
      <c r="BG402" s="6"/>
      <c r="BH402" s="6"/>
      <c r="BI402" s="6"/>
      <c r="BJ402" s="6"/>
      <c r="BK402" s="6"/>
      <c r="BL402" s="6"/>
      <c r="BM402" s="6"/>
      <c r="BN402" s="6"/>
      <c r="BO402" s="6"/>
      <c r="BP402" s="6"/>
      <c r="BQ402" s="6"/>
      <c r="BR402" s="6"/>
      <c r="BS402" s="6"/>
      <c r="BT402" s="6"/>
      <c r="BU402" s="6"/>
      <c r="BV402" s="6"/>
      <c r="BW402" s="6"/>
      <c r="BX402" s="6"/>
      <c r="BY402" s="6"/>
      <c r="BZ402" s="6"/>
      <c r="CA402" s="6"/>
      <c r="CB402" s="6"/>
      <c r="CC402" s="6"/>
      <c r="DS402" s="1336">
        <f t="shared" si="39"/>
        <v>0</v>
      </c>
      <c r="DT402" s="121">
        <f>EXTRAS!D272</f>
        <v>0</v>
      </c>
      <c r="DU402" s="112">
        <f>EXTRAS!E272</f>
        <v>0</v>
      </c>
      <c r="DX402" s="203">
        <f t="shared" si="40"/>
        <v>0</v>
      </c>
      <c r="DY402" s="116">
        <v>34</v>
      </c>
      <c r="DZ402" s="924"/>
      <c r="EH402" s="924"/>
    </row>
    <row r="403" spans="1:138" ht="15" customHeight="1">
      <c r="A403" s="3">
        <v>233</v>
      </c>
      <c r="B403" s="214" t="s">
        <v>258</v>
      </c>
      <c r="C403" s="473" t="s">
        <v>515</v>
      </c>
      <c r="E403" s="138"/>
      <c r="F403" s="138"/>
      <c r="H403" s="138"/>
      <c r="I403" s="138"/>
      <c r="AL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  <c r="BC403" s="6"/>
      <c r="BD403" s="6"/>
      <c r="BE403" s="6"/>
      <c r="BF403" s="6"/>
      <c r="BG403" s="6"/>
      <c r="BH403" s="6"/>
      <c r="BI403" s="6"/>
      <c r="BJ403" s="6"/>
      <c r="BK403" s="6"/>
      <c r="BL403" s="6"/>
      <c r="BM403" s="6"/>
      <c r="BN403" s="6"/>
      <c r="BO403" s="6"/>
      <c r="BP403" s="6"/>
      <c r="BQ403" s="6"/>
      <c r="BR403" s="6"/>
      <c r="BS403" s="6"/>
      <c r="BT403" s="6"/>
      <c r="BU403" s="6"/>
      <c r="BV403" s="6"/>
      <c r="BW403" s="6"/>
      <c r="BX403" s="6"/>
      <c r="BY403" s="6"/>
      <c r="BZ403" s="6"/>
      <c r="CA403" s="6"/>
      <c r="CB403" s="6"/>
      <c r="CC403" s="6"/>
      <c r="DS403" s="1336">
        <f t="shared" si="39"/>
        <v>0</v>
      </c>
      <c r="DT403" s="121">
        <f>EXTRAS!D273</f>
        <v>0</v>
      </c>
      <c r="DU403" s="112">
        <f>EXTRAS!E273</f>
        <v>0</v>
      </c>
      <c r="DX403" s="203">
        <f t="shared" si="40"/>
        <v>0</v>
      </c>
      <c r="DY403" s="142">
        <v>13</v>
      </c>
      <c r="DZ403" s="924"/>
      <c r="EH403" s="924"/>
    </row>
    <row r="404" spans="1:138" ht="15" customHeight="1">
      <c r="A404" s="3">
        <v>234</v>
      </c>
      <c r="B404" s="214" t="s">
        <v>491</v>
      </c>
      <c r="C404" s="473" t="s">
        <v>515</v>
      </c>
      <c r="E404" s="138"/>
      <c r="F404" s="138"/>
      <c r="H404" s="138"/>
      <c r="I404" s="138"/>
      <c r="AL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  <c r="BC404" s="6"/>
      <c r="BD404" s="6"/>
      <c r="BE404" s="6"/>
      <c r="BF404" s="6"/>
      <c r="BG404" s="6"/>
      <c r="BH404" s="6"/>
      <c r="BI404" s="6"/>
      <c r="BJ404" s="6"/>
      <c r="BK404" s="6"/>
      <c r="BL404" s="6"/>
      <c r="BM404" s="6"/>
      <c r="BN404" s="6"/>
      <c r="BO404" s="6"/>
      <c r="BP404" s="6"/>
      <c r="BQ404" s="6"/>
      <c r="BR404" s="6"/>
      <c r="BS404" s="6"/>
      <c r="BT404" s="6"/>
      <c r="BU404" s="6"/>
      <c r="BV404" s="6"/>
      <c r="BW404" s="6"/>
      <c r="BX404" s="6"/>
      <c r="BY404" s="6"/>
      <c r="BZ404" s="6"/>
      <c r="CA404" s="6"/>
      <c r="CB404" s="6"/>
      <c r="CC404" s="6"/>
      <c r="DS404" s="1336">
        <f t="shared" si="39"/>
        <v>0</v>
      </c>
      <c r="DT404" s="121">
        <f>EXTRAS!D274</f>
        <v>0</v>
      </c>
      <c r="DU404" s="112">
        <f>EXTRAS!E274</f>
        <v>0</v>
      </c>
      <c r="DX404" s="203">
        <f t="shared" si="40"/>
        <v>0</v>
      </c>
      <c r="DY404" s="116">
        <v>34</v>
      </c>
      <c r="DZ404" s="924"/>
      <c r="EH404" s="924"/>
    </row>
    <row r="405" spans="1:138" ht="15" customHeight="1">
      <c r="A405" s="3">
        <v>235</v>
      </c>
      <c r="B405" s="214" t="s">
        <v>260</v>
      </c>
      <c r="C405" s="473" t="s">
        <v>515</v>
      </c>
      <c r="E405" s="138"/>
      <c r="F405" s="138"/>
      <c r="H405" s="138"/>
      <c r="I405" s="138"/>
      <c r="AL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  <c r="BC405" s="6"/>
      <c r="BD405" s="6"/>
      <c r="BE405" s="6"/>
      <c r="BF405" s="6"/>
      <c r="BG405" s="6"/>
      <c r="BH405" s="6"/>
      <c r="BI405" s="6"/>
      <c r="BJ405" s="6"/>
      <c r="BK405" s="6"/>
      <c r="BL405" s="6"/>
      <c r="BM405" s="6"/>
      <c r="BN405" s="6"/>
      <c r="BO405" s="6"/>
      <c r="BP405" s="6"/>
      <c r="BQ405" s="6"/>
      <c r="BR405" s="6"/>
      <c r="BS405" s="6"/>
      <c r="BT405" s="6"/>
      <c r="BU405" s="6"/>
      <c r="BV405" s="6"/>
      <c r="BW405" s="6"/>
      <c r="BX405" s="6"/>
      <c r="BY405" s="6"/>
      <c r="BZ405" s="6"/>
      <c r="CA405" s="6"/>
      <c r="CB405" s="6"/>
      <c r="CC405" s="6"/>
      <c r="DS405" s="1336">
        <f t="shared" si="39"/>
        <v>0</v>
      </c>
      <c r="DT405" s="121">
        <f>EXTRAS!D275</f>
        <v>0</v>
      </c>
      <c r="DU405" s="112">
        <f>EXTRAS!E275</f>
        <v>0</v>
      </c>
      <c r="DX405" s="203">
        <f t="shared" si="40"/>
        <v>0</v>
      </c>
      <c r="DY405" s="142">
        <v>13</v>
      </c>
      <c r="DZ405" s="924"/>
      <c r="EH405" s="924"/>
    </row>
    <row r="406" spans="1:138" ht="15" customHeight="1">
      <c r="A406" s="3">
        <v>236</v>
      </c>
      <c r="B406" s="214" t="s">
        <v>492</v>
      </c>
      <c r="C406" s="473" t="s">
        <v>515</v>
      </c>
      <c r="E406" s="138"/>
      <c r="F406" s="138"/>
      <c r="H406" s="138"/>
      <c r="I406" s="138"/>
      <c r="AL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  <c r="BC406" s="6"/>
      <c r="BD406" s="6"/>
      <c r="BE406" s="6"/>
      <c r="BF406" s="6"/>
      <c r="BG406" s="6"/>
      <c r="BH406" s="6"/>
      <c r="BI406" s="6"/>
      <c r="BJ406" s="6"/>
      <c r="BK406" s="6"/>
      <c r="BL406" s="6"/>
      <c r="BM406" s="6"/>
      <c r="BN406" s="6"/>
      <c r="BO406" s="6"/>
      <c r="BP406" s="6"/>
      <c r="BQ406" s="6"/>
      <c r="BR406" s="6"/>
      <c r="BS406" s="6"/>
      <c r="BT406" s="6"/>
      <c r="BU406" s="6"/>
      <c r="BV406" s="6"/>
      <c r="BW406" s="6"/>
      <c r="BX406" s="6"/>
      <c r="BY406" s="6"/>
      <c r="BZ406" s="6"/>
      <c r="CA406" s="6"/>
      <c r="CB406" s="6"/>
      <c r="CC406" s="6"/>
      <c r="DS406" s="1336">
        <f t="shared" si="39"/>
        <v>0</v>
      </c>
      <c r="DT406" s="121">
        <f>EXTRAS!D276</f>
        <v>0</v>
      </c>
      <c r="DU406" s="112">
        <f>EXTRAS!E276</f>
        <v>0</v>
      </c>
      <c r="DX406" s="203">
        <f t="shared" si="40"/>
        <v>0</v>
      </c>
      <c r="DY406" s="116">
        <v>34</v>
      </c>
      <c r="DZ406" s="924"/>
      <c r="EH406" s="924"/>
    </row>
    <row r="407" spans="1:138" ht="15" customHeight="1">
      <c r="A407" s="3">
        <v>237</v>
      </c>
      <c r="B407" s="214" t="s">
        <v>262</v>
      </c>
      <c r="C407" s="473" t="s">
        <v>515</v>
      </c>
      <c r="E407" s="138"/>
      <c r="F407" s="138"/>
      <c r="H407" s="138"/>
      <c r="I407" s="138"/>
      <c r="AL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  <c r="BC407" s="6"/>
      <c r="BD407" s="6"/>
      <c r="BE407" s="6"/>
      <c r="BF407" s="6"/>
      <c r="BG407" s="6"/>
      <c r="BH407" s="6"/>
      <c r="BI407" s="6"/>
      <c r="BJ407" s="6"/>
      <c r="BK407" s="6"/>
      <c r="BL407" s="6"/>
      <c r="BM407" s="6"/>
      <c r="BN407" s="6"/>
      <c r="BO407" s="6"/>
      <c r="BP407" s="6"/>
      <c r="BQ407" s="6"/>
      <c r="BR407" s="6"/>
      <c r="BS407" s="6"/>
      <c r="BT407" s="6"/>
      <c r="BU407" s="6"/>
      <c r="BV407" s="6"/>
      <c r="BW407" s="6"/>
      <c r="BX407" s="6"/>
      <c r="BY407" s="6"/>
      <c r="BZ407" s="6"/>
      <c r="CA407" s="6"/>
      <c r="CB407" s="6"/>
      <c r="CC407" s="6"/>
      <c r="DS407" s="1336">
        <f t="shared" si="39"/>
        <v>0</v>
      </c>
      <c r="DT407" s="121">
        <f>EXTRAS!D277</f>
        <v>0</v>
      </c>
      <c r="DU407" s="112">
        <f>EXTRAS!E277</f>
        <v>0</v>
      </c>
      <c r="DX407" s="203">
        <f t="shared" si="40"/>
        <v>0</v>
      </c>
      <c r="DY407" s="142">
        <v>13</v>
      </c>
      <c r="DZ407" s="924"/>
      <c r="EH407" s="924"/>
    </row>
    <row r="408" spans="1:138" ht="15" customHeight="1">
      <c r="A408" s="3">
        <v>238</v>
      </c>
      <c r="B408" s="214" t="s">
        <v>493</v>
      </c>
      <c r="C408" s="473" t="s">
        <v>515</v>
      </c>
      <c r="E408" s="138"/>
      <c r="F408" s="138"/>
      <c r="H408" s="138"/>
      <c r="I408" s="138"/>
      <c r="AL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  <c r="BC408" s="6"/>
      <c r="BD408" s="6"/>
      <c r="BE408" s="6"/>
      <c r="BF408" s="6"/>
      <c r="BG408" s="6"/>
      <c r="BH408" s="6"/>
      <c r="BI408" s="6"/>
      <c r="BJ408" s="6"/>
      <c r="BK408" s="6"/>
      <c r="BL408" s="6"/>
      <c r="BM408" s="6"/>
      <c r="BN408" s="6"/>
      <c r="BO408" s="6"/>
      <c r="BP408" s="6"/>
      <c r="BQ408" s="6"/>
      <c r="BR408" s="6"/>
      <c r="BS408" s="6"/>
      <c r="BT408" s="6"/>
      <c r="BU408" s="6"/>
      <c r="BV408" s="6"/>
      <c r="BW408" s="6"/>
      <c r="BX408" s="6"/>
      <c r="BY408" s="6"/>
      <c r="BZ408" s="6"/>
      <c r="CA408" s="6"/>
      <c r="CB408" s="6"/>
      <c r="CC408" s="6"/>
      <c r="DS408" s="1336">
        <f t="shared" si="39"/>
        <v>0</v>
      </c>
      <c r="DT408" s="121">
        <f>EXTRAS!D278</f>
        <v>0</v>
      </c>
      <c r="DU408" s="112">
        <f>EXTRAS!E278</f>
        <v>0</v>
      </c>
      <c r="DX408" s="203">
        <f t="shared" si="40"/>
        <v>0</v>
      </c>
      <c r="DY408" s="116">
        <v>34</v>
      </c>
      <c r="DZ408" s="924"/>
      <c r="EH408" s="924"/>
    </row>
    <row r="409" spans="1:138" ht="15" customHeight="1">
      <c r="A409" s="3">
        <v>239</v>
      </c>
      <c r="B409" s="214" t="s">
        <v>264</v>
      </c>
      <c r="C409" s="473" t="s">
        <v>515</v>
      </c>
      <c r="E409" s="138"/>
      <c r="F409" s="138"/>
      <c r="H409" s="138"/>
      <c r="I409" s="138"/>
      <c r="AL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  <c r="BC409" s="6"/>
      <c r="BD409" s="6"/>
      <c r="BE409" s="6"/>
      <c r="BF409" s="6"/>
      <c r="BG409" s="6"/>
      <c r="BH409" s="6"/>
      <c r="BI409" s="6"/>
      <c r="BJ409" s="6"/>
      <c r="BK409" s="6"/>
      <c r="BL409" s="6"/>
      <c r="BM409" s="6"/>
      <c r="BN409" s="6"/>
      <c r="BO409" s="6"/>
      <c r="BP409" s="6"/>
      <c r="BQ409" s="6"/>
      <c r="BR409" s="6"/>
      <c r="BS409" s="6"/>
      <c r="BT409" s="6"/>
      <c r="BU409" s="6"/>
      <c r="BV409" s="6"/>
      <c r="BW409" s="6"/>
      <c r="BX409" s="6"/>
      <c r="BY409" s="6"/>
      <c r="BZ409" s="6"/>
      <c r="CA409" s="6"/>
      <c r="CB409" s="6"/>
      <c r="CC409" s="6"/>
      <c r="DS409" s="1336">
        <f t="shared" si="39"/>
        <v>0</v>
      </c>
      <c r="DT409" s="121">
        <f>EXTRAS!D279</f>
        <v>0</v>
      </c>
      <c r="DU409" s="112">
        <f>EXTRAS!E279</f>
        <v>0</v>
      </c>
      <c r="DX409" s="203">
        <f t="shared" si="40"/>
        <v>0</v>
      </c>
      <c r="DY409" s="142">
        <v>13</v>
      </c>
      <c r="DZ409" s="924"/>
      <c r="EH409" s="924"/>
    </row>
    <row r="410" spans="1:138" ht="15" customHeight="1">
      <c r="A410" s="3">
        <v>240</v>
      </c>
      <c r="B410" s="214" t="s">
        <v>494</v>
      </c>
      <c r="C410" s="473" t="s">
        <v>515</v>
      </c>
      <c r="E410" s="138"/>
      <c r="F410" s="138"/>
      <c r="H410" s="138"/>
      <c r="I410" s="138"/>
      <c r="AL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  <c r="BC410" s="6"/>
      <c r="BD410" s="6"/>
      <c r="BE410" s="6"/>
      <c r="BF410" s="6"/>
      <c r="BG410" s="6"/>
      <c r="BH410" s="6"/>
      <c r="BI410" s="6"/>
      <c r="BJ410" s="6"/>
      <c r="BK410" s="6"/>
      <c r="BL410" s="6"/>
      <c r="BM410" s="6"/>
      <c r="BN410" s="6"/>
      <c r="BO410" s="6"/>
      <c r="BP410" s="6"/>
      <c r="BQ410" s="6"/>
      <c r="BR410" s="6"/>
      <c r="BS410" s="6"/>
      <c r="BT410" s="6"/>
      <c r="BU410" s="6"/>
      <c r="BV410" s="6"/>
      <c r="BW410" s="6"/>
      <c r="BX410" s="6"/>
      <c r="BY410" s="6"/>
      <c r="BZ410" s="6"/>
      <c r="CA410" s="6"/>
      <c r="CB410" s="6"/>
      <c r="CC410" s="6"/>
      <c r="DS410" s="1336">
        <f t="shared" si="39"/>
        <v>0</v>
      </c>
      <c r="DT410" s="121">
        <f>EXTRAS!D280</f>
        <v>0</v>
      </c>
      <c r="DU410" s="112">
        <f>EXTRAS!E280</f>
        <v>0</v>
      </c>
      <c r="DX410" s="203">
        <f t="shared" si="40"/>
        <v>0</v>
      </c>
      <c r="DY410" s="116">
        <v>34</v>
      </c>
      <c r="DZ410" s="924"/>
      <c r="EH410" s="924"/>
    </row>
    <row r="411" spans="1:138" ht="15" customHeight="1">
      <c r="A411" s="3">
        <v>241</v>
      </c>
      <c r="B411" s="214" t="s">
        <v>266</v>
      </c>
      <c r="C411" s="473" t="s">
        <v>515</v>
      </c>
      <c r="E411" s="138"/>
      <c r="F411" s="138"/>
      <c r="H411" s="138"/>
      <c r="I411" s="138"/>
      <c r="AL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  <c r="BC411" s="6"/>
      <c r="BD411" s="6"/>
      <c r="BE411" s="6"/>
      <c r="BF411" s="6"/>
      <c r="BG411" s="6"/>
      <c r="BH411" s="6"/>
      <c r="BI411" s="6"/>
      <c r="BJ411" s="6"/>
      <c r="BK411" s="6"/>
      <c r="BL411" s="6"/>
      <c r="BM411" s="6"/>
      <c r="BN411" s="6"/>
      <c r="BO411" s="6"/>
      <c r="BP411" s="6"/>
      <c r="BQ411" s="6"/>
      <c r="BR411" s="6"/>
      <c r="BS411" s="6"/>
      <c r="BT411" s="6"/>
      <c r="BU411" s="6"/>
      <c r="BV411" s="6"/>
      <c r="BW411" s="6"/>
      <c r="BX411" s="6"/>
      <c r="BY411" s="6"/>
      <c r="BZ411" s="6"/>
      <c r="CA411" s="6"/>
      <c r="CB411" s="6"/>
      <c r="CC411" s="6"/>
      <c r="DS411" s="1336">
        <f t="shared" si="39"/>
        <v>0</v>
      </c>
      <c r="DT411" s="121">
        <f>EXTRAS!D281</f>
        <v>0</v>
      </c>
      <c r="DU411" s="112">
        <f>EXTRAS!E281</f>
        <v>0</v>
      </c>
      <c r="DX411" s="203">
        <f t="shared" si="40"/>
        <v>0</v>
      </c>
      <c r="DY411" s="142">
        <v>13</v>
      </c>
      <c r="DZ411" s="924"/>
      <c r="EH411" s="924"/>
    </row>
    <row r="412" spans="1:138" ht="15" customHeight="1">
      <c r="A412" s="3">
        <v>242</v>
      </c>
      <c r="B412" s="214" t="s">
        <v>495</v>
      </c>
      <c r="C412" s="473" t="s">
        <v>515</v>
      </c>
      <c r="E412" s="138"/>
      <c r="F412" s="138"/>
      <c r="H412" s="138"/>
      <c r="I412" s="138"/>
      <c r="AL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  <c r="BC412" s="6"/>
      <c r="BD412" s="6"/>
      <c r="BE412" s="6"/>
      <c r="BF412" s="6"/>
      <c r="BG412" s="6"/>
      <c r="BH412" s="6"/>
      <c r="BI412" s="6"/>
      <c r="BJ412" s="6"/>
      <c r="BK412" s="6"/>
      <c r="BL412" s="6"/>
      <c r="BM412" s="6"/>
      <c r="BN412" s="6"/>
      <c r="BO412" s="6"/>
      <c r="BP412" s="6"/>
      <c r="BQ412" s="6"/>
      <c r="BR412" s="6"/>
      <c r="BS412" s="6"/>
      <c r="BT412" s="6"/>
      <c r="BU412" s="6"/>
      <c r="BV412" s="6"/>
      <c r="BW412" s="6"/>
      <c r="BX412" s="6"/>
      <c r="BY412" s="6"/>
      <c r="BZ412" s="6"/>
      <c r="CA412" s="6"/>
      <c r="CB412" s="6"/>
      <c r="CC412" s="6"/>
      <c r="DS412" s="1336">
        <f t="shared" si="39"/>
        <v>0</v>
      </c>
      <c r="DT412" s="121">
        <f>EXTRAS!D282</f>
        <v>0</v>
      </c>
      <c r="DU412" s="112">
        <f>EXTRAS!E282</f>
        <v>0</v>
      </c>
      <c r="DX412" s="203">
        <f t="shared" si="40"/>
        <v>0</v>
      </c>
      <c r="DY412" s="116">
        <v>34</v>
      </c>
      <c r="DZ412" s="924"/>
      <c r="EH412" s="924"/>
    </row>
    <row r="413" spans="1:138" ht="15" customHeight="1">
      <c r="A413" s="3">
        <v>243</v>
      </c>
      <c r="B413" s="214" t="s">
        <v>268</v>
      </c>
      <c r="C413" s="473" t="s">
        <v>515</v>
      </c>
      <c r="E413" s="138"/>
      <c r="F413" s="138"/>
      <c r="H413" s="138"/>
      <c r="I413" s="138"/>
      <c r="AL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  <c r="BC413" s="6"/>
      <c r="BD413" s="6"/>
      <c r="BE413" s="6"/>
      <c r="BF413" s="6"/>
      <c r="BG413" s="6"/>
      <c r="BH413" s="6"/>
      <c r="BI413" s="6"/>
      <c r="BJ413" s="6"/>
      <c r="BK413" s="6"/>
      <c r="BL413" s="6"/>
      <c r="BM413" s="6"/>
      <c r="BN413" s="6"/>
      <c r="BO413" s="6"/>
      <c r="BP413" s="6"/>
      <c r="BQ413" s="6"/>
      <c r="BR413" s="6"/>
      <c r="BS413" s="6"/>
      <c r="BT413" s="6"/>
      <c r="BU413" s="6"/>
      <c r="BV413" s="6"/>
      <c r="BW413" s="6"/>
      <c r="BX413" s="6"/>
      <c r="BY413" s="6"/>
      <c r="BZ413" s="6"/>
      <c r="CA413" s="6"/>
      <c r="CB413" s="6"/>
      <c r="CC413" s="6"/>
      <c r="DS413" s="1336">
        <f t="shared" si="39"/>
        <v>0</v>
      </c>
      <c r="DT413" s="121">
        <f>EXTRAS!D283</f>
        <v>0</v>
      </c>
      <c r="DU413" s="112">
        <f>EXTRAS!E283</f>
        <v>0</v>
      </c>
      <c r="DX413" s="203">
        <f t="shared" si="40"/>
        <v>0</v>
      </c>
      <c r="DY413" s="142">
        <v>13</v>
      </c>
      <c r="DZ413" s="924"/>
      <c r="EH413" s="924"/>
    </row>
    <row r="414" spans="1:138" ht="15" customHeight="1">
      <c r="A414" s="3">
        <v>244</v>
      </c>
      <c r="B414" s="214" t="s">
        <v>496</v>
      </c>
      <c r="C414" s="473" t="s">
        <v>515</v>
      </c>
      <c r="E414" s="138"/>
      <c r="F414" s="138"/>
      <c r="H414" s="138"/>
      <c r="I414" s="138"/>
      <c r="AL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  <c r="BC414" s="6"/>
      <c r="BD414" s="6"/>
      <c r="BE414" s="6"/>
      <c r="BF414" s="6"/>
      <c r="BG414" s="6"/>
      <c r="BH414" s="6"/>
      <c r="BI414" s="6"/>
      <c r="BJ414" s="6"/>
      <c r="BK414" s="6"/>
      <c r="BL414" s="6"/>
      <c r="BM414" s="6"/>
      <c r="BN414" s="6"/>
      <c r="BO414" s="6"/>
      <c r="BP414" s="6"/>
      <c r="BQ414" s="6"/>
      <c r="BR414" s="6"/>
      <c r="BS414" s="6"/>
      <c r="BT414" s="6"/>
      <c r="BU414" s="6"/>
      <c r="BV414" s="6"/>
      <c r="BW414" s="6"/>
      <c r="BX414" s="6"/>
      <c r="BY414" s="6"/>
      <c r="BZ414" s="6"/>
      <c r="CA414" s="6"/>
      <c r="CB414" s="6"/>
      <c r="CC414" s="6"/>
      <c r="DS414" s="1336">
        <f t="shared" si="39"/>
        <v>0</v>
      </c>
      <c r="DT414" s="121">
        <f>EXTRAS!D284</f>
        <v>0</v>
      </c>
      <c r="DU414" s="112">
        <f>EXTRAS!E284</f>
        <v>0</v>
      </c>
      <c r="DX414" s="203">
        <f t="shared" si="40"/>
        <v>0</v>
      </c>
      <c r="DY414" s="116">
        <v>34</v>
      </c>
      <c r="DZ414" s="924"/>
      <c r="EH414" s="924"/>
    </row>
    <row r="415" spans="1:138" ht="15" customHeight="1">
      <c r="A415" s="3">
        <v>245</v>
      </c>
      <c r="B415" s="214" t="s">
        <v>270</v>
      </c>
      <c r="C415" s="473" t="s">
        <v>515</v>
      </c>
      <c r="E415" s="138"/>
      <c r="F415" s="138"/>
      <c r="H415" s="138"/>
      <c r="I415" s="138"/>
      <c r="AL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  <c r="BC415" s="6"/>
      <c r="BD415" s="6"/>
      <c r="BE415" s="6"/>
      <c r="BF415" s="6"/>
      <c r="BG415" s="6"/>
      <c r="BH415" s="6"/>
      <c r="BI415" s="6"/>
      <c r="BJ415" s="6"/>
      <c r="BK415" s="6"/>
      <c r="BL415" s="6"/>
      <c r="BM415" s="6"/>
      <c r="BN415" s="6"/>
      <c r="BO415" s="6"/>
      <c r="BP415" s="6"/>
      <c r="BQ415" s="6"/>
      <c r="BR415" s="6"/>
      <c r="BS415" s="6"/>
      <c r="BT415" s="6"/>
      <c r="BU415" s="6"/>
      <c r="BV415" s="6"/>
      <c r="BW415" s="6"/>
      <c r="BX415" s="6"/>
      <c r="BY415" s="6"/>
      <c r="BZ415" s="6"/>
      <c r="CA415" s="6"/>
      <c r="CB415" s="6"/>
      <c r="CC415" s="6"/>
      <c r="DS415" s="1336">
        <f t="shared" si="39"/>
        <v>0</v>
      </c>
      <c r="DT415" s="121">
        <f>EXTRAS!D285</f>
        <v>0</v>
      </c>
      <c r="DU415" s="112">
        <f>EXTRAS!E285</f>
        <v>0</v>
      </c>
      <c r="DX415" s="203">
        <f t="shared" si="40"/>
        <v>0</v>
      </c>
      <c r="DY415" s="142">
        <v>13</v>
      </c>
      <c r="DZ415" s="924"/>
      <c r="EH415" s="924"/>
    </row>
    <row r="416" spans="1:138" ht="15" customHeight="1">
      <c r="A416" s="3">
        <v>246</v>
      </c>
      <c r="B416" s="214" t="s">
        <v>497</v>
      </c>
      <c r="C416" s="473" t="s">
        <v>515</v>
      </c>
      <c r="E416" s="138"/>
      <c r="F416" s="138"/>
      <c r="H416" s="138"/>
      <c r="I416" s="138"/>
      <c r="AL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  <c r="BC416" s="6"/>
      <c r="BD416" s="6"/>
      <c r="BE416" s="6"/>
      <c r="BF416" s="6"/>
      <c r="BG416" s="6"/>
      <c r="BH416" s="6"/>
      <c r="BI416" s="6"/>
      <c r="BJ416" s="6"/>
      <c r="BK416" s="6"/>
      <c r="BL416" s="6"/>
      <c r="BM416" s="6"/>
      <c r="BN416" s="6"/>
      <c r="BO416" s="6"/>
      <c r="BP416" s="6"/>
      <c r="BQ416" s="6"/>
      <c r="BR416" s="6"/>
      <c r="BS416" s="6"/>
      <c r="BT416" s="6"/>
      <c r="BU416" s="6"/>
      <c r="BV416" s="6"/>
      <c r="BW416" s="6"/>
      <c r="BX416" s="6"/>
      <c r="BY416" s="6"/>
      <c r="BZ416" s="6"/>
      <c r="CA416" s="6"/>
      <c r="CB416" s="6"/>
      <c r="CC416" s="6"/>
      <c r="DS416" s="1336">
        <f t="shared" si="39"/>
        <v>0</v>
      </c>
      <c r="DT416" s="121">
        <f>EXTRAS!D286</f>
        <v>0</v>
      </c>
      <c r="DU416" s="112">
        <f>EXTRAS!E286</f>
        <v>0</v>
      </c>
      <c r="DX416" s="203">
        <f t="shared" si="40"/>
        <v>0</v>
      </c>
      <c r="DY416" s="116">
        <v>34</v>
      </c>
      <c r="DZ416" s="924"/>
      <c r="EH416" s="924"/>
    </row>
    <row r="417" spans="1:138" ht="15" customHeight="1">
      <c r="A417" s="3">
        <v>247</v>
      </c>
      <c r="B417" s="214" t="s">
        <v>272</v>
      </c>
      <c r="C417" s="473" t="s">
        <v>515</v>
      </c>
      <c r="E417" s="138"/>
      <c r="F417" s="138"/>
      <c r="H417" s="138"/>
      <c r="I417" s="138"/>
      <c r="AL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  <c r="BC417" s="6"/>
      <c r="BD417" s="6"/>
      <c r="BE417" s="6"/>
      <c r="BF417" s="6"/>
      <c r="BG417" s="6"/>
      <c r="BH417" s="6"/>
      <c r="BI417" s="6"/>
      <c r="BJ417" s="6"/>
      <c r="BK417" s="6"/>
      <c r="BL417" s="6"/>
      <c r="BM417" s="6"/>
      <c r="BN417" s="6"/>
      <c r="BO417" s="6"/>
      <c r="BP417" s="6"/>
      <c r="BQ417" s="6"/>
      <c r="BR417" s="6"/>
      <c r="BS417" s="6"/>
      <c r="BT417" s="6"/>
      <c r="BU417" s="6"/>
      <c r="BV417" s="6"/>
      <c r="BW417" s="6"/>
      <c r="BX417" s="6"/>
      <c r="BY417" s="6"/>
      <c r="BZ417" s="6"/>
      <c r="CA417" s="6"/>
      <c r="CB417" s="6"/>
      <c r="CC417" s="6"/>
      <c r="DS417" s="1336">
        <f t="shared" si="39"/>
        <v>0</v>
      </c>
      <c r="DT417" s="121">
        <f>EXTRAS!D287</f>
        <v>0</v>
      </c>
      <c r="DU417" s="112">
        <f>EXTRAS!E287</f>
        <v>0</v>
      </c>
      <c r="DX417" s="203">
        <f t="shared" si="40"/>
        <v>0</v>
      </c>
      <c r="DY417" s="142">
        <v>13</v>
      </c>
      <c r="DZ417" s="924"/>
      <c r="EH417" s="924"/>
    </row>
    <row r="418" spans="1:138" ht="15" customHeight="1">
      <c r="A418" s="3">
        <v>248</v>
      </c>
      <c r="B418" s="214" t="s">
        <v>498</v>
      </c>
      <c r="C418" s="473" t="s">
        <v>515</v>
      </c>
      <c r="E418" s="138"/>
      <c r="F418" s="138"/>
      <c r="H418" s="138"/>
      <c r="I418" s="138"/>
      <c r="AL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  <c r="BC418" s="6"/>
      <c r="BD418" s="6"/>
      <c r="BE418" s="6"/>
      <c r="BF418" s="6"/>
      <c r="BG418" s="6"/>
      <c r="BH418" s="6"/>
      <c r="BI418" s="6"/>
      <c r="BJ418" s="6"/>
      <c r="BK418" s="6"/>
      <c r="BL418" s="6"/>
      <c r="BM418" s="6"/>
      <c r="BN418" s="6"/>
      <c r="BO418" s="6"/>
      <c r="BP418" s="6"/>
      <c r="BQ418" s="6"/>
      <c r="BR418" s="6"/>
      <c r="BS418" s="6"/>
      <c r="BT418" s="6"/>
      <c r="BU418" s="6"/>
      <c r="BV418" s="6"/>
      <c r="BW418" s="6"/>
      <c r="BX418" s="6"/>
      <c r="BY418" s="6"/>
      <c r="BZ418" s="6"/>
      <c r="CA418" s="6"/>
      <c r="CB418" s="6"/>
      <c r="CC418" s="6"/>
      <c r="DS418" s="1336">
        <f t="shared" si="39"/>
        <v>0</v>
      </c>
      <c r="DT418" s="121">
        <f>EXTRAS!D288</f>
        <v>0</v>
      </c>
      <c r="DU418" s="112">
        <f>EXTRAS!E288</f>
        <v>0</v>
      </c>
      <c r="DX418" s="203">
        <f t="shared" si="40"/>
        <v>0</v>
      </c>
      <c r="DY418" s="116">
        <v>34</v>
      </c>
      <c r="DZ418" s="924"/>
      <c r="EH418" s="924"/>
    </row>
    <row r="419" spans="1:138" ht="15" customHeight="1">
      <c r="A419" s="3">
        <v>249</v>
      </c>
      <c r="B419" s="214" t="s">
        <v>274</v>
      </c>
      <c r="C419" s="473" t="s">
        <v>515</v>
      </c>
      <c r="E419" s="138"/>
      <c r="F419" s="138"/>
      <c r="H419" s="138"/>
      <c r="I419" s="138"/>
      <c r="AL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  <c r="BC419" s="6"/>
      <c r="BD419" s="6"/>
      <c r="BE419" s="6"/>
      <c r="BF419" s="6"/>
      <c r="BG419" s="6"/>
      <c r="BH419" s="6"/>
      <c r="BI419" s="6"/>
      <c r="BJ419" s="6"/>
      <c r="BK419" s="6"/>
      <c r="BL419" s="6"/>
      <c r="BM419" s="6"/>
      <c r="BN419" s="6"/>
      <c r="BO419" s="6"/>
      <c r="BP419" s="6"/>
      <c r="BQ419" s="6"/>
      <c r="BR419" s="6"/>
      <c r="BS419" s="6"/>
      <c r="BT419" s="6"/>
      <c r="BU419" s="6"/>
      <c r="BV419" s="6"/>
      <c r="BW419" s="6"/>
      <c r="BX419" s="6"/>
      <c r="BY419" s="6"/>
      <c r="BZ419" s="6"/>
      <c r="CA419" s="6"/>
      <c r="CB419" s="6"/>
      <c r="CC419" s="6"/>
      <c r="DS419" s="1336">
        <f t="shared" si="39"/>
        <v>0</v>
      </c>
      <c r="DT419" s="121">
        <f>EXTRAS!D289</f>
        <v>0</v>
      </c>
      <c r="DU419" s="112">
        <f>EXTRAS!E289</f>
        <v>0</v>
      </c>
      <c r="DX419" s="203">
        <f t="shared" si="40"/>
        <v>0</v>
      </c>
      <c r="DY419" s="142">
        <v>13</v>
      </c>
      <c r="DZ419" s="924"/>
      <c r="EH419" s="924"/>
    </row>
    <row r="420" spans="1:138" ht="15" customHeight="1">
      <c r="A420" s="3">
        <v>250</v>
      </c>
      <c r="B420" s="214" t="s">
        <v>499</v>
      </c>
      <c r="C420" s="473" t="s">
        <v>515</v>
      </c>
      <c r="E420" s="138"/>
      <c r="F420" s="138"/>
      <c r="H420" s="138"/>
      <c r="I420" s="138"/>
      <c r="AL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  <c r="BC420" s="6"/>
      <c r="BD420" s="6"/>
      <c r="BE420" s="6"/>
      <c r="BF420" s="6"/>
      <c r="BG420" s="6"/>
      <c r="BH420" s="6"/>
      <c r="BI420" s="6"/>
      <c r="BJ420" s="6"/>
      <c r="BK420" s="6"/>
      <c r="BL420" s="6"/>
      <c r="BM420" s="6"/>
      <c r="BN420" s="6"/>
      <c r="BO420" s="6"/>
      <c r="BP420" s="6"/>
      <c r="BQ420" s="6"/>
      <c r="BR420" s="6"/>
      <c r="BS420" s="6"/>
      <c r="BT420" s="6"/>
      <c r="BU420" s="6"/>
      <c r="BV420" s="6"/>
      <c r="BW420" s="6"/>
      <c r="BX420" s="6"/>
      <c r="BY420" s="6"/>
      <c r="BZ420" s="6"/>
      <c r="CA420" s="6"/>
      <c r="CB420" s="6"/>
      <c r="CC420" s="6"/>
      <c r="DS420" s="1336">
        <f t="shared" si="39"/>
        <v>0</v>
      </c>
      <c r="DT420" s="121">
        <f>EXTRAS!D290</f>
        <v>0</v>
      </c>
      <c r="DU420" s="112">
        <f>EXTRAS!E290</f>
        <v>0</v>
      </c>
      <c r="DX420" s="203">
        <f t="shared" si="40"/>
        <v>0</v>
      </c>
      <c r="DY420" s="116">
        <v>34</v>
      </c>
      <c r="DZ420" s="924"/>
      <c r="EH420" s="924"/>
    </row>
    <row r="421" spans="1:138" ht="15" customHeight="1">
      <c r="A421" s="3">
        <v>251</v>
      </c>
      <c r="B421" s="214" t="s">
        <v>276</v>
      </c>
      <c r="C421" s="473" t="s">
        <v>515</v>
      </c>
      <c r="E421" s="138"/>
      <c r="F421" s="138"/>
      <c r="H421" s="138"/>
      <c r="I421" s="138"/>
      <c r="AL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  <c r="BC421" s="6"/>
      <c r="BD421" s="6"/>
      <c r="BE421" s="6"/>
      <c r="BF421" s="6"/>
      <c r="BG421" s="6"/>
      <c r="BH421" s="6"/>
      <c r="BI421" s="6"/>
      <c r="BJ421" s="6"/>
      <c r="BK421" s="6"/>
      <c r="BL421" s="6"/>
      <c r="BM421" s="6"/>
      <c r="BN421" s="6"/>
      <c r="BO421" s="6"/>
      <c r="BP421" s="6"/>
      <c r="BQ421" s="6"/>
      <c r="BR421" s="6"/>
      <c r="BS421" s="6"/>
      <c r="BT421" s="6"/>
      <c r="BU421" s="6"/>
      <c r="BV421" s="6"/>
      <c r="BW421" s="6"/>
      <c r="BX421" s="6"/>
      <c r="BY421" s="6"/>
      <c r="BZ421" s="6"/>
      <c r="CA421" s="6"/>
      <c r="CB421" s="6"/>
      <c r="CC421" s="6"/>
      <c r="DS421" s="1336">
        <f t="shared" si="39"/>
        <v>0</v>
      </c>
      <c r="DT421" s="121">
        <f>EXTRAS!D291</f>
        <v>0</v>
      </c>
      <c r="DU421" s="112">
        <f>EXTRAS!E291</f>
        <v>0</v>
      </c>
      <c r="DX421" s="203">
        <f t="shared" si="40"/>
        <v>0</v>
      </c>
      <c r="DY421" s="142">
        <v>13</v>
      </c>
      <c r="DZ421" s="924"/>
      <c r="EH421" s="924"/>
    </row>
    <row r="422" spans="1:138" ht="15" customHeight="1">
      <c r="A422" s="3">
        <v>252</v>
      </c>
      <c r="B422" s="214" t="s">
        <v>500</v>
      </c>
      <c r="C422" s="473" t="s">
        <v>515</v>
      </c>
      <c r="E422" s="138"/>
      <c r="F422" s="138"/>
      <c r="H422" s="138"/>
      <c r="I422" s="138"/>
      <c r="AL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  <c r="BC422" s="6"/>
      <c r="BD422" s="6"/>
      <c r="BE422" s="6"/>
      <c r="BF422" s="6"/>
      <c r="BG422" s="6"/>
      <c r="BH422" s="6"/>
      <c r="BI422" s="6"/>
      <c r="BJ422" s="6"/>
      <c r="BK422" s="6"/>
      <c r="BL422" s="6"/>
      <c r="BM422" s="6"/>
      <c r="BN422" s="6"/>
      <c r="BO422" s="6"/>
      <c r="BP422" s="6"/>
      <c r="BQ422" s="6"/>
      <c r="BR422" s="6"/>
      <c r="BS422" s="6"/>
      <c r="BT422" s="6"/>
      <c r="BU422" s="6"/>
      <c r="BV422" s="6"/>
      <c r="BW422" s="6"/>
      <c r="BX422" s="6"/>
      <c r="BY422" s="6"/>
      <c r="BZ422" s="6"/>
      <c r="CA422" s="6"/>
      <c r="CB422" s="6"/>
      <c r="CC422" s="6"/>
      <c r="DS422" s="1336">
        <f t="shared" si="39"/>
        <v>0</v>
      </c>
      <c r="DT422" s="121">
        <f>EXTRAS!D292</f>
        <v>0</v>
      </c>
      <c r="DU422" s="112">
        <f>EXTRAS!E292</f>
        <v>0</v>
      </c>
      <c r="DX422" s="203">
        <f t="shared" si="40"/>
        <v>0</v>
      </c>
      <c r="DY422" s="116">
        <v>34</v>
      </c>
      <c r="DZ422" s="924"/>
      <c r="EH422" s="924"/>
    </row>
    <row r="423" spans="1:138" ht="15" customHeight="1">
      <c r="A423" s="3">
        <v>253</v>
      </c>
      <c r="B423" s="214" t="s">
        <v>278</v>
      </c>
      <c r="C423" s="473" t="s">
        <v>515</v>
      </c>
      <c r="E423" s="138"/>
      <c r="F423" s="138"/>
      <c r="H423" s="138"/>
      <c r="I423" s="138"/>
      <c r="AL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  <c r="BC423" s="6"/>
      <c r="BD423" s="6"/>
      <c r="BE423" s="6"/>
      <c r="BF423" s="6"/>
      <c r="BG423" s="6"/>
      <c r="BH423" s="6"/>
      <c r="BI423" s="6"/>
      <c r="BJ423" s="6"/>
      <c r="BK423" s="6"/>
      <c r="BL423" s="6"/>
      <c r="BM423" s="6"/>
      <c r="BN423" s="6"/>
      <c r="BO423" s="6"/>
      <c r="BP423" s="6"/>
      <c r="BQ423" s="6"/>
      <c r="BR423" s="6"/>
      <c r="BS423" s="6"/>
      <c r="BT423" s="6"/>
      <c r="BU423" s="6"/>
      <c r="BV423" s="6"/>
      <c r="BW423" s="6"/>
      <c r="BX423" s="6"/>
      <c r="BY423" s="6"/>
      <c r="BZ423" s="6"/>
      <c r="CA423" s="6"/>
      <c r="CB423" s="6"/>
      <c r="CC423" s="6"/>
      <c r="DS423" s="1336">
        <f t="shared" si="39"/>
        <v>0</v>
      </c>
      <c r="DT423" s="121">
        <f>EXTRAS!D293</f>
        <v>0</v>
      </c>
      <c r="DU423" s="112">
        <f>EXTRAS!E293</f>
        <v>0</v>
      </c>
      <c r="DX423" s="203">
        <f t="shared" si="40"/>
        <v>0</v>
      </c>
      <c r="DY423" s="142">
        <v>13</v>
      </c>
      <c r="DZ423" s="924"/>
      <c r="EH423" s="924"/>
    </row>
    <row r="424" spans="1:138" ht="15" customHeight="1">
      <c r="A424" s="3">
        <v>254</v>
      </c>
      <c r="B424" s="214" t="s">
        <v>501</v>
      </c>
      <c r="C424" s="473" t="s">
        <v>515</v>
      </c>
      <c r="E424" s="138"/>
      <c r="F424" s="138"/>
      <c r="H424" s="138"/>
      <c r="I424" s="138"/>
      <c r="AL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  <c r="BC424" s="6"/>
      <c r="BD424" s="6"/>
      <c r="BE424" s="6"/>
      <c r="BF424" s="6"/>
      <c r="BG424" s="6"/>
      <c r="BH424" s="6"/>
      <c r="BI424" s="6"/>
      <c r="BJ424" s="6"/>
      <c r="BK424" s="6"/>
      <c r="BL424" s="6"/>
      <c r="BM424" s="6"/>
      <c r="BN424" s="6"/>
      <c r="BO424" s="6"/>
      <c r="BP424" s="6"/>
      <c r="BQ424" s="6"/>
      <c r="BR424" s="6"/>
      <c r="BS424" s="6"/>
      <c r="BT424" s="6"/>
      <c r="BU424" s="6"/>
      <c r="BV424" s="6"/>
      <c r="BW424" s="6"/>
      <c r="BX424" s="6"/>
      <c r="BY424" s="6"/>
      <c r="BZ424" s="6"/>
      <c r="CA424" s="6"/>
      <c r="CB424" s="6"/>
      <c r="CC424" s="6"/>
      <c r="DS424" s="1336">
        <f t="shared" si="39"/>
        <v>0</v>
      </c>
      <c r="DT424" s="121">
        <f>EXTRAS!D294</f>
        <v>0</v>
      </c>
      <c r="DU424" s="112">
        <f>EXTRAS!E294</f>
        <v>0</v>
      </c>
      <c r="DX424" s="203">
        <f t="shared" si="40"/>
        <v>0</v>
      </c>
      <c r="DY424" s="116">
        <v>34</v>
      </c>
      <c r="DZ424" s="924"/>
      <c r="EH424" s="924"/>
    </row>
    <row r="425" spans="1:138" ht="15" customHeight="1">
      <c r="A425" s="3">
        <v>255</v>
      </c>
      <c r="B425" s="214" t="s">
        <v>280</v>
      </c>
      <c r="C425" s="473" t="s">
        <v>515</v>
      </c>
      <c r="E425" s="138"/>
      <c r="F425" s="138"/>
      <c r="H425" s="138"/>
      <c r="I425" s="138"/>
      <c r="AL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  <c r="BC425" s="6"/>
      <c r="BD425" s="6"/>
      <c r="BE425" s="6"/>
      <c r="BF425" s="6"/>
      <c r="BG425" s="6"/>
      <c r="BH425" s="6"/>
      <c r="BI425" s="6"/>
      <c r="BJ425" s="6"/>
      <c r="BK425" s="6"/>
      <c r="BL425" s="6"/>
      <c r="BM425" s="6"/>
      <c r="BN425" s="6"/>
      <c r="BO425" s="6"/>
      <c r="BP425" s="6"/>
      <c r="BQ425" s="6"/>
      <c r="BR425" s="6"/>
      <c r="BS425" s="6"/>
      <c r="BT425" s="6"/>
      <c r="BU425" s="6"/>
      <c r="BV425" s="6"/>
      <c r="BW425" s="6"/>
      <c r="BX425" s="6"/>
      <c r="BY425" s="6"/>
      <c r="BZ425" s="6"/>
      <c r="CA425" s="6"/>
      <c r="CB425" s="6"/>
      <c r="CC425" s="6"/>
      <c r="DS425" s="1336">
        <f t="shared" si="39"/>
        <v>0</v>
      </c>
      <c r="DT425" s="121">
        <f>EXTRAS!D295</f>
        <v>0</v>
      </c>
      <c r="DU425" s="112">
        <f>EXTRAS!E295</f>
        <v>0</v>
      </c>
      <c r="DX425" s="203">
        <f t="shared" si="40"/>
        <v>0</v>
      </c>
      <c r="DY425" s="142">
        <v>13</v>
      </c>
      <c r="DZ425" s="924"/>
      <c r="EH425" s="924"/>
    </row>
    <row r="426" spans="1:138" ht="15" customHeight="1">
      <c r="A426" s="3">
        <v>256</v>
      </c>
      <c r="B426" s="214" t="s">
        <v>502</v>
      </c>
      <c r="C426" s="473" t="s">
        <v>515</v>
      </c>
      <c r="E426" s="138"/>
      <c r="F426" s="138"/>
      <c r="H426" s="138"/>
      <c r="I426" s="138"/>
      <c r="AL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  <c r="BC426" s="6"/>
      <c r="BD426" s="6"/>
      <c r="BE426" s="6"/>
      <c r="BF426" s="6"/>
      <c r="BG426" s="6"/>
      <c r="BH426" s="6"/>
      <c r="BI426" s="6"/>
      <c r="BJ426" s="6"/>
      <c r="BK426" s="6"/>
      <c r="BL426" s="6"/>
      <c r="BM426" s="6"/>
      <c r="BN426" s="6"/>
      <c r="BO426" s="6"/>
      <c r="BP426" s="6"/>
      <c r="BQ426" s="6"/>
      <c r="BR426" s="6"/>
      <c r="BS426" s="6"/>
      <c r="BT426" s="6"/>
      <c r="BU426" s="6"/>
      <c r="BV426" s="6"/>
      <c r="BW426" s="6"/>
      <c r="BX426" s="6"/>
      <c r="BY426" s="6"/>
      <c r="BZ426" s="6"/>
      <c r="CA426" s="6"/>
      <c r="CB426" s="6"/>
      <c r="CC426" s="6"/>
      <c r="DS426" s="1336">
        <f t="shared" si="39"/>
        <v>0</v>
      </c>
      <c r="DT426" s="121">
        <f>EXTRAS!D296</f>
        <v>0</v>
      </c>
      <c r="DU426" s="112">
        <f>EXTRAS!E296</f>
        <v>0</v>
      </c>
      <c r="DX426" s="203">
        <f t="shared" si="40"/>
        <v>0</v>
      </c>
      <c r="DY426" s="116">
        <v>34</v>
      </c>
      <c r="DZ426" s="924"/>
      <c r="EH426" s="924"/>
    </row>
    <row r="427" spans="1:138" ht="15" customHeight="1">
      <c r="A427" s="3">
        <v>257</v>
      </c>
      <c r="B427" s="214" t="s">
        <v>282</v>
      </c>
      <c r="C427" s="473" t="s">
        <v>515</v>
      </c>
      <c r="E427" s="138"/>
      <c r="F427" s="138"/>
      <c r="H427" s="138"/>
      <c r="I427" s="138"/>
      <c r="AL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  <c r="BC427" s="6"/>
      <c r="BD427" s="6"/>
      <c r="BE427" s="6"/>
      <c r="BF427" s="6"/>
      <c r="BG427" s="6"/>
      <c r="BH427" s="6"/>
      <c r="BI427" s="6"/>
      <c r="BJ427" s="6"/>
      <c r="BK427" s="6"/>
      <c r="BL427" s="6"/>
      <c r="BM427" s="6"/>
      <c r="BN427" s="6"/>
      <c r="BO427" s="6"/>
      <c r="BP427" s="6"/>
      <c r="BQ427" s="6"/>
      <c r="BR427" s="6"/>
      <c r="BS427" s="6"/>
      <c r="BT427" s="6"/>
      <c r="BU427" s="6"/>
      <c r="BV427" s="6"/>
      <c r="BW427" s="6"/>
      <c r="BX427" s="6"/>
      <c r="BY427" s="6"/>
      <c r="BZ427" s="6"/>
      <c r="CA427" s="6"/>
      <c r="CB427" s="6"/>
      <c r="CC427" s="6"/>
      <c r="DS427" s="1336">
        <f t="shared" si="39"/>
        <v>0</v>
      </c>
      <c r="DT427" s="121">
        <f>EXTRAS!D297</f>
        <v>0</v>
      </c>
      <c r="DU427" s="112">
        <f>EXTRAS!E297</f>
        <v>0</v>
      </c>
      <c r="DX427" s="203">
        <f t="shared" si="40"/>
        <v>0</v>
      </c>
      <c r="DY427" s="142">
        <v>13</v>
      </c>
      <c r="DZ427" s="924"/>
      <c r="EH427" s="924"/>
    </row>
    <row r="428" spans="1:138" ht="15" customHeight="1">
      <c r="A428" s="3">
        <v>258</v>
      </c>
      <c r="B428" s="214" t="s">
        <v>503</v>
      </c>
      <c r="C428" s="473" t="s">
        <v>515</v>
      </c>
      <c r="E428" s="138"/>
      <c r="F428" s="138"/>
      <c r="H428" s="138"/>
      <c r="I428" s="138"/>
      <c r="AL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  <c r="BC428" s="6"/>
      <c r="BD428" s="6"/>
      <c r="BE428" s="6"/>
      <c r="BF428" s="6"/>
      <c r="BG428" s="6"/>
      <c r="BH428" s="6"/>
      <c r="BI428" s="6"/>
      <c r="BJ428" s="6"/>
      <c r="BK428" s="6"/>
      <c r="BL428" s="6"/>
      <c r="BM428" s="6"/>
      <c r="BN428" s="6"/>
      <c r="BO428" s="6"/>
      <c r="BP428" s="6"/>
      <c r="BQ428" s="6"/>
      <c r="BR428" s="6"/>
      <c r="BS428" s="6"/>
      <c r="BT428" s="6"/>
      <c r="BU428" s="6"/>
      <c r="BV428" s="6"/>
      <c r="BW428" s="6"/>
      <c r="BX428" s="6"/>
      <c r="BY428" s="6"/>
      <c r="BZ428" s="6"/>
      <c r="CA428" s="6"/>
      <c r="CB428" s="6"/>
      <c r="CC428" s="6"/>
      <c r="DS428" s="1336">
        <f t="shared" si="39"/>
        <v>0</v>
      </c>
      <c r="DT428" s="121">
        <f>EXTRAS!D298</f>
        <v>0</v>
      </c>
      <c r="DU428" s="112">
        <f>EXTRAS!E298</f>
        <v>0</v>
      </c>
      <c r="DX428" s="203">
        <f t="shared" si="40"/>
        <v>0</v>
      </c>
      <c r="DY428" s="116">
        <v>34</v>
      </c>
      <c r="DZ428" s="924"/>
      <c r="EH428" s="924"/>
    </row>
    <row r="429" spans="1:138" ht="15" customHeight="1">
      <c r="A429" s="3">
        <v>259</v>
      </c>
      <c r="B429" s="214" t="s">
        <v>284</v>
      </c>
      <c r="C429" s="473" t="s">
        <v>515</v>
      </c>
      <c r="E429" s="138"/>
      <c r="F429" s="138"/>
      <c r="H429" s="138"/>
      <c r="I429" s="138"/>
      <c r="AL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  <c r="BC429" s="6"/>
      <c r="BD429" s="6"/>
      <c r="BE429" s="6"/>
      <c r="BF429" s="6"/>
      <c r="BG429" s="6"/>
      <c r="BH429" s="6"/>
      <c r="BI429" s="6"/>
      <c r="BJ429" s="6"/>
      <c r="BK429" s="6"/>
      <c r="BL429" s="6"/>
      <c r="BM429" s="6"/>
      <c r="BN429" s="6"/>
      <c r="BO429" s="6"/>
      <c r="BP429" s="6"/>
      <c r="BQ429" s="6"/>
      <c r="BR429" s="6"/>
      <c r="BS429" s="6"/>
      <c r="BT429" s="6"/>
      <c r="BU429" s="6"/>
      <c r="BV429" s="6"/>
      <c r="BW429" s="6"/>
      <c r="BX429" s="6"/>
      <c r="BY429" s="6"/>
      <c r="BZ429" s="6"/>
      <c r="CA429" s="6"/>
      <c r="CB429" s="6"/>
      <c r="CC429" s="6"/>
      <c r="DS429" s="1336">
        <f t="shared" si="39"/>
        <v>0</v>
      </c>
      <c r="DT429" s="121">
        <f>EXTRAS!D299</f>
        <v>0</v>
      </c>
      <c r="DU429" s="112">
        <f>EXTRAS!E299</f>
        <v>0</v>
      </c>
      <c r="DX429" s="203">
        <f t="shared" si="40"/>
        <v>0</v>
      </c>
      <c r="DY429" s="142">
        <v>13</v>
      </c>
      <c r="DZ429" s="924"/>
      <c r="EH429" s="924"/>
    </row>
    <row r="430" spans="1:138" ht="15" customHeight="1">
      <c r="A430" s="3">
        <v>260</v>
      </c>
      <c r="B430" s="214" t="s">
        <v>504</v>
      </c>
      <c r="C430" s="473" t="s">
        <v>515</v>
      </c>
      <c r="E430" s="138"/>
      <c r="F430" s="138"/>
      <c r="H430" s="138"/>
      <c r="I430" s="138"/>
      <c r="AL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  <c r="BC430" s="6"/>
      <c r="BD430" s="6"/>
      <c r="BE430" s="6"/>
      <c r="BF430" s="6"/>
      <c r="BG430" s="6"/>
      <c r="BH430" s="6"/>
      <c r="BI430" s="6"/>
      <c r="BJ430" s="6"/>
      <c r="BK430" s="6"/>
      <c r="BL430" s="6"/>
      <c r="BM430" s="6"/>
      <c r="BN430" s="6"/>
      <c r="BO430" s="6"/>
      <c r="BP430" s="6"/>
      <c r="BQ430" s="6"/>
      <c r="BR430" s="6"/>
      <c r="BS430" s="6"/>
      <c r="BT430" s="6"/>
      <c r="BU430" s="6"/>
      <c r="BV430" s="6"/>
      <c r="BW430" s="6"/>
      <c r="BX430" s="6"/>
      <c r="BY430" s="6"/>
      <c r="BZ430" s="6"/>
      <c r="CA430" s="6"/>
      <c r="CB430" s="6"/>
      <c r="CC430" s="6"/>
      <c r="DS430" s="1336">
        <f t="shared" si="39"/>
        <v>0</v>
      </c>
      <c r="DT430" s="121">
        <f>EXTRAS!D300</f>
        <v>0</v>
      </c>
      <c r="DU430" s="112">
        <f>EXTRAS!E300</f>
        <v>0</v>
      </c>
      <c r="DX430" s="203">
        <f t="shared" si="40"/>
        <v>0</v>
      </c>
      <c r="DY430" s="116">
        <v>34</v>
      </c>
      <c r="DZ430" s="924"/>
      <c r="EH430" s="924"/>
    </row>
    <row r="431" spans="1:138" ht="15" customHeight="1">
      <c r="A431" s="3">
        <v>228</v>
      </c>
      <c r="B431" s="210" t="s">
        <v>378</v>
      </c>
      <c r="C431" s="473" t="s">
        <v>515</v>
      </c>
      <c r="E431" s="138"/>
      <c r="F431" s="138"/>
      <c r="H431" s="138"/>
      <c r="I431" s="138"/>
      <c r="AL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  <c r="BC431" s="6"/>
      <c r="BD431" s="6"/>
      <c r="BE431" s="6"/>
      <c r="BF431" s="6"/>
      <c r="BG431" s="6"/>
      <c r="BH431" s="6"/>
      <c r="BI431" s="6"/>
      <c r="BJ431" s="6"/>
      <c r="BK431" s="6"/>
      <c r="BL431" s="6"/>
      <c r="BM431" s="6"/>
      <c r="BN431" s="6"/>
      <c r="BO431" s="6"/>
      <c r="BP431" s="6"/>
      <c r="BQ431" s="6"/>
      <c r="BR431" s="6"/>
      <c r="BS431" s="6"/>
      <c r="BT431" s="6"/>
      <c r="BU431" s="6"/>
      <c r="BV431" s="6"/>
      <c r="BW431" s="6"/>
      <c r="BX431" s="6"/>
      <c r="BY431" s="6"/>
      <c r="BZ431" s="6"/>
      <c r="CA431" s="6"/>
      <c r="CB431" s="6"/>
      <c r="CC431" s="6"/>
      <c r="DS431" s="1336">
        <f t="shared" si="39"/>
        <v>0</v>
      </c>
      <c r="DT431" s="121">
        <f>EXTRAS!D301</f>
        <v>0</v>
      </c>
      <c r="DU431" s="112">
        <f>EXTRAS!E301</f>
        <v>0</v>
      </c>
      <c r="DX431" s="203">
        <f t="shared" si="40"/>
        <v>0</v>
      </c>
      <c r="DY431" s="142">
        <v>13</v>
      </c>
      <c r="DZ431" s="924"/>
      <c r="EH431" s="924"/>
    </row>
    <row r="432" spans="1:138" ht="15" customHeight="1">
      <c r="A432" s="3">
        <v>229</v>
      </c>
      <c r="B432" s="210" t="s">
        <v>379</v>
      </c>
      <c r="C432" s="473" t="s">
        <v>515</v>
      </c>
      <c r="E432" s="138"/>
      <c r="F432" s="138"/>
      <c r="H432" s="138"/>
      <c r="I432" s="138"/>
      <c r="AL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  <c r="BC432" s="6"/>
      <c r="BD432" s="6"/>
      <c r="BE432" s="6"/>
      <c r="BF432" s="6"/>
      <c r="BG432" s="6"/>
      <c r="BH432" s="6"/>
      <c r="BI432" s="6"/>
      <c r="BJ432" s="6"/>
      <c r="BK432" s="6"/>
      <c r="BL432" s="6"/>
      <c r="BM432" s="6"/>
      <c r="BN432" s="6"/>
      <c r="BO432" s="6"/>
      <c r="BP432" s="6"/>
      <c r="BQ432" s="6"/>
      <c r="BR432" s="6"/>
      <c r="BS432" s="6"/>
      <c r="BT432" s="6"/>
      <c r="BU432" s="6"/>
      <c r="BV432" s="6"/>
      <c r="BW432" s="6"/>
      <c r="BX432" s="6"/>
      <c r="BY432" s="6"/>
      <c r="BZ432" s="6"/>
      <c r="CA432" s="6"/>
      <c r="CB432" s="6"/>
      <c r="CC432" s="6"/>
      <c r="DS432" s="1336">
        <f t="shared" si="39"/>
        <v>0</v>
      </c>
      <c r="DT432" s="121">
        <f>EXTRAS!D302</f>
        <v>0</v>
      </c>
      <c r="DU432" s="112">
        <f>EXTRAS!E302</f>
        <v>0</v>
      </c>
      <c r="DX432" s="203">
        <f t="shared" si="40"/>
        <v>0</v>
      </c>
      <c r="DZ432" s="924"/>
      <c r="EH432" s="924"/>
    </row>
    <row r="433" spans="1:138" ht="15" customHeight="1">
      <c r="A433" s="3"/>
      <c r="B433" s="748" t="s">
        <v>1346</v>
      </c>
      <c r="C433" s="4"/>
      <c r="E433" s="138"/>
      <c r="F433" s="138"/>
      <c r="H433" s="138"/>
      <c r="I433" s="138"/>
      <c r="AL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  <c r="BC433" s="6"/>
      <c r="BD433" s="6"/>
      <c r="BE433" s="6"/>
      <c r="BF433" s="6"/>
      <c r="BG433" s="6"/>
      <c r="BH433" s="6"/>
      <c r="BI433" s="6"/>
      <c r="BJ433" s="6"/>
      <c r="BK433" s="6"/>
      <c r="BL433" s="6"/>
      <c r="BM433" s="6"/>
      <c r="BN433" s="6"/>
      <c r="BO433" s="6"/>
      <c r="BP433" s="6"/>
      <c r="BQ433" s="6"/>
      <c r="BR433" s="6"/>
      <c r="BS433" s="6"/>
      <c r="BT433" s="6"/>
      <c r="BU433" s="6"/>
      <c r="BV433" s="6"/>
      <c r="BW433" s="6"/>
      <c r="BX433" s="6"/>
      <c r="BY433" s="6"/>
      <c r="BZ433" s="6"/>
      <c r="CA433" s="6"/>
      <c r="CB433" s="6"/>
      <c r="CC433" s="6"/>
      <c r="DS433" s="1336">
        <f t="shared" si="39"/>
        <v>0</v>
      </c>
      <c r="DT433" s="121"/>
      <c r="DX433" s="203">
        <f t="shared" si="40"/>
        <v>0</v>
      </c>
      <c r="DZ433" s="924"/>
      <c r="EH433" s="924"/>
    </row>
    <row r="434" spans="1:138" ht="15" customHeight="1">
      <c r="A434" s="3"/>
      <c r="B434" s="748" t="s">
        <v>1347</v>
      </c>
      <c r="C434" s="4"/>
      <c r="E434" s="138"/>
      <c r="F434" s="138"/>
      <c r="H434" s="138"/>
      <c r="I434" s="138"/>
      <c r="AL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  <c r="BC434" s="6"/>
      <c r="BD434" s="6"/>
      <c r="BE434" s="6"/>
      <c r="BF434" s="6"/>
      <c r="BG434" s="6"/>
      <c r="BH434" s="6"/>
      <c r="BI434" s="6"/>
      <c r="BJ434" s="6"/>
      <c r="BK434" s="6"/>
      <c r="BL434" s="6"/>
      <c r="BM434" s="6"/>
      <c r="BN434" s="6"/>
      <c r="BO434" s="6"/>
      <c r="BP434" s="6"/>
      <c r="BQ434" s="6"/>
      <c r="BR434" s="6"/>
      <c r="BS434" s="6"/>
      <c r="BT434" s="6"/>
      <c r="BU434" s="6"/>
      <c r="BV434" s="6"/>
      <c r="BW434" s="6"/>
      <c r="BX434" s="6"/>
      <c r="BY434" s="6"/>
      <c r="BZ434" s="6"/>
      <c r="CA434" s="6"/>
      <c r="CB434" s="6"/>
      <c r="CC434" s="6"/>
      <c r="DS434" s="1336">
        <f t="shared" si="39"/>
        <v>0</v>
      </c>
      <c r="DT434" s="121"/>
      <c r="DX434" s="203">
        <f t="shared" si="40"/>
        <v>0</v>
      </c>
      <c r="DZ434" s="924"/>
      <c r="EH434" s="924"/>
    </row>
    <row r="435" spans="1:138" ht="15" customHeight="1">
      <c r="A435" s="3"/>
      <c r="B435" s="748" t="s">
        <v>1348</v>
      </c>
      <c r="C435" s="4"/>
      <c r="E435" s="138"/>
      <c r="F435" s="138"/>
      <c r="H435" s="138"/>
      <c r="I435" s="138"/>
      <c r="AL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  <c r="BC435" s="6"/>
      <c r="BD435" s="6"/>
      <c r="BE435" s="6"/>
      <c r="BF435" s="6"/>
      <c r="BG435" s="6"/>
      <c r="BH435" s="6"/>
      <c r="BI435" s="6"/>
      <c r="BJ435" s="6"/>
      <c r="BK435" s="6"/>
      <c r="BL435" s="6"/>
      <c r="BM435" s="6"/>
      <c r="BN435" s="6"/>
      <c r="BO435" s="6"/>
      <c r="BP435" s="6"/>
      <c r="BQ435" s="6"/>
      <c r="BR435" s="6"/>
      <c r="BS435" s="6"/>
      <c r="BT435" s="6"/>
      <c r="BU435" s="6"/>
      <c r="BV435" s="6"/>
      <c r="BW435" s="6"/>
      <c r="BX435" s="6"/>
      <c r="BY435" s="6"/>
      <c r="BZ435" s="6"/>
      <c r="CA435" s="6"/>
      <c r="CB435" s="6"/>
      <c r="CC435" s="6"/>
      <c r="DS435" s="1336">
        <f t="shared" si="39"/>
        <v>0</v>
      </c>
      <c r="DT435" s="121"/>
      <c r="DX435" s="203">
        <f t="shared" si="40"/>
        <v>0</v>
      </c>
      <c r="DZ435" s="924"/>
      <c r="EH435" s="924"/>
    </row>
    <row r="436" spans="1:138" ht="15" customHeight="1">
      <c r="A436" s="3"/>
      <c r="B436" s="748" t="s">
        <v>1349</v>
      </c>
      <c r="C436" s="4"/>
      <c r="E436" s="138"/>
      <c r="F436" s="138"/>
      <c r="H436" s="138"/>
      <c r="I436" s="138"/>
      <c r="AL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  <c r="BC436" s="6"/>
      <c r="BD436" s="6"/>
      <c r="BE436" s="6"/>
      <c r="BF436" s="6"/>
      <c r="BG436" s="6"/>
      <c r="BH436" s="6"/>
      <c r="BI436" s="6"/>
      <c r="BJ436" s="6"/>
      <c r="BK436" s="6"/>
      <c r="BL436" s="6"/>
      <c r="BM436" s="6"/>
      <c r="BN436" s="6"/>
      <c r="BO436" s="6"/>
      <c r="BP436" s="6"/>
      <c r="BQ436" s="6"/>
      <c r="BR436" s="6"/>
      <c r="BS436" s="6"/>
      <c r="BT436" s="6"/>
      <c r="BU436" s="6"/>
      <c r="BV436" s="6"/>
      <c r="BW436" s="6"/>
      <c r="BX436" s="6"/>
      <c r="BY436" s="6"/>
      <c r="BZ436" s="6"/>
      <c r="CA436" s="6"/>
      <c r="CB436" s="6"/>
      <c r="CC436" s="6"/>
      <c r="DS436" s="1336">
        <f t="shared" si="39"/>
        <v>0</v>
      </c>
      <c r="DT436" s="121"/>
      <c r="DX436" s="203">
        <f t="shared" si="40"/>
        <v>0</v>
      </c>
      <c r="DZ436" s="924"/>
      <c r="EH436" s="924"/>
    </row>
    <row r="437" spans="1:138" ht="15" customHeight="1">
      <c r="A437" s="3"/>
      <c r="B437" s="748" t="s">
        <v>1350</v>
      </c>
      <c r="C437" s="4"/>
      <c r="E437" s="138"/>
      <c r="F437" s="138"/>
      <c r="H437" s="138"/>
      <c r="I437" s="138"/>
      <c r="AL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  <c r="BC437" s="6"/>
      <c r="BD437" s="6"/>
      <c r="BE437" s="6"/>
      <c r="BF437" s="6"/>
      <c r="BG437" s="6"/>
      <c r="BH437" s="6"/>
      <c r="BI437" s="6"/>
      <c r="BJ437" s="6"/>
      <c r="BK437" s="6"/>
      <c r="BL437" s="6"/>
      <c r="BM437" s="6"/>
      <c r="BN437" s="6"/>
      <c r="BO437" s="6"/>
      <c r="BP437" s="6"/>
      <c r="BQ437" s="6"/>
      <c r="BR437" s="6"/>
      <c r="BS437" s="6"/>
      <c r="BT437" s="6"/>
      <c r="BU437" s="6"/>
      <c r="BV437" s="6"/>
      <c r="BW437" s="6"/>
      <c r="BX437" s="6"/>
      <c r="BY437" s="6"/>
      <c r="BZ437" s="6"/>
      <c r="CA437" s="6"/>
      <c r="CB437" s="6"/>
      <c r="CC437" s="6"/>
      <c r="DS437" s="1336">
        <f t="shared" si="39"/>
        <v>0</v>
      </c>
      <c r="DT437" s="121"/>
      <c r="DX437" s="203">
        <f t="shared" si="40"/>
        <v>0</v>
      </c>
      <c r="DZ437" s="924"/>
      <c r="EH437" s="924"/>
    </row>
    <row r="438" spans="1:138" ht="15" customHeight="1">
      <c r="A438" s="3"/>
      <c r="B438" s="748" t="s">
        <v>1351</v>
      </c>
      <c r="C438" s="4"/>
      <c r="E438" s="138"/>
      <c r="F438" s="138"/>
      <c r="H438" s="138"/>
      <c r="I438" s="138"/>
      <c r="AL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  <c r="BC438" s="6"/>
      <c r="BD438" s="6"/>
      <c r="BE438" s="6"/>
      <c r="BF438" s="6"/>
      <c r="BG438" s="6"/>
      <c r="BH438" s="6"/>
      <c r="BI438" s="6"/>
      <c r="BJ438" s="6"/>
      <c r="BK438" s="6"/>
      <c r="BL438" s="6"/>
      <c r="BM438" s="6"/>
      <c r="BN438" s="6"/>
      <c r="BO438" s="6"/>
      <c r="BP438" s="6"/>
      <c r="BQ438" s="6"/>
      <c r="BR438" s="6"/>
      <c r="BS438" s="6"/>
      <c r="BT438" s="6"/>
      <c r="BU438" s="6"/>
      <c r="BV438" s="6"/>
      <c r="BW438" s="6"/>
      <c r="BX438" s="6"/>
      <c r="BY438" s="6"/>
      <c r="BZ438" s="6"/>
      <c r="CA438" s="6"/>
      <c r="CB438" s="6"/>
      <c r="CC438" s="6"/>
      <c r="DS438" s="1336">
        <f t="shared" si="39"/>
        <v>0</v>
      </c>
      <c r="DT438" s="121"/>
      <c r="DX438" s="203">
        <f t="shared" si="40"/>
        <v>0</v>
      </c>
      <c r="DZ438" s="924"/>
      <c r="EH438" s="924"/>
    </row>
    <row r="439" spans="1:138" ht="15" customHeight="1">
      <c r="A439" s="3">
        <v>230</v>
      </c>
      <c r="B439" s="117" t="s">
        <v>352</v>
      </c>
      <c r="C439" s="4" t="s">
        <v>0</v>
      </c>
      <c r="E439" s="138"/>
      <c r="F439" s="138"/>
      <c r="H439" s="138"/>
      <c r="I439" s="138"/>
      <c r="AL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  <c r="BC439" s="6"/>
      <c r="BD439" s="6"/>
      <c r="BE439" s="6"/>
      <c r="BF439" s="6"/>
      <c r="BG439" s="6"/>
      <c r="BH439" s="6"/>
      <c r="BI439" s="6"/>
      <c r="BJ439" s="6"/>
      <c r="BK439" s="6"/>
      <c r="BL439" s="6"/>
      <c r="BM439" s="6"/>
      <c r="BN439" s="6"/>
      <c r="BO439" s="6"/>
      <c r="BP439" s="6"/>
      <c r="BQ439" s="6"/>
      <c r="BR439" s="6"/>
      <c r="BS439" s="6"/>
      <c r="BT439" s="6"/>
      <c r="BU439" s="6"/>
      <c r="BV439" s="6"/>
      <c r="BW439" s="6"/>
      <c r="BX439" s="6"/>
      <c r="BY439" s="6"/>
      <c r="BZ439" s="6"/>
      <c r="CA439" s="6"/>
      <c r="CB439" s="6"/>
      <c r="CC439" s="6"/>
      <c r="DS439" s="1336">
        <f t="shared" si="39"/>
        <v>0</v>
      </c>
      <c r="DT439" s="121">
        <f>EXTRAS!D303</f>
        <v>0</v>
      </c>
      <c r="DU439" s="112">
        <f>EXTRAS!E303</f>
        <v>0</v>
      </c>
      <c r="DX439" s="203">
        <f t="shared" si="40"/>
        <v>0</v>
      </c>
      <c r="DZ439" s="924"/>
      <c r="EH439" s="924"/>
    </row>
    <row r="440" spans="1:138" ht="15" customHeight="1">
      <c r="A440" s="3">
        <v>231</v>
      </c>
      <c r="B440" s="117" t="s">
        <v>353</v>
      </c>
      <c r="C440" s="4" t="s">
        <v>0</v>
      </c>
      <c r="E440" s="138"/>
      <c r="F440" s="138"/>
      <c r="H440" s="138"/>
      <c r="I440" s="138"/>
      <c r="AL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  <c r="BC440" s="6"/>
      <c r="BD440" s="6"/>
      <c r="BE440" s="6"/>
      <c r="BF440" s="6"/>
      <c r="BG440" s="6"/>
      <c r="BH440" s="6"/>
      <c r="BI440" s="6"/>
      <c r="BJ440" s="6"/>
      <c r="BK440" s="6"/>
      <c r="BL440" s="6"/>
      <c r="BM440" s="6"/>
      <c r="BN440" s="6"/>
      <c r="BO440" s="6"/>
      <c r="BP440" s="6"/>
      <c r="BQ440" s="6"/>
      <c r="BR440" s="6"/>
      <c r="BS440" s="6"/>
      <c r="BT440" s="6"/>
      <c r="BU440" s="6"/>
      <c r="BV440" s="6"/>
      <c r="BW440" s="6"/>
      <c r="BX440" s="6"/>
      <c r="BY440" s="6"/>
      <c r="BZ440" s="6"/>
      <c r="CA440" s="6"/>
      <c r="CB440" s="6"/>
      <c r="CC440" s="6"/>
      <c r="DS440" s="1336">
        <f t="shared" si="39"/>
        <v>0</v>
      </c>
      <c r="DT440" s="121">
        <f>EXTRAS!D304</f>
        <v>0</v>
      </c>
      <c r="DU440" s="112">
        <f>EXTRAS!E304</f>
        <v>0</v>
      </c>
      <c r="DX440" s="203">
        <f t="shared" si="40"/>
        <v>0</v>
      </c>
      <c r="DZ440" s="924"/>
      <c r="EH440" s="924"/>
    </row>
    <row r="441" spans="1:138" ht="15" customHeight="1">
      <c r="A441" s="3">
        <v>232</v>
      </c>
      <c r="B441" s="117" t="s">
        <v>354</v>
      </c>
      <c r="C441" s="4" t="s">
        <v>0</v>
      </c>
      <c r="E441" s="138"/>
      <c r="F441" s="138"/>
      <c r="H441" s="138"/>
      <c r="I441" s="138"/>
      <c r="AL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  <c r="BC441" s="6"/>
      <c r="BD441" s="6"/>
      <c r="BE441" s="6"/>
      <c r="BF441" s="6"/>
      <c r="BG441" s="6"/>
      <c r="BH441" s="6"/>
      <c r="BI441" s="6"/>
      <c r="BJ441" s="6"/>
      <c r="BK441" s="6"/>
      <c r="BL441" s="6"/>
      <c r="BM441" s="6"/>
      <c r="BN441" s="6"/>
      <c r="BO441" s="6"/>
      <c r="BP441" s="6"/>
      <c r="BQ441" s="6"/>
      <c r="BR441" s="6"/>
      <c r="BS441" s="6"/>
      <c r="BT441" s="6"/>
      <c r="BU441" s="6"/>
      <c r="BV441" s="6"/>
      <c r="BW441" s="6"/>
      <c r="BX441" s="6"/>
      <c r="BY441" s="6"/>
      <c r="BZ441" s="6"/>
      <c r="CA441" s="6"/>
      <c r="CB441" s="6"/>
      <c r="CC441" s="6"/>
      <c r="DS441" s="1336">
        <f t="shared" si="39"/>
        <v>0</v>
      </c>
      <c r="DT441" s="121">
        <f>EXTRAS!D305</f>
        <v>0</v>
      </c>
      <c r="DU441" s="112">
        <f>EXTRAS!E305</f>
        <v>0</v>
      </c>
      <c r="DX441" s="203">
        <f t="shared" si="40"/>
        <v>0</v>
      </c>
      <c r="DZ441" s="924"/>
      <c r="EH441" s="924"/>
    </row>
    <row r="442" spans="1:138" ht="15" customHeight="1">
      <c r="A442" s="3">
        <v>233</v>
      </c>
      <c r="B442" s="117" t="s">
        <v>355</v>
      </c>
      <c r="C442" s="4" t="s">
        <v>0</v>
      </c>
      <c r="E442" s="138"/>
      <c r="F442" s="138"/>
      <c r="H442" s="138"/>
      <c r="I442" s="138"/>
      <c r="AL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  <c r="BC442" s="6"/>
      <c r="BD442" s="6"/>
      <c r="BE442" s="6"/>
      <c r="BF442" s="6"/>
      <c r="BG442" s="6"/>
      <c r="BH442" s="6"/>
      <c r="BI442" s="6"/>
      <c r="BJ442" s="6"/>
      <c r="BK442" s="6"/>
      <c r="BL442" s="6"/>
      <c r="BM442" s="6"/>
      <c r="BN442" s="6"/>
      <c r="BO442" s="6"/>
      <c r="BP442" s="6"/>
      <c r="BQ442" s="6"/>
      <c r="BR442" s="6"/>
      <c r="BS442" s="6"/>
      <c r="BT442" s="6"/>
      <c r="BU442" s="6"/>
      <c r="BV442" s="6"/>
      <c r="BW442" s="6"/>
      <c r="BX442" s="6"/>
      <c r="BY442" s="6"/>
      <c r="BZ442" s="6"/>
      <c r="CA442" s="6"/>
      <c r="CB442" s="6"/>
      <c r="CC442" s="6"/>
      <c r="DS442" s="1336">
        <f t="shared" si="39"/>
        <v>0</v>
      </c>
      <c r="DT442" s="121">
        <f>EXTRAS!D306</f>
        <v>0</v>
      </c>
      <c r="DU442" s="112">
        <f>EXTRAS!E306</f>
        <v>0</v>
      </c>
      <c r="DX442" s="203">
        <f t="shared" si="40"/>
        <v>0</v>
      </c>
      <c r="DZ442" s="924"/>
      <c r="EH442" s="924"/>
    </row>
    <row r="443" spans="1:138" ht="15" customHeight="1">
      <c r="A443" s="3">
        <v>234</v>
      </c>
      <c r="B443" s="117" t="s">
        <v>356</v>
      </c>
      <c r="C443" s="4" t="s">
        <v>0</v>
      </c>
      <c r="E443" s="138"/>
      <c r="F443" s="138"/>
      <c r="H443" s="138"/>
      <c r="I443" s="138"/>
      <c r="AL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  <c r="BC443" s="6"/>
      <c r="BD443" s="6"/>
      <c r="BE443" s="6"/>
      <c r="BF443" s="6"/>
      <c r="BG443" s="6"/>
      <c r="BH443" s="6"/>
      <c r="BI443" s="6"/>
      <c r="BJ443" s="6"/>
      <c r="BK443" s="6"/>
      <c r="BL443" s="6"/>
      <c r="BM443" s="6"/>
      <c r="BN443" s="6"/>
      <c r="BO443" s="6"/>
      <c r="BP443" s="6"/>
      <c r="BQ443" s="6"/>
      <c r="BR443" s="6"/>
      <c r="BS443" s="6"/>
      <c r="BT443" s="6"/>
      <c r="BU443" s="6"/>
      <c r="BV443" s="6"/>
      <c r="BW443" s="6"/>
      <c r="BX443" s="6"/>
      <c r="BY443" s="6"/>
      <c r="BZ443" s="6"/>
      <c r="CA443" s="6"/>
      <c r="CB443" s="6"/>
      <c r="CC443" s="6"/>
      <c r="DS443" s="1336">
        <f t="shared" si="39"/>
        <v>0</v>
      </c>
      <c r="DT443" s="121">
        <f>EXTRAS!D307</f>
        <v>0</v>
      </c>
      <c r="DU443" s="112">
        <f>EXTRAS!E307</f>
        <v>0</v>
      </c>
      <c r="DX443" s="203">
        <f t="shared" si="40"/>
        <v>0</v>
      </c>
      <c r="DZ443" s="924"/>
      <c r="EH443" s="924"/>
    </row>
    <row r="444" spans="1:138" ht="15" customHeight="1">
      <c r="A444" s="91" t="s">
        <v>357</v>
      </c>
      <c r="B444" s="117" t="s">
        <v>357</v>
      </c>
      <c r="C444" s="4" t="s">
        <v>0</v>
      </c>
      <c r="E444" s="138"/>
      <c r="F444" s="138"/>
      <c r="H444" s="138"/>
      <c r="I444" s="138"/>
      <c r="AL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  <c r="BC444" s="6"/>
      <c r="BD444" s="6"/>
      <c r="BE444" s="6"/>
      <c r="BF444" s="6"/>
      <c r="BG444" s="6"/>
      <c r="BH444" s="6"/>
      <c r="BI444" s="6"/>
      <c r="BJ444" s="6"/>
      <c r="BK444" s="6"/>
      <c r="BL444" s="6"/>
      <c r="BM444" s="6"/>
      <c r="BN444" s="6"/>
      <c r="BO444" s="6"/>
      <c r="BP444" s="6"/>
      <c r="BQ444" s="6"/>
      <c r="BR444" s="6"/>
      <c r="BS444" s="6"/>
      <c r="BT444" s="6"/>
      <c r="BU444" s="6"/>
      <c r="BV444" s="6"/>
      <c r="BW444" s="6"/>
      <c r="BX444" s="6"/>
      <c r="BY444" s="6"/>
      <c r="BZ444" s="6"/>
      <c r="CA444" s="6"/>
      <c r="CB444" s="6"/>
      <c r="CC444" s="6"/>
      <c r="DS444" s="1336">
        <f t="shared" si="39"/>
        <v>0</v>
      </c>
      <c r="DT444" s="121">
        <f>EXTRAS!D308</f>
        <v>0</v>
      </c>
      <c r="DU444" s="112">
        <f>EXTRAS!E308</f>
        <v>0</v>
      </c>
      <c r="DX444" s="203">
        <f t="shared" si="40"/>
        <v>0</v>
      </c>
      <c r="DZ444" s="924"/>
      <c r="EH444" s="924"/>
    </row>
    <row r="445" spans="1:138" ht="15" customHeight="1">
      <c r="AL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  <c r="BC445" s="6"/>
      <c r="BD445" s="6"/>
      <c r="BE445" s="6"/>
      <c r="BF445" s="6"/>
      <c r="BG445" s="6"/>
      <c r="BH445" s="6"/>
      <c r="BI445" s="6"/>
      <c r="BJ445" s="6"/>
      <c r="BK445" s="6"/>
      <c r="BL445" s="6"/>
      <c r="BM445" s="6"/>
      <c r="BN445" s="6"/>
      <c r="BO445" s="6"/>
      <c r="BP445" s="6"/>
      <c r="BQ445" s="6"/>
      <c r="BR445" s="6"/>
      <c r="BS445" s="6"/>
      <c r="BT445" s="6"/>
      <c r="BU445" s="6"/>
      <c r="BV445" s="6"/>
      <c r="BW445" s="6"/>
      <c r="BX445" s="6"/>
      <c r="BY445" s="6"/>
      <c r="BZ445" s="6"/>
      <c r="CA445" s="6"/>
      <c r="CB445" s="6"/>
      <c r="CC445" s="6"/>
      <c r="DS445" s="1336">
        <f t="shared" si="39"/>
        <v>0</v>
      </c>
      <c r="DT445" s="121">
        <f>EXTRAS!D309</f>
        <v>0</v>
      </c>
      <c r="DU445" s="112">
        <f>EXTRAS!E309</f>
        <v>0</v>
      </c>
      <c r="DX445" s="203">
        <f t="shared" si="40"/>
        <v>0</v>
      </c>
      <c r="DZ445" s="924"/>
      <c r="EH445" s="924"/>
    </row>
    <row r="446" spans="1:138" ht="15" customHeight="1">
      <c r="B446" s="163" t="s">
        <v>1329</v>
      </c>
      <c r="C446" s="643" t="s">
        <v>511</v>
      </c>
      <c r="D446" s="846"/>
      <c r="E446" s="846"/>
      <c r="F446" s="84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  <c r="BC446" s="6"/>
      <c r="BD446" s="6"/>
      <c r="BE446" s="6"/>
      <c r="BF446" s="6"/>
      <c r="BG446" s="6"/>
      <c r="BH446" s="6"/>
      <c r="BI446" s="6"/>
      <c r="BJ446" s="6"/>
      <c r="BK446" s="6"/>
      <c r="BL446" s="6"/>
      <c r="BM446" s="6"/>
      <c r="BN446" s="6"/>
      <c r="BO446" s="6"/>
      <c r="BP446" s="6"/>
      <c r="BQ446" s="6"/>
      <c r="BR446" s="6"/>
      <c r="BS446" s="6"/>
      <c r="BT446" s="6"/>
      <c r="BU446" s="6"/>
      <c r="BV446" s="6"/>
      <c r="BW446" s="6"/>
      <c r="BX446" s="6"/>
      <c r="BY446" s="6"/>
      <c r="BZ446" s="6"/>
      <c r="CA446" s="6"/>
      <c r="CB446" s="6"/>
      <c r="CC446" s="6"/>
      <c r="DS446" s="1336">
        <f t="shared" si="39"/>
        <v>0</v>
      </c>
      <c r="DT446" s="121">
        <f>EXTRAS!D310</f>
        <v>0</v>
      </c>
      <c r="DU446" s="112">
        <f>EXTRAS!E310</f>
        <v>0</v>
      </c>
      <c r="DX446" s="203">
        <f t="shared" si="40"/>
        <v>0</v>
      </c>
      <c r="DZ446" s="924"/>
      <c r="EH446" s="924"/>
    </row>
    <row r="447" spans="1:138" ht="15" customHeight="1">
      <c r="B447" s="821" t="s">
        <v>1321</v>
      </c>
      <c r="C447" s="822" t="s">
        <v>0</v>
      </c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  <c r="BC447" s="6"/>
      <c r="BD447" s="6"/>
      <c r="BE447" s="6"/>
      <c r="BF447" s="6"/>
      <c r="BG447" s="6"/>
      <c r="BH447" s="6"/>
      <c r="BI447" s="6"/>
      <c r="BJ447" s="6"/>
      <c r="BK447" s="6"/>
      <c r="BL447" s="6"/>
      <c r="BM447" s="6"/>
      <c r="BN447" s="6"/>
      <c r="BO447" s="6"/>
      <c r="BP447" s="6"/>
      <c r="BQ447" s="6"/>
      <c r="BR447" s="6"/>
      <c r="BS447" s="6"/>
      <c r="BT447" s="6"/>
      <c r="BU447" s="6"/>
      <c r="BV447" s="6"/>
      <c r="BW447" s="6"/>
      <c r="BX447" s="6"/>
      <c r="BY447" s="6"/>
      <c r="BZ447" s="6"/>
      <c r="CA447" s="6"/>
      <c r="CB447" s="6"/>
      <c r="CC447" s="6"/>
      <c r="DS447" s="1336">
        <f t="shared" si="39"/>
        <v>0</v>
      </c>
      <c r="DT447" s="121">
        <f>EXTRAS!D311</f>
        <v>0</v>
      </c>
      <c r="DU447" s="121">
        <f>EXTRAS!E311</f>
        <v>0</v>
      </c>
      <c r="DX447" s="203">
        <f t="shared" si="40"/>
        <v>0</v>
      </c>
      <c r="DZ447" s="924"/>
      <c r="EH447" s="924"/>
    </row>
    <row r="448" spans="1:138" ht="15" customHeight="1">
      <c r="B448" s="163" t="s">
        <v>1322</v>
      </c>
      <c r="C448" s="643" t="s">
        <v>0</v>
      </c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  <c r="BC448" s="6"/>
      <c r="BD448" s="6"/>
      <c r="BE448" s="6"/>
      <c r="BF448" s="6"/>
      <c r="BG448" s="6"/>
      <c r="BH448" s="6"/>
      <c r="BI448" s="6"/>
      <c r="BJ448" s="6"/>
      <c r="BK448" s="6"/>
      <c r="BL448" s="6"/>
      <c r="BM448" s="6"/>
      <c r="BN448" s="6"/>
      <c r="BO448" s="6"/>
      <c r="BP448" s="6"/>
      <c r="BQ448" s="6"/>
      <c r="BR448" s="6"/>
      <c r="BS448" s="6"/>
      <c r="BT448" s="6"/>
      <c r="BU448" s="6"/>
      <c r="BV448" s="6"/>
      <c r="BW448" s="6"/>
      <c r="BX448" s="6"/>
      <c r="BY448" s="6"/>
      <c r="BZ448" s="6"/>
      <c r="CA448" s="6"/>
      <c r="CB448" s="6"/>
      <c r="CC448" s="6"/>
      <c r="DS448" s="1336">
        <f t="shared" si="39"/>
        <v>0</v>
      </c>
      <c r="DT448" s="121">
        <f>EXTRAS!D312</f>
        <v>0</v>
      </c>
      <c r="DU448" s="121">
        <f>EXTRAS!E312</f>
        <v>0</v>
      </c>
      <c r="DX448" s="203">
        <f t="shared" si="40"/>
        <v>0</v>
      </c>
      <c r="DZ448" s="924"/>
      <c r="EH448" s="924"/>
    </row>
    <row r="449" spans="2:138" ht="15" customHeight="1">
      <c r="B449" s="821" t="s">
        <v>1323</v>
      </c>
      <c r="C449" s="822" t="s">
        <v>0</v>
      </c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  <c r="BC449" s="6"/>
      <c r="BD449" s="6"/>
      <c r="BE449" s="6"/>
      <c r="BF449" s="6"/>
      <c r="BG449" s="6"/>
      <c r="BH449" s="6"/>
      <c r="BI449" s="6"/>
      <c r="BJ449" s="6"/>
      <c r="BK449" s="6"/>
      <c r="BL449" s="6"/>
      <c r="BM449" s="6"/>
      <c r="BN449" s="6"/>
      <c r="BO449" s="6"/>
      <c r="BP449" s="6"/>
      <c r="BQ449" s="6"/>
      <c r="BR449" s="6"/>
      <c r="BS449" s="6"/>
      <c r="BT449" s="6"/>
      <c r="BU449" s="6"/>
      <c r="BV449" s="6"/>
      <c r="BW449" s="6"/>
      <c r="BX449" s="6"/>
      <c r="BY449" s="6"/>
      <c r="BZ449" s="6"/>
      <c r="CA449" s="6"/>
      <c r="CB449" s="6"/>
      <c r="CC449" s="6"/>
      <c r="DS449" s="1336">
        <f t="shared" si="39"/>
        <v>0</v>
      </c>
      <c r="DT449" s="121">
        <f>EXTRAS!D313</f>
        <v>0</v>
      </c>
      <c r="DU449" s="121">
        <f>EXTRAS!E313</f>
        <v>0</v>
      </c>
      <c r="DX449" s="203">
        <f t="shared" si="40"/>
        <v>0</v>
      </c>
      <c r="DZ449" s="924"/>
      <c r="EH449" s="924"/>
    </row>
    <row r="450" spans="2:138" ht="15" customHeight="1">
      <c r="B450" s="163" t="s">
        <v>1324</v>
      </c>
      <c r="C450" s="643" t="s">
        <v>0</v>
      </c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  <c r="BC450" s="6"/>
      <c r="BD450" s="6"/>
      <c r="BE450" s="6"/>
      <c r="BF450" s="6"/>
      <c r="BG450" s="6"/>
      <c r="BH450" s="6"/>
      <c r="BI450" s="6"/>
      <c r="BJ450" s="6"/>
      <c r="BK450" s="6"/>
      <c r="BL450" s="6"/>
      <c r="BM450" s="6"/>
      <c r="BN450" s="6"/>
      <c r="BO450" s="6"/>
      <c r="BP450" s="6"/>
      <c r="BQ450" s="6"/>
      <c r="BR450" s="6"/>
      <c r="BS450" s="6"/>
      <c r="BT450" s="6"/>
      <c r="BU450" s="6"/>
      <c r="BV450" s="6"/>
      <c r="BW450" s="6"/>
      <c r="BX450" s="6"/>
      <c r="BY450" s="6"/>
      <c r="BZ450" s="6"/>
      <c r="CA450" s="6"/>
      <c r="CB450" s="6"/>
      <c r="CC450" s="6"/>
      <c r="DS450" s="1336">
        <f t="shared" si="39"/>
        <v>0</v>
      </c>
      <c r="DT450" s="121">
        <f>EXTRAS!D314</f>
        <v>0</v>
      </c>
      <c r="DU450" s="121">
        <f>EXTRAS!E314</f>
        <v>0</v>
      </c>
      <c r="DX450" s="203">
        <f t="shared" si="40"/>
        <v>0</v>
      </c>
      <c r="DZ450" s="924"/>
      <c r="EH450" s="924"/>
    </row>
    <row r="451" spans="2:138" ht="15" customHeight="1">
      <c r="B451" s="821" t="s">
        <v>1325</v>
      </c>
      <c r="C451" s="822" t="s">
        <v>0</v>
      </c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  <c r="BC451" s="6"/>
      <c r="BD451" s="6"/>
      <c r="BE451" s="6"/>
      <c r="BF451" s="6"/>
      <c r="BG451" s="6"/>
      <c r="BH451" s="6"/>
      <c r="BI451" s="6"/>
      <c r="BJ451" s="6"/>
      <c r="BK451" s="6"/>
      <c r="BL451" s="6"/>
      <c r="BM451" s="6"/>
      <c r="BN451" s="6"/>
      <c r="BO451" s="6"/>
      <c r="BP451" s="6"/>
      <c r="BQ451" s="6"/>
      <c r="BR451" s="6"/>
      <c r="BS451" s="6"/>
      <c r="BT451" s="6"/>
      <c r="BU451" s="6"/>
      <c r="BV451" s="6"/>
      <c r="BW451" s="6"/>
      <c r="BX451" s="6"/>
      <c r="BY451" s="6"/>
      <c r="BZ451" s="6"/>
      <c r="CA451" s="6"/>
      <c r="CB451" s="6"/>
      <c r="CC451" s="6"/>
      <c r="DS451" s="1336">
        <f t="shared" si="39"/>
        <v>0</v>
      </c>
      <c r="DT451" s="121">
        <f>EXTRAS!D315</f>
        <v>0</v>
      </c>
      <c r="DU451" s="121">
        <f>EXTRAS!E315</f>
        <v>0</v>
      </c>
      <c r="DX451" s="203">
        <f t="shared" si="40"/>
        <v>0</v>
      </c>
      <c r="DZ451" s="924"/>
      <c r="EH451" s="924"/>
    </row>
    <row r="452" spans="2:138" ht="15" customHeight="1">
      <c r="B452" s="163" t="s">
        <v>1326</v>
      </c>
      <c r="C452" s="643" t="s">
        <v>0</v>
      </c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  <c r="BC452" s="6"/>
      <c r="BD452" s="6"/>
      <c r="BE452" s="6"/>
      <c r="BF452" s="6"/>
      <c r="BG452" s="6"/>
      <c r="BH452" s="6"/>
      <c r="BI452" s="6"/>
      <c r="BJ452" s="6"/>
      <c r="BK452" s="6"/>
      <c r="BL452" s="6"/>
      <c r="BM452" s="6"/>
      <c r="BN452" s="6"/>
      <c r="BO452" s="6"/>
      <c r="BP452" s="6"/>
      <c r="BQ452" s="6"/>
      <c r="BR452" s="6"/>
      <c r="BS452" s="6"/>
      <c r="BT452" s="6"/>
      <c r="BU452" s="6"/>
      <c r="BV452" s="6"/>
      <c r="BW452" s="6"/>
      <c r="BX452" s="6"/>
      <c r="BY452" s="6"/>
      <c r="BZ452" s="6"/>
      <c r="CA452" s="6"/>
      <c r="CB452" s="6"/>
      <c r="CC452" s="6"/>
      <c r="DS452" s="1336">
        <f t="shared" si="39"/>
        <v>0</v>
      </c>
      <c r="DT452" s="121">
        <f>EXTRAS!D316</f>
        <v>0</v>
      </c>
      <c r="DU452" s="121">
        <f>EXTRAS!E316</f>
        <v>0</v>
      </c>
      <c r="DX452" s="203">
        <f t="shared" si="40"/>
        <v>0</v>
      </c>
      <c r="DZ452" s="924"/>
      <c r="EH452" s="924"/>
    </row>
    <row r="453" spans="2:138" ht="15" customHeight="1">
      <c r="B453" s="821" t="s">
        <v>1327</v>
      </c>
      <c r="C453" s="822" t="s">
        <v>0</v>
      </c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  <c r="BC453" s="6"/>
      <c r="BD453" s="6"/>
      <c r="BE453" s="6"/>
      <c r="BF453" s="6"/>
      <c r="BG453" s="6"/>
      <c r="BH453" s="6"/>
      <c r="BI453" s="6"/>
      <c r="BJ453" s="6"/>
      <c r="BK453" s="6"/>
      <c r="BL453" s="6"/>
      <c r="BM453" s="6"/>
      <c r="BN453" s="6"/>
      <c r="BO453" s="6"/>
      <c r="BP453" s="6"/>
      <c r="BQ453" s="6"/>
      <c r="BR453" s="6"/>
      <c r="BS453" s="6"/>
      <c r="BT453" s="6"/>
      <c r="BU453" s="6"/>
      <c r="BV453" s="6"/>
      <c r="BW453" s="6"/>
      <c r="BX453" s="6"/>
      <c r="BY453" s="6"/>
      <c r="BZ453" s="6"/>
      <c r="CA453" s="6"/>
      <c r="CB453" s="6"/>
      <c r="CC453" s="6"/>
      <c r="DS453" s="1336">
        <f t="shared" si="39"/>
        <v>0</v>
      </c>
      <c r="DT453" s="121">
        <f>EXTRAS!D317</f>
        <v>0</v>
      </c>
      <c r="DU453" s="121">
        <f>EXTRAS!E317</f>
        <v>0</v>
      </c>
      <c r="DX453" s="203">
        <f t="shared" si="40"/>
        <v>0</v>
      </c>
      <c r="DZ453" s="924"/>
      <c r="EH453" s="924"/>
    </row>
    <row r="454" spans="2:138" ht="15" customHeight="1">
      <c r="B454" s="163" t="s">
        <v>1328</v>
      </c>
      <c r="C454" s="643" t="s">
        <v>0</v>
      </c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  <c r="BC454" s="6"/>
      <c r="BD454" s="6"/>
      <c r="BE454" s="6"/>
      <c r="BF454" s="6"/>
      <c r="BG454" s="6"/>
      <c r="BH454" s="6"/>
      <c r="BI454" s="6"/>
      <c r="BJ454" s="6"/>
      <c r="BK454" s="6"/>
      <c r="BL454" s="6"/>
      <c r="BM454" s="6"/>
      <c r="BN454" s="6"/>
      <c r="BO454" s="6"/>
      <c r="BP454" s="6"/>
      <c r="BQ454" s="6"/>
      <c r="BR454" s="6"/>
      <c r="BS454" s="6"/>
      <c r="BT454" s="6"/>
      <c r="BU454" s="6"/>
      <c r="BV454" s="6"/>
      <c r="BW454" s="6"/>
      <c r="BX454" s="6"/>
      <c r="BY454" s="6"/>
      <c r="BZ454" s="6"/>
      <c r="CA454" s="6"/>
      <c r="CB454" s="6"/>
      <c r="CC454" s="6"/>
      <c r="DS454" s="1336">
        <f t="shared" si="39"/>
        <v>0</v>
      </c>
      <c r="DT454" s="121">
        <f>EXTRAS!D318</f>
        <v>0</v>
      </c>
      <c r="DU454" s="121">
        <f>EXTRAS!E318</f>
        <v>0</v>
      </c>
      <c r="DX454" s="203">
        <f t="shared" si="40"/>
        <v>0</v>
      </c>
      <c r="DZ454" s="924"/>
      <c r="EH454" s="924"/>
    </row>
    <row r="455" spans="2:138" ht="15" customHeight="1">
      <c r="B455" s="821" t="s">
        <v>1317</v>
      </c>
      <c r="C455" s="822" t="s">
        <v>0</v>
      </c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  <c r="BC455" s="6"/>
      <c r="BD455" s="6"/>
      <c r="BE455" s="6"/>
      <c r="BF455" s="6"/>
      <c r="BG455" s="6"/>
      <c r="BH455" s="6"/>
      <c r="BI455" s="6"/>
      <c r="BJ455" s="6"/>
      <c r="BK455" s="6"/>
      <c r="BL455" s="6"/>
      <c r="BM455" s="6"/>
      <c r="BN455" s="6"/>
      <c r="BO455" s="6"/>
      <c r="BP455" s="6"/>
      <c r="BQ455" s="6"/>
      <c r="BR455" s="6"/>
      <c r="BS455" s="6"/>
      <c r="BT455" s="6"/>
      <c r="BU455" s="6"/>
      <c r="BV455" s="6"/>
      <c r="BW455" s="6"/>
      <c r="BX455" s="6"/>
      <c r="BY455" s="6"/>
      <c r="BZ455" s="6"/>
      <c r="CA455" s="6"/>
      <c r="CB455" s="6"/>
      <c r="CC455" s="6"/>
      <c r="DS455" s="1336">
        <f t="shared" si="39"/>
        <v>0</v>
      </c>
      <c r="DT455" s="121">
        <f>EXTRAS!D319</f>
        <v>0</v>
      </c>
      <c r="DU455" s="121">
        <f>EXTRAS!E319</f>
        <v>0</v>
      </c>
      <c r="DX455" s="203">
        <f t="shared" si="40"/>
        <v>0</v>
      </c>
      <c r="DZ455" s="924"/>
      <c r="EH455" s="924"/>
    </row>
    <row r="456" spans="2:138" ht="15" customHeight="1">
      <c r="B456" s="163" t="s">
        <v>1318</v>
      </c>
      <c r="C456" s="643" t="s">
        <v>0</v>
      </c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  <c r="BC456" s="6"/>
      <c r="BD456" s="6"/>
      <c r="BE456" s="6"/>
      <c r="BF456" s="6"/>
      <c r="BG456" s="6"/>
      <c r="BH456" s="6"/>
      <c r="BI456" s="6"/>
      <c r="BJ456" s="6"/>
      <c r="BK456" s="6"/>
      <c r="BL456" s="6"/>
      <c r="BM456" s="6"/>
      <c r="BN456" s="6"/>
      <c r="BO456" s="6"/>
      <c r="BP456" s="6"/>
      <c r="BQ456" s="6"/>
      <c r="BR456" s="6"/>
      <c r="BS456" s="6"/>
      <c r="BT456" s="6"/>
      <c r="BU456" s="6"/>
      <c r="BV456" s="6"/>
      <c r="BW456" s="6"/>
      <c r="BX456" s="6"/>
      <c r="BY456" s="6"/>
      <c r="BZ456" s="6"/>
      <c r="CA456" s="6"/>
      <c r="CB456" s="6"/>
      <c r="CC456" s="6"/>
      <c r="DS456" s="1336">
        <f t="shared" si="39"/>
        <v>0</v>
      </c>
      <c r="DT456" s="121">
        <f>EXTRAS!D320</f>
        <v>0</v>
      </c>
      <c r="DU456" s="121">
        <f>EXTRAS!E320</f>
        <v>0</v>
      </c>
      <c r="DX456" s="203">
        <f t="shared" si="40"/>
        <v>0</v>
      </c>
      <c r="DZ456" s="924"/>
      <c r="EH456" s="924"/>
    </row>
    <row r="457" spans="2:138" ht="15" customHeight="1">
      <c r="B457" s="821" t="s">
        <v>1319</v>
      </c>
      <c r="C457" s="822" t="s">
        <v>0</v>
      </c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  <c r="BC457" s="6"/>
      <c r="BD457" s="6"/>
      <c r="BE457" s="6"/>
      <c r="BF457" s="6"/>
      <c r="BG457" s="6"/>
      <c r="BH457" s="6"/>
      <c r="BI457" s="6"/>
      <c r="BJ457" s="6"/>
      <c r="BK457" s="6"/>
      <c r="BL457" s="6"/>
      <c r="BM457" s="6"/>
      <c r="BN457" s="6"/>
      <c r="BO457" s="6"/>
      <c r="BP457" s="6"/>
      <c r="BQ457" s="6"/>
      <c r="BR457" s="6"/>
      <c r="BS457" s="6"/>
      <c r="BT457" s="6"/>
      <c r="BU457" s="6"/>
      <c r="BV457" s="6"/>
      <c r="BW457" s="6"/>
      <c r="BX457" s="6"/>
      <c r="BY457" s="6"/>
      <c r="BZ457" s="6"/>
      <c r="CA457" s="6"/>
      <c r="CB457" s="6"/>
      <c r="CC457" s="6"/>
      <c r="DS457" s="1336">
        <f t="shared" si="39"/>
        <v>0</v>
      </c>
      <c r="DT457" s="121">
        <f>EXTRAS!D321</f>
        <v>0</v>
      </c>
      <c r="DU457" s="121">
        <f>EXTRAS!E321</f>
        <v>0</v>
      </c>
      <c r="DX457" s="203">
        <f t="shared" si="40"/>
        <v>0</v>
      </c>
      <c r="DZ457" s="924"/>
      <c r="EH457" s="924"/>
    </row>
    <row r="458" spans="2:138" ht="15" customHeight="1">
      <c r="B458" s="163" t="s">
        <v>1320</v>
      </c>
      <c r="C458" s="643" t="s">
        <v>0</v>
      </c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  <c r="BC458" s="6"/>
      <c r="BD458" s="6"/>
      <c r="BE458" s="6"/>
      <c r="BF458" s="6"/>
      <c r="BG458" s="6"/>
      <c r="BH458" s="6"/>
      <c r="BI458" s="6"/>
      <c r="BJ458" s="6"/>
      <c r="BK458" s="6"/>
      <c r="BL458" s="6"/>
      <c r="BM458" s="6"/>
      <c r="BN458" s="6"/>
      <c r="BO458" s="6"/>
      <c r="BP458" s="6"/>
      <c r="BQ458" s="6"/>
      <c r="BR458" s="6"/>
      <c r="BS458" s="6"/>
      <c r="BT458" s="6"/>
      <c r="BU458" s="6"/>
      <c r="BV458" s="6"/>
      <c r="BW458" s="6"/>
      <c r="BX458" s="6"/>
      <c r="BY458" s="6"/>
      <c r="BZ458" s="6"/>
      <c r="CA458" s="6"/>
      <c r="CB458" s="6"/>
      <c r="CC458" s="6"/>
      <c r="DS458" s="1336">
        <f t="shared" si="39"/>
        <v>0</v>
      </c>
      <c r="DT458" s="121">
        <f>EXTRAS!D322</f>
        <v>0</v>
      </c>
      <c r="DU458" s="121">
        <f>EXTRAS!E322</f>
        <v>0</v>
      </c>
      <c r="DX458" s="203">
        <f t="shared" si="40"/>
        <v>0</v>
      </c>
      <c r="DZ458" s="924"/>
      <c r="EH458" s="924"/>
    </row>
    <row r="459" spans="2:138">
      <c r="B459" s="821" t="s">
        <v>1308</v>
      </c>
      <c r="C459" s="822" t="s">
        <v>0</v>
      </c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  <c r="BC459" s="6"/>
      <c r="BD459" s="6"/>
      <c r="BE459" s="6"/>
      <c r="BF459" s="6"/>
      <c r="BG459" s="6"/>
      <c r="BH459" s="6"/>
      <c r="BI459" s="6"/>
      <c r="BJ459" s="6"/>
      <c r="BK459" s="6"/>
      <c r="BL459" s="6"/>
      <c r="BM459" s="6"/>
      <c r="BN459" s="6"/>
      <c r="BO459" s="6"/>
      <c r="BP459" s="6"/>
      <c r="BQ459" s="6"/>
      <c r="BR459" s="6"/>
      <c r="BS459" s="6"/>
      <c r="BT459" s="6"/>
      <c r="BU459" s="6"/>
      <c r="BV459" s="6"/>
      <c r="BW459" s="6"/>
      <c r="BX459" s="6"/>
      <c r="BY459" s="6"/>
      <c r="BZ459" s="6"/>
      <c r="CA459" s="6"/>
      <c r="CB459" s="6"/>
      <c r="CC459" s="6"/>
      <c r="DS459" s="1336">
        <f t="shared" si="39"/>
        <v>0</v>
      </c>
      <c r="DT459" s="121">
        <f>EXTRAS!D323</f>
        <v>0</v>
      </c>
      <c r="DU459" s="121">
        <f>EXTRAS!E323</f>
        <v>0</v>
      </c>
      <c r="DX459" s="203">
        <f t="shared" si="40"/>
        <v>0</v>
      </c>
      <c r="DZ459" s="924"/>
      <c r="EH459" s="924"/>
    </row>
    <row r="460" spans="2:138">
      <c r="B460" s="163" t="s">
        <v>1309</v>
      </c>
      <c r="C460" s="643" t="s">
        <v>168</v>
      </c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  <c r="BC460" s="6"/>
      <c r="BD460" s="6"/>
      <c r="BE460" s="6"/>
      <c r="BF460" s="6"/>
      <c r="BG460" s="6"/>
      <c r="BH460" s="6"/>
      <c r="BI460" s="6"/>
      <c r="BJ460" s="6"/>
      <c r="BK460" s="6"/>
      <c r="BL460" s="6"/>
      <c r="BM460" s="6"/>
      <c r="BN460" s="6"/>
      <c r="BO460" s="6"/>
      <c r="BP460" s="6"/>
      <c r="BQ460" s="6"/>
      <c r="BR460" s="6"/>
      <c r="BS460" s="6"/>
      <c r="BT460" s="6"/>
      <c r="BU460" s="6"/>
      <c r="BV460" s="6"/>
      <c r="BW460" s="6"/>
      <c r="BX460" s="6"/>
      <c r="BY460" s="6"/>
      <c r="BZ460" s="6"/>
      <c r="CA460" s="6"/>
      <c r="CB460" s="6"/>
      <c r="CC460" s="6"/>
      <c r="DS460" s="1336">
        <f t="shared" si="39"/>
        <v>0</v>
      </c>
      <c r="DT460" s="121">
        <f>EXTRAS!D324</f>
        <v>0</v>
      </c>
      <c r="DU460" s="121">
        <f>EXTRAS!E324</f>
        <v>0</v>
      </c>
      <c r="DX460" s="203">
        <f t="shared" si="40"/>
        <v>0</v>
      </c>
      <c r="DZ460" s="924"/>
      <c r="EH460" s="924"/>
    </row>
    <row r="461" spans="2:138">
      <c r="B461" s="821" t="s">
        <v>1310</v>
      </c>
      <c r="C461" s="822" t="s">
        <v>168</v>
      </c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  <c r="BC461" s="6"/>
      <c r="BD461" s="6"/>
      <c r="BE461" s="6"/>
      <c r="BF461" s="6"/>
      <c r="BG461" s="6"/>
      <c r="BH461" s="6"/>
      <c r="BI461" s="6"/>
      <c r="BJ461" s="6"/>
      <c r="BK461" s="6"/>
      <c r="BL461" s="6"/>
      <c r="BM461" s="6"/>
      <c r="BN461" s="6"/>
      <c r="BO461" s="6"/>
      <c r="BP461" s="6"/>
      <c r="BQ461" s="6"/>
      <c r="BR461" s="6"/>
      <c r="BS461" s="6"/>
      <c r="BT461" s="6"/>
      <c r="BU461" s="6"/>
      <c r="BV461" s="6"/>
      <c r="BW461" s="6"/>
      <c r="BX461" s="6"/>
      <c r="BY461" s="6"/>
      <c r="BZ461" s="6"/>
      <c r="CA461" s="6"/>
      <c r="CB461" s="6"/>
      <c r="CC461" s="6"/>
      <c r="DS461" s="1336">
        <f t="shared" si="39"/>
        <v>0</v>
      </c>
      <c r="DT461" s="121">
        <f>EXTRAS!D325</f>
        <v>0</v>
      </c>
      <c r="DU461" s="121">
        <f>EXTRAS!E325</f>
        <v>0</v>
      </c>
      <c r="DX461" s="203">
        <f t="shared" si="40"/>
        <v>0</v>
      </c>
      <c r="DZ461" s="924"/>
      <c r="EH461" s="924"/>
    </row>
    <row r="462" spans="2:138">
      <c r="B462" s="163" t="s">
        <v>1311</v>
      </c>
      <c r="C462" s="643" t="s">
        <v>168</v>
      </c>
      <c r="DS462" s="1336">
        <f t="shared" si="39"/>
        <v>0</v>
      </c>
      <c r="DT462" s="121">
        <f>EXTRAS!D326</f>
        <v>0</v>
      </c>
      <c r="DU462" s="121">
        <f>EXTRAS!E326</f>
        <v>0</v>
      </c>
      <c r="DX462" s="203">
        <f t="shared" si="40"/>
        <v>0</v>
      </c>
      <c r="DZ462" s="924"/>
      <c r="EH462" s="924"/>
    </row>
    <row r="463" spans="2:138">
      <c r="B463" s="821" t="s">
        <v>1312</v>
      </c>
      <c r="C463" s="822" t="s">
        <v>168</v>
      </c>
      <c r="DS463" s="1336">
        <f t="shared" si="39"/>
        <v>0</v>
      </c>
      <c r="DT463" s="121">
        <f>EXTRAS!D327</f>
        <v>0</v>
      </c>
      <c r="DU463" s="121">
        <f>EXTRAS!E327</f>
        <v>0</v>
      </c>
      <c r="DX463" s="203">
        <f t="shared" si="40"/>
        <v>0</v>
      </c>
      <c r="DZ463" s="924"/>
      <c r="EH463" s="924"/>
    </row>
    <row r="464" spans="2:138">
      <c r="B464" s="163" t="s">
        <v>1313</v>
      </c>
      <c r="C464" s="643" t="s">
        <v>168</v>
      </c>
      <c r="DS464" s="1336">
        <f t="shared" ref="DS464:DS527" si="41">I464+L464+M464+P464+T464+X464+AB464+AE464+F464+CR464+AI464+AL464+AP464+AS464+AW464+AZ464+BD464+BG464+BK464+BN464+BR464+BU464+BY464+CB464+CF464+CJ464+CN464+CV464+CZ464+DD464+DH464+DL464+DP464</f>
        <v>0</v>
      </c>
      <c r="DT464" s="121">
        <f>EXTRAS!D328</f>
        <v>0</v>
      </c>
      <c r="DU464" s="121">
        <f>EXTRAS!E328</f>
        <v>0</v>
      </c>
      <c r="DX464" s="203">
        <f t="shared" si="40"/>
        <v>0</v>
      </c>
      <c r="DZ464" s="924"/>
      <c r="EH464" s="924"/>
    </row>
    <row r="465" spans="2:138">
      <c r="B465" s="821" t="s">
        <v>1314</v>
      </c>
      <c r="C465" s="822" t="s">
        <v>168</v>
      </c>
      <c r="DS465" s="1336">
        <f t="shared" si="41"/>
        <v>0</v>
      </c>
      <c r="DT465" s="121">
        <f>EXTRAS!D329</f>
        <v>0</v>
      </c>
      <c r="DU465" s="121">
        <f>EXTRAS!E329</f>
        <v>0</v>
      </c>
      <c r="DX465" s="203">
        <f t="shared" ref="DX465:DX528" si="42">I465+L465+M465+P465+T465+X465+AB465+AE465+F465+CR465+AI465+AL465+AP465+AS465+AW465+AZ465+BD465+BG465+BK465+BN465+BR465+BU465+BY465+CB465+CF465+CJ465+CN465+CV465+CZ465+DD465+DH465+DL465+DP465+DT465-DU465+DV465+DW465</f>
        <v>0</v>
      </c>
      <c r="DZ465" s="924"/>
      <c r="EH465" s="924"/>
    </row>
    <row r="466" spans="2:138">
      <c r="B466" s="163" t="s">
        <v>1315</v>
      </c>
      <c r="C466" s="643" t="s">
        <v>168</v>
      </c>
      <c r="DS466" s="1336">
        <f t="shared" si="41"/>
        <v>0</v>
      </c>
      <c r="DT466" s="121">
        <f>EXTRAS!D330</f>
        <v>0</v>
      </c>
      <c r="DU466" s="121">
        <f>EXTRAS!E330</f>
        <v>0</v>
      </c>
      <c r="DX466" s="203">
        <f t="shared" si="42"/>
        <v>0</v>
      </c>
      <c r="DZ466" s="924"/>
      <c r="EH466" s="924"/>
    </row>
    <row r="467" spans="2:138">
      <c r="B467" s="821" t="s">
        <v>1316</v>
      </c>
      <c r="C467" s="822" t="s">
        <v>168</v>
      </c>
      <c r="DS467" s="1336">
        <f t="shared" si="41"/>
        <v>0</v>
      </c>
      <c r="DT467" s="121">
        <f>EXTRAS!D331</f>
        <v>0</v>
      </c>
      <c r="DU467" s="121">
        <f>EXTRAS!E331</f>
        <v>0</v>
      </c>
      <c r="DX467" s="203">
        <f t="shared" si="42"/>
        <v>0</v>
      </c>
      <c r="DZ467" s="924"/>
      <c r="EH467" s="924"/>
    </row>
    <row r="468" spans="2:138">
      <c r="B468" s="163" t="s">
        <v>1293</v>
      </c>
      <c r="C468" s="643" t="s">
        <v>168</v>
      </c>
      <c r="DS468" s="1336">
        <f t="shared" si="41"/>
        <v>0</v>
      </c>
      <c r="DT468" s="121">
        <f>EXTRAS!D332</f>
        <v>0</v>
      </c>
      <c r="DU468" s="121">
        <f>EXTRAS!E332</f>
        <v>0</v>
      </c>
      <c r="DX468" s="203">
        <f t="shared" si="42"/>
        <v>0</v>
      </c>
      <c r="DZ468" s="924"/>
      <c r="EH468" s="924"/>
    </row>
    <row r="469" spans="2:138">
      <c r="B469" s="821" t="s">
        <v>1249</v>
      </c>
      <c r="C469" s="822" t="s">
        <v>168</v>
      </c>
      <c r="DS469" s="1336">
        <f t="shared" si="41"/>
        <v>0</v>
      </c>
      <c r="DT469" s="121">
        <f>EXTRAS!D333</f>
        <v>0</v>
      </c>
      <c r="DU469" s="121">
        <f>EXTRAS!E333</f>
        <v>0</v>
      </c>
      <c r="DX469" s="203">
        <f t="shared" si="42"/>
        <v>0</v>
      </c>
      <c r="DZ469" s="924"/>
      <c r="EH469" s="924"/>
    </row>
    <row r="470" spans="2:138">
      <c r="B470" s="192" t="s">
        <v>432</v>
      </c>
      <c r="C470" s="643" t="s">
        <v>0</v>
      </c>
      <c r="DS470" s="1336">
        <f t="shared" si="41"/>
        <v>0</v>
      </c>
      <c r="DT470" s="121">
        <f>EXTRAS!D334</f>
        <v>0</v>
      </c>
      <c r="DU470" s="121">
        <f>EXTRAS!E334</f>
        <v>0</v>
      </c>
      <c r="DX470" s="203">
        <f t="shared" si="42"/>
        <v>0</v>
      </c>
      <c r="DZ470" s="924"/>
      <c r="EH470" s="924"/>
    </row>
    <row r="471" spans="2:138">
      <c r="B471" s="821" t="s">
        <v>465</v>
      </c>
      <c r="C471" s="822" t="s">
        <v>0</v>
      </c>
      <c r="DS471" s="1336">
        <f t="shared" si="41"/>
        <v>0</v>
      </c>
      <c r="DT471" s="121">
        <f>EXTRAS!D335</f>
        <v>0</v>
      </c>
      <c r="DU471" s="121">
        <f>EXTRAS!E335</f>
        <v>0</v>
      </c>
      <c r="DX471" s="203">
        <f t="shared" si="42"/>
        <v>0</v>
      </c>
      <c r="DZ471" s="924"/>
      <c r="EH471" s="924"/>
    </row>
    <row r="472" spans="2:138">
      <c r="B472" s="163" t="s">
        <v>1248</v>
      </c>
      <c r="C472" s="643" t="s">
        <v>0</v>
      </c>
      <c r="DS472" s="1336">
        <f t="shared" si="41"/>
        <v>0</v>
      </c>
      <c r="DT472" s="121">
        <f>EXTRAS!D336</f>
        <v>0</v>
      </c>
      <c r="DU472" s="121">
        <f>EXTRAS!E336</f>
        <v>0</v>
      </c>
      <c r="DX472" s="203">
        <f t="shared" si="42"/>
        <v>0</v>
      </c>
      <c r="DZ472" s="924"/>
      <c r="EH472" s="924"/>
    </row>
    <row r="473" spans="2:138">
      <c r="B473" s="825" t="s">
        <v>1247</v>
      </c>
      <c r="C473" s="822" t="s">
        <v>0</v>
      </c>
      <c r="DS473" s="1336">
        <f t="shared" si="41"/>
        <v>0</v>
      </c>
      <c r="DT473" s="121">
        <f>EXTRAS!D337</f>
        <v>0</v>
      </c>
      <c r="DU473" s="121">
        <f>EXTRAS!E337</f>
        <v>0</v>
      </c>
      <c r="DX473" s="203">
        <f t="shared" si="42"/>
        <v>0</v>
      </c>
      <c r="DZ473" s="924"/>
      <c r="EH473" s="924"/>
    </row>
    <row r="474" spans="2:138">
      <c r="B474" s="5" t="s">
        <v>425</v>
      </c>
      <c r="C474" s="643" t="s">
        <v>0</v>
      </c>
      <c r="DS474" s="1336">
        <f t="shared" si="41"/>
        <v>0</v>
      </c>
      <c r="DT474" s="121">
        <f>EXTRAS!D338</f>
        <v>0</v>
      </c>
      <c r="DU474" s="121">
        <f>EXTRAS!E338</f>
        <v>0</v>
      </c>
      <c r="DX474" s="203">
        <f t="shared" si="42"/>
        <v>0</v>
      </c>
      <c r="DZ474" s="924"/>
      <c r="EH474" s="924"/>
    </row>
    <row r="475" spans="2:138">
      <c r="B475" s="826" t="s">
        <v>1186</v>
      </c>
      <c r="C475" s="822" t="s">
        <v>0</v>
      </c>
      <c r="DS475" s="1336">
        <f t="shared" si="41"/>
        <v>0</v>
      </c>
      <c r="DT475" s="121">
        <f>EXTRAS!D339</f>
        <v>0</v>
      </c>
      <c r="DU475" s="121">
        <f>EXTRAS!E339</f>
        <v>0</v>
      </c>
      <c r="DX475" s="203">
        <f t="shared" si="42"/>
        <v>0</v>
      </c>
      <c r="DZ475" s="924"/>
      <c r="EH475" s="924"/>
    </row>
    <row r="476" spans="2:138">
      <c r="B476" s="5" t="s">
        <v>1193</v>
      </c>
      <c r="C476" s="643" t="s">
        <v>0</v>
      </c>
      <c r="DS476" s="1336">
        <f t="shared" si="41"/>
        <v>0</v>
      </c>
      <c r="DT476" s="121">
        <f>EXTRAS!D340</f>
        <v>0</v>
      </c>
      <c r="DU476" s="121">
        <f>EXTRAS!E340</f>
        <v>0</v>
      </c>
      <c r="DX476" s="203">
        <f t="shared" si="42"/>
        <v>0</v>
      </c>
      <c r="DZ476" s="924"/>
      <c r="EH476" s="924"/>
    </row>
    <row r="477" spans="2:138">
      <c r="B477" s="826" t="s">
        <v>1192</v>
      </c>
      <c r="C477" s="822" t="s">
        <v>0</v>
      </c>
      <c r="DS477" s="1336">
        <f t="shared" si="41"/>
        <v>0</v>
      </c>
      <c r="DT477" s="121">
        <f>EXTRAS!D341</f>
        <v>0</v>
      </c>
      <c r="DU477" s="121">
        <f>EXTRAS!E341</f>
        <v>0</v>
      </c>
      <c r="DX477" s="203">
        <f t="shared" si="42"/>
        <v>0</v>
      </c>
      <c r="DZ477" s="924"/>
      <c r="EH477" s="924"/>
    </row>
    <row r="478" spans="2:138">
      <c r="B478" s="5" t="s">
        <v>1194</v>
      </c>
      <c r="C478" s="643" t="s">
        <v>0</v>
      </c>
      <c r="DS478" s="1336">
        <f t="shared" si="41"/>
        <v>0</v>
      </c>
      <c r="DT478" s="121">
        <f>EXTRAS!D342</f>
        <v>0</v>
      </c>
      <c r="DU478" s="121">
        <f>EXTRAS!E342</f>
        <v>0</v>
      </c>
      <c r="DX478" s="203">
        <f t="shared" si="42"/>
        <v>0</v>
      </c>
      <c r="DZ478" s="924"/>
      <c r="EH478" s="924"/>
    </row>
    <row r="479" spans="2:138">
      <c r="B479" s="826" t="s">
        <v>1195</v>
      </c>
      <c r="C479" s="822" t="s">
        <v>0</v>
      </c>
      <c r="DS479" s="1336">
        <f t="shared" si="41"/>
        <v>0</v>
      </c>
      <c r="DT479" s="121">
        <f>EXTRAS!D343</f>
        <v>0</v>
      </c>
      <c r="DU479" s="121">
        <f>EXTRAS!E343</f>
        <v>0</v>
      </c>
      <c r="DX479" s="203">
        <f t="shared" si="42"/>
        <v>0</v>
      </c>
      <c r="DZ479" s="924"/>
      <c r="EH479" s="924"/>
    </row>
    <row r="480" spans="2:138">
      <c r="B480" s="5" t="s">
        <v>1191</v>
      </c>
      <c r="C480" s="643" t="s">
        <v>0</v>
      </c>
      <c r="DS480" s="1336">
        <f t="shared" si="41"/>
        <v>0</v>
      </c>
      <c r="DT480" s="121">
        <f>EXTRAS!D344</f>
        <v>0</v>
      </c>
      <c r="DU480" s="121">
        <f>EXTRAS!E344</f>
        <v>0</v>
      </c>
      <c r="DX480" s="203">
        <f t="shared" si="42"/>
        <v>0</v>
      </c>
      <c r="DZ480" s="924"/>
      <c r="EH480" s="924"/>
    </row>
    <row r="481" spans="2:138">
      <c r="B481" s="826" t="s">
        <v>1196</v>
      </c>
      <c r="C481" s="822" t="s">
        <v>0</v>
      </c>
      <c r="DS481" s="1336">
        <f t="shared" si="41"/>
        <v>0</v>
      </c>
      <c r="DT481" s="121">
        <f>EXTRAS!D345</f>
        <v>0</v>
      </c>
      <c r="DU481" s="121">
        <f>EXTRAS!E345</f>
        <v>0</v>
      </c>
      <c r="DX481" s="203">
        <f t="shared" si="42"/>
        <v>0</v>
      </c>
      <c r="DZ481" s="924"/>
      <c r="EH481" s="924"/>
    </row>
    <row r="482" spans="2:138">
      <c r="B482" s="5" t="s">
        <v>1197</v>
      </c>
      <c r="C482" s="643" t="s">
        <v>0</v>
      </c>
      <c r="DS482" s="1336">
        <f t="shared" si="41"/>
        <v>0</v>
      </c>
      <c r="DT482" s="121">
        <f>EXTRAS!D346</f>
        <v>0</v>
      </c>
      <c r="DU482" s="121">
        <f>EXTRAS!E346</f>
        <v>0</v>
      </c>
      <c r="DX482" s="203">
        <f t="shared" si="42"/>
        <v>0</v>
      </c>
      <c r="DZ482" s="924"/>
      <c r="EH482" s="924"/>
    </row>
    <row r="483" spans="2:138">
      <c r="B483" s="821" t="s">
        <v>416</v>
      </c>
      <c r="C483" s="822" t="s">
        <v>0</v>
      </c>
      <c r="DS483" s="1336">
        <f t="shared" si="41"/>
        <v>0</v>
      </c>
      <c r="DT483" s="121">
        <f>EXTRAS!D347</f>
        <v>0</v>
      </c>
      <c r="DU483" s="121">
        <f>EXTRAS!E347</f>
        <v>0</v>
      </c>
      <c r="DX483" s="203">
        <f t="shared" si="42"/>
        <v>0</v>
      </c>
      <c r="DZ483" s="924"/>
      <c r="EH483" s="924"/>
    </row>
    <row r="484" spans="2:138">
      <c r="B484" s="192" t="s">
        <v>1304</v>
      </c>
      <c r="C484" s="643" t="s">
        <v>0</v>
      </c>
      <c r="DS484" s="1336">
        <f t="shared" si="41"/>
        <v>0</v>
      </c>
      <c r="DT484" s="121">
        <f>EXTRAS!D348</f>
        <v>0</v>
      </c>
      <c r="DU484" s="121">
        <f>EXTRAS!E348</f>
        <v>0</v>
      </c>
      <c r="DX484" s="203">
        <f t="shared" si="42"/>
        <v>0</v>
      </c>
      <c r="DZ484" s="924"/>
      <c r="EH484" s="924"/>
    </row>
    <row r="485" spans="2:138">
      <c r="B485" s="827" t="s">
        <v>1305</v>
      </c>
      <c r="C485" s="822" t="s">
        <v>0</v>
      </c>
      <c r="DS485" s="1336">
        <f t="shared" si="41"/>
        <v>0</v>
      </c>
      <c r="DT485" s="121">
        <f>EXTRAS!D349</f>
        <v>0</v>
      </c>
      <c r="DU485" s="121">
        <f>EXTRAS!E349</f>
        <v>0</v>
      </c>
      <c r="DX485" s="203">
        <f t="shared" si="42"/>
        <v>0</v>
      </c>
      <c r="DZ485" s="924"/>
      <c r="EH485" s="924"/>
    </row>
    <row r="486" spans="2:138">
      <c r="B486" s="192" t="s">
        <v>1306</v>
      </c>
      <c r="C486" s="643" t="s">
        <v>0</v>
      </c>
      <c r="DS486" s="1336">
        <f t="shared" si="41"/>
        <v>0</v>
      </c>
      <c r="DT486" s="121">
        <f>EXTRAS!D350</f>
        <v>0</v>
      </c>
      <c r="DU486" s="121">
        <f>EXTRAS!E350</f>
        <v>0</v>
      </c>
      <c r="DX486" s="203">
        <f t="shared" si="42"/>
        <v>0</v>
      </c>
      <c r="DZ486" s="924"/>
      <c r="EH486" s="924"/>
    </row>
    <row r="487" spans="2:138">
      <c r="B487" s="827" t="s">
        <v>1307</v>
      </c>
      <c r="C487" s="822" t="s">
        <v>0</v>
      </c>
      <c r="DS487" s="1336">
        <f t="shared" si="41"/>
        <v>0</v>
      </c>
      <c r="DT487" s="121">
        <f>EXTRAS!D351</f>
        <v>0</v>
      </c>
      <c r="DU487" s="121">
        <f>EXTRAS!E351</f>
        <v>0</v>
      </c>
      <c r="DX487" s="203">
        <f t="shared" si="42"/>
        <v>0</v>
      </c>
      <c r="DZ487" s="924"/>
      <c r="EH487" s="924"/>
    </row>
    <row r="488" spans="2:138">
      <c r="B488" s="163" t="s">
        <v>510</v>
      </c>
      <c r="C488" s="643" t="s">
        <v>0</v>
      </c>
      <c r="DS488" s="1336">
        <f t="shared" si="41"/>
        <v>0</v>
      </c>
      <c r="DT488" s="121">
        <f>EXTRAS!D352</f>
        <v>0</v>
      </c>
      <c r="DU488" s="121">
        <f>EXTRAS!E352</f>
        <v>0</v>
      </c>
      <c r="DX488" s="203">
        <f t="shared" si="42"/>
        <v>0</v>
      </c>
      <c r="DZ488" s="924"/>
      <c r="EH488" s="924"/>
    </row>
    <row r="489" spans="2:138">
      <c r="B489" s="821" t="s">
        <v>1200</v>
      </c>
      <c r="C489" s="822" t="s">
        <v>0</v>
      </c>
      <c r="DS489" s="1336">
        <f t="shared" si="41"/>
        <v>0</v>
      </c>
      <c r="DT489" s="121">
        <f>EXTRAS!D353</f>
        <v>0</v>
      </c>
      <c r="DU489" s="121">
        <f>EXTRAS!E353</f>
        <v>0</v>
      </c>
      <c r="DX489" s="203">
        <f t="shared" si="42"/>
        <v>0</v>
      </c>
      <c r="DZ489" s="924"/>
      <c r="EH489" s="924"/>
    </row>
    <row r="490" spans="2:138">
      <c r="B490" s="163" t="s">
        <v>472</v>
      </c>
      <c r="C490" s="643" t="s">
        <v>0</v>
      </c>
      <c r="DS490" s="1336">
        <f t="shared" si="41"/>
        <v>0</v>
      </c>
      <c r="DT490" s="121">
        <f>EXTRAS!D354</f>
        <v>0</v>
      </c>
      <c r="DU490" s="121">
        <f>EXTRAS!E354</f>
        <v>0</v>
      </c>
      <c r="DX490" s="203">
        <f t="shared" si="42"/>
        <v>0</v>
      </c>
      <c r="DZ490" s="924"/>
      <c r="EH490" s="924"/>
    </row>
    <row r="491" spans="2:138">
      <c r="B491" s="821" t="s">
        <v>1188</v>
      </c>
      <c r="C491" s="822" t="s">
        <v>0</v>
      </c>
      <c r="DS491" s="1336">
        <f t="shared" si="41"/>
        <v>0</v>
      </c>
      <c r="DT491" s="121">
        <f>EXTRAS!D355</f>
        <v>0</v>
      </c>
      <c r="DU491" s="121">
        <f>EXTRAS!E355</f>
        <v>0</v>
      </c>
      <c r="DX491" s="203">
        <f t="shared" si="42"/>
        <v>0</v>
      </c>
      <c r="DZ491" s="924"/>
      <c r="EH491" s="924"/>
    </row>
    <row r="492" spans="2:138">
      <c r="B492" s="163" t="s">
        <v>443</v>
      </c>
      <c r="C492" s="643" t="s">
        <v>0</v>
      </c>
      <c r="DS492" s="1336">
        <f t="shared" si="41"/>
        <v>0</v>
      </c>
      <c r="DT492" s="121">
        <f>EXTRAS!D356</f>
        <v>0</v>
      </c>
      <c r="DU492" s="121">
        <f>EXTRAS!E356</f>
        <v>0</v>
      </c>
      <c r="DX492" s="203">
        <f t="shared" si="42"/>
        <v>0</v>
      </c>
      <c r="DZ492" s="924"/>
      <c r="EH492" s="924"/>
    </row>
    <row r="493" spans="2:138">
      <c r="B493" s="821" t="s">
        <v>473</v>
      </c>
      <c r="C493" s="822" t="s">
        <v>0</v>
      </c>
      <c r="DS493" s="1336">
        <f t="shared" si="41"/>
        <v>0</v>
      </c>
      <c r="DT493" s="121">
        <f>EXTRAS!D357</f>
        <v>0</v>
      </c>
      <c r="DU493" s="121">
        <f>EXTRAS!E357</f>
        <v>0</v>
      </c>
      <c r="DX493" s="203">
        <f t="shared" si="42"/>
        <v>0</v>
      </c>
      <c r="DZ493" s="924"/>
      <c r="EH493" s="924"/>
    </row>
    <row r="494" spans="2:138">
      <c r="B494" s="163" t="s">
        <v>466</v>
      </c>
      <c r="C494" s="643" t="s">
        <v>0</v>
      </c>
      <c r="DS494" s="1336">
        <f t="shared" si="41"/>
        <v>0</v>
      </c>
      <c r="DT494" s="121">
        <f>EXTRAS!D358</f>
        <v>0</v>
      </c>
      <c r="DU494" s="121">
        <f>EXTRAS!E358</f>
        <v>0</v>
      </c>
      <c r="DX494" s="203">
        <f t="shared" si="42"/>
        <v>0</v>
      </c>
      <c r="DZ494" s="924"/>
      <c r="EH494" s="924"/>
    </row>
    <row r="495" spans="2:138">
      <c r="B495" s="821" t="s">
        <v>428</v>
      </c>
      <c r="C495" s="822" t="s">
        <v>0</v>
      </c>
      <c r="DS495" s="1336">
        <f t="shared" si="41"/>
        <v>0</v>
      </c>
      <c r="DT495" s="121">
        <f>EXTRAS!D359</f>
        <v>0</v>
      </c>
      <c r="DU495" s="121">
        <f>EXTRAS!E359</f>
        <v>0</v>
      </c>
      <c r="DX495" s="203">
        <f t="shared" si="42"/>
        <v>0</v>
      </c>
      <c r="DZ495" s="924"/>
      <c r="EH495" s="924"/>
    </row>
    <row r="496" spans="2:138">
      <c r="B496" s="163" t="s">
        <v>474</v>
      </c>
      <c r="C496" s="643" t="s">
        <v>0</v>
      </c>
      <c r="DS496" s="1336">
        <f t="shared" si="41"/>
        <v>0</v>
      </c>
      <c r="DT496" s="121">
        <f>EXTRAS!D360</f>
        <v>0</v>
      </c>
      <c r="DU496" s="121">
        <f>EXTRAS!E360</f>
        <v>0</v>
      </c>
      <c r="DX496" s="203">
        <f t="shared" si="42"/>
        <v>0</v>
      </c>
      <c r="DZ496" s="924"/>
      <c r="EH496" s="924"/>
    </row>
    <row r="497" spans="2:138">
      <c r="B497" s="821" t="s">
        <v>463</v>
      </c>
      <c r="C497" s="822" t="s">
        <v>0</v>
      </c>
      <c r="DS497" s="1336">
        <f t="shared" si="41"/>
        <v>0</v>
      </c>
      <c r="DT497" s="121">
        <f>EXTRAS!D361</f>
        <v>0</v>
      </c>
      <c r="DU497" s="121">
        <f>EXTRAS!E361</f>
        <v>0</v>
      </c>
      <c r="DX497" s="203">
        <f t="shared" si="42"/>
        <v>0</v>
      </c>
      <c r="DZ497" s="924"/>
      <c r="EH497" s="924"/>
    </row>
    <row r="498" spans="2:138">
      <c r="B498" s="163" t="s">
        <v>475</v>
      </c>
      <c r="C498" s="643" t="s">
        <v>0</v>
      </c>
      <c r="DS498" s="1336">
        <f t="shared" si="41"/>
        <v>0</v>
      </c>
      <c r="DT498" s="121">
        <f>EXTRAS!D362</f>
        <v>0</v>
      </c>
      <c r="DU498" s="121">
        <f>EXTRAS!E362</f>
        <v>0</v>
      </c>
      <c r="DX498" s="203">
        <f t="shared" si="42"/>
        <v>0</v>
      </c>
      <c r="DZ498" s="924"/>
      <c r="EH498" s="924"/>
    </row>
    <row r="499" spans="2:138">
      <c r="B499" s="821" t="s">
        <v>1185</v>
      </c>
      <c r="C499" s="822" t="s">
        <v>0</v>
      </c>
      <c r="DS499" s="1336">
        <f t="shared" si="41"/>
        <v>0</v>
      </c>
      <c r="DT499" s="121">
        <f>EXTRAS!D363</f>
        <v>0</v>
      </c>
      <c r="DU499" s="121">
        <f>EXTRAS!E363</f>
        <v>0</v>
      </c>
      <c r="DX499" s="203">
        <f t="shared" si="42"/>
        <v>0</v>
      </c>
      <c r="DZ499" s="924"/>
      <c r="EH499" s="924"/>
    </row>
    <row r="500" spans="2:138">
      <c r="B500" s="163" t="s">
        <v>476</v>
      </c>
      <c r="C500" s="643" t="s">
        <v>0</v>
      </c>
      <c r="DS500" s="1336">
        <f t="shared" si="41"/>
        <v>0</v>
      </c>
      <c r="DT500" s="121">
        <f>EXTRAS!D364</f>
        <v>0</v>
      </c>
      <c r="DU500" s="121">
        <f>EXTRAS!E364</f>
        <v>0</v>
      </c>
      <c r="DX500" s="203">
        <f t="shared" si="42"/>
        <v>0</v>
      </c>
      <c r="DZ500" s="924"/>
      <c r="EH500" s="924"/>
    </row>
    <row r="501" spans="2:138">
      <c r="B501" s="821" t="s">
        <v>1199</v>
      </c>
      <c r="C501" s="822" t="s">
        <v>0</v>
      </c>
      <c r="DS501" s="1336">
        <f t="shared" si="41"/>
        <v>0</v>
      </c>
      <c r="DT501" s="121">
        <f>EXTRAS!D365</f>
        <v>0</v>
      </c>
      <c r="DU501" s="121">
        <f>EXTRAS!E365</f>
        <v>0</v>
      </c>
      <c r="DX501" s="203">
        <f t="shared" si="42"/>
        <v>0</v>
      </c>
      <c r="DZ501" s="924"/>
      <c r="EH501" s="924"/>
    </row>
    <row r="502" spans="2:138">
      <c r="B502" s="163" t="s">
        <v>1190</v>
      </c>
      <c r="C502" s="643" t="s">
        <v>0</v>
      </c>
      <c r="DS502" s="1336">
        <f t="shared" si="41"/>
        <v>0</v>
      </c>
      <c r="DT502" s="121">
        <f>EXTRAS!D366</f>
        <v>0</v>
      </c>
      <c r="DU502" s="121">
        <f>EXTRAS!E366</f>
        <v>0</v>
      </c>
      <c r="DX502" s="203">
        <f t="shared" si="42"/>
        <v>0</v>
      </c>
      <c r="DZ502" s="924"/>
      <c r="EH502" s="924"/>
    </row>
    <row r="503" spans="2:138">
      <c r="B503" s="821" t="s">
        <v>1189</v>
      </c>
      <c r="C503" s="822" t="s">
        <v>0</v>
      </c>
      <c r="DS503" s="1336">
        <f t="shared" si="41"/>
        <v>0</v>
      </c>
      <c r="DT503" s="121">
        <f>EXTRAS!D367</f>
        <v>0</v>
      </c>
      <c r="DU503" s="121">
        <f>EXTRAS!E367</f>
        <v>0</v>
      </c>
      <c r="DX503" s="203">
        <f t="shared" si="42"/>
        <v>0</v>
      </c>
      <c r="DZ503" s="924"/>
      <c r="EH503" s="924"/>
    </row>
    <row r="504" spans="2:138">
      <c r="B504" s="163" t="s">
        <v>1181</v>
      </c>
      <c r="C504" s="643" t="s">
        <v>0</v>
      </c>
      <c r="DS504" s="1336">
        <f t="shared" si="41"/>
        <v>0</v>
      </c>
      <c r="DT504" s="121">
        <f>EXTRAS!D368</f>
        <v>0</v>
      </c>
      <c r="DU504" s="121">
        <f>EXTRAS!E368</f>
        <v>0</v>
      </c>
      <c r="DX504" s="203">
        <f t="shared" si="42"/>
        <v>0</v>
      </c>
      <c r="DZ504" s="924"/>
      <c r="EH504" s="924"/>
    </row>
    <row r="505" spans="2:138">
      <c r="B505" s="821" t="s">
        <v>415</v>
      </c>
      <c r="C505" s="822" t="s">
        <v>0</v>
      </c>
      <c r="DS505" s="1336">
        <f t="shared" si="41"/>
        <v>0</v>
      </c>
      <c r="DT505" s="121">
        <f>EXTRAS!D369</f>
        <v>0</v>
      </c>
      <c r="DU505" s="121">
        <f>EXTRAS!E369</f>
        <v>0</v>
      </c>
      <c r="DX505" s="203">
        <f t="shared" si="42"/>
        <v>0</v>
      </c>
      <c r="DZ505" s="924"/>
      <c r="EH505" s="924"/>
    </row>
    <row r="506" spans="2:138">
      <c r="B506" s="192" t="s">
        <v>1198</v>
      </c>
      <c r="C506" s="643" t="s">
        <v>0</v>
      </c>
      <c r="DS506" s="1336">
        <f t="shared" si="41"/>
        <v>0</v>
      </c>
      <c r="DT506" s="121">
        <f>EXTRAS!D370</f>
        <v>0</v>
      </c>
      <c r="DU506" s="121">
        <f>EXTRAS!E370</f>
        <v>0</v>
      </c>
      <c r="DX506" s="203">
        <f t="shared" si="42"/>
        <v>0</v>
      </c>
      <c r="DZ506" s="924"/>
      <c r="EH506" s="924"/>
    </row>
    <row r="507" spans="2:138">
      <c r="B507" s="827" t="s">
        <v>1182</v>
      </c>
      <c r="C507" s="822" t="s">
        <v>0</v>
      </c>
      <c r="DS507" s="1336">
        <f t="shared" si="41"/>
        <v>0</v>
      </c>
      <c r="DT507" s="121">
        <f>EXTRAS!D371</f>
        <v>0</v>
      </c>
      <c r="DU507" s="121">
        <f>EXTRAS!E371</f>
        <v>0</v>
      </c>
      <c r="DX507" s="203">
        <f t="shared" si="42"/>
        <v>0</v>
      </c>
      <c r="DZ507" s="924"/>
      <c r="EH507" s="924"/>
    </row>
    <row r="508" spans="2:138">
      <c r="B508" s="192" t="s">
        <v>1183</v>
      </c>
      <c r="C508" s="643" t="s">
        <v>0</v>
      </c>
      <c r="DS508" s="1336">
        <f t="shared" si="41"/>
        <v>0</v>
      </c>
      <c r="DT508" s="121">
        <f>EXTRAS!D372</f>
        <v>0</v>
      </c>
      <c r="DU508" s="121">
        <f>EXTRAS!E372</f>
        <v>0</v>
      </c>
      <c r="DX508" s="203">
        <f t="shared" si="42"/>
        <v>0</v>
      </c>
      <c r="DZ508" s="924"/>
      <c r="EH508" s="924"/>
    </row>
    <row r="509" spans="2:138">
      <c r="B509" s="827" t="s">
        <v>1184</v>
      </c>
      <c r="C509" s="822" t="s">
        <v>0</v>
      </c>
      <c r="DS509" s="1336">
        <f t="shared" si="41"/>
        <v>0</v>
      </c>
      <c r="DT509" s="121">
        <f>EXTRAS!D373</f>
        <v>0</v>
      </c>
      <c r="DU509" s="121">
        <f>EXTRAS!E373</f>
        <v>0</v>
      </c>
      <c r="DX509" s="203">
        <f t="shared" si="42"/>
        <v>0</v>
      </c>
      <c r="DZ509" s="924"/>
      <c r="EH509" s="924"/>
    </row>
    <row r="510" spans="2:138">
      <c r="B510" s="192" t="s">
        <v>444</v>
      </c>
      <c r="C510" s="643" t="s">
        <v>0</v>
      </c>
      <c r="DS510" s="1336">
        <f t="shared" si="41"/>
        <v>0</v>
      </c>
      <c r="DT510" s="121">
        <f>EXTRAS!D374</f>
        <v>0</v>
      </c>
      <c r="DU510" s="121">
        <f>EXTRAS!E374</f>
        <v>0</v>
      </c>
      <c r="DX510" s="203">
        <f t="shared" si="42"/>
        <v>0</v>
      </c>
      <c r="DZ510" s="924"/>
      <c r="EH510" s="924"/>
    </row>
    <row r="511" spans="2:138">
      <c r="B511" s="829" t="s">
        <v>1423</v>
      </c>
      <c r="C511" s="830" t="s">
        <v>743</v>
      </c>
      <c r="DS511" s="1336">
        <f t="shared" si="41"/>
        <v>0</v>
      </c>
      <c r="DT511" s="121">
        <f>EXTRAS!D375</f>
        <v>0</v>
      </c>
      <c r="DU511" s="121">
        <f>EXTRAS!E375</f>
        <v>0</v>
      </c>
      <c r="DX511" s="203">
        <f t="shared" si="42"/>
        <v>0</v>
      </c>
      <c r="DZ511" s="924"/>
      <c r="EH511" s="924"/>
    </row>
    <row r="512" spans="2:138">
      <c r="B512" s="749" t="s">
        <v>1352</v>
      </c>
      <c r="C512" s="751" t="s">
        <v>1337</v>
      </c>
      <c r="DS512" s="1336">
        <f t="shared" si="41"/>
        <v>0</v>
      </c>
      <c r="DT512" s="121">
        <f>EXTRAS!D376</f>
        <v>0</v>
      </c>
      <c r="DU512" s="121">
        <f>EXTRAS!E376</f>
        <v>0</v>
      </c>
      <c r="DX512" s="203">
        <f t="shared" si="42"/>
        <v>0</v>
      </c>
      <c r="DZ512" s="924"/>
      <c r="EH512" s="924"/>
    </row>
    <row r="513" spans="2:138">
      <c r="B513" s="749" t="s">
        <v>1353</v>
      </c>
      <c r="C513" s="751" t="s">
        <v>1338</v>
      </c>
      <c r="DS513" s="1336">
        <f t="shared" si="41"/>
        <v>0</v>
      </c>
      <c r="DT513" s="121">
        <f>EXTRAS!D377</f>
        <v>0</v>
      </c>
      <c r="DU513" s="121">
        <f>EXTRAS!E377</f>
        <v>0</v>
      </c>
      <c r="DX513" s="203">
        <f t="shared" si="42"/>
        <v>0</v>
      </c>
      <c r="DZ513" s="924"/>
      <c r="EH513" s="924"/>
    </row>
    <row r="514" spans="2:138">
      <c r="B514" s="749" t="s">
        <v>1354</v>
      </c>
      <c r="C514" s="751" t="s">
        <v>574</v>
      </c>
      <c r="DS514" s="1336">
        <f t="shared" si="41"/>
        <v>0</v>
      </c>
      <c r="DT514" s="121">
        <f>EXTRAS!D378</f>
        <v>0</v>
      </c>
      <c r="DU514" s="121">
        <f>EXTRAS!E378</f>
        <v>0</v>
      </c>
      <c r="DX514" s="203">
        <f t="shared" si="42"/>
        <v>0</v>
      </c>
      <c r="DZ514" s="924"/>
      <c r="EH514" s="924"/>
    </row>
    <row r="515" spans="2:138">
      <c r="B515" s="749" t="s">
        <v>1355</v>
      </c>
      <c r="C515" s="751" t="s">
        <v>743</v>
      </c>
      <c r="DS515" s="1336">
        <f t="shared" si="41"/>
        <v>0</v>
      </c>
      <c r="DT515" s="121">
        <f>EXTRAS!D379</f>
        <v>0</v>
      </c>
      <c r="DU515" s="121">
        <f>EXTRAS!E379</f>
        <v>0</v>
      </c>
      <c r="DX515" s="203">
        <f t="shared" si="42"/>
        <v>0</v>
      </c>
      <c r="DZ515" s="924"/>
      <c r="EH515" s="924"/>
    </row>
    <row r="516" spans="2:138">
      <c r="B516" s="749" t="s">
        <v>1356</v>
      </c>
      <c r="C516" s="751" t="s">
        <v>0</v>
      </c>
      <c r="DS516" s="1336">
        <f t="shared" si="41"/>
        <v>0</v>
      </c>
      <c r="DT516" s="121">
        <f>EXTRAS!D380</f>
        <v>0</v>
      </c>
      <c r="DU516" s="121">
        <f>EXTRAS!E380</f>
        <v>0</v>
      </c>
      <c r="DX516" s="203">
        <f t="shared" si="42"/>
        <v>0</v>
      </c>
      <c r="DZ516" s="924"/>
      <c r="EH516" s="924"/>
    </row>
    <row r="517" spans="2:138">
      <c r="B517" s="749" t="s">
        <v>1357</v>
      </c>
      <c r="C517" s="751" t="s">
        <v>743</v>
      </c>
      <c r="DS517" s="1336">
        <f t="shared" si="41"/>
        <v>0</v>
      </c>
      <c r="DT517" s="121">
        <f>EXTRAS!D381</f>
        <v>0</v>
      </c>
      <c r="DU517" s="121">
        <f>EXTRAS!E381</f>
        <v>0</v>
      </c>
      <c r="DX517" s="203">
        <f t="shared" si="42"/>
        <v>0</v>
      </c>
      <c r="DZ517" s="924"/>
      <c r="EH517" s="924"/>
    </row>
    <row r="518" spans="2:138">
      <c r="B518" s="749" t="s">
        <v>1358</v>
      </c>
      <c r="C518" s="749" t="s">
        <v>743</v>
      </c>
      <c r="DS518" s="1336">
        <f t="shared" si="41"/>
        <v>0</v>
      </c>
      <c r="DT518" s="121">
        <f>EXTRAS!D382</f>
        <v>0</v>
      </c>
      <c r="DU518" s="121">
        <f>EXTRAS!E382</f>
        <v>0</v>
      </c>
      <c r="DX518" s="203">
        <f t="shared" si="42"/>
        <v>0</v>
      </c>
      <c r="DZ518" s="924"/>
      <c r="EH518" s="924"/>
    </row>
    <row r="519" spans="2:138">
      <c r="B519" s="835" t="s">
        <v>1294</v>
      </c>
      <c r="C519" s="833" t="s">
        <v>0</v>
      </c>
      <c r="DS519" s="1336">
        <f t="shared" si="41"/>
        <v>0</v>
      </c>
      <c r="DT519" s="121">
        <f>EXTRAS!D383</f>
        <v>0</v>
      </c>
      <c r="DU519" s="121">
        <f>EXTRAS!E383</f>
        <v>0</v>
      </c>
      <c r="DX519" s="203">
        <f t="shared" si="42"/>
        <v>0</v>
      </c>
      <c r="DZ519" s="924"/>
      <c r="EH519" s="924"/>
    </row>
    <row r="520" spans="2:138">
      <c r="B520" s="826" t="s">
        <v>1295</v>
      </c>
      <c r="C520" s="822" t="s">
        <v>0</v>
      </c>
      <c r="DS520" s="1336">
        <f t="shared" si="41"/>
        <v>0</v>
      </c>
      <c r="DT520" s="121">
        <f>EXTRAS!D384</f>
        <v>0</v>
      </c>
      <c r="DU520" s="121">
        <f>EXTRAS!E384</f>
        <v>0</v>
      </c>
      <c r="DX520" s="203">
        <f t="shared" si="42"/>
        <v>0</v>
      </c>
      <c r="DZ520" s="924"/>
      <c r="EH520" s="924"/>
    </row>
    <row r="521" spans="2:138">
      <c r="B521" s="834" t="s">
        <v>1296</v>
      </c>
      <c r="C521" s="833" t="s">
        <v>0</v>
      </c>
      <c r="DS521" s="1336">
        <f t="shared" si="41"/>
        <v>0</v>
      </c>
      <c r="DT521" s="121">
        <f>EXTRAS!D385</f>
        <v>0</v>
      </c>
      <c r="DU521" s="121">
        <f>EXTRAS!E385</f>
        <v>0</v>
      </c>
      <c r="DX521" s="203">
        <f t="shared" si="42"/>
        <v>0</v>
      </c>
      <c r="DZ521" s="924"/>
      <c r="EH521" s="924"/>
    </row>
    <row r="522" spans="2:138">
      <c r="B522" s="826" t="s">
        <v>1297</v>
      </c>
      <c r="C522" s="822" t="s">
        <v>0</v>
      </c>
      <c r="DS522" s="1336">
        <f t="shared" si="41"/>
        <v>0</v>
      </c>
      <c r="DT522" s="121">
        <f>EXTRAS!D386</f>
        <v>0</v>
      </c>
      <c r="DU522" s="121">
        <f>EXTRAS!E386</f>
        <v>0</v>
      </c>
      <c r="DX522" s="203">
        <f t="shared" si="42"/>
        <v>0</v>
      </c>
      <c r="DZ522" s="924"/>
      <c r="EH522" s="924"/>
    </row>
    <row r="523" spans="2:138">
      <c r="B523" s="834" t="s">
        <v>1298</v>
      </c>
      <c r="C523" s="833" t="s">
        <v>0</v>
      </c>
      <c r="DS523" s="1336">
        <f t="shared" si="41"/>
        <v>0</v>
      </c>
      <c r="DT523" s="121">
        <f>EXTRAS!D387</f>
        <v>0</v>
      </c>
      <c r="DU523" s="121">
        <f>EXTRAS!E387</f>
        <v>0</v>
      </c>
      <c r="DX523" s="203">
        <f t="shared" si="42"/>
        <v>0</v>
      </c>
      <c r="DZ523" s="924"/>
      <c r="EH523" s="924"/>
    </row>
    <row r="524" spans="2:138">
      <c r="B524" s="826" t="s">
        <v>1299</v>
      </c>
      <c r="C524" s="822" t="s">
        <v>0</v>
      </c>
      <c r="DS524" s="1336">
        <f t="shared" si="41"/>
        <v>0</v>
      </c>
      <c r="DT524" s="121">
        <f>EXTRAS!D388</f>
        <v>0</v>
      </c>
      <c r="DU524" s="121">
        <f>EXTRAS!E388</f>
        <v>0</v>
      </c>
      <c r="DX524" s="203">
        <f t="shared" si="42"/>
        <v>0</v>
      </c>
      <c r="DZ524" s="924"/>
      <c r="EH524" s="924"/>
    </row>
    <row r="525" spans="2:138">
      <c r="B525" s="832" t="s">
        <v>1300</v>
      </c>
      <c r="C525" s="833" t="s">
        <v>0</v>
      </c>
      <c r="DS525" s="1336">
        <f t="shared" si="41"/>
        <v>0</v>
      </c>
      <c r="DT525" s="121">
        <f>EXTRAS!D389</f>
        <v>0</v>
      </c>
      <c r="DU525" s="121">
        <f>EXTRAS!E389</f>
        <v>0</v>
      </c>
      <c r="DX525" s="203">
        <f t="shared" si="42"/>
        <v>0</v>
      </c>
      <c r="DZ525" s="924"/>
      <c r="EH525" s="924"/>
    </row>
    <row r="526" spans="2:138">
      <c r="B526" s="821" t="s">
        <v>1301</v>
      </c>
      <c r="C526" s="822" t="s">
        <v>0</v>
      </c>
      <c r="DS526" s="1336">
        <f t="shared" si="41"/>
        <v>0</v>
      </c>
      <c r="DT526" s="121">
        <f>EXTRAS!D390</f>
        <v>0</v>
      </c>
      <c r="DU526" s="121">
        <f>EXTRAS!E390</f>
        <v>0</v>
      </c>
      <c r="DX526" s="203">
        <f t="shared" si="42"/>
        <v>0</v>
      </c>
      <c r="DZ526" s="924"/>
      <c r="EH526" s="924"/>
    </row>
    <row r="527" spans="2:138">
      <c r="B527" s="832" t="s">
        <v>1302</v>
      </c>
      <c r="C527" s="833" t="s">
        <v>0</v>
      </c>
      <c r="DS527" s="1336">
        <f t="shared" si="41"/>
        <v>0</v>
      </c>
      <c r="DT527" s="121">
        <f>EXTRAS!D391</f>
        <v>0</v>
      </c>
      <c r="DU527" s="121">
        <f>EXTRAS!E391</f>
        <v>0</v>
      </c>
      <c r="DX527" s="203">
        <f t="shared" si="42"/>
        <v>0</v>
      </c>
      <c r="DZ527" s="924"/>
      <c r="EH527" s="924"/>
    </row>
    <row r="528" spans="2:138">
      <c r="B528" s="821" t="s">
        <v>1303</v>
      </c>
      <c r="C528" s="822" t="s">
        <v>0</v>
      </c>
      <c r="DS528" s="1336">
        <f>I528+L528+M528+P528+T528+X528+AB528+AE528+F528+CR528+AI528+AL528+AP528+AS528+AW528+AZ528+BD528+BG528+BK528+BN528+BR528+BU528+BY528+CB528+CF528+CJ528+CN528+CV528+CZ528+DD528+DH528+DL528+DP528</f>
        <v>0</v>
      </c>
      <c r="DT528" s="121">
        <f>EXTRAS!D392</f>
        <v>0</v>
      </c>
      <c r="DU528" s="121">
        <f>EXTRAS!E392</f>
        <v>0</v>
      </c>
      <c r="DX528" s="203">
        <f t="shared" si="42"/>
        <v>0</v>
      </c>
      <c r="DZ528" s="924"/>
      <c r="EH528" s="924"/>
    </row>
    <row r="529" spans="138:138">
      <c r="EH529" s="924"/>
    </row>
  </sheetData>
  <sheetProtection selectLockedCells="1"/>
  <mergeCells count="53">
    <mergeCell ref="AH4:AI4"/>
    <mergeCell ref="AK3:AM3"/>
    <mergeCell ref="AH3:AI3"/>
    <mergeCell ref="AQ2:AQ26"/>
    <mergeCell ref="AO4:AP4"/>
    <mergeCell ref="CY2:DQ2"/>
    <mergeCell ref="CE2:CW2"/>
    <mergeCell ref="CF3:CG3"/>
    <mergeCell ref="AD3:AF3"/>
    <mergeCell ref="B4:C4"/>
    <mergeCell ref="S3:U3"/>
    <mergeCell ref="W3:Y3"/>
    <mergeCell ref="E3:F3"/>
    <mergeCell ref="AC3:AC26"/>
    <mergeCell ref="BC3:BD3"/>
    <mergeCell ref="A1:A25"/>
    <mergeCell ref="AA3:AB3"/>
    <mergeCell ref="K3:M3"/>
    <mergeCell ref="O3:Q3"/>
    <mergeCell ref="H3:I3"/>
    <mergeCell ref="B25:C26"/>
    <mergeCell ref="AA4:AB4"/>
    <mergeCell ref="B2:C3"/>
    <mergeCell ref="B5:C5"/>
    <mergeCell ref="B6:C6"/>
    <mergeCell ref="BQ3:BR3"/>
    <mergeCell ref="BJ4:BK4"/>
    <mergeCell ref="BX4:BY4"/>
    <mergeCell ref="AV4:AW4"/>
    <mergeCell ref="AO3:AP3"/>
    <mergeCell ref="AR3:AT3"/>
    <mergeCell ref="AV3:AW3"/>
    <mergeCell ref="AY3:BA3"/>
    <mergeCell ref="BC4:BD4"/>
    <mergeCell ref="BF3:BH3"/>
    <mergeCell ref="DO3:DQ3"/>
    <mergeCell ref="DO4:DQ4"/>
    <mergeCell ref="CR3:CS3"/>
    <mergeCell ref="CZ3:DA3"/>
    <mergeCell ref="BQ4:BR4"/>
    <mergeCell ref="BX3:BY3"/>
    <mergeCell ref="DD3:DE3"/>
    <mergeCell ref="BT3:BV3"/>
    <mergeCell ref="DS136:DS139"/>
    <mergeCell ref="BJ3:BK3"/>
    <mergeCell ref="CU3:CW3"/>
    <mergeCell ref="CU4:CW4"/>
    <mergeCell ref="CJ3:CK3"/>
    <mergeCell ref="DL3:DM3"/>
    <mergeCell ref="DH3:DI3"/>
    <mergeCell ref="CN3:CO3"/>
    <mergeCell ref="CA3:CC3"/>
    <mergeCell ref="BM3:BO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4" name="Button 8">
              <controlPr defaultSize="0" print="0" autoFill="0" autoPict="0" macro="[0]!Macro10">
                <anchor moveWithCells="1" sizeWithCells="1">
                  <from>
                    <xdr:col>0</xdr:col>
                    <xdr:colOff>38100</xdr:colOff>
                    <xdr:row>1</xdr:row>
                    <xdr:rowOff>9525</xdr:rowOff>
                  </from>
                  <to>
                    <xdr:col>0</xdr:col>
                    <xdr:colOff>762000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5" name="Button 10">
              <controlPr defaultSize="0" print="0" autoFill="0" autoPict="0" macro="[0]!Macro5">
                <anchor moveWithCells="1" sizeWithCells="1">
                  <from>
                    <xdr:col>0</xdr:col>
                    <xdr:colOff>47625</xdr:colOff>
                    <xdr:row>11</xdr:row>
                    <xdr:rowOff>95250</xdr:rowOff>
                  </from>
                  <to>
                    <xdr:col>0</xdr:col>
                    <xdr:colOff>762000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6" name="Button 11">
              <controlPr defaultSize="0" print="0" autoFill="0" autoPict="0" macro="[0]!Macro17gg">
                <anchor moveWithCells="1" sizeWithCells="1">
                  <from>
                    <xdr:col>0</xdr:col>
                    <xdr:colOff>38100</xdr:colOff>
                    <xdr:row>3</xdr:row>
                    <xdr:rowOff>161925</xdr:rowOff>
                  </from>
                  <to>
                    <xdr:col>0</xdr:col>
                    <xdr:colOff>752475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7" name="Button 12">
              <controlPr defaultSize="0" print="0" autoFill="0" autoPict="0" macro="[0]!Macro12">
                <anchor moveWithCells="1" sizeWithCells="1">
                  <from>
                    <xdr:col>0</xdr:col>
                    <xdr:colOff>38100</xdr:colOff>
                    <xdr:row>5</xdr:row>
                    <xdr:rowOff>123825</xdr:rowOff>
                  </from>
                  <to>
                    <xdr:col>0</xdr:col>
                    <xdr:colOff>752475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8" name="Button 14">
              <controlPr defaultSize="0" print="0" autoFill="0" autoPict="0" macro="[0]!Macro6">
                <anchor moveWithCells="1" sizeWithCells="1">
                  <from>
                    <xdr:col>0</xdr:col>
                    <xdr:colOff>38100</xdr:colOff>
                    <xdr:row>13</xdr:row>
                    <xdr:rowOff>95250</xdr:rowOff>
                  </from>
                  <to>
                    <xdr:col>0</xdr:col>
                    <xdr:colOff>752475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9" name="Button 16">
              <controlPr defaultSize="0" print="0" autoFill="0" autoPict="0" macro="[0]!Macro7">
                <anchor moveWithCells="1" sizeWithCells="1">
                  <from>
                    <xdr:col>0</xdr:col>
                    <xdr:colOff>28575</xdr:colOff>
                    <xdr:row>15</xdr:row>
                    <xdr:rowOff>104775</xdr:rowOff>
                  </from>
                  <to>
                    <xdr:col>0</xdr:col>
                    <xdr:colOff>361950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0" name="Button 17">
              <controlPr defaultSize="0" print="0" autoFill="0" autoPict="0" macro="[0]!Macro14">
                <anchor moveWithCells="1" sizeWithCells="1">
                  <from>
                    <xdr:col>0</xdr:col>
                    <xdr:colOff>419100</xdr:colOff>
                    <xdr:row>15</xdr:row>
                    <xdr:rowOff>104775</xdr:rowOff>
                  </from>
                  <to>
                    <xdr:col>0</xdr:col>
                    <xdr:colOff>762000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1" name="Button 18">
              <controlPr locked="0" defaultSize="0" print="0" autoFill="0" autoPict="0" macro="[0]!MONO_13" altText="Mono 13.8">
                <anchor moveWithCells="1" sizeWithCells="1">
                  <from>
                    <xdr:col>0</xdr:col>
                    <xdr:colOff>38100</xdr:colOff>
                    <xdr:row>7</xdr:row>
                    <xdr:rowOff>57150</xdr:rowOff>
                  </from>
                  <to>
                    <xdr:col>0</xdr:col>
                    <xdr:colOff>762000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0F235-D26A-4D1E-80C4-1E966141F212}">
  <sheetPr codeName="Plan3"/>
  <dimension ref="A1:EY466"/>
  <sheetViews>
    <sheetView showGridLines="0" zoomScale="90" zoomScaleNormal="90" workbookViewId="0">
      <pane xSplit="3" ySplit="23" topLeftCell="D24" activePane="bottomRight" state="frozen"/>
      <selection pane="topRight" activeCell="D1" sqref="D1"/>
      <selection pane="bottomLeft" activeCell="A24" sqref="A24"/>
      <selection pane="bottomRight" activeCell="B2" sqref="B2:C3"/>
    </sheetView>
  </sheetViews>
  <sheetFormatPr defaultRowHeight="15"/>
  <cols>
    <col min="1" max="1" width="12" customWidth="1"/>
    <col min="2" max="2" width="52.28515625" customWidth="1"/>
    <col min="3" max="3" width="8.7109375" customWidth="1"/>
    <col min="4" max="4" width="1.42578125" customWidth="1"/>
    <col min="5" max="5" width="11.85546875" customWidth="1"/>
    <col min="6" max="8" width="7.42578125" customWidth="1"/>
    <col min="9" max="9" width="1.5703125" customWidth="1"/>
    <col min="10" max="10" width="11.85546875" customWidth="1"/>
    <col min="11" max="11" width="7.42578125" customWidth="1"/>
    <col min="12" max="12" width="1.5703125" customWidth="1"/>
    <col min="13" max="13" width="12.28515625" customWidth="1"/>
    <col min="14" max="16" width="6.7109375" customWidth="1"/>
    <col min="17" max="17" width="1.5703125" customWidth="1"/>
    <col min="18" max="18" width="12.28515625" customWidth="1"/>
    <col min="19" max="21" width="7.7109375" customWidth="1"/>
    <col min="22" max="22" width="1.7109375" customWidth="1"/>
    <col min="23" max="23" width="11.7109375" customWidth="1"/>
    <col min="24" max="26" width="7.7109375" customWidth="1"/>
    <col min="27" max="27" width="1.7109375" customWidth="1"/>
    <col min="28" max="28" width="12.28515625" customWidth="1"/>
    <col min="29" max="31" width="7.7109375" customWidth="1"/>
    <col min="32" max="32" width="1.7109375" customWidth="1"/>
    <col min="33" max="33" width="12.28515625" customWidth="1"/>
    <col min="34" max="36" width="7.7109375" customWidth="1"/>
    <col min="37" max="37" width="1.7109375" customWidth="1"/>
    <col min="38" max="38" width="12.28515625" customWidth="1"/>
    <col min="39" max="41" width="7.7109375" customWidth="1"/>
    <col min="42" max="42" width="1.7109375" customWidth="1"/>
    <col min="43" max="43" width="12.28515625" customWidth="1"/>
    <col min="44" max="46" width="7.7109375" customWidth="1"/>
    <col min="47" max="47" width="1.85546875" customWidth="1"/>
    <col min="48" max="48" width="12.28515625" customWidth="1"/>
    <col min="49" max="51" width="7.7109375" customWidth="1"/>
    <col min="52" max="52" width="1.7109375" customWidth="1"/>
    <col min="53" max="53" width="12.28515625" customWidth="1"/>
    <col min="54" max="56" width="7.7109375" customWidth="1"/>
    <col min="57" max="57" width="1.7109375" customWidth="1"/>
    <col min="58" max="58" width="12.28515625" customWidth="1"/>
    <col min="59" max="61" width="7.7109375" customWidth="1"/>
    <col min="62" max="62" width="1.7109375" customWidth="1"/>
    <col min="63" max="63" width="12.28515625" customWidth="1"/>
    <col min="64" max="66" width="7.7109375" customWidth="1"/>
    <col min="67" max="67" width="1.7109375" customWidth="1"/>
    <col min="68" max="68" width="12.28515625" customWidth="1"/>
    <col min="69" max="71" width="7.7109375" customWidth="1"/>
    <col min="72" max="72" width="1.5703125" customWidth="1"/>
    <col min="73" max="73" width="12.28515625" customWidth="1"/>
    <col min="74" max="76" width="7.7109375" customWidth="1"/>
    <col min="77" max="77" width="1.7109375" customWidth="1"/>
    <col min="78" max="78" width="12.28515625" customWidth="1"/>
    <col min="79" max="81" width="7.7109375" customWidth="1"/>
    <col min="82" max="82" width="1.5703125" customWidth="1"/>
    <col min="83" max="83" width="12.28515625" customWidth="1"/>
    <col min="84" max="86" width="7.7109375" customWidth="1"/>
    <col min="87" max="87" width="1.7109375" customWidth="1"/>
    <col min="88" max="88" width="12.28515625" customWidth="1"/>
    <col min="89" max="91" width="7.7109375" customWidth="1"/>
    <col min="92" max="92" width="1.85546875" customWidth="1"/>
    <col min="93" max="93" width="12.28515625" customWidth="1"/>
    <col min="94" max="96" width="7.7109375" customWidth="1"/>
    <col min="97" max="97" width="1.7109375" customWidth="1"/>
    <col min="98" max="98" width="12.28515625" customWidth="1"/>
    <col min="99" max="101" width="7.7109375" customWidth="1"/>
    <col min="102" max="102" width="1.7109375" customWidth="1"/>
    <col min="103" max="103" width="12.28515625" customWidth="1"/>
    <col min="104" max="106" width="7.7109375" customWidth="1"/>
    <col min="107" max="107" width="1.7109375" customWidth="1"/>
    <col min="108" max="108" width="12.28515625" customWidth="1"/>
    <col min="109" max="111" width="7.7109375" customWidth="1"/>
    <col min="112" max="112" width="1.7109375" customWidth="1"/>
    <col min="113" max="113" width="12.28515625" hidden="1" customWidth="1"/>
    <col min="114" max="116" width="7.7109375" hidden="1" customWidth="1"/>
    <col min="117" max="117" width="1.7109375" hidden="1" customWidth="1"/>
    <col min="118" max="118" width="12.28515625" customWidth="1"/>
    <col min="119" max="121" width="7.7109375" customWidth="1"/>
    <col min="122" max="122" width="1.7109375" customWidth="1"/>
    <col min="123" max="123" width="12.28515625" customWidth="1"/>
    <col min="124" max="126" width="7.7109375" customWidth="1"/>
    <col min="127" max="127" width="1.7109375" customWidth="1"/>
    <col min="128" max="128" width="12.28515625" customWidth="1"/>
    <col min="129" max="131" width="7.7109375" customWidth="1"/>
    <col min="132" max="132" width="1.7109375" hidden="1" customWidth="1"/>
    <col min="133" max="133" width="12.28515625" hidden="1" customWidth="1"/>
    <col min="134" max="136" width="7.7109375" hidden="1" customWidth="1"/>
    <col min="137" max="137" width="1.7109375" customWidth="1"/>
    <col min="138" max="138" width="12.28515625" customWidth="1"/>
    <col min="139" max="141" width="7.7109375" customWidth="1"/>
    <col min="142" max="142" width="1.7109375" customWidth="1"/>
    <col min="143" max="143" width="16" customWidth="1"/>
    <col min="144" max="147" width="6.28515625" customWidth="1"/>
    <col min="148" max="148" width="1.7109375" customWidth="1"/>
    <col min="149" max="149" width="16" customWidth="1"/>
    <col min="150" max="153" width="6.28515625" customWidth="1"/>
    <col min="154" max="169" width="9.140625" customWidth="1"/>
  </cols>
  <sheetData>
    <row r="1" spans="1:155" ht="3.95" customHeight="1" thickBot="1">
      <c r="A1" s="1598"/>
    </row>
    <row r="2" spans="1:155" ht="22.5" customHeight="1" thickBot="1">
      <c r="A2" s="1598"/>
      <c r="B2" s="1547" t="s">
        <v>380</v>
      </c>
      <c r="C2" s="1548"/>
      <c r="D2" s="1096"/>
      <c r="E2" s="1603" t="s">
        <v>1484</v>
      </c>
      <c r="F2" s="1604"/>
      <c r="G2" s="1605"/>
      <c r="H2" s="1162"/>
      <c r="I2" s="1096"/>
      <c r="J2" s="1096"/>
      <c r="K2" s="1096"/>
      <c r="L2" s="1096"/>
      <c r="M2" s="1061"/>
      <c r="N2" s="1061"/>
      <c r="O2" s="1061"/>
      <c r="P2" s="1061"/>
      <c r="Q2" s="1096"/>
      <c r="R2" s="1062"/>
      <c r="S2" s="1062"/>
      <c r="T2" s="1062"/>
      <c r="U2" s="1062"/>
      <c r="V2" s="1063"/>
      <c r="W2" s="1063"/>
      <c r="X2" s="1063"/>
      <c r="Y2" s="1063"/>
      <c r="Z2" s="1063"/>
      <c r="AA2" s="1063"/>
      <c r="AB2" s="1064"/>
      <c r="AC2" s="1064"/>
      <c r="AD2" s="1064"/>
      <c r="AE2" s="1064"/>
      <c r="AF2" s="1064"/>
      <c r="AG2" s="1065"/>
      <c r="AH2" s="1065"/>
      <c r="AI2" s="1065"/>
      <c r="AJ2" s="1065"/>
      <c r="AK2" s="1065"/>
      <c r="AL2" s="1065"/>
      <c r="AM2" s="1065"/>
      <c r="AN2" s="1065"/>
      <c r="AO2" s="1065"/>
      <c r="AP2" s="1065"/>
      <c r="AQ2" s="1066"/>
      <c r="AR2" s="1066"/>
      <c r="AS2" s="1066"/>
      <c r="AT2" s="1066"/>
      <c r="AU2" s="1066"/>
      <c r="AV2" s="1066"/>
      <c r="AW2" s="1066"/>
      <c r="AX2" s="1066"/>
      <c r="AY2" s="1066"/>
      <c r="AZ2" s="1066"/>
      <c r="BA2" s="1066"/>
      <c r="BB2" s="1066"/>
      <c r="BC2" s="1066"/>
      <c r="BD2" s="1066"/>
      <c r="BE2" s="1066"/>
      <c r="BF2" s="1066"/>
      <c r="BG2" s="1066"/>
      <c r="BH2" s="1066"/>
      <c r="BI2" s="1066"/>
      <c r="BJ2" s="1064"/>
      <c r="BK2" s="1064"/>
      <c r="BL2" s="1064"/>
      <c r="BM2" s="1064"/>
      <c r="BN2" s="1064"/>
      <c r="BO2" s="1064"/>
      <c r="BP2" s="1064"/>
      <c r="BQ2" s="1064"/>
      <c r="BR2" s="1064"/>
      <c r="BS2" s="1064"/>
      <c r="BT2" s="1064"/>
      <c r="BU2" s="1065"/>
      <c r="BV2" s="1065"/>
      <c r="BW2" s="1065"/>
      <c r="BX2" s="1065"/>
      <c r="BY2" s="1065"/>
      <c r="BZ2" s="1065"/>
      <c r="CA2" s="1065"/>
      <c r="CB2" s="1065"/>
      <c r="CC2" s="1065"/>
      <c r="CD2" s="1065"/>
      <c r="CE2" s="1065"/>
      <c r="CF2" s="1065"/>
      <c r="CG2" s="1065"/>
      <c r="CH2" s="1065"/>
      <c r="CI2" s="1065"/>
      <c r="CJ2" s="1065"/>
      <c r="CK2" s="1065"/>
      <c r="CL2" s="1065"/>
      <c r="CM2" s="1065"/>
      <c r="CN2" s="1065"/>
      <c r="CO2" s="1065"/>
      <c r="CP2" s="1065"/>
      <c r="CQ2" s="1065"/>
      <c r="CR2" s="1065"/>
      <c r="CS2" s="1065"/>
      <c r="CT2" s="1065"/>
      <c r="CU2" s="1065"/>
      <c r="CV2" s="1065"/>
      <c r="CW2" s="1065"/>
      <c r="CX2" s="1065"/>
      <c r="CY2" s="1065"/>
      <c r="CZ2" s="1065"/>
      <c r="DA2" s="1065"/>
      <c r="DB2" s="1065"/>
      <c r="DC2" s="1065"/>
      <c r="DD2" s="1065"/>
      <c r="DE2" s="1065"/>
      <c r="DF2" s="1065"/>
      <c r="DG2" s="1065"/>
      <c r="DH2" s="1065"/>
      <c r="DI2" s="1065"/>
      <c r="DJ2" s="1065"/>
      <c r="DK2" s="1065"/>
      <c r="DL2" s="1065"/>
      <c r="DM2" s="1065"/>
      <c r="DN2" s="1065"/>
      <c r="DO2" s="1065"/>
      <c r="DP2" s="1065"/>
      <c r="DQ2" s="1065"/>
      <c r="DR2" s="1065"/>
      <c r="DS2" s="1065"/>
      <c r="DT2" s="1065"/>
      <c r="DU2" s="1065"/>
      <c r="DV2" s="1065"/>
      <c r="DW2" s="1065"/>
      <c r="DX2" s="1065"/>
      <c r="DY2" s="1065"/>
      <c r="DZ2" s="1065"/>
      <c r="EA2" s="1065"/>
      <c r="EB2" s="1065"/>
      <c r="EC2" s="1065"/>
      <c r="ED2" s="1065"/>
      <c r="EE2" s="1065"/>
      <c r="EF2" s="1065"/>
      <c r="EG2" s="1065"/>
      <c r="EH2" s="1065"/>
      <c r="EI2" s="1065"/>
      <c r="EJ2" s="1065"/>
      <c r="EK2" s="1065"/>
      <c r="EL2" s="1065"/>
      <c r="EM2" s="1583" t="s">
        <v>1227</v>
      </c>
      <c r="EN2" s="1584"/>
      <c r="EO2" s="1584"/>
      <c r="EP2" s="1584"/>
      <c r="EQ2" s="1585"/>
      <c r="ER2" s="35"/>
      <c r="ES2" s="1574" t="s">
        <v>1203</v>
      </c>
      <c r="ET2" s="1575"/>
      <c r="EU2" s="1575"/>
      <c r="EV2" s="1575"/>
      <c r="EW2" s="1576"/>
    </row>
    <row r="3" spans="1:155" ht="19.5" customHeight="1" thickBot="1">
      <c r="A3" s="1598"/>
      <c r="B3" s="1549"/>
      <c r="C3" s="1550"/>
      <c r="D3" s="1065"/>
      <c r="E3" s="1607" t="s">
        <v>1482</v>
      </c>
      <c r="F3" s="1608"/>
      <c r="G3" s="1608"/>
      <c r="H3" s="1609"/>
      <c r="I3" s="1065"/>
      <c r="J3" s="1545" t="s">
        <v>1250</v>
      </c>
      <c r="K3" s="1546"/>
      <c r="L3" s="1065"/>
      <c r="M3" s="1586" t="s">
        <v>1703</v>
      </c>
      <c r="N3" s="1587"/>
      <c r="O3" s="1587"/>
      <c r="P3" s="1588"/>
      <c r="Q3" s="1065"/>
      <c r="R3" s="1606" t="s">
        <v>184</v>
      </c>
      <c r="S3" s="1587"/>
      <c r="T3" s="1587"/>
      <c r="U3" s="1588"/>
      <c r="V3" s="1064"/>
      <c r="W3" s="1586" t="s">
        <v>207</v>
      </c>
      <c r="X3" s="1587"/>
      <c r="Y3" s="1587"/>
      <c r="Z3" s="1588"/>
      <c r="AA3" s="1064"/>
      <c r="AB3" s="1586" t="s">
        <v>208</v>
      </c>
      <c r="AC3" s="1587"/>
      <c r="AD3" s="1587"/>
      <c r="AE3" s="1588"/>
      <c r="AF3" s="1064"/>
      <c r="AG3" s="1586" t="s">
        <v>232</v>
      </c>
      <c r="AH3" s="1587"/>
      <c r="AI3" s="1587"/>
      <c r="AJ3" s="1588"/>
      <c r="AK3" s="1071"/>
      <c r="AL3" s="1586" t="s">
        <v>218</v>
      </c>
      <c r="AM3" s="1587"/>
      <c r="AN3" s="1587"/>
      <c r="AO3" s="1588"/>
      <c r="AP3" s="1075"/>
      <c r="AQ3" s="1586" t="s">
        <v>212</v>
      </c>
      <c r="AR3" s="1587"/>
      <c r="AS3" s="1587"/>
      <c r="AT3" s="1588"/>
      <c r="AU3" s="1075"/>
      <c r="AV3" s="1586" t="s">
        <v>1179</v>
      </c>
      <c r="AW3" s="1587"/>
      <c r="AX3" s="1587"/>
      <c r="AY3" s="1588"/>
      <c r="AZ3" s="1072"/>
      <c r="BA3" s="1586" t="s">
        <v>1178</v>
      </c>
      <c r="BB3" s="1587"/>
      <c r="BC3" s="1587"/>
      <c r="BD3" s="1588"/>
      <c r="BE3" s="1072"/>
      <c r="BF3" s="1586" t="s">
        <v>220</v>
      </c>
      <c r="BG3" s="1587"/>
      <c r="BH3" s="1587"/>
      <c r="BI3" s="1588"/>
      <c r="BJ3" s="1597"/>
      <c r="BK3" s="1586" t="s">
        <v>233</v>
      </c>
      <c r="BL3" s="1587"/>
      <c r="BM3" s="1587"/>
      <c r="BN3" s="1588"/>
      <c r="BO3" s="1163"/>
      <c r="BP3" s="1586" t="s">
        <v>234</v>
      </c>
      <c r="BQ3" s="1587"/>
      <c r="BR3" s="1587"/>
      <c r="BS3" s="1588"/>
      <c r="BT3" s="1163"/>
      <c r="BU3" s="1586" t="s">
        <v>235</v>
      </c>
      <c r="BV3" s="1587"/>
      <c r="BW3" s="1587"/>
      <c r="BX3" s="1588"/>
      <c r="BY3" s="1064"/>
      <c r="BZ3" s="1586" t="s">
        <v>227</v>
      </c>
      <c r="CA3" s="1587"/>
      <c r="CB3" s="1587"/>
      <c r="CC3" s="1588"/>
      <c r="CD3" s="1075"/>
      <c r="CE3" s="1586" t="s">
        <v>519</v>
      </c>
      <c r="CF3" s="1587"/>
      <c r="CG3" s="1587"/>
      <c r="CH3" s="1588"/>
      <c r="CI3" s="1064"/>
      <c r="CJ3" s="1594" t="s">
        <v>481</v>
      </c>
      <c r="CK3" s="1595"/>
      <c r="CL3" s="1595"/>
      <c r="CM3" s="1596"/>
      <c r="CN3" s="1075"/>
      <c r="CO3" s="1594" t="s">
        <v>224</v>
      </c>
      <c r="CP3" s="1595"/>
      <c r="CQ3" s="1595"/>
      <c r="CR3" s="1596"/>
      <c r="CS3" s="1064"/>
      <c r="CT3" s="1586" t="s">
        <v>231</v>
      </c>
      <c r="CU3" s="1587"/>
      <c r="CV3" s="1587"/>
      <c r="CW3" s="1588"/>
      <c r="CX3" s="1064"/>
      <c r="CY3" s="1586" t="s">
        <v>1472</v>
      </c>
      <c r="CZ3" s="1587"/>
      <c r="DA3" s="1587"/>
      <c r="DB3" s="1588"/>
      <c r="DC3" s="1064"/>
      <c r="DD3" s="1586" t="s">
        <v>229</v>
      </c>
      <c r="DE3" s="1587"/>
      <c r="DF3" s="1587"/>
      <c r="DG3" s="1588"/>
      <c r="DH3" s="1064"/>
      <c r="DI3" s="1589" t="s">
        <v>487</v>
      </c>
      <c r="DJ3" s="1590"/>
      <c r="DK3" s="1590"/>
      <c r="DL3" s="1591"/>
      <c r="DM3" s="1064"/>
      <c r="DN3" s="1589" t="s">
        <v>482</v>
      </c>
      <c r="DO3" s="1590"/>
      <c r="DP3" s="1590"/>
      <c r="DQ3" s="1591"/>
      <c r="DR3" s="1064"/>
      <c r="DS3" s="1594" t="s">
        <v>483</v>
      </c>
      <c r="DT3" s="1595"/>
      <c r="DU3" s="1595"/>
      <c r="DV3" s="1596"/>
      <c r="DW3" s="1064"/>
      <c r="DX3" s="1594" t="s">
        <v>486</v>
      </c>
      <c r="DY3" s="1595"/>
      <c r="DZ3" s="1595"/>
      <c r="EA3" s="1596"/>
      <c r="EB3" s="1064"/>
      <c r="EC3" s="1589" t="s">
        <v>484</v>
      </c>
      <c r="ED3" s="1590"/>
      <c r="EE3" s="1590"/>
      <c r="EF3" s="1591"/>
      <c r="EG3" s="1064"/>
      <c r="EH3" s="1589" t="s">
        <v>485</v>
      </c>
      <c r="EI3" s="1590"/>
      <c r="EJ3" s="1590"/>
      <c r="EK3" s="1591"/>
      <c r="EL3" s="1064"/>
      <c r="EM3" s="1592" t="s">
        <v>242</v>
      </c>
      <c r="EN3" s="1581" t="s">
        <v>326</v>
      </c>
      <c r="EO3" s="1582"/>
      <c r="EP3" s="1581" t="s">
        <v>327</v>
      </c>
      <c r="EQ3" s="1582"/>
      <c r="ER3" s="1213"/>
      <c r="ES3" s="1579" t="s">
        <v>383</v>
      </c>
      <c r="ET3" s="1577" t="s">
        <v>1746</v>
      </c>
      <c r="EU3" s="1578"/>
      <c r="EV3" s="1577" t="s">
        <v>1752</v>
      </c>
      <c r="EW3" s="1578"/>
    </row>
    <row r="4" spans="1:155" ht="17.100000000000001" customHeight="1" thickBot="1">
      <c r="A4" s="1598"/>
      <c r="B4" s="1164"/>
      <c r="C4" s="1164"/>
      <c r="D4" s="1165"/>
      <c r="E4" s="1166" t="s">
        <v>206</v>
      </c>
      <c r="F4" s="1166" t="s">
        <v>95</v>
      </c>
      <c r="G4" s="1166" t="s">
        <v>185</v>
      </c>
      <c r="H4" s="1166" t="s">
        <v>186</v>
      </c>
      <c r="I4" s="1065"/>
      <c r="J4" s="1167" t="s">
        <v>1704</v>
      </c>
      <c r="K4" s="1080" t="s">
        <v>1251</v>
      </c>
      <c r="L4" s="1065"/>
      <c r="M4" s="1166" t="s">
        <v>206</v>
      </c>
      <c r="N4" s="1166" t="s">
        <v>95</v>
      </c>
      <c r="O4" s="1166" t="s">
        <v>185</v>
      </c>
      <c r="P4" s="1166" t="s">
        <v>186</v>
      </c>
      <c r="Q4" s="1065"/>
      <c r="R4" s="1168" t="s">
        <v>206</v>
      </c>
      <c r="S4" s="1169" t="s">
        <v>95</v>
      </c>
      <c r="T4" s="1168" t="s">
        <v>185</v>
      </c>
      <c r="U4" s="1168" t="s">
        <v>186</v>
      </c>
      <c r="V4" s="1083"/>
      <c r="W4" s="1166" t="s">
        <v>206</v>
      </c>
      <c r="X4" s="1166" t="s">
        <v>95</v>
      </c>
      <c r="Y4" s="1166" t="s">
        <v>185</v>
      </c>
      <c r="Z4" s="1166" t="s">
        <v>186</v>
      </c>
      <c r="AA4" s="1083"/>
      <c r="AB4" s="1166" t="s">
        <v>206</v>
      </c>
      <c r="AC4" s="1166" t="s">
        <v>95</v>
      </c>
      <c r="AD4" s="1166" t="s">
        <v>185</v>
      </c>
      <c r="AE4" s="1166" t="s">
        <v>186</v>
      </c>
      <c r="AF4" s="1072"/>
      <c r="AG4" s="1166" t="s">
        <v>206</v>
      </c>
      <c r="AH4" s="1166" t="s">
        <v>95</v>
      </c>
      <c r="AI4" s="1166" t="s">
        <v>185</v>
      </c>
      <c r="AJ4" s="1166" t="s">
        <v>186</v>
      </c>
      <c r="AK4" s="1088"/>
      <c r="AL4" s="1166" t="s">
        <v>206</v>
      </c>
      <c r="AM4" s="1166" t="s">
        <v>95</v>
      </c>
      <c r="AN4" s="1166" t="s">
        <v>185</v>
      </c>
      <c r="AO4" s="1166" t="s">
        <v>186</v>
      </c>
      <c r="AP4" s="1170"/>
      <c r="AQ4" s="1166" t="s">
        <v>206</v>
      </c>
      <c r="AR4" s="1166" t="s">
        <v>95</v>
      </c>
      <c r="AS4" s="1166" t="s">
        <v>185</v>
      </c>
      <c r="AT4" s="1166" t="s">
        <v>186</v>
      </c>
      <c r="AU4" s="1170"/>
      <c r="AV4" s="1166" t="s">
        <v>206</v>
      </c>
      <c r="AW4" s="1166" t="s">
        <v>95</v>
      </c>
      <c r="AX4" s="1166" t="s">
        <v>185</v>
      </c>
      <c r="AY4" s="1166" t="s">
        <v>186</v>
      </c>
      <c r="AZ4" s="1089"/>
      <c r="BA4" s="1168" t="s">
        <v>206</v>
      </c>
      <c r="BB4" s="1168" t="s">
        <v>95</v>
      </c>
      <c r="BC4" s="1168" t="s">
        <v>185</v>
      </c>
      <c r="BD4" s="1168" t="s">
        <v>186</v>
      </c>
      <c r="BE4" s="1089"/>
      <c r="BF4" s="1166" t="s">
        <v>206</v>
      </c>
      <c r="BG4" s="1166" t="s">
        <v>95</v>
      </c>
      <c r="BH4" s="1166" t="s">
        <v>185</v>
      </c>
      <c r="BI4" s="1166" t="s">
        <v>186</v>
      </c>
      <c r="BJ4" s="1597"/>
      <c r="BK4" s="1166" t="s">
        <v>206</v>
      </c>
      <c r="BL4" s="1166" t="s">
        <v>95</v>
      </c>
      <c r="BM4" s="1166" t="s">
        <v>185</v>
      </c>
      <c r="BN4" s="1166" t="s">
        <v>186</v>
      </c>
      <c r="BO4" s="1163"/>
      <c r="BP4" s="1166" t="s">
        <v>206</v>
      </c>
      <c r="BQ4" s="1166" t="s">
        <v>95</v>
      </c>
      <c r="BR4" s="1166" t="s">
        <v>185</v>
      </c>
      <c r="BS4" s="1166" t="s">
        <v>186</v>
      </c>
      <c r="BT4" s="1163"/>
      <c r="BU4" s="1166" t="s">
        <v>206</v>
      </c>
      <c r="BV4" s="1166" t="s">
        <v>95</v>
      </c>
      <c r="BW4" s="1166" t="s">
        <v>185</v>
      </c>
      <c r="BX4" s="1166" t="s">
        <v>186</v>
      </c>
      <c r="BY4" s="1096"/>
      <c r="BZ4" s="1166" t="s">
        <v>206</v>
      </c>
      <c r="CA4" s="1166" t="s">
        <v>95</v>
      </c>
      <c r="CB4" s="1166" t="s">
        <v>185</v>
      </c>
      <c r="CC4" s="1166" t="s">
        <v>186</v>
      </c>
      <c r="CD4" s="1170"/>
      <c r="CE4" s="1166" t="s">
        <v>206</v>
      </c>
      <c r="CF4" s="1166" t="s">
        <v>95</v>
      </c>
      <c r="CG4" s="1166" t="s">
        <v>185</v>
      </c>
      <c r="CH4" s="1166" t="s">
        <v>186</v>
      </c>
      <c r="CI4" s="1096"/>
      <c r="CJ4" s="1171" t="s">
        <v>206</v>
      </c>
      <c r="CK4" s="1166" t="s">
        <v>95</v>
      </c>
      <c r="CL4" s="1166" t="s">
        <v>185</v>
      </c>
      <c r="CM4" s="1172" t="s">
        <v>186</v>
      </c>
      <c r="CN4" s="1170"/>
      <c r="CO4" s="1166" t="s">
        <v>206</v>
      </c>
      <c r="CP4" s="1173" t="s">
        <v>95</v>
      </c>
      <c r="CQ4" s="1166" t="s">
        <v>185</v>
      </c>
      <c r="CR4" s="1172" t="s">
        <v>186</v>
      </c>
      <c r="CS4" s="1096"/>
      <c r="CT4" s="1166" t="s">
        <v>206</v>
      </c>
      <c r="CU4" s="1166" t="s">
        <v>95</v>
      </c>
      <c r="CV4" s="1166" t="s">
        <v>185</v>
      </c>
      <c r="CW4" s="1166" t="s">
        <v>186</v>
      </c>
      <c r="CX4" s="1096"/>
      <c r="CY4" s="1166" t="s">
        <v>206</v>
      </c>
      <c r="CZ4" s="1166" t="s">
        <v>95</v>
      </c>
      <c r="DA4" s="1166" t="s">
        <v>185</v>
      </c>
      <c r="DB4" s="1166" t="s">
        <v>186</v>
      </c>
      <c r="DC4" s="1096"/>
      <c r="DD4" s="1166" t="s">
        <v>206</v>
      </c>
      <c r="DE4" s="1166" t="s">
        <v>95</v>
      </c>
      <c r="DF4" s="1166" t="s">
        <v>185</v>
      </c>
      <c r="DG4" s="1166" t="s">
        <v>186</v>
      </c>
      <c r="DH4" s="1096"/>
      <c r="DI4" s="1174" t="s">
        <v>206</v>
      </c>
      <c r="DJ4" s="1174" t="s">
        <v>95</v>
      </c>
      <c r="DK4" s="1174" t="s">
        <v>185</v>
      </c>
      <c r="DL4" s="1174" t="s">
        <v>186</v>
      </c>
      <c r="DM4" s="1096"/>
      <c r="DN4" s="1174" t="s">
        <v>206</v>
      </c>
      <c r="DO4" s="1175" t="s">
        <v>95</v>
      </c>
      <c r="DP4" s="1174" t="s">
        <v>185</v>
      </c>
      <c r="DQ4" s="1174" t="s">
        <v>186</v>
      </c>
      <c r="DR4" s="1096"/>
      <c r="DS4" s="1166" t="s">
        <v>206</v>
      </c>
      <c r="DT4" s="1166" t="s">
        <v>95</v>
      </c>
      <c r="DU4" s="1166" t="s">
        <v>185</v>
      </c>
      <c r="DV4" s="1166" t="s">
        <v>186</v>
      </c>
      <c r="DW4" s="1096"/>
      <c r="DX4" s="1166" t="s">
        <v>206</v>
      </c>
      <c r="DY4" s="1166" t="s">
        <v>95</v>
      </c>
      <c r="DZ4" s="1166" t="s">
        <v>185</v>
      </c>
      <c r="EA4" s="1166" t="s">
        <v>186</v>
      </c>
      <c r="EB4" s="1096"/>
      <c r="EC4" s="1174" t="s">
        <v>206</v>
      </c>
      <c r="ED4" s="1174" t="s">
        <v>95</v>
      </c>
      <c r="EE4" s="1174" t="s">
        <v>185</v>
      </c>
      <c r="EF4" s="1174" t="s">
        <v>186</v>
      </c>
      <c r="EG4" s="1096"/>
      <c r="EH4" s="1174" t="s">
        <v>206</v>
      </c>
      <c r="EI4" s="1174" t="s">
        <v>95</v>
      </c>
      <c r="EJ4" s="1174" t="s">
        <v>185</v>
      </c>
      <c r="EK4" s="1174" t="s">
        <v>186</v>
      </c>
      <c r="EL4" s="1096"/>
      <c r="EM4" s="1593"/>
      <c r="EN4" s="1176" t="s">
        <v>243</v>
      </c>
      <c r="EO4" s="1177" t="s">
        <v>244</v>
      </c>
      <c r="EP4" s="1178" t="s">
        <v>243</v>
      </c>
      <c r="EQ4" s="1179" t="s">
        <v>244</v>
      </c>
      <c r="ER4" s="93"/>
      <c r="ES4" s="1580"/>
      <c r="ET4" s="1377" t="s">
        <v>1747</v>
      </c>
      <c r="EU4" s="1378" t="s">
        <v>1748</v>
      </c>
      <c r="EV4" s="1377" t="s">
        <v>1747</v>
      </c>
      <c r="EW4" s="1378" t="s">
        <v>1748</v>
      </c>
    </row>
    <row r="5" spans="1:155" s="6" customFormat="1" ht="15" customHeight="1" thickBot="1">
      <c r="A5" s="1598"/>
      <c r="B5" s="1611" t="s">
        <v>1455</v>
      </c>
      <c r="C5" s="1612"/>
      <c r="D5" s="1065"/>
      <c r="E5" s="1108" t="s">
        <v>74</v>
      </c>
      <c r="F5" s="1180"/>
      <c r="G5" s="1181"/>
      <c r="H5" s="1182"/>
      <c r="I5" s="1065"/>
      <c r="J5" s="1108" t="s">
        <v>74</v>
      </c>
      <c r="K5" s="1109"/>
      <c r="L5" s="1065"/>
      <c r="M5" s="1183" t="s">
        <v>74</v>
      </c>
      <c r="N5" s="1180"/>
      <c r="O5" s="1181"/>
      <c r="P5" s="1182"/>
      <c r="Q5" s="1065"/>
      <c r="R5" s="1125" t="s">
        <v>74</v>
      </c>
      <c r="S5" s="1184"/>
      <c r="T5" s="1111"/>
      <c r="U5" s="1185"/>
      <c r="V5" s="1112"/>
      <c r="W5" s="1125" t="s">
        <v>74</v>
      </c>
      <c r="X5" s="1180"/>
      <c r="Y5" s="1181"/>
      <c r="Z5" s="1182"/>
      <c r="AA5" s="1112"/>
      <c r="AB5" s="1125" t="s">
        <v>74</v>
      </c>
      <c r="AC5" s="1180"/>
      <c r="AD5" s="1181"/>
      <c r="AE5" s="1182"/>
      <c r="AF5" s="1114"/>
      <c r="AG5" s="1125" t="s">
        <v>74</v>
      </c>
      <c r="AH5" s="1180"/>
      <c r="AI5" s="1181"/>
      <c r="AJ5" s="1182"/>
      <c r="AK5" s="1112"/>
      <c r="AL5" s="1125" t="s">
        <v>74</v>
      </c>
      <c r="AM5" s="1180"/>
      <c r="AN5" s="1181"/>
      <c r="AO5" s="1182"/>
      <c r="AP5" s="1114"/>
      <c r="AQ5" s="1125" t="s">
        <v>74</v>
      </c>
      <c r="AR5" s="1180"/>
      <c r="AS5" s="1181"/>
      <c r="AT5" s="1182"/>
      <c r="AU5" s="1114"/>
      <c r="AV5" s="1125" t="s">
        <v>74</v>
      </c>
      <c r="AW5" s="1180"/>
      <c r="AX5" s="1181"/>
      <c r="AY5" s="1182"/>
      <c r="AZ5" s="1114"/>
      <c r="BA5" s="1125" t="s">
        <v>74</v>
      </c>
      <c r="BB5" s="1184"/>
      <c r="BC5" s="1111"/>
      <c r="BD5" s="1185"/>
      <c r="BE5" s="1114"/>
      <c r="BF5" s="1183" t="s">
        <v>74</v>
      </c>
      <c r="BG5" s="1180"/>
      <c r="BH5" s="1181"/>
      <c r="BI5" s="1182"/>
      <c r="BJ5" s="1573"/>
      <c r="BK5" s="1183" t="s">
        <v>74</v>
      </c>
      <c r="BL5" s="1180"/>
      <c r="BM5" s="1181"/>
      <c r="BN5" s="1182"/>
      <c r="BO5" s="1067"/>
      <c r="BP5" s="1183" t="s">
        <v>74</v>
      </c>
      <c r="BQ5" s="1180"/>
      <c r="BR5" s="1181"/>
      <c r="BS5" s="1182"/>
      <c r="BT5" s="1067"/>
      <c r="BU5" s="1183" t="s">
        <v>74</v>
      </c>
      <c r="BV5" s="1180"/>
      <c r="BW5" s="1181"/>
      <c r="BX5" s="1182"/>
      <c r="BY5" s="1116"/>
      <c r="BZ5" s="1183" t="s">
        <v>74</v>
      </c>
      <c r="CA5" s="1180"/>
      <c r="CB5" s="1181"/>
      <c r="CC5" s="1182"/>
      <c r="CD5" s="1114"/>
      <c r="CE5" s="1183" t="s">
        <v>74</v>
      </c>
      <c r="CF5" s="1180"/>
      <c r="CG5" s="1181"/>
      <c r="CH5" s="1182"/>
      <c r="CI5" s="1116"/>
      <c r="CJ5" s="1183" t="s">
        <v>74</v>
      </c>
      <c r="CK5" s="1186"/>
      <c r="CL5" s="1181"/>
      <c r="CM5" s="1182"/>
      <c r="CN5" s="1114"/>
      <c r="CO5" s="1183" t="s">
        <v>74</v>
      </c>
      <c r="CP5" s="1186"/>
      <c r="CQ5" s="1181"/>
      <c r="CR5" s="1182"/>
      <c r="CS5" s="1116"/>
      <c r="CT5" s="1183" t="s">
        <v>74</v>
      </c>
      <c r="CU5" s="1180"/>
      <c r="CV5" s="1181"/>
      <c r="CW5" s="1182"/>
      <c r="CX5" s="1116"/>
      <c r="CY5" s="1183" t="s">
        <v>74</v>
      </c>
      <c r="CZ5" s="1180"/>
      <c r="DA5" s="1181"/>
      <c r="DB5" s="1182"/>
      <c r="DC5" s="1116"/>
      <c r="DD5" s="1183" t="s">
        <v>74</v>
      </c>
      <c r="DE5" s="1180"/>
      <c r="DF5" s="1181"/>
      <c r="DG5" s="1182"/>
      <c r="DH5" s="1116"/>
      <c r="DI5" s="1125" t="s">
        <v>74</v>
      </c>
      <c r="DJ5" s="1180"/>
      <c r="DK5" s="1181"/>
      <c r="DL5" s="1182"/>
      <c r="DM5" s="1116"/>
      <c r="DN5" s="1125" t="s">
        <v>74</v>
      </c>
      <c r="DO5" s="1180"/>
      <c r="DP5" s="1181"/>
      <c r="DQ5" s="1182"/>
      <c r="DR5" s="1116"/>
      <c r="DS5" s="1125" t="s">
        <v>74</v>
      </c>
      <c r="DT5" s="1180"/>
      <c r="DU5" s="1181"/>
      <c r="DV5" s="1182"/>
      <c r="DW5" s="1116"/>
      <c r="DX5" s="1125" t="s">
        <v>74</v>
      </c>
      <c r="DY5" s="1180"/>
      <c r="DZ5" s="1181"/>
      <c r="EA5" s="1182"/>
      <c r="EB5" s="1116"/>
      <c r="EC5" s="1125" t="s">
        <v>74</v>
      </c>
      <c r="ED5" s="1180"/>
      <c r="EE5" s="1181"/>
      <c r="EF5" s="1182"/>
      <c r="EG5" s="1116"/>
      <c r="EH5" s="1125" t="s">
        <v>74</v>
      </c>
      <c r="EI5" s="1180"/>
      <c r="EJ5" s="1181"/>
      <c r="EK5" s="1182"/>
      <c r="EL5" s="1116"/>
      <c r="EM5" s="1187" t="s">
        <v>328</v>
      </c>
      <c r="EN5" s="1188"/>
      <c r="EO5" s="1189"/>
      <c r="EP5" s="1190"/>
      <c r="EQ5" s="1191"/>
      <c r="ER5" s="1214">
        <f>SUM(EN5:EQ5)*15</f>
        <v>0</v>
      </c>
      <c r="ES5" s="1192"/>
      <c r="ET5" s="1188"/>
      <c r="EU5" s="1189"/>
      <c r="EV5" s="1190"/>
      <c r="EW5" s="1191"/>
    </row>
    <row r="6" spans="1:155" s="8" customFormat="1" ht="15" customHeight="1" thickBot="1">
      <c r="A6" s="1598"/>
      <c r="B6" s="1613"/>
      <c r="C6" s="1614"/>
      <c r="D6" s="1065"/>
      <c r="E6" s="1125" t="s">
        <v>75</v>
      </c>
      <c r="F6" s="1184"/>
      <c r="G6" s="1111"/>
      <c r="H6" s="1185"/>
      <c r="I6" s="1065"/>
      <c r="J6" s="1125" t="s">
        <v>75</v>
      </c>
      <c r="K6" s="1109"/>
      <c r="L6" s="1065"/>
      <c r="M6" s="1193" t="s">
        <v>75</v>
      </c>
      <c r="N6" s="1184"/>
      <c r="O6" s="1111"/>
      <c r="P6" s="1185"/>
      <c r="Q6" s="1065"/>
      <c r="R6" s="1193" t="s">
        <v>75</v>
      </c>
      <c r="S6" s="1184"/>
      <c r="T6" s="1111"/>
      <c r="U6" s="1185"/>
      <c r="V6" s="1112"/>
      <c r="W6" s="1193" t="s">
        <v>75</v>
      </c>
      <c r="X6" s="1184"/>
      <c r="Y6" s="1111"/>
      <c r="Z6" s="1185"/>
      <c r="AA6" s="1112"/>
      <c r="AB6" s="1193" t="s">
        <v>75</v>
      </c>
      <c r="AC6" s="1184"/>
      <c r="AD6" s="1111"/>
      <c r="AE6" s="1185"/>
      <c r="AF6" s="1114"/>
      <c r="AG6" s="1193" t="s">
        <v>75</v>
      </c>
      <c r="AH6" s="1184"/>
      <c r="AI6" s="1111"/>
      <c r="AJ6" s="1185"/>
      <c r="AK6" s="1112"/>
      <c r="AL6" s="1193" t="s">
        <v>75</v>
      </c>
      <c r="AM6" s="1184"/>
      <c r="AN6" s="1111"/>
      <c r="AO6" s="1185"/>
      <c r="AP6" s="1114"/>
      <c r="AQ6" s="1193" t="s">
        <v>75</v>
      </c>
      <c r="AR6" s="1184"/>
      <c r="AS6" s="1111"/>
      <c r="AT6" s="1185"/>
      <c r="AU6" s="1114"/>
      <c r="AV6" s="1193" t="s">
        <v>75</v>
      </c>
      <c r="AW6" s="1184"/>
      <c r="AX6" s="1111"/>
      <c r="AY6" s="1185"/>
      <c r="AZ6" s="1114"/>
      <c r="BA6" s="1193" t="s">
        <v>75</v>
      </c>
      <c r="BB6" s="1184"/>
      <c r="BC6" s="1111"/>
      <c r="BD6" s="1185"/>
      <c r="BE6" s="1114"/>
      <c r="BF6" s="1193" t="s">
        <v>75</v>
      </c>
      <c r="BG6" s="1184"/>
      <c r="BH6" s="1111"/>
      <c r="BI6" s="1185"/>
      <c r="BJ6" s="1573"/>
      <c r="BK6" s="1193" t="s">
        <v>75</v>
      </c>
      <c r="BL6" s="1184"/>
      <c r="BM6" s="1111"/>
      <c r="BN6" s="1185"/>
      <c r="BO6" s="1067"/>
      <c r="BP6" s="1193" t="s">
        <v>75</v>
      </c>
      <c r="BQ6" s="1184"/>
      <c r="BR6" s="1111"/>
      <c r="BS6" s="1185"/>
      <c r="BT6" s="1067"/>
      <c r="BU6" s="1193" t="s">
        <v>75</v>
      </c>
      <c r="BV6" s="1184"/>
      <c r="BW6" s="1111"/>
      <c r="BX6" s="1185"/>
      <c r="BY6" s="1128"/>
      <c r="BZ6" s="1193" t="s">
        <v>75</v>
      </c>
      <c r="CA6" s="1180"/>
      <c r="CB6" s="1111"/>
      <c r="CC6" s="1185"/>
      <c r="CD6" s="1114"/>
      <c r="CE6" s="1193" t="s">
        <v>75</v>
      </c>
      <c r="CF6" s="1184"/>
      <c r="CG6" s="1111"/>
      <c r="CH6" s="1185"/>
      <c r="CI6" s="1128"/>
      <c r="CJ6" s="1193" t="s">
        <v>75</v>
      </c>
      <c r="CK6" s="1110"/>
      <c r="CL6" s="1111"/>
      <c r="CM6" s="1185"/>
      <c r="CN6" s="1114"/>
      <c r="CO6" s="1193" t="s">
        <v>75</v>
      </c>
      <c r="CP6" s="1110"/>
      <c r="CQ6" s="1111"/>
      <c r="CR6" s="1185"/>
      <c r="CS6" s="1128"/>
      <c r="CT6" s="1193" t="s">
        <v>75</v>
      </c>
      <c r="CU6" s="1184"/>
      <c r="CV6" s="1111"/>
      <c r="CW6" s="1185"/>
      <c r="CX6" s="1128"/>
      <c r="CY6" s="1193" t="s">
        <v>75</v>
      </c>
      <c r="CZ6" s="1184"/>
      <c r="DA6" s="1111"/>
      <c r="DB6" s="1185"/>
      <c r="DC6" s="1128"/>
      <c r="DD6" s="1193" t="s">
        <v>75</v>
      </c>
      <c r="DE6" s="1184"/>
      <c r="DF6" s="1111"/>
      <c r="DG6" s="1185"/>
      <c r="DH6" s="1128"/>
      <c r="DI6" s="1193" t="s">
        <v>75</v>
      </c>
      <c r="DJ6" s="1184"/>
      <c r="DK6" s="1111"/>
      <c r="DL6" s="1185"/>
      <c r="DM6" s="1128"/>
      <c r="DN6" s="1193" t="s">
        <v>75</v>
      </c>
      <c r="DO6" s="1184"/>
      <c r="DP6" s="1111"/>
      <c r="DQ6" s="1185"/>
      <c r="DR6" s="1128"/>
      <c r="DS6" s="1193" t="s">
        <v>75</v>
      </c>
      <c r="DT6" s="1184"/>
      <c r="DU6" s="1111"/>
      <c r="DV6" s="1185"/>
      <c r="DW6" s="1128"/>
      <c r="DX6" s="1193" t="s">
        <v>75</v>
      </c>
      <c r="DY6" s="1184"/>
      <c r="DZ6" s="1111"/>
      <c r="EA6" s="1185"/>
      <c r="EB6" s="1128"/>
      <c r="EC6" s="1193" t="s">
        <v>75</v>
      </c>
      <c r="ED6" s="1184"/>
      <c r="EE6" s="1111"/>
      <c r="EF6" s="1185"/>
      <c r="EG6" s="1128"/>
      <c r="EH6" s="1193" t="s">
        <v>75</v>
      </c>
      <c r="EI6" s="1184"/>
      <c r="EJ6" s="1111"/>
      <c r="EK6" s="1185"/>
      <c r="EL6" s="1128"/>
      <c r="EM6" s="1194" t="s">
        <v>329</v>
      </c>
      <c r="EN6" s="1195"/>
      <c r="EO6" s="1196"/>
      <c r="EP6" s="1197"/>
      <c r="EQ6" s="1198"/>
      <c r="ER6" s="1214">
        <f>SUM(EN6:EQ6)*30</f>
        <v>0</v>
      </c>
      <c r="ES6" s="1199" t="s">
        <v>1700</v>
      </c>
      <c r="ET6" s="1195"/>
      <c r="EU6" s="1196"/>
      <c r="EV6" s="1197"/>
      <c r="EW6" s="1198"/>
    </row>
    <row r="7" spans="1:155" s="8" customFormat="1" ht="15" customHeight="1" thickBot="1">
      <c r="A7" s="1598"/>
      <c r="B7" s="1200"/>
      <c r="C7" s="1200"/>
      <c r="D7" s="1065"/>
      <c r="E7" s="1108" t="s">
        <v>76</v>
      </c>
      <c r="F7" s="1184"/>
      <c r="G7" s="1111"/>
      <c r="H7" s="1185"/>
      <c r="I7" s="1065"/>
      <c r="J7" s="1108" t="s">
        <v>76</v>
      </c>
      <c r="K7" s="1109"/>
      <c r="L7" s="1065"/>
      <c r="M7" s="1125" t="s">
        <v>76</v>
      </c>
      <c r="N7" s="1184"/>
      <c r="O7" s="1111"/>
      <c r="P7" s="1185"/>
      <c r="Q7" s="1065"/>
      <c r="R7" s="1125" t="s">
        <v>76</v>
      </c>
      <c r="S7" s="1184"/>
      <c r="T7" s="1111"/>
      <c r="U7" s="1185"/>
      <c r="V7" s="1112"/>
      <c r="W7" s="1125" t="s">
        <v>76</v>
      </c>
      <c r="X7" s="1184"/>
      <c r="Y7" s="1111"/>
      <c r="Z7" s="1185"/>
      <c r="AA7" s="1112"/>
      <c r="AB7" s="1125" t="s">
        <v>76</v>
      </c>
      <c r="AC7" s="1184"/>
      <c r="AD7" s="1111"/>
      <c r="AE7" s="1185"/>
      <c r="AF7" s="1114"/>
      <c r="AG7" s="1125" t="s">
        <v>76</v>
      </c>
      <c r="AH7" s="1184"/>
      <c r="AI7" s="1111"/>
      <c r="AJ7" s="1185"/>
      <c r="AK7" s="1112"/>
      <c r="AL7" s="1125" t="s">
        <v>76</v>
      </c>
      <c r="AM7" s="1184"/>
      <c r="AN7" s="1111"/>
      <c r="AO7" s="1185"/>
      <c r="AP7" s="1114"/>
      <c r="AQ7" s="1125" t="s">
        <v>76</v>
      </c>
      <c r="AR7" s="1184"/>
      <c r="AS7" s="1111"/>
      <c r="AT7" s="1185"/>
      <c r="AU7" s="1114"/>
      <c r="AV7" s="1125" t="s">
        <v>76</v>
      </c>
      <c r="AW7" s="1184"/>
      <c r="AX7" s="1111"/>
      <c r="AY7" s="1185"/>
      <c r="AZ7" s="1114"/>
      <c r="BA7" s="1125" t="s">
        <v>76</v>
      </c>
      <c r="BB7" s="1184"/>
      <c r="BC7" s="1111"/>
      <c r="BD7" s="1185"/>
      <c r="BE7" s="1114"/>
      <c r="BF7" s="1125" t="s">
        <v>76</v>
      </c>
      <c r="BG7" s="1184"/>
      <c r="BH7" s="1111"/>
      <c r="BI7" s="1185"/>
      <c r="BJ7" s="1573"/>
      <c r="BK7" s="1125" t="s">
        <v>76</v>
      </c>
      <c r="BL7" s="1184"/>
      <c r="BM7" s="1111"/>
      <c r="BN7" s="1185"/>
      <c r="BO7" s="1067"/>
      <c r="BP7" s="1125" t="s">
        <v>76</v>
      </c>
      <c r="BQ7" s="1184"/>
      <c r="BR7" s="1111"/>
      <c r="BS7" s="1185"/>
      <c r="BT7" s="1067"/>
      <c r="BU7" s="1125" t="s">
        <v>76</v>
      </c>
      <c r="BV7" s="1184"/>
      <c r="BW7" s="1111"/>
      <c r="BX7" s="1185"/>
      <c r="BY7" s="1128"/>
      <c r="BZ7" s="1125" t="s">
        <v>76</v>
      </c>
      <c r="CA7" s="1184"/>
      <c r="CB7" s="1111"/>
      <c r="CC7" s="1185"/>
      <c r="CD7" s="1114"/>
      <c r="CE7" s="1125" t="s">
        <v>76</v>
      </c>
      <c r="CF7" s="1184"/>
      <c r="CG7" s="1111"/>
      <c r="CH7" s="1185"/>
      <c r="CI7" s="1128"/>
      <c r="CJ7" s="1125" t="s">
        <v>76</v>
      </c>
      <c r="CK7" s="1110"/>
      <c r="CL7" s="1111"/>
      <c r="CM7" s="1185"/>
      <c r="CN7" s="1114"/>
      <c r="CO7" s="1125" t="s">
        <v>76</v>
      </c>
      <c r="CP7" s="1110"/>
      <c r="CQ7" s="1111"/>
      <c r="CR7" s="1185"/>
      <c r="CS7" s="1128"/>
      <c r="CT7" s="1125" t="s">
        <v>76</v>
      </c>
      <c r="CU7" s="1184"/>
      <c r="CV7" s="1111"/>
      <c r="CW7" s="1185"/>
      <c r="CX7" s="1128"/>
      <c r="CY7" s="1125" t="s">
        <v>76</v>
      </c>
      <c r="CZ7" s="1184"/>
      <c r="DA7" s="1111"/>
      <c r="DB7" s="1185"/>
      <c r="DC7" s="1128"/>
      <c r="DD7" s="1125" t="s">
        <v>76</v>
      </c>
      <c r="DE7" s="1184"/>
      <c r="DF7" s="1111"/>
      <c r="DG7" s="1185"/>
      <c r="DH7" s="1128"/>
      <c r="DI7" s="1125" t="s">
        <v>76</v>
      </c>
      <c r="DJ7" s="1184"/>
      <c r="DK7" s="1111"/>
      <c r="DL7" s="1185"/>
      <c r="DM7" s="1128"/>
      <c r="DN7" s="1125" t="s">
        <v>76</v>
      </c>
      <c r="DO7" s="1184"/>
      <c r="DP7" s="1111"/>
      <c r="DQ7" s="1185"/>
      <c r="DR7" s="1128"/>
      <c r="DS7" s="1125" t="s">
        <v>76</v>
      </c>
      <c r="DT7" s="1184"/>
      <c r="DU7" s="1111"/>
      <c r="DV7" s="1185"/>
      <c r="DW7" s="1128"/>
      <c r="DX7" s="1125" t="s">
        <v>76</v>
      </c>
      <c r="DY7" s="1184"/>
      <c r="DZ7" s="1111"/>
      <c r="EA7" s="1185"/>
      <c r="EB7" s="1128"/>
      <c r="EC7" s="1125" t="s">
        <v>76</v>
      </c>
      <c r="ED7" s="1184"/>
      <c r="EE7" s="1111"/>
      <c r="EF7" s="1185"/>
      <c r="EG7" s="1128"/>
      <c r="EH7" s="1125" t="s">
        <v>76</v>
      </c>
      <c r="EI7" s="1184"/>
      <c r="EJ7" s="1111"/>
      <c r="EK7" s="1185"/>
      <c r="EL7" s="1128"/>
      <c r="EM7" s="1187" t="s">
        <v>330</v>
      </c>
      <c r="EN7" s="1195"/>
      <c r="EO7" s="1196"/>
      <c r="EP7" s="1197"/>
      <c r="EQ7" s="1198"/>
      <c r="ER7" s="1214">
        <f>SUM(EN7:EQ7)*45</f>
        <v>0</v>
      </c>
      <c r="ES7" s="1201" t="s">
        <v>341</v>
      </c>
      <c r="ET7" s="1195"/>
      <c r="EU7" s="1196"/>
      <c r="EV7" s="1197"/>
      <c r="EW7" s="1198"/>
      <c r="EX7" s="217"/>
      <c r="EY7" s="218"/>
    </row>
    <row r="8" spans="1:155" s="8" customFormat="1" ht="15" customHeight="1" thickBot="1">
      <c r="A8" s="1598"/>
      <c r="B8" s="1133" t="s">
        <v>520</v>
      </c>
      <c r="C8" s="1134">
        <v>0</v>
      </c>
      <c r="D8" s="1065"/>
      <c r="E8" s="1125" t="s">
        <v>77</v>
      </c>
      <c r="F8" s="1184"/>
      <c r="G8" s="1111"/>
      <c r="H8" s="1185"/>
      <c r="I8" s="1065"/>
      <c r="J8" s="1125" t="s">
        <v>77</v>
      </c>
      <c r="K8" s="1109"/>
      <c r="L8" s="1065"/>
      <c r="M8" s="1193" t="s">
        <v>77</v>
      </c>
      <c r="N8" s="1184"/>
      <c r="O8" s="1111"/>
      <c r="P8" s="1185"/>
      <c r="Q8" s="1065"/>
      <c r="R8" s="1193" t="s">
        <v>77</v>
      </c>
      <c r="S8" s="1184"/>
      <c r="T8" s="1111"/>
      <c r="U8" s="1185"/>
      <c r="V8" s="1112"/>
      <c r="W8" s="1193" t="s">
        <v>77</v>
      </c>
      <c r="X8" s="1184"/>
      <c r="Y8" s="1111"/>
      <c r="Z8" s="1185"/>
      <c r="AA8" s="1112"/>
      <c r="AB8" s="1193" t="s">
        <v>77</v>
      </c>
      <c r="AC8" s="1184"/>
      <c r="AD8" s="1111"/>
      <c r="AE8" s="1185"/>
      <c r="AF8" s="1114"/>
      <c r="AG8" s="1193" t="s">
        <v>77</v>
      </c>
      <c r="AH8" s="1184"/>
      <c r="AI8" s="1111"/>
      <c r="AJ8" s="1185"/>
      <c r="AK8" s="1112"/>
      <c r="AL8" s="1193" t="s">
        <v>77</v>
      </c>
      <c r="AM8" s="1184"/>
      <c r="AN8" s="1111"/>
      <c r="AO8" s="1185"/>
      <c r="AP8" s="1114"/>
      <c r="AQ8" s="1193" t="s">
        <v>77</v>
      </c>
      <c r="AR8" s="1184"/>
      <c r="AS8" s="1111"/>
      <c r="AT8" s="1185"/>
      <c r="AU8" s="1114"/>
      <c r="AV8" s="1193" t="s">
        <v>77</v>
      </c>
      <c r="AW8" s="1184"/>
      <c r="AX8" s="1111"/>
      <c r="AY8" s="1185"/>
      <c r="AZ8" s="1114"/>
      <c r="BA8" s="1193" t="s">
        <v>77</v>
      </c>
      <c r="BB8" s="1184"/>
      <c r="BC8" s="1111"/>
      <c r="BD8" s="1185"/>
      <c r="BE8" s="1114"/>
      <c r="BF8" s="1193" t="s">
        <v>77</v>
      </c>
      <c r="BG8" s="1184"/>
      <c r="BH8" s="1111"/>
      <c r="BI8" s="1185"/>
      <c r="BJ8" s="1573"/>
      <c r="BK8" s="1193" t="s">
        <v>77</v>
      </c>
      <c r="BL8" s="1184"/>
      <c r="BM8" s="1111"/>
      <c r="BN8" s="1185"/>
      <c r="BO8" s="1067"/>
      <c r="BP8" s="1193" t="s">
        <v>77</v>
      </c>
      <c r="BQ8" s="1184"/>
      <c r="BR8" s="1111"/>
      <c r="BS8" s="1185"/>
      <c r="BT8" s="1067"/>
      <c r="BU8" s="1193" t="s">
        <v>77</v>
      </c>
      <c r="BV8" s="1184"/>
      <c r="BW8" s="1111"/>
      <c r="BX8" s="1185"/>
      <c r="BY8" s="1128"/>
      <c r="BZ8" s="1193" t="s">
        <v>77</v>
      </c>
      <c r="CA8" s="1184"/>
      <c r="CB8" s="1111"/>
      <c r="CC8" s="1185"/>
      <c r="CD8" s="1114"/>
      <c r="CE8" s="1193" t="s">
        <v>77</v>
      </c>
      <c r="CF8" s="1184"/>
      <c r="CG8" s="1111"/>
      <c r="CH8" s="1185"/>
      <c r="CI8" s="1128"/>
      <c r="CJ8" s="1193" t="s">
        <v>77</v>
      </c>
      <c r="CK8" s="1110"/>
      <c r="CL8" s="1111"/>
      <c r="CM8" s="1185"/>
      <c r="CN8" s="1114"/>
      <c r="CO8" s="1193" t="s">
        <v>77</v>
      </c>
      <c r="CP8" s="1110"/>
      <c r="CQ8" s="1111"/>
      <c r="CR8" s="1185"/>
      <c r="CS8" s="1128"/>
      <c r="CT8" s="1193" t="s">
        <v>77</v>
      </c>
      <c r="CU8" s="1184"/>
      <c r="CV8" s="1111"/>
      <c r="CW8" s="1185"/>
      <c r="CX8" s="1128"/>
      <c r="CY8" s="1193" t="s">
        <v>77</v>
      </c>
      <c r="CZ8" s="1184"/>
      <c r="DA8" s="1111"/>
      <c r="DB8" s="1185"/>
      <c r="DC8" s="1128"/>
      <c r="DD8" s="1193" t="s">
        <v>77</v>
      </c>
      <c r="DE8" s="1184"/>
      <c r="DF8" s="1111"/>
      <c r="DG8" s="1185"/>
      <c r="DH8" s="1128"/>
      <c r="DI8" s="1193" t="s">
        <v>77</v>
      </c>
      <c r="DJ8" s="1184"/>
      <c r="DK8" s="1111"/>
      <c r="DL8" s="1185"/>
      <c r="DM8" s="1128"/>
      <c r="DN8" s="1193" t="s">
        <v>77</v>
      </c>
      <c r="DO8" s="1184"/>
      <c r="DP8" s="1111"/>
      <c r="DQ8" s="1185"/>
      <c r="DR8" s="1128"/>
      <c r="DS8" s="1193" t="s">
        <v>77</v>
      </c>
      <c r="DT8" s="1184"/>
      <c r="DU8" s="1111"/>
      <c r="DV8" s="1185"/>
      <c r="DW8" s="1128"/>
      <c r="DX8" s="1193" t="s">
        <v>77</v>
      </c>
      <c r="DY8" s="1184"/>
      <c r="DZ8" s="1111"/>
      <c r="EA8" s="1185"/>
      <c r="EB8" s="1128"/>
      <c r="EC8" s="1193" t="s">
        <v>77</v>
      </c>
      <c r="ED8" s="1184"/>
      <c r="EE8" s="1111"/>
      <c r="EF8" s="1185"/>
      <c r="EG8" s="1128"/>
      <c r="EH8" s="1193" t="s">
        <v>77</v>
      </c>
      <c r="EI8" s="1184"/>
      <c r="EJ8" s="1111"/>
      <c r="EK8" s="1185"/>
      <c r="EL8" s="1128"/>
      <c r="EM8" s="1194" t="s">
        <v>331</v>
      </c>
      <c r="EN8" s="1195"/>
      <c r="EO8" s="1196"/>
      <c r="EP8" s="1197"/>
      <c r="EQ8" s="1198"/>
      <c r="ER8" s="1214">
        <f>SUM(EN8:EQ8)*75</f>
        <v>0</v>
      </c>
      <c r="ES8" s="1199" t="s">
        <v>336</v>
      </c>
      <c r="ET8" s="1195"/>
      <c r="EU8" s="1196"/>
      <c r="EV8" s="1197"/>
      <c r="EW8" s="1198"/>
      <c r="EX8" s="217"/>
      <c r="EY8" s="218"/>
    </row>
    <row r="9" spans="1:155" s="8" customFormat="1" ht="15" customHeight="1" thickBot="1">
      <c r="A9" s="1598"/>
      <c r="B9" s="1135" t="s">
        <v>521</v>
      </c>
      <c r="C9" s="1134">
        <v>0</v>
      </c>
      <c r="D9" s="1065"/>
      <c r="E9" s="1108" t="s">
        <v>100</v>
      </c>
      <c r="F9" s="1184"/>
      <c r="G9" s="1111"/>
      <c r="H9" s="1185"/>
      <c r="I9" s="1065"/>
      <c r="J9" s="1108" t="s">
        <v>100</v>
      </c>
      <c r="K9" s="1109"/>
      <c r="L9" s="1065"/>
      <c r="M9" s="1125" t="s">
        <v>100</v>
      </c>
      <c r="N9" s="1184"/>
      <c r="O9" s="1111"/>
      <c r="P9" s="1185"/>
      <c r="Q9" s="1065"/>
      <c r="R9" s="1125" t="s">
        <v>100</v>
      </c>
      <c r="S9" s="1184"/>
      <c r="T9" s="1111"/>
      <c r="U9" s="1185"/>
      <c r="V9" s="1112"/>
      <c r="W9" s="1125" t="s">
        <v>100</v>
      </c>
      <c r="X9" s="1184"/>
      <c r="Y9" s="1111"/>
      <c r="Z9" s="1185"/>
      <c r="AA9" s="1112"/>
      <c r="AB9" s="1125" t="s">
        <v>100</v>
      </c>
      <c r="AC9" s="1184"/>
      <c r="AD9" s="1111"/>
      <c r="AE9" s="1185"/>
      <c r="AF9" s="1114"/>
      <c r="AG9" s="1125" t="s">
        <v>100</v>
      </c>
      <c r="AH9" s="1184"/>
      <c r="AI9" s="1111"/>
      <c r="AJ9" s="1185"/>
      <c r="AK9" s="1112"/>
      <c r="AL9" s="1125" t="s">
        <v>100</v>
      </c>
      <c r="AM9" s="1184"/>
      <c r="AN9" s="1111"/>
      <c r="AO9" s="1185"/>
      <c r="AP9" s="1114"/>
      <c r="AQ9" s="1125" t="s">
        <v>100</v>
      </c>
      <c r="AR9" s="1184"/>
      <c r="AS9" s="1111"/>
      <c r="AT9" s="1185"/>
      <c r="AU9" s="1114"/>
      <c r="AV9" s="1125" t="s">
        <v>100</v>
      </c>
      <c r="AW9" s="1184"/>
      <c r="AX9" s="1111"/>
      <c r="AY9" s="1185"/>
      <c r="AZ9" s="1114"/>
      <c r="BA9" s="1125" t="s">
        <v>100</v>
      </c>
      <c r="BB9" s="1184"/>
      <c r="BC9" s="1111"/>
      <c r="BD9" s="1185"/>
      <c r="BE9" s="1114"/>
      <c r="BF9" s="1125" t="s">
        <v>100</v>
      </c>
      <c r="BG9" s="1184"/>
      <c r="BH9" s="1111"/>
      <c r="BI9" s="1185"/>
      <c r="BJ9" s="1573"/>
      <c r="BK9" s="1125" t="s">
        <v>100</v>
      </c>
      <c r="BL9" s="1184"/>
      <c r="BM9" s="1111"/>
      <c r="BN9" s="1185"/>
      <c r="BO9" s="1067"/>
      <c r="BP9" s="1125" t="s">
        <v>100</v>
      </c>
      <c r="BQ9" s="1184"/>
      <c r="BR9" s="1111"/>
      <c r="BS9" s="1185"/>
      <c r="BT9" s="1067"/>
      <c r="BU9" s="1125" t="s">
        <v>100</v>
      </c>
      <c r="BV9" s="1184"/>
      <c r="BW9" s="1111"/>
      <c r="BX9" s="1185"/>
      <c r="BY9" s="1128"/>
      <c r="BZ9" s="1125" t="s">
        <v>100</v>
      </c>
      <c r="CA9" s="1184"/>
      <c r="CB9" s="1111"/>
      <c r="CC9" s="1185"/>
      <c r="CD9" s="1114"/>
      <c r="CE9" s="1125" t="s">
        <v>100</v>
      </c>
      <c r="CF9" s="1184"/>
      <c r="CG9" s="1111"/>
      <c r="CH9" s="1185"/>
      <c r="CI9" s="1128"/>
      <c r="CJ9" s="1125" t="s">
        <v>100</v>
      </c>
      <c r="CK9" s="1110"/>
      <c r="CL9" s="1111"/>
      <c r="CM9" s="1185"/>
      <c r="CN9" s="1114"/>
      <c r="CO9" s="1125" t="s">
        <v>100</v>
      </c>
      <c r="CP9" s="1110"/>
      <c r="CQ9" s="1111"/>
      <c r="CR9" s="1185"/>
      <c r="CS9" s="1128"/>
      <c r="CT9" s="1125" t="s">
        <v>100</v>
      </c>
      <c r="CU9" s="1184"/>
      <c r="CV9" s="1111"/>
      <c r="CW9" s="1185"/>
      <c r="CX9" s="1128"/>
      <c r="CY9" s="1125" t="s">
        <v>100</v>
      </c>
      <c r="CZ9" s="1184"/>
      <c r="DA9" s="1111"/>
      <c r="DB9" s="1185"/>
      <c r="DC9" s="1128"/>
      <c r="DD9" s="1125" t="s">
        <v>100</v>
      </c>
      <c r="DE9" s="1184"/>
      <c r="DF9" s="1111"/>
      <c r="DG9" s="1185"/>
      <c r="DH9" s="1128"/>
      <c r="DI9" s="1125" t="s">
        <v>100</v>
      </c>
      <c r="DJ9" s="1184"/>
      <c r="DK9" s="1111"/>
      <c r="DL9" s="1185"/>
      <c r="DM9" s="1128"/>
      <c r="DN9" s="1125" t="s">
        <v>100</v>
      </c>
      <c r="DO9" s="1184"/>
      <c r="DP9" s="1111"/>
      <c r="DQ9" s="1185"/>
      <c r="DR9" s="1128"/>
      <c r="DS9" s="1125" t="s">
        <v>100</v>
      </c>
      <c r="DT9" s="1184"/>
      <c r="DU9" s="1111"/>
      <c r="DV9" s="1185"/>
      <c r="DW9" s="1128"/>
      <c r="DX9" s="1125" t="s">
        <v>100</v>
      </c>
      <c r="DY9" s="1184"/>
      <c r="DZ9" s="1111"/>
      <c r="EA9" s="1185"/>
      <c r="EB9" s="1128"/>
      <c r="EC9" s="1125" t="s">
        <v>100</v>
      </c>
      <c r="ED9" s="1184"/>
      <c r="EE9" s="1111"/>
      <c r="EF9" s="1185"/>
      <c r="EG9" s="1128"/>
      <c r="EH9" s="1125" t="s">
        <v>100</v>
      </c>
      <c r="EI9" s="1184"/>
      <c r="EJ9" s="1111"/>
      <c r="EK9" s="1185"/>
      <c r="EL9" s="1128"/>
      <c r="EM9" s="1187" t="s">
        <v>332</v>
      </c>
      <c r="EN9" s="1195"/>
      <c r="EO9" s="1196"/>
      <c r="EP9" s="1197"/>
      <c r="EQ9" s="1198"/>
      <c r="ER9" s="1214">
        <f>SUM(EN9:EQ9)*112.5</f>
        <v>0</v>
      </c>
      <c r="ES9" s="1201" t="s">
        <v>337</v>
      </c>
      <c r="ET9" s="1195"/>
      <c r="EU9" s="1196"/>
      <c r="EV9" s="1197"/>
      <c r="EW9" s="1198"/>
    </row>
    <row r="10" spans="1:155" s="8" customFormat="1" ht="15" customHeight="1" thickBot="1">
      <c r="A10" s="1598"/>
      <c r="B10" s="1133" t="s">
        <v>522</v>
      </c>
      <c r="C10" s="1134">
        <v>0</v>
      </c>
      <c r="D10" s="1065"/>
      <c r="E10" s="1125" t="s">
        <v>78</v>
      </c>
      <c r="F10" s="1184"/>
      <c r="G10" s="1111"/>
      <c r="H10" s="1185"/>
      <c r="I10" s="1065"/>
      <c r="J10" s="1125" t="s">
        <v>78</v>
      </c>
      <c r="K10" s="1109"/>
      <c r="L10" s="1065"/>
      <c r="M10" s="1193" t="s">
        <v>78</v>
      </c>
      <c r="N10" s="1184"/>
      <c r="O10" s="1111"/>
      <c r="P10" s="1185"/>
      <c r="Q10" s="1065"/>
      <c r="R10" s="1193" t="s">
        <v>78</v>
      </c>
      <c r="S10" s="1184"/>
      <c r="T10" s="1111"/>
      <c r="U10" s="1185"/>
      <c r="V10" s="1112"/>
      <c r="W10" s="1193" t="s">
        <v>78</v>
      </c>
      <c r="X10" s="1184"/>
      <c r="Y10" s="1111"/>
      <c r="Z10" s="1185"/>
      <c r="AA10" s="1112"/>
      <c r="AB10" s="1193" t="s">
        <v>78</v>
      </c>
      <c r="AC10" s="1184"/>
      <c r="AD10" s="1111"/>
      <c r="AE10" s="1185"/>
      <c r="AF10" s="1114"/>
      <c r="AG10" s="1193" t="s">
        <v>78</v>
      </c>
      <c r="AH10" s="1184"/>
      <c r="AI10" s="1111"/>
      <c r="AJ10" s="1185"/>
      <c r="AK10" s="1112"/>
      <c r="AL10" s="1193" t="s">
        <v>78</v>
      </c>
      <c r="AM10" s="1184"/>
      <c r="AN10" s="1111"/>
      <c r="AO10" s="1185"/>
      <c r="AP10" s="1114"/>
      <c r="AQ10" s="1193" t="s">
        <v>78</v>
      </c>
      <c r="AR10" s="1184"/>
      <c r="AS10" s="1111"/>
      <c r="AT10" s="1185"/>
      <c r="AU10" s="1114"/>
      <c r="AV10" s="1193" t="s">
        <v>78</v>
      </c>
      <c r="AW10" s="1184"/>
      <c r="AX10" s="1111"/>
      <c r="AY10" s="1185"/>
      <c r="AZ10" s="1114"/>
      <c r="BA10" s="1193" t="s">
        <v>78</v>
      </c>
      <c r="BB10" s="1184"/>
      <c r="BC10" s="1111"/>
      <c r="BD10" s="1185"/>
      <c r="BE10" s="1114"/>
      <c r="BF10" s="1193" t="s">
        <v>78</v>
      </c>
      <c r="BG10" s="1184"/>
      <c r="BH10" s="1111"/>
      <c r="BI10" s="1185"/>
      <c r="BJ10" s="1573"/>
      <c r="BK10" s="1193" t="s">
        <v>78</v>
      </c>
      <c r="BL10" s="1184"/>
      <c r="BM10" s="1111"/>
      <c r="BN10" s="1185"/>
      <c r="BO10" s="1067"/>
      <c r="BP10" s="1193" t="s">
        <v>78</v>
      </c>
      <c r="BQ10" s="1184"/>
      <c r="BR10" s="1111"/>
      <c r="BS10" s="1185"/>
      <c r="BT10" s="1067"/>
      <c r="BU10" s="1193" t="s">
        <v>78</v>
      </c>
      <c r="BV10" s="1184"/>
      <c r="BW10" s="1111"/>
      <c r="BX10" s="1185"/>
      <c r="BY10" s="1128"/>
      <c r="BZ10" s="1193" t="s">
        <v>78</v>
      </c>
      <c r="CA10" s="1184"/>
      <c r="CB10" s="1111"/>
      <c r="CC10" s="1185"/>
      <c r="CD10" s="1114"/>
      <c r="CE10" s="1193" t="s">
        <v>78</v>
      </c>
      <c r="CF10" s="1184"/>
      <c r="CG10" s="1111"/>
      <c r="CH10" s="1185"/>
      <c r="CI10" s="1128"/>
      <c r="CJ10" s="1193" t="s">
        <v>78</v>
      </c>
      <c r="CK10" s="1184"/>
      <c r="CL10" s="1111"/>
      <c r="CM10" s="1185"/>
      <c r="CN10" s="1114"/>
      <c r="CO10" s="1193" t="s">
        <v>78</v>
      </c>
      <c r="CP10" s="1110"/>
      <c r="CQ10" s="1111"/>
      <c r="CR10" s="1185"/>
      <c r="CS10" s="1128"/>
      <c r="CT10" s="1193" t="s">
        <v>78</v>
      </c>
      <c r="CU10" s="1184"/>
      <c r="CV10" s="1111"/>
      <c r="CW10" s="1185"/>
      <c r="CX10" s="1128"/>
      <c r="CY10" s="1193" t="s">
        <v>78</v>
      </c>
      <c r="CZ10" s="1184"/>
      <c r="DA10" s="1111"/>
      <c r="DB10" s="1185"/>
      <c r="DC10" s="1128"/>
      <c r="DD10" s="1193" t="s">
        <v>78</v>
      </c>
      <c r="DE10" s="1184"/>
      <c r="DF10" s="1111"/>
      <c r="DG10" s="1185"/>
      <c r="DH10" s="1128"/>
      <c r="DI10" s="1193" t="s">
        <v>78</v>
      </c>
      <c r="DJ10" s="1184"/>
      <c r="DK10" s="1111"/>
      <c r="DL10" s="1185"/>
      <c r="DM10" s="1128"/>
      <c r="DN10" s="1193" t="s">
        <v>78</v>
      </c>
      <c r="DO10" s="1184"/>
      <c r="DP10" s="1111"/>
      <c r="DQ10" s="1185"/>
      <c r="DR10" s="1128"/>
      <c r="DS10" s="1193" t="s">
        <v>78</v>
      </c>
      <c r="DT10" s="1184"/>
      <c r="DU10" s="1111"/>
      <c r="DV10" s="1185"/>
      <c r="DW10" s="1128"/>
      <c r="DX10" s="1193" t="s">
        <v>78</v>
      </c>
      <c r="DY10" s="1184"/>
      <c r="DZ10" s="1111"/>
      <c r="EA10" s="1185"/>
      <c r="EB10" s="1128"/>
      <c r="EC10" s="1193" t="s">
        <v>78</v>
      </c>
      <c r="ED10" s="1184"/>
      <c r="EE10" s="1111"/>
      <c r="EF10" s="1185"/>
      <c r="EG10" s="1128"/>
      <c r="EH10" s="1193" t="s">
        <v>78</v>
      </c>
      <c r="EI10" s="1184"/>
      <c r="EJ10" s="1111"/>
      <c r="EK10" s="1185"/>
      <c r="EL10" s="1128"/>
      <c r="EM10" s="1194" t="s">
        <v>333</v>
      </c>
      <c r="EN10" s="1195"/>
      <c r="EO10" s="1196"/>
      <c r="EP10" s="1197"/>
      <c r="EQ10" s="1198"/>
      <c r="ER10" s="1214">
        <f>SUM(EN10:EQ10)*150</f>
        <v>0</v>
      </c>
      <c r="ES10" s="1199" t="s">
        <v>338</v>
      </c>
      <c r="ET10" s="1195"/>
      <c r="EU10" s="1196"/>
      <c r="EV10" s="1197"/>
      <c r="EW10" s="1198"/>
    </row>
    <row r="11" spans="1:155" s="8" customFormat="1" ht="15" customHeight="1" thickBot="1">
      <c r="A11" s="1598"/>
      <c r="B11" s="1135" t="s">
        <v>523</v>
      </c>
      <c r="C11" s="1134">
        <v>0</v>
      </c>
      <c r="D11" s="1065"/>
      <c r="E11" s="1108" t="s">
        <v>79</v>
      </c>
      <c r="F11" s="1184"/>
      <c r="G11" s="1111"/>
      <c r="H11" s="1185"/>
      <c r="I11" s="1065"/>
      <c r="J11" s="1108" t="s">
        <v>79</v>
      </c>
      <c r="K11" s="1109"/>
      <c r="L11" s="1065"/>
      <c r="M11" s="1125" t="s">
        <v>79</v>
      </c>
      <c r="N11" s="1184"/>
      <c r="O11" s="1111"/>
      <c r="P11" s="1185"/>
      <c r="Q11" s="1065"/>
      <c r="R11" s="1125" t="s">
        <v>79</v>
      </c>
      <c r="S11" s="1184"/>
      <c r="T11" s="1111"/>
      <c r="U11" s="1185"/>
      <c r="V11" s="1112"/>
      <c r="W11" s="1125" t="s">
        <v>79</v>
      </c>
      <c r="X11" s="1184"/>
      <c r="Y11" s="1111"/>
      <c r="Z11" s="1185"/>
      <c r="AA11" s="1112"/>
      <c r="AB11" s="1125" t="s">
        <v>79</v>
      </c>
      <c r="AC11" s="1184"/>
      <c r="AD11" s="1111"/>
      <c r="AE11" s="1185"/>
      <c r="AF11" s="1114"/>
      <c r="AG11" s="1125" t="s">
        <v>79</v>
      </c>
      <c r="AH11" s="1184"/>
      <c r="AI11" s="1111"/>
      <c r="AJ11" s="1185"/>
      <c r="AK11" s="1112"/>
      <c r="AL11" s="1125" t="s">
        <v>79</v>
      </c>
      <c r="AM11" s="1184"/>
      <c r="AN11" s="1111"/>
      <c r="AO11" s="1185"/>
      <c r="AP11" s="1114"/>
      <c r="AQ11" s="1125" t="s">
        <v>79</v>
      </c>
      <c r="AR11" s="1184"/>
      <c r="AS11" s="1111"/>
      <c r="AT11" s="1185"/>
      <c r="AU11" s="1114"/>
      <c r="AV11" s="1125" t="s">
        <v>79</v>
      </c>
      <c r="AW11" s="1184"/>
      <c r="AX11" s="1111"/>
      <c r="AY11" s="1185"/>
      <c r="AZ11" s="1114"/>
      <c r="BA11" s="1125" t="s">
        <v>79</v>
      </c>
      <c r="BB11" s="1184"/>
      <c r="BC11" s="1111"/>
      <c r="BD11" s="1185"/>
      <c r="BE11" s="1114"/>
      <c r="BF11" s="1125" t="s">
        <v>79</v>
      </c>
      <c r="BG11" s="1184"/>
      <c r="BH11" s="1111"/>
      <c r="BI11" s="1185"/>
      <c r="BJ11" s="1573"/>
      <c r="BK11" s="1125" t="s">
        <v>79</v>
      </c>
      <c r="BL11" s="1184"/>
      <c r="BM11" s="1111"/>
      <c r="BN11" s="1185"/>
      <c r="BO11" s="1067"/>
      <c r="BP11" s="1125" t="s">
        <v>79</v>
      </c>
      <c r="BQ11" s="1184"/>
      <c r="BR11" s="1111"/>
      <c r="BS11" s="1185"/>
      <c r="BT11" s="1067"/>
      <c r="BU11" s="1125" t="s">
        <v>79</v>
      </c>
      <c r="BV11" s="1184"/>
      <c r="BW11" s="1111"/>
      <c r="BX11" s="1185"/>
      <c r="BY11" s="1128"/>
      <c r="BZ11" s="1125" t="s">
        <v>79</v>
      </c>
      <c r="CA11" s="1184"/>
      <c r="CB11" s="1111"/>
      <c r="CC11" s="1185"/>
      <c r="CD11" s="1114"/>
      <c r="CE11" s="1125" t="s">
        <v>79</v>
      </c>
      <c r="CF11" s="1184"/>
      <c r="CG11" s="1111"/>
      <c r="CH11" s="1185"/>
      <c r="CI11" s="1128"/>
      <c r="CJ11" s="1125" t="s">
        <v>79</v>
      </c>
      <c r="CK11" s="1110"/>
      <c r="CL11" s="1111"/>
      <c r="CM11" s="1185"/>
      <c r="CN11" s="1114"/>
      <c r="CO11" s="1125" t="s">
        <v>79</v>
      </c>
      <c r="CP11" s="1110"/>
      <c r="CQ11" s="1111"/>
      <c r="CR11" s="1185"/>
      <c r="CS11" s="1128"/>
      <c r="CT11" s="1125" t="s">
        <v>79</v>
      </c>
      <c r="CU11" s="1184"/>
      <c r="CV11" s="1111"/>
      <c r="CW11" s="1185"/>
      <c r="CX11" s="1128"/>
      <c r="CY11" s="1125" t="s">
        <v>79</v>
      </c>
      <c r="CZ11" s="1184"/>
      <c r="DA11" s="1111"/>
      <c r="DB11" s="1185"/>
      <c r="DC11" s="1128"/>
      <c r="DD11" s="1125" t="s">
        <v>79</v>
      </c>
      <c r="DE11" s="1184"/>
      <c r="DF11" s="1111"/>
      <c r="DG11" s="1185"/>
      <c r="DH11" s="1128"/>
      <c r="DI11" s="1125" t="s">
        <v>79</v>
      </c>
      <c r="DJ11" s="1184"/>
      <c r="DK11" s="1111"/>
      <c r="DL11" s="1185"/>
      <c r="DM11" s="1128"/>
      <c r="DN11" s="1125" t="s">
        <v>79</v>
      </c>
      <c r="DO11" s="1184"/>
      <c r="DP11" s="1111"/>
      <c r="DQ11" s="1185"/>
      <c r="DR11" s="1128"/>
      <c r="DS11" s="1125" t="s">
        <v>79</v>
      </c>
      <c r="DT11" s="1184"/>
      <c r="DU11" s="1111"/>
      <c r="DV11" s="1185"/>
      <c r="DW11" s="1128"/>
      <c r="DX11" s="1125" t="s">
        <v>79</v>
      </c>
      <c r="DY11" s="1184"/>
      <c r="DZ11" s="1111"/>
      <c r="EA11" s="1185"/>
      <c r="EB11" s="1128"/>
      <c r="EC11" s="1125" t="s">
        <v>79</v>
      </c>
      <c r="ED11" s="1184"/>
      <c r="EE11" s="1111"/>
      <c r="EF11" s="1185"/>
      <c r="EG11" s="1128"/>
      <c r="EH11" s="1125" t="s">
        <v>79</v>
      </c>
      <c r="EI11" s="1184"/>
      <c r="EJ11" s="1111"/>
      <c r="EK11" s="1185"/>
      <c r="EL11" s="1128"/>
      <c r="EM11" s="1187" t="s">
        <v>334</v>
      </c>
      <c r="EN11" s="1195"/>
      <c r="EO11" s="1196"/>
      <c r="EP11" s="1197"/>
      <c r="EQ11" s="1198"/>
      <c r="ER11" s="1214">
        <f>SUM(EN11:EQ11)*225</f>
        <v>0</v>
      </c>
      <c r="ES11" s="1201" t="s">
        <v>339</v>
      </c>
      <c r="ET11" s="1195"/>
      <c r="EU11" s="1196"/>
      <c r="EV11" s="1197"/>
      <c r="EW11" s="1198"/>
    </row>
    <row r="12" spans="1:155" s="8" customFormat="1" ht="15" customHeight="1" thickBot="1">
      <c r="A12" s="1598"/>
      <c r="B12" s="1113" t="s">
        <v>1802</v>
      </c>
      <c r="C12" s="1134">
        <v>0</v>
      </c>
      <c r="D12" s="1065"/>
      <c r="E12" s="1125" t="s">
        <v>80</v>
      </c>
      <c r="F12" s="1184"/>
      <c r="G12" s="1111"/>
      <c r="H12" s="1185"/>
      <c r="I12" s="1065"/>
      <c r="J12" s="1125" t="s">
        <v>80</v>
      </c>
      <c r="K12" s="1109"/>
      <c r="L12" s="1065"/>
      <c r="M12" s="1193" t="s">
        <v>80</v>
      </c>
      <c r="N12" s="1184"/>
      <c r="O12" s="1111"/>
      <c r="P12" s="1185"/>
      <c r="Q12" s="1065"/>
      <c r="R12" s="1193" t="s">
        <v>80</v>
      </c>
      <c r="S12" s="1184"/>
      <c r="T12" s="1111"/>
      <c r="U12" s="1185"/>
      <c r="V12" s="1112"/>
      <c r="W12" s="1193" t="s">
        <v>80</v>
      </c>
      <c r="X12" s="1184"/>
      <c r="Y12" s="1111"/>
      <c r="Z12" s="1185"/>
      <c r="AA12" s="1112"/>
      <c r="AB12" s="1193" t="s">
        <v>80</v>
      </c>
      <c r="AC12" s="1184"/>
      <c r="AD12" s="1111"/>
      <c r="AE12" s="1185"/>
      <c r="AF12" s="1114"/>
      <c r="AG12" s="1193" t="s">
        <v>80</v>
      </c>
      <c r="AH12" s="1184"/>
      <c r="AI12" s="1111"/>
      <c r="AJ12" s="1185"/>
      <c r="AK12" s="1112"/>
      <c r="AL12" s="1193" t="s">
        <v>80</v>
      </c>
      <c r="AM12" s="1184"/>
      <c r="AN12" s="1111"/>
      <c r="AO12" s="1185"/>
      <c r="AP12" s="1114"/>
      <c r="AQ12" s="1193" t="s">
        <v>80</v>
      </c>
      <c r="AR12" s="1184"/>
      <c r="AS12" s="1111"/>
      <c r="AT12" s="1185"/>
      <c r="AU12" s="1114"/>
      <c r="AV12" s="1193" t="s">
        <v>80</v>
      </c>
      <c r="AW12" s="1184"/>
      <c r="AX12" s="1111"/>
      <c r="AY12" s="1185"/>
      <c r="AZ12" s="1114"/>
      <c r="BA12" s="1193" t="s">
        <v>80</v>
      </c>
      <c r="BB12" s="1184"/>
      <c r="BC12" s="1111"/>
      <c r="BD12" s="1185"/>
      <c r="BE12" s="1114"/>
      <c r="BF12" s="1193" t="s">
        <v>80</v>
      </c>
      <c r="BG12" s="1184"/>
      <c r="BH12" s="1111"/>
      <c r="BI12" s="1185"/>
      <c r="BJ12" s="1573"/>
      <c r="BK12" s="1193" t="s">
        <v>80</v>
      </c>
      <c r="BL12" s="1184"/>
      <c r="BM12" s="1111"/>
      <c r="BN12" s="1185"/>
      <c r="BO12" s="1067"/>
      <c r="BP12" s="1193" t="s">
        <v>80</v>
      </c>
      <c r="BQ12" s="1184"/>
      <c r="BR12" s="1111"/>
      <c r="BS12" s="1185"/>
      <c r="BT12" s="1067"/>
      <c r="BU12" s="1193" t="s">
        <v>80</v>
      </c>
      <c r="BV12" s="1184"/>
      <c r="BW12" s="1111"/>
      <c r="BX12" s="1185"/>
      <c r="BY12" s="1128"/>
      <c r="BZ12" s="1193" t="s">
        <v>80</v>
      </c>
      <c r="CA12" s="1184"/>
      <c r="CB12" s="1111"/>
      <c r="CC12" s="1185"/>
      <c r="CD12" s="1114"/>
      <c r="CE12" s="1193" t="s">
        <v>80</v>
      </c>
      <c r="CF12" s="1184"/>
      <c r="CG12" s="1111"/>
      <c r="CH12" s="1185"/>
      <c r="CI12" s="1128"/>
      <c r="CJ12" s="1193" t="s">
        <v>80</v>
      </c>
      <c r="CK12" s="1110"/>
      <c r="CL12" s="1111"/>
      <c r="CM12" s="1185"/>
      <c r="CN12" s="1114"/>
      <c r="CO12" s="1193" t="s">
        <v>80</v>
      </c>
      <c r="CP12" s="1110"/>
      <c r="CQ12" s="1111"/>
      <c r="CR12" s="1185"/>
      <c r="CS12" s="1128"/>
      <c r="CT12" s="1193" t="s">
        <v>80</v>
      </c>
      <c r="CU12" s="1184"/>
      <c r="CV12" s="1111"/>
      <c r="CW12" s="1185"/>
      <c r="CX12" s="1128"/>
      <c r="CY12" s="1193" t="s">
        <v>80</v>
      </c>
      <c r="CZ12" s="1184"/>
      <c r="DA12" s="1111"/>
      <c r="DB12" s="1185"/>
      <c r="DC12" s="1128"/>
      <c r="DD12" s="1193" t="s">
        <v>80</v>
      </c>
      <c r="DE12" s="1184"/>
      <c r="DF12" s="1111"/>
      <c r="DG12" s="1185"/>
      <c r="DH12" s="1128"/>
      <c r="DI12" s="1193" t="s">
        <v>80</v>
      </c>
      <c r="DJ12" s="1184"/>
      <c r="DK12" s="1111"/>
      <c r="DL12" s="1185"/>
      <c r="DM12" s="1128"/>
      <c r="DN12" s="1193" t="s">
        <v>80</v>
      </c>
      <c r="DO12" s="1184"/>
      <c r="DP12" s="1111"/>
      <c r="DQ12" s="1185"/>
      <c r="DR12" s="1128"/>
      <c r="DS12" s="1193" t="s">
        <v>80</v>
      </c>
      <c r="DT12" s="1184"/>
      <c r="DU12" s="1111"/>
      <c r="DV12" s="1185"/>
      <c r="DW12" s="1128"/>
      <c r="DX12" s="1193" t="s">
        <v>80</v>
      </c>
      <c r="DY12" s="1184"/>
      <c r="DZ12" s="1111"/>
      <c r="EA12" s="1185"/>
      <c r="EB12" s="1128"/>
      <c r="EC12" s="1193" t="s">
        <v>80</v>
      </c>
      <c r="ED12" s="1184"/>
      <c r="EE12" s="1111"/>
      <c r="EF12" s="1185"/>
      <c r="EG12" s="1128"/>
      <c r="EH12" s="1193" t="s">
        <v>80</v>
      </c>
      <c r="EI12" s="1184"/>
      <c r="EJ12" s="1111"/>
      <c r="EK12" s="1185"/>
      <c r="EL12" s="1128"/>
      <c r="EM12" s="1194" t="s">
        <v>335</v>
      </c>
      <c r="EN12" s="1195"/>
      <c r="EO12" s="1196"/>
      <c r="EP12" s="1197"/>
      <c r="EQ12" s="1198"/>
      <c r="ER12" s="1214">
        <f>SUM(EN12:EQ12)*300</f>
        <v>0</v>
      </c>
      <c r="ES12" s="1199" t="s">
        <v>340</v>
      </c>
      <c r="ET12" s="1195"/>
      <c r="EU12" s="1196"/>
      <c r="EV12" s="1197"/>
      <c r="EW12" s="1198"/>
    </row>
    <row r="13" spans="1:155" s="8" customFormat="1" ht="15" customHeight="1" thickBot="1">
      <c r="A13" s="1598"/>
      <c r="B13" s="1496" t="s">
        <v>1803</v>
      </c>
      <c r="C13" s="1134">
        <v>0</v>
      </c>
      <c r="D13" s="1065"/>
      <c r="E13" s="1108" t="s">
        <v>81</v>
      </c>
      <c r="F13" s="1184"/>
      <c r="G13" s="1111"/>
      <c r="H13" s="1185"/>
      <c r="I13" s="1065"/>
      <c r="J13" s="1108" t="s">
        <v>81</v>
      </c>
      <c r="K13" s="1109"/>
      <c r="L13" s="1065"/>
      <c r="M13" s="1125" t="s">
        <v>81</v>
      </c>
      <c r="N13" s="1184"/>
      <c r="O13" s="1111"/>
      <c r="P13" s="1185"/>
      <c r="Q13" s="1065"/>
      <c r="R13" s="1125" t="s">
        <v>81</v>
      </c>
      <c r="S13" s="1184"/>
      <c r="T13" s="1111"/>
      <c r="U13" s="1185"/>
      <c r="V13" s="1112"/>
      <c r="W13" s="1125" t="s">
        <v>81</v>
      </c>
      <c r="X13" s="1184"/>
      <c r="Y13" s="1111"/>
      <c r="Z13" s="1185"/>
      <c r="AA13" s="1112"/>
      <c r="AB13" s="1125" t="s">
        <v>81</v>
      </c>
      <c r="AC13" s="1184"/>
      <c r="AD13" s="1111"/>
      <c r="AE13" s="1185"/>
      <c r="AF13" s="1114"/>
      <c r="AG13" s="1125" t="s">
        <v>81</v>
      </c>
      <c r="AH13" s="1184"/>
      <c r="AI13" s="1111"/>
      <c r="AJ13" s="1185"/>
      <c r="AK13" s="1112"/>
      <c r="AL13" s="1125" t="s">
        <v>81</v>
      </c>
      <c r="AM13" s="1184"/>
      <c r="AN13" s="1111"/>
      <c r="AO13" s="1185"/>
      <c r="AP13" s="1114"/>
      <c r="AQ13" s="1125" t="s">
        <v>81</v>
      </c>
      <c r="AR13" s="1184"/>
      <c r="AS13" s="1111"/>
      <c r="AT13" s="1185"/>
      <c r="AU13" s="1114"/>
      <c r="AV13" s="1125" t="s">
        <v>81</v>
      </c>
      <c r="AW13" s="1184"/>
      <c r="AX13" s="1111"/>
      <c r="AY13" s="1185"/>
      <c r="AZ13" s="1114"/>
      <c r="BA13" s="1125" t="s">
        <v>81</v>
      </c>
      <c r="BB13" s="1184"/>
      <c r="BC13" s="1111"/>
      <c r="BD13" s="1185"/>
      <c r="BE13" s="1114"/>
      <c r="BF13" s="1125" t="s">
        <v>81</v>
      </c>
      <c r="BG13" s="1184"/>
      <c r="BH13" s="1111"/>
      <c r="BI13" s="1185"/>
      <c r="BJ13" s="1573"/>
      <c r="BK13" s="1125" t="s">
        <v>81</v>
      </c>
      <c r="BL13" s="1184"/>
      <c r="BM13" s="1111"/>
      <c r="BN13" s="1185"/>
      <c r="BO13" s="1067"/>
      <c r="BP13" s="1125" t="s">
        <v>81</v>
      </c>
      <c r="BQ13" s="1184"/>
      <c r="BR13" s="1111"/>
      <c r="BS13" s="1185"/>
      <c r="BT13" s="1067"/>
      <c r="BU13" s="1125" t="s">
        <v>81</v>
      </c>
      <c r="BV13" s="1184"/>
      <c r="BW13" s="1111"/>
      <c r="BX13" s="1185"/>
      <c r="BY13" s="1128"/>
      <c r="BZ13" s="1125" t="s">
        <v>81</v>
      </c>
      <c r="CA13" s="1184"/>
      <c r="CB13" s="1111"/>
      <c r="CC13" s="1185"/>
      <c r="CD13" s="1114"/>
      <c r="CE13" s="1125" t="s">
        <v>81</v>
      </c>
      <c r="CF13" s="1184"/>
      <c r="CG13" s="1111"/>
      <c r="CH13" s="1185"/>
      <c r="CI13" s="1128"/>
      <c r="CJ13" s="1125" t="s">
        <v>81</v>
      </c>
      <c r="CK13" s="1110"/>
      <c r="CL13" s="1111"/>
      <c r="CM13" s="1185"/>
      <c r="CN13" s="1114"/>
      <c r="CO13" s="1125" t="s">
        <v>81</v>
      </c>
      <c r="CP13" s="1110"/>
      <c r="CQ13" s="1111"/>
      <c r="CR13" s="1185"/>
      <c r="CS13" s="1128"/>
      <c r="CT13" s="1125" t="s">
        <v>81</v>
      </c>
      <c r="CU13" s="1184"/>
      <c r="CV13" s="1111"/>
      <c r="CW13" s="1185"/>
      <c r="CX13" s="1128"/>
      <c r="CY13" s="1125" t="s">
        <v>81</v>
      </c>
      <c r="CZ13" s="1184"/>
      <c r="DA13" s="1111"/>
      <c r="DB13" s="1185"/>
      <c r="DC13" s="1128"/>
      <c r="DD13" s="1125" t="s">
        <v>81</v>
      </c>
      <c r="DE13" s="1184"/>
      <c r="DF13" s="1111"/>
      <c r="DG13" s="1185"/>
      <c r="DH13" s="1128"/>
      <c r="DI13" s="1125" t="s">
        <v>81</v>
      </c>
      <c r="DJ13" s="1184"/>
      <c r="DK13" s="1111"/>
      <c r="DL13" s="1185"/>
      <c r="DM13" s="1128"/>
      <c r="DN13" s="1125" t="s">
        <v>81</v>
      </c>
      <c r="DO13" s="1184"/>
      <c r="DP13" s="1111"/>
      <c r="DQ13" s="1185"/>
      <c r="DR13" s="1128"/>
      <c r="DS13" s="1125" t="s">
        <v>81</v>
      </c>
      <c r="DT13" s="1184"/>
      <c r="DU13" s="1111"/>
      <c r="DV13" s="1185"/>
      <c r="DW13" s="1128"/>
      <c r="DX13" s="1125" t="s">
        <v>81</v>
      </c>
      <c r="DY13" s="1184"/>
      <c r="DZ13" s="1111"/>
      <c r="EA13" s="1185"/>
      <c r="EB13" s="1128"/>
      <c r="EC13" s="1125" t="s">
        <v>81</v>
      </c>
      <c r="ED13" s="1184"/>
      <c r="EE13" s="1111"/>
      <c r="EF13" s="1185"/>
      <c r="EG13" s="1128"/>
      <c r="EH13" s="1125" t="s">
        <v>81</v>
      </c>
      <c r="EI13" s="1184"/>
      <c r="EJ13" s="1111"/>
      <c r="EK13" s="1185"/>
      <c r="EL13" s="1128"/>
      <c r="EM13" s="1202"/>
      <c r="EN13" s="1195"/>
      <c r="EO13" s="1196"/>
      <c r="EP13" s="1197"/>
      <c r="EQ13" s="1198"/>
      <c r="ER13" s="31">
        <f>H2</f>
        <v>0</v>
      </c>
      <c r="ES13" s="1201"/>
      <c r="ET13" s="1195"/>
      <c r="EU13" s="1196"/>
      <c r="EV13" s="1197"/>
      <c r="EW13" s="1198"/>
    </row>
    <row r="14" spans="1:155" s="8" customFormat="1" ht="15" customHeight="1" thickBot="1">
      <c r="A14" s="1598"/>
      <c r="B14" s="1113" t="s">
        <v>178</v>
      </c>
      <c r="C14" s="1134">
        <v>0</v>
      </c>
      <c r="D14" s="1065"/>
      <c r="E14" s="1125" t="s">
        <v>82</v>
      </c>
      <c r="F14" s="1184"/>
      <c r="G14" s="1111"/>
      <c r="H14" s="1185"/>
      <c r="I14" s="1065"/>
      <c r="J14" s="1125" t="s">
        <v>82</v>
      </c>
      <c r="K14" s="1109"/>
      <c r="L14" s="1065"/>
      <c r="M14" s="1193" t="s">
        <v>82</v>
      </c>
      <c r="N14" s="1184"/>
      <c r="O14" s="1111"/>
      <c r="P14" s="1185"/>
      <c r="Q14" s="1065"/>
      <c r="R14" s="1193" t="s">
        <v>82</v>
      </c>
      <c r="S14" s="1184"/>
      <c r="T14" s="1111"/>
      <c r="U14" s="1185"/>
      <c r="V14" s="1112"/>
      <c r="W14" s="1193" t="s">
        <v>82</v>
      </c>
      <c r="X14" s="1184"/>
      <c r="Y14" s="1111"/>
      <c r="Z14" s="1185"/>
      <c r="AA14" s="1112"/>
      <c r="AB14" s="1193" t="s">
        <v>82</v>
      </c>
      <c r="AC14" s="1184"/>
      <c r="AD14" s="1111"/>
      <c r="AE14" s="1185"/>
      <c r="AF14" s="1114"/>
      <c r="AG14" s="1193" t="s">
        <v>82</v>
      </c>
      <c r="AH14" s="1184"/>
      <c r="AI14" s="1111"/>
      <c r="AJ14" s="1185"/>
      <c r="AK14" s="1112"/>
      <c r="AL14" s="1193" t="s">
        <v>82</v>
      </c>
      <c r="AM14" s="1184"/>
      <c r="AN14" s="1111"/>
      <c r="AO14" s="1185"/>
      <c r="AP14" s="1114"/>
      <c r="AQ14" s="1193" t="s">
        <v>82</v>
      </c>
      <c r="AR14" s="1184"/>
      <c r="AS14" s="1111"/>
      <c r="AT14" s="1185"/>
      <c r="AU14" s="1114"/>
      <c r="AV14" s="1193" t="s">
        <v>82</v>
      </c>
      <c r="AW14" s="1184"/>
      <c r="AX14" s="1111"/>
      <c r="AY14" s="1185"/>
      <c r="AZ14" s="1114"/>
      <c r="BA14" s="1193" t="s">
        <v>82</v>
      </c>
      <c r="BB14" s="1184"/>
      <c r="BC14" s="1111"/>
      <c r="BD14" s="1185"/>
      <c r="BE14" s="1114"/>
      <c r="BF14" s="1193" t="s">
        <v>82</v>
      </c>
      <c r="BG14" s="1184"/>
      <c r="BH14" s="1111"/>
      <c r="BI14" s="1185"/>
      <c r="BJ14" s="1573"/>
      <c r="BK14" s="1193" t="s">
        <v>82</v>
      </c>
      <c r="BL14" s="1184"/>
      <c r="BM14" s="1111"/>
      <c r="BN14" s="1185"/>
      <c r="BO14" s="1067"/>
      <c r="BP14" s="1193" t="s">
        <v>82</v>
      </c>
      <c r="BQ14" s="1184"/>
      <c r="BR14" s="1111"/>
      <c r="BS14" s="1185"/>
      <c r="BT14" s="1067"/>
      <c r="BU14" s="1193" t="s">
        <v>82</v>
      </c>
      <c r="BV14" s="1184"/>
      <c r="BW14" s="1111"/>
      <c r="BX14" s="1185"/>
      <c r="BY14" s="1128"/>
      <c r="BZ14" s="1193" t="s">
        <v>82</v>
      </c>
      <c r="CA14" s="1184"/>
      <c r="CB14" s="1111"/>
      <c r="CC14" s="1185"/>
      <c r="CD14" s="1114"/>
      <c r="CE14" s="1193" t="s">
        <v>82</v>
      </c>
      <c r="CF14" s="1203"/>
      <c r="CG14" s="1111"/>
      <c r="CH14" s="1185"/>
      <c r="CI14" s="1128"/>
      <c r="CJ14" s="1193" t="s">
        <v>82</v>
      </c>
      <c r="CK14" s="1110"/>
      <c r="CL14" s="1111"/>
      <c r="CM14" s="1185"/>
      <c r="CN14" s="1114"/>
      <c r="CO14" s="1193" t="s">
        <v>82</v>
      </c>
      <c r="CP14" s="1110"/>
      <c r="CQ14" s="1111"/>
      <c r="CR14" s="1185"/>
      <c r="CS14" s="1128"/>
      <c r="CT14" s="1193" t="s">
        <v>82</v>
      </c>
      <c r="CU14" s="1184"/>
      <c r="CV14" s="1111"/>
      <c r="CW14" s="1185"/>
      <c r="CX14" s="1128"/>
      <c r="CY14" s="1193" t="s">
        <v>82</v>
      </c>
      <c r="CZ14" s="1184"/>
      <c r="DA14" s="1111"/>
      <c r="DB14" s="1185"/>
      <c r="DC14" s="1128"/>
      <c r="DD14" s="1193" t="s">
        <v>82</v>
      </c>
      <c r="DE14" s="1184"/>
      <c r="DF14" s="1111"/>
      <c r="DG14" s="1185"/>
      <c r="DH14" s="1128"/>
      <c r="DI14" s="1193" t="s">
        <v>82</v>
      </c>
      <c r="DJ14" s="1184"/>
      <c r="DK14" s="1111"/>
      <c r="DL14" s="1185"/>
      <c r="DM14" s="1128"/>
      <c r="DN14" s="1193" t="s">
        <v>82</v>
      </c>
      <c r="DO14" s="1184"/>
      <c r="DP14" s="1111"/>
      <c r="DQ14" s="1185"/>
      <c r="DR14" s="1128"/>
      <c r="DS14" s="1193" t="s">
        <v>82</v>
      </c>
      <c r="DT14" s="1184"/>
      <c r="DU14" s="1111"/>
      <c r="DV14" s="1185"/>
      <c r="DW14" s="1128"/>
      <c r="DX14" s="1193" t="s">
        <v>82</v>
      </c>
      <c r="DY14" s="1184"/>
      <c r="DZ14" s="1111"/>
      <c r="EA14" s="1185"/>
      <c r="EB14" s="1128"/>
      <c r="EC14" s="1193" t="s">
        <v>82</v>
      </c>
      <c r="ED14" s="1184"/>
      <c r="EE14" s="1111"/>
      <c r="EF14" s="1185"/>
      <c r="EG14" s="1128"/>
      <c r="EH14" s="1193" t="s">
        <v>82</v>
      </c>
      <c r="EI14" s="1184"/>
      <c r="EJ14" s="1111"/>
      <c r="EK14" s="1185"/>
      <c r="EL14" s="1128"/>
      <c r="EM14" s="1204"/>
      <c r="EN14" s="1195"/>
      <c r="EO14" s="1196"/>
      <c r="EP14" s="1197"/>
      <c r="EQ14" s="1198"/>
      <c r="ER14" s="31"/>
      <c r="ES14" s="1199"/>
      <c r="ET14" s="1195"/>
      <c r="EU14" s="1196"/>
      <c r="EV14" s="1197"/>
      <c r="EW14" s="1198"/>
    </row>
    <row r="15" spans="1:155" s="8" customFormat="1" ht="15" customHeight="1" thickBot="1">
      <c r="A15" s="1598"/>
      <c r="B15" s="1623"/>
      <c r="C15" s="1624"/>
      <c r="D15" s="1065"/>
      <c r="E15" s="1108" t="s">
        <v>83</v>
      </c>
      <c r="F15" s="1184"/>
      <c r="G15" s="1111"/>
      <c r="H15" s="1185"/>
      <c r="I15" s="1065"/>
      <c r="J15" s="1108" t="s">
        <v>83</v>
      </c>
      <c r="K15" s="1109"/>
      <c r="L15" s="1065"/>
      <c r="M15" s="1125" t="s">
        <v>83</v>
      </c>
      <c r="N15" s="1184"/>
      <c r="O15" s="1111"/>
      <c r="P15" s="1185"/>
      <c r="Q15" s="1065"/>
      <c r="R15" s="1125" t="s">
        <v>83</v>
      </c>
      <c r="S15" s="1184"/>
      <c r="T15" s="1111"/>
      <c r="U15" s="1185"/>
      <c r="V15" s="1112"/>
      <c r="W15" s="1125" t="s">
        <v>83</v>
      </c>
      <c r="X15" s="1184"/>
      <c r="Y15" s="1111"/>
      <c r="Z15" s="1185"/>
      <c r="AA15" s="1112"/>
      <c r="AB15" s="1125" t="s">
        <v>83</v>
      </c>
      <c r="AC15" s="1184"/>
      <c r="AD15" s="1111"/>
      <c r="AE15" s="1185"/>
      <c r="AF15" s="1114"/>
      <c r="AG15" s="1125" t="s">
        <v>83</v>
      </c>
      <c r="AH15" s="1184"/>
      <c r="AI15" s="1111"/>
      <c r="AJ15" s="1185"/>
      <c r="AK15" s="1112"/>
      <c r="AL15" s="1125" t="s">
        <v>83</v>
      </c>
      <c r="AM15" s="1184"/>
      <c r="AN15" s="1111"/>
      <c r="AO15" s="1185"/>
      <c r="AP15" s="1114"/>
      <c r="AQ15" s="1125" t="s">
        <v>83</v>
      </c>
      <c r="AR15" s="1184"/>
      <c r="AS15" s="1111"/>
      <c r="AT15" s="1185"/>
      <c r="AU15" s="1114"/>
      <c r="AV15" s="1125" t="s">
        <v>83</v>
      </c>
      <c r="AW15" s="1184"/>
      <c r="AX15" s="1111"/>
      <c r="AY15" s="1185"/>
      <c r="AZ15" s="1114"/>
      <c r="BA15" s="1125" t="s">
        <v>83</v>
      </c>
      <c r="BB15" s="1184"/>
      <c r="BC15" s="1111"/>
      <c r="BD15" s="1185"/>
      <c r="BE15" s="1114"/>
      <c r="BF15" s="1125" t="s">
        <v>83</v>
      </c>
      <c r="BG15" s="1184"/>
      <c r="BH15" s="1111"/>
      <c r="BI15" s="1185"/>
      <c r="BJ15" s="1573"/>
      <c r="BK15" s="1125" t="s">
        <v>83</v>
      </c>
      <c r="BL15" s="1184"/>
      <c r="BM15" s="1111"/>
      <c r="BN15" s="1185"/>
      <c r="BO15" s="1067"/>
      <c r="BP15" s="1125" t="s">
        <v>83</v>
      </c>
      <c r="BQ15" s="1184"/>
      <c r="BR15" s="1111"/>
      <c r="BS15" s="1185"/>
      <c r="BT15" s="1067"/>
      <c r="BU15" s="1125" t="s">
        <v>83</v>
      </c>
      <c r="BV15" s="1184"/>
      <c r="BW15" s="1111"/>
      <c r="BX15" s="1185"/>
      <c r="BY15" s="1128"/>
      <c r="BZ15" s="1125" t="s">
        <v>83</v>
      </c>
      <c r="CA15" s="1184"/>
      <c r="CB15" s="1111"/>
      <c r="CC15" s="1185"/>
      <c r="CD15" s="1114"/>
      <c r="CE15" s="1125" t="s">
        <v>83</v>
      </c>
      <c r="CF15" s="1184"/>
      <c r="CG15" s="1111"/>
      <c r="CH15" s="1185"/>
      <c r="CI15" s="1128"/>
      <c r="CJ15" s="1125" t="s">
        <v>83</v>
      </c>
      <c r="CK15" s="1110"/>
      <c r="CL15" s="1111"/>
      <c r="CM15" s="1185"/>
      <c r="CN15" s="1114"/>
      <c r="CO15" s="1125" t="s">
        <v>83</v>
      </c>
      <c r="CP15" s="1110"/>
      <c r="CQ15" s="1111"/>
      <c r="CR15" s="1185"/>
      <c r="CS15" s="1128"/>
      <c r="CT15" s="1125" t="s">
        <v>83</v>
      </c>
      <c r="CU15" s="1184"/>
      <c r="CV15" s="1111"/>
      <c r="CW15" s="1185"/>
      <c r="CX15" s="1128"/>
      <c r="CY15" s="1125" t="s">
        <v>83</v>
      </c>
      <c r="CZ15" s="1184"/>
      <c r="DA15" s="1111"/>
      <c r="DB15" s="1185"/>
      <c r="DC15" s="1128"/>
      <c r="DD15" s="1125" t="s">
        <v>83</v>
      </c>
      <c r="DE15" s="1184"/>
      <c r="DF15" s="1111"/>
      <c r="DG15" s="1185"/>
      <c r="DH15" s="1128"/>
      <c r="DI15" s="1125" t="s">
        <v>83</v>
      </c>
      <c r="DJ15" s="1184"/>
      <c r="DK15" s="1111"/>
      <c r="DL15" s="1185"/>
      <c r="DM15" s="1128"/>
      <c r="DN15" s="1125" t="s">
        <v>83</v>
      </c>
      <c r="DO15" s="1184"/>
      <c r="DP15" s="1111"/>
      <c r="DQ15" s="1185"/>
      <c r="DR15" s="1128"/>
      <c r="DS15" s="1125" t="s">
        <v>83</v>
      </c>
      <c r="DT15" s="1184"/>
      <c r="DU15" s="1111"/>
      <c r="DV15" s="1185"/>
      <c r="DW15" s="1128"/>
      <c r="DX15" s="1125" t="s">
        <v>83</v>
      </c>
      <c r="DY15" s="1184"/>
      <c r="DZ15" s="1111"/>
      <c r="EA15" s="1185"/>
      <c r="EB15" s="1128"/>
      <c r="EC15" s="1125" t="s">
        <v>83</v>
      </c>
      <c r="ED15" s="1184"/>
      <c r="EE15" s="1111"/>
      <c r="EF15" s="1185"/>
      <c r="EG15" s="1128"/>
      <c r="EH15" s="1125" t="s">
        <v>83</v>
      </c>
      <c r="EI15" s="1184"/>
      <c r="EJ15" s="1111"/>
      <c r="EK15" s="1185"/>
      <c r="EL15" s="1128"/>
      <c r="EM15" s="1202"/>
      <c r="EN15" s="1195"/>
      <c r="EO15" s="1196"/>
      <c r="EP15" s="1197"/>
      <c r="EQ15" s="1198"/>
      <c r="ER15" s="31"/>
      <c r="ES15" s="1201"/>
      <c r="ET15" s="1195"/>
      <c r="EU15" s="1196"/>
      <c r="EV15" s="1197"/>
      <c r="EW15" s="1198"/>
    </row>
    <row r="16" spans="1:155" s="8" customFormat="1" ht="15" customHeight="1" thickBot="1">
      <c r="A16" s="1598"/>
      <c r="B16" s="1113" t="s">
        <v>179</v>
      </c>
      <c r="C16" s="1134">
        <v>0</v>
      </c>
      <c r="D16" s="1065"/>
      <c r="E16" s="1125" t="s">
        <v>85</v>
      </c>
      <c r="F16" s="1184"/>
      <c r="G16" s="1111"/>
      <c r="H16" s="1185"/>
      <c r="I16" s="1065"/>
      <c r="J16" s="1125" t="s">
        <v>85</v>
      </c>
      <c r="K16" s="1109"/>
      <c r="L16" s="1065"/>
      <c r="M16" s="1193" t="s">
        <v>85</v>
      </c>
      <c r="N16" s="1184"/>
      <c r="O16" s="1111"/>
      <c r="P16" s="1185"/>
      <c r="Q16" s="1065"/>
      <c r="R16" s="1193" t="s">
        <v>85</v>
      </c>
      <c r="S16" s="1184"/>
      <c r="T16" s="1111"/>
      <c r="U16" s="1185"/>
      <c r="V16" s="1112"/>
      <c r="W16" s="1193" t="s">
        <v>85</v>
      </c>
      <c r="X16" s="1184"/>
      <c r="Y16" s="1111"/>
      <c r="Z16" s="1185"/>
      <c r="AA16" s="1112"/>
      <c r="AB16" s="1193" t="s">
        <v>85</v>
      </c>
      <c r="AC16" s="1184"/>
      <c r="AD16" s="1111"/>
      <c r="AE16" s="1185"/>
      <c r="AF16" s="1114"/>
      <c r="AG16" s="1193" t="s">
        <v>85</v>
      </c>
      <c r="AH16" s="1184"/>
      <c r="AI16" s="1111"/>
      <c r="AJ16" s="1185"/>
      <c r="AK16" s="1112"/>
      <c r="AL16" s="1193" t="s">
        <v>85</v>
      </c>
      <c r="AM16" s="1184"/>
      <c r="AN16" s="1111"/>
      <c r="AO16" s="1185"/>
      <c r="AP16" s="1114"/>
      <c r="AQ16" s="1193" t="s">
        <v>85</v>
      </c>
      <c r="AR16" s="1184"/>
      <c r="AS16" s="1111"/>
      <c r="AT16" s="1185"/>
      <c r="AU16" s="1114"/>
      <c r="AV16" s="1193" t="s">
        <v>85</v>
      </c>
      <c r="AW16" s="1184"/>
      <c r="AX16" s="1111"/>
      <c r="AY16" s="1185"/>
      <c r="AZ16" s="1114"/>
      <c r="BA16" s="1193" t="s">
        <v>85</v>
      </c>
      <c r="BB16" s="1184"/>
      <c r="BC16" s="1111"/>
      <c r="BD16" s="1185"/>
      <c r="BE16" s="1114"/>
      <c r="BF16" s="1193" t="s">
        <v>85</v>
      </c>
      <c r="BG16" s="1184"/>
      <c r="BH16" s="1111"/>
      <c r="BI16" s="1185"/>
      <c r="BJ16" s="1573"/>
      <c r="BK16" s="1193" t="s">
        <v>85</v>
      </c>
      <c r="BL16" s="1184"/>
      <c r="BM16" s="1111"/>
      <c r="BN16" s="1185"/>
      <c r="BO16" s="1067"/>
      <c r="BP16" s="1193" t="s">
        <v>85</v>
      </c>
      <c r="BQ16" s="1184"/>
      <c r="BR16" s="1111"/>
      <c r="BS16" s="1185"/>
      <c r="BT16" s="1067"/>
      <c r="BU16" s="1193" t="s">
        <v>85</v>
      </c>
      <c r="BV16" s="1184"/>
      <c r="BW16" s="1111"/>
      <c r="BX16" s="1185"/>
      <c r="BY16" s="1128"/>
      <c r="BZ16" s="1193" t="s">
        <v>85</v>
      </c>
      <c r="CA16" s="1184"/>
      <c r="CB16" s="1111"/>
      <c r="CC16" s="1185"/>
      <c r="CD16" s="1114"/>
      <c r="CE16" s="1193" t="s">
        <v>85</v>
      </c>
      <c r="CF16" s="1184"/>
      <c r="CG16" s="1111"/>
      <c r="CH16" s="1185"/>
      <c r="CI16" s="1128"/>
      <c r="CJ16" s="1193" t="s">
        <v>85</v>
      </c>
      <c r="CK16" s="1110"/>
      <c r="CL16" s="1111"/>
      <c r="CM16" s="1185"/>
      <c r="CN16" s="1114"/>
      <c r="CO16" s="1193" t="s">
        <v>85</v>
      </c>
      <c r="CP16" s="1110"/>
      <c r="CQ16" s="1111"/>
      <c r="CR16" s="1185"/>
      <c r="CS16" s="1128"/>
      <c r="CT16" s="1193" t="s">
        <v>85</v>
      </c>
      <c r="CU16" s="1184"/>
      <c r="CV16" s="1111"/>
      <c r="CW16" s="1185"/>
      <c r="CX16" s="1128"/>
      <c r="CY16" s="1193" t="s">
        <v>85</v>
      </c>
      <c r="CZ16" s="1184"/>
      <c r="DA16" s="1111"/>
      <c r="DB16" s="1185"/>
      <c r="DC16" s="1128"/>
      <c r="DD16" s="1193" t="s">
        <v>85</v>
      </c>
      <c r="DE16" s="1184"/>
      <c r="DF16" s="1111"/>
      <c r="DG16" s="1185"/>
      <c r="DH16" s="1128"/>
      <c r="DI16" s="1193" t="s">
        <v>85</v>
      </c>
      <c r="DJ16" s="1184"/>
      <c r="DK16" s="1111"/>
      <c r="DL16" s="1185"/>
      <c r="DM16" s="1128"/>
      <c r="DN16" s="1193" t="s">
        <v>85</v>
      </c>
      <c r="DO16" s="1184"/>
      <c r="DP16" s="1111"/>
      <c r="DQ16" s="1185"/>
      <c r="DR16" s="1128"/>
      <c r="DS16" s="1193" t="s">
        <v>85</v>
      </c>
      <c r="DT16" s="1184"/>
      <c r="DU16" s="1111"/>
      <c r="DV16" s="1185"/>
      <c r="DW16" s="1128"/>
      <c r="DX16" s="1193" t="s">
        <v>85</v>
      </c>
      <c r="DY16" s="1184"/>
      <c r="DZ16" s="1111"/>
      <c r="EA16" s="1185"/>
      <c r="EB16" s="1128"/>
      <c r="EC16" s="1193" t="s">
        <v>85</v>
      </c>
      <c r="ED16" s="1184"/>
      <c r="EE16" s="1111"/>
      <c r="EF16" s="1185"/>
      <c r="EG16" s="1128"/>
      <c r="EH16" s="1193" t="s">
        <v>85</v>
      </c>
      <c r="EI16" s="1184"/>
      <c r="EJ16" s="1111"/>
      <c r="EK16" s="1185"/>
      <c r="EL16" s="1128"/>
      <c r="EM16" s="1204"/>
      <c r="EN16" s="1195"/>
      <c r="EO16" s="1196"/>
      <c r="EP16" s="1197"/>
      <c r="EQ16" s="1198"/>
      <c r="ER16" s="31"/>
      <c r="ES16" s="1215"/>
      <c r="ET16" s="1195"/>
      <c r="EU16" s="1196"/>
      <c r="EV16" s="1197"/>
      <c r="EW16" s="1198"/>
    </row>
    <row r="17" spans="1:153" s="8" customFormat="1" ht="15" customHeight="1" thickBot="1">
      <c r="A17" s="1598"/>
      <c r="B17" s="1623"/>
      <c r="C17" s="1624"/>
      <c r="D17" s="1065"/>
      <c r="E17" s="1108" t="s">
        <v>84</v>
      </c>
      <c r="F17" s="1184"/>
      <c r="G17" s="1111"/>
      <c r="H17" s="1185"/>
      <c r="I17" s="1065"/>
      <c r="J17" s="1108" t="s">
        <v>84</v>
      </c>
      <c r="K17" s="1109"/>
      <c r="L17" s="1065"/>
      <c r="M17" s="1125" t="s">
        <v>84</v>
      </c>
      <c r="N17" s="1184"/>
      <c r="O17" s="1111"/>
      <c r="P17" s="1185"/>
      <c r="Q17" s="1065"/>
      <c r="R17" s="1125" t="s">
        <v>84</v>
      </c>
      <c r="S17" s="1184"/>
      <c r="T17" s="1111"/>
      <c r="U17" s="1185"/>
      <c r="V17" s="1112"/>
      <c r="W17" s="1125" t="s">
        <v>84</v>
      </c>
      <c r="X17" s="1184"/>
      <c r="Y17" s="1111"/>
      <c r="Z17" s="1185"/>
      <c r="AA17" s="1112"/>
      <c r="AB17" s="1125" t="s">
        <v>84</v>
      </c>
      <c r="AC17" s="1184"/>
      <c r="AD17" s="1111"/>
      <c r="AE17" s="1185"/>
      <c r="AF17" s="1114"/>
      <c r="AG17" s="1125" t="s">
        <v>84</v>
      </c>
      <c r="AH17" s="1184"/>
      <c r="AI17" s="1111"/>
      <c r="AJ17" s="1185"/>
      <c r="AK17" s="1112"/>
      <c r="AL17" s="1125" t="s">
        <v>84</v>
      </c>
      <c r="AM17" s="1184"/>
      <c r="AN17" s="1111"/>
      <c r="AO17" s="1185"/>
      <c r="AP17" s="1114"/>
      <c r="AQ17" s="1125" t="s">
        <v>84</v>
      </c>
      <c r="AR17" s="1184"/>
      <c r="AS17" s="1111"/>
      <c r="AT17" s="1185"/>
      <c r="AU17" s="1114"/>
      <c r="AV17" s="1125" t="s">
        <v>84</v>
      </c>
      <c r="AW17" s="1184"/>
      <c r="AX17" s="1111"/>
      <c r="AY17" s="1185"/>
      <c r="AZ17" s="1114"/>
      <c r="BA17" s="1125" t="s">
        <v>84</v>
      </c>
      <c r="BB17" s="1184"/>
      <c r="BC17" s="1111"/>
      <c r="BD17" s="1185"/>
      <c r="BE17" s="1114"/>
      <c r="BF17" s="1125" t="s">
        <v>84</v>
      </c>
      <c r="BG17" s="1184"/>
      <c r="BH17" s="1111"/>
      <c r="BI17" s="1185"/>
      <c r="BJ17" s="1573"/>
      <c r="BK17" s="1125" t="s">
        <v>84</v>
      </c>
      <c r="BL17" s="1184"/>
      <c r="BM17" s="1111"/>
      <c r="BN17" s="1185"/>
      <c r="BO17" s="1067"/>
      <c r="BP17" s="1125" t="s">
        <v>84</v>
      </c>
      <c r="BQ17" s="1184"/>
      <c r="BR17" s="1111"/>
      <c r="BS17" s="1185"/>
      <c r="BT17" s="1067"/>
      <c r="BU17" s="1125" t="s">
        <v>84</v>
      </c>
      <c r="BV17" s="1184"/>
      <c r="BW17" s="1111"/>
      <c r="BX17" s="1185"/>
      <c r="BY17" s="1128"/>
      <c r="BZ17" s="1125" t="s">
        <v>84</v>
      </c>
      <c r="CA17" s="1184"/>
      <c r="CB17" s="1111"/>
      <c r="CC17" s="1185"/>
      <c r="CD17" s="1114"/>
      <c r="CE17" s="1125" t="s">
        <v>84</v>
      </c>
      <c r="CF17" s="1184"/>
      <c r="CG17" s="1111"/>
      <c r="CH17" s="1185"/>
      <c r="CI17" s="1128"/>
      <c r="CJ17" s="1125" t="s">
        <v>84</v>
      </c>
      <c r="CK17" s="1110"/>
      <c r="CL17" s="1111"/>
      <c r="CM17" s="1185"/>
      <c r="CN17" s="1114"/>
      <c r="CO17" s="1125" t="s">
        <v>84</v>
      </c>
      <c r="CP17" s="1110"/>
      <c r="CQ17" s="1111"/>
      <c r="CR17" s="1185"/>
      <c r="CS17" s="1128"/>
      <c r="CT17" s="1125" t="s">
        <v>84</v>
      </c>
      <c r="CU17" s="1184"/>
      <c r="CV17" s="1111"/>
      <c r="CW17" s="1185"/>
      <c r="CX17" s="1128"/>
      <c r="CY17" s="1125" t="s">
        <v>84</v>
      </c>
      <c r="CZ17" s="1184"/>
      <c r="DA17" s="1111"/>
      <c r="DB17" s="1185"/>
      <c r="DC17" s="1128"/>
      <c r="DD17" s="1125" t="s">
        <v>84</v>
      </c>
      <c r="DE17" s="1184"/>
      <c r="DF17" s="1111"/>
      <c r="DG17" s="1185"/>
      <c r="DH17" s="1128"/>
      <c r="DI17" s="1125" t="s">
        <v>84</v>
      </c>
      <c r="DJ17" s="1184"/>
      <c r="DK17" s="1111"/>
      <c r="DL17" s="1185"/>
      <c r="DM17" s="1128"/>
      <c r="DN17" s="1125" t="s">
        <v>84</v>
      </c>
      <c r="DO17" s="1184"/>
      <c r="DP17" s="1111"/>
      <c r="DQ17" s="1185"/>
      <c r="DR17" s="1128"/>
      <c r="DS17" s="1125" t="s">
        <v>84</v>
      </c>
      <c r="DT17" s="1184"/>
      <c r="DU17" s="1111"/>
      <c r="DV17" s="1185"/>
      <c r="DW17" s="1128"/>
      <c r="DX17" s="1125" t="s">
        <v>84</v>
      </c>
      <c r="DY17" s="1184"/>
      <c r="DZ17" s="1111"/>
      <c r="EA17" s="1185"/>
      <c r="EB17" s="1128"/>
      <c r="EC17" s="1125" t="s">
        <v>84</v>
      </c>
      <c r="ED17" s="1184"/>
      <c r="EE17" s="1111"/>
      <c r="EF17" s="1185"/>
      <c r="EG17" s="1128"/>
      <c r="EH17" s="1125" t="s">
        <v>84</v>
      </c>
      <c r="EI17" s="1184"/>
      <c r="EJ17" s="1111"/>
      <c r="EK17" s="1185"/>
      <c r="EL17" s="1128"/>
      <c r="EM17" s="1202"/>
      <c r="EN17" s="1195"/>
      <c r="EO17" s="1196"/>
      <c r="EP17" s="1197"/>
      <c r="EQ17" s="1198"/>
      <c r="ER17" s="31"/>
      <c r="ES17" s="1201"/>
      <c r="ET17" s="1195"/>
      <c r="EU17" s="1196"/>
      <c r="EV17" s="1197"/>
      <c r="EW17" s="1198"/>
    </row>
    <row r="18" spans="1:153" s="8" customFormat="1" ht="15" customHeight="1" thickBot="1">
      <c r="A18" s="1598"/>
      <c r="B18" s="1113" t="s">
        <v>180</v>
      </c>
      <c r="C18" s="1134">
        <v>0</v>
      </c>
      <c r="D18" s="1065"/>
      <c r="E18" s="1125" t="s">
        <v>86</v>
      </c>
      <c r="F18" s="1184"/>
      <c r="G18" s="1111"/>
      <c r="H18" s="1185"/>
      <c r="I18" s="1065"/>
      <c r="J18" s="1125" t="s">
        <v>86</v>
      </c>
      <c r="K18" s="1109"/>
      <c r="L18" s="1065"/>
      <c r="M18" s="1193" t="s">
        <v>86</v>
      </c>
      <c r="N18" s="1184"/>
      <c r="O18" s="1111"/>
      <c r="P18" s="1185"/>
      <c r="Q18" s="1065"/>
      <c r="R18" s="1193" t="s">
        <v>86</v>
      </c>
      <c r="S18" s="1184"/>
      <c r="T18" s="1111"/>
      <c r="U18" s="1185"/>
      <c r="V18" s="1112"/>
      <c r="W18" s="1193" t="s">
        <v>86</v>
      </c>
      <c r="X18" s="1184"/>
      <c r="Y18" s="1111"/>
      <c r="Z18" s="1185"/>
      <c r="AA18" s="1112"/>
      <c r="AB18" s="1193" t="s">
        <v>86</v>
      </c>
      <c r="AC18" s="1184"/>
      <c r="AD18" s="1111"/>
      <c r="AE18" s="1185"/>
      <c r="AF18" s="1114"/>
      <c r="AG18" s="1193" t="s">
        <v>86</v>
      </c>
      <c r="AH18" s="1184"/>
      <c r="AI18" s="1111"/>
      <c r="AJ18" s="1185"/>
      <c r="AK18" s="1112"/>
      <c r="AL18" s="1193" t="s">
        <v>86</v>
      </c>
      <c r="AM18" s="1184"/>
      <c r="AN18" s="1111"/>
      <c r="AO18" s="1185"/>
      <c r="AP18" s="1114"/>
      <c r="AQ18" s="1193" t="s">
        <v>86</v>
      </c>
      <c r="AR18" s="1184"/>
      <c r="AS18" s="1111"/>
      <c r="AT18" s="1185"/>
      <c r="AU18" s="1114"/>
      <c r="AV18" s="1193" t="s">
        <v>86</v>
      </c>
      <c r="AW18" s="1184"/>
      <c r="AX18" s="1111"/>
      <c r="AY18" s="1185"/>
      <c r="AZ18" s="1114"/>
      <c r="BA18" s="1193" t="s">
        <v>86</v>
      </c>
      <c r="BB18" s="1184"/>
      <c r="BC18" s="1111"/>
      <c r="BD18" s="1185"/>
      <c r="BE18" s="1114"/>
      <c r="BF18" s="1193" t="s">
        <v>86</v>
      </c>
      <c r="BG18" s="1184"/>
      <c r="BH18" s="1111"/>
      <c r="BI18" s="1185"/>
      <c r="BJ18" s="1573"/>
      <c r="BK18" s="1193" t="s">
        <v>86</v>
      </c>
      <c r="BL18" s="1184"/>
      <c r="BM18" s="1111"/>
      <c r="BN18" s="1185"/>
      <c r="BO18" s="1067"/>
      <c r="BP18" s="1193" t="s">
        <v>86</v>
      </c>
      <c r="BQ18" s="1184"/>
      <c r="BR18" s="1111"/>
      <c r="BS18" s="1185"/>
      <c r="BT18" s="1067"/>
      <c r="BU18" s="1193" t="s">
        <v>86</v>
      </c>
      <c r="BV18" s="1184"/>
      <c r="BW18" s="1111"/>
      <c r="BX18" s="1185"/>
      <c r="BY18" s="1128"/>
      <c r="BZ18" s="1193" t="s">
        <v>86</v>
      </c>
      <c r="CA18" s="1184"/>
      <c r="CB18" s="1111"/>
      <c r="CC18" s="1185"/>
      <c r="CD18" s="1114"/>
      <c r="CE18" s="1193" t="s">
        <v>86</v>
      </c>
      <c r="CF18" s="1184"/>
      <c r="CG18" s="1111"/>
      <c r="CH18" s="1185"/>
      <c r="CI18" s="1128"/>
      <c r="CJ18" s="1193" t="s">
        <v>86</v>
      </c>
      <c r="CK18" s="1110"/>
      <c r="CL18" s="1111"/>
      <c r="CM18" s="1185"/>
      <c r="CN18" s="1114"/>
      <c r="CO18" s="1193" t="s">
        <v>86</v>
      </c>
      <c r="CP18" s="1110"/>
      <c r="CQ18" s="1111"/>
      <c r="CR18" s="1185"/>
      <c r="CS18" s="1128"/>
      <c r="CT18" s="1193" t="s">
        <v>86</v>
      </c>
      <c r="CU18" s="1184"/>
      <c r="CV18" s="1111"/>
      <c r="CW18" s="1185"/>
      <c r="CX18" s="1128"/>
      <c r="CY18" s="1193" t="s">
        <v>86</v>
      </c>
      <c r="CZ18" s="1184"/>
      <c r="DA18" s="1111"/>
      <c r="DB18" s="1185"/>
      <c r="DC18" s="1128"/>
      <c r="DD18" s="1193" t="s">
        <v>86</v>
      </c>
      <c r="DE18" s="1184"/>
      <c r="DF18" s="1111"/>
      <c r="DG18" s="1185"/>
      <c r="DH18" s="1128"/>
      <c r="DI18" s="1193" t="s">
        <v>86</v>
      </c>
      <c r="DJ18" s="1184"/>
      <c r="DK18" s="1111"/>
      <c r="DL18" s="1185"/>
      <c r="DM18" s="1128"/>
      <c r="DN18" s="1193" t="s">
        <v>86</v>
      </c>
      <c r="DO18" s="1184"/>
      <c r="DP18" s="1111"/>
      <c r="DQ18" s="1185"/>
      <c r="DR18" s="1128"/>
      <c r="DS18" s="1193" t="s">
        <v>86</v>
      </c>
      <c r="DT18" s="1184"/>
      <c r="DU18" s="1111"/>
      <c r="DV18" s="1185"/>
      <c r="DW18" s="1128"/>
      <c r="DX18" s="1193" t="s">
        <v>86</v>
      </c>
      <c r="DY18" s="1184"/>
      <c r="DZ18" s="1111"/>
      <c r="EA18" s="1185"/>
      <c r="EB18" s="1128"/>
      <c r="EC18" s="1193" t="s">
        <v>86</v>
      </c>
      <c r="ED18" s="1184"/>
      <c r="EE18" s="1111"/>
      <c r="EF18" s="1185"/>
      <c r="EG18" s="1128"/>
      <c r="EH18" s="1193" t="s">
        <v>86</v>
      </c>
      <c r="EI18" s="1184"/>
      <c r="EJ18" s="1111"/>
      <c r="EK18" s="1185"/>
      <c r="EL18" s="1128"/>
      <c r="EM18" s="1204"/>
      <c r="EN18" s="1195"/>
      <c r="EO18" s="1196"/>
      <c r="EP18" s="1197"/>
      <c r="EQ18" s="1198"/>
      <c r="ER18" s="31"/>
      <c r="ES18" s="1199"/>
      <c r="ET18" s="1195"/>
      <c r="EU18" s="1196"/>
      <c r="EV18" s="1197"/>
      <c r="EW18" s="1198"/>
    </row>
    <row r="19" spans="1:153" s="8" customFormat="1" ht="15" customHeight="1" thickBot="1">
      <c r="A19" s="1598"/>
      <c r="B19" s="1625"/>
      <c r="C19" s="1626"/>
      <c r="D19" s="1065"/>
      <c r="E19" s="1108" t="s">
        <v>87</v>
      </c>
      <c r="F19" s="1184"/>
      <c r="G19" s="1111"/>
      <c r="H19" s="1185"/>
      <c r="I19" s="1065"/>
      <c r="J19" s="1108" t="s">
        <v>87</v>
      </c>
      <c r="K19" s="1109"/>
      <c r="L19" s="1065"/>
      <c r="M19" s="1125" t="s">
        <v>87</v>
      </c>
      <c r="N19" s="1184"/>
      <c r="O19" s="1111"/>
      <c r="P19" s="1185"/>
      <c r="Q19" s="1065"/>
      <c r="R19" s="1125" t="s">
        <v>87</v>
      </c>
      <c r="S19" s="1184"/>
      <c r="T19" s="1111"/>
      <c r="U19" s="1185"/>
      <c r="V19" s="1112"/>
      <c r="W19" s="1125" t="s">
        <v>87</v>
      </c>
      <c r="X19" s="1184"/>
      <c r="Y19" s="1111"/>
      <c r="Z19" s="1185"/>
      <c r="AA19" s="1112"/>
      <c r="AB19" s="1125" t="s">
        <v>87</v>
      </c>
      <c r="AC19" s="1184"/>
      <c r="AD19" s="1111"/>
      <c r="AE19" s="1185"/>
      <c r="AF19" s="1114"/>
      <c r="AG19" s="1125" t="s">
        <v>87</v>
      </c>
      <c r="AH19" s="1184"/>
      <c r="AI19" s="1111"/>
      <c r="AJ19" s="1185"/>
      <c r="AK19" s="1112"/>
      <c r="AL19" s="1125" t="s">
        <v>87</v>
      </c>
      <c r="AM19" s="1184"/>
      <c r="AN19" s="1111"/>
      <c r="AO19" s="1185"/>
      <c r="AP19" s="1114"/>
      <c r="AQ19" s="1125" t="s">
        <v>87</v>
      </c>
      <c r="AR19" s="1184"/>
      <c r="AS19" s="1111"/>
      <c r="AT19" s="1185"/>
      <c r="AU19" s="1114"/>
      <c r="AV19" s="1125" t="s">
        <v>87</v>
      </c>
      <c r="AW19" s="1184"/>
      <c r="AX19" s="1111"/>
      <c r="AY19" s="1185"/>
      <c r="AZ19" s="1114"/>
      <c r="BA19" s="1125" t="s">
        <v>87</v>
      </c>
      <c r="BB19" s="1184"/>
      <c r="BC19" s="1111"/>
      <c r="BD19" s="1185"/>
      <c r="BE19" s="1114"/>
      <c r="BF19" s="1125" t="s">
        <v>87</v>
      </c>
      <c r="BG19" s="1184"/>
      <c r="BH19" s="1111"/>
      <c r="BI19" s="1185"/>
      <c r="BJ19" s="1573"/>
      <c r="BK19" s="1125" t="s">
        <v>87</v>
      </c>
      <c r="BL19" s="1184"/>
      <c r="BM19" s="1111"/>
      <c r="BN19" s="1185"/>
      <c r="BO19" s="1067"/>
      <c r="BP19" s="1125" t="s">
        <v>87</v>
      </c>
      <c r="BQ19" s="1184"/>
      <c r="BR19" s="1111"/>
      <c r="BS19" s="1185"/>
      <c r="BT19" s="1067"/>
      <c r="BU19" s="1125" t="s">
        <v>87</v>
      </c>
      <c r="BV19" s="1184"/>
      <c r="BW19" s="1111"/>
      <c r="BX19" s="1185"/>
      <c r="BY19" s="1128"/>
      <c r="BZ19" s="1125" t="s">
        <v>87</v>
      </c>
      <c r="CA19" s="1184"/>
      <c r="CB19" s="1111"/>
      <c r="CC19" s="1185"/>
      <c r="CD19" s="1114"/>
      <c r="CE19" s="1125" t="s">
        <v>87</v>
      </c>
      <c r="CF19" s="1184"/>
      <c r="CG19" s="1111"/>
      <c r="CH19" s="1185"/>
      <c r="CI19" s="1128"/>
      <c r="CJ19" s="1125" t="s">
        <v>87</v>
      </c>
      <c r="CK19" s="1110"/>
      <c r="CL19" s="1111"/>
      <c r="CM19" s="1185"/>
      <c r="CN19" s="1114"/>
      <c r="CO19" s="1125" t="s">
        <v>87</v>
      </c>
      <c r="CP19" s="1110"/>
      <c r="CQ19" s="1111"/>
      <c r="CR19" s="1185"/>
      <c r="CS19" s="1128"/>
      <c r="CT19" s="1125" t="s">
        <v>87</v>
      </c>
      <c r="CU19" s="1184"/>
      <c r="CV19" s="1111"/>
      <c r="CW19" s="1185"/>
      <c r="CX19" s="1128"/>
      <c r="CY19" s="1125" t="s">
        <v>87</v>
      </c>
      <c r="CZ19" s="1184"/>
      <c r="DA19" s="1111"/>
      <c r="DB19" s="1185"/>
      <c r="DC19" s="1128"/>
      <c r="DD19" s="1125" t="s">
        <v>87</v>
      </c>
      <c r="DE19" s="1184"/>
      <c r="DF19" s="1111"/>
      <c r="DG19" s="1185"/>
      <c r="DH19" s="1128"/>
      <c r="DI19" s="1125" t="s">
        <v>87</v>
      </c>
      <c r="DJ19" s="1184"/>
      <c r="DK19" s="1111"/>
      <c r="DL19" s="1185"/>
      <c r="DM19" s="1128"/>
      <c r="DN19" s="1125" t="s">
        <v>87</v>
      </c>
      <c r="DO19" s="1184"/>
      <c r="DP19" s="1111"/>
      <c r="DQ19" s="1185"/>
      <c r="DR19" s="1128"/>
      <c r="DS19" s="1125" t="s">
        <v>87</v>
      </c>
      <c r="DT19" s="1184"/>
      <c r="DU19" s="1111"/>
      <c r="DV19" s="1185"/>
      <c r="DW19" s="1128"/>
      <c r="DX19" s="1125" t="s">
        <v>87</v>
      </c>
      <c r="DY19" s="1184"/>
      <c r="DZ19" s="1111"/>
      <c r="EA19" s="1185"/>
      <c r="EB19" s="1128"/>
      <c r="EC19" s="1125" t="s">
        <v>87</v>
      </c>
      <c r="ED19" s="1184"/>
      <c r="EE19" s="1111"/>
      <c r="EF19" s="1185"/>
      <c r="EG19" s="1128"/>
      <c r="EH19" s="1125" t="s">
        <v>87</v>
      </c>
      <c r="EI19" s="1184"/>
      <c r="EJ19" s="1111"/>
      <c r="EK19" s="1185"/>
      <c r="EL19" s="1128"/>
      <c r="EM19" s="1202"/>
      <c r="EN19" s="1195"/>
      <c r="EO19" s="1196"/>
      <c r="EP19" s="1197"/>
      <c r="EQ19" s="1198"/>
      <c r="ER19" s="31"/>
      <c r="ES19" s="1201"/>
      <c r="ET19" s="1195"/>
      <c r="EU19" s="1196"/>
      <c r="EV19" s="1197"/>
      <c r="EW19" s="1198"/>
    </row>
    <row r="20" spans="1:153" s="8" customFormat="1" ht="15" customHeight="1" thickBot="1">
      <c r="A20" s="1598"/>
      <c r="B20" s="1615" t="s">
        <v>1453</v>
      </c>
      <c r="C20" s="1616"/>
      <c r="D20" s="1065"/>
      <c r="E20" s="1125" t="s">
        <v>101</v>
      </c>
      <c r="F20" s="1184"/>
      <c r="G20" s="1111"/>
      <c r="H20" s="1185"/>
      <c r="I20" s="1065"/>
      <c r="J20" s="1125" t="s">
        <v>101</v>
      </c>
      <c r="K20" s="1109"/>
      <c r="L20" s="1065"/>
      <c r="M20" s="1193" t="s">
        <v>101</v>
      </c>
      <c r="N20" s="1184"/>
      <c r="O20" s="1111"/>
      <c r="P20" s="1185"/>
      <c r="Q20" s="1065"/>
      <c r="R20" s="1193" t="s">
        <v>101</v>
      </c>
      <c r="S20" s="1184"/>
      <c r="T20" s="1111"/>
      <c r="U20" s="1185"/>
      <c r="V20" s="1112"/>
      <c r="W20" s="1193" t="s">
        <v>101</v>
      </c>
      <c r="X20" s="1184"/>
      <c r="Y20" s="1111"/>
      <c r="Z20" s="1185"/>
      <c r="AA20" s="1112"/>
      <c r="AB20" s="1193" t="s">
        <v>101</v>
      </c>
      <c r="AC20" s="1184"/>
      <c r="AD20" s="1111"/>
      <c r="AE20" s="1185"/>
      <c r="AF20" s="1114"/>
      <c r="AG20" s="1193" t="s">
        <v>101</v>
      </c>
      <c r="AH20" s="1184"/>
      <c r="AI20" s="1111"/>
      <c r="AJ20" s="1185"/>
      <c r="AK20" s="1112"/>
      <c r="AL20" s="1193" t="s">
        <v>101</v>
      </c>
      <c r="AM20" s="1184"/>
      <c r="AN20" s="1111"/>
      <c r="AO20" s="1185"/>
      <c r="AP20" s="1114"/>
      <c r="AQ20" s="1193" t="s">
        <v>101</v>
      </c>
      <c r="AR20" s="1184"/>
      <c r="AS20" s="1111"/>
      <c r="AT20" s="1185"/>
      <c r="AU20" s="1114"/>
      <c r="AV20" s="1193" t="s">
        <v>101</v>
      </c>
      <c r="AW20" s="1184"/>
      <c r="AX20" s="1111"/>
      <c r="AY20" s="1185"/>
      <c r="AZ20" s="1114"/>
      <c r="BA20" s="1193" t="s">
        <v>101</v>
      </c>
      <c r="BB20" s="1184"/>
      <c r="BC20" s="1111"/>
      <c r="BD20" s="1185"/>
      <c r="BE20" s="1114"/>
      <c r="BF20" s="1193" t="s">
        <v>101</v>
      </c>
      <c r="BG20" s="1184"/>
      <c r="BH20" s="1111"/>
      <c r="BI20" s="1185"/>
      <c r="BJ20" s="1573"/>
      <c r="BK20" s="1193" t="s">
        <v>101</v>
      </c>
      <c r="BL20" s="1184"/>
      <c r="BM20" s="1111"/>
      <c r="BN20" s="1185"/>
      <c r="BO20" s="1067"/>
      <c r="BP20" s="1193" t="s">
        <v>101</v>
      </c>
      <c r="BQ20" s="1184"/>
      <c r="BR20" s="1111"/>
      <c r="BS20" s="1185"/>
      <c r="BT20" s="1067"/>
      <c r="BU20" s="1193" t="s">
        <v>101</v>
      </c>
      <c r="BV20" s="1184"/>
      <c r="BW20" s="1111"/>
      <c r="BX20" s="1185"/>
      <c r="BY20" s="1128"/>
      <c r="BZ20" s="1193" t="s">
        <v>101</v>
      </c>
      <c r="CA20" s="1184"/>
      <c r="CB20" s="1111"/>
      <c r="CC20" s="1185"/>
      <c r="CD20" s="1114"/>
      <c r="CE20" s="1193" t="s">
        <v>101</v>
      </c>
      <c r="CF20" s="1184"/>
      <c r="CG20" s="1111"/>
      <c r="CH20" s="1185"/>
      <c r="CI20" s="1128"/>
      <c r="CJ20" s="1193" t="s">
        <v>101</v>
      </c>
      <c r="CK20" s="1110"/>
      <c r="CL20" s="1111"/>
      <c r="CM20" s="1185"/>
      <c r="CN20" s="1114"/>
      <c r="CO20" s="1193" t="s">
        <v>101</v>
      </c>
      <c r="CP20" s="1110"/>
      <c r="CQ20" s="1111"/>
      <c r="CR20" s="1185"/>
      <c r="CS20" s="1128"/>
      <c r="CT20" s="1193" t="s">
        <v>101</v>
      </c>
      <c r="CU20" s="1184"/>
      <c r="CV20" s="1111"/>
      <c r="CW20" s="1185"/>
      <c r="CX20" s="1128"/>
      <c r="CY20" s="1193" t="s">
        <v>101</v>
      </c>
      <c r="CZ20" s="1184"/>
      <c r="DA20" s="1111"/>
      <c r="DB20" s="1185"/>
      <c r="DC20" s="1128"/>
      <c r="DD20" s="1193" t="s">
        <v>101</v>
      </c>
      <c r="DE20" s="1184"/>
      <c r="DF20" s="1111"/>
      <c r="DG20" s="1185"/>
      <c r="DH20" s="1128"/>
      <c r="DI20" s="1193" t="s">
        <v>101</v>
      </c>
      <c r="DJ20" s="1184"/>
      <c r="DK20" s="1111"/>
      <c r="DL20" s="1185"/>
      <c r="DM20" s="1128"/>
      <c r="DN20" s="1193" t="s">
        <v>101</v>
      </c>
      <c r="DO20" s="1184"/>
      <c r="DP20" s="1111"/>
      <c r="DQ20" s="1185"/>
      <c r="DR20" s="1128"/>
      <c r="DS20" s="1193" t="s">
        <v>101</v>
      </c>
      <c r="DT20" s="1184"/>
      <c r="DU20" s="1111"/>
      <c r="DV20" s="1185"/>
      <c r="DW20" s="1128"/>
      <c r="DX20" s="1193" t="s">
        <v>101</v>
      </c>
      <c r="DY20" s="1184"/>
      <c r="DZ20" s="1111"/>
      <c r="EA20" s="1185"/>
      <c r="EB20" s="1128"/>
      <c r="EC20" s="1193" t="s">
        <v>101</v>
      </c>
      <c r="ED20" s="1184"/>
      <c r="EE20" s="1111"/>
      <c r="EF20" s="1185"/>
      <c r="EG20" s="1128"/>
      <c r="EH20" s="1193" t="s">
        <v>101</v>
      </c>
      <c r="EI20" s="1184"/>
      <c r="EJ20" s="1111"/>
      <c r="EK20" s="1185"/>
      <c r="EL20" s="1128"/>
      <c r="EM20" s="1204"/>
      <c r="EN20" s="1195"/>
      <c r="EO20" s="1196"/>
      <c r="EP20" s="1197"/>
      <c r="EQ20" s="1198"/>
      <c r="ER20" s="31"/>
      <c r="ES20" s="1205"/>
      <c r="ET20" s="1195"/>
      <c r="EU20" s="1196"/>
      <c r="EV20" s="1197"/>
      <c r="EW20" s="1198"/>
    </row>
    <row r="21" spans="1:153" s="8" customFormat="1" ht="15" customHeight="1" thickBot="1">
      <c r="A21" s="1598"/>
      <c r="B21" s="1617"/>
      <c r="C21" s="1618"/>
      <c r="D21" s="1065"/>
      <c r="E21" s="1108" t="s">
        <v>88</v>
      </c>
      <c r="F21" s="1184"/>
      <c r="G21" s="1111"/>
      <c r="H21" s="1185"/>
      <c r="I21" s="1065"/>
      <c r="J21" s="1108" t="s">
        <v>88</v>
      </c>
      <c r="K21" s="1109"/>
      <c r="L21" s="1065"/>
      <c r="M21" s="1125" t="s">
        <v>88</v>
      </c>
      <c r="N21" s="1184"/>
      <c r="O21" s="1111"/>
      <c r="P21" s="1185"/>
      <c r="Q21" s="1065"/>
      <c r="R21" s="1125" t="s">
        <v>88</v>
      </c>
      <c r="S21" s="1184"/>
      <c r="T21" s="1111"/>
      <c r="U21" s="1185"/>
      <c r="V21" s="1112"/>
      <c r="W21" s="1125" t="s">
        <v>88</v>
      </c>
      <c r="X21" s="1184"/>
      <c r="Y21" s="1111"/>
      <c r="Z21" s="1185"/>
      <c r="AA21" s="1112"/>
      <c r="AB21" s="1125" t="s">
        <v>88</v>
      </c>
      <c r="AC21" s="1184"/>
      <c r="AD21" s="1111"/>
      <c r="AE21" s="1185"/>
      <c r="AF21" s="1114"/>
      <c r="AG21" s="1125" t="s">
        <v>88</v>
      </c>
      <c r="AH21" s="1184"/>
      <c r="AI21" s="1111"/>
      <c r="AJ21" s="1185"/>
      <c r="AK21" s="1112"/>
      <c r="AL21" s="1125" t="s">
        <v>88</v>
      </c>
      <c r="AM21" s="1184"/>
      <c r="AN21" s="1111"/>
      <c r="AO21" s="1185"/>
      <c r="AP21" s="1114"/>
      <c r="AQ21" s="1125" t="s">
        <v>88</v>
      </c>
      <c r="AR21" s="1184"/>
      <c r="AS21" s="1111"/>
      <c r="AT21" s="1185"/>
      <c r="AU21" s="1114"/>
      <c r="AV21" s="1125" t="s">
        <v>88</v>
      </c>
      <c r="AW21" s="1184"/>
      <c r="AX21" s="1111"/>
      <c r="AY21" s="1185"/>
      <c r="AZ21" s="1114"/>
      <c r="BA21" s="1125" t="s">
        <v>88</v>
      </c>
      <c r="BB21" s="1184"/>
      <c r="BC21" s="1111"/>
      <c r="BD21" s="1185"/>
      <c r="BE21" s="1114"/>
      <c r="BF21" s="1125" t="s">
        <v>88</v>
      </c>
      <c r="BG21" s="1184"/>
      <c r="BH21" s="1111"/>
      <c r="BI21" s="1185"/>
      <c r="BJ21" s="1573"/>
      <c r="BK21" s="1125" t="s">
        <v>88</v>
      </c>
      <c r="BL21" s="1184"/>
      <c r="BM21" s="1111"/>
      <c r="BN21" s="1185"/>
      <c r="BO21" s="1067"/>
      <c r="BP21" s="1125" t="s">
        <v>88</v>
      </c>
      <c r="BQ21" s="1184"/>
      <c r="BR21" s="1111"/>
      <c r="BS21" s="1185"/>
      <c r="BT21" s="1067"/>
      <c r="BU21" s="1125" t="s">
        <v>88</v>
      </c>
      <c r="BV21" s="1184"/>
      <c r="BW21" s="1111"/>
      <c r="BX21" s="1185"/>
      <c r="BY21" s="1128"/>
      <c r="BZ21" s="1125" t="s">
        <v>88</v>
      </c>
      <c r="CA21" s="1184"/>
      <c r="CB21" s="1111"/>
      <c r="CC21" s="1185"/>
      <c r="CD21" s="1114"/>
      <c r="CE21" s="1125" t="s">
        <v>88</v>
      </c>
      <c r="CF21" s="1184"/>
      <c r="CG21" s="1111"/>
      <c r="CH21" s="1185"/>
      <c r="CI21" s="1128"/>
      <c r="CJ21" s="1125" t="s">
        <v>88</v>
      </c>
      <c r="CK21" s="1110"/>
      <c r="CL21" s="1111"/>
      <c r="CM21" s="1185"/>
      <c r="CN21" s="1114"/>
      <c r="CO21" s="1125" t="s">
        <v>88</v>
      </c>
      <c r="CP21" s="1110"/>
      <c r="CQ21" s="1111"/>
      <c r="CR21" s="1185"/>
      <c r="CS21" s="1128"/>
      <c r="CT21" s="1125" t="s">
        <v>88</v>
      </c>
      <c r="CU21" s="1184"/>
      <c r="CV21" s="1111"/>
      <c r="CW21" s="1185"/>
      <c r="CX21" s="1128"/>
      <c r="CY21" s="1125" t="s">
        <v>88</v>
      </c>
      <c r="CZ21" s="1184"/>
      <c r="DA21" s="1111"/>
      <c r="DB21" s="1185"/>
      <c r="DC21" s="1128"/>
      <c r="DD21" s="1125" t="s">
        <v>88</v>
      </c>
      <c r="DE21" s="1184"/>
      <c r="DF21" s="1111"/>
      <c r="DG21" s="1185"/>
      <c r="DH21" s="1128"/>
      <c r="DI21" s="1125" t="s">
        <v>88</v>
      </c>
      <c r="DJ21" s="1184"/>
      <c r="DK21" s="1111"/>
      <c r="DL21" s="1185"/>
      <c r="DM21" s="1128"/>
      <c r="DN21" s="1125" t="s">
        <v>88</v>
      </c>
      <c r="DO21" s="1184"/>
      <c r="DP21" s="1111"/>
      <c r="DQ21" s="1185"/>
      <c r="DR21" s="1128"/>
      <c r="DS21" s="1125" t="s">
        <v>88</v>
      </c>
      <c r="DT21" s="1184"/>
      <c r="DU21" s="1111"/>
      <c r="DV21" s="1185"/>
      <c r="DW21" s="1128"/>
      <c r="DX21" s="1125" t="s">
        <v>88</v>
      </c>
      <c r="DY21" s="1184"/>
      <c r="DZ21" s="1111"/>
      <c r="EA21" s="1185"/>
      <c r="EB21" s="1128"/>
      <c r="EC21" s="1125" t="s">
        <v>88</v>
      </c>
      <c r="ED21" s="1184"/>
      <c r="EE21" s="1111"/>
      <c r="EF21" s="1185"/>
      <c r="EG21" s="1128"/>
      <c r="EH21" s="1125" t="s">
        <v>88</v>
      </c>
      <c r="EI21" s="1184"/>
      <c r="EJ21" s="1111"/>
      <c r="EK21" s="1185"/>
      <c r="EL21" s="1128"/>
      <c r="EM21" s="1206"/>
      <c r="EN21" s="1195"/>
      <c r="EO21" s="1196"/>
      <c r="EP21" s="1197"/>
      <c r="EQ21" s="1198"/>
      <c r="ER21" s="31"/>
      <c r="ES21" s="1207"/>
      <c r="ET21" s="1195"/>
      <c r="EU21" s="1196"/>
      <c r="EV21" s="1197"/>
      <c r="EW21" s="1198"/>
    </row>
    <row r="22" spans="1:153" s="8" customFormat="1" ht="15" customHeight="1" thickBot="1">
      <c r="A22" s="1598"/>
      <c r="B22" s="1619" t="s">
        <v>1454</v>
      </c>
      <c r="C22" s="1620"/>
      <c r="D22" s="1065"/>
      <c r="E22" s="1125" t="s">
        <v>89</v>
      </c>
      <c r="F22" s="1184"/>
      <c r="G22" s="1111"/>
      <c r="H22" s="1185"/>
      <c r="I22" s="1065"/>
      <c r="J22" s="1125" t="s">
        <v>89</v>
      </c>
      <c r="K22" s="1109"/>
      <c r="L22" s="1065"/>
      <c r="M22" s="1193" t="s">
        <v>89</v>
      </c>
      <c r="N22" s="1184"/>
      <c r="O22" s="1111"/>
      <c r="P22" s="1185"/>
      <c r="Q22" s="1065"/>
      <c r="R22" s="1193" t="s">
        <v>89</v>
      </c>
      <c r="S22" s="1184"/>
      <c r="T22" s="1111"/>
      <c r="U22" s="1185"/>
      <c r="V22" s="1112"/>
      <c r="W22" s="1193" t="s">
        <v>89</v>
      </c>
      <c r="X22" s="1184"/>
      <c r="Y22" s="1111"/>
      <c r="Z22" s="1185"/>
      <c r="AA22" s="1112"/>
      <c r="AB22" s="1193" t="s">
        <v>89</v>
      </c>
      <c r="AC22" s="1184"/>
      <c r="AD22" s="1111"/>
      <c r="AE22" s="1185"/>
      <c r="AF22" s="1114"/>
      <c r="AG22" s="1193" t="s">
        <v>89</v>
      </c>
      <c r="AH22" s="1184"/>
      <c r="AI22" s="1111"/>
      <c r="AJ22" s="1185"/>
      <c r="AK22" s="1112"/>
      <c r="AL22" s="1193" t="s">
        <v>89</v>
      </c>
      <c r="AM22" s="1184"/>
      <c r="AN22" s="1111"/>
      <c r="AO22" s="1185"/>
      <c r="AP22" s="1114"/>
      <c r="AQ22" s="1193" t="s">
        <v>89</v>
      </c>
      <c r="AR22" s="1184"/>
      <c r="AS22" s="1111"/>
      <c r="AT22" s="1185"/>
      <c r="AU22" s="1114"/>
      <c r="AV22" s="1193" t="s">
        <v>89</v>
      </c>
      <c r="AW22" s="1184"/>
      <c r="AX22" s="1111"/>
      <c r="AY22" s="1185"/>
      <c r="AZ22" s="1114"/>
      <c r="BA22" s="1193" t="s">
        <v>89</v>
      </c>
      <c r="BB22" s="1184"/>
      <c r="BC22" s="1111"/>
      <c r="BD22" s="1185"/>
      <c r="BE22" s="1114"/>
      <c r="BF22" s="1193" t="s">
        <v>89</v>
      </c>
      <c r="BG22" s="1184"/>
      <c r="BH22" s="1111"/>
      <c r="BI22" s="1185"/>
      <c r="BJ22" s="1573"/>
      <c r="BK22" s="1193" t="s">
        <v>89</v>
      </c>
      <c r="BL22" s="1184"/>
      <c r="BM22" s="1111"/>
      <c r="BN22" s="1185"/>
      <c r="BO22" s="1067"/>
      <c r="BP22" s="1193" t="s">
        <v>89</v>
      </c>
      <c r="BQ22" s="1184"/>
      <c r="BR22" s="1111"/>
      <c r="BS22" s="1185"/>
      <c r="BT22" s="1067"/>
      <c r="BU22" s="1193" t="s">
        <v>89</v>
      </c>
      <c r="BV22" s="1184"/>
      <c r="BW22" s="1111"/>
      <c r="BX22" s="1185"/>
      <c r="BY22" s="1128"/>
      <c r="BZ22" s="1193" t="s">
        <v>89</v>
      </c>
      <c r="CA22" s="1184"/>
      <c r="CB22" s="1111"/>
      <c r="CC22" s="1185"/>
      <c r="CD22" s="1114"/>
      <c r="CE22" s="1193" t="s">
        <v>89</v>
      </c>
      <c r="CF22" s="1184"/>
      <c r="CG22" s="1111"/>
      <c r="CH22" s="1185"/>
      <c r="CI22" s="1128"/>
      <c r="CJ22" s="1193" t="s">
        <v>89</v>
      </c>
      <c r="CK22" s="1110"/>
      <c r="CL22" s="1111"/>
      <c r="CM22" s="1185"/>
      <c r="CN22" s="1114"/>
      <c r="CO22" s="1193" t="s">
        <v>89</v>
      </c>
      <c r="CP22" s="1110"/>
      <c r="CQ22" s="1111"/>
      <c r="CR22" s="1185"/>
      <c r="CS22" s="1128"/>
      <c r="CT22" s="1193" t="s">
        <v>89</v>
      </c>
      <c r="CU22" s="1184"/>
      <c r="CV22" s="1111"/>
      <c r="CW22" s="1185"/>
      <c r="CX22" s="1128"/>
      <c r="CY22" s="1193" t="s">
        <v>89</v>
      </c>
      <c r="CZ22" s="1184"/>
      <c r="DA22" s="1111"/>
      <c r="DB22" s="1185"/>
      <c r="DC22" s="1128"/>
      <c r="DD22" s="1193" t="s">
        <v>89</v>
      </c>
      <c r="DE22" s="1184"/>
      <c r="DF22" s="1111"/>
      <c r="DG22" s="1185"/>
      <c r="DH22" s="1128"/>
      <c r="DI22" s="1193" t="s">
        <v>89</v>
      </c>
      <c r="DJ22" s="1184"/>
      <c r="DK22" s="1111"/>
      <c r="DL22" s="1185"/>
      <c r="DM22" s="1128"/>
      <c r="DN22" s="1193" t="s">
        <v>89</v>
      </c>
      <c r="DO22" s="1184"/>
      <c r="DP22" s="1111"/>
      <c r="DQ22" s="1185"/>
      <c r="DR22" s="1128"/>
      <c r="DS22" s="1193" t="s">
        <v>89</v>
      </c>
      <c r="DT22" s="1184"/>
      <c r="DU22" s="1111"/>
      <c r="DV22" s="1185"/>
      <c r="DW22" s="1128"/>
      <c r="DX22" s="1193" t="s">
        <v>89</v>
      </c>
      <c r="DY22" s="1184"/>
      <c r="DZ22" s="1111"/>
      <c r="EA22" s="1185"/>
      <c r="EB22" s="1128"/>
      <c r="EC22" s="1193" t="s">
        <v>89</v>
      </c>
      <c r="ED22" s="1184"/>
      <c r="EE22" s="1111"/>
      <c r="EF22" s="1185"/>
      <c r="EG22" s="1128"/>
      <c r="EH22" s="1193" t="s">
        <v>89</v>
      </c>
      <c r="EI22" s="1184"/>
      <c r="EJ22" s="1111"/>
      <c r="EK22" s="1185"/>
      <c r="EL22" s="1128"/>
      <c r="EM22" s="1206"/>
      <c r="EN22" s="1195"/>
      <c r="EO22" s="1196"/>
      <c r="EP22" s="1197"/>
      <c r="EQ22" s="1198"/>
      <c r="ER22" s="31"/>
      <c r="ES22" s="1207"/>
      <c r="ET22" s="1195"/>
      <c r="EU22" s="1196"/>
      <c r="EV22" s="1197"/>
      <c r="EW22" s="1198"/>
    </row>
    <row r="23" spans="1:153" s="8" customFormat="1" ht="15" customHeight="1" thickBot="1">
      <c r="A23" s="1598"/>
      <c r="B23" s="1621"/>
      <c r="C23" s="1622"/>
      <c r="D23" s="1065"/>
      <c r="E23" s="1108" t="s">
        <v>90</v>
      </c>
      <c r="F23" s="1184"/>
      <c r="G23" s="1111"/>
      <c r="H23" s="1185"/>
      <c r="I23" s="1065"/>
      <c r="J23" s="1108" t="s">
        <v>90</v>
      </c>
      <c r="K23" s="1109"/>
      <c r="L23" s="1065"/>
      <c r="M23" s="1125" t="s">
        <v>90</v>
      </c>
      <c r="N23" s="1184"/>
      <c r="O23" s="1111"/>
      <c r="P23" s="1185"/>
      <c r="Q23" s="1065"/>
      <c r="R23" s="1125" t="s">
        <v>90</v>
      </c>
      <c r="S23" s="1184"/>
      <c r="T23" s="1111"/>
      <c r="U23" s="1185"/>
      <c r="V23" s="1112"/>
      <c r="W23" s="1125" t="s">
        <v>90</v>
      </c>
      <c r="X23" s="1184"/>
      <c r="Y23" s="1111"/>
      <c r="Z23" s="1185"/>
      <c r="AA23" s="1112"/>
      <c r="AB23" s="1125" t="s">
        <v>90</v>
      </c>
      <c r="AC23" s="1184"/>
      <c r="AD23" s="1111"/>
      <c r="AE23" s="1185"/>
      <c r="AF23" s="1114"/>
      <c r="AG23" s="1125" t="s">
        <v>90</v>
      </c>
      <c r="AH23" s="1184"/>
      <c r="AI23" s="1111"/>
      <c r="AJ23" s="1185"/>
      <c r="AK23" s="1112"/>
      <c r="AL23" s="1125" t="s">
        <v>90</v>
      </c>
      <c r="AM23" s="1184"/>
      <c r="AN23" s="1111"/>
      <c r="AO23" s="1185"/>
      <c r="AP23" s="1114"/>
      <c r="AQ23" s="1125" t="s">
        <v>90</v>
      </c>
      <c r="AR23" s="1184"/>
      <c r="AS23" s="1111"/>
      <c r="AT23" s="1185"/>
      <c r="AU23" s="1114"/>
      <c r="AV23" s="1125" t="s">
        <v>90</v>
      </c>
      <c r="AW23" s="1184"/>
      <c r="AX23" s="1111"/>
      <c r="AY23" s="1185"/>
      <c r="AZ23" s="1114"/>
      <c r="BA23" s="1125" t="s">
        <v>90</v>
      </c>
      <c r="BB23" s="1184"/>
      <c r="BC23" s="1111"/>
      <c r="BD23" s="1185"/>
      <c r="BE23" s="1114"/>
      <c r="BF23" s="1125" t="s">
        <v>90</v>
      </c>
      <c r="BG23" s="1184"/>
      <c r="BH23" s="1111"/>
      <c r="BI23" s="1185"/>
      <c r="BJ23" s="1573"/>
      <c r="BK23" s="1125" t="s">
        <v>90</v>
      </c>
      <c r="BL23" s="1184"/>
      <c r="BM23" s="1111"/>
      <c r="BN23" s="1185"/>
      <c r="BO23" s="1067"/>
      <c r="BP23" s="1125" t="s">
        <v>90</v>
      </c>
      <c r="BQ23" s="1184"/>
      <c r="BR23" s="1111"/>
      <c r="BS23" s="1185"/>
      <c r="BT23" s="1067"/>
      <c r="BU23" s="1125" t="s">
        <v>90</v>
      </c>
      <c r="BV23" s="1184"/>
      <c r="BW23" s="1111"/>
      <c r="BX23" s="1185"/>
      <c r="BY23" s="1128"/>
      <c r="BZ23" s="1125" t="s">
        <v>90</v>
      </c>
      <c r="CA23" s="1184"/>
      <c r="CB23" s="1111"/>
      <c r="CC23" s="1185"/>
      <c r="CD23" s="1114"/>
      <c r="CE23" s="1125" t="s">
        <v>90</v>
      </c>
      <c r="CF23" s="1184"/>
      <c r="CG23" s="1111"/>
      <c r="CH23" s="1185"/>
      <c r="CI23" s="1128"/>
      <c r="CJ23" s="1125" t="s">
        <v>90</v>
      </c>
      <c r="CK23" s="1110"/>
      <c r="CL23" s="1111"/>
      <c r="CM23" s="1185"/>
      <c r="CN23" s="1114"/>
      <c r="CO23" s="1125" t="s">
        <v>90</v>
      </c>
      <c r="CP23" s="1110"/>
      <c r="CQ23" s="1111"/>
      <c r="CR23" s="1185"/>
      <c r="CS23" s="1128"/>
      <c r="CT23" s="1125" t="s">
        <v>90</v>
      </c>
      <c r="CU23" s="1184"/>
      <c r="CV23" s="1111"/>
      <c r="CW23" s="1185"/>
      <c r="CX23" s="1128"/>
      <c r="CY23" s="1125" t="s">
        <v>90</v>
      </c>
      <c r="CZ23" s="1184"/>
      <c r="DA23" s="1111"/>
      <c r="DB23" s="1185"/>
      <c r="DC23" s="1128"/>
      <c r="DD23" s="1125" t="s">
        <v>90</v>
      </c>
      <c r="DE23" s="1184"/>
      <c r="DF23" s="1111"/>
      <c r="DG23" s="1185"/>
      <c r="DH23" s="1128"/>
      <c r="DI23" s="1125" t="s">
        <v>90</v>
      </c>
      <c r="DJ23" s="1184"/>
      <c r="DK23" s="1111"/>
      <c r="DL23" s="1185"/>
      <c r="DM23" s="1128"/>
      <c r="DN23" s="1125" t="s">
        <v>90</v>
      </c>
      <c r="DO23" s="1184"/>
      <c r="DP23" s="1111"/>
      <c r="DQ23" s="1185"/>
      <c r="DR23" s="1128"/>
      <c r="DS23" s="1125" t="s">
        <v>90</v>
      </c>
      <c r="DT23" s="1184"/>
      <c r="DU23" s="1111"/>
      <c r="DV23" s="1185"/>
      <c r="DW23" s="1128"/>
      <c r="DX23" s="1125" t="s">
        <v>90</v>
      </c>
      <c r="DY23" s="1184"/>
      <c r="DZ23" s="1111"/>
      <c r="EA23" s="1185"/>
      <c r="EB23" s="1128"/>
      <c r="EC23" s="1125" t="s">
        <v>90</v>
      </c>
      <c r="ED23" s="1184"/>
      <c r="EE23" s="1111"/>
      <c r="EF23" s="1185"/>
      <c r="EG23" s="1128"/>
      <c r="EH23" s="1125" t="s">
        <v>90</v>
      </c>
      <c r="EI23" s="1184"/>
      <c r="EJ23" s="1111"/>
      <c r="EK23" s="1185"/>
      <c r="EL23" s="1128"/>
      <c r="EM23" s="1206"/>
      <c r="EN23" s="1195"/>
      <c r="EO23" s="1196"/>
      <c r="EP23" s="1197"/>
      <c r="EQ23" s="1198"/>
      <c r="ER23" s="31"/>
      <c r="ES23" s="1207"/>
      <c r="ET23" s="1195"/>
      <c r="EU23" s="1196"/>
      <c r="EV23" s="1197"/>
      <c r="EW23" s="1198"/>
    </row>
    <row r="24" spans="1:153" s="8" customFormat="1" ht="15" customHeight="1" thickBot="1">
      <c r="A24" s="1598"/>
      <c r="B24" s="1148"/>
      <c r="C24" s="1148"/>
      <c r="D24" s="1065"/>
      <c r="E24" s="1125" t="s">
        <v>93</v>
      </c>
      <c r="F24" s="1184"/>
      <c r="G24" s="1111"/>
      <c r="H24" s="1185"/>
      <c r="I24" s="1065"/>
      <c r="J24" s="1125" t="s">
        <v>93</v>
      </c>
      <c r="K24" s="1109"/>
      <c r="L24" s="1065"/>
      <c r="M24" s="1193" t="s">
        <v>93</v>
      </c>
      <c r="N24" s="1184"/>
      <c r="O24" s="1111"/>
      <c r="P24" s="1185"/>
      <c r="Q24" s="1065"/>
      <c r="R24" s="1193" t="s">
        <v>93</v>
      </c>
      <c r="S24" s="1184"/>
      <c r="T24" s="1111"/>
      <c r="U24" s="1185"/>
      <c r="V24" s="1112"/>
      <c r="W24" s="1193" t="s">
        <v>93</v>
      </c>
      <c r="X24" s="1184"/>
      <c r="Y24" s="1111"/>
      <c r="Z24" s="1185"/>
      <c r="AA24" s="1112"/>
      <c r="AB24" s="1193" t="s">
        <v>93</v>
      </c>
      <c r="AC24" s="1184"/>
      <c r="AD24" s="1111"/>
      <c r="AE24" s="1185"/>
      <c r="AF24" s="1114"/>
      <c r="AG24" s="1193" t="s">
        <v>93</v>
      </c>
      <c r="AH24" s="1184"/>
      <c r="AI24" s="1111"/>
      <c r="AJ24" s="1185"/>
      <c r="AK24" s="1112"/>
      <c r="AL24" s="1193" t="s">
        <v>93</v>
      </c>
      <c r="AM24" s="1184"/>
      <c r="AN24" s="1111"/>
      <c r="AO24" s="1185"/>
      <c r="AP24" s="1114"/>
      <c r="AQ24" s="1193" t="s">
        <v>93</v>
      </c>
      <c r="AR24" s="1184"/>
      <c r="AS24" s="1111"/>
      <c r="AT24" s="1185"/>
      <c r="AU24" s="1114"/>
      <c r="AV24" s="1193" t="s">
        <v>93</v>
      </c>
      <c r="AW24" s="1184"/>
      <c r="AX24" s="1111"/>
      <c r="AY24" s="1185"/>
      <c r="AZ24" s="1114"/>
      <c r="BA24" s="1193" t="s">
        <v>93</v>
      </c>
      <c r="BB24" s="1184"/>
      <c r="BC24" s="1111"/>
      <c r="BD24" s="1185"/>
      <c r="BE24" s="1114"/>
      <c r="BF24" s="1193" t="s">
        <v>93</v>
      </c>
      <c r="BG24" s="1184"/>
      <c r="BH24" s="1111"/>
      <c r="BI24" s="1185"/>
      <c r="BJ24" s="1573"/>
      <c r="BK24" s="1193" t="s">
        <v>93</v>
      </c>
      <c r="BL24" s="1184"/>
      <c r="BM24" s="1111"/>
      <c r="BN24" s="1185"/>
      <c r="BO24" s="1067"/>
      <c r="BP24" s="1193" t="s">
        <v>93</v>
      </c>
      <c r="BQ24" s="1184"/>
      <c r="BR24" s="1111"/>
      <c r="BS24" s="1185"/>
      <c r="BT24" s="1067"/>
      <c r="BU24" s="1193" t="s">
        <v>93</v>
      </c>
      <c r="BV24" s="1184"/>
      <c r="BW24" s="1111"/>
      <c r="BX24" s="1185"/>
      <c r="BY24" s="1128"/>
      <c r="BZ24" s="1193" t="s">
        <v>93</v>
      </c>
      <c r="CA24" s="1184"/>
      <c r="CB24" s="1111"/>
      <c r="CC24" s="1185"/>
      <c r="CD24" s="1114"/>
      <c r="CE24" s="1193" t="s">
        <v>93</v>
      </c>
      <c r="CF24" s="1184"/>
      <c r="CG24" s="1111"/>
      <c r="CH24" s="1185"/>
      <c r="CI24" s="1128"/>
      <c r="CJ24" s="1193" t="s">
        <v>93</v>
      </c>
      <c r="CK24" s="1110"/>
      <c r="CL24" s="1111"/>
      <c r="CM24" s="1185"/>
      <c r="CN24" s="1114"/>
      <c r="CO24" s="1193" t="s">
        <v>93</v>
      </c>
      <c r="CP24" s="1110"/>
      <c r="CQ24" s="1111"/>
      <c r="CR24" s="1185"/>
      <c r="CS24" s="1128"/>
      <c r="CT24" s="1193" t="s">
        <v>93</v>
      </c>
      <c r="CU24" s="1184"/>
      <c r="CV24" s="1111"/>
      <c r="CW24" s="1185"/>
      <c r="CX24" s="1128"/>
      <c r="CY24" s="1193" t="s">
        <v>93</v>
      </c>
      <c r="CZ24" s="1184"/>
      <c r="DA24" s="1111"/>
      <c r="DB24" s="1185"/>
      <c r="DC24" s="1128"/>
      <c r="DD24" s="1193" t="s">
        <v>93</v>
      </c>
      <c r="DE24" s="1184"/>
      <c r="DF24" s="1111"/>
      <c r="DG24" s="1185"/>
      <c r="DH24" s="1128"/>
      <c r="DI24" s="1193" t="s">
        <v>93</v>
      </c>
      <c r="DJ24" s="1184"/>
      <c r="DK24" s="1111"/>
      <c r="DL24" s="1185"/>
      <c r="DM24" s="1128"/>
      <c r="DN24" s="1193" t="s">
        <v>93</v>
      </c>
      <c r="DO24" s="1184"/>
      <c r="DP24" s="1111"/>
      <c r="DQ24" s="1185"/>
      <c r="DR24" s="1128"/>
      <c r="DS24" s="1193" t="s">
        <v>93</v>
      </c>
      <c r="DT24" s="1184"/>
      <c r="DU24" s="1111"/>
      <c r="DV24" s="1185"/>
      <c r="DW24" s="1128"/>
      <c r="DX24" s="1193" t="s">
        <v>93</v>
      </c>
      <c r="DY24" s="1184"/>
      <c r="DZ24" s="1111"/>
      <c r="EA24" s="1185"/>
      <c r="EB24" s="1128"/>
      <c r="EC24" s="1193" t="s">
        <v>93</v>
      </c>
      <c r="ED24" s="1184"/>
      <c r="EE24" s="1111"/>
      <c r="EF24" s="1185"/>
      <c r="EG24" s="1128"/>
      <c r="EH24" s="1193" t="s">
        <v>93</v>
      </c>
      <c r="EI24" s="1184"/>
      <c r="EJ24" s="1111"/>
      <c r="EK24" s="1185"/>
      <c r="EL24" s="1128"/>
      <c r="EM24" s="1206"/>
      <c r="EN24" s="1195"/>
      <c r="EO24" s="1196"/>
      <c r="EP24" s="1197"/>
      <c r="EQ24" s="1198"/>
      <c r="ER24" s="31"/>
      <c r="ES24" s="1207"/>
      <c r="ET24" s="1195"/>
      <c r="EU24" s="1196"/>
      <c r="EV24" s="1197"/>
      <c r="EW24" s="1198"/>
    </row>
    <row r="25" spans="1:153" s="8" customFormat="1" ht="15" customHeight="1" thickBot="1">
      <c r="A25" s="1598"/>
      <c r="B25" s="1599" t="s">
        <v>359</v>
      </c>
      <c r="C25" s="1600"/>
      <c r="D25" s="1065"/>
      <c r="E25" s="1108" t="s">
        <v>91</v>
      </c>
      <c r="F25" s="1184"/>
      <c r="G25" s="1111"/>
      <c r="H25" s="1185"/>
      <c r="I25" s="1065"/>
      <c r="J25" s="1108" t="s">
        <v>91</v>
      </c>
      <c r="K25" s="1109"/>
      <c r="L25" s="1065"/>
      <c r="M25" s="1125" t="s">
        <v>91</v>
      </c>
      <c r="N25" s="1184"/>
      <c r="O25" s="1111"/>
      <c r="P25" s="1185"/>
      <c r="Q25" s="1065"/>
      <c r="R25" s="1125" t="s">
        <v>91</v>
      </c>
      <c r="S25" s="1184"/>
      <c r="T25" s="1111"/>
      <c r="U25" s="1185"/>
      <c r="V25" s="1112"/>
      <c r="W25" s="1125" t="s">
        <v>91</v>
      </c>
      <c r="X25" s="1184"/>
      <c r="Y25" s="1111"/>
      <c r="Z25" s="1185"/>
      <c r="AA25" s="1112"/>
      <c r="AB25" s="1125" t="s">
        <v>91</v>
      </c>
      <c r="AC25" s="1184"/>
      <c r="AD25" s="1111"/>
      <c r="AE25" s="1185"/>
      <c r="AF25" s="1114"/>
      <c r="AG25" s="1125" t="s">
        <v>91</v>
      </c>
      <c r="AH25" s="1184"/>
      <c r="AI25" s="1111"/>
      <c r="AJ25" s="1185"/>
      <c r="AK25" s="1112"/>
      <c r="AL25" s="1125" t="s">
        <v>91</v>
      </c>
      <c r="AM25" s="1184"/>
      <c r="AN25" s="1111"/>
      <c r="AO25" s="1185"/>
      <c r="AP25" s="1114"/>
      <c r="AQ25" s="1125" t="s">
        <v>91</v>
      </c>
      <c r="AR25" s="1184"/>
      <c r="AS25" s="1111"/>
      <c r="AT25" s="1185"/>
      <c r="AU25" s="1114"/>
      <c r="AV25" s="1125" t="s">
        <v>91</v>
      </c>
      <c r="AW25" s="1184"/>
      <c r="AX25" s="1111"/>
      <c r="AY25" s="1185"/>
      <c r="AZ25" s="1114"/>
      <c r="BA25" s="1125" t="s">
        <v>91</v>
      </c>
      <c r="BB25" s="1184"/>
      <c r="BC25" s="1111"/>
      <c r="BD25" s="1185"/>
      <c r="BE25" s="1114"/>
      <c r="BF25" s="1125" t="s">
        <v>91</v>
      </c>
      <c r="BG25" s="1184"/>
      <c r="BH25" s="1111"/>
      <c r="BI25" s="1185"/>
      <c r="BJ25" s="1573"/>
      <c r="BK25" s="1125" t="s">
        <v>91</v>
      </c>
      <c r="BL25" s="1184"/>
      <c r="BM25" s="1111"/>
      <c r="BN25" s="1185"/>
      <c r="BO25" s="1067"/>
      <c r="BP25" s="1125" t="s">
        <v>91</v>
      </c>
      <c r="BQ25" s="1184"/>
      <c r="BR25" s="1111"/>
      <c r="BS25" s="1185"/>
      <c r="BT25" s="1067"/>
      <c r="BU25" s="1125" t="s">
        <v>91</v>
      </c>
      <c r="BV25" s="1184"/>
      <c r="BW25" s="1111"/>
      <c r="BX25" s="1185"/>
      <c r="BY25" s="1128"/>
      <c r="BZ25" s="1125" t="s">
        <v>91</v>
      </c>
      <c r="CA25" s="1184"/>
      <c r="CB25" s="1111"/>
      <c r="CC25" s="1185"/>
      <c r="CD25" s="1114"/>
      <c r="CE25" s="1125" t="s">
        <v>91</v>
      </c>
      <c r="CF25" s="1184"/>
      <c r="CG25" s="1111"/>
      <c r="CH25" s="1185"/>
      <c r="CI25" s="1128"/>
      <c r="CJ25" s="1125" t="s">
        <v>91</v>
      </c>
      <c r="CK25" s="1110"/>
      <c r="CL25" s="1111"/>
      <c r="CM25" s="1185"/>
      <c r="CN25" s="1114"/>
      <c r="CO25" s="1125" t="s">
        <v>91</v>
      </c>
      <c r="CP25" s="1110"/>
      <c r="CQ25" s="1111"/>
      <c r="CR25" s="1185"/>
      <c r="CS25" s="1128"/>
      <c r="CT25" s="1125" t="s">
        <v>91</v>
      </c>
      <c r="CU25" s="1184"/>
      <c r="CV25" s="1111"/>
      <c r="CW25" s="1185"/>
      <c r="CX25" s="1128"/>
      <c r="CY25" s="1125" t="s">
        <v>91</v>
      </c>
      <c r="CZ25" s="1184"/>
      <c r="DA25" s="1111"/>
      <c r="DB25" s="1185"/>
      <c r="DC25" s="1128"/>
      <c r="DD25" s="1125" t="s">
        <v>91</v>
      </c>
      <c r="DE25" s="1184"/>
      <c r="DF25" s="1111"/>
      <c r="DG25" s="1185"/>
      <c r="DH25" s="1128"/>
      <c r="DI25" s="1125" t="s">
        <v>91</v>
      </c>
      <c r="DJ25" s="1184"/>
      <c r="DK25" s="1111"/>
      <c r="DL25" s="1185"/>
      <c r="DM25" s="1128"/>
      <c r="DN25" s="1125" t="s">
        <v>91</v>
      </c>
      <c r="DO25" s="1184"/>
      <c r="DP25" s="1111"/>
      <c r="DQ25" s="1185"/>
      <c r="DR25" s="1128"/>
      <c r="DS25" s="1125" t="s">
        <v>91</v>
      </c>
      <c r="DT25" s="1184"/>
      <c r="DU25" s="1111"/>
      <c r="DV25" s="1185"/>
      <c r="DW25" s="1128"/>
      <c r="DX25" s="1125" t="s">
        <v>91</v>
      </c>
      <c r="DY25" s="1184"/>
      <c r="DZ25" s="1111"/>
      <c r="EA25" s="1185"/>
      <c r="EB25" s="1128"/>
      <c r="EC25" s="1125" t="s">
        <v>91</v>
      </c>
      <c r="ED25" s="1184"/>
      <c r="EE25" s="1111"/>
      <c r="EF25" s="1185"/>
      <c r="EG25" s="1128"/>
      <c r="EH25" s="1125" t="s">
        <v>91</v>
      </c>
      <c r="EI25" s="1184"/>
      <c r="EJ25" s="1111"/>
      <c r="EK25" s="1185"/>
      <c r="EL25" s="1128"/>
      <c r="EM25" s="1206"/>
      <c r="EN25" s="1195"/>
      <c r="EO25" s="1196"/>
      <c r="EP25" s="1197"/>
      <c r="EQ25" s="1198"/>
      <c r="ER25" s="31"/>
      <c r="ES25" s="1207"/>
      <c r="ET25" s="1195"/>
      <c r="EU25" s="1196"/>
      <c r="EV25" s="1197"/>
      <c r="EW25" s="1198"/>
    </row>
    <row r="26" spans="1:153" s="8" customFormat="1" ht="15" customHeight="1" thickBot="1">
      <c r="A26" s="1598"/>
      <c r="B26" s="1601"/>
      <c r="C26" s="1602"/>
      <c r="D26" s="1065"/>
      <c r="E26" s="1125" t="s">
        <v>92</v>
      </c>
      <c r="F26" s="1184"/>
      <c r="G26" s="1111"/>
      <c r="H26" s="1185"/>
      <c r="I26" s="1065"/>
      <c r="J26" s="1125" t="s">
        <v>92</v>
      </c>
      <c r="K26" s="1109"/>
      <c r="L26" s="1065"/>
      <c r="M26" s="1193" t="s">
        <v>92</v>
      </c>
      <c r="N26" s="1184"/>
      <c r="O26" s="1111"/>
      <c r="P26" s="1185"/>
      <c r="Q26" s="1065"/>
      <c r="R26" s="1193" t="s">
        <v>92</v>
      </c>
      <c r="S26" s="1184"/>
      <c r="T26" s="1111"/>
      <c r="U26" s="1185"/>
      <c r="V26" s="1112"/>
      <c r="W26" s="1193" t="s">
        <v>92</v>
      </c>
      <c r="X26" s="1184"/>
      <c r="Y26" s="1111"/>
      <c r="Z26" s="1185"/>
      <c r="AA26" s="1112"/>
      <c r="AB26" s="1193" t="s">
        <v>92</v>
      </c>
      <c r="AC26" s="1184"/>
      <c r="AD26" s="1111"/>
      <c r="AE26" s="1185"/>
      <c r="AF26" s="1114"/>
      <c r="AG26" s="1193" t="s">
        <v>92</v>
      </c>
      <c r="AH26" s="1184"/>
      <c r="AI26" s="1111"/>
      <c r="AJ26" s="1185"/>
      <c r="AK26" s="1112"/>
      <c r="AL26" s="1193" t="s">
        <v>92</v>
      </c>
      <c r="AM26" s="1184"/>
      <c r="AN26" s="1111"/>
      <c r="AO26" s="1185"/>
      <c r="AP26" s="1114"/>
      <c r="AQ26" s="1193" t="s">
        <v>92</v>
      </c>
      <c r="AR26" s="1184"/>
      <c r="AS26" s="1111"/>
      <c r="AT26" s="1185"/>
      <c r="AU26" s="1114"/>
      <c r="AV26" s="1193" t="s">
        <v>92</v>
      </c>
      <c r="AW26" s="1184"/>
      <c r="AX26" s="1111"/>
      <c r="AY26" s="1185"/>
      <c r="AZ26" s="1114"/>
      <c r="BA26" s="1193" t="s">
        <v>92</v>
      </c>
      <c r="BB26" s="1184"/>
      <c r="BC26" s="1111"/>
      <c r="BD26" s="1185"/>
      <c r="BE26" s="1114"/>
      <c r="BF26" s="1193" t="s">
        <v>92</v>
      </c>
      <c r="BG26" s="1184"/>
      <c r="BH26" s="1111"/>
      <c r="BI26" s="1185"/>
      <c r="BJ26" s="1573"/>
      <c r="BK26" s="1193" t="s">
        <v>92</v>
      </c>
      <c r="BL26" s="1184"/>
      <c r="BM26" s="1111"/>
      <c r="BN26" s="1185"/>
      <c r="BO26" s="1067"/>
      <c r="BP26" s="1193" t="s">
        <v>92</v>
      </c>
      <c r="BQ26" s="1184"/>
      <c r="BR26" s="1111"/>
      <c r="BS26" s="1185"/>
      <c r="BT26" s="1067"/>
      <c r="BU26" s="1193" t="s">
        <v>92</v>
      </c>
      <c r="BV26" s="1184"/>
      <c r="BW26" s="1111"/>
      <c r="BX26" s="1185"/>
      <c r="BY26" s="1128"/>
      <c r="BZ26" s="1193" t="s">
        <v>92</v>
      </c>
      <c r="CA26" s="1184"/>
      <c r="CB26" s="1111"/>
      <c r="CC26" s="1185"/>
      <c r="CD26" s="1114"/>
      <c r="CE26" s="1193" t="s">
        <v>92</v>
      </c>
      <c r="CF26" s="1184"/>
      <c r="CG26" s="1111"/>
      <c r="CH26" s="1185"/>
      <c r="CI26" s="1128"/>
      <c r="CJ26" s="1193" t="s">
        <v>92</v>
      </c>
      <c r="CK26" s="1110"/>
      <c r="CL26" s="1111"/>
      <c r="CM26" s="1185"/>
      <c r="CN26" s="1114"/>
      <c r="CO26" s="1193" t="s">
        <v>92</v>
      </c>
      <c r="CP26" s="1110"/>
      <c r="CQ26" s="1111"/>
      <c r="CR26" s="1185"/>
      <c r="CS26" s="1128"/>
      <c r="CT26" s="1193" t="s">
        <v>92</v>
      </c>
      <c r="CU26" s="1184"/>
      <c r="CV26" s="1111"/>
      <c r="CW26" s="1185"/>
      <c r="CX26" s="1128"/>
      <c r="CY26" s="1193" t="s">
        <v>92</v>
      </c>
      <c r="CZ26" s="1184"/>
      <c r="DA26" s="1111"/>
      <c r="DB26" s="1185"/>
      <c r="DC26" s="1128"/>
      <c r="DD26" s="1193" t="s">
        <v>92</v>
      </c>
      <c r="DE26" s="1184"/>
      <c r="DF26" s="1111"/>
      <c r="DG26" s="1185"/>
      <c r="DH26" s="1128"/>
      <c r="DI26" s="1193" t="s">
        <v>92</v>
      </c>
      <c r="DJ26" s="1184"/>
      <c r="DK26" s="1111"/>
      <c r="DL26" s="1185"/>
      <c r="DM26" s="1128"/>
      <c r="DN26" s="1193" t="s">
        <v>92</v>
      </c>
      <c r="DO26" s="1184"/>
      <c r="DP26" s="1111"/>
      <c r="DQ26" s="1185"/>
      <c r="DR26" s="1128"/>
      <c r="DS26" s="1193" t="s">
        <v>92</v>
      </c>
      <c r="DT26" s="1184"/>
      <c r="DU26" s="1111"/>
      <c r="DV26" s="1185"/>
      <c r="DW26" s="1128"/>
      <c r="DX26" s="1193" t="s">
        <v>92</v>
      </c>
      <c r="DY26" s="1184"/>
      <c r="DZ26" s="1111"/>
      <c r="EA26" s="1185"/>
      <c r="EB26" s="1128"/>
      <c r="EC26" s="1193" t="s">
        <v>92</v>
      </c>
      <c r="ED26" s="1110"/>
      <c r="EE26" s="1111"/>
      <c r="EF26" s="1185"/>
      <c r="EG26" s="1128"/>
      <c r="EH26" s="1193" t="s">
        <v>92</v>
      </c>
      <c r="EI26" s="1110"/>
      <c r="EJ26" s="1111"/>
      <c r="EK26" s="1185"/>
      <c r="EL26" s="1128"/>
      <c r="EM26" s="1206"/>
      <c r="EN26" s="1208"/>
      <c r="EO26" s="1209"/>
      <c r="EP26" s="1210"/>
      <c r="EQ26" s="1211"/>
      <c r="ER26" s="31"/>
      <c r="ES26" s="1212"/>
      <c r="ET26" s="1208"/>
      <c r="EU26" s="1209"/>
      <c r="EV26" s="1210"/>
      <c r="EW26" s="1211"/>
    </row>
    <row r="27" spans="1:153" s="8" customFormat="1" ht="15" customHeight="1">
      <c r="A27"/>
      <c r="B27" s="129"/>
      <c r="C27" s="129"/>
      <c r="D27" s="10"/>
      <c r="E27" s="122"/>
      <c r="F27" s="122"/>
      <c r="G27" s="122"/>
      <c r="H27" s="122"/>
      <c r="I27" s="122"/>
      <c r="J27" s="10"/>
      <c r="K27" s="10"/>
      <c r="L27" s="122"/>
      <c r="M27" s="10"/>
      <c r="N27" s="10"/>
      <c r="O27" s="10"/>
      <c r="P27" s="10"/>
      <c r="Q27" s="122"/>
      <c r="R27" s="130"/>
      <c r="S27" s="38"/>
      <c r="T27" s="38"/>
      <c r="U27" s="38"/>
      <c r="V27" s="37"/>
      <c r="W27" s="130"/>
      <c r="X27" s="38"/>
      <c r="Y27" s="38"/>
      <c r="Z27" s="38"/>
      <c r="AA27" s="37"/>
      <c r="AB27" s="130"/>
      <c r="AC27" s="38"/>
      <c r="AD27" s="38"/>
      <c r="AE27" s="38"/>
      <c r="AF27" s="38"/>
      <c r="AG27" s="130"/>
      <c r="AH27" s="38"/>
      <c r="AI27" s="38"/>
      <c r="AJ27" s="38"/>
      <c r="AK27" s="37"/>
      <c r="AL27" s="312"/>
      <c r="AM27" s="313"/>
      <c r="AN27" s="313"/>
      <c r="AO27" s="313"/>
      <c r="AP27" s="313"/>
      <c r="AQ27" s="312"/>
      <c r="AR27" s="313"/>
      <c r="AS27" s="313"/>
      <c r="AT27" s="313"/>
      <c r="AU27" s="313"/>
      <c r="AZ27" s="313"/>
      <c r="BA27" s="312"/>
      <c r="BB27" s="313"/>
      <c r="BC27" s="313"/>
      <c r="BD27" s="313"/>
      <c r="BE27" s="38"/>
      <c r="BF27" s="130"/>
      <c r="BG27" s="38"/>
      <c r="BH27" s="38"/>
      <c r="BI27" s="38"/>
      <c r="BJ27" s="786"/>
      <c r="BK27" s="130"/>
      <c r="BL27" s="38"/>
      <c r="BM27" s="38"/>
      <c r="BN27" s="38"/>
      <c r="BO27" s="786"/>
      <c r="BP27" s="130"/>
      <c r="BQ27" s="38"/>
      <c r="BR27" s="38"/>
      <c r="BS27" s="38"/>
      <c r="BT27" s="786"/>
      <c r="BU27" s="130"/>
      <c r="BV27" s="38"/>
      <c r="BW27" s="38"/>
      <c r="BX27" s="38"/>
      <c r="BY27" s="31"/>
      <c r="BZ27" s="130"/>
      <c r="CA27" s="38"/>
      <c r="CB27" s="38"/>
      <c r="CC27" s="38"/>
      <c r="CD27" s="38"/>
      <c r="CE27" s="130"/>
      <c r="CF27" s="38"/>
      <c r="CG27" s="38"/>
      <c r="CH27" s="38"/>
      <c r="CI27" s="31"/>
      <c r="CO27" s="130"/>
      <c r="CP27" s="38"/>
      <c r="CQ27" s="38"/>
      <c r="CR27" s="38"/>
      <c r="CS27" s="31"/>
      <c r="CT27" s="130"/>
      <c r="CU27" s="38"/>
      <c r="CV27" s="38"/>
      <c r="CW27" s="38"/>
      <c r="CX27" s="31"/>
      <c r="CY27" s="130"/>
      <c r="CZ27" s="38"/>
      <c r="DA27" s="38"/>
      <c r="DB27" s="38"/>
      <c r="DC27" s="31"/>
      <c r="DD27" s="130"/>
      <c r="DE27" s="38"/>
      <c r="DF27" s="38"/>
      <c r="DG27" s="38"/>
      <c r="DH27" s="31"/>
      <c r="DI27" s="130"/>
      <c r="DJ27" s="38"/>
      <c r="DK27" s="38"/>
      <c r="DL27" s="38"/>
      <c r="DM27" s="31"/>
      <c r="DN27" s="130"/>
      <c r="DO27" s="38"/>
      <c r="DP27" s="38"/>
      <c r="DQ27" s="38"/>
      <c r="DR27" s="31"/>
      <c r="DS27" s="130"/>
      <c r="DT27" s="38"/>
      <c r="DU27" s="38"/>
      <c r="DV27" s="38"/>
      <c r="DW27" s="31"/>
      <c r="DX27" s="130"/>
      <c r="DY27" s="38"/>
      <c r="DZ27" s="38"/>
      <c r="EA27" s="38"/>
      <c r="EB27" s="31"/>
      <c r="EC27" s="130"/>
      <c r="ED27" s="38"/>
      <c r="EE27" s="38"/>
      <c r="EF27" s="38"/>
      <c r="EG27" s="31"/>
      <c r="EH27" s="130"/>
      <c r="EI27" s="38"/>
      <c r="EJ27" s="38"/>
      <c r="EK27" s="38"/>
      <c r="EL27" s="31"/>
      <c r="EM27" s="131"/>
      <c r="EN27" s="132"/>
      <c r="EO27" s="132"/>
      <c r="EP27" s="132"/>
      <c r="EQ27" s="132"/>
      <c r="ER27" s="31"/>
      <c r="ES27" s="131"/>
      <c r="ET27" s="132"/>
      <c r="EU27" s="132"/>
      <c r="EV27" s="132"/>
      <c r="EW27" s="132"/>
    </row>
    <row r="28" spans="1:153" s="8" customFormat="1" ht="15" customHeight="1">
      <c r="A28"/>
      <c r="B28" s="129"/>
      <c r="C28" s="129"/>
      <c r="D28" s="10"/>
      <c r="E28" s="122"/>
      <c r="F28" s="122"/>
      <c r="G28" s="122"/>
      <c r="H28" s="122"/>
      <c r="I28" s="122"/>
      <c r="J28" s="10"/>
      <c r="K28" s="10"/>
      <c r="L28" s="122"/>
      <c r="M28" s="10"/>
      <c r="N28" s="10"/>
      <c r="O28" s="10"/>
      <c r="P28" s="10"/>
      <c r="Q28" s="122"/>
      <c r="R28" s="130"/>
      <c r="S28" s="38"/>
      <c r="T28" s="38"/>
      <c r="U28" s="38"/>
      <c r="V28" s="37"/>
      <c r="W28" s="130"/>
      <c r="X28" s="38"/>
      <c r="Y28" s="38"/>
      <c r="Z28" s="38"/>
      <c r="AA28" s="37"/>
      <c r="AB28" s="130"/>
      <c r="AC28" s="38"/>
      <c r="AD28" s="38"/>
      <c r="AE28" s="38"/>
      <c r="AF28" s="38"/>
      <c r="AG28" s="130"/>
      <c r="AH28" s="38"/>
      <c r="AI28" s="38"/>
      <c r="AJ28" s="38"/>
      <c r="AK28" s="37"/>
      <c r="AL28" s="312"/>
      <c r="AM28" s="313"/>
      <c r="AN28" s="313"/>
      <c r="AO28" s="313"/>
      <c r="AP28" s="313"/>
      <c r="AQ28" s="312"/>
      <c r="AR28" s="313"/>
      <c r="AS28" s="313"/>
      <c r="AT28" s="313"/>
      <c r="AU28" s="313"/>
      <c r="AZ28" s="313"/>
      <c r="BA28" s="312"/>
      <c r="BB28" s="313"/>
      <c r="BC28" s="313"/>
      <c r="BD28" s="313"/>
      <c r="BE28" s="38"/>
      <c r="BF28" s="130"/>
      <c r="BG28" s="38"/>
      <c r="BH28" s="38"/>
      <c r="BI28" s="38"/>
      <c r="BJ28" s="786"/>
      <c r="BK28" s="130"/>
      <c r="BL28" s="38"/>
      <c r="BM28" s="38"/>
      <c r="BN28" s="38"/>
      <c r="BO28" s="786"/>
      <c r="BP28" s="130"/>
      <c r="BQ28" s="38"/>
      <c r="BR28" s="38"/>
      <c r="BS28" s="38"/>
      <c r="BT28" s="786"/>
      <c r="BU28" s="130"/>
      <c r="BV28" s="38"/>
      <c r="BW28" s="38"/>
      <c r="BX28" s="38"/>
      <c r="BY28" s="31"/>
      <c r="BZ28" s="130"/>
      <c r="CA28" s="38"/>
      <c r="CB28" s="38"/>
      <c r="CC28" s="38"/>
      <c r="CD28" s="38"/>
      <c r="CE28" s="130"/>
      <c r="CF28" s="38"/>
      <c r="CG28" s="38"/>
      <c r="CH28" s="38"/>
      <c r="CI28" s="31"/>
      <c r="CO28" s="130"/>
      <c r="CP28" s="38"/>
      <c r="CQ28" s="38"/>
      <c r="CR28" s="38"/>
      <c r="CS28" s="31"/>
      <c r="CT28" s="130"/>
      <c r="CU28" s="38"/>
      <c r="CV28" s="38"/>
      <c r="CW28" s="38"/>
      <c r="CX28" s="31"/>
      <c r="CY28" s="130"/>
      <c r="CZ28" s="38"/>
      <c r="DA28" s="38"/>
      <c r="DB28" s="38"/>
      <c r="DC28" s="31"/>
      <c r="DD28" s="130"/>
      <c r="DE28" s="38"/>
      <c r="DF28" s="38"/>
      <c r="DG28" s="38"/>
      <c r="DH28" s="31"/>
      <c r="DI28" s="130"/>
      <c r="DJ28" s="38"/>
      <c r="DK28" s="38"/>
      <c r="DL28" s="38"/>
      <c r="DM28" s="31"/>
      <c r="DN28" s="130"/>
      <c r="DO28" s="38"/>
      <c r="DP28" s="38"/>
      <c r="DQ28" s="38"/>
      <c r="DR28" s="31"/>
      <c r="DS28" s="130"/>
      <c r="DT28" s="38"/>
      <c r="DU28" s="38"/>
      <c r="DV28" s="38"/>
      <c r="DW28" s="31"/>
      <c r="DX28" s="130"/>
      <c r="DY28" s="38"/>
      <c r="DZ28" s="38"/>
      <c r="EA28" s="38"/>
      <c r="EB28" s="31"/>
      <c r="EC28" s="130"/>
      <c r="ED28" s="38"/>
      <c r="EE28" s="38"/>
      <c r="EF28" s="38"/>
      <c r="EG28" s="31"/>
      <c r="EH28" s="130"/>
      <c r="EI28" s="38"/>
      <c r="EJ28" s="38"/>
      <c r="EK28" s="38"/>
      <c r="EL28" s="31"/>
      <c r="EM28" s="131"/>
      <c r="EN28" s="132"/>
      <c r="EO28" s="132"/>
      <c r="EP28" s="132"/>
      <c r="EQ28" s="132"/>
      <c r="ER28" s="31">
        <f>SUM(ER5:ER27)</f>
        <v>0</v>
      </c>
      <c r="ES28" s="131"/>
      <c r="ET28" s="132"/>
      <c r="EU28" s="132"/>
      <c r="EV28" s="132"/>
      <c r="EW28" s="132"/>
    </row>
    <row r="29" spans="1:153" s="8" customFormat="1" ht="15" customHeight="1">
      <c r="A29"/>
      <c r="B29" s="1610"/>
      <c r="C29" s="129"/>
      <c r="D29" s="10"/>
      <c r="E29" s="122"/>
      <c r="F29" s="122"/>
      <c r="G29" s="122"/>
      <c r="H29" s="122"/>
      <c r="I29" s="122"/>
      <c r="J29" s="10"/>
      <c r="K29" s="10"/>
      <c r="L29" s="122"/>
      <c r="M29" s="10"/>
      <c r="N29" s="10"/>
      <c r="O29" s="10"/>
      <c r="P29" s="10"/>
      <c r="Q29" s="122"/>
      <c r="R29" s="130"/>
      <c r="S29" s="38"/>
      <c r="T29" s="38"/>
      <c r="U29" s="38"/>
      <c r="V29" s="37"/>
      <c r="W29" s="130"/>
      <c r="X29" s="38"/>
      <c r="Y29" s="38"/>
      <c r="Z29" s="38"/>
      <c r="AA29" s="37"/>
      <c r="AB29" s="130"/>
      <c r="AC29" s="38"/>
      <c r="AD29" s="38"/>
      <c r="AE29" s="38"/>
      <c r="AF29" s="38"/>
      <c r="AG29" s="130"/>
      <c r="AH29" s="38"/>
      <c r="AI29" s="38"/>
      <c r="AJ29" s="38"/>
      <c r="AK29" s="37"/>
      <c r="AL29" s="312"/>
      <c r="AM29" s="313"/>
      <c r="AN29" s="313"/>
      <c r="AO29" s="313"/>
      <c r="AP29" s="313"/>
      <c r="AQ29" s="312"/>
      <c r="AR29" s="313"/>
      <c r="AS29" s="313"/>
      <c r="AT29" s="313"/>
      <c r="AU29" s="313"/>
      <c r="AZ29" s="313"/>
      <c r="BA29" s="312"/>
      <c r="BB29" s="313"/>
      <c r="BC29" s="313"/>
      <c r="BD29" s="313"/>
      <c r="BE29" s="38"/>
      <c r="BF29" s="130"/>
      <c r="BG29" s="38"/>
      <c r="BH29" s="38"/>
      <c r="BI29" s="38"/>
      <c r="BJ29" s="786"/>
      <c r="BK29" s="130"/>
      <c r="BL29" s="38"/>
      <c r="BM29" s="38"/>
      <c r="BN29" s="38"/>
      <c r="BO29" s="786"/>
      <c r="BP29" s="130"/>
      <c r="BQ29" s="38"/>
      <c r="BR29" s="38"/>
      <c r="BS29" s="38"/>
      <c r="BT29" s="786"/>
      <c r="BU29" s="130"/>
      <c r="BV29" s="38"/>
      <c r="BW29" s="38"/>
      <c r="BX29" s="38"/>
      <c r="BY29" s="31"/>
      <c r="BZ29" s="130"/>
      <c r="CA29" s="38"/>
      <c r="CB29" s="38"/>
      <c r="CC29" s="38"/>
      <c r="CD29" s="38"/>
      <c r="CE29" s="130"/>
      <c r="CF29" s="38"/>
      <c r="CG29" s="38"/>
      <c r="CH29" s="38"/>
      <c r="CI29" s="31"/>
      <c r="CO29" s="130"/>
      <c r="CP29" s="38"/>
      <c r="CQ29" s="38"/>
      <c r="CR29" s="38"/>
      <c r="CS29" s="31"/>
      <c r="CT29" s="130"/>
      <c r="CU29" s="38"/>
      <c r="CV29" s="38"/>
      <c r="CW29" s="38"/>
      <c r="CX29" s="31"/>
      <c r="CY29" s="130"/>
      <c r="CZ29" s="38"/>
      <c r="DA29" s="38"/>
      <c r="DB29" s="38"/>
      <c r="DC29" s="31"/>
      <c r="DD29" s="130"/>
      <c r="DE29" s="38"/>
      <c r="DF29" s="38"/>
      <c r="DG29" s="38"/>
      <c r="DH29" s="31"/>
      <c r="DI29" s="130"/>
      <c r="DJ29" s="38"/>
      <c r="DK29" s="38"/>
      <c r="DL29" s="38"/>
      <c r="DM29" s="31"/>
      <c r="DN29" s="130"/>
      <c r="DO29" s="38"/>
      <c r="DP29" s="38"/>
      <c r="DQ29" s="38"/>
      <c r="DR29" s="31"/>
      <c r="DS29" s="130"/>
      <c r="DT29" s="38"/>
      <c r="DU29" s="38"/>
      <c r="DV29" s="38"/>
      <c r="DW29" s="31"/>
      <c r="DX29" s="130"/>
      <c r="DY29" s="38"/>
      <c r="DZ29" s="38"/>
      <c r="EA29" s="38"/>
      <c r="EB29" s="31"/>
      <c r="EC29" s="130"/>
      <c r="ED29" s="38"/>
      <c r="EE29" s="38"/>
      <c r="EF29" s="38"/>
      <c r="EG29" s="31"/>
      <c r="EH29" s="130"/>
      <c r="EI29" s="38"/>
      <c r="EJ29" s="38"/>
      <c r="EK29" s="38"/>
      <c r="EL29" s="31"/>
      <c r="EM29" s="131"/>
      <c r="EN29" s="132"/>
      <c r="EO29" s="132"/>
      <c r="EP29" s="132"/>
      <c r="EQ29" s="132"/>
      <c r="ER29" s="31"/>
      <c r="ES29" s="131"/>
      <c r="ET29" s="132"/>
      <c r="EU29" s="132"/>
      <c r="EV29" s="132"/>
      <c r="EW29" s="132"/>
    </row>
    <row r="30" spans="1:153" s="8" customFormat="1" ht="15" customHeight="1">
      <c r="A30"/>
      <c r="B30" s="1610"/>
      <c r="C30" s="129"/>
      <c r="D30" s="10"/>
      <c r="E30" s="122"/>
      <c r="F30" s="122"/>
      <c r="G30" s="122"/>
      <c r="H30" s="122"/>
      <c r="I30" s="122"/>
      <c r="J30" s="10"/>
      <c r="K30" s="10"/>
      <c r="L30" s="122"/>
      <c r="M30" s="10"/>
      <c r="N30" s="10"/>
      <c r="O30" s="10"/>
      <c r="P30" s="10"/>
      <c r="Q30" s="122"/>
      <c r="R30" s="130"/>
      <c r="S30" s="38"/>
      <c r="T30" s="38"/>
      <c r="U30" s="38"/>
      <c r="V30" s="37"/>
      <c r="W30" s="130"/>
      <c r="X30" s="38"/>
      <c r="Y30" s="38"/>
      <c r="Z30" s="38"/>
      <c r="AA30" s="37"/>
      <c r="AB30" s="130"/>
      <c r="AC30" s="38"/>
      <c r="AD30" s="38"/>
      <c r="AE30" s="38"/>
      <c r="AF30" s="38"/>
      <c r="AG30" s="130"/>
      <c r="AH30" s="38"/>
      <c r="AI30" s="38"/>
      <c r="AJ30" s="38"/>
      <c r="AK30" s="37"/>
      <c r="AL30" s="312"/>
      <c r="AM30" s="313"/>
      <c r="AN30" s="313"/>
      <c r="AO30" s="313"/>
      <c r="AP30" s="313"/>
      <c r="AQ30" s="312"/>
      <c r="AR30" s="313"/>
      <c r="AS30" s="313"/>
      <c r="AT30" s="313"/>
      <c r="AU30" s="313"/>
      <c r="AZ30" s="313"/>
      <c r="BA30" s="312"/>
      <c r="BB30" s="313"/>
      <c r="BC30" s="313"/>
      <c r="BD30" s="313"/>
      <c r="BE30" s="38"/>
      <c r="BF30" s="130"/>
      <c r="BG30" s="38"/>
      <c r="BH30" s="38"/>
      <c r="BI30" s="38"/>
      <c r="BJ30" s="786"/>
      <c r="BK30" s="130"/>
      <c r="BL30" s="38"/>
      <c r="BM30" s="38"/>
      <c r="BN30" s="38"/>
      <c r="BO30" s="786"/>
      <c r="BP30" s="130"/>
      <c r="BQ30" s="38"/>
      <c r="BR30" s="38"/>
      <c r="BS30" s="38"/>
      <c r="BT30" s="786"/>
      <c r="BU30" s="130"/>
      <c r="BV30" s="38"/>
      <c r="BW30" s="38"/>
      <c r="BX30" s="38"/>
      <c r="BY30" s="31"/>
      <c r="BZ30" s="130"/>
      <c r="CA30" s="38"/>
      <c r="CB30" s="38"/>
      <c r="CC30" s="38"/>
      <c r="CD30" s="38"/>
      <c r="CE30" s="130"/>
      <c r="CF30" s="38"/>
      <c r="CG30" s="38"/>
      <c r="CH30" s="38"/>
      <c r="CI30" s="31"/>
      <c r="CO30" s="130"/>
      <c r="CP30" s="38"/>
      <c r="CQ30" s="38"/>
      <c r="CR30" s="38"/>
      <c r="CS30" s="31"/>
      <c r="CT30" s="130"/>
      <c r="CU30" s="38"/>
      <c r="CV30" s="38"/>
      <c r="CW30" s="38"/>
      <c r="CX30" s="31"/>
      <c r="CY30" s="130"/>
      <c r="CZ30" s="38"/>
      <c r="DA30" s="38"/>
      <c r="DB30" s="38"/>
      <c r="DC30" s="31"/>
      <c r="DD30" s="130"/>
      <c r="DE30" s="38"/>
      <c r="DF30" s="38"/>
      <c r="DG30" s="38"/>
      <c r="DH30" s="31"/>
      <c r="DI30" s="130"/>
      <c r="DJ30" s="38"/>
      <c r="DK30" s="38"/>
      <c r="DL30" s="38"/>
      <c r="DM30" s="31"/>
      <c r="DN30" s="130"/>
      <c r="DO30" s="38"/>
      <c r="DP30" s="38"/>
      <c r="DQ30" s="38"/>
      <c r="DR30" s="31"/>
      <c r="DS30" s="130"/>
      <c r="DT30" s="38"/>
      <c r="DU30" s="38"/>
      <c r="DV30" s="38"/>
      <c r="DW30" s="31"/>
      <c r="DX30" s="130"/>
      <c r="DY30" s="38"/>
      <c r="DZ30" s="38"/>
      <c r="EA30" s="38"/>
      <c r="EB30" s="31"/>
      <c r="EC30" s="130"/>
      <c r="ED30" s="38"/>
      <c r="EE30" s="38"/>
      <c r="EF30" s="38"/>
      <c r="EG30" s="31"/>
      <c r="EH30" s="130"/>
      <c r="EI30" s="38"/>
      <c r="EJ30" s="38"/>
      <c r="EK30" s="38"/>
      <c r="EL30" s="31"/>
      <c r="EM30" s="131"/>
      <c r="EN30" s="132"/>
      <c r="EO30" s="132"/>
      <c r="EP30" s="132"/>
      <c r="EQ30" s="132"/>
      <c r="ER30" s="31"/>
      <c r="ES30" s="131"/>
      <c r="ET30" s="132"/>
      <c r="EU30" s="132"/>
      <c r="EV30" s="132"/>
      <c r="EW30" s="132"/>
    </row>
    <row r="31" spans="1:153" s="8" customFormat="1" ht="15" customHeight="1">
      <c r="A31"/>
      <c r="B31" s="129"/>
      <c r="C31" s="129"/>
      <c r="D31" s="10"/>
      <c r="E31" s="122"/>
      <c r="F31" s="122"/>
      <c r="G31" s="122"/>
      <c r="H31" s="122"/>
      <c r="I31" s="122"/>
      <c r="J31" s="10"/>
      <c r="K31" s="10"/>
      <c r="L31" s="122"/>
      <c r="M31" s="10"/>
      <c r="N31" s="10"/>
      <c r="O31" s="10"/>
      <c r="P31" s="10"/>
      <c r="Q31" s="122"/>
      <c r="R31" s="130"/>
      <c r="S31" s="38"/>
      <c r="T31" s="38"/>
      <c r="U31" s="38"/>
      <c r="V31" s="37"/>
      <c r="W31" s="130"/>
      <c r="X31" s="38"/>
      <c r="Y31" s="38"/>
      <c r="Z31" s="38"/>
      <c r="AA31" s="37"/>
      <c r="AB31" s="130"/>
      <c r="AC31" s="38"/>
      <c r="AD31" s="38"/>
      <c r="AE31" s="38"/>
      <c r="AF31" s="38"/>
      <c r="AG31" s="130"/>
      <c r="AH31" s="38"/>
      <c r="AI31" s="38"/>
      <c r="AJ31" s="38"/>
      <c r="AK31" s="37"/>
      <c r="AL31" s="312"/>
      <c r="AM31" s="313"/>
      <c r="AN31" s="313"/>
      <c r="AO31" s="313"/>
      <c r="AP31" s="313"/>
      <c r="AQ31" s="312"/>
      <c r="AR31" s="313"/>
      <c r="AS31" s="313"/>
      <c r="AT31" s="313"/>
      <c r="AU31" s="313"/>
      <c r="AZ31" s="313"/>
      <c r="BA31" s="312"/>
      <c r="BB31" s="313"/>
      <c r="BC31" s="313"/>
      <c r="BD31" s="313"/>
      <c r="BE31" s="38"/>
      <c r="BF31" s="130"/>
      <c r="BG31" s="38"/>
      <c r="BH31" s="38"/>
      <c r="BI31" s="38"/>
      <c r="BJ31" s="786"/>
      <c r="BK31" s="130"/>
      <c r="BL31" s="38"/>
      <c r="BM31" s="38"/>
      <c r="BN31" s="38"/>
      <c r="BO31" s="786"/>
      <c r="BP31" s="130"/>
      <c r="BQ31" s="38"/>
      <c r="BR31" s="38"/>
      <c r="BS31" s="38"/>
      <c r="BT31" s="786"/>
      <c r="BU31" s="130"/>
      <c r="BV31" s="38"/>
      <c r="BW31" s="38"/>
      <c r="BX31" s="38"/>
      <c r="BY31" s="31"/>
      <c r="BZ31" s="130"/>
      <c r="CA31" s="38"/>
      <c r="CB31" s="38"/>
      <c r="CC31" s="38"/>
      <c r="CD31" s="38"/>
      <c r="CE31" s="130"/>
      <c r="CF31" s="38"/>
      <c r="CG31" s="38"/>
      <c r="CH31" s="38"/>
      <c r="CI31" s="31"/>
      <c r="CO31" s="130"/>
      <c r="CP31" s="38"/>
      <c r="CQ31" s="38"/>
      <c r="CR31" s="38"/>
      <c r="CS31" s="31"/>
      <c r="CT31" s="130"/>
      <c r="CU31" s="38"/>
      <c r="CV31" s="38"/>
      <c r="CW31" s="38"/>
      <c r="CX31" s="31"/>
      <c r="CY31" s="130"/>
      <c r="CZ31" s="38"/>
      <c r="DA31" s="38"/>
      <c r="DB31" s="38"/>
      <c r="DC31" s="31"/>
      <c r="DD31" s="130"/>
      <c r="DE31" s="38"/>
      <c r="DF31" s="38"/>
      <c r="DG31" s="38"/>
      <c r="DH31" s="31"/>
      <c r="DI31" s="130"/>
      <c r="DJ31" s="38"/>
      <c r="DK31" s="38"/>
      <c r="DL31" s="38"/>
      <c r="DM31" s="31"/>
      <c r="DN31" s="130"/>
      <c r="DO31" s="38"/>
      <c r="DP31" s="38"/>
      <c r="DQ31" s="38"/>
      <c r="DR31" s="31"/>
      <c r="DS31" s="130"/>
      <c r="DT31" s="38"/>
      <c r="DU31" s="38"/>
      <c r="DV31" s="38"/>
      <c r="DW31" s="31"/>
      <c r="DX31" s="130"/>
      <c r="DY31" s="38"/>
      <c r="DZ31" s="38"/>
      <c r="EA31" s="38"/>
      <c r="EB31" s="31"/>
      <c r="EC31" s="130"/>
      <c r="ED31" s="38"/>
      <c r="EE31" s="38"/>
      <c r="EF31" s="38"/>
      <c r="EG31" s="31"/>
      <c r="EH31" s="130"/>
      <c r="EI31" s="38"/>
      <c r="EJ31" s="38"/>
      <c r="EK31" s="38"/>
      <c r="EL31" s="31"/>
      <c r="EM31" s="131"/>
      <c r="EN31" s="132"/>
      <c r="EO31" s="132"/>
      <c r="EP31" s="132"/>
      <c r="EQ31" s="132"/>
      <c r="ER31" s="31"/>
      <c r="ES31" s="131"/>
      <c r="ET31" s="132"/>
      <c r="EU31" s="132"/>
      <c r="EV31" s="132"/>
      <c r="EW31" s="132"/>
    </row>
    <row r="32" spans="1:153" s="8" customFormat="1" ht="15" customHeight="1">
      <c r="A32"/>
      <c r="B32" s="129"/>
      <c r="C32" s="129"/>
      <c r="D32" s="10"/>
      <c r="E32" s="122"/>
      <c r="F32" s="122"/>
      <c r="G32" s="122"/>
      <c r="H32" s="122"/>
      <c r="I32" s="122"/>
      <c r="J32" s="10"/>
      <c r="K32" s="10"/>
      <c r="L32" s="122"/>
      <c r="M32" s="10"/>
      <c r="N32" s="10"/>
      <c r="O32" s="10"/>
      <c r="P32" s="10"/>
      <c r="Q32" s="122"/>
      <c r="R32" s="130"/>
      <c r="S32" s="38"/>
      <c r="T32" s="38"/>
      <c r="U32" s="38"/>
      <c r="V32" s="37"/>
      <c r="W32" s="130"/>
      <c r="X32" s="38"/>
      <c r="Y32" s="38"/>
      <c r="Z32" s="38"/>
      <c r="AA32" s="37"/>
      <c r="AB32" s="130"/>
      <c r="AC32" s="38"/>
      <c r="AD32" s="38"/>
      <c r="AE32" s="38"/>
      <c r="AF32" s="38"/>
      <c r="AG32" s="130"/>
      <c r="AH32" s="38"/>
      <c r="AI32" s="38"/>
      <c r="AJ32" s="38"/>
      <c r="AK32" s="37"/>
      <c r="AL32" s="130"/>
      <c r="AM32" s="38"/>
      <c r="AN32" s="38"/>
      <c r="AO32" s="38"/>
      <c r="AP32" s="38"/>
      <c r="AQ32" s="130"/>
      <c r="AR32" s="38"/>
      <c r="AS32" s="38"/>
      <c r="AT32" s="38"/>
      <c r="AU32" s="38"/>
      <c r="AZ32" s="38"/>
      <c r="BA32" s="130"/>
      <c r="BB32" s="38"/>
      <c r="BC32" s="38"/>
      <c r="BD32" s="38"/>
      <c r="BE32" s="38"/>
      <c r="BF32" s="130"/>
      <c r="BG32" s="38"/>
      <c r="BH32" s="38"/>
      <c r="BI32" s="38"/>
      <c r="BJ32" s="786"/>
      <c r="BK32" s="130"/>
      <c r="BL32" s="38"/>
      <c r="BM32" s="38"/>
      <c r="BN32" s="38"/>
      <c r="BO32" s="786"/>
      <c r="BP32" s="130"/>
      <c r="BQ32" s="38"/>
      <c r="BR32" s="38"/>
      <c r="BS32" s="38"/>
      <c r="BT32" s="786"/>
      <c r="BU32" s="130"/>
      <c r="BV32" s="38"/>
      <c r="BW32" s="38"/>
      <c r="BX32" s="38"/>
      <c r="BY32" s="31"/>
      <c r="BZ32" s="130"/>
      <c r="CA32" s="38"/>
      <c r="CB32" s="38"/>
      <c r="CC32" s="38"/>
      <c r="CD32" s="38"/>
      <c r="CE32" s="130"/>
      <c r="CF32" s="38"/>
      <c r="CG32" s="38"/>
      <c r="CH32" s="38"/>
      <c r="CI32" s="31"/>
      <c r="CO32" s="130"/>
      <c r="CP32" s="38"/>
      <c r="CQ32" s="38"/>
      <c r="CR32" s="38"/>
      <c r="CS32" s="31"/>
      <c r="CT32" s="130"/>
      <c r="CU32" s="38"/>
      <c r="CV32" s="38"/>
      <c r="CW32" s="38"/>
      <c r="CX32" s="31"/>
      <c r="CY32" s="130"/>
      <c r="CZ32" s="38"/>
      <c r="DA32" s="38"/>
      <c r="DB32" s="38"/>
      <c r="DC32" s="31"/>
      <c r="DD32" s="130"/>
      <c r="DE32" s="38"/>
      <c r="DF32" s="38"/>
      <c r="DG32" s="38"/>
      <c r="DH32" s="31"/>
      <c r="DI32" s="130"/>
      <c r="DJ32" s="38"/>
      <c r="DK32" s="38"/>
      <c r="DL32" s="38"/>
      <c r="DM32" s="31"/>
      <c r="DN32" s="130"/>
      <c r="DO32" s="38"/>
      <c r="DP32" s="38"/>
      <c r="DQ32" s="38"/>
      <c r="DR32" s="31"/>
      <c r="DS32" s="130"/>
      <c r="DT32" s="38"/>
      <c r="DU32" s="38"/>
      <c r="DV32" s="38"/>
      <c r="DW32" s="31"/>
      <c r="DX32" s="130"/>
      <c r="DY32" s="38"/>
      <c r="DZ32" s="38"/>
      <c r="EA32" s="38"/>
      <c r="EB32" s="31"/>
      <c r="EC32" s="130"/>
      <c r="ED32" s="38"/>
      <c r="EE32" s="38"/>
      <c r="EF32" s="38"/>
      <c r="EG32" s="31"/>
      <c r="EH32" s="130"/>
      <c r="EI32" s="38"/>
      <c r="EJ32" s="38"/>
      <c r="EK32" s="38"/>
      <c r="EL32" s="31"/>
      <c r="EM32" s="131"/>
      <c r="EN32" s="132"/>
      <c r="EO32" s="132"/>
      <c r="EP32" s="132"/>
      <c r="EQ32" s="132"/>
      <c r="ER32" s="31"/>
      <c r="ES32" s="131"/>
      <c r="ET32" s="132"/>
      <c r="EU32" s="132"/>
      <c r="EV32" s="132"/>
      <c r="EW32" s="132"/>
    </row>
    <row r="33" spans="1:153" s="8" customFormat="1" ht="15" customHeight="1">
      <c r="A33"/>
      <c r="B33" s="129"/>
      <c r="C33" s="129"/>
      <c r="D33" s="10"/>
      <c r="E33" s="122"/>
      <c r="F33" s="122"/>
      <c r="G33" s="122"/>
      <c r="H33" s="122"/>
      <c r="I33" s="122"/>
      <c r="J33" s="10"/>
      <c r="K33" s="10"/>
      <c r="L33" s="122"/>
      <c r="M33" s="10"/>
      <c r="N33" s="10"/>
      <c r="O33" s="10"/>
      <c r="P33" s="10"/>
      <c r="Q33" s="122"/>
      <c r="R33" s="130"/>
      <c r="S33" s="38"/>
      <c r="T33" s="38"/>
      <c r="U33" s="38"/>
      <c r="V33" s="37"/>
      <c r="W33" s="130"/>
      <c r="X33" s="38"/>
      <c r="Y33" s="38"/>
      <c r="Z33" s="38"/>
      <c r="AA33" s="37"/>
      <c r="AB33" s="130"/>
      <c r="AC33" s="38"/>
      <c r="AD33" s="38"/>
      <c r="AE33" s="38"/>
      <c r="AF33" s="38"/>
      <c r="AG33" s="130"/>
      <c r="AH33" s="38"/>
      <c r="AI33" s="38"/>
      <c r="AJ33" s="38"/>
      <c r="AK33" s="37"/>
      <c r="AL33" s="130"/>
      <c r="AM33" s="38"/>
      <c r="AN33" s="38"/>
      <c r="AO33" s="38"/>
      <c r="AP33" s="38"/>
      <c r="AQ33" s="130"/>
      <c r="AR33" s="38"/>
      <c r="AS33" s="38"/>
      <c r="AT33" s="38"/>
      <c r="AU33" s="38"/>
      <c r="AZ33" s="38"/>
      <c r="BA33" s="130"/>
      <c r="BB33" s="38"/>
      <c r="BC33" s="38"/>
      <c r="BD33" s="38"/>
      <c r="BE33" s="38"/>
      <c r="BF33" s="130"/>
      <c r="BG33" s="38"/>
      <c r="BH33" s="38"/>
      <c r="BI33" s="38"/>
      <c r="BJ33" s="786"/>
      <c r="BK33" s="130"/>
      <c r="BL33" s="38"/>
      <c r="BM33" s="38"/>
      <c r="BN33" s="38"/>
      <c r="BO33" s="786"/>
      <c r="BP33" s="130"/>
      <c r="BQ33" s="38"/>
      <c r="BR33" s="38"/>
      <c r="BS33" s="38"/>
      <c r="BT33" s="786"/>
      <c r="BU33" s="130"/>
      <c r="BV33" s="38"/>
      <c r="BW33" s="38"/>
      <c r="BX33" s="38"/>
      <c r="BY33" s="31"/>
      <c r="BZ33" s="130"/>
      <c r="CA33" s="38"/>
      <c r="CB33" s="38"/>
      <c r="CC33" s="38"/>
      <c r="CD33" s="38"/>
      <c r="CE33" s="130"/>
      <c r="CF33" s="38"/>
      <c r="CG33" s="38"/>
      <c r="CH33" s="38"/>
      <c r="CI33" s="31"/>
      <c r="CO33" s="130"/>
      <c r="CP33" s="38"/>
      <c r="CQ33" s="38"/>
      <c r="CR33" s="38"/>
      <c r="CS33" s="31"/>
      <c r="CT33" s="130"/>
      <c r="CU33" s="38"/>
      <c r="CV33" s="38"/>
      <c r="CW33" s="38"/>
      <c r="CX33" s="31"/>
      <c r="CY33" s="130"/>
      <c r="CZ33" s="38"/>
      <c r="DA33" s="38"/>
      <c r="DB33" s="38"/>
      <c r="DC33" s="31"/>
      <c r="DD33" s="130"/>
      <c r="DE33" s="38"/>
      <c r="DF33" s="38"/>
      <c r="DG33" s="38"/>
      <c r="DH33" s="31"/>
      <c r="DI33" s="130"/>
      <c r="DJ33" s="38"/>
      <c r="DK33" s="38"/>
      <c r="DL33" s="38"/>
      <c r="DM33" s="31"/>
      <c r="DN33" s="130"/>
      <c r="DO33" s="38"/>
      <c r="DP33" s="38"/>
      <c r="DQ33" s="38"/>
      <c r="DR33" s="31"/>
      <c r="DS33" s="130"/>
      <c r="DT33" s="38"/>
      <c r="DU33" s="38"/>
      <c r="DV33" s="38"/>
      <c r="DW33" s="31"/>
      <c r="DX33" s="130"/>
      <c r="DY33" s="38"/>
      <c r="DZ33" s="38"/>
      <c r="EA33" s="38"/>
      <c r="EB33" s="31"/>
      <c r="EC33" s="130"/>
      <c r="ED33" s="38"/>
      <c r="EE33" s="38"/>
      <c r="EF33" s="38"/>
      <c r="EG33" s="31"/>
      <c r="EH33" s="130"/>
      <c r="EI33" s="38"/>
      <c r="EJ33" s="38"/>
      <c r="EK33" s="38"/>
      <c r="EL33" s="31"/>
      <c r="EM33" s="131"/>
      <c r="EN33" s="132"/>
      <c r="EO33" s="132"/>
      <c r="EP33" s="132"/>
      <c r="EQ33" s="132"/>
      <c r="ER33" s="31"/>
      <c r="ES33" s="131"/>
      <c r="ET33" s="132"/>
      <c r="EU33" s="132"/>
      <c r="EV33" s="132"/>
      <c r="EW33" s="132"/>
    </row>
    <row r="34" spans="1:153" s="8" customFormat="1" ht="15" customHeight="1">
      <c r="A34"/>
      <c r="B34" s="129"/>
      <c r="C34" s="129"/>
      <c r="D34" s="10"/>
      <c r="E34" s="122"/>
      <c r="F34" s="122"/>
      <c r="G34" s="122"/>
      <c r="H34" s="122"/>
      <c r="I34" s="122"/>
      <c r="J34" s="10"/>
      <c r="K34" s="10"/>
      <c r="L34" s="122"/>
      <c r="M34" s="10"/>
      <c r="N34" s="10"/>
      <c r="O34" s="10"/>
      <c r="P34" s="10"/>
      <c r="Q34" s="122"/>
      <c r="R34" s="130"/>
      <c r="S34" s="38"/>
      <c r="T34" s="38"/>
      <c r="U34" s="38"/>
      <c r="V34" s="37"/>
      <c r="W34" s="130"/>
      <c r="X34" s="38"/>
      <c r="Y34" s="38"/>
      <c r="Z34" s="38"/>
      <c r="AA34" s="37"/>
      <c r="AB34" s="130"/>
      <c r="AC34" s="38"/>
      <c r="AD34" s="38"/>
      <c r="AE34" s="38"/>
      <c r="AF34" s="38"/>
      <c r="AG34" s="130"/>
      <c r="AH34" s="38"/>
      <c r="AI34" s="38"/>
      <c r="AJ34" s="38"/>
      <c r="AK34" s="37"/>
      <c r="AL34" s="130"/>
      <c r="AM34" s="38"/>
      <c r="AN34" s="38"/>
      <c r="AO34" s="38"/>
      <c r="AP34" s="38"/>
      <c r="AQ34" s="130"/>
      <c r="AR34" s="38"/>
      <c r="AS34" s="38"/>
      <c r="AT34" s="38"/>
      <c r="AU34" s="38"/>
      <c r="AZ34" s="38"/>
      <c r="BA34" s="130"/>
      <c r="BB34" s="38"/>
      <c r="BC34" s="38"/>
      <c r="BD34" s="38"/>
      <c r="BE34" s="38"/>
      <c r="BF34" s="130"/>
      <c r="BG34" s="38"/>
      <c r="BH34" s="38"/>
      <c r="BI34" s="38"/>
      <c r="BJ34" s="786"/>
      <c r="BK34" s="130"/>
      <c r="BL34" s="38"/>
      <c r="BM34" s="38"/>
      <c r="BN34" s="38"/>
      <c r="BO34" s="786"/>
      <c r="BP34" s="130"/>
      <c r="BQ34" s="38"/>
      <c r="BR34" s="38"/>
      <c r="BS34" s="38"/>
      <c r="BT34" s="786"/>
      <c r="BU34" s="130"/>
      <c r="BV34" s="38"/>
      <c r="BW34" s="38"/>
      <c r="BX34" s="38"/>
      <c r="BY34" s="31"/>
      <c r="BZ34" s="130"/>
      <c r="CA34" s="38"/>
      <c r="CB34" s="38"/>
      <c r="CC34" s="38"/>
      <c r="CD34" s="38"/>
      <c r="CE34" s="130"/>
      <c r="CF34" s="38"/>
      <c r="CG34" s="38"/>
      <c r="CH34" s="38"/>
      <c r="CI34" s="31"/>
      <c r="CO34" s="130"/>
      <c r="CP34" s="38"/>
      <c r="CQ34" s="38"/>
      <c r="CR34" s="38"/>
      <c r="CS34" s="31"/>
      <c r="CT34" s="130"/>
      <c r="CU34" s="38"/>
      <c r="CV34" s="38"/>
      <c r="CW34" s="38"/>
      <c r="CX34" s="31"/>
      <c r="CY34" s="130"/>
      <c r="CZ34" s="38"/>
      <c r="DA34" s="38"/>
      <c r="DB34" s="38"/>
      <c r="DC34" s="31"/>
      <c r="DD34" s="130"/>
      <c r="DE34" s="38"/>
      <c r="DF34" s="38"/>
      <c r="DG34" s="38"/>
      <c r="DH34" s="31"/>
      <c r="DI34" s="130"/>
      <c r="DJ34" s="38"/>
      <c r="DK34" s="38"/>
      <c r="DL34" s="38"/>
      <c r="DM34" s="31"/>
      <c r="DN34" s="130"/>
      <c r="DO34" s="38"/>
      <c r="DP34" s="38"/>
      <c r="DQ34" s="38"/>
      <c r="DR34" s="31"/>
      <c r="DS34" s="130"/>
      <c r="DT34" s="38"/>
      <c r="DU34" s="38"/>
      <c r="DV34" s="38"/>
      <c r="DW34" s="31"/>
      <c r="DX34" s="130"/>
      <c r="DY34" s="38"/>
      <c r="DZ34" s="38"/>
      <c r="EA34" s="38"/>
      <c r="EB34" s="31"/>
      <c r="EC34" s="130"/>
      <c r="ED34" s="38"/>
      <c r="EE34" s="38"/>
      <c r="EF34" s="38"/>
      <c r="EG34" s="31"/>
      <c r="EH34" s="130"/>
      <c r="EI34" s="38"/>
      <c r="EJ34" s="38"/>
      <c r="EK34" s="38"/>
      <c r="EL34" s="31"/>
      <c r="EM34" s="131"/>
      <c r="EN34" s="132"/>
      <c r="EO34" s="132"/>
      <c r="EP34" s="132"/>
      <c r="EQ34" s="132"/>
      <c r="ER34" s="31"/>
      <c r="ES34" s="131"/>
      <c r="ET34" s="132"/>
      <c r="EU34" s="132"/>
      <c r="EV34" s="132"/>
      <c r="EW34" s="132"/>
    </row>
    <row r="35" spans="1:153" s="8" customFormat="1" ht="15" customHeight="1">
      <c r="A35"/>
      <c r="B35" s="129"/>
      <c r="C35" s="129"/>
      <c r="D35" s="10"/>
      <c r="E35" s="122"/>
      <c r="F35" s="122"/>
      <c r="G35" s="122"/>
      <c r="H35" s="122"/>
      <c r="I35" s="122"/>
      <c r="J35" s="10"/>
      <c r="K35" s="10"/>
      <c r="L35" s="122"/>
      <c r="M35" s="10"/>
      <c r="N35" s="10"/>
      <c r="O35" s="10"/>
      <c r="P35" s="10"/>
      <c r="Q35" s="122"/>
      <c r="R35" s="130"/>
      <c r="S35" s="38"/>
      <c r="T35" s="38"/>
      <c r="U35" s="38"/>
      <c r="V35" s="37"/>
      <c r="W35" s="130"/>
      <c r="X35" s="38"/>
      <c r="Y35" s="38"/>
      <c r="Z35" s="38"/>
      <c r="AA35" s="37"/>
      <c r="AB35" s="130"/>
      <c r="AC35" s="38"/>
      <c r="AD35" s="38"/>
      <c r="AE35" s="38"/>
      <c r="AF35" s="38"/>
      <c r="AG35" s="130"/>
      <c r="AH35" s="38"/>
      <c r="AI35" s="38"/>
      <c r="AJ35" s="38"/>
      <c r="AK35" s="37"/>
      <c r="AL35" s="130"/>
      <c r="AM35" s="38"/>
      <c r="AN35" s="38"/>
      <c r="AO35" s="38"/>
      <c r="AP35" s="38"/>
      <c r="AQ35" s="130"/>
      <c r="AR35" s="38"/>
      <c r="AS35" s="38"/>
      <c r="AT35" s="38"/>
      <c r="AU35" s="38"/>
      <c r="AZ35" s="38"/>
      <c r="BA35" s="130"/>
      <c r="BB35" s="38"/>
      <c r="BC35" s="38"/>
      <c r="BD35" s="38"/>
      <c r="BE35" s="38"/>
      <c r="BF35" s="130"/>
      <c r="BG35" s="38"/>
      <c r="BH35" s="38"/>
      <c r="BI35" s="38"/>
      <c r="BJ35" s="786"/>
      <c r="BK35" s="130"/>
      <c r="BL35" s="38"/>
      <c r="BM35" s="38"/>
      <c r="BN35" s="38"/>
      <c r="BO35" s="786"/>
      <c r="BP35" s="130"/>
      <c r="BQ35" s="38"/>
      <c r="BR35" s="38"/>
      <c r="BS35" s="38"/>
      <c r="BT35" s="786"/>
      <c r="BU35" s="130"/>
      <c r="BV35" s="38"/>
      <c r="BW35" s="38"/>
      <c r="BX35" s="38"/>
      <c r="BY35" s="31"/>
      <c r="BZ35" s="130"/>
      <c r="CA35" s="38"/>
      <c r="CB35" s="38"/>
      <c r="CC35" s="38"/>
      <c r="CD35" s="38"/>
      <c r="CE35" s="130"/>
      <c r="CF35" s="38"/>
      <c r="CG35" s="38"/>
      <c r="CH35" s="38"/>
      <c r="CI35" s="31"/>
      <c r="CO35" s="130"/>
      <c r="CP35" s="38"/>
      <c r="CQ35" s="38"/>
      <c r="CR35" s="38"/>
      <c r="CS35" s="31"/>
      <c r="CT35" s="130"/>
      <c r="CU35" s="38"/>
      <c r="CV35" s="38"/>
      <c r="CW35" s="38"/>
      <c r="CX35" s="31"/>
      <c r="CY35" s="130"/>
      <c r="CZ35" s="38"/>
      <c r="DA35" s="38"/>
      <c r="DB35" s="38"/>
      <c r="DC35" s="31"/>
      <c r="DD35" s="130"/>
      <c r="DE35" s="38"/>
      <c r="DF35" s="38"/>
      <c r="DG35" s="38"/>
      <c r="DH35" s="31"/>
      <c r="DI35" s="130"/>
      <c r="DJ35" s="38"/>
      <c r="DK35" s="38"/>
      <c r="DL35" s="38"/>
      <c r="DM35" s="31"/>
      <c r="DN35" s="130"/>
      <c r="DO35" s="38"/>
      <c r="DP35" s="38"/>
      <c r="DQ35" s="38"/>
      <c r="DR35" s="31"/>
      <c r="DS35" s="130"/>
      <c r="DT35" s="38"/>
      <c r="DU35" s="38"/>
      <c r="DV35" s="38"/>
      <c r="DW35" s="31"/>
      <c r="DX35" s="130"/>
      <c r="DY35" s="38"/>
      <c r="DZ35" s="38"/>
      <c r="EA35" s="38"/>
      <c r="EB35" s="31"/>
      <c r="EC35" s="130"/>
      <c r="ED35" s="38"/>
      <c r="EE35" s="38"/>
      <c r="EF35" s="38"/>
      <c r="EG35" s="31"/>
      <c r="EH35" s="130"/>
      <c r="EI35" s="38"/>
      <c r="EJ35" s="38"/>
      <c r="EK35" s="38"/>
      <c r="EL35" s="31"/>
      <c r="EM35" s="131"/>
      <c r="EN35" s="132"/>
      <c r="EO35" s="132"/>
      <c r="EP35" s="132"/>
      <c r="EQ35" s="132"/>
      <c r="ER35" s="31"/>
      <c r="ES35" s="131"/>
      <c r="ET35" s="132"/>
      <c r="EU35" s="132"/>
      <c r="EV35" s="132"/>
      <c r="EW35" s="132"/>
    </row>
    <row r="36" spans="1:153" s="8" customFormat="1" ht="15" customHeight="1">
      <c r="A36"/>
      <c r="B36" s="129"/>
      <c r="C36" s="129"/>
      <c r="D36" s="10"/>
      <c r="E36" s="122"/>
      <c r="F36" s="122"/>
      <c r="G36" s="122"/>
      <c r="H36" s="122"/>
      <c r="I36" s="122"/>
      <c r="J36" s="10"/>
      <c r="K36" s="10"/>
      <c r="L36" s="122"/>
      <c r="M36" s="10"/>
      <c r="N36" s="10"/>
      <c r="O36" s="10"/>
      <c r="P36" s="10"/>
      <c r="Q36" s="122"/>
      <c r="R36" s="130"/>
      <c r="S36" s="38"/>
      <c r="T36" s="38"/>
      <c r="U36" s="38"/>
      <c r="V36" s="37"/>
      <c r="W36" s="130"/>
      <c r="X36" s="38"/>
      <c r="Y36" s="38"/>
      <c r="Z36" s="38"/>
      <c r="AA36" s="37"/>
      <c r="AB36" s="130"/>
      <c r="AC36" s="38"/>
      <c r="AD36" s="38"/>
      <c r="AE36" s="38"/>
      <c r="AF36" s="38"/>
      <c r="AG36" s="130"/>
      <c r="AH36" s="38"/>
      <c r="AI36" s="38"/>
      <c r="AJ36" s="38"/>
      <c r="AK36" s="37"/>
      <c r="AL36" s="130"/>
      <c r="AM36" s="38"/>
      <c r="AN36" s="38"/>
      <c r="AO36" s="38"/>
      <c r="AP36" s="38"/>
      <c r="AQ36" s="130"/>
      <c r="AR36" s="38"/>
      <c r="AS36" s="38"/>
      <c r="AT36" s="38"/>
      <c r="AU36" s="38"/>
      <c r="AZ36" s="38"/>
      <c r="BA36" s="130"/>
      <c r="BB36" s="38"/>
      <c r="BC36" s="38"/>
      <c r="BD36" s="38"/>
      <c r="BE36" s="38"/>
      <c r="BF36" s="130"/>
      <c r="BG36" s="38"/>
      <c r="BH36" s="38"/>
      <c r="BI36" s="38"/>
      <c r="BJ36" s="786"/>
      <c r="BK36" s="130"/>
      <c r="BL36" s="38"/>
      <c r="BM36" s="38"/>
      <c r="BN36" s="38"/>
      <c r="BO36" s="786"/>
      <c r="BP36" s="130"/>
      <c r="BQ36" s="38"/>
      <c r="BR36" s="38"/>
      <c r="BS36" s="38"/>
      <c r="BT36" s="786"/>
      <c r="BU36" s="130"/>
      <c r="BV36" s="38"/>
      <c r="BW36" s="38"/>
      <c r="BX36" s="38"/>
      <c r="BY36" s="31"/>
      <c r="BZ36" s="130"/>
      <c r="CA36" s="38"/>
      <c r="CB36" s="38"/>
      <c r="CC36" s="38"/>
      <c r="CD36" s="38"/>
      <c r="CE36" s="130"/>
      <c r="CF36" s="38"/>
      <c r="CG36" s="38"/>
      <c r="CH36" s="38"/>
      <c r="CI36" s="31"/>
      <c r="CO36" s="130"/>
      <c r="CP36" s="38"/>
      <c r="CQ36" s="38"/>
      <c r="CR36" s="38"/>
      <c r="CS36" s="31"/>
      <c r="CT36" s="130"/>
      <c r="CU36" s="38"/>
      <c r="CV36" s="38"/>
      <c r="CW36" s="38"/>
      <c r="CX36" s="31"/>
      <c r="CY36" s="130"/>
      <c r="CZ36" s="38"/>
      <c r="DA36" s="38"/>
      <c r="DB36" s="38"/>
      <c r="DC36" s="31"/>
      <c r="DD36" s="130"/>
      <c r="DE36" s="38"/>
      <c r="DF36" s="38"/>
      <c r="DG36" s="38"/>
      <c r="DH36" s="31"/>
      <c r="DI36" s="130"/>
      <c r="DJ36" s="38"/>
      <c r="DK36" s="38"/>
      <c r="DL36" s="38"/>
      <c r="DM36" s="31"/>
      <c r="DN36" s="130"/>
      <c r="DO36" s="38"/>
      <c r="DP36" s="38"/>
      <c r="DQ36" s="38"/>
      <c r="DR36" s="31"/>
      <c r="DS36" s="130"/>
      <c r="DT36" s="38"/>
      <c r="DU36" s="38"/>
      <c r="DV36" s="38"/>
      <c r="DW36" s="31"/>
      <c r="DX36" s="130"/>
      <c r="DY36" s="38"/>
      <c r="DZ36" s="38"/>
      <c r="EA36" s="38"/>
      <c r="EB36" s="31"/>
      <c r="EC36" s="130"/>
      <c r="ED36" s="38"/>
      <c r="EE36" s="38"/>
      <c r="EF36" s="38"/>
      <c r="EG36" s="31"/>
      <c r="EH36" s="130"/>
      <c r="EI36" s="38"/>
      <c r="EJ36" s="38"/>
      <c r="EK36" s="38"/>
      <c r="EL36" s="31"/>
      <c r="EM36" s="131"/>
      <c r="EN36" s="132"/>
      <c r="EO36" s="132"/>
      <c r="EP36" s="132"/>
      <c r="EQ36" s="132"/>
      <c r="ER36" s="31"/>
      <c r="ES36" s="131"/>
      <c r="ET36" s="132"/>
      <c r="EU36" s="132"/>
      <c r="EV36" s="132"/>
      <c r="EW36" s="132"/>
    </row>
    <row r="37" spans="1:153" s="8" customFormat="1" ht="15" customHeight="1">
      <c r="A37"/>
      <c r="B37" s="129"/>
      <c r="C37" s="129"/>
      <c r="D37" s="10"/>
      <c r="E37" s="122"/>
      <c r="F37" s="122"/>
      <c r="G37" s="122"/>
      <c r="H37" s="122"/>
      <c r="I37" s="122"/>
      <c r="J37" s="10"/>
      <c r="K37" s="10"/>
      <c r="L37" s="122"/>
      <c r="M37" s="10"/>
      <c r="N37" s="10"/>
      <c r="O37" s="10"/>
      <c r="P37" s="10"/>
      <c r="Q37" s="122"/>
      <c r="R37" s="130"/>
      <c r="S37" s="38"/>
      <c r="T37" s="38"/>
      <c r="U37" s="38"/>
      <c r="V37" s="37"/>
      <c r="W37" s="130"/>
      <c r="X37" s="38"/>
      <c r="Y37" s="38"/>
      <c r="Z37" s="38"/>
      <c r="AA37" s="37"/>
      <c r="AB37" s="130"/>
      <c r="AC37" s="38"/>
      <c r="AD37" s="38"/>
      <c r="AE37" s="38"/>
      <c r="AF37" s="38"/>
      <c r="AG37" s="130"/>
      <c r="AH37" s="38"/>
      <c r="AI37" s="38"/>
      <c r="AJ37" s="38"/>
      <c r="AK37" s="37"/>
      <c r="AL37" s="130"/>
      <c r="AM37" s="38"/>
      <c r="AN37" s="38"/>
      <c r="AO37" s="38"/>
      <c r="AP37" s="38"/>
      <c r="AQ37" s="130"/>
      <c r="AR37" s="38"/>
      <c r="AS37" s="38"/>
      <c r="AT37" s="38"/>
      <c r="AU37" s="38"/>
      <c r="AZ37" s="38"/>
      <c r="BA37" s="130"/>
      <c r="BB37" s="38"/>
      <c r="BC37" s="38"/>
      <c r="BD37" s="38"/>
      <c r="BE37" s="38"/>
      <c r="BF37" s="130"/>
      <c r="BG37" s="38"/>
      <c r="BH37" s="38"/>
      <c r="BI37" s="38"/>
      <c r="BJ37" s="786"/>
      <c r="BK37" s="130"/>
      <c r="BL37" s="38"/>
      <c r="BM37" s="38"/>
      <c r="BN37" s="38"/>
      <c r="BO37" s="786"/>
      <c r="BP37" s="130"/>
      <c r="BQ37" s="38"/>
      <c r="BR37" s="38"/>
      <c r="BS37" s="38"/>
      <c r="BT37" s="786"/>
      <c r="BU37" s="130"/>
      <c r="BV37" s="38"/>
      <c r="BW37" s="38"/>
      <c r="BX37" s="38"/>
      <c r="BY37" s="31"/>
      <c r="BZ37" s="130"/>
      <c r="CA37" s="38"/>
      <c r="CB37" s="38"/>
      <c r="CC37" s="38"/>
      <c r="CD37" s="38"/>
      <c r="CE37" s="130"/>
      <c r="CF37" s="38"/>
      <c r="CG37" s="38"/>
      <c r="CH37" s="38"/>
      <c r="CI37" s="31"/>
      <c r="CO37" s="130"/>
      <c r="CP37" s="38"/>
      <c r="CQ37" s="38"/>
      <c r="CR37" s="38"/>
      <c r="CS37" s="31"/>
      <c r="CT37" s="130"/>
      <c r="CU37" s="38"/>
      <c r="CV37" s="38"/>
      <c r="CW37" s="38"/>
      <c r="CX37" s="31"/>
      <c r="CY37" s="130"/>
      <c r="CZ37" s="38"/>
      <c r="DA37" s="38"/>
      <c r="DB37" s="38"/>
      <c r="DC37" s="31"/>
      <c r="DD37" s="130"/>
      <c r="DE37" s="38"/>
      <c r="DF37" s="38"/>
      <c r="DG37" s="38"/>
      <c r="DH37" s="31"/>
      <c r="DI37" s="130"/>
      <c r="DJ37" s="38"/>
      <c r="DK37" s="38"/>
      <c r="DL37" s="38"/>
      <c r="DM37" s="31"/>
      <c r="DN37" s="130"/>
      <c r="DO37" s="38"/>
      <c r="DP37" s="38"/>
      <c r="DQ37" s="38"/>
      <c r="DR37" s="31"/>
      <c r="DS37" s="130"/>
      <c r="DT37" s="38"/>
      <c r="DU37" s="38"/>
      <c r="DV37" s="38"/>
      <c r="DW37" s="31"/>
      <c r="DX37" s="130"/>
      <c r="DY37" s="38"/>
      <c r="DZ37" s="38"/>
      <c r="EA37" s="38"/>
      <c r="EB37" s="31"/>
      <c r="EC37" s="130"/>
      <c r="ED37" s="38"/>
      <c r="EE37" s="38"/>
      <c r="EF37" s="38"/>
      <c r="EG37" s="31"/>
      <c r="EH37" s="130"/>
      <c r="EI37" s="38"/>
      <c r="EJ37" s="38"/>
      <c r="EK37" s="38"/>
      <c r="EL37" s="31"/>
      <c r="EM37" s="131"/>
      <c r="EN37" s="132"/>
      <c r="EO37" s="132"/>
      <c r="EP37" s="132"/>
      <c r="EQ37" s="132"/>
      <c r="ER37" s="31"/>
      <c r="ES37" s="131"/>
      <c r="ET37" s="132"/>
      <c r="EU37" s="132"/>
      <c r="EV37" s="132"/>
      <c r="EW37" s="132"/>
    </row>
    <row r="38" spans="1:153" s="8" customFormat="1" ht="15" customHeight="1">
      <c r="A38"/>
      <c r="B38" s="129"/>
      <c r="C38" s="129"/>
      <c r="D38" s="10"/>
      <c r="E38" s="122"/>
      <c r="F38" s="122"/>
      <c r="G38" s="122"/>
      <c r="H38" s="122"/>
      <c r="I38" s="122"/>
      <c r="J38" s="10"/>
      <c r="K38" s="10"/>
      <c r="L38" s="122"/>
      <c r="M38" s="10"/>
      <c r="N38" s="10"/>
      <c r="O38" s="10"/>
      <c r="P38" s="10"/>
      <c r="Q38" s="122"/>
      <c r="R38" s="130"/>
      <c r="S38" s="38"/>
      <c r="T38" s="38"/>
      <c r="U38" s="38"/>
      <c r="V38" s="37"/>
      <c r="W38" s="130"/>
      <c r="X38" s="38"/>
      <c r="Y38" s="38"/>
      <c r="Z38" s="38"/>
      <c r="AA38" s="37"/>
      <c r="AB38" s="130"/>
      <c r="AC38" s="38"/>
      <c r="AD38" s="38"/>
      <c r="AE38" s="38"/>
      <c r="AF38" s="38"/>
      <c r="AG38" s="130"/>
      <c r="AH38" s="38"/>
      <c r="AI38" s="38"/>
      <c r="AJ38" s="38"/>
      <c r="AK38" s="37"/>
      <c r="AL38" s="130"/>
      <c r="AM38" s="38"/>
      <c r="AN38" s="38"/>
      <c r="AO38" s="38"/>
      <c r="AP38" s="38"/>
      <c r="AQ38" s="130"/>
      <c r="AR38" s="38"/>
      <c r="AS38" s="38"/>
      <c r="AT38" s="38"/>
      <c r="AU38" s="38"/>
      <c r="AZ38" s="38"/>
      <c r="BA38" s="130"/>
      <c r="BB38" s="38"/>
      <c r="BC38" s="38"/>
      <c r="BD38" s="38"/>
      <c r="BE38" s="38"/>
      <c r="BF38" s="130"/>
      <c r="BG38" s="38"/>
      <c r="BH38" s="38"/>
      <c r="BI38" s="38"/>
      <c r="BJ38" s="786"/>
      <c r="BK38" s="130"/>
      <c r="BL38" s="38"/>
      <c r="BM38" s="38"/>
      <c r="BN38" s="38"/>
      <c r="BO38" s="786"/>
      <c r="BP38" s="130"/>
      <c r="BQ38" s="38"/>
      <c r="BR38" s="38"/>
      <c r="BS38" s="38"/>
      <c r="BT38" s="786"/>
      <c r="BU38" s="130"/>
      <c r="BV38" s="38"/>
      <c r="BW38" s="38"/>
      <c r="BX38" s="38"/>
      <c r="BY38" s="31"/>
      <c r="BZ38" s="130"/>
      <c r="CA38" s="38"/>
      <c r="CB38" s="38"/>
      <c r="CC38" s="38"/>
      <c r="CD38" s="38"/>
      <c r="CE38" s="130"/>
      <c r="CF38" s="38"/>
      <c r="CG38" s="38"/>
      <c r="CH38" s="38"/>
      <c r="CI38" s="31"/>
      <c r="CO38" s="130"/>
      <c r="CP38" s="38"/>
      <c r="CQ38" s="38"/>
      <c r="CR38" s="38"/>
      <c r="CS38" s="31"/>
      <c r="CT38" s="130"/>
      <c r="CU38" s="38"/>
      <c r="CV38" s="38"/>
      <c r="CW38" s="38"/>
      <c r="CX38" s="31"/>
      <c r="CY38" s="130"/>
      <c r="CZ38" s="38"/>
      <c r="DA38" s="38"/>
      <c r="DB38" s="38"/>
      <c r="DC38" s="31"/>
      <c r="DD38" s="130"/>
      <c r="DE38" s="38"/>
      <c r="DF38" s="38"/>
      <c r="DG38" s="38"/>
      <c r="DH38" s="31"/>
      <c r="DI38" s="130"/>
      <c r="DJ38" s="38"/>
      <c r="DK38" s="38"/>
      <c r="DL38" s="38"/>
      <c r="DM38" s="31"/>
      <c r="DN38" s="130"/>
      <c r="DO38" s="38"/>
      <c r="DP38" s="38"/>
      <c r="DQ38" s="38"/>
      <c r="DR38" s="31"/>
      <c r="DS38" s="130"/>
      <c r="DT38" s="38"/>
      <c r="DU38" s="38"/>
      <c r="DV38" s="38"/>
      <c r="DW38" s="31"/>
      <c r="DX38" s="130"/>
      <c r="DY38" s="38"/>
      <c r="DZ38" s="38"/>
      <c r="EA38" s="38"/>
      <c r="EB38" s="31"/>
      <c r="EC38" s="130"/>
      <c r="ED38" s="38"/>
      <c r="EE38" s="38"/>
      <c r="EF38" s="38"/>
      <c r="EG38" s="31"/>
      <c r="EH38" s="130"/>
      <c r="EI38" s="38"/>
      <c r="EJ38" s="38"/>
      <c r="EK38" s="38"/>
      <c r="EL38" s="31"/>
      <c r="EM38" s="131"/>
      <c r="EN38" s="132"/>
      <c r="EO38" s="132"/>
      <c r="EP38" s="132"/>
      <c r="EQ38" s="132"/>
      <c r="ER38" s="31"/>
      <c r="ES38" s="131"/>
      <c r="ET38" s="132"/>
      <c r="EU38" s="132"/>
      <c r="EV38" s="132"/>
      <c r="EW38" s="132"/>
    </row>
    <row r="39" spans="1:153" s="8" customFormat="1" ht="15" customHeight="1">
      <c r="A39"/>
      <c r="B39" s="129"/>
      <c r="C39" s="129"/>
      <c r="D39" s="10"/>
      <c r="E39" s="122"/>
      <c r="F39" s="122"/>
      <c r="G39" s="122"/>
      <c r="H39" s="122"/>
      <c r="I39" s="122"/>
      <c r="J39" s="10"/>
      <c r="K39" s="10"/>
      <c r="L39" s="122"/>
      <c r="M39" s="10"/>
      <c r="N39" s="10"/>
      <c r="O39" s="10"/>
      <c r="P39" s="10"/>
      <c r="Q39" s="122"/>
      <c r="R39" s="130"/>
      <c r="S39" s="38"/>
      <c r="T39" s="38"/>
      <c r="U39" s="38"/>
      <c r="V39" s="37"/>
      <c r="W39" s="130"/>
      <c r="X39" s="38"/>
      <c r="Y39" s="38"/>
      <c r="Z39" s="38"/>
      <c r="AA39" s="37"/>
      <c r="AB39" s="130"/>
      <c r="AC39" s="38"/>
      <c r="AD39" s="38"/>
      <c r="AE39" s="38"/>
      <c r="AF39" s="38"/>
      <c r="AG39" s="130"/>
      <c r="AH39" s="38"/>
      <c r="AI39" s="38"/>
      <c r="AJ39" s="38"/>
      <c r="AK39" s="37"/>
      <c r="AL39" s="130"/>
      <c r="AM39" s="38"/>
      <c r="AN39" s="38"/>
      <c r="AO39" s="38"/>
      <c r="AP39" s="38"/>
      <c r="AQ39" s="130"/>
      <c r="AR39" s="38"/>
      <c r="AS39" s="38"/>
      <c r="AT39" s="38"/>
      <c r="AU39" s="38"/>
      <c r="AZ39" s="38"/>
      <c r="BA39" s="130"/>
      <c r="BB39" s="38"/>
      <c r="BC39" s="38"/>
      <c r="BD39" s="38"/>
      <c r="BE39" s="38"/>
      <c r="BF39" s="130"/>
      <c r="BG39" s="38"/>
      <c r="BH39" s="38"/>
      <c r="BI39" s="38"/>
      <c r="BJ39" s="786"/>
      <c r="BK39" s="130"/>
      <c r="BL39" s="38"/>
      <c r="BM39" s="38"/>
      <c r="BN39" s="38"/>
      <c r="BO39" s="786"/>
      <c r="BP39" s="130"/>
      <c r="BQ39" s="38"/>
      <c r="BR39" s="38"/>
      <c r="BS39" s="38"/>
      <c r="BT39" s="786"/>
      <c r="BU39" s="130"/>
      <c r="BV39" s="38"/>
      <c r="BW39" s="38"/>
      <c r="BX39" s="38"/>
      <c r="BY39" s="31"/>
      <c r="BZ39" s="130"/>
      <c r="CA39" s="38"/>
      <c r="CB39" s="38"/>
      <c r="CC39" s="38"/>
      <c r="CD39" s="38"/>
      <c r="CE39" s="130"/>
      <c r="CF39" s="38"/>
      <c r="CG39" s="38"/>
      <c r="CH39" s="38"/>
      <c r="CI39" s="31"/>
      <c r="CO39" s="130"/>
      <c r="CP39" s="38"/>
      <c r="CQ39" s="38"/>
      <c r="CR39" s="38"/>
      <c r="CS39" s="31"/>
      <c r="CT39" s="130"/>
      <c r="CU39" s="38"/>
      <c r="CV39" s="38"/>
      <c r="CW39" s="38"/>
      <c r="CX39" s="31"/>
      <c r="CY39" s="130"/>
      <c r="CZ39" s="38"/>
      <c r="DA39" s="38"/>
      <c r="DB39" s="38"/>
      <c r="DC39" s="31"/>
      <c r="DD39" s="130"/>
      <c r="DE39" s="38"/>
      <c r="DF39" s="38"/>
      <c r="DG39" s="38"/>
      <c r="DH39" s="31"/>
      <c r="DI39" s="130"/>
      <c r="DJ39" s="38"/>
      <c r="DK39" s="38"/>
      <c r="DL39" s="38"/>
      <c r="DM39" s="31"/>
      <c r="DN39" s="130"/>
      <c r="DO39" s="38"/>
      <c r="DP39" s="38"/>
      <c r="DQ39" s="38"/>
      <c r="DR39" s="31"/>
      <c r="DS39" s="130"/>
      <c r="DT39" s="38"/>
      <c r="DU39" s="38"/>
      <c r="DV39" s="38"/>
      <c r="DW39" s="31"/>
      <c r="DX39" s="130"/>
      <c r="DY39" s="38"/>
      <c r="DZ39" s="38"/>
      <c r="EA39" s="38"/>
      <c r="EB39" s="31"/>
      <c r="EC39" s="130"/>
      <c r="ED39" s="38"/>
      <c r="EE39" s="38"/>
      <c r="EF39" s="38"/>
      <c r="EG39" s="31"/>
      <c r="EH39" s="130"/>
      <c r="EI39" s="38"/>
      <c r="EJ39" s="38"/>
      <c r="EK39" s="38"/>
      <c r="EL39" s="31"/>
      <c r="EM39" s="131"/>
      <c r="EN39" s="132"/>
      <c r="EO39" s="132"/>
      <c r="EP39" s="132"/>
      <c r="EQ39" s="132"/>
      <c r="ER39" s="31"/>
      <c r="ES39" s="131"/>
      <c r="ET39" s="132"/>
      <c r="EU39" s="132"/>
      <c r="EV39" s="132"/>
      <c r="EW39" s="132"/>
    </row>
    <row r="40" spans="1:153" s="8" customFormat="1" ht="15" customHeight="1">
      <c r="A40"/>
      <c r="B40" s="129"/>
      <c r="C40" s="129"/>
      <c r="D40" s="10"/>
      <c r="E40" s="122"/>
      <c r="F40" s="122"/>
      <c r="G40" s="122"/>
      <c r="H40" s="122"/>
      <c r="I40" s="122"/>
      <c r="J40" s="10"/>
      <c r="K40" s="10"/>
      <c r="L40" s="122"/>
      <c r="M40" s="10"/>
      <c r="N40" s="10"/>
      <c r="O40" s="10"/>
      <c r="P40" s="10"/>
      <c r="Q40" s="122"/>
      <c r="R40" s="130"/>
      <c r="S40" s="38"/>
      <c r="T40" s="38"/>
      <c r="U40" s="38"/>
      <c r="V40" s="37"/>
      <c r="W40" s="130"/>
      <c r="X40" s="38"/>
      <c r="Y40" s="38"/>
      <c r="Z40" s="38"/>
      <c r="AA40" s="37"/>
      <c r="AB40" s="130"/>
      <c r="AC40" s="38"/>
      <c r="AD40" s="38"/>
      <c r="AE40" s="38"/>
      <c r="AF40" s="38"/>
      <c r="AG40" s="130"/>
      <c r="AH40" s="38"/>
      <c r="AI40" s="38"/>
      <c r="AJ40" s="38"/>
      <c r="AK40" s="37"/>
      <c r="AL40" s="130"/>
      <c r="AM40" s="38"/>
      <c r="AN40" s="38"/>
      <c r="AO40" s="38"/>
      <c r="AP40" s="38"/>
      <c r="AQ40" s="130"/>
      <c r="AR40" s="38"/>
      <c r="AS40" s="38"/>
      <c r="AT40" s="38"/>
      <c r="AU40" s="38"/>
      <c r="AZ40" s="38"/>
      <c r="BA40" s="130"/>
      <c r="BB40" s="38"/>
      <c r="BC40" s="38"/>
      <c r="BD40" s="38"/>
      <c r="BE40" s="38"/>
      <c r="BF40" s="130"/>
      <c r="BG40" s="38"/>
      <c r="BH40" s="38"/>
      <c r="BI40" s="38"/>
      <c r="BJ40" s="786"/>
      <c r="BK40" s="130"/>
      <c r="BL40" s="38"/>
      <c r="BM40" s="38"/>
      <c r="BN40" s="38"/>
      <c r="BO40" s="786"/>
      <c r="BP40" s="130"/>
      <c r="BQ40" s="38"/>
      <c r="BR40" s="38"/>
      <c r="BS40" s="38"/>
      <c r="BT40" s="786"/>
      <c r="BU40" s="130"/>
      <c r="BV40" s="38"/>
      <c r="BW40" s="38"/>
      <c r="BX40" s="38"/>
      <c r="BY40" s="31"/>
      <c r="BZ40" s="130"/>
      <c r="CA40" s="38"/>
      <c r="CB40" s="38"/>
      <c r="CC40" s="38"/>
      <c r="CD40" s="38"/>
      <c r="CE40" s="130"/>
      <c r="CF40" s="38"/>
      <c r="CG40" s="38"/>
      <c r="CH40" s="38"/>
      <c r="CI40" s="31"/>
      <c r="CO40" s="130"/>
      <c r="CP40" s="38"/>
      <c r="CQ40" s="38"/>
      <c r="CR40" s="38"/>
      <c r="CS40" s="31"/>
      <c r="CT40" s="130"/>
      <c r="CU40" s="38"/>
      <c r="CV40" s="38"/>
      <c r="CW40" s="38"/>
      <c r="CX40" s="31"/>
      <c r="CY40" s="130"/>
      <c r="CZ40" s="38"/>
      <c r="DA40" s="38"/>
      <c r="DB40" s="38"/>
      <c r="DC40" s="31"/>
      <c r="DD40" s="130"/>
      <c r="DE40" s="38"/>
      <c r="DF40" s="38"/>
      <c r="DG40" s="38"/>
      <c r="DH40" s="31"/>
      <c r="DI40" s="130"/>
      <c r="DJ40" s="38"/>
      <c r="DK40" s="38"/>
      <c r="DL40" s="38"/>
      <c r="DM40" s="31"/>
      <c r="DN40" s="130"/>
      <c r="DO40" s="38"/>
      <c r="DP40" s="38"/>
      <c r="DQ40" s="38"/>
      <c r="DR40" s="31"/>
      <c r="DS40" s="130"/>
      <c r="DT40" s="38"/>
      <c r="DU40" s="38"/>
      <c r="DV40" s="38"/>
      <c r="DW40" s="31"/>
      <c r="DX40" s="130"/>
      <c r="DY40" s="38"/>
      <c r="DZ40" s="38"/>
      <c r="EA40" s="38"/>
      <c r="EB40" s="31"/>
      <c r="EC40" s="130"/>
      <c r="ED40" s="38"/>
      <c r="EE40" s="38"/>
      <c r="EF40" s="38"/>
      <c r="EG40" s="31"/>
      <c r="EH40" s="130"/>
      <c r="EI40" s="38"/>
      <c r="EJ40" s="38"/>
      <c r="EK40" s="38"/>
      <c r="EL40" s="31"/>
      <c r="EM40" s="131"/>
      <c r="EN40" s="132"/>
      <c r="EO40" s="132"/>
      <c r="EP40" s="132"/>
      <c r="EQ40" s="132"/>
      <c r="ER40" s="31"/>
      <c r="ES40" s="131"/>
      <c r="ET40" s="132"/>
      <c r="EU40" s="132"/>
      <c r="EV40" s="132"/>
      <c r="EW40" s="132"/>
    </row>
    <row r="41" spans="1:153" s="8" customFormat="1" ht="15" customHeight="1">
      <c r="A41"/>
      <c r="B41" s="129"/>
      <c r="C41" s="129"/>
      <c r="D41" s="10"/>
      <c r="E41" s="122"/>
      <c r="F41" s="122"/>
      <c r="G41" s="122"/>
      <c r="H41" s="122"/>
      <c r="I41" s="122"/>
      <c r="J41" s="10"/>
      <c r="K41" s="10"/>
      <c r="L41" s="122"/>
      <c r="M41" s="10"/>
      <c r="N41" s="10"/>
      <c r="O41" s="10"/>
      <c r="P41" s="10"/>
      <c r="Q41" s="122"/>
      <c r="R41" s="130"/>
      <c r="S41" s="38"/>
      <c r="T41" s="38"/>
      <c r="U41" s="38"/>
      <c r="V41" s="37"/>
      <c r="W41" s="130"/>
      <c r="X41" s="38"/>
      <c r="Y41" s="38"/>
      <c r="Z41" s="38"/>
      <c r="AA41" s="37"/>
      <c r="AB41" s="130"/>
      <c r="AC41" s="38"/>
      <c r="AD41" s="38"/>
      <c r="AE41" s="38"/>
      <c r="AF41" s="38"/>
      <c r="AG41" s="130"/>
      <c r="AH41" s="38"/>
      <c r="AI41" s="38"/>
      <c r="AJ41" s="38"/>
      <c r="AK41" s="37"/>
      <c r="AL41" s="130"/>
      <c r="AM41" s="38"/>
      <c r="AN41" s="38"/>
      <c r="AO41" s="38"/>
      <c r="AP41" s="38"/>
      <c r="AQ41" s="130"/>
      <c r="AR41" s="38"/>
      <c r="AS41" s="38"/>
      <c r="AT41" s="38"/>
      <c r="AU41" s="38"/>
      <c r="AZ41" s="38"/>
      <c r="BA41" s="130"/>
      <c r="BB41" s="38"/>
      <c r="BC41" s="38"/>
      <c r="BD41" s="38"/>
      <c r="BE41" s="38"/>
      <c r="BF41" s="130"/>
      <c r="BG41" s="38"/>
      <c r="BH41" s="38"/>
      <c r="BI41" s="38"/>
      <c r="BJ41" s="786"/>
      <c r="BK41" s="130"/>
      <c r="BL41" s="38"/>
      <c r="BM41" s="38"/>
      <c r="BN41" s="38"/>
      <c r="BO41" s="786"/>
      <c r="BP41" s="130"/>
      <c r="BQ41" s="38"/>
      <c r="BR41" s="38"/>
      <c r="BS41" s="38"/>
      <c r="BT41" s="786"/>
      <c r="BU41" s="130"/>
      <c r="BV41" s="38"/>
      <c r="BW41" s="38"/>
      <c r="BX41" s="38"/>
      <c r="BY41" s="31"/>
      <c r="BZ41" s="130"/>
      <c r="CA41" s="38"/>
      <c r="CB41" s="38"/>
      <c r="CC41" s="38"/>
      <c r="CD41" s="38"/>
      <c r="CE41" s="130"/>
      <c r="CF41" s="38"/>
      <c r="CG41" s="38"/>
      <c r="CH41" s="38"/>
      <c r="CI41" s="31"/>
      <c r="CO41" s="130"/>
      <c r="CP41" s="38"/>
      <c r="CQ41" s="38"/>
      <c r="CR41" s="38"/>
      <c r="CS41" s="31"/>
      <c r="CT41" s="130"/>
      <c r="CU41" s="38"/>
      <c r="CV41" s="38"/>
      <c r="CW41" s="38"/>
      <c r="CX41" s="31"/>
      <c r="CY41" s="130"/>
      <c r="CZ41" s="38"/>
      <c r="DA41" s="38"/>
      <c r="DB41" s="38"/>
      <c r="DC41" s="31"/>
      <c r="DD41" s="130"/>
      <c r="DE41" s="38"/>
      <c r="DF41" s="38"/>
      <c r="DG41" s="38"/>
      <c r="DH41" s="31"/>
      <c r="DI41" s="130"/>
      <c r="DJ41" s="38"/>
      <c r="DK41" s="38"/>
      <c r="DL41" s="38"/>
      <c r="DM41" s="31"/>
      <c r="DN41" s="130"/>
      <c r="DO41" s="38"/>
      <c r="DP41" s="38"/>
      <c r="DQ41" s="38"/>
      <c r="DR41" s="31"/>
      <c r="DS41" s="130"/>
      <c r="DT41" s="38"/>
      <c r="DU41" s="38"/>
      <c r="DV41" s="38"/>
      <c r="DW41" s="31"/>
      <c r="DX41" s="130"/>
      <c r="DY41" s="38"/>
      <c r="DZ41" s="38"/>
      <c r="EA41" s="38"/>
      <c r="EB41" s="31"/>
      <c r="EC41" s="130"/>
      <c r="ED41" s="38"/>
      <c r="EE41" s="38"/>
      <c r="EF41" s="38"/>
      <c r="EG41" s="31"/>
      <c r="EH41" s="130"/>
      <c r="EI41" s="38"/>
      <c r="EJ41" s="38"/>
      <c r="EK41" s="38"/>
      <c r="EL41" s="31"/>
      <c r="EM41" s="131"/>
      <c r="EN41" s="132"/>
      <c r="EO41" s="132"/>
      <c r="EP41" s="132"/>
      <c r="EQ41" s="132"/>
      <c r="ER41" s="31"/>
      <c r="ES41" s="131"/>
      <c r="ET41" s="132"/>
      <c r="EU41" s="132"/>
      <c r="EV41" s="132"/>
      <c r="EW41" s="132"/>
    </row>
    <row r="42" spans="1:153" s="8" customFormat="1" ht="15" customHeight="1">
      <c r="A42"/>
      <c r="B42" s="129"/>
      <c r="C42" s="129"/>
      <c r="D42" s="10"/>
      <c r="E42" s="122"/>
      <c r="F42" s="122"/>
      <c r="G42" s="122"/>
      <c r="H42" s="122"/>
      <c r="I42" s="122"/>
      <c r="J42" s="10"/>
      <c r="K42" s="10"/>
      <c r="L42" s="122"/>
      <c r="M42" s="10"/>
      <c r="N42" s="10"/>
      <c r="O42" s="10"/>
      <c r="P42" s="10"/>
      <c r="Q42" s="122"/>
      <c r="R42" s="130"/>
      <c r="S42" s="38"/>
      <c r="T42" s="38"/>
      <c r="U42" s="38"/>
      <c r="V42" s="37"/>
      <c r="W42" s="130"/>
      <c r="X42" s="38"/>
      <c r="Y42" s="38"/>
      <c r="Z42" s="38"/>
      <c r="AA42" s="37"/>
      <c r="AB42" s="130"/>
      <c r="AC42" s="38"/>
      <c r="AD42" s="38"/>
      <c r="AE42" s="38"/>
      <c r="AF42" s="38"/>
      <c r="AG42" s="130"/>
      <c r="AH42" s="38"/>
      <c r="AI42" s="38"/>
      <c r="AJ42" s="38"/>
      <c r="AK42" s="37"/>
      <c r="AL42" s="130"/>
      <c r="AM42" s="38"/>
      <c r="AN42" s="38"/>
      <c r="AO42" s="38"/>
      <c r="AP42" s="38"/>
      <c r="AQ42" s="130"/>
      <c r="AR42" s="38"/>
      <c r="AS42" s="38"/>
      <c r="AT42" s="38"/>
      <c r="AU42" s="38"/>
      <c r="AZ42" s="38"/>
      <c r="BA42" s="130"/>
      <c r="BB42" s="38"/>
      <c r="BC42" s="38"/>
      <c r="BD42" s="38"/>
      <c r="BE42" s="38"/>
      <c r="BF42" s="130"/>
      <c r="BG42" s="38"/>
      <c r="BH42" s="38"/>
      <c r="BI42" s="38"/>
      <c r="BJ42" s="786"/>
      <c r="BK42" s="130"/>
      <c r="BL42" s="38"/>
      <c r="BM42" s="38"/>
      <c r="BN42" s="38"/>
      <c r="BO42" s="786"/>
      <c r="BP42" s="130"/>
      <c r="BQ42" s="38"/>
      <c r="BR42" s="38"/>
      <c r="BS42" s="38"/>
      <c r="BT42" s="786"/>
      <c r="BU42" s="130"/>
      <c r="BV42" s="38"/>
      <c r="BW42" s="38"/>
      <c r="BX42" s="38"/>
      <c r="BY42" s="31"/>
      <c r="BZ42" s="130"/>
      <c r="CA42" s="38"/>
      <c r="CB42" s="38"/>
      <c r="CC42" s="38"/>
      <c r="CD42" s="38"/>
      <c r="CE42" s="130"/>
      <c r="CF42" s="38"/>
      <c r="CG42" s="38"/>
      <c r="CH42" s="38"/>
      <c r="CI42" s="31"/>
      <c r="CO42" s="130"/>
      <c r="CP42" s="38"/>
      <c r="CQ42" s="38"/>
      <c r="CR42" s="38"/>
      <c r="CS42" s="31"/>
      <c r="CT42" s="130"/>
      <c r="CU42" s="38"/>
      <c r="CV42" s="38"/>
      <c r="CW42" s="38"/>
      <c r="CX42" s="31"/>
      <c r="CY42" s="130"/>
      <c r="CZ42" s="38"/>
      <c r="DA42" s="38"/>
      <c r="DB42" s="38"/>
      <c r="DC42" s="31"/>
      <c r="DD42" s="130"/>
      <c r="DE42" s="38"/>
      <c r="DF42" s="38"/>
      <c r="DG42" s="38"/>
      <c r="DH42" s="31"/>
      <c r="DI42" s="130"/>
      <c r="DJ42" s="38"/>
      <c r="DK42" s="38"/>
      <c r="DL42" s="38"/>
      <c r="DM42" s="31"/>
      <c r="DN42" s="130"/>
      <c r="DO42" s="38"/>
      <c r="DP42" s="38"/>
      <c r="DQ42" s="38"/>
      <c r="DR42" s="31"/>
      <c r="DS42" s="130"/>
      <c r="DT42" s="38"/>
      <c r="DU42" s="38"/>
      <c r="DV42" s="38"/>
      <c r="DW42" s="31"/>
      <c r="DX42" s="130"/>
      <c r="DY42" s="38"/>
      <c r="DZ42" s="38"/>
      <c r="EA42" s="38"/>
      <c r="EB42" s="31"/>
      <c r="EC42" s="130"/>
      <c r="ED42" s="38"/>
      <c r="EE42" s="38"/>
      <c r="EF42" s="38"/>
      <c r="EG42" s="31"/>
      <c r="EH42" s="130"/>
      <c r="EI42" s="38"/>
      <c r="EJ42" s="38"/>
      <c r="EK42" s="38"/>
      <c r="EL42" s="31"/>
      <c r="EM42" s="131"/>
      <c r="EN42" s="132"/>
      <c r="EO42" s="132"/>
      <c r="EP42" s="132"/>
      <c r="EQ42" s="132"/>
      <c r="ER42" s="31"/>
      <c r="ES42" s="131"/>
      <c r="ET42" s="132"/>
      <c r="EU42" s="132"/>
      <c r="EV42" s="132"/>
      <c r="EW42" s="132"/>
    </row>
    <row r="43" spans="1:153" s="8" customFormat="1" ht="15" customHeight="1">
      <c r="A43"/>
      <c r="B43" s="129"/>
      <c r="C43" s="129"/>
      <c r="D43" s="10"/>
      <c r="E43" s="122"/>
      <c r="F43" s="122"/>
      <c r="G43" s="122"/>
      <c r="H43" s="122"/>
      <c r="I43" s="122"/>
      <c r="J43" s="10"/>
      <c r="K43" s="10"/>
      <c r="L43" s="122"/>
      <c r="M43" s="10"/>
      <c r="N43" s="10"/>
      <c r="O43" s="10"/>
      <c r="P43" s="10"/>
      <c r="Q43" s="122"/>
      <c r="R43" s="130"/>
      <c r="S43" s="38"/>
      <c r="T43" s="38"/>
      <c r="U43" s="38"/>
      <c r="V43" s="37"/>
      <c r="W43" s="130"/>
      <c r="X43" s="38"/>
      <c r="Y43" s="38"/>
      <c r="Z43" s="38"/>
      <c r="AA43" s="37"/>
      <c r="AB43" s="130"/>
      <c r="AC43" s="38"/>
      <c r="AD43" s="38"/>
      <c r="AE43" s="38"/>
      <c r="AF43" s="38"/>
      <c r="AG43" s="130"/>
      <c r="AH43" s="38"/>
      <c r="AI43" s="38"/>
      <c r="AJ43" s="38"/>
      <c r="AK43" s="37"/>
      <c r="AL43" s="130"/>
      <c r="AM43" s="38"/>
      <c r="AN43" s="38"/>
      <c r="AO43" s="38"/>
      <c r="AP43" s="38"/>
      <c r="AQ43" s="130"/>
      <c r="AR43" s="38"/>
      <c r="AS43" s="38"/>
      <c r="AT43" s="38"/>
      <c r="AU43" s="38"/>
      <c r="AZ43" s="38"/>
      <c r="BA43" s="130"/>
      <c r="BB43" s="38"/>
      <c r="BC43" s="38"/>
      <c r="BD43" s="38"/>
      <c r="BE43" s="38"/>
      <c r="BF43" s="130"/>
      <c r="BG43" s="38"/>
      <c r="BH43" s="38"/>
      <c r="BI43" s="38"/>
      <c r="BJ43" s="786"/>
      <c r="BK43" s="130"/>
      <c r="BL43" s="38"/>
      <c r="BM43" s="38"/>
      <c r="BN43" s="38"/>
      <c r="BO43" s="786"/>
      <c r="BP43" s="130"/>
      <c r="BQ43" s="38"/>
      <c r="BR43" s="38"/>
      <c r="BS43" s="38"/>
      <c r="BT43" s="786"/>
      <c r="BU43" s="130"/>
      <c r="BV43" s="38"/>
      <c r="BW43" s="38"/>
      <c r="BX43" s="38"/>
      <c r="BY43" s="31"/>
      <c r="BZ43" s="130"/>
      <c r="CA43" s="38"/>
      <c r="CB43" s="38"/>
      <c r="CC43" s="38"/>
      <c r="CD43" s="38"/>
      <c r="CE43" s="130"/>
      <c r="CF43" s="38"/>
      <c r="CG43" s="38"/>
      <c r="CH43" s="38"/>
      <c r="CI43" s="31"/>
      <c r="CO43" s="130"/>
      <c r="CP43" s="38"/>
      <c r="CQ43" s="38"/>
      <c r="CR43" s="38"/>
      <c r="CS43" s="31"/>
      <c r="CT43" s="130"/>
      <c r="CU43" s="38"/>
      <c r="CV43" s="38"/>
      <c r="CW43" s="38"/>
      <c r="CX43" s="31"/>
      <c r="CY43" s="130"/>
      <c r="CZ43" s="38"/>
      <c r="DA43" s="38"/>
      <c r="DB43" s="38"/>
      <c r="DC43" s="31"/>
      <c r="DD43" s="130"/>
      <c r="DE43" s="38"/>
      <c r="DF43" s="38"/>
      <c r="DG43" s="38"/>
      <c r="DH43" s="31"/>
      <c r="DI43" s="130"/>
      <c r="DJ43" s="38"/>
      <c r="DK43" s="38"/>
      <c r="DL43" s="38"/>
      <c r="DM43" s="31"/>
      <c r="DN43" s="130"/>
      <c r="DO43" s="38"/>
      <c r="DP43" s="38"/>
      <c r="DQ43" s="38"/>
      <c r="DR43" s="31"/>
      <c r="DS43" s="130"/>
      <c r="DT43" s="38"/>
      <c r="DU43" s="38"/>
      <c r="DV43" s="38"/>
      <c r="DW43" s="31"/>
      <c r="DX43" s="130"/>
      <c r="DY43" s="38"/>
      <c r="DZ43" s="38"/>
      <c r="EA43" s="38"/>
      <c r="EB43" s="31"/>
      <c r="EC43" s="130"/>
      <c r="ED43" s="38"/>
      <c r="EE43" s="38"/>
      <c r="EF43" s="38"/>
      <c r="EG43" s="31"/>
      <c r="EH43" s="130"/>
      <c r="EI43" s="38"/>
      <c r="EJ43" s="38"/>
      <c r="EK43" s="38"/>
      <c r="EL43" s="31"/>
      <c r="EM43" s="131"/>
      <c r="EN43" s="132"/>
      <c r="EO43" s="132"/>
      <c r="EP43" s="132"/>
      <c r="EQ43" s="132"/>
      <c r="ER43" s="31"/>
      <c r="ES43" s="131"/>
      <c r="ET43" s="132"/>
      <c r="EU43" s="132"/>
      <c r="EV43" s="132"/>
      <c r="EW43" s="132"/>
    </row>
    <row r="44" spans="1:153" s="8" customFormat="1" ht="15" customHeight="1">
      <c r="A44"/>
      <c r="B44" s="129"/>
      <c r="C44" s="129"/>
      <c r="D44" s="10"/>
      <c r="E44" s="122"/>
      <c r="F44" s="122"/>
      <c r="G44" s="122"/>
      <c r="H44" s="122"/>
      <c r="I44" s="122"/>
      <c r="J44" s="10"/>
      <c r="K44" s="10"/>
      <c r="L44" s="122"/>
      <c r="M44" s="10"/>
      <c r="N44" s="10"/>
      <c r="O44" s="10"/>
      <c r="P44" s="10"/>
      <c r="Q44" s="122"/>
      <c r="R44" s="130"/>
      <c r="S44" s="38"/>
      <c r="T44" s="38"/>
      <c r="U44" s="38"/>
      <c r="V44" s="37"/>
      <c r="W44" s="130"/>
      <c r="X44" s="38"/>
      <c r="Y44" s="38"/>
      <c r="Z44" s="38"/>
      <c r="AA44" s="37"/>
      <c r="AB44" s="130"/>
      <c r="AC44" s="38"/>
      <c r="AD44" s="38"/>
      <c r="AE44" s="38"/>
      <c r="AF44" s="38"/>
      <c r="AG44" s="130"/>
      <c r="AH44" s="38"/>
      <c r="AI44" s="38"/>
      <c r="AJ44" s="38"/>
      <c r="AK44" s="37"/>
      <c r="AL44" s="130"/>
      <c r="AM44" s="38"/>
      <c r="AN44" s="38"/>
      <c r="AO44" s="38"/>
      <c r="AP44" s="38"/>
      <c r="AQ44" s="130"/>
      <c r="AR44" s="38"/>
      <c r="AS44" s="38"/>
      <c r="AT44" s="38"/>
      <c r="AU44" s="38"/>
      <c r="AZ44" s="38"/>
      <c r="BA44" s="130"/>
      <c r="BB44" s="38"/>
      <c r="BC44" s="38"/>
      <c r="BD44" s="38"/>
      <c r="BE44" s="38"/>
      <c r="BF44" s="130"/>
      <c r="BG44" s="38"/>
      <c r="BH44" s="38"/>
      <c r="BI44" s="38"/>
      <c r="BJ44" s="786"/>
      <c r="BK44" s="130"/>
      <c r="BL44" s="38"/>
      <c r="BM44" s="38"/>
      <c r="BN44" s="38"/>
      <c r="BO44" s="786"/>
      <c r="BP44" s="130"/>
      <c r="BQ44" s="38"/>
      <c r="BR44" s="38"/>
      <c r="BS44" s="38"/>
      <c r="BT44" s="786"/>
      <c r="BU44" s="130"/>
      <c r="BV44" s="38"/>
      <c r="BW44" s="38"/>
      <c r="BX44" s="38"/>
      <c r="BY44" s="31"/>
      <c r="BZ44" s="130"/>
      <c r="CA44" s="38"/>
      <c r="CB44" s="38"/>
      <c r="CC44" s="38"/>
      <c r="CD44" s="38"/>
      <c r="CE44" s="130"/>
      <c r="CF44" s="38"/>
      <c r="CG44" s="38"/>
      <c r="CH44" s="38"/>
      <c r="CI44" s="31"/>
      <c r="CO44" s="130"/>
      <c r="CP44" s="38"/>
      <c r="CQ44" s="38"/>
      <c r="CR44" s="38"/>
      <c r="CS44" s="31"/>
      <c r="CT44" s="130"/>
      <c r="CU44" s="38"/>
      <c r="CV44" s="38"/>
      <c r="CW44" s="38"/>
      <c r="CX44" s="31"/>
      <c r="CY44" s="130"/>
      <c r="CZ44" s="38"/>
      <c r="DA44" s="38"/>
      <c r="DB44" s="38"/>
      <c r="DC44" s="31"/>
      <c r="DD44" s="130"/>
      <c r="DE44" s="38"/>
      <c r="DF44" s="38"/>
      <c r="DG44" s="38"/>
      <c r="DH44" s="31"/>
      <c r="DI44" s="130"/>
      <c r="DJ44" s="38"/>
      <c r="DK44" s="38"/>
      <c r="DL44" s="38"/>
      <c r="DM44" s="31"/>
      <c r="DN44" s="130"/>
      <c r="DO44" s="38"/>
      <c r="DP44" s="38"/>
      <c r="DQ44" s="38"/>
      <c r="DR44" s="31"/>
      <c r="DS44" s="130"/>
      <c r="DT44" s="38"/>
      <c r="DU44" s="38"/>
      <c r="DV44" s="38"/>
      <c r="DW44" s="31"/>
      <c r="DX44" s="130"/>
      <c r="DY44" s="38"/>
      <c r="DZ44" s="38"/>
      <c r="EA44" s="38"/>
      <c r="EB44" s="31"/>
      <c r="EC44" s="130"/>
      <c r="ED44" s="38"/>
      <c r="EE44" s="38"/>
      <c r="EF44" s="38"/>
      <c r="EG44" s="31"/>
      <c r="EH44" s="130"/>
      <c r="EI44" s="38"/>
      <c r="EJ44" s="38"/>
      <c r="EK44" s="38"/>
      <c r="EL44" s="31"/>
      <c r="EM44" s="131"/>
      <c r="EN44" s="132"/>
      <c r="EO44" s="132"/>
      <c r="EP44" s="132"/>
      <c r="EQ44" s="132"/>
      <c r="ER44" s="31"/>
      <c r="ES44" s="131"/>
      <c r="ET44" s="132"/>
      <c r="EU44" s="132"/>
      <c r="EV44" s="132"/>
      <c r="EW44" s="132"/>
    </row>
    <row r="45" spans="1:153" s="8" customFormat="1" ht="15" customHeight="1">
      <c r="A45"/>
      <c r="B45" s="129"/>
      <c r="C45" s="129"/>
      <c r="D45" s="10"/>
      <c r="E45" s="122"/>
      <c r="F45" s="122"/>
      <c r="G45" s="122"/>
      <c r="H45" s="122"/>
      <c r="I45" s="122"/>
      <c r="J45" s="10"/>
      <c r="K45" s="10"/>
      <c r="L45" s="122"/>
      <c r="M45" s="10"/>
      <c r="N45" s="10"/>
      <c r="O45" s="10"/>
      <c r="P45" s="10"/>
      <c r="Q45" s="122"/>
      <c r="R45" s="130"/>
      <c r="S45" s="38"/>
      <c r="T45" s="38"/>
      <c r="U45" s="38"/>
      <c r="V45" s="37"/>
      <c r="W45" s="130"/>
      <c r="X45" s="38"/>
      <c r="Y45" s="38"/>
      <c r="Z45" s="38"/>
      <c r="AA45" s="37"/>
      <c r="AB45" s="130"/>
      <c r="AC45" s="38"/>
      <c r="AD45" s="38"/>
      <c r="AE45" s="38"/>
      <c r="AF45" s="38"/>
      <c r="AG45" s="130"/>
      <c r="AH45" s="38"/>
      <c r="AI45" s="38"/>
      <c r="AJ45" s="38"/>
      <c r="AK45" s="37"/>
      <c r="AL45" s="130"/>
      <c r="AM45" s="38"/>
      <c r="AN45" s="38"/>
      <c r="AO45" s="38"/>
      <c r="AP45" s="38"/>
      <c r="AQ45" s="130"/>
      <c r="AR45" s="38"/>
      <c r="AS45" s="38"/>
      <c r="AT45" s="38"/>
      <c r="AU45" s="38"/>
      <c r="AZ45" s="38"/>
      <c r="BA45" s="130"/>
      <c r="BB45" s="38"/>
      <c r="BC45" s="38"/>
      <c r="BD45" s="38"/>
      <c r="BE45" s="38"/>
      <c r="BF45" s="130"/>
      <c r="BG45" s="38"/>
      <c r="BH45" s="38"/>
      <c r="BI45" s="38"/>
      <c r="BJ45" s="786"/>
      <c r="BK45" s="130"/>
      <c r="BL45" s="38"/>
      <c r="BM45" s="38"/>
      <c r="BN45" s="38"/>
      <c r="BO45" s="786"/>
      <c r="BP45" s="130"/>
      <c r="BQ45" s="38"/>
      <c r="BR45" s="38"/>
      <c r="BS45" s="38"/>
      <c r="BT45" s="786"/>
      <c r="BU45" s="130"/>
      <c r="BV45" s="38"/>
      <c r="BW45" s="38"/>
      <c r="BX45" s="38"/>
      <c r="BY45" s="31"/>
      <c r="BZ45" s="130"/>
      <c r="CA45" s="38"/>
      <c r="CB45" s="38"/>
      <c r="CC45" s="38"/>
      <c r="CD45" s="38"/>
      <c r="CE45" s="130"/>
      <c r="CF45" s="38"/>
      <c r="CG45" s="38"/>
      <c r="CH45" s="38"/>
      <c r="CI45" s="31"/>
      <c r="CO45" s="130"/>
      <c r="CP45" s="38"/>
      <c r="CQ45" s="38"/>
      <c r="CR45" s="38"/>
      <c r="CS45" s="31"/>
      <c r="CT45" s="130"/>
      <c r="CU45" s="38"/>
      <c r="CV45" s="38"/>
      <c r="CW45" s="38"/>
      <c r="CX45" s="31"/>
      <c r="CY45" s="130"/>
      <c r="CZ45" s="38"/>
      <c r="DA45" s="38"/>
      <c r="DB45" s="38"/>
      <c r="DC45" s="31"/>
      <c r="DD45" s="130"/>
      <c r="DE45" s="38"/>
      <c r="DF45" s="38"/>
      <c r="DG45" s="38"/>
      <c r="DH45" s="31"/>
      <c r="DI45" s="130"/>
      <c r="DJ45" s="38"/>
      <c r="DK45" s="38"/>
      <c r="DL45" s="38"/>
      <c r="DM45" s="31"/>
      <c r="DN45" s="130"/>
      <c r="DO45" s="38"/>
      <c r="DP45" s="38"/>
      <c r="DQ45" s="38"/>
      <c r="DR45" s="31"/>
      <c r="DS45" s="130"/>
      <c r="DT45" s="38"/>
      <c r="DU45" s="38"/>
      <c r="DV45" s="38"/>
      <c r="DW45" s="31"/>
      <c r="DX45" s="130"/>
      <c r="DY45" s="38"/>
      <c r="DZ45" s="38"/>
      <c r="EA45" s="38"/>
      <c r="EB45" s="31"/>
      <c r="EC45" s="130"/>
      <c r="ED45" s="38"/>
      <c r="EE45" s="38"/>
      <c r="EF45" s="38"/>
      <c r="EG45" s="31"/>
      <c r="EH45" s="130"/>
      <c r="EI45" s="38"/>
      <c r="EJ45" s="38"/>
      <c r="EK45" s="38"/>
      <c r="EL45" s="31"/>
      <c r="EM45" s="131"/>
      <c r="EN45" s="132"/>
      <c r="EO45" s="132"/>
      <c r="EP45" s="132"/>
      <c r="EQ45" s="132"/>
      <c r="ER45" s="31"/>
      <c r="ES45" s="131"/>
      <c r="ET45" s="132"/>
      <c r="EU45" s="132"/>
      <c r="EV45" s="132"/>
      <c r="EW45" s="132"/>
    </row>
    <row r="46" spans="1:153" s="8" customFormat="1" ht="15" customHeight="1">
      <c r="A46"/>
      <c r="B46" s="129"/>
      <c r="C46" s="129"/>
      <c r="D46" s="10"/>
      <c r="E46" s="122"/>
      <c r="F46" s="122"/>
      <c r="G46" s="122"/>
      <c r="H46" s="122"/>
      <c r="I46" s="122"/>
      <c r="J46" s="10"/>
      <c r="K46" s="10"/>
      <c r="L46" s="122"/>
      <c r="M46" s="10"/>
      <c r="N46" s="10"/>
      <c r="O46" s="10"/>
      <c r="P46" s="10"/>
      <c r="Q46" s="122"/>
      <c r="R46" s="130"/>
      <c r="S46" s="38"/>
      <c r="T46" s="38"/>
      <c r="U46" s="38"/>
      <c r="V46" s="37"/>
      <c r="W46" s="130"/>
      <c r="X46" s="38"/>
      <c r="Y46" s="38"/>
      <c r="Z46" s="38"/>
      <c r="AA46" s="37"/>
      <c r="AB46" s="130"/>
      <c r="AC46" s="38"/>
      <c r="AD46" s="38"/>
      <c r="AE46" s="38"/>
      <c r="AF46" s="38"/>
      <c r="AG46" s="130"/>
      <c r="AH46" s="38"/>
      <c r="AI46" s="38"/>
      <c r="AJ46" s="38"/>
      <c r="AK46" s="37"/>
      <c r="AL46" s="130"/>
      <c r="AM46" s="38"/>
      <c r="AN46" s="38"/>
      <c r="AO46" s="38"/>
      <c r="AP46" s="38"/>
      <c r="AQ46" s="130"/>
      <c r="AR46" s="38"/>
      <c r="AS46" s="38"/>
      <c r="AT46" s="38"/>
      <c r="AU46" s="38"/>
      <c r="AZ46" s="38"/>
      <c r="BA46" s="130"/>
      <c r="BB46" s="38"/>
      <c r="BC46" s="38"/>
      <c r="BD46" s="38"/>
      <c r="BE46" s="38"/>
      <c r="BF46" s="130"/>
      <c r="BG46" s="38"/>
      <c r="BH46" s="38"/>
      <c r="BI46" s="38"/>
      <c r="BJ46" s="786"/>
      <c r="BK46" s="130"/>
      <c r="BL46" s="38"/>
      <c r="BM46" s="38"/>
      <c r="BN46" s="38"/>
      <c r="BO46" s="786"/>
      <c r="BP46" s="130"/>
      <c r="BQ46" s="38"/>
      <c r="BR46" s="38"/>
      <c r="BS46" s="38"/>
      <c r="BT46" s="786"/>
      <c r="BU46" s="130"/>
      <c r="BV46" s="38"/>
      <c r="BW46" s="38"/>
      <c r="BX46" s="38"/>
      <c r="BY46" s="31"/>
      <c r="BZ46" s="130"/>
      <c r="CA46" s="38"/>
      <c r="CB46" s="38"/>
      <c r="CC46" s="38"/>
      <c r="CD46" s="38"/>
      <c r="CE46" s="130"/>
      <c r="CF46" s="38"/>
      <c r="CG46" s="38"/>
      <c r="CH46" s="38"/>
      <c r="CI46" s="31"/>
      <c r="CO46" s="130"/>
      <c r="CP46" s="38"/>
      <c r="CQ46" s="38"/>
      <c r="CR46" s="38"/>
      <c r="CS46" s="31"/>
      <c r="CT46" s="130"/>
      <c r="CU46" s="38"/>
      <c r="CV46" s="38"/>
      <c r="CW46" s="38"/>
      <c r="CX46" s="31"/>
      <c r="CY46" s="130"/>
      <c r="CZ46" s="38"/>
      <c r="DA46" s="38"/>
      <c r="DB46" s="38"/>
      <c r="DC46" s="31"/>
      <c r="DD46" s="130"/>
      <c r="DE46" s="38"/>
      <c r="DF46" s="38"/>
      <c r="DG46" s="38"/>
      <c r="DH46" s="31"/>
      <c r="DI46" s="130"/>
      <c r="DJ46" s="38"/>
      <c r="DK46" s="38"/>
      <c r="DL46" s="38"/>
      <c r="DM46" s="31"/>
      <c r="DN46" s="130"/>
      <c r="DO46" s="38"/>
      <c r="DP46" s="38"/>
      <c r="DQ46" s="38"/>
      <c r="DR46" s="31"/>
      <c r="DS46" s="130"/>
      <c r="DT46" s="38"/>
      <c r="DU46" s="38"/>
      <c r="DV46" s="38"/>
      <c r="DW46" s="31"/>
      <c r="DX46" s="130"/>
      <c r="DY46" s="38"/>
      <c r="DZ46" s="38"/>
      <c r="EA46" s="38"/>
      <c r="EB46" s="31"/>
      <c r="EC46" s="130"/>
      <c r="ED46" s="38"/>
      <c r="EE46" s="38"/>
      <c r="EF46" s="38"/>
      <c r="EG46" s="31"/>
      <c r="EH46" s="130"/>
      <c r="EI46" s="38"/>
      <c r="EJ46" s="38"/>
      <c r="EK46" s="38"/>
      <c r="EL46" s="31"/>
      <c r="EM46" s="131"/>
      <c r="EN46" s="132"/>
      <c r="EO46" s="132"/>
      <c r="EP46" s="132"/>
      <c r="EQ46" s="132"/>
      <c r="ER46" s="31"/>
      <c r="ES46" s="131"/>
      <c r="ET46" s="132"/>
      <c r="EU46" s="132"/>
      <c r="EV46" s="132"/>
      <c r="EW46" s="132"/>
    </row>
    <row r="47" spans="1:153" s="8" customFormat="1" ht="15" customHeight="1">
      <c r="A47"/>
      <c r="B47" s="129"/>
      <c r="C47" s="129"/>
      <c r="D47" s="10"/>
      <c r="E47" s="122"/>
      <c r="F47" s="122"/>
      <c r="G47" s="122"/>
      <c r="H47" s="122"/>
      <c r="I47" s="122"/>
      <c r="J47" s="10"/>
      <c r="K47" s="10"/>
      <c r="L47" s="122"/>
      <c r="M47" s="10"/>
      <c r="N47" s="10"/>
      <c r="O47" s="10"/>
      <c r="P47" s="10"/>
      <c r="Q47" s="122"/>
      <c r="R47" s="130"/>
      <c r="S47" s="38"/>
      <c r="T47" s="38"/>
      <c r="U47" s="38"/>
      <c r="V47" s="37"/>
      <c r="W47" s="130"/>
      <c r="X47" s="38"/>
      <c r="Y47" s="38"/>
      <c r="Z47" s="38"/>
      <c r="AA47" s="37"/>
      <c r="AB47" s="130"/>
      <c r="AC47" s="38"/>
      <c r="AD47" s="38"/>
      <c r="AE47" s="38"/>
      <c r="AF47" s="38"/>
      <c r="AG47" s="130"/>
      <c r="AH47" s="38"/>
      <c r="AI47" s="38"/>
      <c r="AJ47" s="38"/>
      <c r="AK47" s="37"/>
      <c r="AL47" s="130"/>
      <c r="AM47" s="38"/>
      <c r="AN47" s="38"/>
      <c r="AO47" s="38"/>
      <c r="AP47" s="38"/>
      <c r="AQ47" s="130"/>
      <c r="AR47" s="38"/>
      <c r="AS47" s="38"/>
      <c r="AT47" s="38"/>
      <c r="AU47" s="38"/>
      <c r="AZ47" s="38"/>
      <c r="BA47" s="130"/>
      <c r="BB47" s="38"/>
      <c r="BC47" s="38"/>
      <c r="BD47" s="38"/>
      <c r="BE47" s="38"/>
      <c r="BF47" s="130"/>
      <c r="BG47" s="38"/>
      <c r="BH47" s="38"/>
      <c r="BI47" s="38"/>
      <c r="BJ47" s="786"/>
      <c r="BK47" s="130"/>
      <c r="BL47" s="38"/>
      <c r="BM47" s="38"/>
      <c r="BN47" s="38"/>
      <c r="BO47" s="786"/>
      <c r="BP47" s="130"/>
      <c r="BQ47" s="38"/>
      <c r="BR47" s="38"/>
      <c r="BS47" s="38"/>
      <c r="BT47" s="786"/>
      <c r="BU47" s="130"/>
      <c r="BV47" s="38"/>
      <c r="BW47" s="38"/>
      <c r="BX47" s="38"/>
      <c r="BY47" s="31"/>
      <c r="BZ47" s="130"/>
      <c r="CA47" s="38"/>
      <c r="CB47" s="38"/>
      <c r="CC47" s="38"/>
      <c r="CD47" s="38"/>
      <c r="CE47" s="130"/>
      <c r="CF47" s="38"/>
      <c r="CG47" s="38"/>
      <c r="CH47" s="38"/>
      <c r="CI47" s="31"/>
      <c r="CO47" s="130"/>
      <c r="CP47" s="38"/>
      <c r="CQ47" s="38"/>
      <c r="CR47" s="38"/>
      <c r="CS47" s="31"/>
      <c r="CT47" s="130"/>
      <c r="CU47" s="38"/>
      <c r="CV47" s="38"/>
      <c r="CW47" s="38"/>
      <c r="CX47" s="31"/>
      <c r="CY47" s="130"/>
      <c r="CZ47" s="38"/>
      <c r="DA47" s="38"/>
      <c r="DB47" s="38"/>
      <c r="DC47" s="31"/>
      <c r="DD47" s="130"/>
      <c r="DE47" s="38"/>
      <c r="DF47" s="38"/>
      <c r="DG47" s="38"/>
      <c r="DH47" s="31"/>
      <c r="DI47" s="130"/>
      <c r="DJ47" s="38"/>
      <c r="DK47" s="38"/>
      <c r="DL47" s="38"/>
      <c r="DM47" s="31"/>
      <c r="DN47" s="130"/>
      <c r="DO47" s="38"/>
      <c r="DP47" s="38"/>
      <c r="DQ47" s="38"/>
      <c r="DR47" s="31"/>
      <c r="DS47" s="130"/>
      <c r="DT47" s="38"/>
      <c r="DU47" s="38"/>
      <c r="DV47" s="38"/>
      <c r="DW47" s="31"/>
      <c r="DX47" s="130"/>
      <c r="DY47" s="38"/>
      <c r="DZ47" s="38"/>
      <c r="EA47" s="38"/>
      <c r="EB47" s="31"/>
      <c r="EC47" s="130"/>
      <c r="ED47" s="38"/>
      <c r="EE47" s="38"/>
      <c r="EF47" s="38"/>
      <c r="EG47" s="31"/>
      <c r="EH47" s="130"/>
      <c r="EI47" s="38"/>
      <c r="EJ47" s="38"/>
      <c r="EK47" s="38"/>
      <c r="EL47" s="31"/>
      <c r="EM47" s="131"/>
      <c r="EN47" s="132"/>
      <c r="EO47" s="132"/>
      <c r="EP47" s="132"/>
      <c r="EQ47" s="132"/>
      <c r="ER47" s="31"/>
      <c r="ES47" s="131"/>
      <c r="ET47" s="132"/>
      <c r="EU47" s="132"/>
      <c r="EV47" s="132"/>
      <c r="EW47" s="132"/>
    </row>
    <row r="48" spans="1:153" s="8" customFormat="1" ht="15" customHeight="1">
      <c r="A48"/>
      <c r="B48" s="129"/>
      <c r="C48" s="129"/>
      <c r="D48" s="10"/>
      <c r="E48" s="122"/>
      <c r="F48" s="122"/>
      <c r="G48" s="122"/>
      <c r="H48" s="122"/>
      <c r="I48" s="122"/>
      <c r="J48" s="10"/>
      <c r="K48" s="10"/>
      <c r="L48" s="122"/>
      <c r="M48" s="10"/>
      <c r="N48" s="10"/>
      <c r="O48" s="10"/>
      <c r="P48" s="10"/>
      <c r="Q48" s="122"/>
      <c r="R48" s="130"/>
      <c r="S48" s="38"/>
      <c r="T48" s="38"/>
      <c r="U48" s="38"/>
      <c r="V48" s="37"/>
      <c r="W48" s="130"/>
      <c r="X48" s="38"/>
      <c r="Y48" s="38"/>
      <c r="Z48" s="38"/>
      <c r="AA48" s="37"/>
      <c r="AB48" s="130"/>
      <c r="AC48" s="38"/>
      <c r="AD48" s="38"/>
      <c r="AE48" s="38"/>
      <c r="AF48" s="38"/>
      <c r="AG48" s="130"/>
      <c r="AH48" s="38"/>
      <c r="AI48" s="38"/>
      <c r="AJ48" s="38"/>
      <c r="AK48" s="37"/>
      <c r="AL48" s="130"/>
      <c r="AM48" s="38"/>
      <c r="AN48" s="38"/>
      <c r="AO48" s="38"/>
      <c r="AP48" s="38"/>
      <c r="AQ48" s="130"/>
      <c r="AR48" s="38"/>
      <c r="AS48" s="38"/>
      <c r="AT48" s="38"/>
      <c r="AU48" s="38"/>
      <c r="AZ48" s="38"/>
      <c r="BA48" s="130"/>
      <c r="BB48" s="38"/>
      <c r="BC48" s="38"/>
      <c r="BD48" s="38"/>
      <c r="BE48" s="38"/>
      <c r="BF48" s="130"/>
      <c r="BG48" s="38"/>
      <c r="BH48" s="38"/>
      <c r="BI48" s="38"/>
      <c r="BJ48" s="786"/>
      <c r="BK48" s="130"/>
      <c r="BL48" s="38"/>
      <c r="BM48" s="38"/>
      <c r="BN48" s="38"/>
      <c r="BO48" s="786"/>
      <c r="BP48" s="130"/>
      <c r="BQ48" s="38"/>
      <c r="BR48" s="38"/>
      <c r="BS48" s="38"/>
      <c r="BT48" s="786"/>
      <c r="BU48" s="130"/>
      <c r="BV48" s="38"/>
      <c r="BW48" s="38"/>
      <c r="BX48" s="38"/>
      <c r="BY48" s="31"/>
      <c r="BZ48" s="130"/>
      <c r="CA48" s="38"/>
      <c r="CB48" s="38"/>
      <c r="CC48" s="38"/>
      <c r="CD48" s="38"/>
      <c r="CE48" s="130"/>
      <c r="CF48" s="38"/>
      <c r="CG48" s="38"/>
      <c r="CH48" s="38"/>
      <c r="CI48" s="31"/>
      <c r="CO48" s="130"/>
      <c r="CP48" s="38"/>
      <c r="CQ48" s="38"/>
      <c r="CR48" s="38"/>
      <c r="CS48" s="31"/>
      <c r="CT48" s="130"/>
      <c r="CU48" s="38"/>
      <c r="CV48" s="38"/>
      <c r="CW48" s="38"/>
      <c r="CX48" s="31"/>
      <c r="CY48" s="130"/>
      <c r="CZ48" s="38"/>
      <c r="DA48" s="38"/>
      <c r="DB48" s="38"/>
      <c r="DC48" s="31"/>
      <c r="DD48" s="130"/>
      <c r="DE48" s="38"/>
      <c r="DF48" s="38"/>
      <c r="DG48" s="38"/>
      <c r="DH48" s="31"/>
      <c r="DI48" s="130"/>
      <c r="DJ48" s="38"/>
      <c r="DK48" s="38"/>
      <c r="DL48" s="38"/>
      <c r="DM48" s="31"/>
      <c r="DN48" s="130"/>
      <c r="DO48" s="38"/>
      <c r="DP48" s="38"/>
      <c r="DQ48" s="38"/>
      <c r="DR48" s="31"/>
      <c r="DS48" s="130"/>
      <c r="DT48" s="38"/>
      <c r="DU48" s="38"/>
      <c r="DV48" s="38"/>
      <c r="DW48" s="31"/>
      <c r="DX48" s="130"/>
      <c r="DY48" s="38"/>
      <c r="DZ48" s="38"/>
      <c r="EA48" s="38"/>
      <c r="EB48" s="31"/>
      <c r="EC48" s="130"/>
      <c r="ED48" s="38"/>
      <c r="EE48" s="38"/>
      <c r="EF48" s="38"/>
      <c r="EG48" s="31"/>
      <c r="EH48" s="130"/>
      <c r="EI48" s="38"/>
      <c r="EJ48" s="38"/>
      <c r="EK48" s="38"/>
      <c r="EL48" s="31"/>
      <c r="EM48" s="131"/>
      <c r="EN48" s="132"/>
      <c r="EO48" s="132"/>
      <c r="EP48" s="132"/>
      <c r="EQ48" s="132"/>
      <c r="ER48" s="31"/>
      <c r="ES48" s="131"/>
      <c r="ET48" s="132"/>
      <c r="EU48" s="132"/>
      <c r="EV48" s="132"/>
      <c r="EW48" s="132"/>
    </row>
    <row r="49" spans="1:153" s="8" customFormat="1" ht="15" customHeight="1">
      <c r="A49"/>
      <c r="B49" s="129"/>
      <c r="C49" s="129"/>
      <c r="D49" s="10"/>
      <c r="E49" s="122"/>
      <c r="F49" s="122"/>
      <c r="G49" s="122"/>
      <c r="H49" s="122"/>
      <c r="I49" s="122"/>
      <c r="J49" s="10"/>
      <c r="K49" s="10"/>
      <c r="L49" s="122"/>
      <c r="M49" s="10"/>
      <c r="N49" s="10"/>
      <c r="O49" s="10"/>
      <c r="P49" s="10"/>
      <c r="Q49" s="122"/>
      <c r="R49" s="130"/>
      <c r="S49" s="38"/>
      <c r="T49" s="38"/>
      <c r="U49" s="38"/>
      <c r="V49" s="37"/>
      <c r="W49" s="130"/>
      <c r="X49" s="38"/>
      <c r="Y49" s="38"/>
      <c r="Z49" s="38"/>
      <c r="AA49" s="37"/>
      <c r="AB49" s="130"/>
      <c r="AC49" s="38"/>
      <c r="AD49" s="38"/>
      <c r="AE49" s="38"/>
      <c r="AF49" s="38"/>
      <c r="AG49" s="130"/>
      <c r="AH49" s="38"/>
      <c r="AI49" s="38"/>
      <c r="AJ49" s="38"/>
      <c r="AK49" s="37"/>
      <c r="AL49" s="130"/>
      <c r="AM49" s="38"/>
      <c r="AN49" s="38"/>
      <c r="AO49" s="38"/>
      <c r="AP49" s="38"/>
      <c r="AQ49" s="130"/>
      <c r="AR49" s="38"/>
      <c r="AS49" s="38"/>
      <c r="AT49" s="38"/>
      <c r="AU49" s="38"/>
      <c r="AZ49" s="38"/>
      <c r="BA49" s="130"/>
      <c r="BB49" s="38"/>
      <c r="BC49" s="38"/>
      <c r="BD49" s="38"/>
      <c r="BE49" s="38"/>
      <c r="BF49" s="130"/>
      <c r="BG49" s="38"/>
      <c r="BH49" s="38"/>
      <c r="BI49" s="38"/>
      <c r="BJ49" s="786"/>
      <c r="BK49" s="130"/>
      <c r="BL49" s="38"/>
      <c r="BM49" s="38"/>
      <c r="BN49" s="38"/>
      <c r="BO49" s="786"/>
      <c r="BP49" s="130"/>
      <c r="BQ49" s="38"/>
      <c r="BR49" s="38"/>
      <c r="BS49" s="38"/>
      <c r="BT49" s="786"/>
      <c r="BU49" s="130"/>
      <c r="BV49" s="38"/>
      <c r="BW49" s="38"/>
      <c r="BX49" s="38"/>
      <c r="BY49" s="31"/>
      <c r="BZ49" s="130"/>
      <c r="CA49" s="38"/>
      <c r="CB49" s="38"/>
      <c r="CC49" s="38"/>
      <c r="CD49" s="38"/>
      <c r="CE49" s="130"/>
      <c r="CF49" s="38"/>
      <c r="CG49" s="38"/>
      <c r="CH49" s="38"/>
      <c r="CI49" s="31"/>
      <c r="CO49" s="130"/>
      <c r="CP49" s="38"/>
      <c r="CQ49" s="38"/>
      <c r="CR49" s="38"/>
      <c r="CS49" s="31"/>
      <c r="CT49" s="130"/>
      <c r="CU49" s="38"/>
      <c r="CV49" s="38"/>
      <c r="CW49" s="38"/>
      <c r="CX49" s="31"/>
      <c r="CY49" s="130"/>
      <c r="CZ49" s="38"/>
      <c r="DA49" s="38"/>
      <c r="DB49" s="38"/>
      <c r="DC49" s="31"/>
      <c r="DD49" s="130"/>
      <c r="DE49" s="38"/>
      <c r="DF49" s="38"/>
      <c r="DG49" s="38"/>
      <c r="DH49" s="31"/>
      <c r="DI49" s="130"/>
      <c r="DJ49" s="38"/>
      <c r="DK49" s="38"/>
      <c r="DL49" s="38"/>
      <c r="DM49" s="31"/>
      <c r="DN49" s="130"/>
      <c r="DO49" s="38"/>
      <c r="DP49" s="38"/>
      <c r="DQ49" s="38"/>
      <c r="DR49" s="31"/>
      <c r="DS49" s="130"/>
      <c r="DT49" s="38"/>
      <c r="DU49" s="38"/>
      <c r="DV49" s="38"/>
      <c r="DW49" s="31"/>
      <c r="DX49" s="130"/>
      <c r="DY49" s="38"/>
      <c r="DZ49" s="38"/>
      <c r="EA49" s="38"/>
      <c r="EB49" s="31"/>
      <c r="EC49" s="130"/>
      <c r="ED49" s="38"/>
      <c r="EE49" s="38"/>
      <c r="EF49" s="38"/>
      <c r="EG49" s="31"/>
      <c r="EH49" s="130"/>
      <c r="EI49" s="38"/>
      <c r="EJ49" s="38"/>
      <c r="EK49" s="38"/>
      <c r="EL49" s="31"/>
      <c r="EM49" s="131"/>
      <c r="EN49" s="132"/>
      <c r="EO49" s="132"/>
      <c r="EP49" s="132"/>
      <c r="EQ49" s="132"/>
      <c r="ER49" s="31"/>
      <c r="ES49" s="131"/>
      <c r="ET49" s="132"/>
      <c r="EU49" s="132"/>
      <c r="EV49" s="132"/>
      <c r="EW49" s="132"/>
    </row>
    <row r="50" spans="1:153" s="8" customFormat="1" ht="15" customHeight="1">
      <c r="A50"/>
      <c r="B50" s="129"/>
      <c r="C50" s="129"/>
      <c r="D50" s="10"/>
      <c r="E50" s="122"/>
      <c r="F50" s="122"/>
      <c r="G50" s="122"/>
      <c r="H50" s="122"/>
      <c r="I50" s="122"/>
      <c r="J50" s="10"/>
      <c r="K50" s="10"/>
      <c r="L50" s="122"/>
      <c r="M50" s="10"/>
      <c r="N50" s="10"/>
      <c r="O50" s="10"/>
      <c r="P50" s="10"/>
      <c r="Q50" s="122"/>
      <c r="R50" s="130"/>
      <c r="S50" s="38"/>
      <c r="T50" s="38"/>
      <c r="U50" s="38"/>
      <c r="V50" s="37"/>
      <c r="W50" s="130"/>
      <c r="X50" s="38"/>
      <c r="Y50" s="38"/>
      <c r="Z50" s="38"/>
      <c r="AA50" s="37"/>
      <c r="AB50" s="130"/>
      <c r="AC50" s="38"/>
      <c r="AD50" s="38"/>
      <c r="AE50" s="38"/>
      <c r="AF50" s="38"/>
      <c r="AG50" s="130"/>
      <c r="AH50" s="38"/>
      <c r="AI50" s="38"/>
      <c r="AJ50" s="38"/>
      <c r="AK50" s="37"/>
      <c r="AL50" s="130"/>
      <c r="AM50" s="38"/>
      <c r="AN50" s="38"/>
      <c r="AO50" s="38"/>
      <c r="AP50" s="38"/>
      <c r="AQ50" s="130"/>
      <c r="AR50" s="38"/>
      <c r="AS50" s="38"/>
      <c r="AT50" s="38"/>
      <c r="AU50" s="38"/>
      <c r="AZ50" s="38"/>
      <c r="BA50" s="130"/>
      <c r="BB50" s="38"/>
      <c r="BC50" s="38"/>
      <c r="BD50" s="38"/>
      <c r="BE50" s="38"/>
      <c r="BF50" s="130"/>
      <c r="BG50" s="38"/>
      <c r="BH50" s="38"/>
      <c r="BI50" s="38"/>
      <c r="BJ50" s="786"/>
      <c r="BK50" s="130"/>
      <c r="BL50" s="38"/>
      <c r="BM50" s="38"/>
      <c r="BN50" s="38"/>
      <c r="BO50" s="786"/>
      <c r="BP50" s="130"/>
      <c r="BQ50" s="38"/>
      <c r="BR50" s="38"/>
      <c r="BS50" s="38"/>
      <c r="BT50" s="786"/>
      <c r="BU50" s="130"/>
      <c r="BV50" s="38"/>
      <c r="BW50" s="38"/>
      <c r="BX50" s="38"/>
      <c r="BY50" s="31"/>
      <c r="BZ50" s="130"/>
      <c r="CA50" s="38"/>
      <c r="CB50" s="38"/>
      <c r="CC50" s="38"/>
      <c r="CD50" s="38"/>
      <c r="CE50" s="130"/>
      <c r="CF50" s="38"/>
      <c r="CG50" s="38"/>
      <c r="CH50" s="38"/>
      <c r="CI50" s="31"/>
      <c r="CO50" s="130"/>
      <c r="CP50" s="38"/>
      <c r="CQ50" s="38"/>
      <c r="CR50" s="38"/>
      <c r="CS50" s="31"/>
      <c r="CT50" s="130"/>
      <c r="CU50" s="38"/>
      <c r="CV50" s="38"/>
      <c r="CW50" s="38"/>
      <c r="CX50" s="31"/>
      <c r="CY50" s="130"/>
      <c r="CZ50" s="38"/>
      <c r="DA50" s="38"/>
      <c r="DB50" s="38"/>
      <c r="DC50" s="31"/>
      <c r="DD50" s="130"/>
      <c r="DE50" s="38"/>
      <c r="DF50" s="38"/>
      <c r="DG50" s="38"/>
      <c r="DH50" s="31"/>
      <c r="DI50" s="130"/>
      <c r="DJ50" s="38"/>
      <c r="DK50" s="38"/>
      <c r="DL50" s="38"/>
      <c r="DM50" s="31"/>
      <c r="DN50" s="130"/>
      <c r="DO50" s="38"/>
      <c r="DP50" s="38"/>
      <c r="DQ50" s="38"/>
      <c r="DR50" s="31"/>
      <c r="DS50" s="130"/>
      <c r="DT50" s="38"/>
      <c r="DU50" s="38"/>
      <c r="DV50" s="38"/>
      <c r="DW50" s="31"/>
      <c r="DX50" s="130"/>
      <c r="DY50" s="38"/>
      <c r="DZ50" s="38"/>
      <c r="EA50" s="38"/>
      <c r="EB50" s="31"/>
      <c r="EC50" s="130"/>
      <c r="ED50" s="38"/>
      <c r="EE50" s="38"/>
      <c r="EF50" s="38"/>
      <c r="EG50" s="31"/>
      <c r="EH50" s="130"/>
      <c r="EI50" s="38"/>
      <c r="EJ50" s="38"/>
      <c r="EK50" s="38"/>
      <c r="EL50" s="31"/>
      <c r="EM50" s="131"/>
      <c r="EN50" s="132"/>
      <c r="EO50" s="132"/>
      <c r="EP50" s="132"/>
      <c r="EQ50" s="132"/>
      <c r="ER50" s="31"/>
      <c r="ES50" s="131"/>
      <c r="ET50" s="132"/>
      <c r="EU50" s="132"/>
      <c r="EV50" s="132"/>
      <c r="EW50" s="132"/>
    </row>
    <row r="51" spans="1:153" s="8" customFormat="1" ht="15" customHeight="1">
      <c r="A51"/>
      <c r="B51" s="129"/>
      <c r="C51" s="129"/>
      <c r="D51" s="10"/>
      <c r="E51" s="122"/>
      <c r="F51" s="122"/>
      <c r="G51" s="122"/>
      <c r="H51" s="122"/>
      <c r="I51" s="122"/>
      <c r="J51" s="10"/>
      <c r="K51" s="10"/>
      <c r="L51" s="122"/>
      <c r="M51" s="10"/>
      <c r="N51" s="10"/>
      <c r="O51" s="10"/>
      <c r="P51" s="10"/>
      <c r="Q51" s="122"/>
      <c r="R51" s="130"/>
      <c r="S51" s="38"/>
      <c r="T51" s="38"/>
      <c r="U51" s="38"/>
      <c r="V51" s="37"/>
      <c r="W51" s="130"/>
      <c r="X51" s="38"/>
      <c r="Y51" s="38"/>
      <c r="Z51" s="38"/>
      <c r="AA51" s="37"/>
      <c r="AB51" s="130"/>
      <c r="AC51" s="38"/>
      <c r="AD51" s="38"/>
      <c r="AE51" s="38"/>
      <c r="AF51" s="38"/>
      <c r="AG51" s="130"/>
      <c r="AH51" s="38"/>
      <c r="AI51" s="38"/>
      <c r="AJ51" s="38"/>
      <c r="AK51" s="37"/>
      <c r="AL51" s="130"/>
      <c r="AM51" s="38"/>
      <c r="AN51" s="38"/>
      <c r="AO51" s="38"/>
      <c r="AP51" s="38"/>
      <c r="AQ51" s="130"/>
      <c r="AR51" s="38"/>
      <c r="AS51" s="38"/>
      <c r="AT51" s="38"/>
      <c r="AU51" s="38"/>
      <c r="AZ51" s="38"/>
      <c r="BA51" s="130"/>
      <c r="BB51" s="38"/>
      <c r="BC51" s="38"/>
      <c r="BD51" s="38"/>
      <c r="BE51" s="38"/>
      <c r="BF51" s="130"/>
      <c r="BG51" s="38"/>
      <c r="BH51" s="38"/>
      <c r="BI51" s="38"/>
      <c r="BJ51" s="786"/>
      <c r="BK51" s="130"/>
      <c r="BL51" s="38"/>
      <c r="BM51" s="38"/>
      <c r="BN51" s="38"/>
      <c r="BO51" s="786"/>
      <c r="BP51" s="130"/>
      <c r="BQ51" s="38"/>
      <c r="BR51" s="38"/>
      <c r="BS51" s="38"/>
      <c r="BT51" s="786"/>
      <c r="BU51" s="130"/>
      <c r="BV51" s="38"/>
      <c r="BW51" s="38"/>
      <c r="BX51" s="38"/>
      <c r="BY51" s="31"/>
      <c r="BZ51" s="130"/>
      <c r="CA51" s="38"/>
      <c r="CB51" s="38"/>
      <c r="CC51" s="38"/>
      <c r="CD51" s="38"/>
      <c r="CE51" s="130"/>
      <c r="CF51" s="38"/>
      <c r="CG51" s="38"/>
      <c r="CH51" s="38"/>
      <c r="CI51" s="31"/>
      <c r="CO51" s="130"/>
      <c r="CP51" s="38"/>
      <c r="CQ51" s="38"/>
      <c r="CR51" s="38"/>
      <c r="CS51" s="31"/>
      <c r="CT51" s="130"/>
      <c r="CU51" s="38"/>
      <c r="CV51" s="38"/>
      <c r="CW51" s="38"/>
      <c r="CX51" s="31"/>
      <c r="CY51" s="130"/>
      <c r="CZ51" s="38"/>
      <c r="DA51" s="38"/>
      <c r="DB51" s="38"/>
      <c r="DC51" s="31"/>
      <c r="DD51" s="130"/>
      <c r="DE51" s="38"/>
      <c r="DF51" s="38"/>
      <c r="DG51" s="38"/>
      <c r="DH51" s="31"/>
      <c r="DI51" s="130"/>
      <c r="DJ51" s="38"/>
      <c r="DK51" s="38"/>
      <c r="DL51" s="38"/>
      <c r="DM51" s="31"/>
      <c r="DN51" s="130"/>
      <c r="DO51" s="38"/>
      <c r="DP51" s="38"/>
      <c r="DQ51" s="38"/>
      <c r="DR51" s="31"/>
      <c r="DS51" s="130"/>
      <c r="DT51" s="38"/>
      <c r="DU51" s="38"/>
      <c r="DV51" s="38"/>
      <c r="DW51" s="31"/>
      <c r="DX51" s="130"/>
      <c r="DY51" s="38"/>
      <c r="DZ51" s="38"/>
      <c r="EA51" s="38"/>
      <c r="EB51" s="31"/>
      <c r="EC51" s="130"/>
      <c r="ED51" s="38"/>
      <c r="EE51" s="38"/>
      <c r="EF51" s="38"/>
      <c r="EG51" s="31"/>
      <c r="EH51" s="130"/>
      <c r="EI51" s="38"/>
      <c r="EJ51" s="38"/>
      <c r="EK51" s="38"/>
      <c r="EL51" s="31"/>
      <c r="EM51" s="131"/>
      <c r="EN51" s="132"/>
      <c r="EO51" s="132"/>
      <c r="EP51" s="132"/>
      <c r="EQ51" s="132"/>
      <c r="ER51" s="31"/>
      <c r="ES51" s="131"/>
      <c r="ET51" s="132"/>
      <c r="EU51" s="132"/>
      <c r="EV51" s="132"/>
      <c r="EW51" s="132"/>
    </row>
    <row r="52" spans="1:153" s="8" customFormat="1" ht="15" customHeight="1">
      <c r="A52"/>
      <c r="B52" s="129"/>
      <c r="C52" s="129"/>
      <c r="D52" s="10"/>
      <c r="E52" s="122"/>
      <c r="F52" s="122"/>
      <c r="G52" s="122"/>
      <c r="H52" s="122"/>
      <c r="I52" s="122"/>
      <c r="J52" s="10"/>
      <c r="K52" s="10"/>
      <c r="L52" s="122"/>
      <c r="M52" s="10"/>
      <c r="N52" s="10"/>
      <c r="O52" s="10"/>
      <c r="P52" s="10"/>
      <c r="Q52" s="122"/>
      <c r="R52" s="130"/>
      <c r="S52" s="38"/>
      <c r="T52" s="38"/>
      <c r="U52" s="38"/>
      <c r="V52" s="37"/>
      <c r="W52" s="130"/>
      <c r="X52" s="38"/>
      <c r="Y52" s="38"/>
      <c r="Z52" s="38"/>
      <c r="AA52" s="37"/>
      <c r="AB52" s="130"/>
      <c r="AC52" s="38"/>
      <c r="AD52" s="38"/>
      <c r="AE52" s="38"/>
      <c r="AF52" s="38"/>
      <c r="AG52" s="130"/>
      <c r="AH52" s="38"/>
      <c r="AI52" s="38"/>
      <c r="AJ52" s="38"/>
      <c r="AK52" s="37"/>
      <c r="AL52" s="130"/>
      <c r="AM52" s="38"/>
      <c r="AN52" s="38"/>
      <c r="AO52" s="38"/>
      <c r="AP52" s="38"/>
      <c r="AQ52" s="130"/>
      <c r="AR52" s="38"/>
      <c r="AS52" s="38"/>
      <c r="AT52" s="38"/>
      <c r="AU52" s="38"/>
      <c r="AZ52" s="38"/>
      <c r="BA52" s="130"/>
      <c r="BB52" s="38"/>
      <c r="BC52" s="38"/>
      <c r="BD52" s="38"/>
      <c r="BE52" s="38"/>
      <c r="BF52" s="130"/>
      <c r="BG52" s="38"/>
      <c r="BH52" s="38"/>
      <c r="BI52" s="38"/>
      <c r="BJ52" s="786"/>
      <c r="BK52" s="130"/>
      <c r="BL52" s="38"/>
      <c r="BM52" s="38"/>
      <c r="BN52" s="38"/>
      <c r="BO52" s="786"/>
      <c r="BP52" s="130"/>
      <c r="BQ52" s="38"/>
      <c r="BR52" s="38"/>
      <c r="BS52" s="38"/>
      <c r="BT52" s="786"/>
      <c r="BU52" s="130"/>
      <c r="BV52" s="38"/>
      <c r="BW52" s="38"/>
      <c r="BX52" s="38"/>
      <c r="BY52" s="31"/>
      <c r="BZ52" s="130"/>
      <c r="CA52" s="38"/>
      <c r="CB52" s="38"/>
      <c r="CC52" s="38"/>
      <c r="CD52" s="38"/>
      <c r="CE52" s="130"/>
      <c r="CF52" s="38"/>
      <c r="CG52" s="38"/>
      <c r="CH52" s="38"/>
      <c r="CI52" s="31"/>
      <c r="CO52" s="130"/>
      <c r="CP52" s="38"/>
      <c r="CQ52" s="38"/>
      <c r="CR52" s="38"/>
      <c r="CS52" s="31"/>
      <c r="CT52" s="130"/>
      <c r="CU52" s="38"/>
      <c r="CV52" s="38"/>
      <c r="CW52" s="38"/>
      <c r="CX52" s="31"/>
      <c r="CY52" s="130"/>
      <c r="CZ52" s="38"/>
      <c r="DA52" s="38"/>
      <c r="DB52" s="38"/>
      <c r="DC52" s="31"/>
      <c r="DD52" s="130"/>
      <c r="DE52" s="38"/>
      <c r="DF52" s="38"/>
      <c r="DG52" s="38"/>
      <c r="DH52" s="31"/>
      <c r="DI52" s="130"/>
      <c r="DJ52" s="38"/>
      <c r="DK52" s="38"/>
      <c r="DL52" s="38"/>
      <c r="DM52" s="31"/>
      <c r="DN52" s="130"/>
      <c r="DO52" s="38"/>
      <c r="DP52" s="38"/>
      <c r="DQ52" s="38"/>
      <c r="DR52" s="31"/>
      <c r="DS52" s="130"/>
      <c r="DT52" s="38"/>
      <c r="DU52" s="38"/>
      <c r="DV52" s="38"/>
      <c r="DW52" s="31"/>
      <c r="DX52" s="130"/>
      <c r="DY52" s="38"/>
      <c r="DZ52" s="38"/>
      <c r="EA52" s="38"/>
      <c r="EB52" s="31"/>
      <c r="EC52" s="130"/>
      <c r="ED52" s="38"/>
      <c r="EE52" s="38"/>
      <c r="EF52" s="38"/>
      <c r="EG52" s="31"/>
      <c r="EH52" s="130"/>
      <c r="EI52" s="38"/>
      <c r="EJ52" s="38"/>
      <c r="EK52" s="38"/>
      <c r="EL52" s="31"/>
      <c r="EM52" s="131"/>
      <c r="EN52" s="132"/>
      <c r="EO52" s="132"/>
      <c r="EP52" s="132"/>
      <c r="EQ52" s="132"/>
      <c r="ER52" s="31"/>
      <c r="ES52" s="131"/>
      <c r="ET52" s="132"/>
      <c r="EU52" s="132"/>
      <c r="EV52" s="132"/>
      <c r="EW52" s="132"/>
    </row>
    <row r="53" spans="1:153" s="8" customFormat="1" ht="15" customHeight="1">
      <c r="A53"/>
      <c r="B53" s="129"/>
      <c r="C53" s="129"/>
      <c r="D53" s="10"/>
      <c r="E53" s="122"/>
      <c r="F53" s="122"/>
      <c r="G53" s="122"/>
      <c r="H53" s="122"/>
      <c r="I53" s="122"/>
      <c r="J53" s="10"/>
      <c r="K53" s="10"/>
      <c r="L53" s="122"/>
      <c r="M53" s="10"/>
      <c r="N53" s="10"/>
      <c r="O53" s="10"/>
      <c r="P53" s="10"/>
      <c r="Q53" s="122"/>
      <c r="R53" s="130"/>
      <c r="S53" s="38"/>
      <c r="T53" s="38"/>
      <c r="U53" s="38"/>
      <c r="V53" s="37"/>
      <c r="W53" s="130"/>
      <c r="X53" s="38"/>
      <c r="Y53" s="38"/>
      <c r="Z53" s="38"/>
      <c r="AA53" s="37"/>
      <c r="AB53" s="130"/>
      <c r="AC53" s="38"/>
      <c r="AD53" s="38"/>
      <c r="AE53" s="38"/>
      <c r="AF53" s="38"/>
      <c r="AG53" s="130"/>
      <c r="AH53" s="38"/>
      <c r="AI53" s="38"/>
      <c r="AJ53" s="38"/>
      <c r="AK53" s="37"/>
      <c r="AL53" s="130"/>
      <c r="AM53" s="38"/>
      <c r="AN53" s="38"/>
      <c r="AO53" s="38"/>
      <c r="AP53" s="38"/>
      <c r="AQ53" s="130"/>
      <c r="AR53" s="38"/>
      <c r="AS53" s="38"/>
      <c r="AT53" s="38"/>
      <c r="AU53" s="38"/>
      <c r="AZ53" s="38"/>
      <c r="BA53" s="130"/>
      <c r="BB53" s="38"/>
      <c r="BC53" s="38"/>
      <c r="BD53" s="38"/>
      <c r="BE53" s="38"/>
      <c r="BF53" s="130"/>
      <c r="BG53" s="38"/>
      <c r="BH53" s="38"/>
      <c r="BI53" s="38"/>
      <c r="BJ53" s="786"/>
      <c r="BK53" s="130"/>
      <c r="BL53" s="38"/>
      <c r="BM53" s="38"/>
      <c r="BN53" s="38"/>
      <c r="BO53" s="786"/>
      <c r="BP53" s="130"/>
      <c r="BQ53" s="38"/>
      <c r="BR53" s="38"/>
      <c r="BS53" s="38"/>
      <c r="BT53" s="786"/>
      <c r="BU53" s="130"/>
      <c r="BV53" s="38"/>
      <c r="BW53" s="38"/>
      <c r="BX53" s="38"/>
      <c r="BY53" s="31"/>
      <c r="BZ53" s="130"/>
      <c r="CA53" s="38"/>
      <c r="CB53" s="38"/>
      <c r="CC53" s="38"/>
      <c r="CD53" s="38"/>
      <c r="CE53" s="130"/>
      <c r="CF53" s="38"/>
      <c r="CG53" s="38"/>
      <c r="CH53" s="38"/>
      <c r="CI53" s="31"/>
      <c r="CO53" s="130"/>
      <c r="CP53" s="38"/>
      <c r="CQ53" s="38"/>
      <c r="CR53" s="38"/>
      <c r="CS53" s="31"/>
      <c r="CT53" s="130"/>
      <c r="CU53" s="38"/>
      <c r="CV53" s="38"/>
      <c r="CW53" s="38"/>
      <c r="CX53" s="31"/>
      <c r="CY53" s="130"/>
      <c r="CZ53" s="38"/>
      <c r="DA53" s="38"/>
      <c r="DB53" s="38"/>
      <c r="DC53" s="31"/>
      <c r="DD53" s="130"/>
      <c r="DE53" s="38"/>
      <c r="DF53" s="38"/>
      <c r="DG53" s="38"/>
      <c r="DH53" s="31"/>
      <c r="DI53" s="130"/>
      <c r="DJ53" s="38"/>
      <c r="DK53" s="38"/>
      <c r="DL53" s="38"/>
      <c r="DM53" s="31"/>
      <c r="DN53" s="130"/>
      <c r="DO53" s="38"/>
      <c r="DP53" s="38"/>
      <c r="DQ53" s="38"/>
      <c r="DR53" s="31"/>
      <c r="DS53" s="130"/>
      <c r="DT53" s="38"/>
      <c r="DU53" s="38"/>
      <c r="DV53" s="38"/>
      <c r="DW53" s="31"/>
      <c r="DX53" s="130"/>
      <c r="DY53" s="38"/>
      <c r="DZ53" s="38"/>
      <c r="EA53" s="38"/>
      <c r="EB53" s="31"/>
      <c r="EC53" s="130"/>
      <c r="ED53" s="38"/>
      <c r="EE53" s="38"/>
      <c r="EF53" s="38"/>
      <c r="EG53" s="31"/>
      <c r="EH53" s="130"/>
      <c r="EI53" s="38"/>
      <c r="EJ53" s="38"/>
      <c r="EK53" s="38"/>
      <c r="EL53" s="31"/>
      <c r="EM53" s="131"/>
      <c r="EN53" s="132"/>
      <c r="EO53" s="132"/>
      <c r="EP53" s="132"/>
      <c r="EQ53" s="132"/>
      <c r="ER53" s="31"/>
      <c r="ES53" s="131"/>
      <c r="ET53" s="132"/>
      <c r="EU53" s="132"/>
      <c r="EV53" s="132"/>
      <c r="EW53" s="132"/>
    </row>
    <row r="54" spans="1:153" s="8" customFormat="1" ht="15" customHeight="1">
      <c r="A54"/>
      <c r="B54" s="129"/>
      <c r="C54" s="129"/>
      <c r="D54" s="10"/>
      <c r="E54" s="122"/>
      <c r="F54" s="122"/>
      <c r="G54" s="122"/>
      <c r="H54" s="122"/>
      <c r="I54" s="122"/>
      <c r="J54" s="10"/>
      <c r="K54" s="10"/>
      <c r="L54" s="122"/>
      <c r="M54" s="10"/>
      <c r="N54" s="10"/>
      <c r="O54" s="10"/>
      <c r="P54" s="10"/>
      <c r="Q54" s="122"/>
      <c r="R54" s="130"/>
      <c r="S54" s="38"/>
      <c r="T54" s="38"/>
      <c r="U54" s="38"/>
      <c r="V54" s="37"/>
      <c r="W54" s="130"/>
      <c r="X54" s="38"/>
      <c r="Y54" s="38"/>
      <c r="Z54" s="38"/>
      <c r="AA54" s="37"/>
      <c r="AB54" s="130"/>
      <c r="AC54" s="38"/>
      <c r="AD54" s="38"/>
      <c r="AE54" s="38"/>
      <c r="AF54" s="38"/>
      <c r="AG54" s="130"/>
      <c r="AH54" s="38"/>
      <c r="AI54" s="38"/>
      <c r="AJ54" s="38"/>
      <c r="AK54" s="37"/>
      <c r="AL54" s="130"/>
      <c r="AM54" s="38"/>
      <c r="AN54" s="38"/>
      <c r="AO54" s="38"/>
      <c r="AP54" s="38"/>
      <c r="AQ54" s="130"/>
      <c r="AR54" s="38"/>
      <c r="AS54" s="38"/>
      <c r="AT54" s="38"/>
      <c r="AU54" s="38"/>
      <c r="AZ54" s="38"/>
      <c r="BA54" s="130"/>
      <c r="BB54" s="38"/>
      <c r="BC54" s="38"/>
      <c r="BD54" s="38"/>
      <c r="BE54" s="38"/>
      <c r="BF54" s="130"/>
      <c r="BG54" s="38"/>
      <c r="BH54" s="38"/>
      <c r="BI54" s="38"/>
      <c r="BJ54" s="786"/>
      <c r="BK54" s="130"/>
      <c r="BL54" s="38"/>
      <c r="BM54" s="38"/>
      <c r="BN54" s="38"/>
      <c r="BO54" s="786"/>
      <c r="BP54" s="130"/>
      <c r="BQ54" s="38"/>
      <c r="BR54" s="38"/>
      <c r="BS54" s="38"/>
      <c r="BT54" s="786"/>
      <c r="BU54" s="130"/>
      <c r="BV54" s="38"/>
      <c r="BW54" s="38"/>
      <c r="BX54" s="38"/>
      <c r="BY54" s="31"/>
      <c r="BZ54" s="130"/>
      <c r="CA54" s="38"/>
      <c r="CB54" s="38"/>
      <c r="CC54" s="38"/>
      <c r="CD54" s="38"/>
      <c r="CE54" s="130"/>
      <c r="CF54" s="38"/>
      <c r="CG54" s="38"/>
      <c r="CH54" s="38"/>
      <c r="CI54" s="31"/>
      <c r="CO54" s="130"/>
      <c r="CP54" s="38"/>
      <c r="CQ54" s="38"/>
      <c r="CR54" s="38"/>
      <c r="CS54" s="31"/>
      <c r="CT54" s="130"/>
      <c r="CU54" s="38"/>
      <c r="CV54" s="38"/>
      <c r="CW54" s="38"/>
      <c r="CX54" s="31"/>
      <c r="CY54" s="130"/>
      <c r="CZ54" s="38"/>
      <c r="DA54" s="38"/>
      <c r="DB54" s="38"/>
      <c r="DC54" s="31"/>
      <c r="DD54" s="130"/>
      <c r="DE54" s="38"/>
      <c r="DF54" s="38"/>
      <c r="DG54" s="38"/>
      <c r="DH54" s="31"/>
      <c r="DI54" s="130"/>
      <c r="DJ54" s="38"/>
      <c r="DK54" s="38"/>
      <c r="DL54" s="38"/>
      <c r="DM54" s="31"/>
      <c r="DN54" s="130"/>
      <c r="DO54" s="38"/>
      <c r="DP54" s="38"/>
      <c r="DQ54" s="38"/>
      <c r="DR54" s="31"/>
      <c r="DS54" s="130"/>
      <c r="DT54" s="38"/>
      <c r="DU54" s="38"/>
      <c r="DV54" s="38"/>
      <c r="DW54" s="31"/>
      <c r="DX54" s="130"/>
      <c r="DY54" s="38"/>
      <c r="DZ54" s="38"/>
      <c r="EA54" s="38"/>
      <c r="EB54" s="31"/>
      <c r="EC54" s="130"/>
      <c r="ED54" s="38"/>
      <c r="EE54" s="38"/>
      <c r="EF54" s="38"/>
      <c r="EG54" s="31"/>
      <c r="EH54" s="130"/>
      <c r="EI54" s="38"/>
      <c r="EJ54" s="38"/>
      <c r="EK54" s="38"/>
      <c r="EL54" s="31"/>
      <c r="EM54" s="131"/>
      <c r="EN54" s="132"/>
      <c r="EO54" s="132"/>
      <c r="EP54" s="132"/>
      <c r="EQ54" s="132"/>
      <c r="ER54" s="31"/>
      <c r="ES54" s="131"/>
      <c r="ET54" s="132"/>
      <c r="EU54" s="132"/>
      <c r="EV54" s="132"/>
      <c r="EW54" s="132"/>
    </row>
    <row r="55" spans="1:153" s="8" customFormat="1" ht="15" customHeight="1">
      <c r="A55"/>
      <c r="B55" s="129"/>
      <c r="C55" s="129"/>
      <c r="D55" s="10"/>
      <c r="E55" s="122"/>
      <c r="F55" s="122"/>
      <c r="G55" s="122"/>
      <c r="H55" s="122"/>
      <c r="I55" s="122"/>
      <c r="J55" s="10"/>
      <c r="K55" s="10"/>
      <c r="L55" s="122"/>
      <c r="M55" s="10"/>
      <c r="N55" s="10"/>
      <c r="O55" s="10"/>
      <c r="P55" s="10"/>
      <c r="Q55" s="122"/>
      <c r="R55" s="130"/>
      <c r="S55" s="38"/>
      <c r="T55" s="38"/>
      <c r="U55" s="38"/>
      <c r="V55" s="37"/>
      <c r="W55" s="130"/>
      <c r="X55" s="38"/>
      <c r="Y55" s="38"/>
      <c r="Z55" s="38"/>
      <c r="AA55" s="37"/>
      <c r="AB55" s="130"/>
      <c r="AC55" s="38"/>
      <c r="AD55" s="38"/>
      <c r="AE55" s="38"/>
      <c r="AF55" s="38"/>
      <c r="AG55" s="130"/>
      <c r="AH55" s="38"/>
      <c r="AI55" s="38"/>
      <c r="AJ55" s="38"/>
      <c r="AK55" s="37"/>
      <c r="AL55" s="130"/>
      <c r="AM55" s="38"/>
      <c r="AN55" s="38"/>
      <c r="AO55" s="38"/>
      <c r="AP55" s="38"/>
      <c r="AQ55" s="130"/>
      <c r="AR55" s="38"/>
      <c r="AS55" s="38"/>
      <c r="AT55" s="38"/>
      <c r="AU55" s="38"/>
      <c r="AZ55" s="38"/>
      <c r="BA55" s="130"/>
      <c r="BB55" s="38"/>
      <c r="BC55" s="38"/>
      <c r="BD55" s="38"/>
      <c r="BE55" s="38"/>
      <c r="BF55" s="130"/>
      <c r="BG55" s="38"/>
      <c r="BH55" s="38"/>
      <c r="BI55" s="38"/>
      <c r="BJ55" s="786"/>
      <c r="BK55" s="130"/>
      <c r="BL55" s="38"/>
      <c r="BM55" s="38"/>
      <c r="BN55" s="38"/>
      <c r="BO55" s="786"/>
      <c r="BP55" s="130"/>
      <c r="BQ55" s="38"/>
      <c r="BR55" s="38"/>
      <c r="BS55" s="38"/>
      <c r="BT55" s="786"/>
      <c r="BU55" s="130"/>
      <c r="BV55" s="38"/>
      <c r="BW55" s="38"/>
      <c r="BX55" s="38"/>
      <c r="BY55" s="31"/>
      <c r="BZ55" s="130"/>
      <c r="CA55" s="38"/>
      <c r="CB55" s="38"/>
      <c r="CC55" s="38"/>
      <c r="CD55" s="38"/>
      <c r="CE55" s="130"/>
      <c r="CF55" s="38"/>
      <c r="CG55" s="38"/>
      <c r="CH55" s="38"/>
      <c r="CI55" s="31"/>
      <c r="CO55" s="130"/>
      <c r="CP55" s="38"/>
      <c r="CQ55" s="38"/>
      <c r="CR55" s="38"/>
      <c r="CS55" s="31"/>
      <c r="CT55" s="130"/>
      <c r="CU55" s="38"/>
      <c r="CV55" s="38"/>
      <c r="CW55" s="38"/>
      <c r="CX55" s="31"/>
      <c r="CY55" s="130"/>
      <c r="CZ55" s="38"/>
      <c r="DA55" s="38"/>
      <c r="DB55" s="38"/>
      <c r="DC55" s="31"/>
      <c r="DD55" s="130"/>
      <c r="DE55" s="38"/>
      <c r="DF55" s="38"/>
      <c r="DG55" s="38"/>
      <c r="DH55" s="31"/>
      <c r="DI55" s="130"/>
      <c r="DJ55" s="38"/>
      <c r="DK55" s="38"/>
      <c r="DL55" s="38"/>
      <c r="DM55" s="31"/>
      <c r="DN55" s="130"/>
      <c r="DO55" s="38"/>
      <c r="DP55" s="38"/>
      <c r="DQ55" s="38"/>
      <c r="DR55" s="31"/>
      <c r="DS55" s="130"/>
      <c r="DT55" s="38"/>
      <c r="DU55" s="38"/>
      <c r="DV55" s="38"/>
      <c r="DW55" s="31"/>
      <c r="DX55" s="130"/>
      <c r="DY55" s="38"/>
      <c r="DZ55" s="38"/>
      <c r="EA55" s="38"/>
      <c r="EB55" s="31"/>
      <c r="EC55" s="130"/>
      <c r="ED55" s="38"/>
      <c r="EE55" s="38"/>
      <c r="EF55" s="38"/>
      <c r="EG55" s="31"/>
      <c r="EH55" s="130"/>
      <c r="EI55" s="38"/>
      <c r="EJ55" s="38"/>
      <c r="EK55" s="38"/>
      <c r="EL55" s="31"/>
      <c r="EM55" s="131"/>
      <c r="EN55" s="132"/>
      <c r="EO55" s="132"/>
      <c r="EP55" s="132"/>
      <c r="EQ55" s="132"/>
      <c r="ER55" s="31"/>
      <c r="ES55" s="131"/>
      <c r="ET55" s="132"/>
      <c r="EU55" s="132"/>
      <c r="EV55" s="132"/>
      <c r="EW55" s="132"/>
    </row>
    <row r="56" spans="1:153" s="8" customFormat="1" ht="15" customHeight="1">
      <c r="A56"/>
      <c r="B56" s="129"/>
      <c r="C56" s="129"/>
      <c r="D56" s="10"/>
      <c r="E56" s="122"/>
      <c r="F56" s="122"/>
      <c r="G56" s="122"/>
      <c r="H56" s="122"/>
      <c r="I56" s="122"/>
      <c r="J56" s="10"/>
      <c r="K56" s="10"/>
      <c r="L56" s="122"/>
      <c r="M56" s="10"/>
      <c r="N56" s="10"/>
      <c r="O56" s="10"/>
      <c r="P56" s="10"/>
      <c r="Q56" s="122"/>
      <c r="R56" s="130"/>
      <c r="S56" s="38"/>
      <c r="T56" s="38"/>
      <c r="U56" s="38"/>
      <c r="V56" s="37"/>
      <c r="W56" s="130"/>
      <c r="X56" s="38"/>
      <c r="Y56" s="38"/>
      <c r="Z56" s="38"/>
      <c r="AA56" s="37"/>
      <c r="AB56" s="130"/>
      <c r="AC56" s="38"/>
      <c r="AD56" s="38"/>
      <c r="AE56" s="38"/>
      <c r="AF56" s="38"/>
      <c r="AG56" s="130"/>
      <c r="AH56" s="38"/>
      <c r="AI56" s="38"/>
      <c r="AJ56" s="38"/>
      <c r="AK56" s="37"/>
      <c r="AL56" s="130"/>
      <c r="AM56" s="38"/>
      <c r="AN56" s="38"/>
      <c r="AO56" s="38"/>
      <c r="AP56" s="38"/>
      <c r="AQ56" s="130"/>
      <c r="AR56" s="38"/>
      <c r="AS56" s="38"/>
      <c r="AT56" s="38"/>
      <c r="AU56" s="38"/>
      <c r="AZ56" s="38"/>
      <c r="BA56" s="130"/>
      <c r="BB56" s="38"/>
      <c r="BC56" s="38"/>
      <c r="BD56" s="38"/>
      <c r="BE56" s="38"/>
      <c r="BF56" s="130"/>
      <c r="BG56" s="38"/>
      <c r="BH56" s="38"/>
      <c r="BI56" s="38"/>
      <c r="BJ56" s="786"/>
      <c r="BK56" s="130"/>
      <c r="BL56" s="38"/>
      <c r="BM56" s="38"/>
      <c r="BN56" s="38"/>
      <c r="BO56" s="786"/>
      <c r="BP56" s="130"/>
      <c r="BQ56" s="38"/>
      <c r="BR56" s="38"/>
      <c r="BS56" s="38"/>
      <c r="BT56" s="786"/>
      <c r="BU56" s="130"/>
      <c r="BV56" s="38"/>
      <c r="BW56" s="38"/>
      <c r="BX56" s="38"/>
      <c r="BY56" s="31"/>
      <c r="BZ56" s="130"/>
      <c r="CA56" s="38"/>
      <c r="CB56" s="38"/>
      <c r="CC56" s="38"/>
      <c r="CD56" s="38"/>
      <c r="CE56" s="130"/>
      <c r="CF56" s="38"/>
      <c r="CG56" s="38"/>
      <c r="CH56" s="38"/>
      <c r="CI56" s="31"/>
      <c r="CO56" s="130"/>
      <c r="CP56" s="38"/>
      <c r="CQ56" s="38"/>
      <c r="CR56" s="38"/>
      <c r="CS56" s="31"/>
      <c r="CT56" s="130"/>
      <c r="CU56" s="38"/>
      <c r="CV56" s="38"/>
      <c r="CW56" s="38"/>
      <c r="CX56" s="31"/>
      <c r="CY56" s="130"/>
      <c r="CZ56" s="38"/>
      <c r="DA56" s="38"/>
      <c r="DB56" s="38"/>
      <c r="DC56" s="31"/>
      <c r="DD56" s="130"/>
      <c r="DE56" s="38"/>
      <c r="DF56" s="38"/>
      <c r="DG56" s="38"/>
      <c r="DH56" s="31"/>
      <c r="DI56" s="130"/>
      <c r="DJ56" s="38"/>
      <c r="DK56" s="38"/>
      <c r="DL56" s="38"/>
      <c r="DM56" s="31"/>
      <c r="DN56" s="130"/>
      <c r="DO56" s="38"/>
      <c r="DP56" s="38"/>
      <c r="DQ56" s="38"/>
      <c r="DR56" s="31"/>
      <c r="DS56" s="130"/>
      <c r="DT56" s="38"/>
      <c r="DU56" s="38"/>
      <c r="DV56" s="38"/>
      <c r="DW56" s="31"/>
      <c r="DX56" s="130"/>
      <c r="DY56" s="38"/>
      <c r="DZ56" s="38"/>
      <c r="EA56" s="38"/>
      <c r="EB56" s="31"/>
      <c r="EC56" s="130"/>
      <c r="ED56" s="38"/>
      <c r="EE56" s="38"/>
      <c r="EF56" s="38"/>
      <c r="EG56" s="31"/>
      <c r="EH56" s="130"/>
      <c r="EI56" s="38"/>
      <c r="EJ56" s="38"/>
      <c r="EK56" s="38"/>
      <c r="EL56" s="31"/>
      <c r="EM56" s="131"/>
      <c r="EN56" s="132"/>
      <c r="EO56" s="132"/>
      <c r="EP56" s="132"/>
      <c r="EQ56" s="132"/>
      <c r="ER56" s="31"/>
      <c r="ES56" s="131"/>
      <c r="ET56" s="132"/>
      <c r="EU56" s="132"/>
      <c r="EV56" s="132"/>
      <c r="EW56" s="132"/>
    </row>
    <row r="57" spans="1:153" s="8" customFormat="1" ht="15" customHeight="1">
      <c r="A57"/>
      <c r="B57" s="129"/>
      <c r="C57" s="129"/>
      <c r="D57" s="10"/>
      <c r="E57" s="122"/>
      <c r="F57" s="122"/>
      <c r="G57" s="122"/>
      <c r="H57" s="122"/>
      <c r="I57" s="122"/>
      <c r="J57" s="10"/>
      <c r="K57" s="10"/>
      <c r="L57" s="122"/>
      <c r="M57" s="10"/>
      <c r="N57" s="10"/>
      <c r="O57" s="10"/>
      <c r="P57" s="10"/>
      <c r="Q57" s="122"/>
      <c r="R57" s="130"/>
      <c r="S57" s="38"/>
      <c r="T57" s="38"/>
      <c r="U57" s="38"/>
      <c r="V57" s="37"/>
      <c r="W57" s="130"/>
      <c r="X57" s="38"/>
      <c r="Y57" s="38"/>
      <c r="Z57" s="38"/>
      <c r="AA57" s="37"/>
      <c r="AB57" s="130"/>
      <c r="AC57" s="38"/>
      <c r="AD57" s="38"/>
      <c r="AE57" s="38"/>
      <c r="AF57" s="38"/>
      <c r="AG57" s="130"/>
      <c r="AH57" s="38"/>
      <c r="AI57" s="38"/>
      <c r="AJ57" s="38"/>
      <c r="AK57" s="37"/>
      <c r="AL57" s="130"/>
      <c r="AM57" s="38"/>
      <c r="AN57" s="38"/>
      <c r="AO57" s="38"/>
      <c r="AP57" s="38"/>
      <c r="AQ57" s="130"/>
      <c r="AR57" s="38"/>
      <c r="AS57" s="38"/>
      <c r="AT57" s="38"/>
      <c r="AU57" s="38"/>
      <c r="AZ57" s="38"/>
      <c r="BA57" s="130"/>
      <c r="BB57" s="38"/>
      <c r="BC57" s="38"/>
      <c r="BD57" s="38"/>
      <c r="BE57" s="38"/>
      <c r="BF57" s="130"/>
      <c r="BG57" s="38"/>
      <c r="BH57" s="38"/>
      <c r="BI57" s="38"/>
      <c r="BJ57" s="786"/>
      <c r="BK57" s="130"/>
      <c r="BL57" s="38"/>
      <c r="BM57" s="38"/>
      <c r="BN57" s="38"/>
      <c r="BO57" s="786"/>
      <c r="BP57" s="130"/>
      <c r="BQ57" s="38"/>
      <c r="BR57" s="38"/>
      <c r="BS57" s="38"/>
      <c r="BT57" s="786"/>
      <c r="BU57" s="130"/>
      <c r="BV57" s="38"/>
      <c r="BW57" s="38"/>
      <c r="BX57" s="38"/>
      <c r="BY57" s="31"/>
      <c r="BZ57" s="130"/>
      <c r="CA57" s="38"/>
      <c r="CB57" s="38"/>
      <c r="CC57" s="38"/>
      <c r="CD57" s="38"/>
      <c r="CE57" s="130"/>
      <c r="CF57" s="38"/>
      <c r="CG57" s="38"/>
      <c r="CH57" s="38"/>
      <c r="CI57" s="31"/>
      <c r="CO57" s="130"/>
      <c r="CP57" s="38"/>
      <c r="CQ57" s="38"/>
      <c r="CR57" s="38"/>
      <c r="CS57" s="31"/>
      <c r="CT57" s="130"/>
      <c r="CU57" s="38"/>
      <c r="CV57" s="38"/>
      <c r="CW57" s="38"/>
      <c r="CX57" s="31"/>
      <c r="CY57" s="130"/>
      <c r="CZ57" s="38"/>
      <c r="DA57" s="38"/>
      <c r="DB57" s="38"/>
      <c r="DC57" s="31"/>
      <c r="DD57" s="130"/>
      <c r="DE57" s="38"/>
      <c r="DF57" s="38"/>
      <c r="DG57" s="38"/>
      <c r="DH57" s="31"/>
      <c r="DI57" s="130"/>
      <c r="DJ57" s="38"/>
      <c r="DK57" s="38"/>
      <c r="DL57" s="38"/>
      <c r="DM57" s="31"/>
      <c r="DN57" s="130"/>
      <c r="DO57" s="38"/>
      <c r="DP57" s="38"/>
      <c r="DQ57" s="38"/>
      <c r="DR57" s="31"/>
      <c r="DS57" s="130"/>
      <c r="DT57" s="38"/>
      <c r="DU57" s="38"/>
      <c r="DV57" s="38"/>
      <c r="DW57" s="31"/>
      <c r="DX57" s="130"/>
      <c r="DY57" s="38"/>
      <c r="DZ57" s="38"/>
      <c r="EA57" s="38"/>
      <c r="EB57" s="31"/>
      <c r="EC57" s="130"/>
      <c r="ED57" s="38"/>
      <c r="EE57" s="38"/>
      <c r="EF57" s="38"/>
      <c r="EG57" s="31"/>
      <c r="EH57" s="130"/>
      <c r="EI57" s="38"/>
      <c r="EJ57" s="38"/>
      <c r="EK57" s="38"/>
      <c r="EL57" s="31"/>
      <c r="EM57" s="131"/>
      <c r="EN57" s="132"/>
      <c r="EO57" s="132"/>
      <c r="EP57" s="132"/>
      <c r="EQ57" s="132"/>
      <c r="ER57" s="31"/>
      <c r="ES57" s="131"/>
      <c r="ET57" s="132"/>
      <c r="EU57" s="132"/>
      <c r="EV57" s="132"/>
      <c r="EW57" s="132"/>
    </row>
    <row r="58" spans="1:153" s="8" customFormat="1" ht="15" customHeight="1">
      <c r="A58"/>
      <c r="B58" s="129"/>
      <c r="C58" s="129"/>
      <c r="D58" s="10"/>
      <c r="E58" s="122"/>
      <c r="F58" s="122"/>
      <c r="G58" s="122"/>
      <c r="H58" s="122"/>
      <c r="I58" s="122"/>
      <c r="J58" s="10"/>
      <c r="K58" s="10"/>
      <c r="L58" s="122"/>
      <c r="M58" s="10"/>
      <c r="N58" s="10"/>
      <c r="O58" s="10"/>
      <c r="P58" s="10"/>
      <c r="Q58" s="122"/>
      <c r="R58" s="130"/>
      <c r="S58" s="38"/>
      <c r="T58" s="38"/>
      <c r="U58" s="38"/>
      <c r="V58" s="37"/>
      <c r="W58" s="130"/>
      <c r="X58" s="38"/>
      <c r="Y58" s="38"/>
      <c r="Z58" s="38"/>
      <c r="AA58" s="37"/>
      <c r="AB58" s="130"/>
      <c r="AC58" s="38"/>
      <c r="AD58" s="38"/>
      <c r="AE58" s="38"/>
      <c r="AF58" s="38"/>
      <c r="AG58" s="130"/>
      <c r="AH58" s="38"/>
      <c r="AI58" s="38"/>
      <c r="AJ58" s="38"/>
      <c r="AK58" s="37"/>
      <c r="AL58" s="130"/>
      <c r="AM58" s="38"/>
      <c r="AN58" s="38"/>
      <c r="AO58" s="38"/>
      <c r="AP58" s="38"/>
      <c r="AQ58" s="130"/>
      <c r="AR58" s="38"/>
      <c r="AS58" s="38"/>
      <c r="AT58" s="38"/>
      <c r="AU58" s="38"/>
      <c r="AZ58" s="38"/>
      <c r="BA58" s="130"/>
      <c r="BB58" s="38"/>
      <c r="BC58" s="38"/>
      <c r="BD58" s="38"/>
      <c r="BE58" s="38"/>
      <c r="BF58" s="130"/>
      <c r="BG58" s="38"/>
      <c r="BH58" s="38"/>
      <c r="BI58" s="38"/>
      <c r="BJ58" s="786"/>
      <c r="BK58" s="130"/>
      <c r="BL58" s="38"/>
      <c r="BM58" s="38"/>
      <c r="BN58" s="38"/>
      <c r="BO58" s="786"/>
      <c r="BP58" s="130"/>
      <c r="BQ58" s="38"/>
      <c r="BR58" s="38"/>
      <c r="BS58" s="38"/>
      <c r="BT58" s="786"/>
      <c r="BU58" s="130"/>
      <c r="BV58" s="38"/>
      <c r="BW58" s="38"/>
      <c r="BX58" s="38"/>
      <c r="BY58" s="31"/>
      <c r="BZ58" s="130"/>
      <c r="CA58" s="38"/>
      <c r="CB58" s="38"/>
      <c r="CC58" s="38"/>
      <c r="CD58" s="38"/>
      <c r="CE58" s="130"/>
      <c r="CF58" s="38"/>
      <c r="CG58" s="38"/>
      <c r="CH58" s="38"/>
      <c r="CI58" s="31"/>
      <c r="CO58" s="130"/>
      <c r="CP58" s="38"/>
      <c r="CQ58" s="38"/>
      <c r="CR58" s="38"/>
      <c r="CS58" s="31"/>
      <c r="CT58" s="130"/>
      <c r="CU58" s="38"/>
      <c r="CV58" s="38"/>
      <c r="CW58" s="38"/>
      <c r="CX58" s="31"/>
      <c r="CY58" s="130"/>
      <c r="CZ58" s="38"/>
      <c r="DA58" s="38"/>
      <c r="DB58" s="38"/>
      <c r="DC58" s="31"/>
      <c r="DD58" s="130"/>
      <c r="DE58" s="38"/>
      <c r="DF58" s="38"/>
      <c r="DG58" s="38"/>
      <c r="DH58" s="31"/>
      <c r="DI58" s="130"/>
      <c r="DJ58" s="38"/>
      <c r="DK58" s="38"/>
      <c r="DL58" s="38"/>
      <c r="DM58" s="31"/>
      <c r="DN58" s="130"/>
      <c r="DO58" s="38"/>
      <c r="DP58" s="38"/>
      <c r="DQ58" s="38"/>
      <c r="DR58" s="31"/>
      <c r="DS58" s="130"/>
      <c r="DT58" s="38"/>
      <c r="DU58" s="38"/>
      <c r="DV58" s="38"/>
      <c r="DW58" s="31"/>
      <c r="DX58" s="130"/>
      <c r="DY58" s="38"/>
      <c r="DZ58" s="38"/>
      <c r="EA58" s="38"/>
      <c r="EB58" s="31"/>
      <c r="EC58" s="130"/>
      <c r="ED58" s="38"/>
      <c r="EE58" s="38"/>
      <c r="EF58" s="38"/>
      <c r="EG58" s="31"/>
      <c r="EH58" s="130"/>
      <c r="EI58" s="38"/>
      <c r="EJ58" s="38"/>
      <c r="EK58" s="38"/>
      <c r="EL58" s="31"/>
      <c r="EM58" s="131"/>
      <c r="EN58" s="132"/>
      <c r="EO58" s="132"/>
      <c r="EP58" s="132"/>
      <c r="EQ58" s="132"/>
      <c r="ER58" s="31"/>
      <c r="ES58" s="131"/>
      <c r="ET58" s="132"/>
      <c r="EU58" s="132"/>
      <c r="EV58" s="132"/>
      <c r="EW58" s="132"/>
    </row>
    <row r="59" spans="1:153" s="8" customFormat="1" ht="15" customHeight="1">
      <c r="A59"/>
      <c r="B59" s="129"/>
      <c r="C59" s="129"/>
      <c r="D59" s="10"/>
      <c r="E59" s="122"/>
      <c r="F59" s="122"/>
      <c r="G59" s="122"/>
      <c r="H59" s="122"/>
      <c r="I59" s="122"/>
      <c r="J59" s="10"/>
      <c r="K59" s="10"/>
      <c r="L59" s="122"/>
      <c r="M59" s="10"/>
      <c r="N59" s="10"/>
      <c r="O59" s="10"/>
      <c r="P59" s="10"/>
      <c r="Q59" s="122"/>
      <c r="R59" s="130"/>
      <c r="S59" s="38"/>
      <c r="T59" s="38"/>
      <c r="U59" s="38"/>
      <c r="V59" s="37"/>
      <c r="W59" s="130"/>
      <c r="X59" s="38"/>
      <c r="Y59" s="38"/>
      <c r="Z59" s="38"/>
      <c r="AA59" s="37"/>
      <c r="AB59" s="130"/>
      <c r="AC59" s="38"/>
      <c r="AD59" s="38"/>
      <c r="AE59" s="38"/>
      <c r="AF59" s="38"/>
      <c r="AG59" s="130"/>
      <c r="AH59" s="38"/>
      <c r="AI59" s="38"/>
      <c r="AJ59" s="38"/>
      <c r="AK59" s="37"/>
      <c r="AL59" s="130"/>
      <c r="AM59" s="38"/>
      <c r="AN59" s="38"/>
      <c r="AO59" s="38"/>
      <c r="AP59" s="38"/>
      <c r="AQ59" s="130"/>
      <c r="AR59" s="38"/>
      <c r="AS59" s="38"/>
      <c r="AT59" s="38"/>
      <c r="AU59" s="38"/>
      <c r="AZ59" s="38"/>
      <c r="BA59" s="130"/>
      <c r="BB59" s="38"/>
      <c r="BC59" s="38"/>
      <c r="BD59" s="38"/>
      <c r="BE59" s="38"/>
      <c r="BF59" s="130"/>
      <c r="BG59" s="38"/>
      <c r="BH59" s="38"/>
      <c r="BI59" s="38"/>
      <c r="BJ59" s="786"/>
      <c r="BK59" s="130"/>
      <c r="BL59" s="38"/>
      <c r="BM59" s="38"/>
      <c r="BN59" s="38"/>
      <c r="BO59" s="786"/>
      <c r="BP59" s="130"/>
      <c r="BQ59" s="38"/>
      <c r="BR59" s="38"/>
      <c r="BS59" s="38"/>
      <c r="BT59" s="786"/>
      <c r="BU59" s="130"/>
      <c r="BV59" s="38"/>
      <c r="BW59" s="38"/>
      <c r="BX59" s="38"/>
      <c r="BY59" s="31"/>
      <c r="BZ59" s="130"/>
      <c r="CA59" s="38"/>
      <c r="CB59" s="38"/>
      <c r="CC59" s="38"/>
      <c r="CD59" s="38"/>
      <c r="CE59" s="130"/>
      <c r="CF59" s="38"/>
      <c r="CG59" s="38"/>
      <c r="CH59" s="38"/>
      <c r="CI59" s="31"/>
      <c r="CO59" s="130"/>
      <c r="CP59" s="38"/>
      <c r="CQ59" s="38"/>
      <c r="CR59" s="38"/>
      <c r="CS59" s="31"/>
      <c r="CT59" s="130"/>
      <c r="CU59" s="38"/>
      <c r="CV59" s="38"/>
      <c r="CW59" s="38"/>
      <c r="CX59" s="31"/>
      <c r="CY59" s="130"/>
      <c r="CZ59" s="38"/>
      <c r="DA59" s="38"/>
      <c r="DB59" s="38"/>
      <c r="DC59" s="31"/>
      <c r="DD59" s="130"/>
      <c r="DE59" s="38"/>
      <c r="DF59" s="38"/>
      <c r="DG59" s="38"/>
      <c r="DH59" s="31"/>
      <c r="DI59" s="130"/>
      <c r="DJ59" s="38"/>
      <c r="DK59" s="38"/>
      <c r="DL59" s="38"/>
      <c r="DM59" s="31"/>
      <c r="DN59" s="130"/>
      <c r="DO59" s="38"/>
      <c r="DP59" s="38"/>
      <c r="DQ59" s="38"/>
      <c r="DR59" s="31"/>
      <c r="DS59" s="130"/>
      <c r="DT59" s="38"/>
      <c r="DU59" s="38"/>
      <c r="DV59" s="38"/>
      <c r="DW59" s="31"/>
      <c r="DX59" s="130"/>
      <c r="DY59" s="38"/>
      <c r="DZ59" s="38"/>
      <c r="EA59" s="38"/>
      <c r="EB59" s="31"/>
      <c r="EC59" s="130"/>
      <c r="ED59" s="38"/>
      <c r="EE59" s="38"/>
      <c r="EF59" s="38"/>
      <c r="EG59" s="31"/>
      <c r="EH59" s="130"/>
      <c r="EI59" s="38"/>
      <c r="EJ59" s="38"/>
      <c r="EK59" s="38"/>
      <c r="EL59" s="31"/>
      <c r="EM59" s="131"/>
      <c r="EN59" s="132"/>
      <c r="EO59" s="132"/>
      <c r="EP59" s="132"/>
      <c r="EQ59" s="132"/>
      <c r="ER59" s="31"/>
      <c r="ES59" s="131"/>
      <c r="ET59" s="132"/>
      <c r="EU59" s="132"/>
      <c r="EV59" s="132"/>
      <c r="EW59" s="132"/>
    </row>
    <row r="60" spans="1:153" s="8" customFormat="1" ht="15" customHeight="1">
      <c r="A60"/>
      <c r="B60" s="129"/>
      <c r="C60" s="129"/>
      <c r="D60" s="10"/>
      <c r="E60" s="122"/>
      <c r="F60" s="122"/>
      <c r="G60" s="122"/>
      <c r="H60" s="122"/>
      <c r="I60" s="122"/>
      <c r="J60" s="10"/>
      <c r="K60" s="10"/>
      <c r="L60" s="122"/>
      <c r="M60" s="10"/>
      <c r="N60" s="10"/>
      <c r="O60" s="10"/>
      <c r="P60" s="10"/>
      <c r="Q60" s="122"/>
      <c r="R60" s="130"/>
      <c r="S60" s="38"/>
      <c r="T60" s="38"/>
      <c r="U60" s="38"/>
      <c r="V60" s="37"/>
      <c r="W60" s="130"/>
      <c r="X60" s="38"/>
      <c r="Y60" s="38"/>
      <c r="Z60" s="38"/>
      <c r="AA60" s="37"/>
      <c r="AB60" s="130"/>
      <c r="AC60" s="38"/>
      <c r="AD60" s="38"/>
      <c r="AE60" s="38"/>
      <c r="AF60" s="38"/>
      <c r="AG60" s="130"/>
      <c r="AH60" s="38"/>
      <c r="AI60" s="38"/>
      <c r="AJ60" s="38"/>
      <c r="AK60" s="37"/>
      <c r="AL60" s="130"/>
      <c r="AM60" s="38"/>
      <c r="AN60" s="38"/>
      <c r="AO60" s="38"/>
      <c r="AP60" s="38"/>
      <c r="AQ60" s="130"/>
      <c r="AR60" s="38"/>
      <c r="AS60" s="38"/>
      <c r="AT60" s="38"/>
      <c r="AU60" s="38"/>
      <c r="AZ60" s="38"/>
      <c r="BA60" s="130"/>
      <c r="BB60" s="38"/>
      <c r="BC60" s="38"/>
      <c r="BD60" s="38"/>
      <c r="BE60" s="38"/>
      <c r="BF60" s="130"/>
      <c r="BG60" s="38"/>
      <c r="BH60" s="38"/>
      <c r="BI60" s="38"/>
      <c r="BJ60" s="786"/>
      <c r="BK60" s="130"/>
      <c r="BL60" s="38"/>
      <c r="BM60" s="38"/>
      <c r="BN60" s="38"/>
      <c r="BO60" s="786"/>
      <c r="BP60" s="130"/>
      <c r="BQ60" s="38"/>
      <c r="BR60" s="38"/>
      <c r="BS60" s="38"/>
      <c r="BT60" s="786"/>
      <c r="BU60" s="130"/>
      <c r="BV60" s="38"/>
      <c r="BW60" s="38"/>
      <c r="BX60" s="38"/>
      <c r="BY60" s="31"/>
      <c r="BZ60" s="130"/>
      <c r="CA60" s="38"/>
      <c r="CB60" s="38"/>
      <c r="CC60" s="38"/>
      <c r="CD60" s="38"/>
      <c r="CE60" s="130"/>
      <c r="CF60" s="38"/>
      <c r="CG60" s="38"/>
      <c r="CH60" s="38"/>
      <c r="CI60" s="31"/>
      <c r="CO60" s="130"/>
      <c r="CP60" s="38"/>
      <c r="CQ60" s="38"/>
      <c r="CR60" s="38"/>
      <c r="CS60" s="31"/>
      <c r="CT60" s="130"/>
      <c r="CU60" s="38"/>
      <c r="CV60" s="38"/>
      <c r="CW60" s="38"/>
      <c r="CX60" s="31"/>
      <c r="CY60" s="130"/>
      <c r="CZ60" s="38"/>
      <c r="DA60" s="38"/>
      <c r="DB60" s="38"/>
      <c r="DC60" s="31"/>
      <c r="DD60" s="130"/>
      <c r="DE60" s="38"/>
      <c r="DF60" s="38"/>
      <c r="DG60" s="38"/>
      <c r="DH60" s="31"/>
      <c r="DI60" s="130"/>
      <c r="DJ60" s="38"/>
      <c r="DK60" s="38"/>
      <c r="DL60" s="38"/>
      <c r="DM60" s="31"/>
      <c r="DN60" s="130"/>
      <c r="DO60" s="38"/>
      <c r="DP60" s="38"/>
      <c r="DQ60" s="38"/>
      <c r="DR60" s="31"/>
      <c r="DS60" s="130"/>
      <c r="DT60" s="38"/>
      <c r="DU60" s="38"/>
      <c r="DV60" s="38"/>
      <c r="DW60" s="31"/>
      <c r="DX60" s="130"/>
      <c r="DY60" s="38"/>
      <c r="DZ60" s="38"/>
      <c r="EA60" s="38"/>
      <c r="EB60" s="31"/>
      <c r="EC60" s="130"/>
      <c r="ED60" s="38"/>
      <c r="EE60" s="38"/>
      <c r="EF60" s="38"/>
      <c r="EG60" s="31"/>
      <c r="EH60" s="130"/>
      <c r="EI60" s="38"/>
      <c r="EJ60" s="38"/>
      <c r="EK60" s="38"/>
      <c r="EL60" s="31"/>
      <c r="EM60" s="131"/>
      <c r="EN60" s="132"/>
      <c r="EO60" s="132"/>
      <c r="EP60" s="132"/>
      <c r="EQ60" s="132"/>
      <c r="ER60" s="31"/>
      <c r="ES60" s="131"/>
      <c r="ET60" s="132"/>
      <c r="EU60" s="132"/>
      <c r="EV60" s="132"/>
      <c r="EW60" s="132"/>
    </row>
    <row r="61" spans="1:153" s="8" customFormat="1" ht="15" customHeight="1">
      <c r="A61"/>
      <c r="B61" s="129"/>
      <c r="C61" s="129"/>
      <c r="D61" s="10"/>
      <c r="E61" s="122"/>
      <c r="F61" s="122"/>
      <c r="G61" s="122"/>
      <c r="H61" s="122"/>
      <c r="I61" s="122"/>
      <c r="J61" s="10"/>
      <c r="K61" s="10"/>
      <c r="L61" s="122"/>
      <c r="M61" s="10"/>
      <c r="N61" s="10"/>
      <c r="O61" s="10"/>
      <c r="P61" s="10"/>
      <c r="Q61" s="122"/>
      <c r="R61" s="130"/>
      <c r="S61" s="38"/>
      <c r="T61" s="38"/>
      <c r="U61" s="38"/>
      <c r="V61" s="37"/>
      <c r="W61" s="130"/>
      <c r="X61" s="38"/>
      <c r="Y61" s="38"/>
      <c r="Z61" s="38"/>
      <c r="AA61" s="37"/>
      <c r="AB61" s="130"/>
      <c r="AC61" s="38"/>
      <c r="AD61" s="38"/>
      <c r="AE61" s="38"/>
      <c r="AF61" s="38"/>
      <c r="AG61" s="130"/>
      <c r="AH61" s="38"/>
      <c r="AI61" s="38"/>
      <c r="AJ61" s="38"/>
      <c r="AK61" s="37"/>
      <c r="AL61" s="130"/>
      <c r="AM61" s="38"/>
      <c r="AN61" s="38"/>
      <c r="AO61" s="38"/>
      <c r="AP61" s="38"/>
      <c r="AQ61" s="130"/>
      <c r="AR61" s="38"/>
      <c r="AS61" s="38"/>
      <c r="AT61" s="38"/>
      <c r="AU61" s="38"/>
      <c r="AZ61" s="38"/>
      <c r="BA61" s="130"/>
      <c r="BB61" s="38"/>
      <c r="BC61" s="38"/>
      <c r="BD61" s="38"/>
      <c r="BE61" s="38"/>
      <c r="BF61" s="130"/>
      <c r="BG61" s="38"/>
      <c r="BH61" s="38"/>
      <c r="BI61" s="38"/>
      <c r="BJ61" s="786"/>
      <c r="BK61" s="130"/>
      <c r="BL61" s="38"/>
      <c r="BM61" s="38"/>
      <c r="BN61" s="38"/>
      <c r="BO61" s="786"/>
      <c r="BP61" s="130"/>
      <c r="BQ61" s="38"/>
      <c r="BR61" s="38"/>
      <c r="BS61" s="38"/>
      <c r="BT61" s="786"/>
      <c r="BU61" s="130"/>
      <c r="BV61" s="38"/>
      <c r="BW61" s="38"/>
      <c r="BX61" s="38"/>
      <c r="BY61" s="31"/>
      <c r="BZ61" s="130"/>
      <c r="CA61" s="38"/>
      <c r="CB61" s="38"/>
      <c r="CC61" s="38"/>
      <c r="CD61" s="38"/>
      <c r="CE61" s="130"/>
      <c r="CF61" s="38"/>
      <c r="CG61" s="38"/>
      <c r="CH61" s="38"/>
      <c r="CI61" s="31"/>
      <c r="CO61" s="130"/>
      <c r="CP61" s="38"/>
      <c r="CQ61" s="38"/>
      <c r="CR61" s="38"/>
      <c r="CS61" s="31"/>
      <c r="CT61" s="130"/>
      <c r="CU61" s="38"/>
      <c r="CV61" s="38"/>
      <c r="CW61" s="38"/>
      <c r="CX61" s="31"/>
      <c r="CY61" s="130"/>
      <c r="CZ61" s="38"/>
      <c r="DA61" s="38"/>
      <c r="DB61" s="38"/>
      <c r="DC61" s="31"/>
      <c r="DD61" s="130"/>
      <c r="DE61" s="38"/>
      <c r="DF61" s="38"/>
      <c r="DG61" s="38"/>
      <c r="DH61" s="31"/>
      <c r="DI61" s="130"/>
      <c r="DJ61" s="38"/>
      <c r="DK61" s="38"/>
      <c r="DL61" s="38"/>
      <c r="DM61" s="31"/>
      <c r="DN61" s="130"/>
      <c r="DO61" s="38"/>
      <c r="DP61" s="38"/>
      <c r="DQ61" s="38"/>
      <c r="DR61" s="31"/>
      <c r="DS61" s="130"/>
      <c r="DT61" s="38"/>
      <c r="DU61" s="38"/>
      <c r="DV61" s="38"/>
      <c r="DW61" s="31"/>
      <c r="DX61" s="130"/>
      <c r="DY61" s="38"/>
      <c r="DZ61" s="38"/>
      <c r="EA61" s="38"/>
      <c r="EB61" s="31"/>
      <c r="EC61" s="130"/>
      <c r="ED61" s="38"/>
      <c r="EE61" s="38"/>
      <c r="EF61" s="38"/>
      <c r="EG61" s="31"/>
      <c r="EH61" s="130"/>
      <c r="EI61" s="38"/>
      <c r="EJ61" s="38"/>
      <c r="EK61" s="38"/>
      <c r="EL61" s="31"/>
      <c r="EM61" s="131"/>
      <c r="EN61" s="132"/>
      <c r="EO61" s="132"/>
      <c r="EP61" s="132"/>
      <c r="EQ61" s="132"/>
      <c r="ER61" s="31"/>
      <c r="ES61" s="131"/>
      <c r="ET61" s="132"/>
      <c r="EU61" s="132"/>
      <c r="EV61" s="132"/>
      <c r="EW61" s="132"/>
    </row>
    <row r="62" spans="1:153" s="8" customFormat="1" ht="15" customHeight="1">
      <c r="A62"/>
      <c r="B62" s="129"/>
      <c r="C62" s="129"/>
      <c r="D62" s="10"/>
      <c r="E62" s="122"/>
      <c r="F62" s="122"/>
      <c r="G62" s="122"/>
      <c r="H62" s="122"/>
      <c r="I62" s="122"/>
      <c r="J62" s="10"/>
      <c r="K62" s="10"/>
      <c r="L62" s="122"/>
      <c r="M62" s="10"/>
      <c r="N62" s="10"/>
      <c r="O62" s="10"/>
      <c r="P62" s="10"/>
      <c r="Q62" s="122"/>
      <c r="R62" s="130"/>
      <c r="S62" s="38"/>
      <c r="T62" s="38"/>
      <c r="U62" s="38"/>
      <c r="V62" s="37"/>
      <c r="W62" s="130"/>
      <c r="X62" s="38"/>
      <c r="Y62" s="38"/>
      <c r="Z62" s="38"/>
      <c r="AA62" s="37"/>
      <c r="AB62" s="130"/>
      <c r="AC62" s="38"/>
      <c r="AD62" s="38"/>
      <c r="AE62" s="38"/>
      <c r="AF62" s="38"/>
      <c r="AG62" s="130"/>
      <c r="AH62" s="38"/>
      <c r="AI62" s="38"/>
      <c r="AJ62" s="38"/>
      <c r="AK62" s="37"/>
      <c r="AL62" s="130"/>
      <c r="AM62" s="38"/>
      <c r="AN62" s="38"/>
      <c r="AO62" s="38"/>
      <c r="AP62" s="38"/>
      <c r="AQ62" s="130"/>
      <c r="AR62" s="38"/>
      <c r="AS62" s="38"/>
      <c r="AT62" s="38"/>
      <c r="AU62" s="38"/>
      <c r="AZ62" s="38"/>
      <c r="BA62" s="130"/>
      <c r="BB62" s="38"/>
      <c r="BC62" s="38"/>
      <c r="BD62" s="38"/>
      <c r="BE62" s="38"/>
      <c r="BF62" s="130"/>
      <c r="BG62" s="38"/>
      <c r="BH62" s="38"/>
      <c r="BI62" s="38"/>
      <c r="BJ62" s="786"/>
      <c r="BK62" s="130"/>
      <c r="BL62" s="38"/>
      <c r="BM62" s="38"/>
      <c r="BN62" s="38"/>
      <c r="BO62" s="786"/>
      <c r="BP62" s="130"/>
      <c r="BQ62" s="38"/>
      <c r="BR62" s="38"/>
      <c r="BS62" s="38"/>
      <c r="BT62" s="786"/>
      <c r="BU62" s="130"/>
      <c r="BV62" s="38"/>
      <c r="BW62" s="38"/>
      <c r="BX62" s="38"/>
      <c r="BY62" s="31"/>
      <c r="BZ62" s="130"/>
      <c r="CA62" s="38"/>
      <c r="CB62" s="38"/>
      <c r="CC62" s="38"/>
      <c r="CD62" s="38"/>
      <c r="CE62" s="130"/>
      <c r="CF62" s="38"/>
      <c r="CG62" s="38"/>
      <c r="CH62" s="38"/>
      <c r="CI62" s="31"/>
      <c r="CO62" s="130"/>
      <c r="CP62" s="38"/>
      <c r="CQ62" s="38"/>
      <c r="CR62" s="38"/>
      <c r="CS62" s="31"/>
      <c r="CT62" s="130"/>
      <c r="CU62" s="38"/>
      <c r="CV62" s="38"/>
      <c r="CW62" s="38"/>
      <c r="CX62" s="31"/>
      <c r="CY62" s="130"/>
      <c r="CZ62" s="38"/>
      <c r="DA62" s="38"/>
      <c r="DB62" s="38"/>
      <c r="DC62" s="31"/>
      <c r="DD62" s="130"/>
      <c r="DE62" s="38"/>
      <c r="DF62" s="38"/>
      <c r="DG62" s="38"/>
      <c r="DH62" s="31"/>
      <c r="DI62" s="130"/>
      <c r="DJ62" s="38"/>
      <c r="DK62" s="38"/>
      <c r="DL62" s="38"/>
      <c r="DM62" s="31"/>
      <c r="DN62" s="130"/>
      <c r="DO62" s="38"/>
      <c r="DP62" s="38"/>
      <c r="DQ62" s="38"/>
      <c r="DR62" s="31"/>
      <c r="DS62" s="130"/>
      <c r="DT62" s="38"/>
      <c r="DU62" s="38"/>
      <c r="DV62" s="38"/>
      <c r="DW62" s="31"/>
      <c r="DX62" s="130"/>
      <c r="DY62" s="38"/>
      <c r="DZ62" s="38"/>
      <c r="EA62" s="38"/>
      <c r="EB62" s="31"/>
      <c r="EC62" s="130"/>
      <c r="ED62" s="38"/>
      <c r="EE62" s="38"/>
      <c r="EF62" s="38"/>
      <c r="EG62" s="31"/>
      <c r="EH62" s="130"/>
      <c r="EI62" s="38"/>
      <c r="EJ62" s="38"/>
      <c r="EK62" s="38"/>
      <c r="EL62" s="31"/>
      <c r="EM62" s="131"/>
      <c r="EN62" s="132"/>
      <c r="EO62" s="132"/>
      <c r="EP62" s="132"/>
      <c r="EQ62" s="132"/>
      <c r="ER62" s="31"/>
      <c r="ES62" s="131"/>
      <c r="ET62" s="132"/>
      <c r="EU62" s="132"/>
      <c r="EV62" s="132"/>
      <c r="EW62" s="132"/>
    </row>
    <row r="63" spans="1:153" s="8" customFormat="1" ht="15" customHeight="1">
      <c r="A63"/>
      <c r="B63" s="129"/>
      <c r="C63" s="129"/>
      <c r="D63" s="10"/>
      <c r="E63" s="122"/>
      <c r="F63" s="122"/>
      <c r="G63" s="122"/>
      <c r="H63" s="122"/>
      <c r="I63" s="122"/>
      <c r="J63" s="10"/>
      <c r="K63" s="10"/>
      <c r="L63" s="122"/>
      <c r="M63" s="10"/>
      <c r="N63" s="10"/>
      <c r="O63" s="10"/>
      <c r="P63" s="10"/>
      <c r="Q63" s="122"/>
      <c r="R63" s="130"/>
      <c r="S63" s="38"/>
      <c r="T63" s="38"/>
      <c r="U63" s="38"/>
      <c r="V63" s="37"/>
      <c r="W63" s="130"/>
      <c r="X63" s="38"/>
      <c r="Y63" s="38"/>
      <c r="Z63" s="38"/>
      <c r="AA63" s="37"/>
      <c r="AB63" s="130"/>
      <c r="AC63" s="38"/>
      <c r="AD63" s="38"/>
      <c r="AE63" s="38"/>
      <c r="AF63" s="38"/>
      <c r="AG63" s="130"/>
      <c r="AH63" s="38"/>
      <c r="AI63" s="38"/>
      <c r="AJ63" s="38"/>
      <c r="AK63" s="37"/>
      <c r="AL63" s="130"/>
      <c r="AM63" s="38"/>
      <c r="AN63" s="38"/>
      <c r="AO63" s="38"/>
      <c r="AP63" s="38"/>
      <c r="AQ63" s="130"/>
      <c r="AR63" s="38"/>
      <c r="AS63" s="38"/>
      <c r="AT63" s="38"/>
      <c r="AU63" s="38"/>
      <c r="AZ63" s="38"/>
      <c r="BA63" s="130"/>
      <c r="BB63" s="38"/>
      <c r="BC63" s="38"/>
      <c r="BD63" s="38"/>
      <c r="BE63" s="38"/>
      <c r="BF63" s="130"/>
      <c r="BG63" s="38"/>
      <c r="BH63" s="38"/>
      <c r="BI63" s="38"/>
      <c r="BJ63" s="786"/>
      <c r="BK63" s="130"/>
      <c r="BL63" s="38"/>
      <c r="BM63" s="38"/>
      <c r="BN63" s="38"/>
      <c r="BO63" s="786"/>
      <c r="BP63" s="130"/>
      <c r="BQ63" s="38"/>
      <c r="BR63" s="38"/>
      <c r="BS63" s="38"/>
      <c r="BT63" s="786"/>
      <c r="BU63" s="130"/>
      <c r="BV63" s="38"/>
      <c r="BW63" s="38"/>
      <c r="BX63" s="38"/>
      <c r="BY63" s="31"/>
      <c r="BZ63" s="130"/>
      <c r="CA63" s="38"/>
      <c r="CB63" s="38"/>
      <c r="CC63" s="38"/>
      <c r="CD63" s="38"/>
      <c r="CE63" s="130"/>
      <c r="CF63" s="38"/>
      <c r="CG63" s="38"/>
      <c r="CH63" s="38"/>
      <c r="CI63" s="31"/>
      <c r="CO63" s="130"/>
      <c r="CP63" s="38"/>
      <c r="CQ63" s="38"/>
      <c r="CR63" s="38"/>
      <c r="CS63" s="31"/>
      <c r="CT63" s="130"/>
      <c r="CU63" s="38"/>
      <c r="CV63" s="38"/>
      <c r="CW63" s="38"/>
      <c r="CX63" s="31"/>
      <c r="CY63" s="130"/>
      <c r="CZ63" s="38"/>
      <c r="DA63" s="38"/>
      <c r="DB63" s="38"/>
      <c r="DC63" s="31"/>
      <c r="DD63" s="130"/>
      <c r="DE63" s="38"/>
      <c r="DF63" s="38"/>
      <c r="DG63" s="38"/>
      <c r="DH63" s="31"/>
      <c r="DI63" s="130"/>
      <c r="DJ63" s="38"/>
      <c r="DK63" s="38"/>
      <c r="DL63" s="38"/>
      <c r="DM63" s="31"/>
      <c r="DN63" s="130"/>
      <c r="DO63" s="38"/>
      <c r="DP63" s="38"/>
      <c r="DQ63" s="38"/>
      <c r="DR63" s="31"/>
      <c r="DS63" s="130"/>
      <c r="DT63" s="38"/>
      <c r="DU63" s="38"/>
      <c r="DV63" s="38"/>
      <c r="DW63" s="31"/>
      <c r="DX63" s="130"/>
      <c r="DY63" s="38"/>
      <c r="DZ63" s="38"/>
      <c r="EA63" s="38"/>
      <c r="EB63" s="31"/>
      <c r="EC63" s="130"/>
      <c r="ED63" s="38"/>
      <c r="EE63" s="38"/>
      <c r="EF63" s="38"/>
      <c r="EG63" s="31"/>
      <c r="EH63" s="130"/>
      <c r="EI63" s="38"/>
      <c r="EJ63" s="38"/>
      <c r="EK63" s="38"/>
      <c r="EL63" s="31"/>
      <c r="EM63" s="131"/>
      <c r="EN63" s="132"/>
      <c r="EO63" s="132"/>
      <c r="EP63" s="132"/>
      <c r="EQ63" s="132"/>
      <c r="ER63" s="31"/>
      <c r="ES63" s="131"/>
      <c r="ET63" s="132"/>
      <c r="EU63" s="132"/>
      <c r="EV63" s="132"/>
      <c r="EW63" s="132"/>
    </row>
    <row r="64" spans="1:153" s="8" customFormat="1" ht="15" customHeight="1">
      <c r="A64"/>
      <c r="B64" s="129"/>
      <c r="C64" s="129"/>
      <c r="D64" s="10"/>
      <c r="E64" s="122"/>
      <c r="F64" s="122"/>
      <c r="G64" s="122"/>
      <c r="H64" s="122"/>
      <c r="I64" s="122"/>
      <c r="J64" s="10"/>
      <c r="K64" s="10"/>
      <c r="L64" s="122"/>
      <c r="M64" s="10"/>
      <c r="N64" s="10"/>
      <c r="O64" s="10"/>
      <c r="P64" s="10"/>
      <c r="Q64" s="122"/>
      <c r="R64" s="130"/>
      <c r="S64" s="38"/>
      <c r="T64" s="38"/>
      <c r="U64" s="38"/>
      <c r="V64" s="37"/>
      <c r="W64" s="130"/>
      <c r="X64" s="38"/>
      <c r="Y64" s="38"/>
      <c r="Z64" s="38"/>
      <c r="AA64" s="37"/>
      <c r="AB64" s="130"/>
      <c r="AC64" s="38"/>
      <c r="AD64" s="38"/>
      <c r="AE64" s="38"/>
      <c r="AF64" s="38"/>
      <c r="AG64" s="130"/>
      <c r="AH64" s="38"/>
      <c r="AI64" s="38"/>
      <c r="AJ64" s="38"/>
      <c r="AK64" s="37"/>
      <c r="AL64" s="130"/>
      <c r="AM64" s="38"/>
      <c r="AN64" s="38"/>
      <c r="AO64" s="38"/>
      <c r="AP64" s="38"/>
      <c r="AQ64" s="130"/>
      <c r="AR64" s="38"/>
      <c r="AS64" s="38"/>
      <c r="AT64" s="38"/>
      <c r="AU64" s="38"/>
      <c r="AZ64" s="38"/>
      <c r="BA64" s="130"/>
      <c r="BB64" s="38"/>
      <c r="BC64" s="38"/>
      <c r="BD64" s="38"/>
      <c r="BE64" s="38"/>
      <c r="BF64" s="130"/>
      <c r="BG64" s="38"/>
      <c r="BH64" s="38"/>
      <c r="BI64" s="38"/>
      <c r="BJ64" s="786"/>
      <c r="BK64" s="130"/>
      <c r="BL64" s="38"/>
      <c r="BM64" s="38"/>
      <c r="BN64" s="38"/>
      <c r="BO64" s="786"/>
      <c r="BP64" s="130"/>
      <c r="BQ64" s="38"/>
      <c r="BR64" s="38"/>
      <c r="BS64" s="38"/>
      <c r="BT64" s="786"/>
      <c r="BU64" s="130"/>
      <c r="BV64" s="38"/>
      <c r="BW64" s="38"/>
      <c r="BX64" s="38"/>
      <c r="BY64" s="31"/>
      <c r="BZ64" s="130"/>
      <c r="CA64" s="38"/>
      <c r="CB64" s="38"/>
      <c r="CC64" s="38"/>
      <c r="CD64" s="38"/>
      <c r="CE64" s="130"/>
      <c r="CF64" s="38"/>
      <c r="CG64" s="38"/>
      <c r="CH64" s="38"/>
      <c r="CI64" s="31"/>
      <c r="CO64" s="130"/>
      <c r="CP64" s="38"/>
      <c r="CQ64" s="38"/>
      <c r="CR64" s="38"/>
      <c r="CS64" s="31"/>
      <c r="CT64" s="130"/>
      <c r="CU64" s="38"/>
      <c r="CV64" s="38"/>
      <c r="CW64" s="38"/>
      <c r="CX64" s="31"/>
      <c r="CY64" s="130"/>
      <c r="CZ64" s="38"/>
      <c r="DA64" s="38"/>
      <c r="DB64" s="38"/>
      <c r="DC64" s="31"/>
      <c r="DD64" s="130"/>
      <c r="DE64" s="38"/>
      <c r="DF64" s="38"/>
      <c r="DG64" s="38"/>
      <c r="DH64" s="31"/>
      <c r="DI64" s="130"/>
      <c r="DJ64" s="38"/>
      <c r="DK64" s="38"/>
      <c r="DL64" s="38"/>
      <c r="DM64" s="31"/>
      <c r="DN64" s="130"/>
      <c r="DO64" s="38"/>
      <c r="DP64" s="38"/>
      <c r="DQ64" s="38"/>
      <c r="DR64" s="31"/>
      <c r="DS64" s="130"/>
      <c r="DT64" s="38"/>
      <c r="DU64" s="38"/>
      <c r="DV64" s="38"/>
      <c r="DW64" s="31"/>
      <c r="DX64" s="130"/>
      <c r="DY64" s="38"/>
      <c r="DZ64" s="38"/>
      <c r="EA64" s="38"/>
      <c r="EB64" s="31"/>
      <c r="EC64" s="130"/>
      <c r="ED64" s="38"/>
      <c r="EE64" s="38"/>
      <c r="EF64" s="38"/>
      <c r="EG64" s="31"/>
      <c r="EH64" s="130"/>
      <c r="EI64" s="38"/>
      <c r="EJ64" s="38"/>
      <c r="EK64" s="38"/>
      <c r="EL64" s="31"/>
      <c r="EM64" s="131"/>
      <c r="EN64" s="132"/>
      <c r="EO64" s="132"/>
      <c r="EP64" s="132"/>
      <c r="EQ64" s="132"/>
      <c r="ER64" s="31"/>
      <c r="ES64" s="131"/>
      <c r="ET64" s="132"/>
      <c r="EU64" s="132"/>
      <c r="EV64" s="132"/>
      <c r="EW64" s="132"/>
    </row>
    <row r="65" spans="1:153" s="8" customFormat="1" ht="15" customHeight="1">
      <c r="A65"/>
      <c r="B65" s="129"/>
      <c r="C65" s="129"/>
      <c r="D65" s="10"/>
      <c r="E65" s="122"/>
      <c r="F65" s="122"/>
      <c r="G65" s="122"/>
      <c r="H65" s="122"/>
      <c r="I65" s="122"/>
      <c r="J65" s="10"/>
      <c r="K65" s="10"/>
      <c r="L65" s="122"/>
      <c r="M65" s="10"/>
      <c r="N65" s="10"/>
      <c r="O65" s="10"/>
      <c r="P65" s="10"/>
      <c r="Q65" s="122"/>
      <c r="R65" s="130"/>
      <c r="S65" s="38"/>
      <c r="T65" s="38"/>
      <c r="U65" s="38"/>
      <c r="V65" s="37"/>
      <c r="W65" s="130"/>
      <c r="X65" s="38"/>
      <c r="Y65" s="38"/>
      <c r="Z65" s="38"/>
      <c r="AA65" s="37"/>
      <c r="AB65" s="130"/>
      <c r="AC65" s="38"/>
      <c r="AD65" s="38"/>
      <c r="AE65" s="38"/>
      <c r="AF65" s="38"/>
      <c r="AG65" s="130"/>
      <c r="AH65" s="38"/>
      <c r="AI65" s="38"/>
      <c r="AJ65" s="38"/>
      <c r="AK65" s="37"/>
      <c r="AL65" s="130"/>
      <c r="AM65" s="38"/>
      <c r="AN65" s="38"/>
      <c r="AO65" s="38"/>
      <c r="AP65" s="38"/>
      <c r="AQ65" s="130"/>
      <c r="AR65" s="38"/>
      <c r="AS65" s="38"/>
      <c r="AT65" s="38"/>
      <c r="AU65" s="38"/>
      <c r="AZ65" s="38"/>
      <c r="BA65" s="130"/>
      <c r="BB65" s="38"/>
      <c r="BC65" s="38"/>
      <c r="BD65" s="38"/>
      <c r="BE65" s="38"/>
      <c r="BF65" s="130"/>
      <c r="BG65" s="38"/>
      <c r="BH65" s="38"/>
      <c r="BI65" s="38"/>
      <c r="BJ65" s="786"/>
      <c r="BK65" s="130"/>
      <c r="BL65" s="38"/>
      <c r="BM65" s="38"/>
      <c r="BN65" s="38"/>
      <c r="BO65" s="786"/>
      <c r="BP65" s="130"/>
      <c r="BQ65" s="38"/>
      <c r="BR65" s="38"/>
      <c r="BS65" s="38"/>
      <c r="BT65" s="786"/>
      <c r="BU65" s="130"/>
      <c r="BV65" s="38"/>
      <c r="BW65" s="38"/>
      <c r="BX65" s="38"/>
      <c r="BY65" s="31"/>
      <c r="BZ65" s="130"/>
      <c r="CA65" s="38"/>
      <c r="CB65" s="38"/>
      <c r="CC65" s="38"/>
      <c r="CD65" s="38"/>
      <c r="CE65" s="130"/>
      <c r="CF65" s="38"/>
      <c r="CG65" s="38"/>
      <c r="CH65" s="38"/>
      <c r="CI65" s="31"/>
      <c r="CO65" s="130"/>
      <c r="CP65" s="38"/>
      <c r="CQ65" s="38"/>
      <c r="CR65" s="38"/>
      <c r="CS65" s="31"/>
      <c r="CT65" s="130"/>
      <c r="CU65" s="38"/>
      <c r="CV65" s="38"/>
      <c r="CW65" s="38"/>
      <c r="CX65" s="31"/>
      <c r="CY65" s="130"/>
      <c r="CZ65" s="38"/>
      <c r="DA65" s="38"/>
      <c r="DB65" s="38"/>
      <c r="DC65" s="31"/>
      <c r="DD65" s="130"/>
      <c r="DE65" s="38"/>
      <c r="DF65" s="38"/>
      <c r="DG65" s="38"/>
      <c r="DH65" s="31"/>
      <c r="DI65" s="130"/>
      <c r="DJ65" s="38"/>
      <c r="DK65" s="38"/>
      <c r="DL65" s="38"/>
      <c r="DM65" s="31"/>
      <c r="DN65" s="130"/>
      <c r="DO65" s="38"/>
      <c r="DP65" s="38"/>
      <c r="DQ65" s="38"/>
      <c r="DR65" s="31"/>
      <c r="DS65" s="130"/>
      <c r="DT65" s="38"/>
      <c r="DU65" s="38"/>
      <c r="DV65" s="38"/>
      <c r="DW65" s="31"/>
      <c r="DX65" s="130"/>
      <c r="DY65" s="38"/>
      <c r="DZ65" s="38"/>
      <c r="EA65" s="38"/>
      <c r="EB65" s="31"/>
      <c r="EC65" s="130"/>
      <c r="ED65" s="38"/>
      <c r="EE65" s="38"/>
      <c r="EF65" s="38"/>
      <c r="EG65" s="31"/>
      <c r="EH65" s="130"/>
      <c r="EI65" s="38"/>
      <c r="EJ65" s="38"/>
      <c r="EK65" s="38"/>
      <c r="EL65" s="31"/>
      <c r="EM65" s="131"/>
      <c r="EN65" s="132"/>
      <c r="EO65" s="132"/>
      <c r="EP65" s="132"/>
      <c r="EQ65" s="132"/>
      <c r="ER65" s="31"/>
      <c r="ES65" s="131"/>
      <c r="ET65" s="132"/>
      <c r="EU65" s="132"/>
      <c r="EV65" s="132"/>
      <c r="EW65" s="132"/>
    </row>
    <row r="66" spans="1:153" s="8" customFormat="1" ht="15" customHeight="1">
      <c r="A66"/>
      <c r="B66" s="129"/>
      <c r="C66" s="129"/>
      <c r="D66" s="10"/>
      <c r="E66" s="122"/>
      <c r="F66" s="122"/>
      <c r="G66" s="122"/>
      <c r="H66" s="122"/>
      <c r="I66" s="122"/>
      <c r="J66" s="10"/>
      <c r="K66" s="10"/>
      <c r="L66" s="122"/>
      <c r="M66" s="10"/>
      <c r="N66" s="10"/>
      <c r="O66" s="10"/>
      <c r="P66" s="10"/>
      <c r="Q66" s="122"/>
      <c r="R66" s="130"/>
      <c r="S66" s="38"/>
      <c r="T66" s="38"/>
      <c r="U66" s="38"/>
      <c r="V66" s="37"/>
      <c r="W66" s="130"/>
      <c r="X66" s="38"/>
      <c r="Y66" s="38"/>
      <c r="Z66" s="38"/>
      <c r="AA66" s="37"/>
      <c r="AB66" s="130"/>
      <c r="AC66" s="38"/>
      <c r="AD66" s="38"/>
      <c r="AE66" s="38"/>
      <c r="AF66" s="38"/>
      <c r="AG66" s="130"/>
      <c r="AH66" s="38"/>
      <c r="AI66" s="38"/>
      <c r="AJ66" s="38"/>
      <c r="AK66" s="37"/>
      <c r="AL66" s="130"/>
      <c r="AM66" s="38"/>
      <c r="AN66" s="38"/>
      <c r="AO66" s="38"/>
      <c r="AP66" s="38"/>
      <c r="AQ66" s="130"/>
      <c r="AR66" s="38"/>
      <c r="AS66" s="38"/>
      <c r="AT66" s="38"/>
      <c r="AU66" s="38"/>
      <c r="AZ66" s="38"/>
      <c r="BA66" s="130"/>
      <c r="BB66" s="38"/>
      <c r="BC66" s="38"/>
      <c r="BD66" s="38"/>
      <c r="BE66" s="38"/>
      <c r="BF66" s="130"/>
      <c r="BG66" s="38"/>
      <c r="BH66" s="38"/>
      <c r="BI66" s="38"/>
      <c r="BJ66" s="786"/>
      <c r="BK66" s="130"/>
      <c r="BL66" s="38"/>
      <c r="BM66" s="38"/>
      <c r="BN66" s="38"/>
      <c r="BO66" s="786"/>
      <c r="BP66" s="130"/>
      <c r="BQ66" s="38"/>
      <c r="BR66" s="38"/>
      <c r="BS66" s="38"/>
      <c r="BT66" s="786"/>
      <c r="BU66" s="130"/>
      <c r="BV66" s="38"/>
      <c r="BW66" s="38"/>
      <c r="BX66" s="38"/>
      <c r="BY66" s="31"/>
      <c r="BZ66" s="130"/>
      <c r="CA66" s="38"/>
      <c r="CB66" s="38"/>
      <c r="CC66" s="38"/>
      <c r="CD66" s="38"/>
      <c r="CE66" s="130"/>
      <c r="CF66" s="38"/>
      <c r="CG66" s="38"/>
      <c r="CH66" s="38"/>
      <c r="CI66" s="31"/>
      <c r="CO66" s="130"/>
      <c r="CP66" s="38"/>
      <c r="CQ66" s="38"/>
      <c r="CR66" s="38"/>
      <c r="CS66" s="31"/>
      <c r="CT66" s="130"/>
      <c r="CU66" s="38"/>
      <c r="CV66" s="38"/>
      <c r="CW66" s="38"/>
      <c r="CX66" s="31"/>
      <c r="CY66" s="130"/>
      <c r="CZ66" s="38"/>
      <c r="DA66" s="38"/>
      <c r="DB66" s="38"/>
      <c r="DC66" s="31"/>
      <c r="DD66" s="130"/>
      <c r="DE66" s="38"/>
      <c r="DF66" s="38"/>
      <c r="DG66" s="38"/>
      <c r="DH66" s="31"/>
      <c r="DI66" s="130"/>
      <c r="DJ66" s="38"/>
      <c r="DK66" s="38"/>
      <c r="DL66" s="38"/>
      <c r="DM66" s="31"/>
      <c r="DN66" s="130"/>
      <c r="DO66" s="38"/>
      <c r="DP66" s="38"/>
      <c r="DQ66" s="38"/>
      <c r="DR66" s="31"/>
      <c r="DS66" s="130"/>
      <c r="DT66" s="38"/>
      <c r="DU66" s="38"/>
      <c r="DV66" s="38"/>
      <c r="DW66" s="31"/>
      <c r="DX66" s="130"/>
      <c r="DY66" s="38"/>
      <c r="DZ66" s="38"/>
      <c r="EA66" s="38"/>
      <c r="EB66" s="31"/>
      <c r="EC66" s="130"/>
      <c r="ED66" s="38"/>
      <c r="EE66" s="38"/>
      <c r="EF66" s="38"/>
      <c r="EG66" s="31"/>
      <c r="EH66" s="130"/>
      <c r="EI66" s="38"/>
      <c r="EJ66" s="38"/>
      <c r="EK66" s="38"/>
      <c r="EL66" s="31"/>
      <c r="EM66" s="131"/>
      <c r="EN66" s="132"/>
      <c r="EO66" s="132"/>
      <c r="EP66" s="132"/>
      <c r="EQ66" s="132"/>
      <c r="ER66" s="31"/>
      <c r="ES66" s="131"/>
      <c r="ET66" s="132"/>
      <c r="EU66" s="132"/>
      <c r="EV66" s="132"/>
      <c r="EW66" s="132"/>
    </row>
    <row r="67" spans="1:153" s="8" customFormat="1" ht="15" customHeight="1">
      <c r="A67"/>
      <c r="B67" s="129"/>
      <c r="C67" s="129"/>
      <c r="D67" s="10"/>
      <c r="E67" s="122"/>
      <c r="F67" s="122"/>
      <c r="G67" s="122"/>
      <c r="H67" s="122"/>
      <c r="I67" s="122"/>
      <c r="J67" s="10"/>
      <c r="K67" s="10"/>
      <c r="L67" s="122"/>
      <c r="M67" s="10"/>
      <c r="N67" s="10"/>
      <c r="O67" s="10"/>
      <c r="P67" s="10"/>
      <c r="Q67" s="122"/>
      <c r="R67" s="130"/>
      <c r="S67" s="38"/>
      <c r="T67" s="38"/>
      <c r="U67" s="38"/>
      <c r="V67" s="37"/>
      <c r="W67" s="130"/>
      <c r="X67" s="38"/>
      <c r="Y67" s="38"/>
      <c r="Z67" s="38"/>
      <c r="AA67" s="37"/>
      <c r="AB67" s="130"/>
      <c r="AC67" s="38"/>
      <c r="AD67" s="38"/>
      <c r="AE67" s="38"/>
      <c r="AF67" s="38"/>
      <c r="AG67" s="130"/>
      <c r="AH67" s="38"/>
      <c r="AI67" s="38"/>
      <c r="AJ67" s="38"/>
      <c r="AK67" s="37"/>
      <c r="AL67" s="130"/>
      <c r="AM67" s="38"/>
      <c r="AN67" s="38"/>
      <c r="AO67" s="38"/>
      <c r="AP67" s="38"/>
      <c r="AQ67" s="130"/>
      <c r="AR67" s="38"/>
      <c r="AS67" s="38"/>
      <c r="AT67" s="38"/>
      <c r="AU67" s="38"/>
      <c r="AZ67" s="38"/>
      <c r="BA67" s="130"/>
      <c r="BB67" s="38"/>
      <c r="BC67" s="38"/>
      <c r="BD67" s="38"/>
      <c r="BE67" s="38"/>
      <c r="BF67" s="130"/>
      <c r="BG67" s="38"/>
      <c r="BH67" s="38"/>
      <c r="BI67" s="38"/>
      <c r="BJ67" s="786"/>
      <c r="BK67" s="130"/>
      <c r="BL67" s="38"/>
      <c r="BM67" s="38"/>
      <c r="BN67" s="38"/>
      <c r="BO67" s="786"/>
      <c r="BP67" s="130"/>
      <c r="BQ67" s="38"/>
      <c r="BR67" s="38"/>
      <c r="BS67" s="38"/>
      <c r="BT67" s="786"/>
      <c r="BU67" s="130"/>
      <c r="BV67" s="38"/>
      <c r="BW67" s="38"/>
      <c r="BX67" s="38"/>
      <c r="BY67" s="31"/>
      <c r="BZ67" s="130"/>
      <c r="CA67" s="38"/>
      <c r="CB67" s="38"/>
      <c r="CC67" s="38"/>
      <c r="CD67" s="38"/>
      <c r="CE67" s="130"/>
      <c r="CF67" s="38"/>
      <c r="CG67" s="38"/>
      <c r="CH67" s="38"/>
      <c r="CI67" s="31"/>
      <c r="CO67" s="130"/>
      <c r="CP67" s="38"/>
      <c r="CQ67" s="38"/>
      <c r="CR67" s="38"/>
      <c r="CS67" s="31"/>
      <c r="CT67" s="130"/>
      <c r="CU67" s="38"/>
      <c r="CV67" s="38"/>
      <c r="CW67" s="38"/>
      <c r="CX67" s="31"/>
      <c r="CY67" s="130"/>
      <c r="CZ67" s="38"/>
      <c r="DA67" s="38"/>
      <c r="DB67" s="38"/>
      <c r="DC67" s="31"/>
      <c r="DD67" s="130"/>
      <c r="DE67" s="38"/>
      <c r="DF67" s="38"/>
      <c r="DG67" s="38"/>
      <c r="DH67" s="31"/>
      <c r="DI67" s="130"/>
      <c r="DJ67" s="38"/>
      <c r="DK67" s="38"/>
      <c r="DL67" s="38"/>
      <c r="DM67" s="31"/>
      <c r="DN67" s="130"/>
      <c r="DO67" s="38"/>
      <c r="DP67" s="38"/>
      <c r="DQ67" s="38"/>
      <c r="DR67" s="31"/>
      <c r="DS67" s="130"/>
      <c r="DT67" s="38"/>
      <c r="DU67" s="38"/>
      <c r="DV67" s="38"/>
      <c r="DW67" s="31"/>
      <c r="DX67" s="130"/>
      <c r="DY67" s="38"/>
      <c r="DZ67" s="38"/>
      <c r="EA67" s="38"/>
      <c r="EB67" s="31"/>
      <c r="EC67" s="130"/>
      <c r="ED67" s="38"/>
      <c r="EE67" s="38"/>
      <c r="EF67" s="38"/>
      <c r="EG67" s="31"/>
      <c r="EH67" s="130"/>
      <c r="EI67" s="38"/>
      <c r="EJ67" s="38"/>
      <c r="EK67" s="38"/>
      <c r="EL67" s="31"/>
      <c r="EM67" s="131"/>
      <c r="EN67" s="132"/>
      <c r="EO67" s="132"/>
      <c r="EP67" s="132"/>
      <c r="EQ67" s="132"/>
      <c r="ER67" s="31"/>
      <c r="ES67" s="131"/>
      <c r="ET67" s="132"/>
      <c r="EU67" s="132"/>
      <c r="EV67" s="132"/>
      <c r="EW67" s="132"/>
    </row>
    <row r="68" spans="1:153" s="8" customFormat="1" ht="15" customHeight="1">
      <c r="A68"/>
      <c r="B68" s="129"/>
      <c r="C68" s="129"/>
      <c r="D68" s="10"/>
      <c r="E68" s="122"/>
      <c r="F68" s="122"/>
      <c r="G68" s="122"/>
      <c r="H68" s="122"/>
      <c r="I68" s="122"/>
      <c r="J68" s="10"/>
      <c r="K68" s="10"/>
      <c r="L68" s="122"/>
      <c r="M68" s="10"/>
      <c r="N68" s="10"/>
      <c r="O68" s="10"/>
      <c r="P68" s="10"/>
      <c r="Q68" s="122"/>
      <c r="R68" s="130"/>
      <c r="S68" s="38"/>
      <c r="T68" s="38"/>
      <c r="U68" s="38"/>
      <c r="V68" s="37"/>
      <c r="W68" s="130"/>
      <c r="X68" s="38"/>
      <c r="Y68" s="38"/>
      <c r="Z68" s="38"/>
      <c r="AA68" s="37"/>
      <c r="AB68" s="130"/>
      <c r="AC68" s="38"/>
      <c r="AD68" s="38"/>
      <c r="AE68" s="38"/>
      <c r="AF68" s="38"/>
      <c r="AG68" s="130"/>
      <c r="AH68" s="38"/>
      <c r="AI68" s="38"/>
      <c r="AJ68" s="38"/>
      <c r="AK68" s="37"/>
      <c r="AL68" s="130"/>
      <c r="AM68" s="38"/>
      <c r="AN68" s="38"/>
      <c r="AO68" s="38"/>
      <c r="AP68" s="38"/>
      <c r="AQ68" s="130"/>
      <c r="AR68" s="38"/>
      <c r="AS68" s="38"/>
      <c r="AT68" s="38"/>
      <c r="AU68" s="38"/>
      <c r="AZ68" s="38"/>
      <c r="BA68" s="130"/>
      <c r="BB68" s="38"/>
      <c r="BC68" s="38"/>
      <c r="BD68" s="38"/>
      <c r="BE68" s="38"/>
      <c r="BF68" s="130"/>
      <c r="BG68" s="38"/>
      <c r="BH68" s="38"/>
      <c r="BI68" s="38"/>
      <c r="BJ68" s="786"/>
      <c r="BK68" s="130"/>
      <c r="BL68" s="38"/>
      <c r="BM68" s="38"/>
      <c r="BN68" s="38"/>
      <c r="BO68" s="786"/>
      <c r="BP68" s="130"/>
      <c r="BQ68" s="38"/>
      <c r="BR68" s="38"/>
      <c r="BS68" s="38"/>
      <c r="BT68" s="786"/>
      <c r="BU68" s="130"/>
      <c r="BV68" s="38"/>
      <c r="BW68" s="38"/>
      <c r="BX68" s="38"/>
      <c r="BY68" s="31"/>
      <c r="BZ68" s="130"/>
      <c r="CA68" s="38"/>
      <c r="CB68" s="38"/>
      <c r="CC68" s="38"/>
      <c r="CD68" s="38"/>
      <c r="CE68" s="130"/>
      <c r="CF68" s="38"/>
      <c r="CG68" s="38"/>
      <c r="CH68" s="38"/>
      <c r="CI68" s="31"/>
      <c r="CO68" s="130"/>
      <c r="CP68" s="38"/>
      <c r="CQ68" s="38"/>
      <c r="CR68" s="38"/>
      <c r="CS68" s="31"/>
      <c r="CT68" s="130"/>
      <c r="CU68" s="38"/>
      <c r="CV68" s="38"/>
      <c r="CW68" s="38"/>
      <c r="CX68" s="31"/>
      <c r="CY68" s="130"/>
      <c r="CZ68" s="38"/>
      <c r="DA68" s="38"/>
      <c r="DB68" s="38"/>
      <c r="DC68" s="31"/>
      <c r="DD68" s="130"/>
      <c r="DE68" s="38"/>
      <c r="DF68" s="38"/>
      <c r="DG68" s="38"/>
      <c r="DH68" s="31"/>
      <c r="DI68" s="130"/>
      <c r="DJ68" s="38"/>
      <c r="DK68" s="38"/>
      <c r="DL68" s="38"/>
      <c r="DM68" s="31"/>
      <c r="DN68" s="130"/>
      <c r="DO68" s="38"/>
      <c r="DP68" s="38"/>
      <c r="DQ68" s="38"/>
      <c r="DR68" s="31"/>
      <c r="DS68" s="130"/>
      <c r="DT68" s="38"/>
      <c r="DU68" s="38"/>
      <c r="DV68" s="38"/>
      <c r="DW68" s="31"/>
      <c r="DX68" s="130"/>
      <c r="DY68" s="38"/>
      <c r="DZ68" s="38"/>
      <c r="EA68" s="38"/>
      <c r="EB68" s="31"/>
      <c r="EC68" s="130"/>
      <c r="ED68" s="38"/>
      <c r="EE68" s="38"/>
      <c r="EF68" s="38"/>
      <c r="EG68" s="31"/>
      <c r="EH68" s="130"/>
      <c r="EI68" s="38"/>
      <c r="EJ68" s="38"/>
      <c r="EK68" s="38"/>
      <c r="EL68" s="31"/>
      <c r="EM68" s="131"/>
      <c r="EN68" s="132"/>
      <c r="EO68" s="132"/>
      <c r="EP68" s="132"/>
      <c r="EQ68" s="132"/>
      <c r="ER68" s="31"/>
      <c r="ES68" s="131"/>
      <c r="ET68" s="132"/>
      <c r="EU68" s="132"/>
      <c r="EV68" s="132"/>
      <c r="EW68" s="132"/>
    </row>
    <row r="69" spans="1:153" s="8" customFormat="1" ht="15" customHeight="1">
      <c r="A69"/>
      <c r="B69" s="129"/>
      <c r="C69" s="129"/>
      <c r="D69" s="10"/>
      <c r="E69" s="122"/>
      <c r="F69" s="122"/>
      <c r="G69" s="122"/>
      <c r="H69" s="122"/>
      <c r="I69" s="122"/>
      <c r="J69" s="10"/>
      <c r="K69" s="10"/>
      <c r="L69" s="122"/>
      <c r="M69" s="10"/>
      <c r="N69" s="10"/>
      <c r="O69" s="10"/>
      <c r="P69" s="10"/>
      <c r="Q69" s="122"/>
      <c r="R69" s="130"/>
      <c r="S69" s="38"/>
      <c r="T69" s="38"/>
      <c r="U69" s="38"/>
      <c r="V69" s="37"/>
      <c r="W69" s="130"/>
      <c r="X69" s="38"/>
      <c r="Y69" s="38"/>
      <c r="Z69" s="38"/>
      <c r="AA69" s="37"/>
      <c r="AB69" s="130"/>
      <c r="AC69" s="38"/>
      <c r="AD69" s="38"/>
      <c r="AE69" s="38"/>
      <c r="AF69" s="38"/>
      <c r="AG69" s="130"/>
      <c r="AH69" s="38"/>
      <c r="AI69" s="38"/>
      <c r="AJ69" s="38"/>
      <c r="AK69" s="37"/>
      <c r="AL69" s="130"/>
      <c r="AM69" s="38"/>
      <c r="AN69" s="38"/>
      <c r="AO69" s="38"/>
      <c r="AP69" s="38"/>
      <c r="AQ69" s="130"/>
      <c r="AR69" s="38"/>
      <c r="AS69" s="38"/>
      <c r="AT69" s="38"/>
      <c r="AU69" s="38"/>
      <c r="AZ69" s="38"/>
      <c r="BA69" s="130"/>
      <c r="BB69" s="38"/>
      <c r="BC69" s="38"/>
      <c r="BD69" s="38"/>
      <c r="BE69" s="38"/>
      <c r="BF69" s="130"/>
      <c r="BG69" s="38"/>
      <c r="BH69" s="38"/>
      <c r="BI69" s="38"/>
      <c r="BJ69" s="786"/>
      <c r="BK69" s="130"/>
      <c r="BL69" s="38"/>
      <c r="BM69" s="38"/>
      <c r="BN69" s="38"/>
      <c r="BO69" s="786"/>
      <c r="BP69" s="130"/>
      <c r="BQ69" s="38"/>
      <c r="BR69" s="38"/>
      <c r="BS69" s="38"/>
      <c r="BT69" s="786"/>
      <c r="BU69" s="130"/>
      <c r="BV69" s="38"/>
      <c r="BW69" s="38"/>
      <c r="BX69" s="38"/>
      <c r="BY69" s="31"/>
      <c r="BZ69" s="130"/>
      <c r="CA69" s="38"/>
      <c r="CB69" s="38"/>
      <c r="CC69" s="38"/>
      <c r="CD69" s="38"/>
      <c r="CE69" s="130"/>
      <c r="CF69" s="38"/>
      <c r="CG69" s="38"/>
      <c r="CH69" s="38"/>
      <c r="CI69" s="31"/>
      <c r="CO69" s="130"/>
      <c r="CP69" s="38"/>
      <c r="CQ69" s="38"/>
      <c r="CR69" s="38"/>
      <c r="CS69" s="31"/>
      <c r="CT69" s="130"/>
      <c r="CU69" s="38"/>
      <c r="CV69" s="38"/>
      <c r="CW69" s="38"/>
      <c r="CX69" s="31"/>
      <c r="CY69" s="130"/>
      <c r="CZ69" s="38"/>
      <c r="DA69" s="38"/>
      <c r="DB69" s="38"/>
      <c r="DC69" s="31"/>
      <c r="DD69" s="130"/>
      <c r="DE69" s="38"/>
      <c r="DF69" s="38"/>
      <c r="DG69" s="38"/>
      <c r="DH69" s="31"/>
      <c r="DI69" s="130"/>
      <c r="DJ69" s="38"/>
      <c r="DK69" s="38"/>
      <c r="DL69" s="38"/>
      <c r="DM69" s="31"/>
      <c r="DN69" s="130"/>
      <c r="DO69" s="38"/>
      <c r="DP69" s="38"/>
      <c r="DQ69" s="38"/>
      <c r="DR69" s="31"/>
      <c r="DS69" s="130"/>
      <c r="DT69" s="38"/>
      <c r="DU69" s="38"/>
      <c r="DV69" s="38"/>
      <c r="DW69" s="31"/>
      <c r="DX69" s="130"/>
      <c r="DY69" s="38"/>
      <c r="DZ69" s="38"/>
      <c r="EA69" s="38"/>
      <c r="EB69" s="31"/>
      <c r="EC69" s="130"/>
      <c r="ED69" s="38"/>
      <c r="EE69" s="38"/>
      <c r="EF69" s="38"/>
      <c r="EG69" s="31"/>
      <c r="EH69" s="130"/>
      <c r="EI69" s="38"/>
      <c r="EJ69" s="38"/>
      <c r="EK69" s="38"/>
      <c r="EL69" s="31"/>
      <c r="EM69" s="131"/>
      <c r="EN69" s="132"/>
      <c r="EO69" s="132"/>
      <c r="EP69" s="132"/>
      <c r="EQ69" s="132"/>
      <c r="ER69" s="31"/>
      <c r="ES69" s="131"/>
      <c r="ET69" s="132"/>
      <c r="EU69" s="132"/>
      <c r="EV69" s="132"/>
      <c r="EW69" s="132"/>
    </row>
    <row r="70" spans="1:153" s="8" customFormat="1" ht="15" customHeight="1">
      <c r="A70"/>
      <c r="B70" s="129"/>
      <c r="C70" s="129"/>
      <c r="D70" s="10"/>
      <c r="E70" s="122"/>
      <c r="F70" s="122"/>
      <c r="G70" s="122"/>
      <c r="H70" s="122"/>
      <c r="I70" s="122"/>
      <c r="J70" s="10"/>
      <c r="K70" s="10"/>
      <c r="L70" s="122"/>
      <c r="M70" s="10"/>
      <c r="N70" s="10"/>
      <c r="O70" s="10"/>
      <c r="P70" s="10"/>
      <c r="Q70" s="122"/>
      <c r="R70" s="130"/>
      <c r="S70" s="38"/>
      <c r="T70" s="38"/>
      <c r="U70" s="38"/>
      <c r="V70" s="37"/>
      <c r="W70" s="130"/>
      <c r="X70" s="38"/>
      <c r="Y70" s="38"/>
      <c r="Z70" s="38"/>
      <c r="AA70" s="37"/>
      <c r="AB70" s="130"/>
      <c r="AC70" s="38"/>
      <c r="AD70" s="38"/>
      <c r="AE70" s="38"/>
      <c r="AF70" s="38"/>
      <c r="AG70" s="130"/>
      <c r="AH70" s="38"/>
      <c r="AI70" s="38"/>
      <c r="AJ70" s="38"/>
      <c r="AK70" s="37"/>
      <c r="AL70" s="130"/>
      <c r="AM70" s="38"/>
      <c r="AN70" s="38"/>
      <c r="AO70" s="38"/>
      <c r="AP70" s="38"/>
      <c r="AQ70" s="130"/>
      <c r="AR70" s="38"/>
      <c r="AS70" s="38"/>
      <c r="AT70" s="38"/>
      <c r="AU70" s="38"/>
      <c r="AZ70" s="38"/>
      <c r="BA70" s="130"/>
      <c r="BB70" s="38"/>
      <c r="BC70" s="38"/>
      <c r="BD70" s="38"/>
      <c r="BE70" s="38"/>
      <c r="BF70" s="130"/>
      <c r="BG70" s="38"/>
      <c r="BH70" s="38"/>
      <c r="BI70" s="38"/>
      <c r="BJ70" s="786"/>
      <c r="BK70" s="130"/>
      <c r="BL70" s="38"/>
      <c r="BM70" s="38"/>
      <c r="BN70" s="38"/>
      <c r="BO70" s="786"/>
      <c r="BP70" s="130"/>
      <c r="BQ70" s="38"/>
      <c r="BR70" s="38"/>
      <c r="BS70" s="38"/>
      <c r="BT70" s="786"/>
      <c r="BU70" s="130"/>
      <c r="BV70" s="38"/>
      <c r="BW70" s="38"/>
      <c r="BX70" s="38"/>
      <c r="BY70" s="31"/>
      <c r="BZ70" s="130"/>
      <c r="CA70" s="38"/>
      <c r="CB70" s="38"/>
      <c r="CC70" s="38"/>
      <c r="CD70" s="38"/>
      <c r="CE70" s="130"/>
      <c r="CF70" s="38"/>
      <c r="CG70" s="38"/>
      <c r="CH70" s="38"/>
      <c r="CI70" s="31"/>
      <c r="CO70" s="130"/>
      <c r="CP70" s="38"/>
      <c r="CQ70" s="38"/>
      <c r="CR70" s="38"/>
      <c r="CS70" s="31"/>
      <c r="CT70" s="130"/>
      <c r="CU70" s="38"/>
      <c r="CV70" s="38"/>
      <c r="CW70" s="38"/>
      <c r="CX70" s="31"/>
      <c r="CY70" s="130"/>
      <c r="CZ70" s="38"/>
      <c r="DA70" s="38"/>
      <c r="DB70" s="38"/>
      <c r="DC70" s="31"/>
      <c r="DD70" s="130"/>
      <c r="DE70" s="38"/>
      <c r="DF70" s="38"/>
      <c r="DG70" s="38"/>
      <c r="DH70" s="31"/>
      <c r="DI70" s="130"/>
      <c r="DJ70" s="38"/>
      <c r="DK70" s="38"/>
      <c r="DL70" s="38"/>
      <c r="DM70" s="31"/>
      <c r="DN70" s="130"/>
      <c r="DO70" s="38"/>
      <c r="DP70" s="38"/>
      <c r="DQ70" s="38"/>
      <c r="DR70" s="31"/>
      <c r="DS70" s="130"/>
      <c r="DT70" s="38"/>
      <c r="DU70" s="38"/>
      <c r="DV70" s="38"/>
      <c r="DW70" s="31"/>
      <c r="DX70" s="130"/>
      <c r="DY70" s="38"/>
      <c r="DZ70" s="38"/>
      <c r="EA70" s="38"/>
      <c r="EB70" s="31"/>
      <c r="EC70" s="130"/>
      <c r="ED70" s="38"/>
      <c r="EE70" s="38"/>
      <c r="EF70" s="38"/>
      <c r="EG70" s="31"/>
      <c r="EH70" s="130"/>
      <c r="EI70" s="38"/>
      <c r="EJ70" s="38"/>
      <c r="EK70" s="38"/>
      <c r="EL70" s="31"/>
      <c r="EM70" s="131"/>
      <c r="EN70" s="132"/>
      <c r="EO70" s="132"/>
      <c r="EP70" s="132"/>
      <c r="EQ70" s="132"/>
      <c r="ER70" s="31"/>
      <c r="ES70" s="131"/>
      <c r="ET70" s="132"/>
      <c r="EU70" s="132"/>
      <c r="EV70" s="132"/>
      <c r="EW70" s="132"/>
    </row>
    <row r="71" spans="1:153" s="8" customFormat="1" ht="15" customHeight="1">
      <c r="A71"/>
      <c r="B71" s="129"/>
      <c r="C71" s="129"/>
      <c r="D71" s="10"/>
      <c r="E71" s="122"/>
      <c r="F71" s="122"/>
      <c r="G71" s="122"/>
      <c r="H71" s="122"/>
      <c r="I71" s="122"/>
      <c r="J71" s="10"/>
      <c r="K71" s="10"/>
      <c r="L71" s="122"/>
      <c r="M71" s="10"/>
      <c r="N71" s="10"/>
      <c r="O71" s="10"/>
      <c r="P71" s="10"/>
      <c r="Q71" s="122"/>
      <c r="R71" s="130"/>
      <c r="S71" s="38"/>
      <c r="T71" s="38"/>
      <c r="U71" s="38"/>
      <c r="V71" s="37"/>
      <c r="W71" s="130"/>
      <c r="X71" s="38"/>
      <c r="Y71" s="38"/>
      <c r="Z71" s="38"/>
      <c r="AA71" s="37"/>
      <c r="AB71" s="130"/>
      <c r="AC71" s="38"/>
      <c r="AD71" s="38"/>
      <c r="AE71" s="38"/>
      <c r="AF71" s="38"/>
      <c r="AG71" s="130"/>
      <c r="AH71" s="38"/>
      <c r="AI71" s="38"/>
      <c r="AJ71" s="38"/>
      <c r="AK71" s="37"/>
      <c r="AL71" s="130"/>
      <c r="AM71" s="38"/>
      <c r="AN71" s="38"/>
      <c r="AO71" s="38"/>
      <c r="AP71" s="38"/>
      <c r="AQ71" s="130"/>
      <c r="AR71" s="38"/>
      <c r="AS71" s="38"/>
      <c r="AT71" s="38"/>
      <c r="AU71" s="38"/>
      <c r="AZ71" s="38"/>
      <c r="BA71" s="130"/>
      <c r="BB71" s="38"/>
      <c r="BC71" s="38"/>
      <c r="BD71" s="38"/>
      <c r="BE71" s="38"/>
      <c r="BF71" s="130"/>
      <c r="BG71" s="38"/>
      <c r="BH71" s="38"/>
      <c r="BI71" s="38"/>
      <c r="BJ71" s="786"/>
      <c r="BK71" s="130"/>
      <c r="BL71" s="38"/>
      <c r="BM71" s="38"/>
      <c r="BN71" s="38"/>
      <c r="BO71" s="786"/>
      <c r="BP71" s="130"/>
      <c r="BQ71" s="38"/>
      <c r="BR71" s="38"/>
      <c r="BS71" s="38"/>
      <c r="BT71" s="786"/>
      <c r="BU71" s="130"/>
      <c r="BV71" s="38"/>
      <c r="BW71" s="38"/>
      <c r="BX71" s="38"/>
      <c r="BY71" s="31"/>
      <c r="BZ71" s="130"/>
      <c r="CA71" s="38"/>
      <c r="CB71" s="38"/>
      <c r="CC71" s="38"/>
      <c r="CD71" s="38"/>
      <c r="CE71" s="130"/>
      <c r="CF71" s="38"/>
      <c r="CG71" s="38"/>
      <c r="CH71" s="38"/>
      <c r="CI71" s="31"/>
      <c r="CO71" s="130"/>
      <c r="CP71" s="38"/>
      <c r="CQ71" s="38"/>
      <c r="CR71" s="38"/>
      <c r="CS71" s="31"/>
      <c r="CT71" s="130"/>
      <c r="CU71" s="38"/>
      <c r="CV71" s="38"/>
      <c r="CW71" s="38"/>
      <c r="CX71" s="31"/>
      <c r="CY71" s="130"/>
      <c r="CZ71" s="38"/>
      <c r="DA71" s="38"/>
      <c r="DB71" s="38"/>
      <c r="DC71" s="31"/>
      <c r="DD71" s="130"/>
      <c r="DE71" s="38"/>
      <c r="DF71" s="38"/>
      <c r="DG71" s="38"/>
      <c r="DH71" s="31"/>
      <c r="DI71" s="130"/>
      <c r="DJ71" s="38"/>
      <c r="DK71" s="38"/>
      <c r="DL71" s="38"/>
      <c r="DM71" s="31"/>
      <c r="DN71" s="130"/>
      <c r="DO71" s="38"/>
      <c r="DP71" s="38"/>
      <c r="DQ71" s="38"/>
      <c r="DR71" s="31"/>
      <c r="DS71" s="130"/>
      <c r="DT71" s="38"/>
      <c r="DU71" s="38"/>
      <c r="DV71" s="38"/>
      <c r="DW71" s="31"/>
      <c r="DX71" s="130"/>
      <c r="DY71" s="38"/>
      <c r="DZ71" s="38"/>
      <c r="EA71" s="38"/>
      <c r="EB71" s="31"/>
      <c r="EC71" s="130"/>
      <c r="ED71" s="38"/>
      <c r="EE71" s="38"/>
      <c r="EF71" s="38"/>
      <c r="EG71" s="31"/>
      <c r="EH71" s="130"/>
      <c r="EI71" s="38"/>
      <c r="EJ71" s="38"/>
      <c r="EK71" s="38"/>
      <c r="EL71" s="31"/>
      <c r="EM71" s="131"/>
      <c r="EN71" s="132"/>
      <c r="EO71" s="132"/>
      <c r="EP71" s="132"/>
      <c r="EQ71" s="132"/>
      <c r="ER71" s="31"/>
      <c r="ES71" s="131"/>
      <c r="ET71" s="132"/>
      <c r="EU71" s="132"/>
      <c r="EV71" s="132"/>
      <c r="EW71" s="132"/>
    </row>
    <row r="72" spans="1:153" s="8" customFormat="1" ht="15" customHeight="1">
      <c r="A72"/>
      <c r="B72" s="129"/>
      <c r="C72" s="129"/>
      <c r="D72" s="10"/>
      <c r="E72" s="122"/>
      <c r="F72" s="122"/>
      <c r="G72" s="122"/>
      <c r="H72" s="122"/>
      <c r="I72" s="122"/>
      <c r="J72" s="10"/>
      <c r="K72" s="10"/>
      <c r="L72" s="122"/>
      <c r="M72" s="10"/>
      <c r="N72" s="10"/>
      <c r="O72" s="10"/>
      <c r="P72" s="10"/>
      <c r="Q72" s="122"/>
      <c r="R72" s="130"/>
      <c r="S72" s="38"/>
      <c r="T72" s="38"/>
      <c r="U72" s="38"/>
      <c r="V72" s="37"/>
      <c r="W72" s="130"/>
      <c r="X72" s="38"/>
      <c r="Y72" s="38"/>
      <c r="Z72" s="38"/>
      <c r="AA72" s="37"/>
      <c r="AB72" s="130"/>
      <c r="AC72" s="38"/>
      <c r="AD72" s="38"/>
      <c r="AE72" s="38"/>
      <c r="AF72" s="38"/>
      <c r="AG72" s="130"/>
      <c r="AH72" s="38"/>
      <c r="AI72" s="38"/>
      <c r="AJ72" s="38"/>
      <c r="AK72" s="37"/>
      <c r="AL72" s="130"/>
      <c r="AM72" s="38"/>
      <c r="AN72" s="38"/>
      <c r="AO72" s="38"/>
      <c r="AP72" s="38"/>
      <c r="AQ72" s="130"/>
      <c r="AR72" s="38"/>
      <c r="AS72" s="38"/>
      <c r="AT72" s="38"/>
      <c r="AU72" s="38"/>
      <c r="AZ72" s="38"/>
      <c r="BA72" s="130"/>
      <c r="BB72" s="38"/>
      <c r="BC72" s="38"/>
      <c r="BD72" s="38"/>
      <c r="BE72" s="38"/>
      <c r="BF72" s="130"/>
      <c r="BG72" s="38"/>
      <c r="BH72" s="38"/>
      <c r="BI72" s="38"/>
      <c r="BJ72" s="786"/>
      <c r="BK72" s="130"/>
      <c r="BL72" s="38"/>
      <c r="BM72" s="38"/>
      <c r="BN72" s="38"/>
      <c r="BO72" s="786"/>
      <c r="BP72" s="130"/>
      <c r="BQ72" s="38"/>
      <c r="BR72" s="38"/>
      <c r="BS72" s="38"/>
      <c r="BT72" s="786"/>
      <c r="BU72" s="130"/>
      <c r="BV72" s="38"/>
      <c r="BW72" s="38"/>
      <c r="BX72" s="38"/>
      <c r="BY72" s="31"/>
      <c r="BZ72" s="130"/>
      <c r="CA72" s="38"/>
      <c r="CB72" s="38"/>
      <c r="CC72" s="38"/>
      <c r="CD72" s="38"/>
      <c r="CE72" s="130"/>
      <c r="CF72" s="38"/>
      <c r="CG72" s="38"/>
      <c r="CH72" s="38"/>
      <c r="CI72" s="31"/>
      <c r="CO72" s="130"/>
      <c r="CP72" s="38"/>
      <c r="CQ72" s="38"/>
      <c r="CR72" s="38"/>
      <c r="CS72" s="31"/>
      <c r="CT72" s="130"/>
      <c r="CU72" s="38"/>
      <c r="CV72" s="38"/>
      <c r="CW72" s="38"/>
      <c r="CX72" s="31"/>
      <c r="CY72" s="130"/>
      <c r="CZ72" s="38"/>
      <c r="DA72" s="38"/>
      <c r="DB72" s="38"/>
      <c r="DC72" s="31"/>
      <c r="DD72" s="130"/>
      <c r="DE72" s="38"/>
      <c r="DF72" s="38"/>
      <c r="DG72" s="38"/>
      <c r="DH72" s="31"/>
      <c r="DI72" s="130"/>
      <c r="DJ72" s="38"/>
      <c r="DK72" s="38"/>
      <c r="DL72" s="38"/>
      <c r="DM72" s="31"/>
      <c r="DN72" s="130"/>
      <c r="DO72" s="38"/>
      <c r="DP72" s="38"/>
      <c r="DQ72" s="38"/>
      <c r="DR72" s="31"/>
      <c r="DS72" s="130"/>
      <c r="DT72" s="38"/>
      <c r="DU72" s="38"/>
      <c r="DV72" s="38"/>
      <c r="DW72" s="31"/>
      <c r="DX72" s="130"/>
      <c r="DY72" s="38"/>
      <c r="DZ72" s="38"/>
      <c r="EA72" s="38"/>
      <c r="EB72" s="31"/>
      <c r="EC72" s="130"/>
      <c r="ED72" s="38"/>
      <c r="EE72" s="38"/>
      <c r="EF72" s="38"/>
      <c r="EG72" s="31"/>
      <c r="EH72" s="130"/>
      <c r="EI72" s="38"/>
      <c r="EJ72" s="38"/>
      <c r="EK72" s="38"/>
      <c r="EL72" s="31"/>
      <c r="EM72" s="131"/>
      <c r="EN72" s="132"/>
      <c r="EO72" s="132"/>
      <c r="EP72" s="132"/>
      <c r="EQ72" s="132"/>
      <c r="ER72" s="31"/>
      <c r="ES72" s="131"/>
      <c r="ET72" s="132"/>
      <c r="EU72" s="132"/>
      <c r="EV72" s="132"/>
      <c r="EW72" s="132"/>
    </row>
    <row r="73" spans="1:153" s="8" customFormat="1" ht="15" customHeight="1">
      <c r="A73"/>
      <c r="B73" s="129"/>
      <c r="C73" s="129"/>
      <c r="D73" s="10"/>
      <c r="E73" s="122"/>
      <c r="F73" s="122"/>
      <c r="G73" s="122"/>
      <c r="H73" s="122"/>
      <c r="I73" s="122"/>
      <c r="J73" s="10"/>
      <c r="K73" s="10"/>
      <c r="L73" s="122"/>
      <c r="M73" s="10"/>
      <c r="N73" s="10"/>
      <c r="O73" s="10"/>
      <c r="P73" s="10"/>
      <c r="Q73" s="122"/>
      <c r="R73" s="130"/>
      <c r="S73" s="38"/>
      <c r="T73" s="38"/>
      <c r="U73" s="38"/>
      <c r="V73" s="37"/>
      <c r="W73" s="130"/>
      <c r="X73" s="38"/>
      <c r="Y73" s="38"/>
      <c r="Z73" s="38"/>
      <c r="AA73" s="37"/>
      <c r="AB73" s="130"/>
      <c r="AC73" s="38"/>
      <c r="AD73" s="38"/>
      <c r="AE73" s="38"/>
      <c r="AF73" s="38"/>
      <c r="AG73" s="130"/>
      <c r="AH73" s="38"/>
      <c r="AI73" s="38"/>
      <c r="AJ73" s="38"/>
      <c r="AK73" s="37"/>
      <c r="AL73" s="130"/>
      <c r="AM73" s="38"/>
      <c r="AN73" s="38"/>
      <c r="AO73" s="38"/>
      <c r="AP73" s="38"/>
      <c r="AQ73" s="130"/>
      <c r="AR73" s="38"/>
      <c r="AS73" s="38"/>
      <c r="AT73" s="38"/>
      <c r="AU73" s="38"/>
      <c r="AZ73" s="38"/>
      <c r="BA73" s="130"/>
      <c r="BB73" s="38"/>
      <c r="BC73" s="38"/>
      <c r="BD73" s="38"/>
      <c r="BE73" s="38"/>
      <c r="BF73" s="130"/>
      <c r="BG73" s="38"/>
      <c r="BH73" s="38"/>
      <c r="BI73" s="38"/>
      <c r="BJ73" s="786"/>
      <c r="BK73" s="130"/>
      <c r="BL73" s="38"/>
      <c r="BM73" s="38"/>
      <c r="BN73" s="38"/>
      <c r="BO73" s="786"/>
      <c r="BP73" s="130"/>
      <c r="BQ73" s="38"/>
      <c r="BR73" s="38"/>
      <c r="BS73" s="38"/>
      <c r="BT73" s="786"/>
      <c r="BU73" s="130"/>
      <c r="BV73" s="38"/>
      <c r="BW73" s="38"/>
      <c r="BX73" s="38"/>
      <c r="BY73" s="31"/>
      <c r="BZ73" s="130"/>
      <c r="CA73" s="38"/>
      <c r="CB73" s="38"/>
      <c r="CC73" s="38"/>
      <c r="CD73" s="38"/>
      <c r="CE73" s="130"/>
      <c r="CF73" s="38"/>
      <c r="CG73" s="38"/>
      <c r="CH73" s="38"/>
      <c r="CI73" s="31"/>
      <c r="CO73" s="130"/>
      <c r="CP73" s="38"/>
      <c r="CQ73" s="38"/>
      <c r="CR73" s="38"/>
      <c r="CS73" s="31"/>
      <c r="CT73" s="130"/>
      <c r="CU73" s="38"/>
      <c r="CV73" s="38"/>
      <c r="CW73" s="38"/>
      <c r="CX73" s="31"/>
      <c r="CY73" s="130"/>
      <c r="CZ73" s="38"/>
      <c r="DA73" s="38"/>
      <c r="DB73" s="38"/>
      <c r="DC73" s="31"/>
      <c r="DD73" s="130"/>
      <c r="DE73" s="38"/>
      <c r="DF73" s="38"/>
      <c r="DG73" s="38"/>
      <c r="DH73" s="31"/>
      <c r="DI73" s="130"/>
      <c r="DJ73" s="38"/>
      <c r="DK73" s="38"/>
      <c r="DL73" s="38"/>
      <c r="DM73" s="31"/>
      <c r="DN73" s="130"/>
      <c r="DO73" s="38"/>
      <c r="DP73" s="38"/>
      <c r="DQ73" s="38"/>
      <c r="DR73" s="31"/>
      <c r="DS73" s="130"/>
      <c r="DT73" s="38"/>
      <c r="DU73" s="38"/>
      <c r="DV73" s="38"/>
      <c r="DW73" s="31"/>
      <c r="DX73" s="130"/>
      <c r="DY73" s="38"/>
      <c r="DZ73" s="38"/>
      <c r="EA73" s="38"/>
      <c r="EB73" s="31"/>
      <c r="EC73" s="130"/>
      <c r="ED73" s="38"/>
      <c r="EE73" s="38"/>
      <c r="EF73" s="38"/>
      <c r="EG73" s="31"/>
      <c r="EH73" s="130"/>
      <c r="EI73" s="38"/>
      <c r="EJ73" s="38"/>
      <c r="EK73" s="38"/>
      <c r="EL73" s="31"/>
      <c r="EM73" s="131"/>
      <c r="EN73" s="132"/>
      <c r="EO73" s="132"/>
      <c r="EP73" s="132"/>
      <c r="EQ73" s="132"/>
      <c r="ER73" s="31"/>
      <c r="ES73" s="131"/>
      <c r="ET73" s="132"/>
      <c r="EU73" s="132"/>
      <c r="EV73" s="132"/>
      <c r="EW73" s="132"/>
    </row>
    <row r="74" spans="1:153" s="8" customFormat="1" ht="15" customHeight="1">
      <c r="A74"/>
      <c r="B74" s="129"/>
      <c r="C74" s="129"/>
      <c r="D74" s="10"/>
      <c r="E74" s="122"/>
      <c r="F74" s="122"/>
      <c r="G74" s="122"/>
      <c r="H74" s="122"/>
      <c r="I74" s="122"/>
      <c r="J74" s="10"/>
      <c r="K74" s="10"/>
      <c r="L74" s="122"/>
      <c r="M74" s="10"/>
      <c r="N74" s="10"/>
      <c r="O74" s="10"/>
      <c r="P74" s="10"/>
      <c r="Q74" s="122"/>
      <c r="R74" s="130"/>
      <c r="S74" s="38"/>
      <c r="T74" s="38"/>
      <c r="U74" s="38"/>
      <c r="V74" s="37"/>
      <c r="W74" s="130"/>
      <c r="X74" s="38"/>
      <c r="Y74" s="38"/>
      <c r="Z74" s="38"/>
      <c r="AA74" s="37"/>
      <c r="AB74" s="130"/>
      <c r="AC74" s="38"/>
      <c r="AD74" s="38"/>
      <c r="AE74" s="38"/>
      <c r="AF74" s="38"/>
      <c r="AG74" s="130"/>
      <c r="AH74" s="38"/>
      <c r="AI74" s="38"/>
      <c r="AJ74" s="38"/>
      <c r="AK74" s="37"/>
      <c r="AL74" s="130"/>
      <c r="AM74" s="38"/>
      <c r="AN74" s="38"/>
      <c r="AO74" s="38"/>
      <c r="AP74" s="38"/>
      <c r="AQ74" s="130"/>
      <c r="AR74" s="38"/>
      <c r="AS74" s="38"/>
      <c r="AT74" s="38"/>
      <c r="AU74" s="38"/>
      <c r="AZ74" s="38"/>
      <c r="BA74" s="130"/>
      <c r="BB74" s="38"/>
      <c r="BC74" s="38"/>
      <c r="BD74" s="38"/>
      <c r="BE74" s="38"/>
      <c r="BF74" s="130"/>
      <c r="BG74" s="38"/>
      <c r="BH74" s="38"/>
      <c r="BI74" s="38"/>
      <c r="BJ74" s="786"/>
      <c r="BK74" s="130"/>
      <c r="BL74" s="38"/>
      <c r="BM74" s="38"/>
      <c r="BN74" s="38"/>
      <c r="BO74" s="786"/>
      <c r="BP74" s="130"/>
      <c r="BQ74" s="38"/>
      <c r="BR74" s="38"/>
      <c r="BS74" s="38"/>
      <c r="BT74" s="786"/>
      <c r="BU74" s="130"/>
      <c r="BV74" s="38"/>
      <c r="BW74" s="38"/>
      <c r="BX74" s="38"/>
      <c r="BY74" s="31"/>
      <c r="BZ74" s="130"/>
      <c r="CA74" s="38"/>
      <c r="CB74" s="38"/>
      <c r="CC74" s="38"/>
      <c r="CD74" s="38"/>
      <c r="CE74" s="130"/>
      <c r="CF74" s="38"/>
      <c r="CG74" s="38"/>
      <c r="CH74" s="38"/>
      <c r="CI74" s="31"/>
      <c r="CO74" s="130"/>
      <c r="CP74" s="38"/>
      <c r="CQ74" s="38"/>
      <c r="CR74" s="38"/>
      <c r="CS74" s="31"/>
      <c r="CT74" s="130"/>
      <c r="CU74" s="38"/>
      <c r="CV74" s="38"/>
      <c r="CW74" s="38"/>
      <c r="CX74" s="31"/>
      <c r="CY74" s="130"/>
      <c r="CZ74" s="38"/>
      <c r="DA74" s="38"/>
      <c r="DB74" s="38"/>
      <c r="DC74" s="31"/>
      <c r="DD74" s="130"/>
      <c r="DE74" s="38"/>
      <c r="DF74" s="38"/>
      <c r="DG74" s="38"/>
      <c r="DH74" s="31"/>
      <c r="DI74" s="130"/>
      <c r="DJ74" s="38"/>
      <c r="DK74" s="38"/>
      <c r="DL74" s="38"/>
      <c r="DM74" s="31"/>
      <c r="DN74" s="130"/>
      <c r="DO74" s="38"/>
      <c r="DP74" s="38"/>
      <c r="DQ74" s="38"/>
      <c r="DR74" s="31"/>
      <c r="DS74" s="130"/>
      <c r="DT74" s="38"/>
      <c r="DU74" s="38"/>
      <c r="DV74" s="38"/>
      <c r="DW74" s="31"/>
      <c r="DX74" s="130"/>
      <c r="DY74" s="38"/>
      <c r="DZ74" s="38"/>
      <c r="EA74" s="38"/>
      <c r="EB74" s="31"/>
      <c r="EC74" s="130"/>
      <c r="ED74" s="38"/>
      <c r="EE74" s="38"/>
      <c r="EF74" s="38"/>
      <c r="EG74" s="31"/>
      <c r="EH74" s="130"/>
      <c r="EI74" s="38"/>
      <c r="EJ74" s="38"/>
      <c r="EK74" s="38"/>
      <c r="EL74" s="31"/>
      <c r="EM74" s="131"/>
      <c r="EN74" s="132"/>
      <c r="EO74" s="132"/>
      <c r="EP74" s="132"/>
      <c r="EQ74" s="132"/>
      <c r="ER74" s="31"/>
      <c r="ES74" s="131"/>
      <c r="ET74" s="132"/>
      <c r="EU74" s="132"/>
      <c r="EV74" s="132"/>
      <c r="EW74" s="132"/>
    </row>
    <row r="75" spans="1:153" s="8" customFormat="1" ht="15" customHeight="1">
      <c r="A75"/>
      <c r="B75" s="129"/>
      <c r="C75" s="129"/>
      <c r="D75" s="10"/>
      <c r="E75" s="122"/>
      <c r="F75" s="122"/>
      <c r="G75" s="122"/>
      <c r="H75" s="122"/>
      <c r="I75" s="122"/>
      <c r="J75" s="10"/>
      <c r="K75" s="10"/>
      <c r="L75" s="122"/>
      <c r="M75" s="10"/>
      <c r="N75" s="10"/>
      <c r="O75" s="10"/>
      <c r="P75" s="10"/>
      <c r="Q75" s="122"/>
      <c r="R75" s="130"/>
      <c r="S75" s="38"/>
      <c r="T75" s="38"/>
      <c r="U75" s="38"/>
      <c r="V75" s="37"/>
      <c r="W75" s="130"/>
      <c r="X75" s="38"/>
      <c r="Y75" s="38"/>
      <c r="Z75" s="38"/>
      <c r="AA75" s="37"/>
      <c r="AB75" s="130"/>
      <c r="AC75" s="38"/>
      <c r="AD75" s="38"/>
      <c r="AE75" s="38"/>
      <c r="AF75" s="38"/>
      <c r="AG75" s="130"/>
      <c r="AH75" s="38"/>
      <c r="AI75" s="38"/>
      <c r="AJ75" s="38"/>
      <c r="AK75" s="37"/>
      <c r="AL75" s="130"/>
      <c r="AM75" s="38"/>
      <c r="AN75" s="38"/>
      <c r="AO75" s="38"/>
      <c r="AP75" s="38"/>
      <c r="AQ75" s="130"/>
      <c r="AR75" s="38"/>
      <c r="AS75" s="38"/>
      <c r="AT75" s="38"/>
      <c r="AU75" s="38"/>
      <c r="AZ75" s="38"/>
      <c r="BA75" s="130"/>
      <c r="BB75" s="38"/>
      <c r="BC75" s="38"/>
      <c r="BD75" s="38"/>
      <c r="BE75" s="38"/>
      <c r="BF75" s="130"/>
      <c r="BG75" s="38"/>
      <c r="BH75" s="38"/>
      <c r="BI75" s="38"/>
      <c r="BJ75" s="786"/>
      <c r="BK75" s="130"/>
      <c r="BL75" s="38"/>
      <c r="BM75" s="38"/>
      <c r="BN75" s="38"/>
      <c r="BO75" s="786"/>
      <c r="BP75" s="130"/>
      <c r="BQ75" s="38"/>
      <c r="BR75" s="38"/>
      <c r="BS75" s="38"/>
      <c r="BT75" s="786"/>
      <c r="BU75" s="130"/>
      <c r="BV75" s="38"/>
      <c r="BW75" s="38"/>
      <c r="BX75" s="38"/>
      <c r="BY75" s="31"/>
      <c r="BZ75" s="130"/>
      <c r="CA75" s="38"/>
      <c r="CB75" s="38"/>
      <c r="CC75" s="38"/>
      <c r="CD75" s="38"/>
      <c r="CE75" s="130"/>
      <c r="CF75" s="38"/>
      <c r="CG75" s="38"/>
      <c r="CH75" s="38"/>
      <c r="CI75" s="31"/>
      <c r="CO75" s="130"/>
      <c r="CP75" s="38"/>
      <c r="CQ75" s="38"/>
      <c r="CR75" s="38"/>
      <c r="CS75" s="31"/>
      <c r="CT75" s="130"/>
      <c r="CU75" s="38"/>
      <c r="CV75" s="38"/>
      <c r="CW75" s="38"/>
      <c r="CX75" s="31"/>
      <c r="CY75" s="130"/>
      <c r="CZ75" s="38"/>
      <c r="DA75" s="38"/>
      <c r="DB75" s="38"/>
      <c r="DC75" s="31"/>
      <c r="DD75" s="130"/>
      <c r="DE75" s="38"/>
      <c r="DF75" s="38"/>
      <c r="DG75" s="38"/>
      <c r="DH75" s="31"/>
      <c r="DI75" s="130"/>
      <c r="DJ75" s="38"/>
      <c r="DK75" s="38"/>
      <c r="DL75" s="38"/>
      <c r="DM75" s="31"/>
      <c r="DN75" s="130"/>
      <c r="DO75" s="38"/>
      <c r="DP75" s="38"/>
      <c r="DQ75" s="38"/>
      <c r="DR75" s="31"/>
      <c r="DS75" s="130"/>
      <c r="DT75" s="38"/>
      <c r="DU75" s="38"/>
      <c r="DV75" s="38"/>
      <c r="DW75" s="31"/>
      <c r="DX75" s="130"/>
      <c r="DY75" s="38"/>
      <c r="DZ75" s="38"/>
      <c r="EA75" s="38"/>
      <c r="EB75" s="31"/>
      <c r="EC75" s="130"/>
      <c r="ED75" s="38"/>
      <c r="EE75" s="38"/>
      <c r="EF75" s="38"/>
      <c r="EG75" s="31"/>
      <c r="EH75" s="130"/>
      <c r="EI75" s="38"/>
      <c r="EJ75" s="38"/>
      <c r="EK75" s="38"/>
      <c r="EL75" s="31"/>
      <c r="EM75" s="131"/>
      <c r="EN75" s="132"/>
      <c r="EO75" s="132"/>
      <c r="EP75" s="132"/>
      <c r="EQ75" s="132"/>
      <c r="ER75" s="31"/>
      <c r="ES75" s="131"/>
      <c r="ET75" s="132"/>
      <c r="EU75" s="132"/>
      <c r="EV75" s="132"/>
      <c r="EW75" s="132"/>
    </row>
    <row r="76" spans="1:153" s="8" customFormat="1" ht="15" customHeight="1">
      <c r="A76"/>
      <c r="B76" s="129"/>
      <c r="C76" s="129"/>
      <c r="D76" s="10"/>
      <c r="E76" s="122"/>
      <c r="F76" s="122"/>
      <c r="G76" s="122"/>
      <c r="H76" s="122"/>
      <c r="I76" s="122"/>
      <c r="J76" s="10"/>
      <c r="K76" s="10"/>
      <c r="L76" s="122"/>
      <c r="M76" s="10"/>
      <c r="N76" s="10"/>
      <c r="O76" s="10"/>
      <c r="P76" s="10"/>
      <c r="Q76" s="122"/>
      <c r="R76" s="130"/>
      <c r="S76" s="38"/>
      <c r="T76" s="38"/>
      <c r="U76" s="38"/>
      <c r="V76" s="37"/>
      <c r="W76" s="130"/>
      <c r="X76" s="38"/>
      <c r="Y76" s="38"/>
      <c r="Z76" s="38"/>
      <c r="AA76" s="37"/>
      <c r="AB76" s="130"/>
      <c r="AC76" s="38"/>
      <c r="AD76" s="38"/>
      <c r="AE76" s="38"/>
      <c r="AF76" s="38"/>
      <c r="AG76" s="130"/>
      <c r="AH76" s="38"/>
      <c r="AI76" s="38"/>
      <c r="AJ76" s="38"/>
      <c r="AK76" s="37"/>
      <c r="AL76" s="130"/>
      <c r="AM76" s="38"/>
      <c r="AN76" s="38"/>
      <c r="AO76" s="38"/>
      <c r="AP76" s="38"/>
      <c r="AQ76" s="130"/>
      <c r="AR76" s="38"/>
      <c r="AS76" s="38"/>
      <c r="AT76" s="38"/>
      <c r="AU76" s="38"/>
      <c r="AZ76" s="38"/>
      <c r="BA76" s="130"/>
      <c r="BB76" s="38"/>
      <c r="BC76" s="38"/>
      <c r="BD76" s="38"/>
      <c r="BE76" s="38"/>
      <c r="BF76" s="130"/>
      <c r="BG76" s="38"/>
      <c r="BH76" s="38"/>
      <c r="BI76" s="38"/>
      <c r="BJ76" s="786"/>
      <c r="BK76" s="130"/>
      <c r="BL76" s="38"/>
      <c r="BM76" s="38"/>
      <c r="BN76" s="38"/>
      <c r="BO76" s="786"/>
      <c r="BP76" s="130"/>
      <c r="BQ76" s="38"/>
      <c r="BR76" s="38"/>
      <c r="BS76" s="38"/>
      <c r="BT76" s="786"/>
      <c r="BU76" s="130"/>
      <c r="BV76" s="38"/>
      <c r="BW76" s="38"/>
      <c r="BX76" s="38"/>
      <c r="BY76" s="31"/>
      <c r="BZ76" s="130"/>
      <c r="CA76" s="38"/>
      <c r="CB76" s="38"/>
      <c r="CC76" s="38"/>
      <c r="CD76" s="38"/>
      <c r="CE76" s="130"/>
      <c r="CF76" s="38"/>
      <c r="CG76" s="38"/>
      <c r="CH76" s="38"/>
      <c r="CI76" s="31"/>
      <c r="CO76" s="130"/>
      <c r="CP76" s="38"/>
      <c r="CQ76" s="38"/>
      <c r="CR76" s="38"/>
      <c r="CS76" s="31"/>
      <c r="CT76" s="130"/>
      <c r="CU76" s="38"/>
      <c r="CV76" s="38"/>
      <c r="CW76" s="38"/>
      <c r="CX76" s="31"/>
      <c r="CY76" s="130"/>
      <c r="CZ76" s="38"/>
      <c r="DA76" s="38"/>
      <c r="DB76" s="38"/>
      <c r="DC76" s="31"/>
      <c r="DD76" s="130"/>
      <c r="DE76" s="38"/>
      <c r="DF76" s="38"/>
      <c r="DG76" s="38"/>
      <c r="DH76" s="31"/>
      <c r="DI76" s="130"/>
      <c r="DJ76" s="38"/>
      <c r="DK76" s="38"/>
      <c r="DL76" s="38"/>
      <c r="DM76" s="31"/>
      <c r="DN76" s="130"/>
      <c r="DO76" s="38"/>
      <c r="DP76" s="38"/>
      <c r="DQ76" s="38"/>
      <c r="DR76" s="31"/>
      <c r="DS76" s="130"/>
      <c r="DT76" s="38"/>
      <c r="DU76" s="38"/>
      <c r="DV76" s="38"/>
      <c r="DW76" s="31"/>
      <c r="DX76" s="130"/>
      <c r="DY76" s="38"/>
      <c r="DZ76" s="38"/>
      <c r="EA76" s="38"/>
      <c r="EB76" s="31"/>
      <c r="EC76" s="130"/>
      <c r="ED76" s="38"/>
      <c r="EE76" s="38"/>
      <c r="EF76" s="38"/>
      <c r="EG76" s="31"/>
      <c r="EH76" s="130"/>
      <c r="EI76" s="38"/>
      <c r="EJ76" s="38"/>
      <c r="EK76" s="38"/>
      <c r="EL76" s="31"/>
      <c r="EM76" s="131"/>
      <c r="EN76" s="132"/>
      <c r="EO76" s="132"/>
      <c r="EP76" s="132"/>
      <c r="EQ76" s="132"/>
      <c r="ER76" s="31"/>
      <c r="ES76" s="131"/>
      <c r="ET76" s="132"/>
      <c r="EU76" s="132"/>
      <c r="EV76" s="132"/>
      <c r="EW76" s="132"/>
    </row>
    <row r="77" spans="1:153" s="8" customFormat="1" ht="15" customHeight="1">
      <c r="A77"/>
      <c r="B77" s="129"/>
      <c r="C77" s="129"/>
      <c r="D77" s="10"/>
      <c r="E77" s="122"/>
      <c r="F77" s="122"/>
      <c r="G77" s="122"/>
      <c r="H77" s="122"/>
      <c r="I77" s="122"/>
      <c r="J77" s="10"/>
      <c r="K77" s="10"/>
      <c r="L77" s="122"/>
      <c r="M77" s="10"/>
      <c r="N77" s="10"/>
      <c r="O77" s="10"/>
      <c r="P77" s="10"/>
      <c r="Q77" s="122"/>
      <c r="R77" s="130"/>
      <c r="S77" s="38"/>
      <c r="T77" s="38"/>
      <c r="U77" s="38"/>
      <c r="V77" s="37"/>
      <c r="W77" s="130"/>
      <c r="X77" s="38"/>
      <c r="Y77" s="38"/>
      <c r="Z77" s="38"/>
      <c r="AA77" s="37"/>
      <c r="AB77" s="130"/>
      <c r="AC77" s="38"/>
      <c r="AD77" s="38"/>
      <c r="AE77" s="38"/>
      <c r="AF77" s="38"/>
      <c r="AG77" s="130"/>
      <c r="AH77" s="38"/>
      <c r="AI77" s="38"/>
      <c r="AJ77" s="38"/>
      <c r="AK77" s="37"/>
      <c r="AL77" s="130"/>
      <c r="AM77" s="38"/>
      <c r="AN77" s="38"/>
      <c r="AO77" s="38"/>
      <c r="AP77" s="38"/>
      <c r="AQ77" s="130"/>
      <c r="AR77" s="38"/>
      <c r="AS77" s="38"/>
      <c r="AT77" s="38"/>
      <c r="AU77" s="38"/>
      <c r="AZ77" s="38"/>
      <c r="BA77" s="130"/>
      <c r="BB77" s="38"/>
      <c r="BC77" s="38"/>
      <c r="BD77" s="38"/>
      <c r="BE77" s="38"/>
      <c r="BF77" s="130"/>
      <c r="BG77" s="38"/>
      <c r="BH77" s="38"/>
      <c r="BI77" s="38"/>
      <c r="BJ77" s="786"/>
      <c r="BK77" s="130"/>
      <c r="BL77" s="38"/>
      <c r="BM77" s="38"/>
      <c r="BN77" s="38"/>
      <c r="BO77" s="786"/>
      <c r="BP77" s="130"/>
      <c r="BQ77" s="38"/>
      <c r="BR77" s="38"/>
      <c r="BS77" s="38"/>
      <c r="BT77" s="786"/>
      <c r="BU77" s="130"/>
      <c r="BV77" s="38"/>
      <c r="BW77" s="38"/>
      <c r="BX77" s="38"/>
      <c r="BY77" s="31"/>
      <c r="BZ77" s="130"/>
      <c r="CA77" s="38"/>
      <c r="CB77" s="38"/>
      <c r="CC77" s="38"/>
      <c r="CD77" s="38"/>
      <c r="CE77" s="130"/>
      <c r="CF77" s="38"/>
      <c r="CG77" s="38"/>
      <c r="CH77" s="38"/>
      <c r="CI77" s="31"/>
      <c r="CO77" s="130"/>
      <c r="CP77" s="38"/>
      <c r="CQ77" s="38"/>
      <c r="CR77" s="38"/>
      <c r="CS77" s="31"/>
      <c r="CT77" s="130"/>
      <c r="CU77" s="38"/>
      <c r="CV77" s="38"/>
      <c r="CW77" s="38"/>
      <c r="CX77" s="31"/>
      <c r="CY77" s="130"/>
      <c r="CZ77" s="38"/>
      <c r="DA77" s="38"/>
      <c r="DB77" s="38"/>
      <c r="DC77" s="31"/>
      <c r="DD77" s="130"/>
      <c r="DE77" s="38"/>
      <c r="DF77" s="38"/>
      <c r="DG77" s="38"/>
      <c r="DH77" s="31"/>
      <c r="DI77" s="130"/>
      <c r="DJ77" s="38"/>
      <c r="DK77" s="38"/>
      <c r="DL77" s="38"/>
      <c r="DM77" s="31"/>
      <c r="DN77" s="130"/>
      <c r="DO77" s="38"/>
      <c r="DP77" s="38"/>
      <c r="DQ77" s="38"/>
      <c r="DR77" s="31"/>
      <c r="DS77" s="130"/>
      <c r="DT77" s="38"/>
      <c r="DU77" s="38"/>
      <c r="DV77" s="38"/>
      <c r="DW77" s="31"/>
      <c r="DX77" s="130"/>
      <c r="DY77" s="38"/>
      <c r="DZ77" s="38"/>
      <c r="EA77" s="38"/>
      <c r="EB77" s="31"/>
      <c r="EC77" s="130"/>
      <c r="ED77" s="38"/>
      <c r="EE77" s="38"/>
      <c r="EF77" s="38"/>
      <c r="EG77" s="31"/>
      <c r="EH77" s="130"/>
      <c r="EI77" s="38"/>
      <c r="EJ77" s="38"/>
      <c r="EK77" s="38"/>
      <c r="EL77" s="31"/>
      <c r="EM77" s="131"/>
      <c r="EN77" s="132"/>
      <c r="EO77" s="132"/>
      <c r="EP77" s="132"/>
      <c r="EQ77" s="132"/>
      <c r="ER77" s="31"/>
      <c r="ES77" s="131"/>
      <c r="ET77" s="132"/>
      <c r="EU77" s="132"/>
      <c r="EV77" s="132"/>
      <c r="EW77" s="132"/>
    </row>
    <row r="78" spans="1:153" s="8" customFormat="1" ht="15" customHeight="1">
      <c r="A78"/>
      <c r="B78" s="129"/>
      <c r="C78" s="129"/>
      <c r="D78" s="10"/>
      <c r="E78" s="122"/>
      <c r="F78" s="122"/>
      <c r="G78" s="122"/>
      <c r="H78" s="122"/>
      <c r="I78" s="122"/>
      <c r="J78" s="10"/>
      <c r="K78" s="10"/>
      <c r="L78" s="122"/>
      <c r="M78" s="10"/>
      <c r="N78" s="10"/>
      <c r="O78" s="10"/>
      <c r="P78" s="10"/>
      <c r="Q78" s="122"/>
      <c r="R78" s="130"/>
      <c r="S78" s="38"/>
      <c r="T78" s="38"/>
      <c r="U78" s="38"/>
      <c r="V78" s="37"/>
      <c r="W78" s="130"/>
      <c r="X78" s="38"/>
      <c r="Y78" s="38"/>
      <c r="Z78" s="38"/>
      <c r="AA78" s="37"/>
      <c r="AB78" s="130"/>
      <c r="AC78" s="38"/>
      <c r="AD78" s="38"/>
      <c r="AE78" s="38"/>
      <c r="AF78" s="38"/>
      <c r="AG78" s="130"/>
      <c r="AH78" s="38"/>
      <c r="AI78" s="38"/>
      <c r="AJ78" s="38"/>
      <c r="AK78" s="37"/>
      <c r="AL78" s="130"/>
      <c r="AM78" s="38"/>
      <c r="AN78" s="38"/>
      <c r="AO78" s="38"/>
      <c r="AP78" s="38"/>
      <c r="AQ78" s="130"/>
      <c r="AR78" s="38"/>
      <c r="AS78" s="38"/>
      <c r="AT78" s="38"/>
      <c r="AU78" s="38"/>
      <c r="AZ78" s="38"/>
      <c r="BA78" s="130"/>
      <c r="BB78" s="38"/>
      <c r="BC78" s="38"/>
      <c r="BD78" s="38"/>
      <c r="BE78" s="38"/>
      <c r="BF78" s="130"/>
      <c r="BG78" s="38"/>
      <c r="BH78" s="38"/>
      <c r="BI78" s="38"/>
      <c r="BJ78" s="786"/>
      <c r="BK78" s="130"/>
      <c r="BL78" s="38"/>
      <c r="BM78" s="38"/>
      <c r="BN78" s="38"/>
      <c r="BO78" s="786"/>
      <c r="BP78" s="130"/>
      <c r="BQ78" s="38"/>
      <c r="BR78" s="38"/>
      <c r="BS78" s="38"/>
      <c r="BT78" s="786"/>
      <c r="BU78" s="130"/>
      <c r="BV78" s="38"/>
      <c r="BW78" s="38"/>
      <c r="BX78" s="38"/>
      <c r="BY78" s="31"/>
      <c r="BZ78" s="130"/>
      <c r="CA78" s="38"/>
      <c r="CB78" s="38"/>
      <c r="CC78" s="38"/>
      <c r="CD78" s="38"/>
      <c r="CE78" s="130"/>
      <c r="CF78" s="38"/>
      <c r="CG78" s="38"/>
      <c r="CH78" s="38"/>
      <c r="CI78" s="31"/>
      <c r="CO78" s="130"/>
      <c r="CP78" s="38"/>
      <c r="CQ78" s="38"/>
      <c r="CR78" s="38"/>
      <c r="CS78" s="31"/>
      <c r="CT78" s="130"/>
      <c r="CU78" s="38"/>
      <c r="CV78" s="38"/>
      <c r="CW78" s="38"/>
      <c r="CX78" s="31"/>
      <c r="CY78" s="130"/>
      <c r="CZ78" s="38"/>
      <c r="DA78" s="38"/>
      <c r="DB78" s="38"/>
      <c r="DC78" s="31"/>
      <c r="DD78" s="130"/>
      <c r="DE78" s="38"/>
      <c r="DF78" s="38"/>
      <c r="DG78" s="38"/>
      <c r="DH78" s="31"/>
      <c r="DI78" s="130"/>
      <c r="DJ78" s="38"/>
      <c r="DK78" s="38"/>
      <c r="DL78" s="38"/>
      <c r="DM78" s="31"/>
      <c r="DN78" s="130"/>
      <c r="DO78" s="38"/>
      <c r="DP78" s="38"/>
      <c r="DQ78" s="38"/>
      <c r="DR78" s="31"/>
      <c r="DS78" s="130"/>
      <c r="DT78" s="38"/>
      <c r="DU78" s="38"/>
      <c r="DV78" s="38"/>
      <c r="DW78" s="31"/>
      <c r="DX78" s="130"/>
      <c r="DY78" s="38"/>
      <c r="DZ78" s="38"/>
      <c r="EA78" s="38"/>
      <c r="EB78" s="31"/>
      <c r="EC78" s="130"/>
      <c r="ED78" s="38"/>
      <c r="EE78" s="38"/>
      <c r="EF78" s="38"/>
      <c r="EG78" s="31"/>
      <c r="EH78" s="130"/>
      <c r="EI78" s="38"/>
      <c r="EJ78" s="38"/>
      <c r="EK78" s="38"/>
      <c r="EL78" s="31"/>
      <c r="EM78" s="131"/>
      <c r="EN78" s="132"/>
      <c r="EO78" s="132"/>
      <c r="EP78" s="132"/>
      <c r="EQ78" s="132"/>
      <c r="ER78" s="31"/>
      <c r="ES78" s="131"/>
      <c r="ET78" s="132"/>
      <c r="EU78" s="132"/>
      <c r="EV78" s="132"/>
      <c r="EW78" s="132"/>
    </row>
    <row r="79" spans="1:153" s="8" customFormat="1" ht="15" customHeight="1">
      <c r="A79"/>
      <c r="B79" s="129"/>
      <c r="C79" s="129"/>
      <c r="D79" s="10"/>
      <c r="E79" s="122"/>
      <c r="F79" s="122"/>
      <c r="G79" s="122"/>
      <c r="H79" s="122"/>
      <c r="I79" s="122"/>
      <c r="J79" s="10"/>
      <c r="K79" s="10"/>
      <c r="L79" s="122"/>
      <c r="M79" s="10"/>
      <c r="N79" s="10"/>
      <c r="O79" s="10"/>
      <c r="P79" s="10"/>
      <c r="Q79" s="122"/>
      <c r="R79" s="130"/>
      <c r="S79" s="38"/>
      <c r="T79" s="38"/>
      <c r="U79" s="38"/>
      <c r="V79" s="37"/>
      <c r="W79" s="130"/>
      <c r="X79" s="38"/>
      <c r="Y79" s="38"/>
      <c r="Z79" s="38"/>
      <c r="AA79" s="37"/>
      <c r="AB79" s="130"/>
      <c r="AC79" s="38"/>
      <c r="AD79" s="38"/>
      <c r="AE79" s="38"/>
      <c r="AF79" s="38"/>
      <c r="AG79" s="130"/>
      <c r="AH79" s="38"/>
      <c r="AI79" s="38"/>
      <c r="AJ79" s="38"/>
      <c r="AK79" s="37"/>
      <c r="AL79" s="130"/>
      <c r="AM79" s="38"/>
      <c r="AN79" s="38"/>
      <c r="AO79" s="38"/>
      <c r="AP79" s="38"/>
      <c r="AQ79" s="130"/>
      <c r="AR79" s="38"/>
      <c r="AS79" s="38"/>
      <c r="AT79" s="38"/>
      <c r="AU79" s="38"/>
      <c r="AZ79" s="38"/>
      <c r="BA79" s="130"/>
      <c r="BB79" s="38"/>
      <c r="BC79" s="38"/>
      <c r="BD79" s="38"/>
      <c r="BE79" s="38"/>
      <c r="BF79" s="130"/>
      <c r="BG79" s="38"/>
      <c r="BH79" s="38"/>
      <c r="BI79" s="38"/>
      <c r="BJ79" s="786"/>
      <c r="BK79" s="130"/>
      <c r="BL79" s="38"/>
      <c r="BM79" s="38"/>
      <c r="BN79" s="38"/>
      <c r="BO79" s="786"/>
      <c r="BP79" s="130"/>
      <c r="BQ79" s="38"/>
      <c r="BR79" s="38"/>
      <c r="BS79" s="38"/>
      <c r="BT79" s="786"/>
      <c r="BU79" s="130"/>
      <c r="BV79" s="38"/>
      <c r="BW79" s="38"/>
      <c r="BX79" s="38"/>
      <c r="BY79" s="31"/>
      <c r="BZ79" s="130"/>
      <c r="CA79" s="38"/>
      <c r="CB79" s="38"/>
      <c r="CC79" s="38"/>
      <c r="CD79" s="38"/>
      <c r="CE79" s="130"/>
      <c r="CF79" s="38"/>
      <c r="CG79" s="38"/>
      <c r="CH79" s="38"/>
      <c r="CI79" s="31"/>
      <c r="CO79" s="130"/>
      <c r="CP79" s="38"/>
      <c r="CQ79" s="38"/>
      <c r="CR79" s="38"/>
      <c r="CS79" s="31"/>
      <c r="CT79" s="130"/>
      <c r="CU79" s="38"/>
      <c r="CV79" s="38"/>
      <c r="CW79" s="38"/>
      <c r="CX79" s="31"/>
      <c r="CY79" s="130"/>
      <c r="CZ79" s="38"/>
      <c r="DA79" s="38"/>
      <c r="DB79" s="38"/>
      <c r="DC79" s="31"/>
      <c r="DD79" s="130"/>
      <c r="DE79" s="38"/>
      <c r="DF79" s="38"/>
      <c r="DG79" s="38"/>
      <c r="DH79" s="31"/>
      <c r="DI79" s="130"/>
      <c r="DJ79" s="38"/>
      <c r="DK79" s="38"/>
      <c r="DL79" s="38"/>
      <c r="DM79" s="31"/>
      <c r="DN79" s="130"/>
      <c r="DO79" s="38"/>
      <c r="DP79" s="38"/>
      <c r="DQ79" s="38"/>
      <c r="DR79" s="31"/>
      <c r="DS79" s="130"/>
      <c r="DT79" s="38"/>
      <c r="DU79" s="38"/>
      <c r="DV79" s="38"/>
      <c r="DW79" s="31"/>
      <c r="DX79" s="130"/>
      <c r="DY79" s="38"/>
      <c r="DZ79" s="38"/>
      <c r="EA79" s="38"/>
      <c r="EB79" s="31"/>
      <c r="EC79" s="130"/>
      <c r="ED79" s="38"/>
      <c r="EE79" s="38"/>
      <c r="EF79" s="38"/>
      <c r="EG79" s="31"/>
      <c r="EH79" s="130"/>
      <c r="EI79" s="38"/>
      <c r="EJ79" s="38"/>
      <c r="EK79" s="38"/>
      <c r="EL79" s="31"/>
      <c r="EM79" s="131"/>
      <c r="EN79" s="132"/>
      <c r="EO79" s="132"/>
      <c r="EP79" s="132"/>
      <c r="EQ79" s="132"/>
      <c r="ER79" s="31"/>
      <c r="ES79" s="131"/>
      <c r="ET79" s="132"/>
      <c r="EU79" s="132"/>
      <c r="EV79" s="132"/>
      <c r="EW79" s="132"/>
    </row>
    <row r="80" spans="1:153" s="8" customFormat="1" ht="15" customHeight="1">
      <c r="A80"/>
      <c r="B80" s="129"/>
      <c r="C80" s="129"/>
      <c r="D80" s="10"/>
      <c r="E80" s="122"/>
      <c r="F80" s="122"/>
      <c r="G80" s="122"/>
      <c r="H80" s="122"/>
      <c r="I80" s="122"/>
      <c r="J80" s="10"/>
      <c r="K80" s="10"/>
      <c r="L80" s="122"/>
      <c r="M80" s="10"/>
      <c r="N80" s="10"/>
      <c r="O80" s="10"/>
      <c r="P80" s="10"/>
      <c r="Q80" s="122"/>
      <c r="R80" s="130"/>
      <c r="S80" s="38"/>
      <c r="T80" s="38"/>
      <c r="U80" s="38"/>
      <c r="V80" s="37"/>
      <c r="W80" s="130"/>
      <c r="X80" s="38"/>
      <c r="Y80" s="38"/>
      <c r="Z80" s="38"/>
      <c r="AA80" s="37"/>
      <c r="AB80" s="130"/>
      <c r="AC80" s="38"/>
      <c r="AD80" s="38"/>
      <c r="AE80" s="38"/>
      <c r="AF80" s="38"/>
      <c r="AG80" s="130"/>
      <c r="AH80" s="38"/>
      <c r="AI80" s="38"/>
      <c r="AJ80" s="38"/>
      <c r="AK80" s="37"/>
      <c r="AL80" s="130"/>
      <c r="AM80" s="38"/>
      <c r="AN80" s="38"/>
      <c r="AO80" s="38"/>
      <c r="AP80" s="38"/>
      <c r="AQ80" s="130"/>
      <c r="AR80" s="38"/>
      <c r="AS80" s="38"/>
      <c r="AT80" s="38"/>
      <c r="AU80" s="38"/>
      <c r="AZ80" s="38"/>
      <c r="BA80" s="130"/>
      <c r="BB80" s="38"/>
      <c r="BC80" s="38"/>
      <c r="BD80" s="38"/>
      <c r="BE80" s="38"/>
      <c r="BF80" s="130"/>
      <c r="BG80" s="38"/>
      <c r="BH80" s="38"/>
      <c r="BI80" s="38"/>
      <c r="BJ80" s="786"/>
      <c r="BK80" s="130"/>
      <c r="BL80" s="38"/>
      <c r="BM80" s="38"/>
      <c r="BN80" s="38"/>
      <c r="BO80" s="786"/>
      <c r="BP80" s="130"/>
      <c r="BQ80" s="38"/>
      <c r="BR80" s="38"/>
      <c r="BS80" s="38"/>
      <c r="BT80" s="786"/>
      <c r="BU80" s="130"/>
      <c r="BV80" s="38"/>
      <c r="BW80" s="38"/>
      <c r="BX80" s="38"/>
      <c r="BY80" s="31"/>
      <c r="BZ80" s="130"/>
      <c r="CA80" s="38"/>
      <c r="CB80" s="38"/>
      <c r="CC80" s="38"/>
      <c r="CD80" s="38"/>
      <c r="CE80" s="130"/>
      <c r="CF80" s="38"/>
      <c r="CG80" s="38"/>
      <c r="CH80" s="38"/>
      <c r="CI80" s="31"/>
      <c r="CO80" s="130"/>
      <c r="CP80" s="38"/>
      <c r="CQ80" s="38"/>
      <c r="CR80" s="38"/>
      <c r="CS80" s="31"/>
      <c r="CT80" s="130"/>
      <c r="CU80" s="38"/>
      <c r="CV80" s="38"/>
      <c r="CW80" s="38"/>
      <c r="CX80" s="31"/>
      <c r="CY80" s="130"/>
      <c r="CZ80" s="38"/>
      <c r="DA80" s="38"/>
      <c r="DB80" s="38"/>
      <c r="DC80" s="31"/>
      <c r="DD80" s="130"/>
      <c r="DE80" s="38"/>
      <c r="DF80" s="38"/>
      <c r="DG80" s="38"/>
      <c r="DH80" s="31"/>
      <c r="DI80" s="130"/>
      <c r="DJ80" s="38"/>
      <c r="DK80" s="38"/>
      <c r="DL80" s="38"/>
      <c r="DM80" s="31"/>
      <c r="DN80" s="130"/>
      <c r="DO80" s="38"/>
      <c r="DP80" s="38"/>
      <c r="DQ80" s="38"/>
      <c r="DR80" s="31"/>
      <c r="DS80" s="130"/>
      <c r="DT80" s="38"/>
      <c r="DU80" s="38"/>
      <c r="DV80" s="38"/>
      <c r="DW80" s="31"/>
      <c r="DX80" s="130"/>
      <c r="DY80" s="38"/>
      <c r="DZ80" s="38"/>
      <c r="EA80" s="38"/>
      <c r="EB80" s="31"/>
      <c r="EC80" s="130"/>
      <c r="ED80" s="38"/>
      <c r="EE80" s="38"/>
      <c r="EF80" s="38"/>
      <c r="EG80" s="31"/>
      <c r="EH80" s="130"/>
      <c r="EI80" s="38"/>
      <c r="EJ80" s="38"/>
      <c r="EK80" s="38"/>
      <c r="EL80" s="31"/>
      <c r="EM80" s="131"/>
      <c r="EN80" s="132"/>
      <c r="EO80" s="132"/>
      <c r="EP80" s="132"/>
      <c r="EQ80" s="132"/>
      <c r="ER80" s="31"/>
      <c r="ES80" s="131"/>
      <c r="ET80" s="132"/>
      <c r="EU80" s="132"/>
      <c r="EV80" s="132"/>
      <c r="EW80" s="132"/>
    </row>
    <row r="81" spans="1:153" s="8" customFormat="1" ht="15" customHeight="1">
      <c r="A81"/>
      <c r="B81" s="129"/>
      <c r="C81" s="129"/>
      <c r="D81" s="10"/>
      <c r="E81" s="122"/>
      <c r="F81" s="122"/>
      <c r="G81" s="122"/>
      <c r="H81" s="122"/>
      <c r="I81" s="122"/>
      <c r="J81" s="10"/>
      <c r="K81" s="10"/>
      <c r="L81" s="122"/>
      <c r="M81" s="10"/>
      <c r="N81" s="10"/>
      <c r="O81" s="10"/>
      <c r="P81" s="10"/>
      <c r="Q81" s="122"/>
      <c r="R81" s="130"/>
      <c r="S81" s="38"/>
      <c r="T81" s="38"/>
      <c r="U81" s="38"/>
      <c r="V81" s="37"/>
      <c r="W81" s="130"/>
      <c r="X81" s="38"/>
      <c r="Y81" s="38"/>
      <c r="Z81" s="38"/>
      <c r="AA81" s="37"/>
      <c r="AB81" s="130"/>
      <c r="AC81" s="38"/>
      <c r="AD81" s="38"/>
      <c r="AE81" s="38"/>
      <c r="AF81" s="38"/>
      <c r="AG81" s="130"/>
      <c r="AH81" s="38"/>
      <c r="AI81" s="38"/>
      <c r="AJ81" s="38"/>
      <c r="AK81" s="37"/>
      <c r="AL81" s="130"/>
      <c r="AM81" s="38"/>
      <c r="AN81" s="38"/>
      <c r="AO81" s="38"/>
      <c r="AP81" s="38"/>
      <c r="AQ81" s="130"/>
      <c r="AR81" s="38"/>
      <c r="AS81" s="38"/>
      <c r="AT81" s="38"/>
      <c r="AU81" s="38"/>
      <c r="AZ81" s="38"/>
      <c r="BA81" s="130"/>
      <c r="BB81" s="38"/>
      <c r="BC81" s="38"/>
      <c r="BD81" s="38"/>
      <c r="BE81" s="38"/>
      <c r="BF81" s="130"/>
      <c r="BG81" s="38"/>
      <c r="BH81" s="38"/>
      <c r="BI81" s="38"/>
      <c r="BJ81" s="786"/>
      <c r="BK81" s="130"/>
      <c r="BL81" s="38"/>
      <c r="BM81" s="38"/>
      <c r="BN81" s="38"/>
      <c r="BO81" s="786"/>
      <c r="BP81" s="130"/>
      <c r="BQ81" s="38"/>
      <c r="BR81" s="38"/>
      <c r="BS81" s="38"/>
      <c r="BT81" s="786"/>
      <c r="BU81" s="130"/>
      <c r="BV81" s="38"/>
      <c r="BW81" s="38"/>
      <c r="BX81" s="38"/>
      <c r="BY81" s="31"/>
      <c r="BZ81" s="130"/>
      <c r="CA81" s="38"/>
      <c r="CB81" s="38"/>
      <c r="CC81" s="38"/>
      <c r="CD81" s="38"/>
      <c r="CE81" s="130"/>
      <c r="CF81" s="38"/>
      <c r="CG81" s="38"/>
      <c r="CH81" s="38"/>
      <c r="CI81" s="31"/>
      <c r="CO81" s="130"/>
      <c r="CP81" s="38"/>
      <c r="CQ81" s="38"/>
      <c r="CR81" s="38"/>
      <c r="CS81" s="31"/>
      <c r="CT81" s="130"/>
      <c r="CU81" s="38"/>
      <c r="CV81" s="38"/>
      <c r="CW81" s="38"/>
      <c r="CX81" s="31"/>
      <c r="CY81" s="130"/>
      <c r="CZ81" s="38"/>
      <c r="DA81" s="38"/>
      <c r="DB81" s="38"/>
      <c r="DC81" s="31"/>
      <c r="DD81" s="130"/>
      <c r="DE81" s="38"/>
      <c r="DF81" s="38"/>
      <c r="DG81" s="38"/>
      <c r="DH81" s="31"/>
      <c r="DI81" s="130"/>
      <c r="DJ81" s="38"/>
      <c r="DK81" s="38"/>
      <c r="DL81" s="38"/>
      <c r="DM81" s="31"/>
      <c r="DN81" s="130"/>
      <c r="DO81" s="38"/>
      <c r="DP81" s="38"/>
      <c r="DQ81" s="38"/>
      <c r="DR81" s="31"/>
      <c r="DS81" s="130"/>
      <c r="DT81" s="38"/>
      <c r="DU81" s="38"/>
      <c r="DV81" s="38"/>
      <c r="DW81" s="31"/>
      <c r="DX81" s="130"/>
      <c r="DY81" s="38"/>
      <c r="DZ81" s="38"/>
      <c r="EA81" s="38"/>
      <c r="EB81" s="31"/>
      <c r="EC81" s="130"/>
      <c r="ED81" s="38"/>
      <c r="EE81" s="38"/>
      <c r="EF81" s="38"/>
      <c r="EG81" s="31"/>
      <c r="EH81" s="130"/>
      <c r="EI81" s="38"/>
      <c r="EJ81" s="38"/>
      <c r="EK81" s="38"/>
      <c r="EL81" s="31"/>
      <c r="EM81" s="131"/>
      <c r="EN81" s="132"/>
      <c r="EO81" s="132"/>
      <c r="EP81" s="132"/>
      <c r="EQ81" s="132"/>
      <c r="ER81" s="31"/>
      <c r="ES81" s="131"/>
      <c r="ET81" s="132"/>
      <c r="EU81" s="132"/>
      <c r="EV81" s="132"/>
      <c r="EW81" s="132"/>
    </row>
    <row r="82" spans="1:153" s="8" customFormat="1" ht="15" customHeight="1">
      <c r="A82"/>
      <c r="B82" s="129"/>
      <c r="C82" s="129"/>
      <c r="D82" s="10"/>
      <c r="E82" s="122"/>
      <c r="F82" s="122"/>
      <c r="G82" s="122"/>
      <c r="H82" s="122"/>
      <c r="I82" s="122"/>
      <c r="J82" s="10"/>
      <c r="K82" s="10"/>
      <c r="L82" s="122"/>
      <c r="M82" s="10"/>
      <c r="N82" s="10"/>
      <c r="O82" s="10"/>
      <c r="P82" s="10"/>
      <c r="Q82" s="122"/>
      <c r="R82" s="130"/>
      <c r="S82" s="38"/>
      <c r="T82" s="38"/>
      <c r="U82" s="38"/>
      <c r="V82" s="37"/>
      <c r="W82" s="130"/>
      <c r="X82" s="38"/>
      <c r="Y82" s="38"/>
      <c r="Z82" s="38"/>
      <c r="AA82" s="37"/>
      <c r="AB82" s="130"/>
      <c r="AC82" s="38"/>
      <c r="AD82" s="38"/>
      <c r="AE82" s="38"/>
      <c r="AF82" s="38"/>
      <c r="AG82" s="130"/>
      <c r="AH82" s="38"/>
      <c r="AI82" s="38"/>
      <c r="AJ82" s="38"/>
      <c r="AK82" s="37"/>
      <c r="AL82" s="130"/>
      <c r="AM82" s="38"/>
      <c r="AN82" s="38"/>
      <c r="AO82" s="38"/>
      <c r="AP82" s="38"/>
      <c r="AQ82" s="130"/>
      <c r="AR82" s="38"/>
      <c r="AS82" s="38"/>
      <c r="AT82" s="38"/>
      <c r="AU82" s="38"/>
      <c r="AZ82" s="38"/>
      <c r="BA82" s="130"/>
      <c r="BB82" s="38"/>
      <c r="BC82" s="38"/>
      <c r="BD82" s="38"/>
      <c r="BE82" s="38"/>
      <c r="BF82" s="130"/>
      <c r="BG82" s="38"/>
      <c r="BH82" s="38"/>
      <c r="BI82" s="38"/>
      <c r="BJ82" s="786"/>
      <c r="BK82" s="130"/>
      <c r="BL82" s="38"/>
      <c r="BM82" s="38"/>
      <c r="BN82" s="38"/>
      <c r="BO82" s="786"/>
      <c r="BP82" s="130"/>
      <c r="BQ82" s="38"/>
      <c r="BR82" s="38"/>
      <c r="BS82" s="38"/>
      <c r="BT82" s="786"/>
      <c r="BU82" s="130"/>
      <c r="BV82" s="38"/>
      <c r="BW82" s="38"/>
      <c r="BX82" s="38"/>
      <c r="BY82" s="31"/>
      <c r="BZ82" s="130"/>
      <c r="CA82" s="38"/>
      <c r="CB82" s="38"/>
      <c r="CC82" s="38"/>
      <c r="CD82" s="38"/>
      <c r="CE82" s="130"/>
      <c r="CF82" s="38"/>
      <c r="CG82" s="38"/>
      <c r="CH82" s="38"/>
      <c r="CI82" s="31"/>
      <c r="CO82" s="130"/>
      <c r="CP82" s="38"/>
      <c r="CQ82" s="38"/>
      <c r="CR82" s="38"/>
      <c r="CS82" s="31"/>
      <c r="CT82" s="130"/>
      <c r="CU82" s="38"/>
      <c r="CV82" s="38"/>
      <c r="CW82" s="38"/>
      <c r="CX82" s="31"/>
      <c r="CY82" s="130"/>
      <c r="CZ82" s="38"/>
      <c r="DA82" s="38"/>
      <c r="DB82" s="38"/>
      <c r="DC82" s="31"/>
      <c r="DD82" s="130"/>
      <c r="DE82" s="38"/>
      <c r="DF82" s="38"/>
      <c r="DG82" s="38"/>
      <c r="DH82" s="31"/>
      <c r="DI82" s="130"/>
      <c r="DJ82" s="38"/>
      <c r="DK82" s="38"/>
      <c r="DL82" s="38"/>
      <c r="DM82" s="31"/>
      <c r="DN82" s="130"/>
      <c r="DO82" s="38"/>
      <c r="DP82" s="38"/>
      <c r="DQ82" s="38"/>
      <c r="DR82" s="31"/>
      <c r="DS82" s="130"/>
      <c r="DT82" s="38"/>
      <c r="DU82" s="38"/>
      <c r="DV82" s="38"/>
      <c r="DW82" s="31"/>
      <c r="DX82" s="130"/>
      <c r="DY82" s="38"/>
      <c r="DZ82" s="38"/>
      <c r="EA82" s="38"/>
      <c r="EB82" s="31"/>
      <c r="EC82" s="130"/>
      <c r="ED82" s="38"/>
      <c r="EE82" s="38"/>
      <c r="EF82" s="38"/>
      <c r="EG82" s="31"/>
      <c r="EH82" s="130"/>
      <c r="EI82" s="38"/>
      <c r="EJ82" s="38"/>
      <c r="EK82" s="38"/>
      <c r="EL82" s="31"/>
      <c r="EM82" s="131"/>
      <c r="EN82" s="132"/>
      <c r="EO82" s="132"/>
      <c r="EP82" s="132"/>
      <c r="EQ82" s="132"/>
      <c r="ER82" s="31"/>
      <c r="ES82" s="131"/>
      <c r="ET82" s="132"/>
      <c r="EU82" s="132"/>
      <c r="EV82" s="132"/>
      <c r="EW82" s="132"/>
    </row>
    <row r="83" spans="1:153" s="8" customFormat="1" ht="15" customHeight="1">
      <c r="A83"/>
      <c r="B83" s="129"/>
      <c r="C83" s="129"/>
      <c r="D83" s="10"/>
      <c r="E83" s="122"/>
      <c r="F83" s="122"/>
      <c r="G83" s="122"/>
      <c r="H83" s="122"/>
      <c r="I83" s="122"/>
      <c r="J83" s="10"/>
      <c r="K83" s="10"/>
      <c r="L83" s="122"/>
      <c r="M83" s="10"/>
      <c r="N83" s="10"/>
      <c r="O83" s="10"/>
      <c r="P83" s="10"/>
      <c r="Q83" s="122"/>
      <c r="R83" s="130"/>
      <c r="S83" s="38"/>
      <c r="T83" s="38"/>
      <c r="U83" s="38"/>
      <c r="V83" s="37"/>
      <c r="W83" s="130"/>
      <c r="X83" s="38"/>
      <c r="Y83" s="38"/>
      <c r="Z83" s="38"/>
      <c r="AA83" s="37"/>
      <c r="AB83" s="130"/>
      <c r="AC83" s="38"/>
      <c r="AD83" s="38"/>
      <c r="AE83" s="38"/>
      <c r="AF83" s="38"/>
      <c r="AG83" s="130"/>
      <c r="AH83" s="38"/>
      <c r="AI83" s="38"/>
      <c r="AJ83" s="38"/>
      <c r="AK83" s="37"/>
      <c r="AL83" s="130"/>
      <c r="AM83" s="38"/>
      <c r="AN83" s="38"/>
      <c r="AO83" s="38"/>
      <c r="AP83" s="38"/>
      <c r="AQ83" s="130"/>
      <c r="AR83" s="38"/>
      <c r="AS83" s="38"/>
      <c r="AT83" s="38"/>
      <c r="AU83" s="38"/>
      <c r="AZ83" s="38"/>
      <c r="BA83" s="130"/>
      <c r="BB83" s="38"/>
      <c r="BC83" s="38"/>
      <c r="BD83" s="38"/>
      <c r="BE83" s="38"/>
      <c r="BF83" s="130"/>
      <c r="BG83" s="38"/>
      <c r="BH83" s="38"/>
      <c r="BI83" s="38"/>
      <c r="BJ83" s="786"/>
      <c r="BK83" s="130"/>
      <c r="BL83" s="38"/>
      <c r="BM83" s="38"/>
      <c r="BN83" s="38"/>
      <c r="BO83" s="786"/>
      <c r="BP83" s="130"/>
      <c r="BQ83" s="38"/>
      <c r="BR83" s="38"/>
      <c r="BS83" s="38"/>
      <c r="BT83" s="786"/>
      <c r="BU83" s="130"/>
      <c r="BV83" s="38"/>
      <c r="BW83" s="38"/>
      <c r="BX83" s="38"/>
      <c r="BY83" s="31"/>
      <c r="BZ83" s="130"/>
      <c r="CA83" s="38"/>
      <c r="CB83" s="38"/>
      <c r="CC83" s="38"/>
      <c r="CD83" s="38"/>
      <c r="CE83" s="130"/>
      <c r="CF83" s="38"/>
      <c r="CG83" s="38"/>
      <c r="CH83" s="38"/>
      <c r="CI83" s="31"/>
      <c r="CO83" s="130"/>
      <c r="CP83" s="38"/>
      <c r="CQ83" s="38"/>
      <c r="CR83" s="38"/>
      <c r="CS83" s="31"/>
      <c r="CT83" s="130"/>
      <c r="CU83" s="38"/>
      <c r="CV83" s="38"/>
      <c r="CW83" s="38"/>
      <c r="CX83" s="31"/>
      <c r="CY83" s="130"/>
      <c r="CZ83" s="38"/>
      <c r="DA83" s="38"/>
      <c r="DB83" s="38"/>
      <c r="DC83" s="31"/>
      <c r="DD83" s="130"/>
      <c r="DE83" s="38"/>
      <c r="DF83" s="38"/>
      <c r="DG83" s="38"/>
      <c r="DH83" s="31"/>
      <c r="DI83" s="130"/>
      <c r="DJ83" s="38"/>
      <c r="DK83" s="38"/>
      <c r="DL83" s="38"/>
      <c r="DM83" s="31"/>
      <c r="DN83" s="130"/>
      <c r="DO83" s="38"/>
      <c r="DP83" s="38"/>
      <c r="DQ83" s="38"/>
      <c r="DR83" s="31"/>
      <c r="DS83" s="130"/>
      <c r="DT83" s="38"/>
      <c r="DU83" s="38"/>
      <c r="DV83" s="38"/>
      <c r="DW83" s="31"/>
      <c r="DX83" s="130"/>
      <c r="DY83" s="38"/>
      <c r="DZ83" s="38"/>
      <c r="EA83" s="38"/>
      <c r="EB83" s="31"/>
      <c r="EC83" s="130"/>
      <c r="ED83" s="38"/>
      <c r="EE83" s="38"/>
      <c r="EF83" s="38"/>
      <c r="EG83" s="31"/>
      <c r="EH83" s="130"/>
      <c r="EI83" s="38"/>
      <c r="EJ83" s="38"/>
      <c r="EK83" s="38"/>
      <c r="EL83" s="31"/>
      <c r="EM83" s="131"/>
      <c r="EN83" s="132"/>
      <c r="EO83" s="132"/>
      <c r="EP83" s="132"/>
      <c r="EQ83" s="132"/>
      <c r="ER83" s="31"/>
      <c r="ES83" s="131"/>
      <c r="ET83" s="132"/>
      <c r="EU83" s="132"/>
      <c r="EV83" s="132"/>
      <c r="EW83" s="132"/>
    </row>
    <row r="84" spans="1:153" s="8" customFormat="1" ht="15" customHeight="1">
      <c r="A84"/>
      <c r="B84" s="129"/>
      <c r="C84" s="129"/>
      <c r="D84" s="10"/>
      <c r="E84" s="122"/>
      <c r="F84" s="122"/>
      <c r="G84" s="122"/>
      <c r="H84" s="122"/>
      <c r="I84" s="122"/>
      <c r="J84" s="10"/>
      <c r="K84" s="10"/>
      <c r="L84" s="122"/>
      <c r="M84" s="10"/>
      <c r="N84" s="10"/>
      <c r="O84" s="10"/>
      <c r="P84" s="10"/>
      <c r="Q84" s="122"/>
      <c r="R84" s="130"/>
      <c r="S84" s="38"/>
      <c r="T84" s="38"/>
      <c r="U84" s="38"/>
      <c r="V84" s="37"/>
      <c r="W84" s="130"/>
      <c r="X84" s="38"/>
      <c r="Y84" s="38"/>
      <c r="Z84" s="38"/>
      <c r="AA84" s="37"/>
      <c r="AB84" s="130"/>
      <c r="AC84" s="38"/>
      <c r="AD84" s="38"/>
      <c r="AE84" s="38"/>
      <c r="AF84" s="38"/>
      <c r="AG84" s="130"/>
      <c r="AH84" s="38"/>
      <c r="AI84" s="38"/>
      <c r="AJ84" s="38"/>
      <c r="AK84" s="37"/>
      <c r="AL84" s="130"/>
      <c r="AM84" s="38"/>
      <c r="AN84" s="38"/>
      <c r="AO84" s="38"/>
      <c r="AP84" s="38"/>
      <c r="AQ84" s="130"/>
      <c r="AR84" s="38"/>
      <c r="AS84" s="38"/>
      <c r="AT84" s="38"/>
      <c r="AU84" s="38"/>
      <c r="AZ84" s="38"/>
      <c r="BA84" s="130"/>
      <c r="BB84" s="38"/>
      <c r="BC84" s="38"/>
      <c r="BD84" s="38"/>
      <c r="BE84" s="38"/>
      <c r="BF84" s="130"/>
      <c r="BG84" s="38"/>
      <c r="BH84" s="38"/>
      <c r="BI84" s="38"/>
      <c r="BJ84" s="786"/>
      <c r="BK84" s="130"/>
      <c r="BL84" s="38"/>
      <c r="BM84" s="38"/>
      <c r="BN84" s="38"/>
      <c r="BO84" s="786"/>
      <c r="BP84" s="130"/>
      <c r="BQ84" s="38"/>
      <c r="BR84" s="38"/>
      <c r="BS84" s="38"/>
      <c r="BT84" s="786"/>
      <c r="BU84" s="130"/>
      <c r="BV84" s="38"/>
      <c r="BW84" s="38"/>
      <c r="BX84" s="38"/>
      <c r="BY84" s="31"/>
      <c r="BZ84" s="130"/>
      <c r="CA84" s="38"/>
      <c r="CB84" s="38"/>
      <c r="CC84" s="38"/>
      <c r="CD84" s="38"/>
      <c r="CE84" s="130"/>
      <c r="CF84" s="38"/>
      <c r="CG84" s="38"/>
      <c r="CH84" s="38"/>
      <c r="CI84" s="31"/>
      <c r="CO84" s="130"/>
      <c r="CP84" s="38"/>
      <c r="CQ84" s="38"/>
      <c r="CR84" s="38"/>
      <c r="CS84" s="31"/>
      <c r="CT84" s="130"/>
      <c r="CU84" s="38"/>
      <c r="CV84" s="38"/>
      <c r="CW84" s="38"/>
      <c r="CX84" s="31"/>
      <c r="CY84" s="130"/>
      <c r="CZ84" s="38"/>
      <c r="DA84" s="38"/>
      <c r="DB84" s="38"/>
      <c r="DC84" s="31"/>
      <c r="DD84" s="130"/>
      <c r="DE84" s="38"/>
      <c r="DF84" s="38"/>
      <c r="DG84" s="38"/>
      <c r="DH84" s="31"/>
      <c r="DI84" s="130"/>
      <c r="DJ84" s="38"/>
      <c r="DK84" s="38"/>
      <c r="DL84" s="38"/>
      <c r="DM84" s="31"/>
      <c r="DN84" s="130"/>
      <c r="DO84" s="38"/>
      <c r="DP84" s="38"/>
      <c r="DQ84" s="38"/>
      <c r="DR84" s="31"/>
      <c r="DS84" s="130"/>
      <c r="DT84" s="38"/>
      <c r="DU84" s="38"/>
      <c r="DV84" s="38"/>
      <c r="DW84" s="31"/>
      <c r="DX84" s="130"/>
      <c r="DY84" s="38"/>
      <c r="DZ84" s="38"/>
      <c r="EA84" s="38"/>
      <c r="EB84" s="31"/>
      <c r="EC84" s="130"/>
      <c r="ED84" s="38"/>
      <c r="EE84" s="38"/>
      <c r="EF84" s="38"/>
      <c r="EG84" s="31"/>
      <c r="EH84" s="130"/>
      <c r="EI84" s="38"/>
      <c r="EJ84" s="38"/>
      <c r="EK84" s="38"/>
      <c r="EL84" s="31"/>
      <c r="EM84" s="131"/>
      <c r="EN84" s="132"/>
      <c r="EO84" s="132"/>
      <c r="EP84" s="132"/>
      <c r="EQ84" s="132"/>
      <c r="ER84" s="31"/>
      <c r="ES84" s="131"/>
      <c r="ET84" s="132"/>
      <c r="EU84" s="132"/>
      <c r="EV84" s="132"/>
      <c r="EW84" s="132"/>
    </row>
    <row r="85" spans="1:153" s="8" customFormat="1" ht="15" customHeight="1">
      <c r="A85"/>
      <c r="B85" s="129"/>
      <c r="C85" s="129"/>
      <c r="D85" s="10"/>
      <c r="E85" s="122"/>
      <c r="F85" s="122"/>
      <c r="G85" s="122"/>
      <c r="H85" s="122"/>
      <c r="I85" s="122"/>
      <c r="J85" s="10"/>
      <c r="K85" s="10"/>
      <c r="L85" s="122"/>
      <c r="M85" s="10"/>
      <c r="N85" s="10"/>
      <c r="O85" s="10"/>
      <c r="P85" s="10"/>
      <c r="Q85" s="122"/>
      <c r="R85" s="130"/>
      <c r="S85" s="38"/>
      <c r="T85" s="38"/>
      <c r="U85" s="38"/>
      <c r="V85" s="37"/>
      <c r="W85" s="130"/>
      <c r="X85" s="38"/>
      <c r="Y85" s="38"/>
      <c r="Z85" s="38"/>
      <c r="AA85" s="37"/>
      <c r="AB85" s="130"/>
      <c r="AC85" s="38"/>
      <c r="AD85" s="38"/>
      <c r="AE85" s="38"/>
      <c r="AF85" s="38"/>
      <c r="AG85" s="130"/>
      <c r="AH85" s="38"/>
      <c r="AI85" s="38"/>
      <c r="AJ85" s="38"/>
      <c r="AK85" s="37"/>
      <c r="AL85" s="130"/>
      <c r="AM85" s="38"/>
      <c r="AN85" s="38"/>
      <c r="AO85" s="38"/>
      <c r="AP85" s="38"/>
      <c r="AQ85" s="130"/>
      <c r="AR85" s="38"/>
      <c r="AS85" s="38"/>
      <c r="AT85" s="38"/>
      <c r="AU85" s="38"/>
      <c r="AZ85" s="38"/>
      <c r="BA85" s="130"/>
      <c r="BB85" s="38"/>
      <c r="BC85" s="38"/>
      <c r="BD85" s="38"/>
      <c r="BE85" s="38"/>
      <c r="BF85" s="130"/>
      <c r="BG85" s="38"/>
      <c r="BH85" s="38"/>
      <c r="BI85" s="38"/>
      <c r="BJ85" s="786"/>
      <c r="BK85" s="130"/>
      <c r="BL85" s="38"/>
      <c r="BM85" s="38"/>
      <c r="BN85" s="38"/>
      <c r="BO85" s="786"/>
      <c r="BP85" s="130"/>
      <c r="BQ85" s="38"/>
      <c r="BR85" s="38"/>
      <c r="BS85" s="38"/>
      <c r="BT85" s="786"/>
      <c r="BU85" s="130"/>
      <c r="BV85" s="38"/>
      <c r="BW85" s="38"/>
      <c r="BX85" s="38"/>
      <c r="BY85" s="31"/>
      <c r="BZ85" s="130"/>
      <c r="CA85" s="38"/>
      <c r="CB85" s="38"/>
      <c r="CC85" s="38"/>
      <c r="CD85" s="38"/>
      <c r="CE85" s="130"/>
      <c r="CF85" s="38"/>
      <c r="CG85" s="38"/>
      <c r="CH85" s="38"/>
      <c r="CI85" s="31"/>
      <c r="CO85" s="130"/>
      <c r="CP85" s="38"/>
      <c r="CQ85" s="38"/>
      <c r="CR85" s="38"/>
      <c r="CS85" s="31"/>
      <c r="CT85" s="130"/>
      <c r="CU85" s="38"/>
      <c r="CV85" s="38"/>
      <c r="CW85" s="38"/>
      <c r="CX85" s="31"/>
      <c r="CY85" s="130"/>
      <c r="CZ85" s="38"/>
      <c r="DA85" s="38"/>
      <c r="DB85" s="38"/>
      <c r="DC85" s="31"/>
      <c r="DD85" s="130"/>
      <c r="DE85" s="38"/>
      <c r="DF85" s="38"/>
      <c r="DG85" s="38"/>
      <c r="DH85" s="31"/>
      <c r="DI85" s="130"/>
      <c r="DJ85" s="38"/>
      <c r="DK85" s="38"/>
      <c r="DL85" s="38"/>
      <c r="DM85" s="31"/>
      <c r="DN85" s="130"/>
      <c r="DO85" s="38"/>
      <c r="DP85" s="38"/>
      <c r="DQ85" s="38"/>
      <c r="DR85" s="31"/>
      <c r="DS85" s="130"/>
      <c r="DT85" s="38"/>
      <c r="DU85" s="38"/>
      <c r="DV85" s="38"/>
      <c r="DW85" s="31"/>
      <c r="DX85" s="130"/>
      <c r="DY85" s="38"/>
      <c r="DZ85" s="38"/>
      <c r="EA85" s="38"/>
      <c r="EB85" s="31"/>
      <c r="EC85" s="130"/>
      <c r="ED85" s="38"/>
      <c r="EE85" s="38"/>
      <c r="EF85" s="38"/>
      <c r="EG85" s="31"/>
      <c r="EH85" s="130"/>
      <c r="EI85" s="38"/>
      <c r="EJ85" s="38"/>
      <c r="EK85" s="38"/>
      <c r="EL85" s="31"/>
      <c r="EM85" s="131"/>
      <c r="EN85" s="132"/>
      <c r="EO85" s="132"/>
      <c r="EP85" s="132"/>
      <c r="EQ85" s="132"/>
      <c r="ER85" s="31"/>
      <c r="ES85" s="131"/>
      <c r="ET85" s="132"/>
      <c r="EU85" s="132"/>
      <c r="EV85" s="132"/>
      <c r="EW85" s="132"/>
    </row>
    <row r="86" spans="1:153" s="8" customFormat="1" ht="15" customHeight="1">
      <c r="A86"/>
      <c r="B86" s="129"/>
      <c r="C86" s="129"/>
      <c r="D86" s="10"/>
      <c r="E86" s="122"/>
      <c r="F86" s="122"/>
      <c r="G86" s="122"/>
      <c r="H86" s="122"/>
      <c r="I86" s="122"/>
      <c r="J86" s="10"/>
      <c r="K86" s="10"/>
      <c r="L86" s="122"/>
      <c r="M86" s="10"/>
      <c r="N86" s="10"/>
      <c r="O86" s="10"/>
      <c r="P86" s="10"/>
      <c r="Q86" s="122"/>
      <c r="R86" s="130"/>
      <c r="S86" s="38"/>
      <c r="T86" s="38"/>
      <c r="U86" s="38"/>
      <c r="V86" s="37"/>
      <c r="W86" s="130"/>
      <c r="X86" s="38"/>
      <c r="Y86" s="38"/>
      <c r="Z86" s="38"/>
      <c r="AA86" s="37"/>
      <c r="AB86" s="130"/>
      <c r="AC86" s="38"/>
      <c r="AD86" s="38"/>
      <c r="AE86" s="38"/>
      <c r="AF86" s="38"/>
      <c r="AG86" s="130"/>
      <c r="AH86" s="38"/>
      <c r="AI86" s="38"/>
      <c r="AJ86" s="38"/>
      <c r="AK86" s="37"/>
      <c r="AL86" s="130"/>
      <c r="AM86" s="38"/>
      <c r="AN86" s="38"/>
      <c r="AO86" s="38"/>
      <c r="AP86" s="38"/>
      <c r="AQ86" s="130"/>
      <c r="AR86" s="38"/>
      <c r="AS86" s="38"/>
      <c r="AT86" s="38"/>
      <c r="AU86" s="38"/>
      <c r="AZ86" s="38"/>
      <c r="BA86" s="130"/>
      <c r="BB86" s="38"/>
      <c r="BC86" s="38"/>
      <c r="BD86" s="38"/>
      <c r="BE86" s="38"/>
      <c r="BF86" s="130"/>
      <c r="BG86" s="38"/>
      <c r="BH86" s="38"/>
      <c r="BI86" s="38"/>
      <c r="BJ86" s="786"/>
      <c r="BK86" s="130"/>
      <c r="BL86" s="38"/>
      <c r="BM86" s="38"/>
      <c r="BN86" s="38"/>
      <c r="BO86" s="786"/>
      <c r="BP86" s="130"/>
      <c r="BQ86" s="38"/>
      <c r="BR86" s="38"/>
      <c r="BS86" s="38"/>
      <c r="BT86" s="786"/>
      <c r="BU86" s="130"/>
      <c r="BV86" s="38"/>
      <c r="BW86" s="38"/>
      <c r="BX86" s="38"/>
      <c r="BY86" s="31"/>
      <c r="BZ86" s="130"/>
      <c r="CA86" s="38"/>
      <c r="CB86" s="38"/>
      <c r="CC86" s="38"/>
      <c r="CD86" s="38"/>
      <c r="CE86" s="130"/>
      <c r="CF86" s="38"/>
      <c r="CG86" s="38"/>
      <c r="CH86" s="38"/>
      <c r="CI86" s="31"/>
      <c r="CO86" s="130"/>
      <c r="CP86" s="38"/>
      <c r="CQ86" s="38"/>
      <c r="CR86" s="38"/>
      <c r="CS86" s="31"/>
      <c r="CT86" s="130"/>
      <c r="CU86" s="38"/>
      <c r="CV86" s="38"/>
      <c r="CW86" s="38"/>
      <c r="CX86" s="31"/>
      <c r="CY86" s="130"/>
      <c r="CZ86" s="38"/>
      <c r="DA86" s="38"/>
      <c r="DB86" s="38"/>
      <c r="DC86" s="31"/>
      <c r="DD86" s="130"/>
      <c r="DE86" s="38"/>
      <c r="DF86" s="38"/>
      <c r="DG86" s="38"/>
      <c r="DH86" s="31"/>
      <c r="DI86" s="130"/>
      <c r="DJ86" s="38"/>
      <c r="DK86" s="38"/>
      <c r="DL86" s="38"/>
      <c r="DM86" s="31"/>
      <c r="DN86" s="130"/>
      <c r="DO86" s="38"/>
      <c r="DP86" s="38"/>
      <c r="DQ86" s="38"/>
      <c r="DR86" s="31"/>
      <c r="DS86" s="130"/>
      <c r="DT86" s="38"/>
      <c r="DU86" s="38"/>
      <c r="DV86" s="38"/>
      <c r="DW86" s="31"/>
      <c r="DX86" s="130"/>
      <c r="DY86" s="38"/>
      <c r="DZ86" s="38"/>
      <c r="EA86" s="38"/>
      <c r="EB86" s="31"/>
      <c r="EC86" s="130"/>
      <c r="ED86" s="38"/>
      <c r="EE86" s="38"/>
      <c r="EF86" s="38"/>
      <c r="EG86" s="31"/>
      <c r="EH86" s="130"/>
      <c r="EI86" s="38"/>
      <c r="EJ86" s="38"/>
      <c r="EK86" s="38"/>
      <c r="EL86" s="31"/>
      <c r="EM86" s="131"/>
      <c r="EN86" s="132"/>
      <c r="EO86" s="132"/>
      <c r="EP86" s="132"/>
      <c r="EQ86" s="132"/>
      <c r="ER86" s="31"/>
      <c r="ES86" s="131"/>
      <c r="ET86" s="132"/>
      <c r="EU86" s="132"/>
      <c r="EV86" s="132"/>
      <c r="EW86" s="132"/>
    </row>
    <row r="87" spans="1:153" s="8" customFormat="1" ht="15" customHeight="1">
      <c r="A87"/>
      <c r="B87" s="129"/>
      <c r="C87" s="129"/>
      <c r="D87" s="10"/>
      <c r="E87" s="122"/>
      <c r="F87" s="122"/>
      <c r="G87" s="122"/>
      <c r="H87" s="122"/>
      <c r="I87" s="122"/>
      <c r="J87" s="10"/>
      <c r="K87" s="10"/>
      <c r="L87" s="122"/>
      <c r="M87" s="10"/>
      <c r="N87" s="10"/>
      <c r="O87" s="10"/>
      <c r="P87" s="10"/>
      <c r="Q87" s="122"/>
      <c r="R87" s="130"/>
      <c r="S87" s="38"/>
      <c r="T87" s="38"/>
      <c r="U87" s="38"/>
      <c r="V87" s="37"/>
      <c r="W87" s="130"/>
      <c r="X87" s="38"/>
      <c r="Y87" s="38"/>
      <c r="Z87" s="38"/>
      <c r="AA87" s="37"/>
      <c r="AB87" s="130"/>
      <c r="AC87" s="38"/>
      <c r="AD87" s="38"/>
      <c r="AE87" s="38"/>
      <c r="AF87" s="38"/>
      <c r="AG87" s="130"/>
      <c r="AH87" s="38"/>
      <c r="AI87" s="38"/>
      <c r="AJ87" s="38"/>
      <c r="AK87" s="37"/>
      <c r="AL87" s="130"/>
      <c r="AM87" s="38"/>
      <c r="AN87" s="38"/>
      <c r="AO87" s="38"/>
      <c r="AP87" s="38"/>
      <c r="AQ87" s="130"/>
      <c r="AR87" s="38"/>
      <c r="AS87" s="38"/>
      <c r="AT87" s="38"/>
      <c r="AU87" s="38"/>
      <c r="AZ87" s="38"/>
      <c r="BA87" s="130"/>
      <c r="BB87" s="38"/>
      <c r="BC87" s="38"/>
      <c r="BD87" s="38"/>
      <c r="BE87" s="38"/>
      <c r="BF87" s="130"/>
      <c r="BG87" s="38"/>
      <c r="BH87" s="38"/>
      <c r="BI87" s="38"/>
      <c r="BJ87" s="786"/>
      <c r="BK87" s="130"/>
      <c r="BL87" s="38"/>
      <c r="BM87" s="38"/>
      <c r="BN87" s="38"/>
      <c r="BO87" s="786"/>
      <c r="BP87" s="130"/>
      <c r="BQ87" s="38"/>
      <c r="BR87" s="38"/>
      <c r="BS87" s="38"/>
      <c r="BT87" s="786"/>
      <c r="BU87" s="130"/>
      <c r="BV87" s="38"/>
      <c r="BW87" s="38"/>
      <c r="BX87" s="38"/>
      <c r="BY87" s="31"/>
      <c r="BZ87" s="130"/>
      <c r="CA87" s="38"/>
      <c r="CB87" s="38"/>
      <c r="CC87" s="38"/>
      <c r="CD87" s="38"/>
      <c r="CE87" s="130"/>
      <c r="CF87" s="38"/>
      <c r="CG87" s="38"/>
      <c r="CH87" s="38"/>
      <c r="CI87" s="31"/>
      <c r="CO87" s="130"/>
      <c r="CP87" s="38"/>
      <c r="CQ87" s="38"/>
      <c r="CR87" s="38"/>
      <c r="CS87" s="31"/>
      <c r="CT87" s="130"/>
      <c r="CU87" s="38"/>
      <c r="CV87" s="38"/>
      <c r="CW87" s="38"/>
      <c r="CX87" s="31"/>
      <c r="CY87" s="130"/>
      <c r="CZ87" s="38"/>
      <c r="DA87" s="38"/>
      <c r="DB87" s="38"/>
      <c r="DC87" s="31"/>
      <c r="DD87" s="130"/>
      <c r="DE87" s="38"/>
      <c r="DF87" s="38"/>
      <c r="DG87" s="38"/>
      <c r="DH87" s="31"/>
      <c r="DI87" s="130"/>
      <c r="DJ87" s="38"/>
      <c r="DK87" s="38"/>
      <c r="DL87" s="38"/>
      <c r="DM87" s="31"/>
      <c r="DN87" s="130"/>
      <c r="DO87" s="38"/>
      <c r="DP87" s="38"/>
      <c r="DQ87" s="38"/>
      <c r="DR87" s="31"/>
      <c r="DS87" s="130"/>
      <c r="DT87" s="38"/>
      <c r="DU87" s="38"/>
      <c r="DV87" s="38"/>
      <c r="DW87" s="31"/>
      <c r="DX87" s="130"/>
      <c r="DY87" s="38"/>
      <c r="DZ87" s="38"/>
      <c r="EA87" s="38"/>
      <c r="EB87" s="31"/>
      <c r="EC87" s="130"/>
      <c r="ED87" s="38"/>
      <c r="EE87" s="38"/>
      <c r="EF87" s="38"/>
      <c r="EG87" s="31"/>
      <c r="EH87" s="130"/>
      <c r="EI87" s="38"/>
      <c r="EJ87" s="38"/>
      <c r="EK87" s="38"/>
      <c r="EL87" s="31"/>
      <c r="EM87" s="131"/>
      <c r="EN87" s="132"/>
      <c r="EO87" s="132"/>
      <c r="EP87" s="132"/>
      <c r="EQ87" s="132"/>
      <c r="ER87" s="31"/>
      <c r="ES87" s="131"/>
      <c r="ET87" s="132"/>
      <c r="EU87" s="132"/>
      <c r="EV87" s="132"/>
      <c r="EW87" s="132"/>
    </row>
    <row r="88" spans="1:153" s="8" customFormat="1" ht="15" customHeight="1">
      <c r="A88"/>
      <c r="B88" s="129"/>
      <c r="C88" s="129"/>
      <c r="D88" s="10"/>
      <c r="E88" s="122"/>
      <c r="F88" s="122"/>
      <c r="G88" s="122"/>
      <c r="H88" s="122"/>
      <c r="I88" s="122"/>
      <c r="J88" s="10"/>
      <c r="K88" s="10"/>
      <c r="L88" s="122"/>
      <c r="M88" s="10"/>
      <c r="N88" s="10"/>
      <c r="O88" s="10"/>
      <c r="P88" s="10"/>
      <c r="Q88" s="122"/>
      <c r="R88" s="130"/>
      <c r="S88" s="38"/>
      <c r="T88" s="38"/>
      <c r="U88" s="38"/>
      <c r="V88" s="37"/>
      <c r="W88" s="130"/>
      <c r="X88" s="38"/>
      <c r="Y88" s="38"/>
      <c r="Z88" s="38"/>
      <c r="AA88" s="37"/>
      <c r="AB88" s="130"/>
      <c r="AC88" s="38"/>
      <c r="AD88" s="38"/>
      <c r="AE88" s="38"/>
      <c r="AF88" s="38"/>
      <c r="AG88" s="130"/>
      <c r="AH88" s="38"/>
      <c r="AI88" s="38"/>
      <c r="AJ88" s="38"/>
      <c r="AK88" s="37"/>
      <c r="AL88" s="130"/>
      <c r="AM88" s="38"/>
      <c r="AN88" s="38"/>
      <c r="AO88" s="38"/>
      <c r="AP88" s="38"/>
      <c r="AQ88" s="130"/>
      <c r="AR88" s="38"/>
      <c r="AS88" s="38"/>
      <c r="AT88" s="38"/>
      <c r="AU88" s="38"/>
      <c r="AZ88" s="38"/>
      <c r="BA88" s="130"/>
      <c r="BB88" s="38"/>
      <c r="BC88" s="38"/>
      <c r="BD88" s="38"/>
      <c r="BE88" s="38"/>
      <c r="BF88" s="130"/>
      <c r="BG88" s="38"/>
      <c r="BH88" s="38"/>
      <c r="BI88" s="38"/>
      <c r="BJ88" s="786"/>
      <c r="BK88" s="130"/>
      <c r="BL88" s="38"/>
      <c r="BM88" s="38"/>
      <c r="BN88" s="38"/>
      <c r="BO88" s="786"/>
      <c r="BP88" s="130"/>
      <c r="BQ88" s="38"/>
      <c r="BR88" s="38"/>
      <c r="BS88" s="38"/>
      <c r="BT88" s="786"/>
      <c r="BU88" s="130"/>
      <c r="BV88" s="38"/>
      <c r="BW88" s="38"/>
      <c r="BX88" s="38"/>
      <c r="BY88" s="31"/>
      <c r="BZ88" s="130"/>
      <c r="CA88" s="38"/>
      <c r="CB88" s="38"/>
      <c r="CC88" s="38"/>
      <c r="CD88" s="38"/>
      <c r="CE88" s="130"/>
      <c r="CF88" s="38"/>
      <c r="CG88" s="38"/>
      <c r="CH88" s="38"/>
      <c r="CI88" s="31"/>
      <c r="CO88" s="130"/>
      <c r="CP88" s="38"/>
      <c r="CQ88" s="38"/>
      <c r="CR88" s="38"/>
      <c r="CS88" s="31"/>
      <c r="CT88" s="130"/>
      <c r="CU88" s="38"/>
      <c r="CV88" s="38"/>
      <c r="CW88" s="38"/>
      <c r="CX88" s="31"/>
      <c r="CY88" s="130"/>
      <c r="CZ88" s="38"/>
      <c r="DA88" s="38"/>
      <c r="DB88" s="38"/>
      <c r="DC88" s="31"/>
      <c r="DD88" s="130"/>
      <c r="DE88" s="38"/>
      <c r="DF88" s="38"/>
      <c r="DG88" s="38"/>
      <c r="DH88" s="31"/>
      <c r="DI88" s="130"/>
      <c r="DJ88" s="38"/>
      <c r="DK88" s="38"/>
      <c r="DL88" s="38"/>
      <c r="DM88" s="31"/>
      <c r="DN88" s="130"/>
      <c r="DO88" s="38"/>
      <c r="DP88" s="38"/>
      <c r="DQ88" s="38"/>
      <c r="DR88" s="31"/>
      <c r="DS88" s="130"/>
      <c r="DT88" s="38"/>
      <c r="DU88" s="38"/>
      <c r="DV88" s="38"/>
      <c r="DW88" s="31"/>
      <c r="DX88" s="130"/>
      <c r="DY88" s="38"/>
      <c r="DZ88" s="38"/>
      <c r="EA88" s="38"/>
      <c r="EB88" s="31"/>
      <c r="EC88" s="130"/>
      <c r="ED88" s="38"/>
      <c r="EE88" s="38"/>
      <c r="EF88" s="38"/>
      <c r="EG88" s="31"/>
      <c r="EH88" s="130"/>
      <c r="EI88" s="38"/>
      <c r="EJ88" s="38"/>
      <c r="EK88" s="38"/>
      <c r="EL88" s="31"/>
      <c r="EM88" s="131"/>
      <c r="EN88" s="132"/>
      <c r="EO88" s="132"/>
      <c r="EP88" s="132"/>
      <c r="EQ88" s="132"/>
      <c r="ER88" s="31"/>
      <c r="ES88" s="131"/>
      <c r="ET88" s="132"/>
      <c r="EU88" s="132"/>
      <c r="EV88" s="132"/>
      <c r="EW88" s="132"/>
    </row>
    <row r="89" spans="1:153" s="8" customFormat="1" ht="15" customHeight="1">
      <c r="A89"/>
      <c r="B89" s="129"/>
      <c r="C89" s="129"/>
      <c r="D89" s="10"/>
      <c r="E89" s="122"/>
      <c r="F89" s="122"/>
      <c r="G89" s="122"/>
      <c r="H89" s="122"/>
      <c r="I89" s="122"/>
      <c r="J89" s="10"/>
      <c r="K89" s="10"/>
      <c r="L89" s="122"/>
      <c r="M89" s="10"/>
      <c r="N89" s="10"/>
      <c r="O89" s="10"/>
      <c r="P89" s="10"/>
      <c r="Q89" s="122"/>
      <c r="R89" s="130"/>
      <c r="S89" s="38"/>
      <c r="T89" s="38"/>
      <c r="U89" s="38"/>
      <c r="V89" s="37"/>
      <c r="W89" s="130"/>
      <c r="X89" s="38"/>
      <c r="Y89" s="38"/>
      <c r="Z89" s="38"/>
      <c r="AA89" s="37"/>
      <c r="AB89" s="130"/>
      <c r="AC89" s="38"/>
      <c r="AD89" s="38"/>
      <c r="AE89" s="38"/>
      <c r="AF89" s="38"/>
      <c r="AG89" s="130"/>
      <c r="AH89" s="38"/>
      <c r="AI89" s="38"/>
      <c r="AJ89" s="38"/>
      <c r="AK89" s="37"/>
      <c r="AL89" s="130"/>
      <c r="AM89" s="38"/>
      <c r="AN89" s="38"/>
      <c r="AO89" s="38"/>
      <c r="AP89" s="38"/>
      <c r="AQ89" s="130"/>
      <c r="AR89" s="38"/>
      <c r="AS89" s="38"/>
      <c r="AT89" s="38"/>
      <c r="AU89" s="38"/>
      <c r="AZ89" s="38"/>
      <c r="BA89" s="130"/>
      <c r="BB89" s="38"/>
      <c r="BC89" s="38"/>
      <c r="BD89" s="38"/>
      <c r="BE89" s="38"/>
      <c r="BF89" s="130"/>
      <c r="BG89" s="38"/>
      <c r="BH89" s="38"/>
      <c r="BI89" s="38"/>
      <c r="BJ89" s="786"/>
      <c r="BK89" s="130"/>
      <c r="BL89" s="38"/>
      <c r="BM89" s="38"/>
      <c r="BN89" s="38"/>
      <c r="BO89" s="786"/>
      <c r="BP89" s="130"/>
      <c r="BQ89" s="38"/>
      <c r="BR89" s="38"/>
      <c r="BS89" s="38"/>
      <c r="BT89" s="786"/>
      <c r="BU89" s="130"/>
      <c r="BV89" s="38"/>
      <c r="BW89" s="38"/>
      <c r="BX89" s="38"/>
      <c r="BY89" s="31"/>
      <c r="BZ89" s="130"/>
      <c r="CA89" s="38"/>
      <c r="CB89" s="38"/>
      <c r="CC89" s="38"/>
      <c r="CD89" s="38"/>
      <c r="CE89" s="130"/>
      <c r="CF89" s="38"/>
      <c r="CG89" s="38"/>
      <c r="CH89" s="38"/>
      <c r="CI89" s="31"/>
      <c r="CO89" s="130"/>
      <c r="CP89" s="38"/>
      <c r="CQ89" s="38"/>
      <c r="CR89" s="38"/>
      <c r="CS89" s="31"/>
      <c r="CT89" s="130"/>
      <c r="CU89" s="38"/>
      <c r="CV89" s="38"/>
      <c r="CW89" s="38"/>
      <c r="CX89" s="31"/>
      <c r="CY89" s="130"/>
      <c r="CZ89" s="38"/>
      <c r="DA89" s="38"/>
      <c r="DB89" s="38"/>
      <c r="DC89" s="31"/>
      <c r="DD89" s="130"/>
      <c r="DE89" s="38"/>
      <c r="DF89" s="38"/>
      <c r="DG89" s="38"/>
      <c r="DH89" s="31"/>
      <c r="DI89" s="130"/>
      <c r="DJ89" s="38"/>
      <c r="DK89" s="38"/>
      <c r="DL89" s="38"/>
      <c r="DM89" s="31"/>
      <c r="DN89" s="130"/>
      <c r="DO89" s="38"/>
      <c r="DP89" s="38"/>
      <c r="DQ89" s="38"/>
      <c r="DR89" s="31"/>
      <c r="DS89" s="130"/>
      <c r="DT89" s="38"/>
      <c r="DU89" s="38"/>
      <c r="DV89" s="38"/>
      <c r="DW89" s="31"/>
      <c r="DX89" s="130"/>
      <c r="DY89" s="38"/>
      <c r="DZ89" s="38"/>
      <c r="EA89" s="38"/>
      <c r="EB89" s="31"/>
      <c r="EC89" s="130"/>
      <c r="ED89" s="38"/>
      <c r="EE89" s="38"/>
      <c r="EF89" s="38"/>
      <c r="EG89" s="31"/>
      <c r="EH89" s="130"/>
      <c r="EI89" s="38"/>
      <c r="EJ89" s="38"/>
      <c r="EK89" s="38"/>
      <c r="EL89" s="31"/>
      <c r="EM89" s="131"/>
      <c r="EN89" s="132"/>
      <c r="EO89" s="132"/>
      <c r="EP89" s="132"/>
      <c r="EQ89" s="132"/>
      <c r="ER89" s="31"/>
      <c r="ES89" s="131"/>
      <c r="ET89" s="132"/>
      <c r="EU89" s="132"/>
      <c r="EV89" s="132"/>
      <c r="EW89" s="132"/>
    </row>
    <row r="90" spans="1:153" s="8" customFormat="1" ht="15" customHeight="1">
      <c r="A90"/>
      <c r="B90" s="129"/>
      <c r="C90" s="129"/>
      <c r="D90" s="10"/>
      <c r="E90" s="122"/>
      <c r="F90" s="122"/>
      <c r="G90" s="122"/>
      <c r="H90" s="122"/>
      <c r="I90" s="122"/>
      <c r="J90" s="10"/>
      <c r="K90" s="10"/>
      <c r="L90" s="122"/>
      <c r="M90" s="10"/>
      <c r="N90" s="10"/>
      <c r="O90" s="10"/>
      <c r="P90" s="10"/>
      <c r="Q90" s="122"/>
      <c r="R90" s="130"/>
      <c r="S90" s="38"/>
      <c r="T90" s="38"/>
      <c r="U90" s="38"/>
      <c r="V90" s="37"/>
      <c r="W90" s="130"/>
      <c r="X90" s="38"/>
      <c r="Y90" s="38"/>
      <c r="Z90" s="38"/>
      <c r="AA90" s="37"/>
      <c r="AB90" s="130"/>
      <c r="AC90" s="38"/>
      <c r="AD90" s="38"/>
      <c r="AE90" s="38"/>
      <c r="AF90" s="38"/>
      <c r="AG90" s="130"/>
      <c r="AH90" s="38"/>
      <c r="AI90" s="38"/>
      <c r="AJ90" s="38"/>
      <c r="AK90" s="37"/>
      <c r="AL90" s="130"/>
      <c r="AM90" s="38"/>
      <c r="AN90" s="38"/>
      <c r="AO90" s="38"/>
      <c r="AP90" s="38"/>
      <c r="AQ90" s="130"/>
      <c r="AR90" s="38"/>
      <c r="AS90" s="38"/>
      <c r="AT90" s="38"/>
      <c r="AU90" s="38"/>
      <c r="AZ90" s="38"/>
      <c r="BA90" s="130"/>
      <c r="BB90" s="38"/>
      <c r="BC90" s="38"/>
      <c r="BD90" s="38"/>
      <c r="BE90" s="38"/>
      <c r="BF90" s="130"/>
      <c r="BG90" s="38"/>
      <c r="BH90" s="38"/>
      <c r="BI90" s="38"/>
      <c r="BJ90" s="786"/>
      <c r="BK90" s="130"/>
      <c r="BL90" s="38"/>
      <c r="BM90" s="38"/>
      <c r="BN90" s="38"/>
      <c r="BO90" s="786"/>
      <c r="BP90" s="130"/>
      <c r="BQ90" s="38"/>
      <c r="BR90" s="38"/>
      <c r="BS90" s="38"/>
      <c r="BT90" s="786"/>
      <c r="BU90" s="130"/>
      <c r="BV90" s="38"/>
      <c r="BW90" s="38"/>
      <c r="BX90" s="38"/>
      <c r="BY90" s="31"/>
      <c r="BZ90" s="130"/>
      <c r="CA90" s="38"/>
      <c r="CB90" s="38"/>
      <c r="CC90" s="38"/>
      <c r="CD90" s="38"/>
      <c r="CE90" s="130"/>
      <c r="CF90" s="38"/>
      <c r="CG90" s="38"/>
      <c r="CH90" s="38"/>
      <c r="CI90" s="31"/>
      <c r="CO90" s="130"/>
      <c r="CP90" s="38"/>
      <c r="CQ90" s="38"/>
      <c r="CR90" s="38"/>
      <c r="CS90" s="31"/>
      <c r="CT90" s="130"/>
      <c r="CU90" s="38"/>
      <c r="CV90" s="38"/>
      <c r="CW90" s="38"/>
      <c r="CX90" s="31"/>
      <c r="CY90" s="130"/>
      <c r="CZ90" s="38"/>
      <c r="DA90" s="38"/>
      <c r="DB90" s="38"/>
      <c r="DC90" s="31"/>
      <c r="DD90" s="130"/>
      <c r="DE90" s="38"/>
      <c r="DF90" s="38"/>
      <c r="DG90" s="38"/>
      <c r="DH90" s="31"/>
      <c r="DI90" s="130"/>
      <c r="DJ90" s="38"/>
      <c r="DK90" s="38"/>
      <c r="DL90" s="38"/>
      <c r="DM90" s="31"/>
      <c r="DN90" s="130"/>
      <c r="DO90" s="38"/>
      <c r="DP90" s="38"/>
      <c r="DQ90" s="38"/>
      <c r="DR90" s="31"/>
      <c r="DS90" s="130"/>
      <c r="DT90" s="38"/>
      <c r="DU90" s="38"/>
      <c r="DV90" s="38"/>
      <c r="DW90" s="31"/>
      <c r="DX90" s="130"/>
      <c r="DY90" s="38"/>
      <c r="DZ90" s="38"/>
      <c r="EA90" s="38"/>
      <c r="EB90" s="31"/>
      <c r="EC90" s="130"/>
      <c r="ED90" s="38"/>
      <c r="EE90" s="38"/>
      <c r="EF90" s="38"/>
      <c r="EG90" s="31"/>
      <c r="EH90" s="130"/>
      <c r="EI90" s="38"/>
      <c r="EJ90" s="38"/>
      <c r="EK90" s="38"/>
      <c r="EL90" s="31"/>
      <c r="EM90" s="131"/>
      <c r="EN90" s="132"/>
      <c r="EO90" s="132"/>
      <c r="EP90" s="132"/>
      <c r="EQ90" s="132"/>
      <c r="ER90" s="31"/>
      <c r="ES90" s="131"/>
      <c r="ET90" s="132"/>
      <c r="EU90" s="132"/>
      <c r="EV90" s="132"/>
      <c r="EW90" s="132"/>
    </row>
    <row r="91" spans="1:153" s="8" customFormat="1" ht="15" customHeight="1">
      <c r="A91"/>
      <c r="B91" s="129"/>
      <c r="C91" s="129"/>
      <c r="D91" s="10"/>
      <c r="E91" s="122"/>
      <c r="F91" s="122"/>
      <c r="G91" s="122"/>
      <c r="H91" s="122"/>
      <c r="I91" s="122"/>
      <c r="J91" s="10"/>
      <c r="K91" s="10"/>
      <c r="L91" s="122"/>
      <c r="M91" s="10"/>
      <c r="N91" s="10"/>
      <c r="O91" s="10"/>
      <c r="P91" s="10"/>
      <c r="Q91" s="122"/>
      <c r="R91" s="130"/>
      <c r="S91" s="38"/>
      <c r="T91" s="38"/>
      <c r="U91" s="38"/>
      <c r="V91" s="37"/>
      <c r="W91" s="130"/>
      <c r="X91" s="38"/>
      <c r="Y91" s="38"/>
      <c r="Z91" s="38"/>
      <c r="AA91" s="37"/>
      <c r="AB91" s="130"/>
      <c r="AC91" s="38"/>
      <c r="AD91" s="38"/>
      <c r="AE91" s="38"/>
      <c r="AF91" s="38"/>
      <c r="AG91" s="130"/>
      <c r="AH91" s="38"/>
      <c r="AI91" s="38"/>
      <c r="AJ91" s="38"/>
      <c r="AK91" s="37"/>
      <c r="AL91" s="130"/>
      <c r="AM91" s="38"/>
      <c r="AN91" s="38"/>
      <c r="AO91" s="38"/>
      <c r="AP91" s="38"/>
      <c r="AQ91" s="130"/>
      <c r="AR91" s="38"/>
      <c r="AS91" s="38"/>
      <c r="AT91" s="38"/>
      <c r="AU91" s="38"/>
      <c r="AZ91" s="38"/>
      <c r="BA91" s="130"/>
      <c r="BB91" s="38"/>
      <c r="BC91" s="38"/>
      <c r="BD91" s="38"/>
      <c r="BE91" s="38"/>
      <c r="BF91" s="130"/>
      <c r="BG91" s="38"/>
      <c r="BH91" s="38"/>
      <c r="BI91" s="38"/>
      <c r="BJ91" s="786"/>
      <c r="BK91" s="130"/>
      <c r="BL91" s="38"/>
      <c r="BM91" s="38"/>
      <c r="BN91" s="38"/>
      <c r="BO91" s="786"/>
      <c r="BP91" s="130"/>
      <c r="BQ91" s="38"/>
      <c r="BR91" s="38"/>
      <c r="BS91" s="38"/>
      <c r="BT91" s="786"/>
      <c r="BU91" s="130"/>
      <c r="BV91" s="38"/>
      <c r="BW91" s="38"/>
      <c r="BX91" s="38"/>
      <c r="BY91" s="31"/>
      <c r="BZ91" s="130"/>
      <c r="CA91" s="38"/>
      <c r="CB91" s="38"/>
      <c r="CC91" s="38"/>
      <c r="CD91" s="38"/>
      <c r="CE91" s="130"/>
      <c r="CF91" s="38"/>
      <c r="CG91" s="38"/>
      <c r="CH91" s="38"/>
      <c r="CI91" s="31"/>
      <c r="CO91" s="130"/>
      <c r="CP91" s="38"/>
      <c r="CQ91" s="38"/>
      <c r="CR91" s="38"/>
      <c r="CS91" s="31"/>
      <c r="CT91" s="130"/>
      <c r="CU91" s="38"/>
      <c r="CV91" s="38"/>
      <c r="CW91" s="38"/>
      <c r="CX91" s="31"/>
      <c r="CY91" s="130"/>
      <c r="CZ91" s="38"/>
      <c r="DA91" s="38"/>
      <c r="DB91" s="38"/>
      <c r="DC91" s="31"/>
      <c r="DD91" s="130"/>
      <c r="DE91" s="38"/>
      <c r="DF91" s="38"/>
      <c r="DG91" s="38"/>
      <c r="DH91" s="31"/>
      <c r="DI91" s="130"/>
      <c r="DJ91" s="38"/>
      <c r="DK91" s="38"/>
      <c r="DL91" s="38"/>
      <c r="DM91" s="31"/>
      <c r="DN91" s="130"/>
      <c r="DO91" s="38"/>
      <c r="DP91" s="38"/>
      <c r="DQ91" s="38"/>
      <c r="DR91" s="31"/>
      <c r="DS91" s="130"/>
      <c r="DT91" s="38"/>
      <c r="DU91" s="38"/>
      <c r="DV91" s="38"/>
      <c r="DW91" s="31"/>
      <c r="DX91" s="130"/>
      <c r="DY91" s="38"/>
      <c r="DZ91" s="38"/>
      <c r="EA91" s="38"/>
      <c r="EB91" s="31"/>
      <c r="EC91" s="130"/>
      <c r="ED91" s="38"/>
      <c r="EE91" s="38"/>
      <c r="EF91" s="38"/>
      <c r="EG91" s="31"/>
      <c r="EH91" s="130"/>
      <c r="EI91" s="38"/>
      <c r="EJ91" s="38"/>
      <c r="EK91" s="38"/>
      <c r="EL91" s="31"/>
      <c r="EM91" s="131"/>
      <c r="EN91" s="132"/>
      <c r="EO91" s="132"/>
      <c r="EP91" s="132"/>
      <c r="EQ91" s="132"/>
      <c r="ER91" s="31"/>
      <c r="ES91" s="131"/>
      <c r="ET91" s="132"/>
      <c r="EU91" s="132"/>
      <c r="EV91" s="132"/>
      <c r="EW91" s="132"/>
    </row>
    <row r="92" spans="1:153" s="8" customFormat="1" ht="15" customHeight="1">
      <c r="A92"/>
      <c r="B92" s="129"/>
      <c r="C92" s="129"/>
      <c r="D92" s="10"/>
      <c r="E92" s="122"/>
      <c r="F92" s="122"/>
      <c r="G92" s="122"/>
      <c r="H92" s="122"/>
      <c r="I92" s="122"/>
      <c r="J92" s="10"/>
      <c r="K92" s="10"/>
      <c r="L92" s="122"/>
      <c r="M92" s="10"/>
      <c r="N92" s="10"/>
      <c r="O92" s="10"/>
      <c r="P92" s="10"/>
      <c r="Q92" s="122"/>
      <c r="R92" s="130"/>
      <c r="S92" s="38"/>
      <c r="T92" s="38"/>
      <c r="U92" s="38"/>
      <c r="V92" s="37"/>
      <c r="W92" s="130"/>
      <c r="X92" s="38"/>
      <c r="Y92" s="38"/>
      <c r="Z92" s="38"/>
      <c r="AA92" s="37"/>
      <c r="AB92" s="130"/>
      <c r="AC92" s="38"/>
      <c r="AD92" s="38"/>
      <c r="AE92" s="38"/>
      <c r="AF92" s="38"/>
      <c r="AG92" s="130"/>
      <c r="AH92" s="38"/>
      <c r="AI92" s="38"/>
      <c r="AJ92" s="38"/>
      <c r="AK92" s="37"/>
      <c r="AL92" s="130"/>
      <c r="AM92" s="38"/>
      <c r="AN92" s="38"/>
      <c r="AO92" s="38"/>
      <c r="AP92" s="38"/>
      <c r="AQ92" s="130"/>
      <c r="AR92" s="38"/>
      <c r="AS92" s="38"/>
      <c r="AT92" s="38"/>
      <c r="AU92" s="38"/>
      <c r="AZ92" s="38"/>
      <c r="BA92" s="130"/>
      <c r="BB92" s="38"/>
      <c r="BC92" s="38"/>
      <c r="BD92" s="38"/>
      <c r="BE92" s="38"/>
      <c r="BF92" s="130"/>
      <c r="BG92" s="38"/>
      <c r="BH92" s="38"/>
      <c r="BI92" s="38"/>
      <c r="BJ92" s="786"/>
      <c r="BK92" s="130"/>
      <c r="BL92" s="38"/>
      <c r="BM92" s="38"/>
      <c r="BN92" s="38"/>
      <c r="BO92" s="786"/>
      <c r="BP92" s="130"/>
      <c r="BQ92" s="38"/>
      <c r="BR92" s="38"/>
      <c r="BS92" s="38"/>
      <c r="BT92" s="786"/>
      <c r="BU92" s="130"/>
      <c r="BV92" s="38"/>
      <c r="BW92" s="38"/>
      <c r="BX92" s="38"/>
      <c r="BY92" s="31"/>
      <c r="BZ92" s="130"/>
      <c r="CA92" s="38"/>
      <c r="CB92" s="38"/>
      <c r="CC92" s="38"/>
      <c r="CD92" s="38"/>
      <c r="CE92" s="130"/>
      <c r="CF92" s="38"/>
      <c r="CG92" s="38"/>
      <c r="CH92" s="38"/>
      <c r="CI92" s="31"/>
      <c r="CO92" s="130"/>
      <c r="CP92" s="38"/>
      <c r="CQ92" s="38"/>
      <c r="CR92" s="38"/>
      <c r="CS92" s="31"/>
      <c r="CT92" s="130"/>
      <c r="CU92" s="38"/>
      <c r="CV92" s="38"/>
      <c r="CW92" s="38"/>
      <c r="CX92" s="31"/>
      <c r="CY92" s="130"/>
      <c r="CZ92" s="38"/>
      <c r="DA92" s="38"/>
      <c r="DB92" s="38"/>
      <c r="DC92" s="31"/>
      <c r="DD92" s="130"/>
      <c r="DE92" s="38"/>
      <c r="DF92" s="38"/>
      <c r="DG92" s="38"/>
      <c r="DH92" s="31"/>
      <c r="DI92" s="130"/>
      <c r="DJ92" s="38"/>
      <c r="DK92" s="38"/>
      <c r="DL92" s="38"/>
      <c r="DM92" s="31"/>
      <c r="DN92" s="130"/>
      <c r="DO92" s="38"/>
      <c r="DP92" s="38"/>
      <c r="DQ92" s="38"/>
      <c r="DR92" s="31"/>
      <c r="DS92" s="130"/>
      <c r="DT92" s="38"/>
      <c r="DU92" s="38"/>
      <c r="DV92" s="38"/>
      <c r="DW92" s="31"/>
      <c r="DX92" s="130"/>
      <c r="DY92" s="38"/>
      <c r="DZ92" s="38"/>
      <c r="EA92" s="38"/>
      <c r="EB92" s="31"/>
      <c r="EC92" s="130"/>
      <c r="ED92" s="38"/>
      <c r="EE92" s="38"/>
      <c r="EF92" s="38"/>
      <c r="EG92" s="31"/>
      <c r="EH92" s="130"/>
      <c r="EI92" s="38"/>
      <c r="EJ92" s="38"/>
      <c r="EK92" s="38"/>
      <c r="EL92" s="31"/>
      <c r="EM92" s="131"/>
      <c r="EN92" s="132"/>
      <c r="EO92" s="132"/>
      <c r="EP92" s="132"/>
      <c r="EQ92" s="132"/>
      <c r="ER92" s="31"/>
      <c r="ES92" s="131"/>
      <c r="ET92" s="132"/>
      <c r="EU92" s="132"/>
      <c r="EV92" s="132"/>
      <c r="EW92" s="132"/>
    </row>
    <row r="93" spans="1:153" s="8" customFormat="1" ht="15" customHeight="1">
      <c r="A93"/>
      <c r="B93" s="129"/>
      <c r="C93" s="129"/>
      <c r="D93" s="10"/>
      <c r="E93" s="122"/>
      <c r="F93" s="122"/>
      <c r="G93" s="122"/>
      <c r="H93" s="122"/>
      <c r="I93" s="122"/>
      <c r="J93" s="10"/>
      <c r="K93" s="10"/>
      <c r="L93" s="122"/>
      <c r="M93" s="10"/>
      <c r="N93" s="10"/>
      <c r="O93" s="10"/>
      <c r="P93" s="10"/>
      <c r="Q93" s="122"/>
      <c r="R93" s="130"/>
      <c r="S93" s="38"/>
      <c r="T93" s="38"/>
      <c r="U93" s="38"/>
      <c r="V93" s="37"/>
      <c r="W93" s="130"/>
      <c r="X93" s="38"/>
      <c r="Y93" s="38"/>
      <c r="Z93" s="38"/>
      <c r="AA93" s="37"/>
      <c r="AB93" s="130"/>
      <c r="AC93" s="38"/>
      <c r="AD93" s="38"/>
      <c r="AE93" s="38"/>
      <c r="AF93" s="38"/>
      <c r="AG93" s="130"/>
      <c r="AH93" s="38"/>
      <c r="AI93" s="38"/>
      <c r="AJ93" s="38"/>
      <c r="AK93" s="37"/>
      <c r="AL93" s="130"/>
      <c r="AM93" s="38"/>
      <c r="AN93" s="38"/>
      <c r="AO93" s="38"/>
      <c r="AP93" s="38"/>
      <c r="AQ93" s="130"/>
      <c r="AR93" s="38"/>
      <c r="AS93" s="38"/>
      <c r="AT93" s="38"/>
      <c r="AU93" s="38"/>
      <c r="AZ93" s="38"/>
      <c r="BA93" s="130"/>
      <c r="BB93" s="38"/>
      <c r="BC93" s="38"/>
      <c r="BD93" s="38"/>
      <c r="BE93" s="38"/>
      <c r="BF93" s="130"/>
      <c r="BG93" s="38"/>
      <c r="BH93" s="38"/>
      <c r="BI93" s="38"/>
      <c r="BJ93" s="786"/>
      <c r="BK93" s="130"/>
      <c r="BL93" s="38"/>
      <c r="BM93" s="38"/>
      <c r="BN93" s="38"/>
      <c r="BO93" s="786"/>
      <c r="BP93" s="130"/>
      <c r="BQ93" s="38"/>
      <c r="BR93" s="38"/>
      <c r="BS93" s="38"/>
      <c r="BT93" s="786"/>
      <c r="BU93" s="130"/>
      <c r="BV93" s="38"/>
      <c r="BW93" s="38"/>
      <c r="BX93" s="38"/>
      <c r="BY93" s="31"/>
      <c r="BZ93" s="130"/>
      <c r="CA93" s="38"/>
      <c r="CB93" s="38"/>
      <c r="CC93" s="38"/>
      <c r="CD93" s="38"/>
      <c r="CE93" s="130"/>
      <c r="CF93" s="38"/>
      <c r="CG93" s="38"/>
      <c r="CH93" s="38"/>
      <c r="CI93" s="31"/>
      <c r="CO93" s="130"/>
      <c r="CP93" s="38"/>
      <c r="CQ93" s="38"/>
      <c r="CR93" s="38"/>
      <c r="CS93" s="31"/>
      <c r="CT93" s="130"/>
      <c r="CU93" s="38"/>
      <c r="CV93" s="38"/>
      <c r="CW93" s="38"/>
      <c r="CX93" s="31"/>
      <c r="CY93" s="130"/>
      <c r="CZ93" s="38"/>
      <c r="DA93" s="38"/>
      <c r="DB93" s="38"/>
      <c r="DC93" s="31"/>
      <c r="DD93" s="130"/>
      <c r="DE93" s="38"/>
      <c r="DF93" s="38"/>
      <c r="DG93" s="38"/>
      <c r="DH93" s="31"/>
      <c r="DI93" s="130"/>
      <c r="DJ93" s="38"/>
      <c r="DK93" s="38"/>
      <c r="DL93" s="38"/>
      <c r="DM93" s="31"/>
      <c r="DN93" s="130"/>
      <c r="DO93" s="38"/>
      <c r="DP93" s="38"/>
      <c r="DQ93" s="38"/>
      <c r="DR93" s="31"/>
      <c r="DS93" s="130"/>
      <c r="DT93" s="38"/>
      <c r="DU93" s="38"/>
      <c r="DV93" s="38"/>
      <c r="DW93" s="31"/>
      <c r="DX93" s="130"/>
      <c r="DY93" s="38"/>
      <c r="DZ93" s="38"/>
      <c r="EA93" s="38"/>
      <c r="EB93" s="31"/>
      <c r="EC93" s="130"/>
      <c r="ED93" s="38"/>
      <c r="EE93" s="38"/>
      <c r="EF93" s="38"/>
      <c r="EG93" s="31"/>
      <c r="EH93" s="130"/>
      <c r="EI93" s="38"/>
      <c r="EJ93" s="38"/>
      <c r="EK93" s="38"/>
      <c r="EL93" s="31"/>
      <c r="EM93" s="131"/>
      <c r="EN93" s="132"/>
      <c r="EO93" s="132"/>
      <c r="EP93" s="132"/>
      <c r="EQ93" s="132"/>
      <c r="ER93" s="31"/>
      <c r="ES93" s="131"/>
      <c r="ET93" s="132"/>
      <c r="EU93" s="132"/>
      <c r="EV93" s="132"/>
      <c r="EW93" s="132"/>
    </row>
    <row r="94" spans="1:153" s="8" customFormat="1" ht="15" customHeight="1">
      <c r="A94"/>
      <c r="B94" s="129"/>
      <c r="C94" s="129"/>
      <c r="D94" s="10"/>
      <c r="E94" s="122"/>
      <c r="F94" s="122"/>
      <c r="G94" s="122"/>
      <c r="H94" s="122"/>
      <c r="I94" s="122"/>
      <c r="J94" s="10"/>
      <c r="K94" s="10"/>
      <c r="L94" s="122"/>
      <c r="M94" s="10"/>
      <c r="N94" s="10"/>
      <c r="O94" s="10"/>
      <c r="P94" s="10"/>
      <c r="Q94" s="122"/>
      <c r="R94" s="130"/>
      <c r="S94" s="38"/>
      <c r="T94" s="38"/>
      <c r="U94" s="38"/>
      <c r="V94" s="37"/>
      <c r="W94" s="130"/>
      <c r="X94" s="38"/>
      <c r="Y94" s="38"/>
      <c r="Z94" s="38"/>
      <c r="AA94" s="37"/>
      <c r="AB94" s="130"/>
      <c r="AC94" s="38"/>
      <c r="AD94" s="38"/>
      <c r="AE94" s="38"/>
      <c r="AF94" s="38"/>
      <c r="AG94" s="130"/>
      <c r="AH94" s="38"/>
      <c r="AI94" s="38"/>
      <c r="AJ94" s="38"/>
      <c r="AK94" s="37"/>
      <c r="AL94" s="130"/>
      <c r="AM94" s="38"/>
      <c r="AN94" s="38"/>
      <c r="AO94" s="38"/>
      <c r="AP94" s="38"/>
      <c r="AQ94" s="130"/>
      <c r="AR94" s="38"/>
      <c r="AS94" s="38"/>
      <c r="AT94" s="38"/>
      <c r="AU94" s="38"/>
      <c r="AZ94" s="38"/>
      <c r="BA94" s="130"/>
      <c r="BB94" s="38"/>
      <c r="BC94" s="38"/>
      <c r="BD94" s="38"/>
      <c r="BE94" s="38"/>
      <c r="BF94" s="130"/>
      <c r="BG94" s="38"/>
      <c r="BH94" s="38"/>
      <c r="BI94" s="38"/>
      <c r="BJ94" s="786"/>
      <c r="BK94" s="130"/>
      <c r="BL94" s="38"/>
      <c r="BM94" s="38"/>
      <c r="BN94" s="38"/>
      <c r="BO94" s="786"/>
      <c r="BP94" s="130"/>
      <c r="BQ94" s="38"/>
      <c r="BR94" s="38"/>
      <c r="BS94" s="38"/>
      <c r="BT94" s="786"/>
      <c r="BU94" s="130"/>
      <c r="BV94" s="38"/>
      <c r="BW94" s="38"/>
      <c r="BX94" s="38"/>
      <c r="BY94" s="31"/>
      <c r="BZ94" s="130"/>
      <c r="CA94" s="38"/>
      <c r="CB94" s="38"/>
      <c r="CC94" s="38"/>
      <c r="CD94" s="38"/>
      <c r="CE94" s="130"/>
      <c r="CF94" s="38"/>
      <c r="CG94" s="38"/>
      <c r="CH94" s="38"/>
      <c r="CI94" s="31"/>
      <c r="CO94" s="130"/>
      <c r="CP94" s="38"/>
      <c r="CQ94" s="38"/>
      <c r="CR94" s="38"/>
      <c r="CS94" s="31"/>
      <c r="CT94" s="130"/>
      <c r="CU94" s="38"/>
      <c r="CV94" s="38"/>
      <c r="CW94" s="38"/>
      <c r="CX94" s="31"/>
      <c r="CY94" s="130"/>
      <c r="CZ94" s="38"/>
      <c r="DA94" s="38"/>
      <c r="DB94" s="38"/>
      <c r="DC94" s="31"/>
      <c r="DD94" s="130"/>
      <c r="DE94" s="38"/>
      <c r="DF94" s="38"/>
      <c r="DG94" s="38"/>
      <c r="DH94" s="31"/>
      <c r="DI94" s="130"/>
      <c r="DJ94" s="38"/>
      <c r="DK94" s="38"/>
      <c r="DL94" s="38"/>
      <c r="DM94" s="31"/>
      <c r="DN94" s="130"/>
      <c r="DO94" s="38"/>
      <c r="DP94" s="38"/>
      <c r="DQ94" s="38"/>
      <c r="DR94" s="31"/>
      <c r="DS94" s="130"/>
      <c r="DT94" s="38"/>
      <c r="DU94" s="38"/>
      <c r="DV94" s="38"/>
      <c r="DW94" s="31"/>
      <c r="DX94" s="130"/>
      <c r="DY94" s="38"/>
      <c r="DZ94" s="38"/>
      <c r="EA94" s="38"/>
      <c r="EB94" s="31"/>
      <c r="EC94" s="130"/>
      <c r="ED94" s="38"/>
      <c r="EE94" s="38"/>
      <c r="EF94" s="38"/>
      <c r="EG94" s="31"/>
      <c r="EH94" s="130"/>
      <c r="EI94" s="38"/>
      <c r="EJ94" s="38"/>
      <c r="EK94" s="38"/>
      <c r="EL94" s="31"/>
      <c r="EM94" s="131"/>
      <c r="EN94" s="132"/>
      <c r="EO94" s="132"/>
      <c r="EP94" s="132"/>
      <c r="EQ94" s="132"/>
      <c r="ER94" s="31"/>
      <c r="ES94" s="131"/>
      <c r="ET94" s="132"/>
      <c r="EU94" s="132"/>
      <c r="EV94" s="132"/>
      <c r="EW94" s="132"/>
    </row>
    <row r="95" spans="1:153" s="8" customFormat="1" ht="15" customHeight="1">
      <c r="A95"/>
      <c r="B95" s="129"/>
      <c r="C95" s="129"/>
      <c r="D95" s="10"/>
      <c r="E95" s="122"/>
      <c r="F95" s="122"/>
      <c r="G95" s="122"/>
      <c r="H95" s="122"/>
      <c r="I95" s="122"/>
      <c r="J95" s="10"/>
      <c r="K95" s="10"/>
      <c r="L95" s="122"/>
      <c r="M95" s="10"/>
      <c r="N95" s="10"/>
      <c r="O95" s="10"/>
      <c r="P95" s="10"/>
      <c r="Q95" s="122"/>
      <c r="R95" s="130"/>
      <c r="S95" s="38"/>
      <c r="T95" s="38"/>
      <c r="U95" s="38"/>
      <c r="V95" s="37"/>
      <c r="W95" s="130"/>
      <c r="X95" s="38"/>
      <c r="Y95" s="38"/>
      <c r="Z95" s="38"/>
      <c r="AA95" s="37"/>
      <c r="AB95" s="130"/>
      <c r="AC95" s="38"/>
      <c r="AD95" s="38"/>
      <c r="AE95" s="38"/>
      <c r="AF95" s="38"/>
      <c r="AG95" s="130"/>
      <c r="AH95" s="38"/>
      <c r="AI95" s="38"/>
      <c r="AJ95" s="38"/>
      <c r="AK95" s="37"/>
      <c r="AL95" s="130"/>
      <c r="AM95" s="38"/>
      <c r="AN95" s="38"/>
      <c r="AO95" s="38"/>
      <c r="AP95" s="38"/>
      <c r="AQ95" s="130"/>
      <c r="AR95" s="38"/>
      <c r="AS95" s="38"/>
      <c r="AT95" s="38"/>
      <c r="AU95" s="38"/>
      <c r="AZ95" s="38"/>
      <c r="BA95" s="130"/>
      <c r="BB95" s="38"/>
      <c r="BC95" s="38"/>
      <c r="BD95" s="38"/>
      <c r="BE95" s="38"/>
      <c r="BF95" s="130"/>
      <c r="BG95" s="38"/>
      <c r="BH95" s="38"/>
      <c r="BI95" s="38"/>
      <c r="BJ95" s="786"/>
      <c r="BK95" s="130"/>
      <c r="BL95" s="38"/>
      <c r="BM95" s="38"/>
      <c r="BN95" s="38"/>
      <c r="BO95" s="786"/>
      <c r="BP95" s="130"/>
      <c r="BQ95" s="38"/>
      <c r="BR95" s="38"/>
      <c r="BS95" s="38"/>
      <c r="BT95" s="786"/>
      <c r="BU95" s="130"/>
      <c r="BV95" s="38"/>
      <c r="BW95" s="38"/>
      <c r="BX95" s="38"/>
      <c r="BY95" s="31"/>
      <c r="BZ95" s="130"/>
      <c r="CA95" s="38"/>
      <c r="CB95" s="38"/>
      <c r="CC95" s="38"/>
      <c r="CD95" s="38"/>
      <c r="CE95" s="130"/>
      <c r="CF95" s="38"/>
      <c r="CG95" s="38"/>
      <c r="CH95" s="38"/>
      <c r="CI95" s="31"/>
      <c r="CO95" s="130"/>
      <c r="CP95" s="38"/>
      <c r="CQ95" s="38"/>
      <c r="CR95" s="38"/>
      <c r="CS95" s="31"/>
      <c r="CT95" s="130"/>
      <c r="CU95" s="38"/>
      <c r="CV95" s="38"/>
      <c r="CW95" s="38"/>
      <c r="CX95" s="31"/>
      <c r="CY95" s="130"/>
      <c r="CZ95" s="38"/>
      <c r="DA95" s="38"/>
      <c r="DB95" s="38"/>
      <c r="DC95" s="31"/>
      <c r="DD95" s="130"/>
      <c r="DE95" s="38"/>
      <c r="DF95" s="38"/>
      <c r="DG95" s="38"/>
      <c r="DH95" s="31"/>
      <c r="DI95" s="130"/>
      <c r="DJ95" s="38"/>
      <c r="DK95" s="38"/>
      <c r="DL95" s="38"/>
      <c r="DM95" s="31"/>
      <c r="DN95" s="130"/>
      <c r="DO95" s="38"/>
      <c r="DP95" s="38"/>
      <c r="DQ95" s="38"/>
      <c r="DR95" s="31"/>
      <c r="DS95" s="130"/>
      <c r="DT95" s="38"/>
      <c r="DU95" s="38"/>
      <c r="DV95" s="38"/>
      <c r="DW95" s="31"/>
      <c r="DX95" s="130"/>
      <c r="DY95" s="38"/>
      <c r="DZ95" s="38"/>
      <c r="EA95" s="38"/>
      <c r="EB95" s="31"/>
      <c r="EC95" s="130"/>
      <c r="ED95" s="38"/>
      <c r="EE95" s="38"/>
      <c r="EF95" s="38"/>
      <c r="EG95" s="31"/>
      <c r="EH95" s="130"/>
      <c r="EI95" s="38"/>
      <c r="EJ95" s="38"/>
      <c r="EK95" s="38"/>
      <c r="EL95" s="31"/>
      <c r="EM95" s="131"/>
      <c r="EN95" s="132"/>
      <c r="EO95" s="132"/>
      <c r="EP95" s="132"/>
      <c r="EQ95" s="132"/>
      <c r="ER95" s="31"/>
      <c r="ES95" s="131"/>
      <c r="ET95" s="132"/>
      <c r="EU95" s="132"/>
      <c r="EV95" s="132"/>
      <c r="EW95" s="132"/>
    </row>
    <row r="96" spans="1:153" s="8" customFormat="1" ht="15" customHeight="1">
      <c r="A96"/>
      <c r="B96" s="129"/>
      <c r="C96" s="129"/>
      <c r="D96" s="10"/>
      <c r="E96" s="122"/>
      <c r="F96" s="122"/>
      <c r="G96" s="122"/>
      <c r="H96" s="122"/>
      <c r="I96" s="122"/>
      <c r="J96" s="10"/>
      <c r="K96" s="10"/>
      <c r="L96" s="122"/>
      <c r="M96" s="10"/>
      <c r="N96" s="10"/>
      <c r="O96" s="10"/>
      <c r="P96" s="10"/>
      <c r="Q96" s="122"/>
      <c r="R96" s="130"/>
      <c r="S96" s="38"/>
      <c r="T96" s="38"/>
      <c r="U96" s="38"/>
      <c r="V96" s="37"/>
      <c r="W96" s="130"/>
      <c r="X96" s="38"/>
      <c r="Y96" s="38"/>
      <c r="Z96" s="38"/>
      <c r="AA96" s="37"/>
      <c r="AB96" s="130"/>
      <c r="AC96" s="38"/>
      <c r="AD96" s="38"/>
      <c r="AE96" s="38"/>
      <c r="AF96" s="38"/>
      <c r="AG96" s="130"/>
      <c r="AH96" s="38"/>
      <c r="AI96" s="38"/>
      <c r="AJ96" s="38"/>
      <c r="AK96" s="37"/>
      <c r="AL96" s="130"/>
      <c r="AM96" s="38"/>
      <c r="AN96" s="38"/>
      <c r="AO96" s="38"/>
      <c r="AP96" s="38"/>
      <c r="AQ96" s="130"/>
      <c r="AR96" s="38"/>
      <c r="AS96" s="38"/>
      <c r="AT96" s="38"/>
      <c r="AU96" s="38"/>
      <c r="AZ96" s="38"/>
      <c r="BA96" s="130"/>
      <c r="BB96" s="38"/>
      <c r="BC96" s="38"/>
      <c r="BD96" s="38"/>
      <c r="BE96" s="38"/>
      <c r="BF96" s="130"/>
      <c r="BG96" s="38"/>
      <c r="BH96" s="38"/>
      <c r="BI96" s="38"/>
      <c r="BJ96" s="786"/>
      <c r="BK96" s="130"/>
      <c r="BL96" s="38"/>
      <c r="BM96" s="38"/>
      <c r="BN96" s="38"/>
      <c r="BO96" s="786"/>
      <c r="BP96" s="130"/>
      <c r="BQ96" s="38"/>
      <c r="BR96" s="38"/>
      <c r="BS96" s="38"/>
      <c r="BT96" s="786"/>
      <c r="BU96" s="130"/>
      <c r="BV96" s="38"/>
      <c r="BW96" s="38"/>
      <c r="BX96" s="38"/>
      <c r="BY96" s="31"/>
      <c r="BZ96" s="130"/>
      <c r="CA96" s="38"/>
      <c r="CB96" s="38"/>
      <c r="CC96" s="38"/>
      <c r="CD96" s="38"/>
      <c r="CE96" s="130"/>
      <c r="CF96" s="38"/>
      <c r="CG96" s="38"/>
      <c r="CH96" s="38"/>
      <c r="CI96" s="31"/>
      <c r="CO96" s="130"/>
      <c r="CP96" s="38"/>
      <c r="CQ96" s="38"/>
      <c r="CR96" s="38"/>
      <c r="CS96" s="31"/>
      <c r="CT96" s="130"/>
      <c r="CU96" s="38"/>
      <c r="CV96" s="38"/>
      <c r="CW96" s="38"/>
      <c r="CX96" s="31"/>
      <c r="CY96" s="130"/>
      <c r="CZ96" s="38"/>
      <c r="DA96" s="38"/>
      <c r="DB96" s="38"/>
      <c r="DC96" s="31"/>
      <c r="DD96" s="130"/>
      <c r="DE96" s="38"/>
      <c r="DF96" s="38"/>
      <c r="DG96" s="38"/>
      <c r="DH96" s="31"/>
      <c r="DI96" s="130"/>
      <c r="DJ96" s="38"/>
      <c r="DK96" s="38"/>
      <c r="DL96" s="38"/>
      <c r="DM96" s="31"/>
      <c r="DN96" s="130"/>
      <c r="DO96" s="38"/>
      <c r="DP96" s="38"/>
      <c r="DQ96" s="38"/>
      <c r="DR96" s="31"/>
      <c r="DS96" s="130"/>
      <c r="DT96" s="38"/>
      <c r="DU96" s="38"/>
      <c r="DV96" s="38"/>
      <c r="DW96" s="31"/>
      <c r="DX96" s="130"/>
      <c r="DY96" s="38"/>
      <c r="DZ96" s="38"/>
      <c r="EA96" s="38"/>
      <c r="EB96" s="31"/>
      <c r="EC96" s="130"/>
      <c r="ED96" s="38"/>
      <c r="EE96" s="38"/>
      <c r="EF96" s="38"/>
      <c r="EG96" s="31"/>
      <c r="EH96" s="130"/>
      <c r="EI96" s="38"/>
      <c r="EJ96" s="38"/>
      <c r="EK96" s="38"/>
      <c r="EL96" s="31"/>
      <c r="EM96" s="131"/>
      <c r="EN96" s="132"/>
      <c r="EO96" s="132"/>
      <c r="EP96" s="132"/>
      <c r="EQ96" s="132"/>
      <c r="ER96" s="31"/>
      <c r="ES96" s="131"/>
      <c r="ET96" s="132"/>
      <c r="EU96" s="132"/>
      <c r="EV96" s="132"/>
      <c r="EW96" s="132"/>
    </row>
    <row r="97" spans="1:153" s="8" customFormat="1" ht="15" customHeight="1">
      <c r="A97"/>
      <c r="B97" s="129"/>
      <c r="C97" s="129"/>
      <c r="D97" s="10"/>
      <c r="E97" s="122"/>
      <c r="F97" s="122"/>
      <c r="G97" s="122"/>
      <c r="H97" s="122"/>
      <c r="I97" s="122"/>
      <c r="J97" s="10"/>
      <c r="K97" s="10"/>
      <c r="L97" s="122"/>
      <c r="M97" s="10"/>
      <c r="N97" s="10"/>
      <c r="O97" s="10"/>
      <c r="P97" s="10"/>
      <c r="Q97" s="122"/>
      <c r="R97" s="130"/>
      <c r="S97" s="38"/>
      <c r="T97" s="38"/>
      <c r="U97" s="38"/>
      <c r="V97" s="37"/>
      <c r="W97" s="130"/>
      <c r="X97" s="38"/>
      <c r="Y97" s="38"/>
      <c r="Z97" s="38"/>
      <c r="AA97" s="37"/>
      <c r="AB97" s="130"/>
      <c r="AC97" s="38"/>
      <c r="AD97" s="38"/>
      <c r="AE97" s="38"/>
      <c r="AF97" s="38"/>
      <c r="AG97" s="130"/>
      <c r="AH97" s="38"/>
      <c r="AI97" s="38"/>
      <c r="AJ97" s="38"/>
      <c r="AK97" s="37"/>
      <c r="AL97" s="130"/>
      <c r="AM97" s="38"/>
      <c r="AN97" s="38"/>
      <c r="AO97" s="38"/>
      <c r="AP97" s="38"/>
      <c r="AQ97" s="130"/>
      <c r="AR97" s="38"/>
      <c r="AS97" s="38"/>
      <c r="AT97" s="38"/>
      <c r="AU97" s="38"/>
      <c r="AZ97" s="38"/>
      <c r="BA97" s="130"/>
      <c r="BB97" s="38"/>
      <c r="BC97" s="38"/>
      <c r="BD97" s="38"/>
      <c r="BE97" s="38"/>
      <c r="BF97" s="130"/>
      <c r="BG97" s="38"/>
      <c r="BH97" s="38"/>
      <c r="BI97" s="38"/>
      <c r="BJ97" s="786"/>
      <c r="BK97" s="130"/>
      <c r="BL97" s="38"/>
      <c r="BM97" s="38"/>
      <c r="BN97" s="38"/>
      <c r="BO97" s="786"/>
      <c r="BP97" s="130"/>
      <c r="BQ97" s="38"/>
      <c r="BR97" s="38"/>
      <c r="BS97" s="38"/>
      <c r="BT97" s="786"/>
      <c r="BU97" s="130"/>
      <c r="BV97" s="38"/>
      <c r="BW97" s="38"/>
      <c r="BX97" s="38"/>
      <c r="BY97" s="31"/>
      <c r="BZ97" s="130"/>
      <c r="CA97" s="38"/>
      <c r="CB97" s="38"/>
      <c r="CC97" s="38"/>
      <c r="CD97" s="38"/>
      <c r="CE97" s="130"/>
      <c r="CF97" s="38"/>
      <c r="CG97" s="38"/>
      <c r="CH97" s="38"/>
      <c r="CI97" s="31"/>
      <c r="CO97" s="130"/>
      <c r="CP97" s="38"/>
      <c r="CQ97" s="38"/>
      <c r="CR97" s="38"/>
      <c r="CS97" s="31"/>
      <c r="CT97" s="130"/>
      <c r="CU97" s="38"/>
      <c r="CV97" s="38"/>
      <c r="CW97" s="38"/>
      <c r="CX97" s="31"/>
      <c r="CY97" s="130"/>
      <c r="CZ97" s="38"/>
      <c r="DA97" s="38"/>
      <c r="DB97" s="38"/>
      <c r="DC97" s="31"/>
      <c r="DD97" s="130"/>
      <c r="DE97" s="38"/>
      <c r="DF97" s="38"/>
      <c r="DG97" s="38"/>
      <c r="DH97" s="31"/>
      <c r="DI97" s="130"/>
      <c r="DJ97" s="38"/>
      <c r="DK97" s="38"/>
      <c r="DL97" s="38"/>
      <c r="DM97" s="31"/>
      <c r="DN97" s="130"/>
      <c r="DO97" s="38"/>
      <c r="DP97" s="38"/>
      <c r="DQ97" s="38"/>
      <c r="DR97" s="31"/>
      <c r="DS97" s="130"/>
      <c r="DT97" s="38"/>
      <c r="DU97" s="38"/>
      <c r="DV97" s="38"/>
      <c r="DW97" s="31"/>
      <c r="DX97" s="130"/>
      <c r="DY97" s="38"/>
      <c r="DZ97" s="38"/>
      <c r="EA97" s="38"/>
      <c r="EB97" s="31"/>
      <c r="EC97" s="130"/>
      <c r="ED97" s="38"/>
      <c r="EE97" s="38"/>
      <c r="EF97" s="38"/>
      <c r="EG97" s="31"/>
      <c r="EH97" s="130"/>
      <c r="EI97" s="38"/>
      <c r="EJ97" s="38"/>
      <c r="EK97" s="38"/>
      <c r="EL97" s="31"/>
      <c r="EM97" s="131"/>
      <c r="EN97" s="132"/>
      <c r="EO97" s="132"/>
      <c r="EP97" s="132"/>
      <c r="EQ97" s="132"/>
      <c r="ER97" s="31"/>
      <c r="ES97" s="131"/>
      <c r="ET97" s="132"/>
      <c r="EU97" s="132"/>
      <c r="EV97" s="132"/>
      <c r="EW97" s="132"/>
    </row>
    <row r="98" spans="1:153" s="8" customFormat="1" ht="15" customHeight="1">
      <c r="A98"/>
      <c r="B98" s="129"/>
      <c r="C98" s="129"/>
      <c r="D98" s="10"/>
      <c r="E98" s="122"/>
      <c r="F98" s="122"/>
      <c r="G98" s="122"/>
      <c r="H98" s="122"/>
      <c r="I98" s="122"/>
      <c r="J98" s="10"/>
      <c r="K98" s="10"/>
      <c r="L98" s="122"/>
      <c r="M98" s="10"/>
      <c r="N98" s="10"/>
      <c r="O98" s="10"/>
      <c r="P98" s="10"/>
      <c r="Q98" s="122"/>
      <c r="R98" s="130"/>
      <c r="S98" s="38"/>
      <c r="T98" s="38"/>
      <c r="U98" s="38"/>
      <c r="V98" s="37"/>
      <c r="W98" s="130"/>
      <c r="X98" s="38"/>
      <c r="Y98" s="38"/>
      <c r="Z98" s="38"/>
      <c r="AA98" s="37"/>
      <c r="AB98" s="130"/>
      <c r="AC98" s="38"/>
      <c r="AD98" s="38"/>
      <c r="AE98" s="38"/>
      <c r="AF98" s="38"/>
      <c r="AG98" s="130"/>
      <c r="AH98" s="38"/>
      <c r="AI98" s="38"/>
      <c r="AJ98" s="38"/>
      <c r="AK98" s="37"/>
      <c r="AL98" s="130"/>
      <c r="AM98" s="38"/>
      <c r="AN98" s="38"/>
      <c r="AO98" s="38"/>
      <c r="AP98" s="38"/>
      <c r="AQ98" s="130"/>
      <c r="AR98" s="38"/>
      <c r="AS98" s="38"/>
      <c r="AT98" s="38"/>
      <c r="AU98" s="38"/>
      <c r="AZ98" s="38"/>
      <c r="BA98" s="130"/>
      <c r="BB98" s="38"/>
      <c r="BC98" s="38"/>
      <c r="BD98" s="38"/>
      <c r="BE98" s="38"/>
      <c r="BF98" s="130"/>
      <c r="BG98" s="38"/>
      <c r="BH98" s="38"/>
      <c r="BI98" s="38"/>
      <c r="BJ98" s="786"/>
      <c r="BK98" s="130"/>
      <c r="BL98" s="38"/>
      <c r="BM98" s="38"/>
      <c r="BN98" s="38"/>
      <c r="BO98" s="786"/>
      <c r="BP98" s="130"/>
      <c r="BQ98" s="38"/>
      <c r="BR98" s="38"/>
      <c r="BS98" s="38"/>
      <c r="BT98" s="786"/>
      <c r="BU98" s="130"/>
      <c r="BV98" s="38"/>
      <c r="BW98" s="38"/>
      <c r="BX98" s="38"/>
      <c r="BY98" s="31"/>
      <c r="BZ98" s="130"/>
      <c r="CA98" s="38"/>
      <c r="CB98" s="38"/>
      <c r="CC98" s="38"/>
      <c r="CD98" s="38"/>
      <c r="CE98" s="130"/>
      <c r="CF98" s="38"/>
      <c r="CG98" s="38"/>
      <c r="CH98" s="38"/>
      <c r="CI98" s="31"/>
      <c r="CO98" s="130"/>
      <c r="CP98" s="38"/>
      <c r="CQ98" s="38"/>
      <c r="CR98" s="38"/>
      <c r="CS98" s="31"/>
      <c r="CT98" s="130"/>
      <c r="CU98" s="38"/>
      <c r="CV98" s="38"/>
      <c r="CW98" s="38"/>
      <c r="CX98" s="31"/>
      <c r="CY98" s="130"/>
      <c r="CZ98" s="38"/>
      <c r="DA98" s="38"/>
      <c r="DB98" s="38"/>
      <c r="DC98" s="31"/>
      <c r="DD98" s="130"/>
      <c r="DE98" s="38"/>
      <c r="DF98" s="38"/>
      <c r="DG98" s="38"/>
      <c r="DH98" s="31"/>
      <c r="DI98" s="130"/>
      <c r="DJ98" s="38"/>
      <c r="DK98" s="38"/>
      <c r="DL98" s="38"/>
      <c r="DM98" s="31"/>
      <c r="DN98" s="130"/>
      <c r="DO98" s="38"/>
      <c r="DP98" s="38"/>
      <c r="DQ98" s="38"/>
      <c r="DR98" s="31"/>
      <c r="DS98" s="130"/>
      <c r="DT98" s="38"/>
      <c r="DU98" s="38"/>
      <c r="DV98" s="38"/>
      <c r="DW98" s="31"/>
      <c r="DX98" s="130"/>
      <c r="DY98" s="38"/>
      <c r="DZ98" s="38"/>
      <c r="EA98" s="38"/>
      <c r="EB98" s="31"/>
      <c r="EC98" s="130"/>
      <c r="ED98" s="38"/>
      <c r="EE98" s="38"/>
      <c r="EF98" s="38"/>
      <c r="EG98" s="31"/>
      <c r="EH98" s="130"/>
      <c r="EI98" s="38"/>
      <c r="EJ98" s="38"/>
      <c r="EK98" s="38"/>
      <c r="EL98" s="31"/>
      <c r="EM98" s="131"/>
      <c r="EN98" s="132"/>
      <c r="EO98" s="132"/>
      <c r="EP98" s="132"/>
      <c r="EQ98" s="132"/>
      <c r="ER98" s="31"/>
      <c r="ES98" s="131"/>
      <c r="ET98" s="132"/>
      <c r="EU98" s="132"/>
      <c r="EV98" s="132"/>
      <c r="EW98" s="132"/>
    </row>
    <row r="99" spans="1:153" s="8" customFormat="1" ht="15" customHeight="1">
      <c r="A99"/>
      <c r="B99" s="129"/>
      <c r="C99" s="129"/>
      <c r="D99" s="10"/>
      <c r="E99" s="122"/>
      <c r="F99" s="122"/>
      <c r="G99" s="122"/>
      <c r="H99" s="122"/>
      <c r="I99" s="122"/>
      <c r="J99" s="10"/>
      <c r="K99" s="10"/>
      <c r="L99" s="122"/>
      <c r="M99" s="10"/>
      <c r="N99" s="10"/>
      <c r="O99" s="10"/>
      <c r="P99" s="10"/>
      <c r="Q99" s="122"/>
      <c r="R99" s="130"/>
      <c r="S99" s="38"/>
      <c r="T99" s="38"/>
      <c r="U99" s="38"/>
      <c r="V99" s="37"/>
      <c r="W99" s="130"/>
      <c r="X99" s="38"/>
      <c r="Y99" s="38"/>
      <c r="Z99" s="38"/>
      <c r="AA99" s="37"/>
      <c r="AB99" s="130"/>
      <c r="AC99" s="38"/>
      <c r="AD99" s="38"/>
      <c r="AE99" s="38"/>
      <c r="AF99" s="38"/>
      <c r="AG99" s="130"/>
      <c r="AH99" s="38"/>
      <c r="AI99" s="38"/>
      <c r="AJ99" s="38"/>
      <c r="AK99" s="37"/>
      <c r="AL99" s="130"/>
      <c r="AM99" s="38"/>
      <c r="AN99" s="38"/>
      <c r="AO99" s="38"/>
      <c r="AP99" s="38"/>
      <c r="AQ99" s="130"/>
      <c r="AR99" s="38"/>
      <c r="AS99" s="38"/>
      <c r="AT99" s="38"/>
      <c r="AU99" s="38"/>
      <c r="AZ99" s="38"/>
      <c r="BA99" s="130"/>
      <c r="BB99" s="38"/>
      <c r="BC99" s="38"/>
      <c r="BD99" s="38"/>
      <c r="BE99" s="38"/>
      <c r="BF99" s="130"/>
      <c r="BG99" s="38"/>
      <c r="BH99" s="38"/>
      <c r="BI99" s="38"/>
      <c r="BJ99" s="786"/>
      <c r="BK99" s="130"/>
      <c r="BL99" s="38"/>
      <c r="BM99" s="38"/>
      <c r="BN99" s="38"/>
      <c r="BO99" s="786"/>
      <c r="BP99" s="130"/>
      <c r="BQ99" s="38"/>
      <c r="BR99" s="38"/>
      <c r="BS99" s="38"/>
      <c r="BT99" s="786"/>
      <c r="BU99" s="130"/>
      <c r="BV99" s="38"/>
      <c r="BW99" s="38"/>
      <c r="BX99" s="38"/>
      <c r="BY99" s="31"/>
      <c r="BZ99" s="130"/>
      <c r="CA99" s="38"/>
      <c r="CB99" s="38"/>
      <c r="CC99" s="38"/>
      <c r="CD99" s="38"/>
      <c r="CE99" s="130"/>
      <c r="CF99" s="38"/>
      <c r="CG99" s="38"/>
      <c r="CH99" s="38"/>
      <c r="CI99" s="31"/>
      <c r="CO99" s="130"/>
      <c r="CP99" s="38"/>
      <c r="CQ99" s="38"/>
      <c r="CR99" s="38"/>
      <c r="CS99" s="31"/>
      <c r="CT99" s="130"/>
      <c r="CU99" s="38"/>
      <c r="CV99" s="38"/>
      <c r="CW99" s="38"/>
      <c r="CX99" s="31"/>
      <c r="CY99" s="130"/>
      <c r="CZ99" s="38"/>
      <c r="DA99" s="38"/>
      <c r="DB99" s="38"/>
      <c r="DC99" s="31"/>
      <c r="DD99" s="130"/>
      <c r="DE99" s="38"/>
      <c r="DF99" s="38"/>
      <c r="DG99" s="38"/>
      <c r="DH99" s="31"/>
      <c r="DI99" s="130"/>
      <c r="DJ99" s="38"/>
      <c r="DK99" s="38"/>
      <c r="DL99" s="38"/>
      <c r="DM99" s="31"/>
      <c r="DN99" s="130"/>
      <c r="DO99" s="38"/>
      <c r="DP99" s="38"/>
      <c r="DQ99" s="38"/>
      <c r="DR99" s="31"/>
      <c r="DS99" s="130"/>
      <c r="DT99" s="38"/>
      <c r="DU99" s="38"/>
      <c r="DV99" s="38"/>
      <c r="DW99" s="31"/>
      <c r="DX99" s="130"/>
      <c r="DY99" s="38"/>
      <c r="DZ99" s="38"/>
      <c r="EA99" s="38"/>
      <c r="EB99" s="31"/>
      <c r="EC99" s="130"/>
      <c r="ED99" s="38"/>
      <c r="EE99" s="38"/>
      <c r="EF99" s="38"/>
      <c r="EG99" s="31"/>
      <c r="EH99" s="130"/>
      <c r="EI99" s="38"/>
      <c r="EJ99" s="38"/>
      <c r="EK99" s="38"/>
      <c r="EL99" s="31"/>
      <c r="EM99" s="131"/>
      <c r="EN99" s="132"/>
      <c r="EO99" s="132"/>
      <c r="EP99" s="132"/>
      <c r="EQ99" s="132"/>
      <c r="ER99" s="31"/>
      <c r="ES99" s="131"/>
      <c r="ET99" s="132"/>
      <c r="EU99" s="132"/>
      <c r="EV99" s="132"/>
      <c r="EW99" s="132"/>
    </row>
    <row r="100" spans="1:153" s="8" customFormat="1" ht="15" customHeight="1">
      <c r="A100"/>
      <c r="B100" s="129"/>
      <c r="C100" s="129"/>
      <c r="D100" s="10"/>
      <c r="E100" s="122"/>
      <c r="F100" s="122"/>
      <c r="G100" s="122"/>
      <c r="H100" s="122"/>
      <c r="I100" s="122"/>
      <c r="J100" s="10"/>
      <c r="K100" s="10"/>
      <c r="L100" s="122"/>
      <c r="M100" s="10"/>
      <c r="N100" s="10"/>
      <c r="O100" s="10"/>
      <c r="P100" s="10"/>
      <c r="Q100" s="122"/>
      <c r="R100" s="130"/>
      <c r="S100" s="38"/>
      <c r="T100" s="38"/>
      <c r="U100" s="38"/>
      <c r="V100" s="37"/>
      <c r="W100" s="130"/>
      <c r="X100" s="38"/>
      <c r="Y100" s="38"/>
      <c r="Z100" s="38"/>
      <c r="AA100" s="37"/>
      <c r="AB100" s="130"/>
      <c r="AC100" s="38"/>
      <c r="AD100" s="38"/>
      <c r="AE100" s="38"/>
      <c r="AF100" s="38"/>
      <c r="AG100" s="130"/>
      <c r="AH100" s="38"/>
      <c r="AI100" s="38"/>
      <c r="AJ100" s="38"/>
      <c r="AK100" s="37"/>
      <c r="AL100" s="130"/>
      <c r="AM100" s="38"/>
      <c r="AN100" s="38"/>
      <c r="AO100" s="38"/>
      <c r="AP100" s="38"/>
      <c r="AQ100" s="130"/>
      <c r="AR100" s="38"/>
      <c r="AS100" s="38"/>
      <c r="AT100" s="38"/>
      <c r="AU100" s="38"/>
      <c r="AZ100" s="38"/>
      <c r="BA100" s="130"/>
      <c r="BB100" s="38"/>
      <c r="BC100" s="38"/>
      <c r="BD100" s="38"/>
      <c r="BE100" s="38"/>
      <c r="BF100" s="130"/>
      <c r="BG100" s="38"/>
      <c r="BH100" s="38"/>
      <c r="BI100" s="38"/>
      <c r="BJ100" s="786"/>
      <c r="BK100" s="130"/>
      <c r="BL100" s="38"/>
      <c r="BM100" s="38"/>
      <c r="BN100" s="38"/>
      <c r="BO100" s="786"/>
      <c r="BP100" s="130"/>
      <c r="BQ100" s="38"/>
      <c r="BR100" s="38"/>
      <c r="BS100" s="38"/>
      <c r="BT100" s="786"/>
      <c r="BU100" s="130"/>
      <c r="BV100" s="38"/>
      <c r="BW100" s="38"/>
      <c r="BX100" s="38"/>
      <c r="BY100" s="31"/>
      <c r="BZ100" s="130"/>
      <c r="CA100" s="38"/>
      <c r="CB100" s="38"/>
      <c r="CC100" s="38"/>
      <c r="CD100" s="38"/>
      <c r="CE100" s="130"/>
      <c r="CF100" s="38"/>
      <c r="CG100" s="38"/>
      <c r="CH100" s="38"/>
      <c r="CI100" s="31"/>
      <c r="CO100" s="130"/>
      <c r="CP100" s="38"/>
      <c r="CQ100" s="38"/>
      <c r="CR100" s="38"/>
      <c r="CS100" s="31"/>
      <c r="CT100" s="130"/>
      <c r="CU100" s="38"/>
      <c r="CV100" s="38"/>
      <c r="CW100" s="38"/>
      <c r="CX100" s="31"/>
      <c r="CY100" s="130"/>
      <c r="CZ100" s="38"/>
      <c r="DA100" s="38"/>
      <c r="DB100" s="38"/>
      <c r="DC100" s="31"/>
      <c r="DD100" s="130"/>
      <c r="DE100" s="38"/>
      <c r="DF100" s="38"/>
      <c r="DG100" s="38"/>
      <c r="DH100" s="31"/>
      <c r="DI100" s="130"/>
      <c r="DJ100" s="38"/>
      <c r="DK100" s="38"/>
      <c r="DL100" s="38"/>
      <c r="DM100" s="31"/>
      <c r="DN100" s="130"/>
      <c r="DO100" s="38"/>
      <c r="DP100" s="38"/>
      <c r="DQ100" s="38"/>
      <c r="DR100" s="31"/>
      <c r="DS100" s="130"/>
      <c r="DT100" s="38"/>
      <c r="DU100" s="38"/>
      <c r="DV100" s="38"/>
      <c r="DW100" s="31"/>
      <c r="DX100" s="130"/>
      <c r="DY100" s="38"/>
      <c r="DZ100" s="38"/>
      <c r="EA100" s="38"/>
      <c r="EB100" s="31"/>
      <c r="EC100" s="130"/>
      <c r="ED100" s="38"/>
      <c r="EE100" s="38"/>
      <c r="EF100" s="38"/>
      <c r="EG100" s="31"/>
      <c r="EH100" s="130"/>
      <c r="EI100" s="38"/>
      <c r="EJ100" s="38"/>
      <c r="EK100" s="38"/>
      <c r="EL100" s="31"/>
      <c r="EM100" s="131"/>
      <c r="EN100" s="132"/>
      <c r="EO100" s="132"/>
      <c r="EP100" s="132"/>
      <c r="EQ100" s="132"/>
      <c r="ER100" s="31"/>
      <c r="ES100" s="131"/>
      <c r="ET100" s="132"/>
      <c r="EU100" s="132"/>
      <c r="EV100" s="132"/>
      <c r="EW100" s="132"/>
    </row>
    <row r="101" spans="1:153" s="8" customFormat="1" ht="15" customHeight="1">
      <c r="A101"/>
      <c r="B101" s="129"/>
      <c r="C101" s="129"/>
      <c r="D101" s="10"/>
      <c r="E101" s="122"/>
      <c r="F101" s="122"/>
      <c r="G101" s="122"/>
      <c r="H101" s="122"/>
      <c r="I101" s="122"/>
      <c r="J101" s="10"/>
      <c r="K101" s="10"/>
      <c r="L101" s="122"/>
      <c r="M101" s="10"/>
      <c r="N101" s="10"/>
      <c r="O101" s="10"/>
      <c r="P101" s="10"/>
      <c r="Q101" s="122"/>
      <c r="R101" s="130"/>
      <c r="S101" s="38"/>
      <c r="T101" s="38"/>
      <c r="U101" s="38"/>
      <c r="V101" s="37"/>
      <c r="W101" s="130"/>
      <c r="X101" s="38"/>
      <c r="Y101" s="38"/>
      <c r="Z101" s="38"/>
      <c r="AA101" s="37"/>
      <c r="AB101" s="130"/>
      <c r="AC101" s="38"/>
      <c r="AD101" s="38"/>
      <c r="AE101" s="38"/>
      <c r="AF101" s="38"/>
      <c r="AG101" s="130"/>
      <c r="AH101" s="38"/>
      <c r="AI101" s="38"/>
      <c r="AJ101" s="38"/>
      <c r="AK101" s="37"/>
      <c r="AL101" s="130"/>
      <c r="AM101" s="38"/>
      <c r="AN101" s="38"/>
      <c r="AO101" s="38"/>
      <c r="AP101" s="38"/>
      <c r="AQ101" s="130"/>
      <c r="AR101" s="38"/>
      <c r="AS101" s="38"/>
      <c r="AT101" s="38"/>
      <c r="AU101" s="38"/>
      <c r="AZ101" s="38"/>
      <c r="BA101" s="130"/>
      <c r="BB101" s="38"/>
      <c r="BC101" s="38"/>
      <c r="BD101" s="38"/>
      <c r="BE101" s="38"/>
      <c r="BF101" s="130"/>
      <c r="BG101" s="38"/>
      <c r="BH101" s="38"/>
      <c r="BI101" s="38"/>
      <c r="BJ101" s="786"/>
      <c r="BK101" s="130"/>
      <c r="BL101" s="38"/>
      <c r="BM101" s="38"/>
      <c r="BN101" s="38"/>
      <c r="BO101" s="786"/>
      <c r="BP101" s="130"/>
      <c r="BQ101" s="38"/>
      <c r="BR101" s="38"/>
      <c r="BS101" s="38"/>
      <c r="BT101" s="786"/>
      <c r="BU101" s="130"/>
      <c r="BV101" s="38"/>
      <c r="BW101" s="38"/>
      <c r="BX101" s="38"/>
      <c r="BY101" s="31"/>
      <c r="BZ101" s="130"/>
      <c r="CA101" s="38"/>
      <c r="CB101" s="38"/>
      <c r="CC101" s="38"/>
      <c r="CD101" s="38"/>
      <c r="CE101" s="130"/>
      <c r="CF101" s="38"/>
      <c r="CG101" s="38"/>
      <c r="CH101" s="38"/>
      <c r="CI101" s="31"/>
      <c r="CO101" s="130"/>
      <c r="CP101" s="38"/>
      <c r="CQ101" s="38"/>
      <c r="CR101" s="38"/>
      <c r="CS101" s="31"/>
      <c r="CT101" s="130"/>
      <c r="CU101" s="38"/>
      <c r="CV101" s="38"/>
      <c r="CW101" s="38"/>
      <c r="CX101" s="31"/>
      <c r="CY101" s="130"/>
      <c r="CZ101" s="38"/>
      <c r="DA101" s="38"/>
      <c r="DB101" s="38"/>
      <c r="DC101" s="31"/>
      <c r="DD101" s="130"/>
      <c r="DE101" s="38"/>
      <c r="DF101" s="38"/>
      <c r="DG101" s="38"/>
      <c r="DH101" s="31"/>
      <c r="DI101" s="130"/>
      <c r="DJ101" s="38"/>
      <c r="DK101" s="38"/>
      <c r="DL101" s="38"/>
      <c r="DM101" s="31"/>
      <c r="DN101" s="130"/>
      <c r="DO101" s="38"/>
      <c r="DP101" s="38"/>
      <c r="DQ101" s="38"/>
      <c r="DR101" s="31"/>
      <c r="DS101" s="130"/>
      <c r="DT101" s="38"/>
      <c r="DU101" s="38"/>
      <c r="DV101" s="38"/>
      <c r="DW101" s="31"/>
      <c r="DX101" s="130"/>
      <c r="DY101" s="38"/>
      <c r="DZ101" s="38"/>
      <c r="EA101" s="38"/>
      <c r="EB101" s="31"/>
      <c r="EC101" s="130"/>
      <c r="ED101" s="38"/>
      <c r="EE101" s="38"/>
      <c r="EF101" s="38"/>
      <c r="EG101" s="31"/>
      <c r="EH101" s="130"/>
      <c r="EI101" s="38"/>
      <c r="EJ101" s="38"/>
      <c r="EK101" s="38"/>
      <c r="EL101" s="31"/>
      <c r="EM101" s="131"/>
      <c r="EN101" s="132"/>
      <c r="EO101" s="132"/>
      <c r="EP101" s="132"/>
      <c r="EQ101" s="132"/>
      <c r="ER101" s="31"/>
      <c r="ES101" s="131"/>
      <c r="ET101" s="132"/>
      <c r="EU101" s="132"/>
      <c r="EV101" s="132"/>
      <c r="EW101" s="132"/>
    </row>
    <row r="102" spans="1:153" s="8" customFormat="1" ht="15" customHeight="1">
      <c r="A102"/>
      <c r="B102" s="129"/>
      <c r="C102" s="129"/>
      <c r="D102" s="10"/>
      <c r="E102" s="122"/>
      <c r="F102" s="122"/>
      <c r="G102" s="122"/>
      <c r="H102" s="122"/>
      <c r="I102" s="122"/>
      <c r="J102" s="10"/>
      <c r="K102" s="10"/>
      <c r="L102" s="122"/>
      <c r="M102" s="10"/>
      <c r="N102" s="10"/>
      <c r="O102" s="10"/>
      <c r="P102" s="10"/>
      <c r="Q102" s="122"/>
      <c r="R102" s="130"/>
      <c r="S102" s="38"/>
      <c r="T102" s="38"/>
      <c r="U102" s="38"/>
      <c r="V102" s="37"/>
      <c r="W102" s="130"/>
      <c r="X102" s="38"/>
      <c r="Y102" s="38"/>
      <c r="Z102" s="38"/>
      <c r="AA102" s="37"/>
      <c r="AB102" s="130"/>
      <c r="AC102" s="38"/>
      <c r="AD102" s="38"/>
      <c r="AE102" s="38"/>
      <c r="AF102" s="38"/>
      <c r="AG102" s="130"/>
      <c r="AH102" s="38"/>
      <c r="AI102" s="38"/>
      <c r="AJ102" s="38"/>
      <c r="AK102" s="37"/>
      <c r="AL102" s="130"/>
      <c r="AM102" s="38"/>
      <c r="AN102" s="38"/>
      <c r="AO102" s="38"/>
      <c r="AP102" s="38"/>
      <c r="AQ102" s="130"/>
      <c r="AR102" s="38"/>
      <c r="AS102" s="38"/>
      <c r="AT102" s="38"/>
      <c r="AU102" s="38"/>
      <c r="AZ102" s="38"/>
      <c r="BA102" s="130"/>
      <c r="BB102" s="38"/>
      <c r="BC102" s="38"/>
      <c r="BD102" s="38"/>
      <c r="BE102" s="38"/>
      <c r="BF102" s="130"/>
      <c r="BG102" s="38"/>
      <c r="BH102" s="38"/>
      <c r="BI102" s="38"/>
      <c r="BJ102" s="786"/>
      <c r="BK102" s="130"/>
      <c r="BL102" s="38"/>
      <c r="BM102" s="38"/>
      <c r="BN102" s="38"/>
      <c r="BO102" s="786"/>
      <c r="BP102" s="130"/>
      <c r="BQ102" s="38"/>
      <c r="BR102" s="38"/>
      <c r="BS102" s="38"/>
      <c r="BT102" s="786"/>
      <c r="BU102" s="130"/>
      <c r="BV102" s="38"/>
      <c r="BW102" s="38"/>
      <c r="BX102" s="38"/>
      <c r="BY102" s="31"/>
      <c r="BZ102" s="130"/>
      <c r="CA102" s="38"/>
      <c r="CB102" s="38"/>
      <c r="CC102" s="38"/>
      <c r="CD102" s="38"/>
      <c r="CE102" s="130"/>
      <c r="CF102" s="38"/>
      <c r="CG102" s="38"/>
      <c r="CH102" s="38"/>
      <c r="CI102" s="31"/>
      <c r="CO102" s="130"/>
      <c r="CP102" s="38"/>
      <c r="CQ102" s="38"/>
      <c r="CR102" s="38"/>
      <c r="CS102" s="31"/>
      <c r="CT102" s="130"/>
      <c r="CU102" s="38"/>
      <c r="CV102" s="38"/>
      <c r="CW102" s="38"/>
      <c r="CX102" s="31"/>
      <c r="CY102" s="130"/>
      <c r="CZ102" s="38"/>
      <c r="DA102" s="38"/>
      <c r="DB102" s="38"/>
      <c r="DC102" s="31"/>
      <c r="DD102" s="130"/>
      <c r="DE102" s="38"/>
      <c r="DF102" s="38"/>
      <c r="DG102" s="38"/>
      <c r="DH102" s="31"/>
      <c r="DI102" s="130"/>
      <c r="DJ102" s="38"/>
      <c r="DK102" s="38"/>
      <c r="DL102" s="38"/>
      <c r="DM102" s="31"/>
      <c r="DN102" s="130"/>
      <c r="DO102" s="38"/>
      <c r="DP102" s="38"/>
      <c r="DQ102" s="38"/>
      <c r="DR102" s="31"/>
      <c r="DS102" s="130"/>
      <c r="DT102" s="38"/>
      <c r="DU102" s="38"/>
      <c r="DV102" s="38"/>
      <c r="DW102" s="31"/>
      <c r="DX102" s="130"/>
      <c r="DY102" s="38"/>
      <c r="DZ102" s="38"/>
      <c r="EA102" s="38"/>
      <c r="EB102" s="31"/>
      <c r="EC102" s="130"/>
      <c r="ED102" s="38"/>
      <c r="EE102" s="38"/>
      <c r="EF102" s="38"/>
      <c r="EG102" s="31"/>
      <c r="EH102" s="130"/>
      <c r="EI102" s="38"/>
      <c r="EJ102" s="38"/>
      <c r="EK102" s="38"/>
      <c r="EL102" s="31"/>
      <c r="EM102" s="131"/>
      <c r="EN102" s="132"/>
      <c r="EO102" s="132"/>
      <c r="EP102" s="132"/>
      <c r="EQ102" s="132"/>
      <c r="ER102" s="31"/>
      <c r="ES102" s="131"/>
      <c r="ET102" s="132"/>
      <c r="EU102" s="132"/>
      <c r="EV102" s="132"/>
      <c r="EW102" s="132"/>
    </row>
    <row r="103" spans="1:153" s="8" customFormat="1" ht="15" customHeight="1">
      <c r="A103"/>
      <c r="B103" s="129"/>
      <c r="C103" s="129"/>
      <c r="D103" s="10"/>
      <c r="E103" s="122"/>
      <c r="F103" s="122"/>
      <c r="G103" s="122"/>
      <c r="H103" s="122"/>
      <c r="I103" s="122"/>
      <c r="J103" s="10"/>
      <c r="K103" s="10"/>
      <c r="L103" s="122"/>
      <c r="M103" s="10"/>
      <c r="N103" s="10"/>
      <c r="O103" s="10"/>
      <c r="P103" s="10"/>
      <c r="Q103" s="122"/>
      <c r="R103" s="130"/>
      <c r="S103" s="38"/>
      <c r="T103" s="38"/>
      <c r="U103" s="38"/>
      <c r="V103" s="37"/>
      <c r="W103" s="130"/>
      <c r="X103" s="38"/>
      <c r="Y103" s="38"/>
      <c r="Z103" s="38"/>
      <c r="AA103" s="37"/>
      <c r="AB103" s="130"/>
      <c r="AC103" s="38"/>
      <c r="AD103" s="38"/>
      <c r="AE103" s="38"/>
      <c r="AF103" s="38"/>
      <c r="AG103" s="130"/>
      <c r="AH103" s="38"/>
      <c r="AI103" s="38"/>
      <c r="AJ103" s="38"/>
      <c r="AK103" s="37"/>
      <c r="AL103" s="130"/>
      <c r="AM103" s="38"/>
      <c r="AN103" s="38"/>
      <c r="AO103" s="38"/>
      <c r="AP103" s="38"/>
      <c r="AQ103" s="130"/>
      <c r="AR103" s="38"/>
      <c r="AS103" s="38"/>
      <c r="AT103" s="38"/>
      <c r="AU103" s="38"/>
      <c r="AZ103" s="38"/>
      <c r="BA103" s="130"/>
      <c r="BB103" s="38"/>
      <c r="BC103" s="38"/>
      <c r="BD103" s="38"/>
      <c r="BE103" s="38"/>
      <c r="BF103" s="130"/>
      <c r="BG103" s="38"/>
      <c r="BH103" s="38"/>
      <c r="BI103" s="38"/>
      <c r="BJ103" s="786"/>
      <c r="BK103" s="130"/>
      <c r="BL103" s="38"/>
      <c r="BM103" s="38"/>
      <c r="BN103" s="38"/>
      <c r="BO103" s="786"/>
      <c r="BP103" s="130"/>
      <c r="BQ103" s="38"/>
      <c r="BR103" s="38"/>
      <c r="BS103" s="38"/>
      <c r="BT103" s="786"/>
      <c r="BU103" s="130"/>
      <c r="BV103" s="38"/>
      <c r="BW103" s="38"/>
      <c r="BX103" s="38"/>
      <c r="BY103" s="31"/>
      <c r="BZ103" s="130"/>
      <c r="CA103" s="38"/>
      <c r="CB103" s="38"/>
      <c r="CC103" s="38"/>
      <c r="CD103" s="38"/>
      <c r="CE103" s="130"/>
      <c r="CF103" s="38"/>
      <c r="CG103" s="38"/>
      <c r="CH103" s="38"/>
      <c r="CI103" s="31"/>
      <c r="CO103" s="130"/>
      <c r="CP103" s="38"/>
      <c r="CQ103" s="38"/>
      <c r="CR103" s="38"/>
      <c r="CS103" s="31"/>
      <c r="CT103" s="130"/>
      <c r="CU103" s="38"/>
      <c r="CV103" s="38"/>
      <c r="CW103" s="38"/>
      <c r="CX103" s="31"/>
      <c r="CY103" s="130"/>
      <c r="CZ103" s="38"/>
      <c r="DA103" s="38"/>
      <c r="DB103" s="38"/>
      <c r="DC103" s="31"/>
      <c r="DD103" s="130"/>
      <c r="DE103" s="38"/>
      <c r="DF103" s="38"/>
      <c r="DG103" s="38"/>
      <c r="DH103" s="31"/>
      <c r="DI103" s="130"/>
      <c r="DJ103" s="38"/>
      <c r="DK103" s="38"/>
      <c r="DL103" s="38"/>
      <c r="DM103" s="31"/>
      <c r="DN103" s="130"/>
      <c r="DO103" s="38"/>
      <c r="DP103" s="38"/>
      <c r="DQ103" s="38"/>
      <c r="DR103" s="31"/>
      <c r="DS103" s="130"/>
      <c r="DT103" s="38"/>
      <c r="DU103" s="38"/>
      <c r="DV103" s="38"/>
      <c r="DW103" s="31"/>
      <c r="DX103" s="130"/>
      <c r="DY103" s="38"/>
      <c r="DZ103" s="38"/>
      <c r="EA103" s="38"/>
      <c r="EB103" s="31"/>
      <c r="EC103" s="130"/>
      <c r="ED103" s="38"/>
      <c r="EE103" s="38"/>
      <c r="EF103" s="38"/>
      <c r="EG103" s="31"/>
      <c r="EH103" s="130"/>
      <c r="EI103" s="38"/>
      <c r="EJ103" s="38"/>
      <c r="EK103" s="38"/>
      <c r="EL103" s="31"/>
      <c r="EM103" s="131"/>
      <c r="EN103" s="132"/>
      <c r="EO103" s="132"/>
      <c r="EP103" s="132"/>
      <c r="EQ103" s="132"/>
      <c r="ER103" s="31"/>
      <c r="ES103" s="131"/>
      <c r="ET103" s="132"/>
      <c r="EU103" s="132"/>
      <c r="EV103" s="132"/>
      <c r="EW103" s="132"/>
    </row>
    <row r="104" spans="1:153" s="8" customFormat="1" ht="15" customHeight="1">
      <c r="A104"/>
      <c r="B104" s="129"/>
      <c r="C104" s="129"/>
      <c r="D104" s="10"/>
      <c r="E104" s="122"/>
      <c r="F104" s="122"/>
      <c r="G104" s="122"/>
      <c r="H104" s="122"/>
      <c r="I104" s="122"/>
      <c r="J104" s="10"/>
      <c r="K104" s="10"/>
      <c r="L104" s="122"/>
      <c r="M104" s="10"/>
      <c r="N104" s="10"/>
      <c r="O104" s="10"/>
      <c r="P104" s="10"/>
      <c r="Q104" s="122"/>
      <c r="R104" s="130"/>
      <c r="S104" s="38"/>
      <c r="T104" s="38"/>
      <c r="U104" s="38"/>
      <c r="V104" s="37"/>
      <c r="W104" s="130"/>
      <c r="X104" s="38"/>
      <c r="Y104" s="38"/>
      <c r="Z104" s="38"/>
      <c r="AA104" s="37"/>
      <c r="AB104" s="130"/>
      <c r="AC104" s="38"/>
      <c r="AD104" s="38"/>
      <c r="AE104" s="38"/>
      <c r="AF104" s="38"/>
      <c r="AG104" s="130"/>
      <c r="AH104" s="38"/>
      <c r="AI104" s="38"/>
      <c r="AJ104" s="38"/>
      <c r="AK104" s="37"/>
      <c r="AL104" s="130"/>
      <c r="AM104" s="38"/>
      <c r="AN104" s="38"/>
      <c r="AO104" s="38"/>
      <c r="AP104" s="38"/>
      <c r="AQ104" s="130"/>
      <c r="AR104" s="38"/>
      <c r="AS104" s="38"/>
      <c r="AT104" s="38"/>
      <c r="AU104" s="38"/>
      <c r="AZ104" s="38"/>
      <c r="BA104" s="130"/>
      <c r="BB104" s="38"/>
      <c r="BC104" s="38"/>
      <c r="BD104" s="38"/>
      <c r="BE104" s="38"/>
      <c r="BF104" s="130"/>
      <c r="BG104" s="38"/>
      <c r="BH104" s="38"/>
      <c r="BI104" s="38"/>
      <c r="BJ104" s="786"/>
      <c r="BK104" s="130"/>
      <c r="BL104" s="38"/>
      <c r="BM104" s="38"/>
      <c r="BN104" s="38"/>
      <c r="BO104" s="786"/>
      <c r="BP104" s="130"/>
      <c r="BQ104" s="38"/>
      <c r="BR104" s="38"/>
      <c r="BS104" s="38"/>
      <c r="BT104" s="786"/>
      <c r="BU104" s="130"/>
      <c r="BV104" s="38"/>
      <c r="BW104" s="38"/>
      <c r="BX104" s="38"/>
      <c r="BY104" s="31"/>
      <c r="BZ104" s="130"/>
      <c r="CA104" s="38"/>
      <c r="CB104" s="38"/>
      <c r="CC104" s="38"/>
      <c r="CD104" s="38"/>
      <c r="CE104" s="130"/>
      <c r="CF104" s="38"/>
      <c r="CG104" s="38"/>
      <c r="CH104" s="38"/>
      <c r="CI104" s="31"/>
      <c r="CO104" s="130"/>
      <c r="CP104" s="38"/>
      <c r="CQ104" s="38"/>
      <c r="CR104" s="38"/>
      <c r="CS104" s="31"/>
      <c r="CT104" s="130"/>
      <c r="CU104" s="38"/>
      <c r="CV104" s="38"/>
      <c r="CW104" s="38"/>
      <c r="CX104" s="31"/>
      <c r="CY104" s="130"/>
      <c r="CZ104" s="38"/>
      <c r="DA104" s="38"/>
      <c r="DB104" s="38"/>
      <c r="DC104" s="31"/>
      <c r="DD104" s="130"/>
      <c r="DE104" s="38"/>
      <c r="DF104" s="38"/>
      <c r="DG104" s="38"/>
      <c r="DH104" s="31"/>
      <c r="DI104" s="130"/>
      <c r="DJ104" s="38"/>
      <c r="DK104" s="38"/>
      <c r="DL104" s="38"/>
      <c r="DM104" s="31"/>
      <c r="DN104" s="130"/>
      <c r="DO104" s="38"/>
      <c r="DP104" s="38"/>
      <c r="DQ104" s="38"/>
      <c r="DR104" s="31"/>
      <c r="DS104" s="130"/>
      <c r="DT104" s="38"/>
      <c r="DU104" s="38"/>
      <c r="DV104" s="38"/>
      <c r="DW104" s="31"/>
      <c r="DX104" s="130"/>
      <c r="DY104" s="38"/>
      <c r="DZ104" s="38"/>
      <c r="EA104" s="38"/>
      <c r="EB104" s="31"/>
      <c r="EC104" s="130"/>
      <c r="ED104" s="38"/>
      <c r="EE104" s="38"/>
      <c r="EF104" s="38"/>
      <c r="EG104" s="31"/>
      <c r="EH104" s="130"/>
      <c r="EI104" s="38"/>
      <c r="EJ104" s="38"/>
      <c r="EK104" s="38"/>
      <c r="EL104" s="31"/>
      <c r="EM104" s="131"/>
      <c r="EN104" s="132"/>
      <c r="EO104" s="132"/>
      <c r="EP104" s="132"/>
      <c r="EQ104" s="132"/>
      <c r="ER104" s="31"/>
      <c r="ES104" s="131"/>
      <c r="ET104" s="132"/>
      <c r="EU104" s="132"/>
      <c r="EV104" s="132"/>
      <c r="EW104" s="132"/>
    </row>
    <row r="105" spans="1:153" s="8" customFormat="1" ht="15" customHeight="1">
      <c r="A105"/>
      <c r="B105" s="129"/>
      <c r="C105" s="129"/>
      <c r="D105" s="10"/>
      <c r="E105" s="122"/>
      <c r="F105" s="122"/>
      <c r="G105" s="122"/>
      <c r="H105" s="122"/>
      <c r="I105" s="122"/>
      <c r="J105" s="10"/>
      <c r="K105" s="10"/>
      <c r="L105" s="122"/>
      <c r="M105" s="10"/>
      <c r="N105" s="10"/>
      <c r="O105" s="10"/>
      <c r="P105" s="10"/>
      <c r="Q105" s="122"/>
      <c r="R105" s="130"/>
      <c r="S105" s="38"/>
      <c r="T105" s="38"/>
      <c r="U105" s="38"/>
      <c r="V105" s="37"/>
      <c r="W105" s="130"/>
      <c r="X105" s="38"/>
      <c r="Y105" s="38"/>
      <c r="Z105" s="38"/>
      <c r="AA105" s="37"/>
      <c r="AB105" s="130"/>
      <c r="AC105" s="38"/>
      <c r="AD105" s="38"/>
      <c r="AE105" s="38"/>
      <c r="AF105" s="38"/>
      <c r="AG105" s="130"/>
      <c r="AH105" s="38"/>
      <c r="AI105" s="38"/>
      <c r="AJ105" s="38"/>
      <c r="AK105" s="37"/>
      <c r="AL105" s="130"/>
      <c r="AM105" s="38"/>
      <c r="AN105" s="38"/>
      <c r="AO105" s="38"/>
      <c r="AP105" s="38"/>
      <c r="AQ105" s="130"/>
      <c r="AR105" s="38"/>
      <c r="AS105" s="38"/>
      <c r="AT105" s="38"/>
      <c r="AU105" s="38"/>
      <c r="AZ105" s="38"/>
      <c r="BA105" s="130"/>
      <c r="BB105" s="38"/>
      <c r="BC105" s="38"/>
      <c r="BD105" s="38"/>
      <c r="BE105" s="38"/>
      <c r="BF105" s="130"/>
      <c r="BG105" s="38"/>
      <c r="BH105" s="38"/>
      <c r="BI105" s="38"/>
      <c r="BJ105" s="786"/>
      <c r="BK105" s="130"/>
      <c r="BL105" s="38"/>
      <c r="BM105" s="38"/>
      <c r="BN105" s="38"/>
      <c r="BO105" s="786"/>
      <c r="BP105" s="130"/>
      <c r="BQ105" s="38"/>
      <c r="BR105" s="38"/>
      <c r="BS105" s="38"/>
      <c r="BT105" s="786"/>
      <c r="BU105" s="130"/>
      <c r="BV105" s="38"/>
      <c r="BW105" s="38"/>
      <c r="BX105" s="38"/>
      <c r="BY105" s="31"/>
      <c r="BZ105" s="130"/>
      <c r="CA105" s="38"/>
      <c r="CB105" s="38"/>
      <c r="CC105" s="38"/>
      <c r="CD105" s="38"/>
      <c r="CE105" s="130"/>
      <c r="CF105" s="38"/>
      <c r="CG105" s="38"/>
      <c r="CH105" s="38"/>
      <c r="CI105" s="31"/>
      <c r="CO105" s="130"/>
      <c r="CP105" s="38"/>
      <c r="CQ105" s="38"/>
      <c r="CR105" s="38"/>
      <c r="CS105" s="31"/>
      <c r="CT105" s="130"/>
      <c r="CU105" s="38"/>
      <c r="CV105" s="38"/>
      <c r="CW105" s="38"/>
      <c r="CX105" s="31"/>
      <c r="CY105" s="130"/>
      <c r="CZ105" s="38"/>
      <c r="DA105" s="38"/>
      <c r="DB105" s="38"/>
      <c r="DC105" s="31"/>
      <c r="DD105" s="130"/>
      <c r="DE105" s="38"/>
      <c r="DF105" s="38"/>
      <c r="DG105" s="38"/>
      <c r="DH105" s="31"/>
      <c r="DI105" s="130"/>
      <c r="DJ105" s="38"/>
      <c r="DK105" s="38"/>
      <c r="DL105" s="38"/>
      <c r="DM105" s="31"/>
      <c r="DN105" s="130"/>
      <c r="DO105" s="38"/>
      <c r="DP105" s="38"/>
      <c r="DQ105" s="38"/>
      <c r="DR105" s="31"/>
      <c r="DS105" s="130"/>
      <c r="DT105" s="38"/>
      <c r="DU105" s="38"/>
      <c r="DV105" s="38"/>
      <c r="DW105" s="31"/>
      <c r="DX105" s="130"/>
      <c r="DY105" s="38"/>
      <c r="DZ105" s="38"/>
      <c r="EA105" s="38"/>
      <c r="EB105" s="31"/>
      <c r="EC105" s="130"/>
      <c r="ED105" s="38"/>
      <c r="EE105" s="38"/>
      <c r="EF105" s="38"/>
      <c r="EG105" s="31"/>
      <c r="EH105" s="130"/>
      <c r="EI105" s="38"/>
      <c r="EJ105" s="38"/>
      <c r="EK105" s="38"/>
      <c r="EL105" s="31"/>
      <c r="EM105" s="131"/>
      <c r="EN105" s="132"/>
      <c r="EO105" s="132"/>
      <c r="EP105" s="132"/>
      <c r="EQ105" s="132"/>
      <c r="ER105" s="31"/>
      <c r="ES105" s="131"/>
      <c r="ET105" s="132"/>
      <c r="EU105" s="132"/>
      <c r="EV105" s="132"/>
      <c r="EW105" s="132"/>
    </row>
    <row r="106" spans="1:153" s="8" customFormat="1" ht="15" customHeight="1">
      <c r="A106"/>
      <c r="B106" s="129"/>
      <c r="C106" s="129"/>
      <c r="D106" s="10"/>
      <c r="E106" s="122"/>
      <c r="F106" s="122"/>
      <c r="G106" s="122"/>
      <c r="H106" s="122"/>
      <c r="I106" s="122"/>
      <c r="J106" s="10"/>
      <c r="K106" s="10"/>
      <c r="L106" s="122"/>
      <c r="M106" s="10"/>
      <c r="N106" s="10"/>
      <c r="O106" s="10"/>
      <c r="P106" s="10"/>
      <c r="Q106" s="122"/>
      <c r="R106" s="130"/>
      <c r="S106" s="38"/>
      <c r="T106" s="38"/>
      <c r="U106" s="38"/>
      <c r="V106" s="37"/>
      <c r="W106" s="130"/>
      <c r="X106" s="38"/>
      <c r="Y106" s="38"/>
      <c r="Z106" s="38"/>
      <c r="AA106" s="37"/>
      <c r="AB106" s="130"/>
      <c r="AC106" s="38"/>
      <c r="AD106" s="38"/>
      <c r="AE106" s="38"/>
      <c r="AF106" s="38"/>
      <c r="AG106" s="130"/>
      <c r="AH106" s="38"/>
      <c r="AI106" s="38"/>
      <c r="AJ106" s="38"/>
      <c r="AK106" s="37"/>
      <c r="AL106" s="130"/>
      <c r="AM106" s="38"/>
      <c r="AN106" s="38"/>
      <c r="AO106" s="38"/>
      <c r="AP106" s="38"/>
      <c r="AQ106" s="130"/>
      <c r="AR106" s="38"/>
      <c r="AS106" s="38"/>
      <c r="AT106" s="38"/>
      <c r="AU106" s="38"/>
      <c r="AZ106" s="38"/>
      <c r="BA106" s="130"/>
      <c r="BB106" s="38"/>
      <c r="BC106" s="38"/>
      <c r="BD106" s="38"/>
      <c r="BE106" s="38"/>
      <c r="BF106" s="130"/>
      <c r="BG106" s="38"/>
      <c r="BH106" s="38"/>
      <c r="BI106" s="38"/>
      <c r="BJ106" s="786"/>
      <c r="BK106" s="130"/>
      <c r="BL106" s="38"/>
      <c r="BM106" s="38"/>
      <c r="BN106" s="38"/>
      <c r="BO106" s="786"/>
      <c r="BP106" s="130"/>
      <c r="BQ106" s="38"/>
      <c r="BR106" s="38"/>
      <c r="BS106" s="38"/>
      <c r="BT106" s="786"/>
      <c r="BU106" s="130"/>
      <c r="BV106" s="38"/>
      <c r="BW106" s="38"/>
      <c r="BX106" s="38"/>
      <c r="BY106" s="31"/>
      <c r="BZ106" s="130"/>
      <c r="CA106" s="38"/>
      <c r="CB106" s="38"/>
      <c r="CC106" s="38"/>
      <c r="CD106" s="38"/>
      <c r="CE106" s="130"/>
      <c r="CF106" s="38"/>
      <c r="CG106" s="38"/>
      <c r="CH106" s="38"/>
      <c r="CI106" s="31"/>
      <c r="CO106" s="130"/>
      <c r="CP106" s="38"/>
      <c r="CQ106" s="38"/>
      <c r="CR106" s="38"/>
      <c r="CS106" s="31"/>
      <c r="CT106" s="130"/>
      <c r="CU106" s="38"/>
      <c r="CV106" s="38"/>
      <c r="CW106" s="38"/>
      <c r="CX106" s="31"/>
      <c r="CY106" s="130"/>
      <c r="CZ106" s="38"/>
      <c r="DA106" s="38"/>
      <c r="DB106" s="38"/>
      <c r="DC106" s="31"/>
      <c r="DD106" s="130"/>
      <c r="DE106" s="38"/>
      <c r="DF106" s="38"/>
      <c r="DG106" s="38"/>
      <c r="DH106" s="31"/>
      <c r="DI106" s="130"/>
      <c r="DJ106" s="38"/>
      <c r="DK106" s="38"/>
      <c r="DL106" s="38"/>
      <c r="DM106" s="31"/>
      <c r="DN106" s="130"/>
      <c r="DO106" s="38"/>
      <c r="DP106" s="38"/>
      <c r="DQ106" s="38"/>
      <c r="DR106" s="31"/>
      <c r="DS106" s="130"/>
      <c r="DT106" s="38"/>
      <c r="DU106" s="38"/>
      <c r="DV106" s="38"/>
      <c r="DW106" s="31"/>
      <c r="DX106" s="130"/>
      <c r="DY106" s="38"/>
      <c r="DZ106" s="38"/>
      <c r="EA106" s="38"/>
      <c r="EB106" s="31"/>
      <c r="EC106" s="130"/>
      <c r="ED106" s="38"/>
      <c r="EE106" s="38"/>
      <c r="EF106" s="38"/>
      <c r="EG106" s="31"/>
      <c r="EH106" s="130"/>
      <c r="EI106" s="38"/>
      <c r="EJ106" s="38"/>
      <c r="EK106" s="38"/>
      <c r="EL106" s="31"/>
      <c r="EM106" s="131"/>
      <c r="EN106" s="132"/>
      <c r="EO106" s="132"/>
      <c r="EP106" s="132"/>
      <c r="EQ106" s="132"/>
      <c r="ER106" s="31"/>
      <c r="ES106" s="131"/>
      <c r="ET106" s="132"/>
      <c r="EU106" s="132"/>
      <c r="EV106" s="132"/>
      <c r="EW106" s="132"/>
    </row>
    <row r="107" spans="1:153" s="8" customFormat="1" ht="15" customHeight="1">
      <c r="A107"/>
      <c r="B107" s="129"/>
      <c r="C107" s="129"/>
      <c r="D107" s="10"/>
      <c r="E107" s="122"/>
      <c r="F107" s="122"/>
      <c r="G107" s="122"/>
      <c r="H107" s="122"/>
      <c r="I107" s="122"/>
      <c r="J107" s="10"/>
      <c r="K107" s="10"/>
      <c r="L107" s="122"/>
      <c r="M107" s="10"/>
      <c r="N107" s="10"/>
      <c r="O107" s="10"/>
      <c r="P107" s="10"/>
      <c r="Q107" s="122"/>
      <c r="R107" s="130"/>
      <c r="S107" s="38"/>
      <c r="T107" s="38"/>
      <c r="U107" s="38"/>
      <c r="V107" s="37"/>
      <c r="W107" s="130"/>
      <c r="X107" s="38"/>
      <c r="Y107" s="38"/>
      <c r="Z107" s="38"/>
      <c r="AA107" s="37"/>
      <c r="AB107" s="130"/>
      <c r="AC107" s="38"/>
      <c r="AD107" s="38"/>
      <c r="AE107" s="38"/>
      <c r="AF107" s="38"/>
      <c r="AG107" s="130"/>
      <c r="AH107" s="38"/>
      <c r="AI107" s="38"/>
      <c r="AJ107" s="38"/>
      <c r="AK107" s="37"/>
      <c r="AL107" s="130"/>
      <c r="AM107" s="38"/>
      <c r="AN107" s="38"/>
      <c r="AO107" s="38"/>
      <c r="AP107" s="38"/>
      <c r="AQ107" s="130"/>
      <c r="AR107" s="38"/>
      <c r="AS107" s="38"/>
      <c r="AT107" s="38"/>
      <c r="AU107" s="38"/>
      <c r="AZ107" s="38"/>
      <c r="BA107" s="130"/>
      <c r="BB107" s="38"/>
      <c r="BC107" s="38"/>
      <c r="BD107" s="38"/>
      <c r="BE107" s="38"/>
      <c r="BF107" s="130"/>
      <c r="BG107" s="38"/>
      <c r="BH107" s="38"/>
      <c r="BI107" s="38"/>
      <c r="BJ107" s="786"/>
      <c r="BK107" s="130"/>
      <c r="BL107" s="38"/>
      <c r="BM107" s="38"/>
      <c r="BN107" s="38"/>
      <c r="BO107" s="786"/>
      <c r="BP107" s="130"/>
      <c r="BQ107" s="38"/>
      <c r="BR107" s="38"/>
      <c r="BS107" s="38"/>
      <c r="BT107" s="786"/>
      <c r="BU107" s="130"/>
      <c r="BV107" s="38"/>
      <c r="BW107" s="38"/>
      <c r="BX107" s="38"/>
      <c r="BY107" s="31"/>
      <c r="BZ107" s="130"/>
      <c r="CA107" s="38"/>
      <c r="CB107" s="38"/>
      <c r="CC107" s="38"/>
      <c r="CD107" s="38"/>
      <c r="CE107" s="130"/>
      <c r="CF107" s="38"/>
      <c r="CG107" s="38"/>
      <c r="CH107" s="38"/>
      <c r="CI107" s="31"/>
      <c r="CO107" s="130"/>
      <c r="CP107" s="38"/>
      <c r="CQ107" s="38"/>
      <c r="CR107" s="38"/>
      <c r="CS107" s="31"/>
      <c r="CT107" s="130"/>
      <c r="CU107" s="38"/>
      <c r="CV107" s="38"/>
      <c r="CW107" s="38"/>
      <c r="CX107" s="31"/>
      <c r="CY107" s="130"/>
      <c r="CZ107" s="38"/>
      <c r="DA107" s="38"/>
      <c r="DB107" s="38"/>
      <c r="DC107" s="31"/>
      <c r="DD107" s="130"/>
      <c r="DE107" s="38"/>
      <c r="DF107" s="38"/>
      <c r="DG107" s="38"/>
      <c r="DH107" s="31"/>
      <c r="DI107" s="130"/>
      <c r="DJ107" s="38"/>
      <c r="DK107" s="38"/>
      <c r="DL107" s="38"/>
      <c r="DM107" s="31"/>
      <c r="DN107" s="130"/>
      <c r="DO107" s="38"/>
      <c r="DP107" s="38"/>
      <c r="DQ107" s="38"/>
      <c r="DR107" s="31"/>
      <c r="DS107" s="130"/>
      <c r="DT107" s="38"/>
      <c r="DU107" s="38"/>
      <c r="DV107" s="38"/>
      <c r="DW107" s="31"/>
      <c r="DX107" s="130"/>
      <c r="DY107" s="38"/>
      <c r="DZ107" s="38"/>
      <c r="EA107" s="38"/>
      <c r="EB107" s="31"/>
      <c r="EC107" s="130"/>
      <c r="ED107" s="38"/>
      <c r="EE107" s="38"/>
      <c r="EF107" s="38"/>
      <c r="EG107" s="31"/>
      <c r="EH107" s="130"/>
      <c r="EI107" s="38"/>
      <c r="EJ107" s="38"/>
      <c r="EK107" s="38"/>
      <c r="EL107" s="31"/>
      <c r="EM107" s="131"/>
      <c r="EN107" s="132"/>
      <c r="EO107" s="132"/>
      <c r="EP107" s="132"/>
      <c r="EQ107" s="132"/>
      <c r="ER107" s="31"/>
      <c r="ES107" s="131"/>
      <c r="ET107" s="132"/>
      <c r="EU107" s="132"/>
      <c r="EV107" s="132"/>
      <c r="EW107" s="132"/>
    </row>
    <row r="108" spans="1:153" s="8" customFormat="1" ht="15" customHeight="1">
      <c r="A108"/>
      <c r="B108" s="129"/>
      <c r="C108" s="129"/>
      <c r="D108" s="10"/>
      <c r="E108" s="122"/>
      <c r="F108" s="122"/>
      <c r="G108" s="122"/>
      <c r="H108" s="122"/>
      <c r="I108" s="122"/>
      <c r="J108" s="10"/>
      <c r="K108" s="10"/>
      <c r="L108" s="122"/>
      <c r="M108" s="10"/>
      <c r="N108" s="10"/>
      <c r="O108" s="10"/>
      <c r="P108" s="10"/>
      <c r="Q108" s="122"/>
      <c r="R108" s="130"/>
      <c r="S108" s="38"/>
      <c r="T108" s="38"/>
      <c r="U108" s="38"/>
      <c r="V108" s="37"/>
      <c r="W108" s="130"/>
      <c r="X108" s="38"/>
      <c r="Y108" s="38"/>
      <c r="Z108" s="38"/>
      <c r="AA108" s="37"/>
      <c r="AB108" s="130"/>
      <c r="AC108" s="38"/>
      <c r="AD108" s="38"/>
      <c r="AE108" s="38"/>
      <c r="AF108" s="38"/>
      <c r="AG108" s="130"/>
      <c r="AH108" s="38"/>
      <c r="AI108" s="38"/>
      <c r="AJ108" s="38"/>
      <c r="AK108" s="37"/>
      <c r="AL108" s="130"/>
      <c r="AM108" s="38"/>
      <c r="AN108" s="38"/>
      <c r="AO108" s="38"/>
      <c r="AP108" s="38"/>
      <c r="AQ108" s="130"/>
      <c r="AR108" s="38"/>
      <c r="AS108" s="38"/>
      <c r="AT108" s="38"/>
      <c r="AU108" s="38"/>
      <c r="AZ108" s="38"/>
      <c r="BA108" s="130"/>
      <c r="BB108" s="38"/>
      <c r="BC108" s="38"/>
      <c r="BD108" s="38"/>
      <c r="BE108" s="38"/>
      <c r="BF108" s="130"/>
      <c r="BG108" s="38"/>
      <c r="BH108" s="38"/>
      <c r="BI108" s="38"/>
      <c r="BJ108" s="786"/>
      <c r="BK108" s="130"/>
      <c r="BL108" s="38"/>
      <c r="BM108" s="38"/>
      <c r="BN108" s="38"/>
      <c r="BO108" s="786"/>
      <c r="BP108" s="130"/>
      <c r="BQ108" s="38"/>
      <c r="BR108" s="38"/>
      <c r="BS108" s="38"/>
      <c r="BT108" s="786"/>
      <c r="BU108" s="130"/>
      <c r="BV108" s="38"/>
      <c r="BW108" s="38"/>
      <c r="BX108" s="38"/>
      <c r="BY108" s="31"/>
      <c r="BZ108" s="130"/>
      <c r="CA108" s="38"/>
      <c r="CB108" s="38"/>
      <c r="CC108" s="38"/>
      <c r="CD108" s="38"/>
      <c r="CE108" s="130"/>
      <c r="CF108" s="38"/>
      <c r="CG108" s="38"/>
      <c r="CH108" s="38"/>
      <c r="CI108" s="31"/>
      <c r="CO108" s="130"/>
      <c r="CP108" s="38"/>
      <c r="CQ108" s="38"/>
      <c r="CR108" s="38"/>
      <c r="CS108" s="31"/>
      <c r="CT108" s="130"/>
      <c r="CU108" s="38"/>
      <c r="CV108" s="38"/>
      <c r="CW108" s="38"/>
      <c r="CX108" s="31"/>
      <c r="CY108" s="130"/>
      <c r="CZ108" s="38"/>
      <c r="DA108" s="38"/>
      <c r="DB108" s="38"/>
      <c r="DC108" s="31"/>
      <c r="DD108" s="130"/>
      <c r="DE108" s="38"/>
      <c r="DF108" s="38"/>
      <c r="DG108" s="38"/>
      <c r="DH108" s="31"/>
      <c r="DI108" s="130"/>
      <c r="DJ108" s="38"/>
      <c r="DK108" s="38"/>
      <c r="DL108" s="38"/>
      <c r="DM108" s="31"/>
      <c r="DN108" s="130"/>
      <c r="DO108" s="38"/>
      <c r="DP108" s="38"/>
      <c r="DQ108" s="38"/>
      <c r="DR108" s="31"/>
      <c r="DS108" s="130"/>
      <c r="DT108" s="38"/>
      <c r="DU108" s="38"/>
      <c r="DV108" s="38"/>
      <c r="DW108" s="31"/>
      <c r="DX108" s="130"/>
      <c r="DY108" s="38"/>
      <c r="DZ108" s="38"/>
      <c r="EA108" s="38"/>
      <c r="EB108" s="31"/>
      <c r="EC108" s="130"/>
      <c r="ED108" s="38"/>
      <c r="EE108" s="38"/>
      <c r="EF108" s="38"/>
      <c r="EG108" s="31"/>
      <c r="EH108" s="130"/>
      <c r="EI108" s="38"/>
      <c r="EJ108" s="38"/>
      <c r="EK108" s="38"/>
      <c r="EL108" s="31"/>
      <c r="EM108" s="131"/>
      <c r="EN108" s="132"/>
      <c r="EO108" s="132"/>
      <c r="EP108" s="132"/>
      <c r="EQ108" s="132"/>
      <c r="ER108" s="31"/>
      <c r="ES108" s="131"/>
      <c r="ET108" s="132"/>
      <c r="EU108" s="132"/>
      <c r="EV108" s="132"/>
      <c r="EW108" s="132"/>
    </row>
    <row r="109" spans="1:153" s="8" customFormat="1" ht="15" customHeight="1">
      <c r="A109"/>
      <c r="B109" s="129"/>
      <c r="C109" s="129"/>
      <c r="D109" s="10"/>
      <c r="E109" s="122"/>
      <c r="F109" s="122"/>
      <c r="G109" s="122"/>
      <c r="H109" s="122"/>
      <c r="I109" s="122"/>
      <c r="J109" s="10"/>
      <c r="K109" s="10"/>
      <c r="L109" s="122"/>
      <c r="M109" s="10"/>
      <c r="N109" s="10"/>
      <c r="O109" s="10"/>
      <c r="P109" s="10"/>
      <c r="Q109" s="122"/>
      <c r="R109" s="130"/>
      <c r="S109" s="38"/>
      <c r="T109" s="38"/>
      <c r="U109" s="38"/>
      <c r="V109" s="37"/>
      <c r="W109" s="130"/>
      <c r="X109" s="38"/>
      <c r="Y109" s="38"/>
      <c r="Z109" s="38"/>
      <c r="AA109" s="37"/>
      <c r="AB109" s="130"/>
      <c r="AC109" s="38"/>
      <c r="AD109" s="38"/>
      <c r="AE109" s="38"/>
      <c r="AF109" s="38"/>
      <c r="AG109" s="130"/>
      <c r="AH109" s="38"/>
      <c r="AI109" s="38"/>
      <c r="AJ109" s="38"/>
      <c r="AK109" s="37"/>
      <c r="AL109" s="130"/>
      <c r="AM109" s="38"/>
      <c r="AN109" s="38"/>
      <c r="AO109" s="38"/>
      <c r="AP109" s="38"/>
      <c r="AQ109" s="130"/>
      <c r="AR109" s="38"/>
      <c r="AS109" s="38"/>
      <c r="AT109" s="38"/>
      <c r="AU109" s="38"/>
      <c r="AZ109" s="38"/>
      <c r="BA109" s="130"/>
      <c r="BB109" s="38"/>
      <c r="BC109" s="38"/>
      <c r="BD109" s="38"/>
      <c r="BE109" s="38"/>
      <c r="BF109" s="130"/>
      <c r="BG109" s="38"/>
      <c r="BH109" s="38"/>
      <c r="BI109" s="38"/>
      <c r="BJ109" s="786"/>
      <c r="BK109" s="130"/>
      <c r="BL109" s="38"/>
      <c r="BM109" s="38"/>
      <c r="BN109" s="38"/>
      <c r="BO109" s="786"/>
      <c r="BP109" s="130"/>
      <c r="BQ109" s="38"/>
      <c r="BR109" s="38"/>
      <c r="BS109" s="38"/>
      <c r="BT109" s="786"/>
      <c r="BU109" s="130"/>
      <c r="BV109" s="38"/>
      <c r="BW109" s="38"/>
      <c r="BX109" s="38"/>
      <c r="BY109" s="31"/>
      <c r="BZ109" s="130"/>
      <c r="CA109" s="38"/>
      <c r="CB109" s="38"/>
      <c r="CC109" s="38"/>
      <c r="CD109" s="38"/>
      <c r="CE109" s="130"/>
      <c r="CF109" s="38"/>
      <c r="CG109" s="38"/>
      <c r="CH109" s="38"/>
      <c r="CI109" s="31"/>
      <c r="CO109" s="130"/>
      <c r="CP109" s="38"/>
      <c r="CQ109" s="38"/>
      <c r="CR109" s="38"/>
      <c r="CS109" s="31"/>
      <c r="CT109" s="130"/>
      <c r="CU109" s="38"/>
      <c r="CV109" s="38"/>
      <c r="CW109" s="38"/>
      <c r="CX109" s="31"/>
      <c r="CY109" s="130"/>
      <c r="CZ109" s="38"/>
      <c r="DA109" s="38"/>
      <c r="DB109" s="38"/>
      <c r="DC109" s="31"/>
      <c r="DD109" s="130"/>
      <c r="DE109" s="38"/>
      <c r="DF109" s="38"/>
      <c r="DG109" s="38"/>
      <c r="DH109" s="31"/>
      <c r="DI109" s="130"/>
      <c r="DJ109" s="38"/>
      <c r="DK109" s="38"/>
      <c r="DL109" s="38"/>
      <c r="DM109" s="31"/>
      <c r="DN109" s="130"/>
      <c r="DO109" s="38"/>
      <c r="DP109" s="38"/>
      <c r="DQ109" s="38"/>
      <c r="DR109" s="31"/>
      <c r="DS109" s="130"/>
      <c r="DT109" s="38"/>
      <c r="DU109" s="38"/>
      <c r="DV109" s="38"/>
      <c r="DW109" s="31"/>
      <c r="DX109" s="130"/>
      <c r="DY109" s="38"/>
      <c r="DZ109" s="38"/>
      <c r="EA109" s="38"/>
      <c r="EB109" s="31"/>
      <c r="EC109" s="130"/>
      <c r="ED109" s="38"/>
      <c r="EE109" s="38"/>
      <c r="EF109" s="38"/>
      <c r="EG109" s="31"/>
      <c r="EH109" s="130"/>
      <c r="EI109" s="38"/>
      <c r="EJ109" s="38"/>
      <c r="EK109" s="38"/>
      <c r="EL109" s="31"/>
      <c r="EM109" s="131"/>
      <c r="EN109" s="132"/>
      <c r="EO109" s="132"/>
      <c r="EP109" s="132"/>
      <c r="EQ109" s="132"/>
      <c r="ER109" s="31"/>
      <c r="ES109" s="131"/>
      <c r="ET109" s="132"/>
      <c r="EU109" s="132"/>
      <c r="EV109" s="132"/>
      <c r="EW109" s="132"/>
    </row>
    <row r="110" spans="1:153" s="8" customFormat="1" ht="15" customHeight="1">
      <c r="A110"/>
      <c r="B110" s="129"/>
      <c r="C110" s="129"/>
      <c r="D110" s="10"/>
      <c r="E110" s="122"/>
      <c r="F110" s="122"/>
      <c r="G110" s="122"/>
      <c r="H110" s="122"/>
      <c r="I110" s="122"/>
      <c r="J110" s="10"/>
      <c r="K110" s="10"/>
      <c r="L110" s="122"/>
      <c r="M110" s="10"/>
      <c r="N110" s="10"/>
      <c r="O110" s="10"/>
      <c r="P110" s="10"/>
      <c r="Q110" s="122"/>
      <c r="R110" s="130"/>
      <c r="S110" s="38"/>
      <c r="T110" s="38"/>
      <c r="U110" s="38"/>
      <c r="V110" s="37"/>
      <c r="W110" s="130"/>
      <c r="X110" s="38"/>
      <c r="Y110" s="38"/>
      <c r="Z110" s="38"/>
      <c r="AA110" s="37"/>
      <c r="AB110" s="130"/>
      <c r="AC110" s="38"/>
      <c r="AD110" s="38"/>
      <c r="AE110" s="38"/>
      <c r="AF110" s="38"/>
      <c r="AG110" s="130"/>
      <c r="AH110" s="38"/>
      <c r="AI110" s="38"/>
      <c r="AJ110" s="38"/>
      <c r="AK110" s="37"/>
      <c r="AL110" s="130"/>
      <c r="AM110" s="38"/>
      <c r="AN110" s="38"/>
      <c r="AO110" s="38"/>
      <c r="AP110" s="38"/>
      <c r="AQ110" s="130"/>
      <c r="AR110" s="38"/>
      <c r="AS110" s="38"/>
      <c r="AT110" s="38"/>
      <c r="AU110" s="38"/>
      <c r="AZ110" s="38"/>
      <c r="BA110" s="130"/>
      <c r="BB110" s="38"/>
      <c r="BC110" s="38"/>
      <c r="BD110" s="38"/>
      <c r="BE110" s="38"/>
      <c r="BF110" s="130"/>
      <c r="BG110" s="38"/>
      <c r="BH110" s="38"/>
      <c r="BI110" s="38"/>
      <c r="BJ110" s="786"/>
      <c r="BK110" s="130"/>
      <c r="BL110" s="38"/>
      <c r="BM110" s="38"/>
      <c r="BN110" s="38"/>
      <c r="BO110" s="786"/>
      <c r="BP110" s="130"/>
      <c r="BQ110" s="38"/>
      <c r="BR110" s="38"/>
      <c r="BS110" s="38"/>
      <c r="BT110" s="786"/>
      <c r="BU110" s="130"/>
      <c r="BV110" s="38"/>
      <c r="BW110" s="38"/>
      <c r="BX110" s="38"/>
      <c r="BY110" s="31"/>
      <c r="BZ110" s="130"/>
      <c r="CA110" s="38"/>
      <c r="CB110" s="38"/>
      <c r="CC110" s="38"/>
      <c r="CD110" s="38"/>
      <c r="CE110" s="130"/>
      <c r="CF110" s="38"/>
      <c r="CG110" s="38"/>
      <c r="CH110" s="38"/>
      <c r="CI110" s="31"/>
      <c r="CO110" s="130"/>
      <c r="CP110" s="38"/>
      <c r="CQ110" s="38"/>
      <c r="CR110" s="38"/>
      <c r="CS110" s="31"/>
      <c r="CT110" s="130"/>
      <c r="CU110" s="38"/>
      <c r="CV110" s="38"/>
      <c r="CW110" s="38"/>
      <c r="CX110" s="31"/>
      <c r="CY110" s="130"/>
      <c r="CZ110" s="38"/>
      <c r="DA110" s="38"/>
      <c r="DB110" s="38"/>
      <c r="DC110" s="31"/>
      <c r="DD110" s="130"/>
      <c r="DE110" s="38"/>
      <c r="DF110" s="38"/>
      <c r="DG110" s="38"/>
      <c r="DH110" s="31"/>
      <c r="DI110" s="130"/>
      <c r="DJ110" s="38"/>
      <c r="DK110" s="38"/>
      <c r="DL110" s="38"/>
      <c r="DM110" s="31"/>
      <c r="DN110" s="130"/>
      <c r="DO110" s="38"/>
      <c r="DP110" s="38"/>
      <c r="DQ110" s="38"/>
      <c r="DR110" s="31"/>
      <c r="DS110" s="130"/>
      <c r="DT110" s="38"/>
      <c r="DU110" s="38"/>
      <c r="DV110" s="38"/>
      <c r="DW110" s="31"/>
      <c r="DX110" s="130"/>
      <c r="DY110" s="38"/>
      <c r="DZ110" s="38"/>
      <c r="EA110" s="38"/>
      <c r="EB110" s="31"/>
      <c r="EC110" s="130"/>
      <c r="ED110" s="38"/>
      <c r="EE110" s="38"/>
      <c r="EF110" s="38"/>
      <c r="EG110" s="31"/>
      <c r="EH110" s="130"/>
      <c r="EI110" s="38"/>
      <c r="EJ110" s="38"/>
      <c r="EK110" s="38"/>
      <c r="EL110" s="31"/>
      <c r="EM110" s="131"/>
      <c r="EN110" s="132"/>
      <c r="EO110" s="132"/>
      <c r="EP110" s="132"/>
      <c r="EQ110" s="132"/>
      <c r="ER110" s="31"/>
      <c r="ES110" s="131"/>
      <c r="ET110" s="132"/>
      <c r="EU110" s="132"/>
      <c r="EV110" s="132"/>
      <c r="EW110" s="132"/>
    </row>
    <row r="111" spans="1:153" s="8" customFormat="1" ht="15" customHeight="1">
      <c r="A111"/>
      <c r="B111" s="129"/>
      <c r="C111" s="129"/>
      <c r="D111" s="10"/>
      <c r="E111" s="122"/>
      <c r="F111" s="122"/>
      <c r="G111" s="122"/>
      <c r="H111" s="122"/>
      <c r="I111" s="122"/>
      <c r="J111" s="10"/>
      <c r="K111" s="10"/>
      <c r="L111" s="122"/>
      <c r="M111" s="10"/>
      <c r="N111" s="10"/>
      <c r="O111" s="10"/>
      <c r="P111" s="10"/>
      <c r="Q111" s="122"/>
      <c r="R111" s="130"/>
      <c r="S111" s="38"/>
      <c r="T111" s="38"/>
      <c r="U111" s="38"/>
      <c r="V111" s="37"/>
      <c r="W111" s="130"/>
      <c r="X111" s="38"/>
      <c r="Y111" s="38"/>
      <c r="Z111" s="38"/>
      <c r="AA111" s="37"/>
      <c r="AB111" s="130"/>
      <c r="AC111" s="38"/>
      <c r="AD111" s="38"/>
      <c r="AE111" s="38"/>
      <c r="AF111" s="38"/>
      <c r="AG111" s="130"/>
      <c r="AH111" s="38"/>
      <c r="AI111" s="38"/>
      <c r="AJ111" s="38"/>
      <c r="AK111" s="37"/>
      <c r="AL111" s="130"/>
      <c r="AM111" s="38"/>
      <c r="AN111" s="38"/>
      <c r="AO111" s="38"/>
      <c r="AP111" s="38"/>
      <c r="AQ111" s="130"/>
      <c r="AR111" s="38"/>
      <c r="AS111" s="38"/>
      <c r="AT111" s="38"/>
      <c r="AU111" s="38"/>
      <c r="AZ111" s="38"/>
      <c r="BA111" s="130"/>
      <c r="BB111" s="38"/>
      <c r="BC111" s="38"/>
      <c r="BD111" s="38"/>
      <c r="BE111" s="38"/>
      <c r="BF111" s="130"/>
      <c r="BG111" s="38"/>
      <c r="BH111" s="38"/>
      <c r="BI111" s="38"/>
      <c r="BJ111" s="786"/>
      <c r="BK111" s="130"/>
      <c r="BL111" s="38"/>
      <c r="BM111" s="38"/>
      <c r="BN111" s="38"/>
      <c r="BO111" s="786"/>
      <c r="BP111" s="130"/>
      <c r="BQ111" s="38"/>
      <c r="BR111" s="38"/>
      <c r="BS111" s="38"/>
      <c r="BT111" s="786"/>
      <c r="BU111" s="130"/>
      <c r="BV111" s="38"/>
      <c r="BW111" s="38"/>
      <c r="BX111" s="38"/>
      <c r="BY111" s="31"/>
      <c r="BZ111" s="130"/>
      <c r="CA111" s="38"/>
      <c r="CB111" s="38"/>
      <c r="CC111" s="38"/>
      <c r="CD111" s="38"/>
      <c r="CE111" s="130"/>
      <c r="CF111" s="38"/>
      <c r="CG111" s="38"/>
      <c r="CH111" s="38"/>
      <c r="CI111" s="31"/>
      <c r="CO111" s="130"/>
      <c r="CP111" s="38"/>
      <c r="CQ111" s="38"/>
      <c r="CR111" s="38"/>
      <c r="CS111" s="31"/>
      <c r="CT111" s="130"/>
      <c r="CU111" s="38"/>
      <c r="CV111" s="38"/>
      <c r="CW111" s="38"/>
      <c r="CX111" s="31"/>
      <c r="CY111" s="130"/>
      <c r="CZ111" s="38"/>
      <c r="DA111" s="38"/>
      <c r="DB111" s="38"/>
      <c r="DC111" s="31"/>
      <c r="DD111" s="130"/>
      <c r="DE111" s="38"/>
      <c r="DF111" s="38"/>
      <c r="DG111" s="38"/>
      <c r="DH111" s="31"/>
      <c r="DI111" s="130"/>
      <c r="DJ111" s="38"/>
      <c r="DK111" s="38"/>
      <c r="DL111" s="38"/>
      <c r="DM111" s="31"/>
      <c r="DN111" s="130"/>
      <c r="DO111" s="38"/>
      <c r="DP111" s="38"/>
      <c r="DQ111" s="38"/>
      <c r="DR111" s="31"/>
      <c r="DS111" s="130"/>
      <c r="DT111" s="38"/>
      <c r="DU111" s="38"/>
      <c r="DV111" s="38"/>
      <c r="DW111" s="31"/>
      <c r="DX111" s="130"/>
      <c r="DY111" s="38"/>
      <c r="DZ111" s="38"/>
      <c r="EA111" s="38"/>
      <c r="EB111" s="31"/>
      <c r="EC111" s="130"/>
      <c r="ED111" s="38"/>
      <c r="EE111" s="38"/>
      <c r="EF111" s="38"/>
      <c r="EG111" s="31"/>
      <c r="EH111" s="130"/>
      <c r="EI111" s="38"/>
      <c r="EJ111" s="38"/>
      <c r="EK111" s="38"/>
      <c r="EL111" s="31"/>
      <c r="EM111" s="131"/>
      <c r="EN111" s="132"/>
      <c r="EO111" s="132"/>
      <c r="EP111" s="132"/>
      <c r="EQ111" s="132"/>
      <c r="ER111" s="31"/>
      <c r="ES111" s="131"/>
      <c r="ET111" s="132"/>
      <c r="EU111" s="132"/>
      <c r="EV111" s="132"/>
      <c r="EW111" s="132"/>
    </row>
    <row r="112" spans="1:153" s="8" customFormat="1" ht="15" customHeight="1">
      <c r="A112"/>
      <c r="B112" s="129"/>
      <c r="C112" s="129"/>
      <c r="D112" s="10"/>
      <c r="E112" s="122"/>
      <c r="F112" s="122"/>
      <c r="G112" s="122"/>
      <c r="H112" s="122"/>
      <c r="I112" s="122"/>
      <c r="J112" s="10"/>
      <c r="K112" s="10"/>
      <c r="L112" s="122"/>
      <c r="M112" s="10"/>
      <c r="N112" s="10"/>
      <c r="O112" s="10"/>
      <c r="P112" s="10"/>
      <c r="Q112" s="122"/>
      <c r="R112" s="130"/>
      <c r="S112" s="38"/>
      <c r="T112" s="38"/>
      <c r="U112" s="38"/>
      <c r="V112" s="37"/>
      <c r="W112" s="130"/>
      <c r="X112" s="38"/>
      <c r="Y112" s="38"/>
      <c r="Z112" s="38"/>
      <c r="AA112" s="37"/>
      <c r="AB112" s="130"/>
      <c r="AC112" s="38"/>
      <c r="AD112" s="38"/>
      <c r="AE112" s="38"/>
      <c r="AF112" s="38"/>
      <c r="AG112" s="130"/>
      <c r="AH112" s="38"/>
      <c r="AI112" s="38"/>
      <c r="AJ112" s="38"/>
      <c r="AK112" s="37"/>
      <c r="AL112" s="130"/>
      <c r="AM112" s="38"/>
      <c r="AN112" s="38"/>
      <c r="AO112" s="38"/>
      <c r="AP112" s="38"/>
      <c r="AQ112" s="130"/>
      <c r="AR112" s="38"/>
      <c r="AS112" s="38"/>
      <c r="AT112" s="38"/>
      <c r="AU112" s="38"/>
      <c r="AZ112" s="38"/>
      <c r="BA112" s="130"/>
      <c r="BB112" s="38"/>
      <c r="BC112" s="38"/>
      <c r="BD112" s="38"/>
      <c r="BE112" s="38"/>
      <c r="BF112" s="130"/>
      <c r="BG112" s="38"/>
      <c r="BH112" s="38"/>
      <c r="BI112" s="38"/>
      <c r="BJ112" s="786"/>
      <c r="BK112" s="130"/>
      <c r="BL112" s="38"/>
      <c r="BM112" s="38"/>
      <c r="BN112" s="38"/>
      <c r="BO112" s="786"/>
      <c r="BP112" s="130"/>
      <c r="BQ112" s="38"/>
      <c r="BR112" s="38"/>
      <c r="BS112" s="38"/>
      <c r="BT112" s="786"/>
      <c r="BU112" s="130"/>
      <c r="BV112" s="38"/>
      <c r="BW112" s="38"/>
      <c r="BX112" s="38"/>
      <c r="BY112" s="31"/>
      <c r="BZ112" s="130"/>
      <c r="CA112" s="38"/>
      <c r="CB112" s="38"/>
      <c r="CC112" s="38"/>
      <c r="CD112" s="38"/>
      <c r="CE112" s="130"/>
      <c r="CF112" s="38"/>
      <c r="CG112" s="38"/>
      <c r="CH112" s="38"/>
      <c r="CI112" s="31"/>
      <c r="CO112" s="130"/>
      <c r="CP112" s="38"/>
      <c r="CQ112" s="38"/>
      <c r="CR112" s="38"/>
      <c r="CS112" s="31"/>
      <c r="CT112" s="130"/>
      <c r="CU112" s="38"/>
      <c r="CV112" s="38"/>
      <c r="CW112" s="38"/>
      <c r="CX112" s="31"/>
      <c r="CY112" s="130"/>
      <c r="CZ112" s="38"/>
      <c r="DA112" s="38"/>
      <c r="DB112" s="38"/>
      <c r="DC112" s="31"/>
      <c r="DD112" s="130"/>
      <c r="DE112" s="38"/>
      <c r="DF112" s="38"/>
      <c r="DG112" s="38"/>
      <c r="DH112" s="31"/>
      <c r="DI112" s="130"/>
      <c r="DJ112" s="38"/>
      <c r="DK112" s="38"/>
      <c r="DL112" s="38"/>
      <c r="DM112" s="31"/>
      <c r="DN112" s="130"/>
      <c r="DO112" s="38"/>
      <c r="DP112" s="38"/>
      <c r="DQ112" s="38"/>
      <c r="DR112" s="31"/>
      <c r="DS112" s="130"/>
      <c r="DT112" s="38"/>
      <c r="DU112" s="38"/>
      <c r="DV112" s="38"/>
      <c r="DW112" s="31"/>
      <c r="DX112" s="130"/>
      <c r="DY112" s="38"/>
      <c r="DZ112" s="38"/>
      <c r="EA112" s="38"/>
      <c r="EB112" s="31"/>
      <c r="EC112" s="130"/>
      <c r="ED112" s="38"/>
      <c r="EE112" s="38"/>
      <c r="EF112" s="38"/>
      <c r="EG112" s="31"/>
      <c r="EH112" s="130"/>
      <c r="EI112" s="38"/>
      <c r="EJ112" s="38"/>
      <c r="EK112" s="38"/>
      <c r="EL112" s="31"/>
      <c r="EM112" s="131"/>
      <c r="EN112" s="132"/>
      <c r="EO112" s="132"/>
      <c r="EP112" s="132"/>
      <c r="EQ112" s="132"/>
      <c r="ER112" s="31"/>
      <c r="ES112" s="131"/>
      <c r="ET112" s="132"/>
      <c r="EU112" s="132"/>
      <c r="EV112" s="132"/>
      <c r="EW112" s="132"/>
    </row>
    <row r="113" spans="1:153" s="8" customFormat="1" ht="15" customHeight="1">
      <c r="A113"/>
      <c r="B113" s="129"/>
      <c r="C113" s="129"/>
      <c r="D113" s="10"/>
      <c r="E113" s="122"/>
      <c r="F113" s="122"/>
      <c r="G113" s="122"/>
      <c r="H113" s="122"/>
      <c r="I113" s="122"/>
      <c r="J113" s="10"/>
      <c r="K113" s="10"/>
      <c r="L113" s="122"/>
      <c r="M113" s="10"/>
      <c r="N113" s="10"/>
      <c r="O113" s="10"/>
      <c r="P113" s="10"/>
      <c r="Q113" s="122"/>
      <c r="R113" s="130"/>
      <c r="S113" s="38"/>
      <c r="T113" s="38"/>
      <c r="U113" s="38"/>
      <c r="V113" s="37"/>
      <c r="W113" s="130"/>
      <c r="X113" s="38"/>
      <c r="Y113" s="38"/>
      <c r="Z113" s="38"/>
      <c r="AA113" s="37"/>
      <c r="AB113" s="130"/>
      <c r="AC113" s="38"/>
      <c r="AD113" s="38"/>
      <c r="AE113" s="38"/>
      <c r="AF113" s="38"/>
      <c r="AG113" s="130"/>
      <c r="AH113" s="38"/>
      <c r="AI113" s="38"/>
      <c r="AJ113" s="38"/>
      <c r="AK113" s="37"/>
      <c r="AL113" s="130"/>
      <c r="AM113" s="38"/>
      <c r="AN113" s="38"/>
      <c r="AO113" s="38"/>
      <c r="AP113" s="38"/>
      <c r="AQ113" s="130"/>
      <c r="AR113" s="38"/>
      <c r="AS113" s="38"/>
      <c r="AT113" s="38"/>
      <c r="AU113" s="38"/>
      <c r="AZ113" s="38"/>
      <c r="BA113" s="130"/>
      <c r="BB113" s="38"/>
      <c r="BC113" s="38"/>
      <c r="BD113" s="38"/>
      <c r="BE113" s="38"/>
      <c r="BF113" s="130"/>
      <c r="BG113" s="38"/>
      <c r="BH113" s="38"/>
      <c r="BI113" s="38"/>
      <c r="BJ113" s="786"/>
      <c r="BK113" s="130"/>
      <c r="BL113" s="38"/>
      <c r="BM113" s="38"/>
      <c r="BN113" s="38"/>
      <c r="BO113" s="786"/>
      <c r="BP113" s="130"/>
      <c r="BQ113" s="38"/>
      <c r="BR113" s="38"/>
      <c r="BS113" s="38"/>
      <c r="BT113" s="786"/>
      <c r="BU113" s="130"/>
      <c r="BV113" s="38"/>
      <c r="BW113" s="38"/>
      <c r="BX113" s="38"/>
      <c r="BY113" s="31"/>
      <c r="BZ113" s="130"/>
      <c r="CA113" s="38"/>
      <c r="CB113" s="38"/>
      <c r="CC113" s="38"/>
      <c r="CD113" s="38"/>
      <c r="CE113" s="130"/>
      <c r="CF113" s="38"/>
      <c r="CG113" s="38"/>
      <c r="CH113" s="38"/>
      <c r="CI113" s="31"/>
      <c r="CO113" s="130"/>
      <c r="CP113" s="38"/>
      <c r="CQ113" s="38"/>
      <c r="CR113" s="38"/>
      <c r="CS113" s="31"/>
      <c r="CT113" s="130"/>
      <c r="CU113" s="38"/>
      <c r="CV113" s="38"/>
      <c r="CW113" s="38"/>
      <c r="CX113" s="31"/>
      <c r="CY113" s="130"/>
      <c r="CZ113" s="38"/>
      <c r="DA113" s="38"/>
      <c r="DB113" s="38"/>
      <c r="DC113" s="31"/>
      <c r="DD113" s="130"/>
      <c r="DE113" s="38"/>
      <c r="DF113" s="38"/>
      <c r="DG113" s="38"/>
      <c r="DH113" s="31"/>
      <c r="DI113" s="130"/>
      <c r="DJ113" s="38"/>
      <c r="DK113" s="38"/>
      <c r="DL113" s="38"/>
      <c r="DM113" s="31"/>
      <c r="DN113" s="130"/>
      <c r="DO113" s="38"/>
      <c r="DP113" s="38"/>
      <c r="DQ113" s="38"/>
      <c r="DR113" s="31"/>
      <c r="DS113" s="130"/>
      <c r="DT113" s="38"/>
      <c r="DU113" s="38"/>
      <c r="DV113" s="38"/>
      <c r="DW113" s="31"/>
      <c r="DX113" s="130"/>
      <c r="DY113" s="38"/>
      <c r="DZ113" s="38"/>
      <c r="EA113" s="38"/>
      <c r="EB113" s="31"/>
      <c r="EC113" s="130"/>
      <c r="ED113" s="38"/>
      <c r="EE113" s="38"/>
      <c r="EF113" s="38"/>
      <c r="EG113" s="31"/>
      <c r="EH113" s="130"/>
      <c r="EI113" s="38"/>
      <c r="EJ113" s="38"/>
      <c r="EK113" s="38"/>
      <c r="EL113" s="31"/>
      <c r="EM113" s="131"/>
      <c r="EN113" s="132"/>
      <c r="EO113" s="132"/>
      <c r="EP113" s="132"/>
      <c r="EQ113" s="132"/>
      <c r="ER113" s="31"/>
      <c r="ES113" s="131"/>
      <c r="ET113" s="132"/>
      <c r="EU113" s="132"/>
      <c r="EV113" s="132"/>
      <c r="EW113" s="132"/>
    </row>
    <row r="114" spans="1:153" s="8" customFormat="1" ht="15" customHeight="1">
      <c r="A114"/>
      <c r="B114" s="129"/>
      <c r="C114" s="129"/>
      <c r="D114" s="10"/>
      <c r="E114" s="122"/>
      <c r="F114" s="122"/>
      <c r="G114" s="122"/>
      <c r="H114" s="122"/>
      <c r="I114" s="122"/>
      <c r="J114" s="10"/>
      <c r="K114" s="10"/>
      <c r="L114" s="122"/>
      <c r="M114" s="10"/>
      <c r="N114" s="10"/>
      <c r="O114" s="10"/>
      <c r="P114" s="10"/>
      <c r="Q114" s="122"/>
      <c r="R114" s="130"/>
      <c r="S114" s="38"/>
      <c r="T114" s="38"/>
      <c r="U114" s="38"/>
      <c r="V114" s="37"/>
      <c r="W114" s="130"/>
      <c r="X114" s="38"/>
      <c r="Y114" s="38"/>
      <c r="Z114" s="38"/>
      <c r="AA114" s="37"/>
      <c r="AB114" s="130"/>
      <c r="AC114" s="38"/>
      <c r="AD114" s="38"/>
      <c r="AE114" s="38"/>
      <c r="AF114" s="38"/>
      <c r="AG114" s="130"/>
      <c r="AH114" s="38"/>
      <c r="AI114" s="38"/>
      <c r="AJ114" s="38"/>
      <c r="AK114" s="37"/>
      <c r="AL114" s="130"/>
      <c r="AM114" s="38"/>
      <c r="AN114" s="38"/>
      <c r="AO114" s="38"/>
      <c r="AP114" s="38"/>
      <c r="AQ114" s="130"/>
      <c r="AR114" s="38"/>
      <c r="AS114" s="38"/>
      <c r="AT114" s="38"/>
      <c r="AU114" s="38"/>
      <c r="AZ114" s="38"/>
      <c r="BA114" s="130"/>
      <c r="BB114" s="38"/>
      <c r="BC114" s="38"/>
      <c r="BD114" s="38"/>
      <c r="BE114" s="38"/>
      <c r="BF114" s="130"/>
      <c r="BG114" s="38"/>
      <c r="BH114" s="38"/>
      <c r="BI114" s="38"/>
      <c r="BJ114" s="786"/>
      <c r="BK114" s="130"/>
      <c r="BL114" s="38"/>
      <c r="BM114" s="38"/>
      <c r="BN114" s="38"/>
      <c r="BO114" s="786"/>
      <c r="BP114" s="130"/>
      <c r="BQ114" s="38"/>
      <c r="BR114" s="38"/>
      <c r="BS114" s="38"/>
      <c r="BT114" s="786"/>
      <c r="BU114" s="130"/>
      <c r="BV114" s="38"/>
      <c r="BW114" s="38"/>
      <c r="BX114" s="38"/>
      <c r="BY114" s="31"/>
      <c r="BZ114" s="130"/>
      <c r="CA114" s="38"/>
      <c r="CB114" s="38"/>
      <c r="CC114" s="38"/>
      <c r="CD114" s="38"/>
      <c r="CE114" s="130"/>
      <c r="CF114" s="38"/>
      <c r="CG114" s="38"/>
      <c r="CH114" s="38"/>
      <c r="CI114" s="31"/>
      <c r="CO114" s="130"/>
      <c r="CP114" s="38"/>
      <c r="CQ114" s="38"/>
      <c r="CR114" s="38"/>
      <c r="CS114" s="31"/>
      <c r="CT114" s="130"/>
      <c r="CU114" s="38"/>
      <c r="CV114" s="38"/>
      <c r="CW114" s="38"/>
      <c r="CX114" s="31"/>
      <c r="CY114" s="130"/>
      <c r="CZ114" s="38"/>
      <c r="DA114" s="38"/>
      <c r="DB114" s="38"/>
      <c r="DC114" s="31"/>
      <c r="DD114" s="130"/>
      <c r="DE114" s="38"/>
      <c r="DF114" s="38"/>
      <c r="DG114" s="38"/>
      <c r="DH114" s="31"/>
      <c r="DI114" s="130"/>
      <c r="DJ114" s="38"/>
      <c r="DK114" s="38"/>
      <c r="DL114" s="38"/>
      <c r="DM114" s="31"/>
      <c r="DN114" s="130"/>
      <c r="DO114" s="38"/>
      <c r="DP114" s="38"/>
      <c r="DQ114" s="38"/>
      <c r="DR114" s="31"/>
      <c r="DS114" s="130"/>
      <c r="DT114" s="38"/>
      <c r="DU114" s="38"/>
      <c r="DV114" s="38"/>
      <c r="DW114" s="31"/>
      <c r="DX114" s="130"/>
      <c r="DY114" s="38"/>
      <c r="DZ114" s="38"/>
      <c r="EA114" s="38"/>
      <c r="EB114" s="31"/>
      <c r="EC114" s="130"/>
      <c r="ED114" s="38"/>
      <c r="EE114" s="38"/>
      <c r="EF114" s="38"/>
      <c r="EG114" s="31"/>
      <c r="EH114" s="130"/>
      <c r="EI114" s="38"/>
      <c r="EJ114" s="38"/>
      <c r="EK114" s="38"/>
      <c r="EL114" s="31"/>
      <c r="EM114" s="131"/>
      <c r="EN114" s="132"/>
      <c r="EO114" s="132"/>
      <c r="EP114" s="132"/>
      <c r="EQ114" s="132"/>
      <c r="ER114" s="31"/>
      <c r="ES114" s="131"/>
      <c r="ET114" s="132"/>
      <c r="EU114" s="132"/>
      <c r="EV114" s="132"/>
      <c r="EW114" s="132"/>
    </row>
    <row r="115" spans="1:153" s="8" customFormat="1" ht="15" customHeight="1">
      <c r="A115"/>
      <c r="B115" s="129"/>
      <c r="C115" s="129"/>
      <c r="D115" s="10"/>
      <c r="E115" s="122"/>
      <c r="F115" s="122"/>
      <c r="G115" s="122"/>
      <c r="H115" s="122"/>
      <c r="I115" s="122"/>
      <c r="J115" s="10"/>
      <c r="K115" s="10"/>
      <c r="L115" s="122"/>
      <c r="M115" s="10"/>
      <c r="N115" s="10"/>
      <c r="O115" s="10"/>
      <c r="P115" s="10"/>
      <c r="Q115" s="122"/>
      <c r="R115" s="130"/>
      <c r="S115" s="38"/>
      <c r="T115" s="38"/>
      <c r="U115" s="38"/>
      <c r="V115" s="37"/>
      <c r="W115" s="130"/>
      <c r="X115" s="38"/>
      <c r="Y115" s="38"/>
      <c r="Z115" s="38"/>
      <c r="AA115" s="37"/>
      <c r="AB115" s="130"/>
      <c r="AC115" s="38"/>
      <c r="AD115" s="38"/>
      <c r="AE115" s="38"/>
      <c r="AF115" s="38"/>
      <c r="AG115" s="130"/>
      <c r="AH115" s="38"/>
      <c r="AI115" s="38"/>
      <c r="AJ115" s="38"/>
      <c r="AK115" s="37"/>
      <c r="AL115" s="130"/>
      <c r="AM115" s="38"/>
      <c r="AN115" s="38"/>
      <c r="AO115" s="38"/>
      <c r="AP115" s="38"/>
      <c r="AQ115" s="130"/>
      <c r="AR115" s="38"/>
      <c r="AS115" s="38"/>
      <c r="AT115" s="38"/>
      <c r="AU115" s="38"/>
      <c r="AZ115" s="38"/>
      <c r="BA115" s="130"/>
      <c r="BB115" s="38"/>
      <c r="BC115" s="38"/>
      <c r="BD115" s="38"/>
      <c r="BE115" s="38"/>
      <c r="BF115" s="130"/>
      <c r="BG115" s="38"/>
      <c r="BH115" s="38"/>
      <c r="BI115" s="38"/>
      <c r="BJ115" s="786"/>
      <c r="BK115" s="130"/>
      <c r="BL115" s="38"/>
      <c r="BM115" s="38"/>
      <c r="BN115" s="38"/>
      <c r="BO115" s="786"/>
      <c r="BP115" s="130"/>
      <c r="BQ115" s="38"/>
      <c r="BR115" s="38"/>
      <c r="BS115" s="38"/>
      <c r="BT115" s="786"/>
      <c r="BU115" s="130"/>
      <c r="BV115" s="38"/>
      <c r="BW115" s="38"/>
      <c r="BX115" s="38"/>
      <c r="BY115" s="31"/>
      <c r="BZ115" s="130"/>
      <c r="CA115" s="38"/>
      <c r="CB115" s="38"/>
      <c r="CC115" s="38"/>
      <c r="CD115" s="38"/>
      <c r="CE115" s="130"/>
      <c r="CF115" s="38"/>
      <c r="CG115" s="38"/>
      <c r="CH115" s="38"/>
      <c r="CI115" s="31"/>
      <c r="CO115" s="130"/>
      <c r="CP115" s="38"/>
      <c r="CQ115" s="38"/>
      <c r="CR115" s="38"/>
      <c r="CS115" s="31"/>
      <c r="CT115" s="130"/>
      <c r="CU115" s="38"/>
      <c r="CV115" s="38"/>
      <c r="CW115" s="38"/>
      <c r="CX115" s="31"/>
      <c r="CY115" s="130"/>
      <c r="CZ115" s="38"/>
      <c r="DA115" s="38"/>
      <c r="DB115" s="38"/>
      <c r="DC115" s="31"/>
      <c r="DD115" s="130"/>
      <c r="DE115" s="38"/>
      <c r="DF115" s="38"/>
      <c r="DG115" s="38"/>
      <c r="DH115" s="31"/>
      <c r="DI115" s="130"/>
      <c r="DJ115" s="38"/>
      <c r="DK115" s="38"/>
      <c r="DL115" s="38"/>
      <c r="DM115" s="31"/>
      <c r="DN115" s="130"/>
      <c r="DO115" s="38"/>
      <c r="DP115" s="38"/>
      <c r="DQ115" s="38"/>
      <c r="DR115" s="31"/>
      <c r="DS115" s="130"/>
      <c r="DT115" s="38"/>
      <c r="DU115" s="38"/>
      <c r="DV115" s="38"/>
      <c r="DW115" s="31"/>
      <c r="DX115" s="130"/>
      <c r="DY115" s="38"/>
      <c r="DZ115" s="38"/>
      <c r="EA115" s="38"/>
      <c r="EB115" s="31"/>
      <c r="EC115" s="130"/>
      <c r="ED115" s="38"/>
      <c r="EE115" s="38"/>
      <c r="EF115" s="38"/>
      <c r="EG115" s="31"/>
      <c r="EH115" s="130"/>
      <c r="EI115" s="38"/>
      <c r="EJ115" s="38"/>
      <c r="EK115" s="38"/>
      <c r="EL115" s="31"/>
      <c r="EM115" s="131"/>
      <c r="EN115" s="132"/>
      <c r="EO115" s="132"/>
      <c r="EP115" s="132"/>
      <c r="EQ115" s="132"/>
      <c r="ER115" s="31"/>
      <c r="ES115" s="131"/>
      <c r="ET115" s="132"/>
      <c r="EU115" s="132"/>
      <c r="EV115" s="132"/>
      <c r="EW115" s="132"/>
    </row>
    <row r="116" spans="1:153" s="8" customFormat="1" ht="15" customHeight="1">
      <c r="A116"/>
      <c r="B116" s="129"/>
      <c r="C116" s="129"/>
      <c r="D116" s="10"/>
      <c r="E116" s="122"/>
      <c r="F116" s="122"/>
      <c r="G116" s="122"/>
      <c r="H116" s="122"/>
      <c r="I116" s="122"/>
      <c r="J116" s="10"/>
      <c r="K116" s="10"/>
      <c r="L116" s="122"/>
      <c r="M116" s="10"/>
      <c r="N116" s="10"/>
      <c r="O116" s="10"/>
      <c r="P116" s="10"/>
      <c r="Q116" s="122"/>
      <c r="R116" s="130"/>
      <c r="S116" s="38"/>
      <c r="T116" s="38"/>
      <c r="U116" s="38"/>
      <c r="V116" s="37"/>
      <c r="W116" s="130"/>
      <c r="X116" s="38"/>
      <c r="Y116" s="38"/>
      <c r="Z116" s="38"/>
      <c r="AA116" s="37"/>
      <c r="AB116" s="130"/>
      <c r="AC116" s="38"/>
      <c r="AD116" s="38"/>
      <c r="AE116" s="38"/>
      <c r="AF116" s="38"/>
      <c r="AG116" s="130"/>
      <c r="AH116" s="38"/>
      <c r="AI116" s="38"/>
      <c r="AJ116" s="38"/>
      <c r="AK116" s="37"/>
      <c r="AL116" s="130"/>
      <c r="AM116" s="38"/>
      <c r="AN116" s="38"/>
      <c r="AO116" s="38"/>
      <c r="AP116" s="38"/>
      <c r="AQ116" s="130"/>
      <c r="AR116" s="38"/>
      <c r="AS116" s="38"/>
      <c r="AT116" s="38"/>
      <c r="AU116" s="38"/>
      <c r="AZ116" s="38"/>
      <c r="BA116" s="130"/>
      <c r="BB116" s="38"/>
      <c r="BC116" s="38"/>
      <c r="BD116" s="38"/>
      <c r="BE116" s="38"/>
      <c r="BF116" s="130"/>
      <c r="BG116" s="38"/>
      <c r="BH116" s="38"/>
      <c r="BI116" s="38"/>
      <c r="BJ116" s="786"/>
      <c r="BK116" s="130"/>
      <c r="BL116" s="38"/>
      <c r="BM116" s="38"/>
      <c r="BN116" s="38"/>
      <c r="BO116" s="786"/>
      <c r="BP116" s="130"/>
      <c r="BQ116" s="38"/>
      <c r="BR116" s="38"/>
      <c r="BS116" s="38"/>
      <c r="BT116" s="786"/>
      <c r="BU116" s="130"/>
      <c r="BV116" s="38"/>
      <c r="BW116" s="38"/>
      <c r="BX116" s="38"/>
      <c r="BY116" s="31"/>
      <c r="BZ116" s="130"/>
      <c r="CA116" s="38"/>
      <c r="CB116" s="38"/>
      <c r="CC116" s="38"/>
      <c r="CD116" s="38"/>
      <c r="CE116" s="130"/>
      <c r="CF116" s="38"/>
      <c r="CG116" s="38"/>
      <c r="CH116" s="38"/>
      <c r="CI116" s="31"/>
      <c r="CO116" s="130"/>
      <c r="CP116" s="38"/>
      <c r="CQ116" s="38"/>
      <c r="CR116" s="38"/>
      <c r="CS116" s="31"/>
      <c r="CT116" s="130"/>
      <c r="CU116" s="38"/>
      <c r="CV116" s="38"/>
      <c r="CW116" s="38"/>
      <c r="CX116" s="31"/>
      <c r="CY116" s="130"/>
      <c r="CZ116" s="38"/>
      <c r="DA116" s="38"/>
      <c r="DB116" s="38"/>
      <c r="DC116" s="31"/>
      <c r="DD116" s="130"/>
      <c r="DE116" s="38"/>
      <c r="DF116" s="38"/>
      <c r="DG116" s="38"/>
      <c r="DH116" s="31"/>
      <c r="DI116" s="130"/>
      <c r="DJ116" s="38"/>
      <c r="DK116" s="38"/>
      <c r="DL116" s="38"/>
      <c r="DM116" s="31"/>
      <c r="DN116" s="130"/>
      <c r="DO116" s="38"/>
      <c r="DP116" s="38"/>
      <c r="DQ116" s="38"/>
      <c r="DR116" s="31"/>
      <c r="DS116" s="130"/>
      <c r="DT116" s="38"/>
      <c r="DU116" s="38"/>
      <c r="DV116" s="38"/>
      <c r="DW116" s="31"/>
      <c r="DX116" s="130"/>
      <c r="DY116" s="38"/>
      <c r="DZ116" s="38"/>
      <c r="EA116" s="38"/>
      <c r="EB116" s="31"/>
      <c r="EC116" s="130"/>
      <c r="ED116" s="38"/>
      <c r="EE116" s="38"/>
      <c r="EF116" s="38"/>
      <c r="EG116" s="31"/>
      <c r="EH116" s="130"/>
      <c r="EI116" s="38"/>
      <c r="EJ116" s="38"/>
      <c r="EK116" s="38"/>
      <c r="EL116" s="31"/>
      <c r="EM116" s="131"/>
      <c r="EN116" s="132"/>
      <c r="EO116" s="132"/>
      <c r="EP116" s="132"/>
      <c r="EQ116" s="132"/>
      <c r="ER116" s="31"/>
      <c r="ES116" s="131"/>
      <c r="ET116" s="132"/>
      <c r="EU116" s="132"/>
      <c r="EV116" s="132"/>
      <c r="EW116" s="132"/>
    </row>
    <row r="117" spans="1:153" s="8" customFormat="1" ht="15" customHeight="1">
      <c r="A117"/>
      <c r="B117" s="129"/>
      <c r="C117" s="129"/>
      <c r="D117" s="10"/>
      <c r="E117" s="122"/>
      <c r="F117" s="122"/>
      <c r="G117" s="122"/>
      <c r="H117" s="122"/>
      <c r="I117" s="122"/>
      <c r="J117" s="10"/>
      <c r="K117" s="10"/>
      <c r="L117" s="122"/>
      <c r="M117" s="10"/>
      <c r="N117" s="10"/>
      <c r="O117" s="10"/>
      <c r="P117" s="10"/>
      <c r="Q117" s="122"/>
      <c r="R117" s="130"/>
      <c r="S117" s="38"/>
      <c r="T117" s="38"/>
      <c r="U117" s="38"/>
      <c r="V117" s="37"/>
      <c r="W117" s="130"/>
      <c r="X117" s="38"/>
      <c r="Y117" s="38"/>
      <c r="Z117" s="38"/>
      <c r="AA117" s="37"/>
      <c r="AB117" s="130"/>
      <c r="AC117" s="38"/>
      <c r="AD117" s="38"/>
      <c r="AE117" s="38"/>
      <c r="AF117" s="38"/>
      <c r="AG117" s="130"/>
      <c r="AH117" s="38"/>
      <c r="AI117" s="38"/>
      <c r="AJ117" s="38"/>
      <c r="AK117" s="37"/>
      <c r="AL117" s="130"/>
      <c r="AM117" s="38"/>
      <c r="AN117" s="38"/>
      <c r="AO117" s="38"/>
      <c r="AP117" s="38"/>
      <c r="AQ117" s="130"/>
      <c r="AR117" s="38"/>
      <c r="AS117" s="38"/>
      <c r="AT117" s="38"/>
      <c r="AU117" s="38"/>
      <c r="AZ117" s="38"/>
      <c r="BA117" s="130"/>
      <c r="BB117" s="38"/>
      <c r="BC117" s="38"/>
      <c r="BD117" s="38"/>
      <c r="BE117" s="38"/>
      <c r="BF117" s="130"/>
      <c r="BG117" s="38"/>
      <c r="BH117" s="38"/>
      <c r="BI117" s="38"/>
      <c r="BJ117" s="786"/>
      <c r="BK117" s="130"/>
      <c r="BL117" s="38"/>
      <c r="BM117" s="38"/>
      <c r="BN117" s="38"/>
      <c r="BO117" s="786"/>
      <c r="BP117" s="130"/>
      <c r="BQ117" s="38"/>
      <c r="BR117" s="38"/>
      <c r="BS117" s="38"/>
      <c r="BT117" s="786"/>
      <c r="BU117" s="130"/>
      <c r="BV117" s="38"/>
      <c r="BW117" s="38"/>
      <c r="BX117" s="38"/>
      <c r="BY117" s="31"/>
      <c r="BZ117" s="130"/>
      <c r="CA117" s="38"/>
      <c r="CB117" s="38"/>
      <c r="CC117" s="38"/>
      <c r="CD117" s="38"/>
      <c r="CE117" s="130"/>
      <c r="CF117" s="38"/>
      <c r="CG117" s="38"/>
      <c r="CH117" s="38"/>
      <c r="CI117" s="31"/>
      <c r="CO117" s="130"/>
      <c r="CP117" s="38"/>
      <c r="CQ117" s="38"/>
      <c r="CR117" s="38"/>
      <c r="CS117" s="31"/>
      <c r="CT117" s="130"/>
      <c r="CU117" s="38"/>
      <c r="CV117" s="38"/>
      <c r="CW117" s="38"/>
      <c r="CX117" s="31"/>
      <c r="CY117" s="130"/>
      <c r="CZ117" s="38"/>
      <c r="DA117" s="38"/>
      <c r="DB117" s="38"/>
      <c r="DC117" s="31"/>
      <c r="DD117" s="130"/>
      <c r="DE117" s="38"/>
      <c r="DF117" s="38"/>
      <c r="DG117" s="38"/>
      <c r="DH117" s="31"/>
      <c r="DI117" s="130"/>
      <c r="DJ117" s="38"/>
      <c r="DK117" s="38"/>
      <c r="DL117" s="38"/>
      <c r="DM117" s="31"/>
      <c r="DN117" s="130"/>
      <c r="DO117" s="38"/>
      <c r="DP117" s="38"/>
      <c r="DQ117" s="38"/>
      <c r="DR117" s="31"/>
      <c r="DS117" s="130"/>
      <c r="DT117" s="38"/>
      <c r="DU117" s="38"/>
      <c r="DV117" s="38"/>
      <c r="DW117" s="31"/>
      <c r="DX117" s="130"/>
      <c r="DY117" s="38"/>
      <c r="DZ117" s="38"/>
      <c r="EA117" s="38"/>
      <c r="EB117" s="31"/>
      <c r="EC117" s="130"/>
      <c r="ED117" s="38"/>
      <c r="EE117" s="38"/>
      <c r="EF117" s="38"/>
      <c r="EG117" s="31"/>
      <c r="EH117" s="130"/>
      <c r="EI117" s="38"/>
      <c r="EJ117" s="38"/>
      <c r="EK117" s="38"/>
      <c r="EL117" s="31"/>
      <c r="EM117" s="131"/>
      <c r="EN117" s="132"/>
      <c r="EO117" s="132"/>
      <c r="EP117" s="132"/>
      <c r="EQ117" s="132"/>
      <c r="ER117" s="31"/>
      <c r="ES117" s="131"/>
      <c r="ET117" s="132"/>
      <c r="EU117" s="132"/>
      <c r="EV117" s="132"/>
      <c r="EW117" s="132"/>
    </row>
    <row r="118" spans="1:153" s="8" customFormat="1" ht="15" customHeight="1">
      <c r="A118"/>
      <c r="B118" s="129"/>
      <c r="C118" s="129"/>
      <c r="D118" s="10"/>
      <c r="E118" s="122"/>
      <c r="F118" s="122"/>
      <c r="G118" s="122"/>
      <c r="H118" s="122"/>
      <c r="I118" s="122"/>
      <c r="J118" s="10"/>
      <c r="K118" s="10"/>
      <c r="L118" s="122"/>
      <c r="M118" s="10"/>
      <c r="N118" s="10"/>
      <c r="O118" s="10"/>
      <c r="P118" s="10"/>
      <c r="Q118" s="122"/>
      <c r="R118" s="130"/>
      <c r="S118" s="38"/>
      <c r="T118" s="38"/>
      <c r="U118" s="38"/>
      <c r="V118" s="37"/>
      <c r="W118" s="130"/>
      <c r="X118" s="38"/>
      <c r="Y118" s="38"/>
      <c r="Z118" s="38"/>
      <c r="AA118" s="37"/>
      <c r="AB118" s="130"/>
      <c r="AC118" s="38"/>
      <c r="AD118" s="38"/>
      <c r="AE118" s="38"/>
      <c r="AF118" s="38"/>
      <c r="AG118" s="130"/>
      <c r="AH118" s="38"/>
      <c r="AI118" s="38"/>
      <c r="AJ118" s="38"/>
      <c r="AK118" s="37"/>
      <c r="AL118" s="130"/>
      <c r="AM118" s="38"/>
      <c r="AN118" s="38"/>
      <c r="AO118" s="38"/>
      <c r="AP118" s="38"/>
      <c r="AQ118" s="130"/>
      <c r="AR118" s="38"/>
      <c r="AS118" s="38"/>
      <c r="AT118" s="38"/>
      <c r="AU118" s="38"/>
      <c r="AZ118" s="38"/>
      <c r="BA118" s="130"/>
      <c r="BB118" s="38"/>
      <c r="BC118" s="38"/>
      <c r="BD118" s="38"/>
      <c r="BE118" s="38"/>
      <c r="BF118" s="130"/>
      <c r="BG118" s="38"/>
      <c r="BH118" s="38"/>
      <c r="BI118" s="38"/>
      <c r="BJ118" s="786"/>
      <c r="BK118" s="130"/>
      <c r="BL118" s="38"/>
      <c r="BM118" s="38"/>
      <c r="BN118" s="38"/>
      <c r="BO118" s="786"/>
      <c r="BP118" s="130"/>
      <c r="BQ118" s="38"/>
      <c r="BR118" s="38"/>
      <c r="BS118" s="38"/>
      <c r="BT118" s="786"/>
      <c r="BU118" s="130"/>
      <c r="BV118" s="38"/>
      <c r="BW118" s="38"/>
      <c r="BX118" s="38"/>
      <c r="BY118" s="31"/>
      <c r="BZ118" s="130"/>
      <c r="CA118" s="38"/>
      <c r="CB118" s="38"/>
      <c r="CC118" s="38"/>
      <c r="CD118" s="38"/>
      <c r="CE118" s="130"/>
      <c r="CF118" s="38"/>
      <c r="CG118" s="38"/>
      <c r="CH118" s="38"/>
      <c r="CI118" s="31"/>
      <c r="CO118" s="130"/>
      <c r="CP118" s="38"/>
      <c r="CQ118" s="38"/>
      <c r="CR118" s="38"/>
      <c r="CS118" s="31"/>
      <c r="CT118" s="130"/>
      <c r="CU118" s="38"/>
      <c r="CV118" s="38"/>
      <c r="CW118" s="38"/>
      <c r="CX118" s="31"/>
      <c r="CY118" s="130"/>
      <c r="CZ118" s="38"/>
      <c r="DA118" s="38"/>
      <c r="DB118" s="38"/>
      <c r="DC118" s="31"/>
      <c r="DD118" s="130"/>
      <c r="DE118" s="38"/>
      <c r="DF118" s="38"/>
      <c r="DG118" s="38"/>
      <c r="DH118" s="31"/>
      <c r="DI118" s="130"/>
      <c r="DJ118" s="38"/>
      <c r="DK118" s="38"/>
      <c r="DL118" s="38"/>
      <c r="DM118" s="31"/>
      <c r="DN118" s="130"/>
      <c r="DO118" s="38"/>
      <c r="DP118" s="38"/>
      <c r="DQ118" s="38"/>
      <c r="DR118" s="31"/>
      <c r="DS118" s="130"/>
      <c r="DT118" s="38"/>
      <c r="DU118" s="38"/>
      <c r="DV118" s="38"/>
      <c r="DW118" s="31"/>
      <c r="DX118" s="130"/>
      <c r="DY118" s="38"/>
      <c r="DZ118" s="38"/>
      <c r="EA118" s="38"/>
      <c r="EB118" s="31"/>
      <c r="EC118" s="130"/>
      <c r="ED118" s="38"/>
      <c r="EE118" s="38"/>
      <c r="EF118" s="38"/>
      <c r="EG118" s="31"/>
      <c r="EH118" s="130"/>
      <c r="EI118" s="38"/>
      <c r="EJ118" s="38"/>
      <c r="EK118" s="38"/>
      <c r="EL118" s="31"/>
      <c r="EM118" s="131"/>
      <c r="EN118" s="132"/>
      <c r="EO118" s="132"/>
      <c r="EP118" s="132"/>
      <c r="EQ118" s="132"/>
      <c r="ER118" s="31"/>
      <c r="ES118" s="131"/>
      <c r="ET118" s="132"/>
      <c r="EU118" s="132"/>
      <c r="EV118" s="132"/>
      <c r="EW118" s="132"/>
    </row>
    <row r="119" spans="1:153" s="8" customFormat="1" ht="15" customHeight="1">
      <c r="A119"/>
      <c r="B119" s="129"/>
      <c r="C119" s="129"/>
      <c r="D119" s="10"/>
      <c r="E119" s="122"/>
      <c r="F119" s="122"/>
      <c r="G119" s="122"/>
      <c r="H119" s="122"/>
      <c r="I119" s="122"/>
      <c r="J119" s="10"/>
      <c r="K119" s="10"/>
      <c r="L119" s="122"/>
      <c r="M119" s="10"/>
      <c r="N119" s="10"/>
      <c r="O119" s="10"/>
      <c r="P119" s="10"/>
      <c r="Q119" s="122"/>
      <c r="R119" s="130"/>
      <c r="S119" s="38"/>
      <c r="T119" s="38"/>
      <c r="U119" s="38"/>
      <c r="V119" s="37"/>
      <c r="W119" s="130"/>
      <c r="X119" s="38"/>
      <c r="Y119" s="38"/>
      <c r="Z119" s="38"/>
      <c r="AA119" s="37"/>
      <c r="AB119" s="130"/>
      <c r="AC119" s="38"/>
      <c r="AD119" s="38"/>
      <c r="AE119" s="38"/>
      <c r="AF119" s="38"/>
      <c r="AG119" s="130"/>
      <c r="AH119" s="38"/>
      <c r="AI119" s="38"/>
      <c r="AJ119" s="38"/>
      <c r="AK119" s="37"/>
      <c r="AL119" s="130"/>
      <c r="AM119" s="38"/>
      <c r="AN119" s="38"/>
      <c r="AO119" s="38"/>
      <c r="AP119" s="38"/>
      <c r="AQ119" s="130"/>
      <c r="AR119" s="38"/>
      <c r="AS119" s="38"/>
      <c r="AT119" s="38"/>
      <c r="AU119" s="38"/>
      <c r="AZ119" s="38"/>
      <c r="BA119" s="130"/>
      <c r="BB119" s="38"/>
      <c r="BC119" s="38"/>
      <c r="BD119" s="38"/>
      <c r="BE119" s="38"/>
      <c r="BF119" s="130"/>
      <c r="BG119" s="38"/>
      <c r="BH119" s="38"/>
      <c r="BI119" s="38"/>
      <c r="BJ119" s="786"/>
      <c r="BK119" s="130"/>
      <c r="BL119" s="38"/>
      <c r="BM119" s="38"/>
      <c r="BN119" s="38"/>
      <c r="BO119" s="786"/>
      <c r="BP119" s="130"/>
      <c r="BQ119" s="38"/>
      <c r="BR119" s="38"/>
      <c r="BS119" s="38"/>
      <c r="BT119" s="786"/>
      <c r="BU119" s="130"/>
      <c r="BV119" s="38"/>
      <c r="BW119" s="38"/>
      <c r="BX119" s="38"/>
      <c r="BY119" s="31"/>
      <c r="BZ119" s="130"/>
      <c r="CA119" s="38"/>
      <c r="CB119" s="38"/>
      <c r="CC119" s="38"/>
      <c r="CD119" s="38"/>
      <c r="CE119" s="130"/>
      <c r="CF119" s="38"/>
      <c r="CG119" s="38"/>
      <c r="CH119" s="38"/>
      <c r="CI119" s="31"/>
      <c r="CO119" s="130"/>
      <c r="CP119" s="38"/>
      <c r="CQ119" s="38"/>
      <c r="CR119" s="38"/>
      <c r="CS119" s="31"/>
      <c r="CT119" s="130"/>
      <c r="CU119" s="38"/>
      <c r="CV119" s="38"/>
      <c r="CW119" s="38"/>
      <c r="CX119" s="31"/>
      <c r="CY119" s="130"/>
      <c r="CZ119" s="38"/>
      <c r="DA119" s="38"/>
      <c r="DB119" s="38"/>
      <c r="DC119" s="31"/>
      <c r="DD119" s="130"/>
      <c r="DE119" s="38"/>
      <c r="DF119" s="38"/>
      <c r="DG119" s="38"/>
      <c r="DH119" s="31"/>
      <c r="DI119" s="130"/>
      <c r="DJ119" s="38"/>
      <c r="DK119" s="38"/>
      <c r="DL119" s="38"/>
      <c r="DM119" s="31"/>
      <c r="DN119" s="130"/>
      <c r="DO119" s="38"/>
      <c r="DP119" s="38"/>
      <c r="DQ119" s="38"/>
      <c r="DR119" s="31"/>
      <c r="DS119" s="130"/>
      <c r="DT119" s="38"/>
      <c r="DU119" s="38"/>
      <c r="DV119" s="38"/>
      <c r="DW119" s="31"/>
      <c r="DX119" s="130"/>
      <c r="DY119" s="38"/>
      <c r="DZ119" s="38"/>
      <c r="EA119" s="38"/>
      <c r="EB119" s="31"/>
      <c r="EC119" s="130"/>
      <c r="ED119" s="38"/>
      <c r="EE119" s="38"/>
      <c r="EF119" s="38"/>
      <c r="EG119" s="31"/>
      <c r="EH119" s="130"/>
      <c r="EI119" s="38"/>
      <c r="EJ119" s="38"/>
      <c r="EK119" s="38"/>
      <c r="EL119" s="31"/>
      <c r="EM119" s="131"/>
      <c r="EN119" s="132"/>
      <c r="EO119" s="132"/>
      <c r="EP119" s="132"/>
      <c r="EQ119" s="132"/>
      <c r="ER119" s="31"/>
      <c r="ES119" s="131"/>
      <c r="ET119" s="132"/>
      <c r="EU119" s="132"/>
      <c r="EV119" s="132"/>
      <c r="EW119" s="132"/>
    </row>
    <row r="120" spans="1:153" s="8" customFormat="1" ht="15" customHeight="1">
      <c r="A120"/>
      <c r="B120" s="129"/>
      <c r="C120" s="129"/>
      <c r="D120" s="10"/>
      <c r="E120" s="122"/>
      <c r="F120" s="122"/>
      <c r="G120" s="122"/>
      <c r="H120" s="122"/>
      <c r="I120" s="122"/>
      <c r="J120" s="10"/>
      <c r="K120" s="10"/>
      <c r="L120" s="122"/>
      <c r="M120" s="10"/>
      <c r="N120" s="10"/>
      <c r="O120" s="10"/>
      <c r="P120" s="10"/>
      <c r="Q120" s="122"/>
      <c r="R120" s="130"/>
      <c r="S120" s="38"/>
      <c r="T120" s="38"/>
      <c r="U120" s="38"/>
      <c r="V120" s="37"/>
      <c r="W120" s="130"/>
      <c r="X120" s="38"/>
      <c r="Y120" s="38"/>
      <c r="Z120" s="38"/>
      <c r="AA120" s="37"/>
      <c r="AB120" s="130"/>
      <c r="AC120" s="38"/>
      <c r="AD120" s="38"/>
      <c r="AE120" s="38"/>
      <c r="AF120" s="38"/>
      <c r="AG120" s="130"/>
      <c r="AH120" s="38"/>
      <c r="AI120" s="38"/>
      <c r="AJ120" s="38"/>
      <c r="AK120" s="37"/>
      <c r="AL120" s="130"/>
      <c r="AM120" s="38"/>
      <c r="AN120" s="38"/>
      <c r="AO120" s="38"/>
      <c r="AP120" s="38"/>
      <c r="AQ120" s="130"/>
      <c r="AR120" s="38"/>
      <c r="AS120" s="38"/>
      <c r="AT120" s="38"/>
      <c r="AU120" s="38"/>
      <c r="AZ120" s="38"/>
      <c r="BA120" s="130"/>
      <c r="BB120" s="38"/>
      <c r="BC120" s="38"/>
      <c r="BD120" s="38"/>
      <c r="BE120" s="38"/>
      <c r="BF120" s="130"/>
      <c r="BG120" s="38"/>
      <c r="BH120" s="38"/>
      <c r="BI120" s="38"/>
      <c r="BJ120" s="786"/>
      <c r="BK120" s="130"/>
      <c r="BL120" s="38"/>
      <c r="BM120" s="38"/>
      <c r="BN120" s="38"/>
      <c r="BO120" s="786"/>
      <c r="BP120" s="130"/>
      <c r="BQ120" s="38"/>
      <c r="BR120" s="38"/>
      <c r="BS120" s="38"/>
      <c r="BT120" s="786"/>
      <c r="BU120" s="130"/>
      <c r="BV120" s="38"/>
      <c r="BW120" s="38"/>
      <c r="BX120" s="38"/>
      <c r="BY120" s="31"/>
      <c r="BZ120" s="130"/>
      <c r="CA120" s="38"/>
      <c r="CB120" s="38"/>
      <c r="CC120" s="38"/>
      <c r="CD120" s="38"/>
      <c r="CE120" s="130"/>
      <c r="CF120" s="38"/>
      <c r="CG120" s="38"/>
      <c r="CH120" s="38"/>
      <c r="CI120" s="31"/>
      <c r="CO120" s="130"/>
      <c r="CP120" s="38"/>
      <c r="CQ120" s="38"/>
      <c r="CR120" s="38"/>
      <c r="CS120" s="31"/>
      <c r="CT120" s="130"/>
      <c r="CU120" s="38"/>
      <c r="CV120" s="38"/>
      <c r="CW120" s="38"/>
      <c r="CX120" s="31"/>
      <c r="CY120" s="130"/>
      <c r="CZ120" s="38"/>
      <c r="DA120" s="38"/>
      <c r="DB120" s="38"/>
      <c r="DC120" s="31"/>
      <c r="DD120" s="130"/>
      <c r="DE120" s="38"/>
      <c r="DF120" s="38"/>
      <c r="DG120" s="38"/>
      <c r="DH120" s="31"/>
      <c r="DI120" s="130"/>
      <c r="DJ120" s="38"/>
      <c r="DK120" s="38"/>
      <c r="DL120" s="38"/>
      <c r="DM120" s="31"/>
      <c r="DN120" s="130"/>
      <c r="DO120" s="38"/>
      <c r="DP120" s="38"/>
      <c r="DQ120" s="38"/>
      <c r="DR120" s="31"/>
      <c r="DS120" s="130"/>
      <c r="DT120" s="38"/>
      <c r="DU120" s="38"/>
      <c r="DV120" s="38"/>
      <c r="DW120" s="31"/>
      <c r="DX120" s="130"/>
      <c r="DY120" s="38"/>
      <c r="DZ120" s="38"/>
      <c r="EA120" s="38"/>
      <c r="EB120" s="31"/>
      <c r="EC120" s="130"/>
      <c r="ED120" s="38"/>
      <c r="EE120" s="38"/>
      <c r="EF120" s="38"/>
      <c r="EG120" s="31"/>
      <c r="EH120" s="130"/>
      <c r="EI120" s="38"/>
      <c r="EJ120" s="38"/>
      <c r="EK120" s="38"/>
      <c r="EL120" s="31"/>
      <c r="EM120" s="131"/>
      <c r="EN120" s="132"/>
      <c r="EO120" s="132"/>
      <c r="EP120" s="132"/>
      <c r="EQ120" s="132"/>
      <c r="ER120" s="31"/>
      <c r="ES120" s="131"/>
      <c r="ET120" s="132"/>
      <c r="EU120" s="132"/>
      <c r="EV120" s="132"/>
      <c r="EW120" s="132"/>
    </row>
    <row r="121" spans="1:153" s="8" customFormat="1" ht="15" customHeight="1">
      <c r="A121"/>
      <c r="B121" s="129"/>
      <c r="C121" s="129"/>
      <c r="D121" s="10"/>
      <c r="E121" s="122"/>
      <c r="F121" s="122"/>
      <c r="G121" s="122"/>
      <c r="H121" s="122"/>
      <c r="I121" s="122"/>
      <c r="J121" s="10"/>
      <c r="K121" s="10"/>
      <c r="L121" s="122"/>
      <c r="M121" s="10"/>
      <c r="N121" s="10"/>
      <c r="O121" s="10"/>
      <c r="P121" s="10"/>
      <c r="Q121" s="122"/>
      <c r="R121" s="130"/>
      <c r="S121" s="38"/>
      <c r="T121" s="38"/>
      <c r="U121" s="38"/>
      <c r="V121" s="37"/>
      <c r="W121" s="130"/>
      <c r="X121" s="38"/>
      <c r="Y121" s="38"/>
      <c r="Z121" s="38"/>
      <c r="AA121" s="37"/>
      <c r="AB121" s="130"/>
      <c r="AC121" s="38"/>
      <c r="AD121" s="38"/>
      <c r="AE121" s="38"/>
      <c r="AF121" s="38"/>
      <c r="AG121" s="130"/>
      <c r="AH121" s="38"/>
      <c r="AI121" s="38"/>
      <c r="AJ121" s="38"/>
      <c r="AK121" s="37"/>
      <c r="AL121" s="130"/>
      <c r="AM121" s="38"/>
      <c r="AN121" s="38"/>
      <c r="AO121" s="38"/>
      <c r="AP121" s="38"/>
      <c r="AQ121" s="130"/>
      <c r="AR121" s="38"/>
      <c r="AS121" s="38"/>
      <c r="AT121" s="38"/>
      <c r="AU121" s="38"/>
      <c r="AZ121" s="38"/>
      <c r="BA121" s="130"/>
      <c r="BB121" s="38"/>
      <c r="BC121" s="38"/>
      <c r="BD121" s="38"/>
      <c r="BE121" s="38"/>
      <c r="BF121" s="130"/>
      <c r="BG121" s="38"/>
      <c r="BH121" s="38"/>
      <c r="BI121" s="38"/>
      <c r="BJ121" s="786"/>
      <c r="BK121" s="130"/>
      <c r="BL121" s="38"/>
      <c r="BM121" s="38"/>
      <c r="BN121" s="38"/>
      <c r="BO121" s="786"/>
      <c r="BP121" s="130"/>
      <c r="BQ121" s="38"/>
      <c r="BR121" s="38"/>
      <c r="BS121" s="38"/>
      <c r="BT121" s="786"/>
      <c r="BU121" s="130"/>
      <c r="BV121" s="38"/>
      <c r="BW121" s="38"/>
      <c r="BX121" s="38"/>
      <c r="BY121" s="31"/>
      <c r="BZ121" s="130"/>
      <c r="CA121" s="38"/>
      <c r="CB121" s="38"/>
      <c r="CC121" s="38"/>
      <c r="CD121" s="38"/>
      <c r="CE121" s="130"/>
      <c r="CF121" s="38"/>
      <c r="CG121" s="38"/>
      <c r="CH121" s="38"/>
      <c r="CI121" s="31"/>
      <c r="CO121" s="130"/>
      <c r="CP121" s="38"/>
      <c r="CQ121" s="38"/>
      <c r="CR121" s="38"/>
      <c r="CS121" s="31"/>
      <c r="CT121" s="130"/>
      <c r="CU121" s="38"/>
      <c r="CV121" s="38"/>
      <c r="CW121" s="38"/>
      <c r="CX121" s="31"/>
      <c r="CY121" s="130"/>
      <c r="CZ121" s="38"/>
      <c r="DA121" s="38"/>
      <c r="DB121" s="38"/>
      <c r="DC121" s="31"/>
      <c r="DD121" s="130"/>
      <c r="DE121" s="38"/>
      <c r="DF121" s="38"/>
      <c r="DG121" s="38"/>
      <c r="DH121" s="31"/>
      <c r="DI121" s="130"/>
      <c r="DJ121" s="38"/>
      <c r="DK121" s="38"/>
      <c r="DL121" s="38"/>
      <c r="DM121" s="31"/>
      <c r="DN121" s="130"/>
      <c r="DO121" s="38"/>
      <c r="DP121" s="38"/>
      <c r="DQ121" s="38"/>
      <c r="DR121" s="31"/>
      <c r="DS121" s="130"/>
      <c r="DT121" s="38"/>
      <c r="DU121" s="38"/>
      <c r="DV121" s="38"/>
      <c r="DW121" s="31"/>
      <c r="DX121" s="130"/>
      <c r="DY121" s="38"/>
      <c r="DZ121" s="38"/>
      <c r="EA121" s="38"/>
      <c r="EB121" s="31"/>
      <c r="EC121" s="130"/>
      <c r="ED121" s="38"/>
      <c r="EE121" s="38"/>
      <c r="EF121" s="38"/>
      <c r="EG121" s="31"/>
      <c r="EH121" s="130"/>
      <c r="EI121" s="38"/>
      <c r="EJ121" s="38"/>
      <c r="EK121" s="38"/>
      <c r="EL121" s="31"/>
      <c r="EM121" s="131"/>
      <c r="EN121" s="132"/>
      <c r="EO121" s="132"/>
      <c r="EP121" s="132"/>
      <c r="EQ121" s="132"/>
      <c r="ER121" s="31"/>
      <c r="ES121" s="131"/>
      <c r="ET121" s="132"/>
      <c r="EU121" s="132"/>
      <c r="EV121" s="132"/>
      <c r="EW121" s="132"/>
    </row>
    <row r="122" spans="1:153" s="8" customFormat="1" ht="15" customHeight="1">
      <c r="A122"/>
      <c r="B122" s="129"/>
      <c r="C122" s="129"/>
      <c r="D122" s="10"/>
      <c r="E122" s="122"/>
      <c r="F122" s="122"/>
      <c r="G122" s="122"/>
      <c r="H122" s="122"/>
      <c r="I122" s="122"/>
      <c r="J122" s="10"/>
      <c r="K122" s="10"/>
      <c r="L122" s="122"/>
      <c r="M122" s="10"/>
      <c r="N122" s="10"/>
      <c r="O122" s="10"/>
      <c r="P122" s="10"/>
      <c r="Q122" s="122"/>
      <c r="R122" s="130"/>
      <c r="S122" s="38"/>
      <c r="T122" s="38"/>
      <c r="U122" s="38"/>
      <c r="V122" s="37"/>
      <c r="W122" s="130"/>
      <c r="X122" s="38"/>
      <c r="Y122" s="38"/>
      <c r="Z122" s="38"/>
      <c r="AA122" s="37"/>
      <c r="AB122" s="130"/>
      <c r="AC122" s="38"/>
      <c r="AD122" s="38"/>
      <c r="AE122" s="38"/>
      <c r="AF122" s="38"/>
      <c r="AG122" s="130"/>
      <c r="AH122" s="38"/>
      <c r="AI122" s="38"/>
      <c r="AJ122" s="38"/>
      <c r="AK122" s="37"/>
      <c r="AL122" s="130"/>
      <c r="AM122" s="38"/>
      <c r="AN122" s="38"/>
      <c r="AO122" s="38"/>
      <c r="AP122" s="38"/>
      <c r="AQ122" s="130"/>
      <c r="AR122" s="38"/>
      <c r="AS122" s="38"/>
      <c r="AT122" s="38"/>
      <c r="AU122" s="38"/>
      <c r="AZ122" s="38"/>
      <c r="BA122" s="130"/>
      <c r="BB122" s="38"/>
      <c r="BC122" s="38"/>
      <c r="BD122" s="38"/>
      <c r="BE122" s="38"/>
      <c r="BF122" s="130"/>
      <c r="BG122" s="38"/>
      <c r="BH122" s="38"/>
      <c r="BI122" s="38"/>
      <c r="BJ122" s="786"/>
      <c r="BK122" s="130"/>
      <c r="BL122" s="38"/>
      <c r="BM122" s="38"/>
      <c r="BN122" s="38"/>
      <c r="BO122" s="786"/>
      <c r="BP122" s="130"/>
      <c r="BQ122" s="38"/>
      <c r="BR122" s="38"/>
      <c r="BS122" s="38"/>
      <c r="BT122" s="786"/>
      <c r="BU122" s="130"/>
      <c r="BV122" s="38"/>
      <c r="BW122" s="38"/>
      <c r="BX122" s="38"/>
      <c r="BY122" s="31"/>
      <c r="BZ122" s="130"/>
      <c r="CA122" s="38"/>
      <c r="CB122" s="38"/>
      <c r="CC122" s="38"/>
      <c r="CD122" s="38"/>
      <c r="CE122" s="130"/>
      <c r="CF122" s="38"/>
      <c r="CG122" s="38"/>
      <c r="CH122" s="38"/>
      <c r="CI122" s="31"/>
      <c r="CO122" s="130"/>
      <c r="CP122" s="38"/>
      <c r="CQ122" s="38"/>
      <c r="CR122" s="38"/>
      <c r="CS122" s="31"/>
      <c r="CT122" s="130"/>
      <c r="CU122" s="38"/>
      <c r="CV122" s="38"/>
      <c r="CW122" s="38"/>
      <c r="CX122" s="31"/>
      <c r="CY122" s="130"/>
      <c r="CZ122" s="38"/>
      <c r="DA122" s="38"/>
      <c r="DB122" s="38"/>
      <c r="DC122" s="31"/>
      <c r="DD122" s="130"/>
      <c r="DE122" s="38"/>
      <c r="DF122" s="38"/>
      <c r="DG122" s="38"/>
      <c r="DH122" s="31"/>
      <c r="DI122" s="130"/>
      <c r="DJ122" s="38"/>
      <c r="DK122" s="38"/>
      <c r="DL122" s="38"/>
      <c r="DM122" s="31"/>
      <c r="DN122" s="130"/>
      <c r="DO122" s="38"/>
      <c r="DP122" s="38"/>
      <c r="DQ122" s="38"/>
      <c r="DR122" s="31"/>
      <c r="DS122" s="130"/>
      <c r="DT122" s="38"/>
      <c r="DU122" s="38"/>
      <c r="DV122" s="38"/>
      <c r="DW122" s="31"/>
      <c r="DX122" s="130"/>
      <c r="DY122" s="38"/>
      <c r="DZ122" s="38"/>
      <c r="EA122" s="38"/>
      <c r="EB122" s="31"/>
      <c r="EC122" s="130"/>
      <c r="ED122" s="38"/>
      <c r="EE122" s="38"/>
      <c r="EF122" s="38"/>
      <c r="EG122" s="31"/>
      <c r="EH122" s="130"/>
      <c r="EI122" s="38"/>
      <c r="EJ122" s="38"/>
      <c r="EK122" s="38"/>
      <c r="EL122" s="31"/>
      <c r="EM122" s="131"/>
      <c r="EN122" s="132"/>
      <c r="EO122" s="132"/>
      <c r="EP122" s="132"/>
      <c r="EQ122" s="132"/>
      <c r="ER122" s="31"/>
      <c r="ES122" s="131"/>
      <c r="ET122" s="132"/>
      <c r="EU122" s="132"/>
      <c r="EV122" s="132"/>
      <c r="EW122" s="132"/>
    </row>
    <row r="123" spans="1:153" s="8" customFormat="1" ht="15" customHeight="1">
      <c r="A123"/>
      <c r="B123" s="129"/>
      <c r="C123" s="129"/>
      <c r="D123" s="10"/>
      <c r="E123" s="122"/>
      <c r="F123" s="122"/>
      <c r="G123" s="122"/>
      <c r="H123" s="122"/>
      <c r="I123" s="122"/>
      <c r="J123" s="10"/>
      <c r="K123" s="10"/>
      <c r="L123" s="122"/>
      <c r="M123" s="10"/>
      <c r="N123" s="10"/>
      <c r="O123" s="10"/>
      <c r="P123" s="10"/>
      <c r="Q123" s="122"/>
      <c r="R123" s="130"/>
      <c r="S123" s="38"/>
      <c r="T123" s="38"/>
      <c r="U123" s="38"/>
      <c r="V123" s="37"/>
      <c r="W123" s="130"/>
      <c r="X123" s="38"/>
      <c r="Y123" s="38"/>
      <c r="Z123" s="38"/>
      <c r="AA123" s="37"/>
      <c r="AB123" s="130"/>
      <c r="AC123" s="38"/>
      <c r="AD123" s="38"/>
      <c r="AE123" s="38"/>
      <c r="AF123" s="38"/>
      <c r="AG123" s="130"/>
      <c r="AH123" s="38"/>
      <c r="AI123" s="38"/>
      <c r="AJ123" s="38"/>
      <c r="AK123" s="37"/>
      <c r="AL123" s="130"/>
      <c r="AM123" s="38"/>
      <c r="AN123" s="38"/>
      <c r="AO123" s="38"/>
      <c r="AP123" s="38"/>
      <c r="AQ123" s="130"/>
      <c r="AR123" s="38"/>
      <c r="AS123" s="38"/>
      <c r="AT123" s="38"/>
      <c r="AU123" s="38"/>
      <c r="AZ123" s="38"/>
      <c r="BA123" s="130"/>
      <c r="BB123" s="38"/>
      <c r="BC123" s="38"/>
      <c r="BD123" s="38"/>
      <c r="BE123" s="38"/>
      <c r="BF123" s="130"/>
      <c r="BG123" s="38"/>
      <c r="BH123" s="38"/>
      <c r="BI123" s="38"/>
      <c r="BJ123" s="786"/>
      <c r="BK123" s="130"/>
      <c r="BL123" s="38"/>
      <c r="BM123" s="38"/>
      <c r="BN123" s="38"/>
      <c r="BO123" s="786"/>
      <c r="BP123" s="130"/>
      <c r="BQ123" s="38"/>
      <c r="BR123" s="38"/>
      <c r="BS123" s="38"/>
      <c r="BT123" s="786"/>
      <c r="BU123" s="130"/>
      <c r="BV123" s="38"/>
      <c r="BW123" s="38"/>
      <c r="BX123" s="38"/>
      <c r="BY123" s="31"/>
      <c r="BZ123" s="130"/>
      <c r="CA123" s="38"/>
      <c r="CB123" s="38"/>
      <c r="CC123" s="38"/>
      <c r="CD123" s="38"/>
      <c r="CE123" s="130"/>
      <c r="CF123" s="38"/>
      <c r="CG123" s="38"/>
      <c r="CH123" s="38"/>
      <c r="CI123" s="31"/>
      <c r="CO123" s="130"/>
      <c r="CP123" s="38"/>
      <c r="CQ123" s="38"/>
      <c r="CR123" s="38"/>
      <c r="CS123" s="31"/>
      <c r="CT123" s="130"/>
      <c r="CU123" s="38"/>
      <c r="CV123" s="38"/>
      <c r="CW123" s="38"/>
      <c r="CX123" s="31"/>
      <c r="CY123" s="130"/>
      <c r="CZ123" s="38"/>
      <c r="DA123" s="38"/>
      <c r="DB123" s="38"/>
      <c r="DC123" s="31"/>
      <c r="DD123" s="130"/>
      <c r="DE123" s="38"/>
      <c r="DF123" s="38"/>
      <c r="DG123" s="38"/>
      <c r="DH123" s="31"/>
      <c r="DI123" s="130"/>
      <c r="DJ123" s="38"/>
      <c r="DK123" s="38"/>
      <c r="DL123" s="38"/>
      <c r="DM123" s="31"/>
      <c r="DN123" s="130"/>
      <c r="DO123" s="38"/>
      <c r="DP123" s="38"/>
      <c r="DQ123" s="38"/>
      <c r="DR123" s="31"/>
      <c r="DS123" s="130"/>
      <c r="DT123" s="38"/>
      <c r="DU123" s="38"/>
      <c r="DV123" s="38"/>
      <c r="DW123" s="31"/>
      <c r="DX123" s="130"/>
      <c r="DY123" s="38"/>
      <c r="DZ123" s="38"/>
      <c r="EA123" s="38"/>
      <c r="EB123" s="31"/>
      <c r="EC123" s="130"/>
      <c r="ED123" s="38"/>
      <c r="EE123" s="38"/>
      <c r="EF123" s="38"/>
      <c r="EG123" s="31"/>
      <c r="EH123" s="130"/>
      <c r="EI123" s="38"/>
      <c r="EJ123" s="38"/>
      <c r="EK123" s="38"/>
      <c r="EL123" s="31"/>
      <c r="EM123" s="131"/>
      <c r="EN123" s="132"/>
      <c r="EO123" s="132"/>
      <c r="EP123" s="132"/>
      <c r="EQ123" s="132"/>
      <c r="ER123" s="31"/>
      <c r="ES123" s="131"/>
      <c r="ET123" s="132"/>
      <c r="EU123" s="132"/>
      <c r="EV123" s="132"/>
      <c r="EW123" s="132"/>
    </row>
    <row r="124" spans="1:153" s="8" customFormat="1" ht="15" customHeight="1">
      <c r="A124"/>
      <c r="B124" s="129"/>
      <c r="C124" s="129"/>
      <c r="D124" s="10"/>
      <c r="E124" s="122"/>
      <c r="F124" s="122"/>
      <c r="G124" s="122"/>
      <c r="H124" s="122"/>
      <c r="I124" s="122"/>
      <c r="J124" s="10"/>
      <c r="K124" s="10"/>
      <c r="L124" s="122"/>
      <c r="M124" s="10"/>
      <c r="N124" s="10"/>
      <c r="O124" s="10"/>
      <c r="P124" s="10"/>
      <c r="Q124" s="122"/>
      <c r="R124" s="130"/>
      <c r="S124" s="38"/>
      <c r="T124" s="38"/>
      <c r="U124" s="38"/>
      <c r="V124" s="37"/>
      <c r="W124" s="130"/>
      <c r="X124" s="38"/>
      <c r="Y124" s="38"/>
      <c r="Z124" s="38"/>
      <c r="AA124" s="37"/>
      <c r="AB124" s="130"/>
      <c r="AC124" s="38"/>
      <c r="AD124" s="38"/>
      <c r="AE124" s="38"/>
      <c r="AF124" s="38"/>
      <c r="AG124" s="130"/>
      <c r="AH124" s="38"/>
      <c r="AI124" s="38"/>
      <c r="AJ124" s="38"/>
      <c r="AK124" s="37"/>
      <c r="AL124" s="130"/>
      <c r="AM124" s="38"/>
      <c r="AN124" s="38"/>
      <c r="AO124" s="38"/>
      <c r="AP124" s="38"/>
      <c r="AQ124" s="130"/>
      <c r="AR124" s="38"/>
      <c r="AS124" s="38"/>
      <c r="AT124" s="38"/>
      <c r="AU124" s="38"/>
      <c r="AZ124" s="38"/>
      <c r="BA124" s="130"/>
      <c r="BB124" s="38"/>
      <c r="BC124" s="38"/>
      <c r="BD124" s="38"/>
      <c r="BE124" s="38"/>
      <c r="BF124" s="130"/>
      <c r="BG124" s="38"/>
      <c r="BH124" s="38"/>
      <c r="BI124" s="38"/>
      <c r="BJ124" s="786"/>
      <c r="BK124" s="130"/>
      <c r="BL124" s="38"/>
      <c r="BM124" s="38"/>
      <c r="BN124" s="38"/>
      <c r="BO124" s="786"/>
      <c r="BP124" s="130"/>
      <c r="BQ124" s="38"/>
      <c r="BR124" s="38"/>
      <c r="BS124" s="38"/>
      <c r="BT124" s="786"/>
      <c r="BU124" s="130"/>
      <c r="BV124" s="38"/>
      <c r="BW124" s="38"/>
      <c r="BX124" s="38"/>
      <c r="BY124" s="31"/>
      <c r="BZ124" s="130"/>
      <c r="CA124" s="38"/>
      <c r="CB124" s="38"/>
      <c r="CC124" s="38"/>
      <c r="CD124" s="38"/>
      <c r="CE124" s="130"/>
      <c r="CF124" s="38"/>
      <c r="CG124" s="38"/>
      <c r="CH124" s="38"/>
      <c r="CI124" s="31"/>
      <c r="CO124" s="130"/>
      <c r="CP124" s="38"/>
      <c r="CQ124" s="38"/>
      <c r="CR124" s="38"/>
      <c r="CS124" s="31"/>
      <c r="CT124" s="130"/>
      <c r="CU124" s="38"/>
      <c r="CV124" s="38"/>
      <c r="CW124" s="38"/>
      <c r="CX124" s="31"/>
      <c r="CY124" s="130"/>
      <c r="CZ124" s="38"/>
      <c r="DA124" s="38"/>
      <c r="DB124" s="38"/>
      <c r="DC124" s="31"/>
      <c r="DD124" s="130"/>
      <c r="DE124" s="38"/>
      <c r="DF124" s="38"/>
      <c r="DG124" s="38"/>
      <c r="DH124" s="31"/>
      <c r="DI124" s="130"/>
      <c r="DJ124" s="38"/>
      <c r="DK124" s="38"/>
      <c r="DL124" s="38"/>
      <c r="DM124" s="31"/>
      <c r="DN124" s="130"/>
      <c r="DO124" s="38"/>
      <c r="DP124" s="38"/>
      <c r="DQ124" s="38"/>
      <c r="DR124" s="31"/>
      <c r="DS124" s="130"/>
      <c r="DT124" s="38"/>
      <c r="DU124" s="38"/>
      <c r="DV124" s="38"/>
      <c r="DW124" s="31"/>
      <c r="DX124" s="130"/>
      <c r="DY124" s="38"/>
      <c r="DZ124" s="38"/>
      <c r="EA124" s="38"/>
      <c r="EB124" s="31"/>
      <c r="EC124" s="130"/>
      <c r="ED124" s="38"/>
      <c r="EE124" s="38"/>
      <c r="EF124" s="38"/>
      <c r="EG124" s="31"/>
      <c r="EH124" s="130"/>
      <c r="EI124" s="38"/>
      <c r="EJ124" s="38"/>
      <c r="EK124" s="38"/>
      <c r="EL124" s="31"/>
      <c r="EM124" s="131"/>
      <c r="EN124" s="132"/>
      <c r="EO124" s="132"/>
      <c r="EP124" s="132"/>
      <c r="EQ124" s="132"/>
      <c r="ER124" s="31"/>
      <c r="ES124" s="131"/>
      <c r="ET124" s="132"/>
      <c r="EU124" s="132"/>
      <c r="EV124" s="132"/>
      <c r="EW124" s="132"/>
    </row>
    <row r="125" spans="1:153" s="8" customFormat="1" ht="15" customHeight="1">
      <c r="A125"/>
      <c r="B125" s="129"/>
      <c r="C125" s="129"/>
      <c r="D125" s="10"/>
      <c r="E125" s="122"/>
      <c r="F125" s="122"/>
      <c r="G125" s="122"/>
      <c r="H125" s="122"/>
      <c r="I125" s="122"/>
      <c r="J125" s="10"/>
      <c r="K125" s="10"/>
      <c r="L125" s="122"/>
      <c r="M125" s="10"/>
      <c r="N125" s="10"/>
      <c r="O125" s="10"/>
      <c r="P125" s="10"/>
      <c r="Q125" s="122"/>
      <c r="R125" s="130"/>
      <c r="S125" s="38"/>
      <c r="T125" s="38"/>
      <c r="U125" s="38"/>
      <c r="V125" s="37"/>
      <c r="W125" s="130"/>
      <c r="X125" s="38"/>
      <c r="Y125" s="38"/>
      <c r="Z125" s="38"/>
      <c r="AA125" s="37"/>
      <c r="AB125" s="130"/>
      <c r="AC125" s="38"/>
      <c r="AD125" s="38"/>
      <c r="AE125" s="38"/>
      <c r="AF125" s="38"/>
      <c r="AG125" s="130"/>
      <c r="AH125" s="38"/>
      <c r="AI125" s="38"/>
      <c r="AJ125" s="38"/>
      <c r="AK125" s="37"/>
      <c r="AL125" s="130"/>
      <c r="AM125" s="38"/>
      <c r="AN125" s="38"/>
      <c r="AO125" s="38"/>
      <c r="AP125" s="38"/>
      <c r="AQ125" s="130"/>
      <c r="AR125" s="38"/>
      <c r="AS125" s="38"/>
      <c r="AT125" s="38"/>
      <c r="AU125" s="38"/>
      <c r="AZ125" s="38"/>
      <c r="BA125" s="130"/>
      <c r="BB125" s="38"/>
      <c r="BC125" s="38"/>
      <c r="BD125" s="38"/>
      <c r="BE125" s="38"/>
      <c r="BF125" s="130"/>
      <c r="BG125" s="38"/>
      <c r="BH125" s="38"/>
      <c r="BI125" s="38"/>
      <c r="BJ125" s="786"/>
      <c r="BK125" s="130"/>
      <c r="BL125" s="38"/>
      <c r="BM125" s="38"/>
      <c r="BN125" s="38"/>
      <c r="BO125" s="786"/>
      <c r="BP125" s="130"/>
      <c r="BQ125" s="38"/>
      <c r="BR125" s="38"/>
      <c r="BS125" s="38"/>
      <c r="BT125" s="786"/>
      <c r="BU125" s="130"/>
      <c r="BV125" s="38"/>
      <c r="BW125" s="38"/>
      <c r="BX125" s="38"/>
      <c r="BY125" s="31"/>
      <c r="BZ125" s="130"/>
      <c r="CA125" s="38"/>
      <c r="CB125" s="38"/>
      <c r="CC125" s="38"/>
      <c r="CD125" s="38"/>
      <c r="CE125" s="130"/>
      <c r="CF125" s="38"/>
      <c r="CG125" s="38"/>
      <c r="CH125" s="38"/>
      <c r="CI125" s="31"/>
      <c r="CO125" s="130"/>
      <c r="CP125" s="38"/>
      <c r="CQ125" s="38"/>
      <c r="CR125" s="38"/>
      <c r="CS125" s="31"/>
      <c r="CT125" s="130"/>
      <c r="CU125" s="38"/>
      <c r="CV125" s="38"/>
      <c r="CW125" s="38"/>
      <c r="CX125" s="31"/>
      <c r="CY125" s="130"/>
      <c r="CZ125" s="38"/>
      <c r="DA125" s="38"/>
      <c r="DB125" s="38"/>
      <c r="DC125" s="31"/>
      <c r="DD125" s="130"/>
      <c r="DE125" s="38"/>
      <c r="DF125" s="38"/>
      <c r="DG125" s="38"/>
      <c r="DH125" s="31"/>
      <c r="DI125" s="130"/>
      <c r="DJ125" s="38"/>
      <c r="DK125" s="38"/>
      <c r="DL125" s="38"/>
      <c r="DM125" s="31"/>
      <c r="DN125" s="130"/>
      <c r="DO125" s="38"/>
      <c r="DP125" s="38"/>
      <c r="DQ125" s="38"/>
      <c r="DR125" s="31"/>
      <c r="DS125" s="130"/>
      <c r="DT125" s="38"/>
      <c r="DU125" s="38"/>
      <c r="DV125" s="38"/>
      <c r="DW125" s="31"/>
      <c r="DX125" s="130"/>
      <c r="DY125" s="38"/>
      <c r="DZ125" s="38"/>
      <c r="EA125" s="38"/>
      <c r="EB125" s="31"/>
      <c r="EC125" s="130"/>
      <c r="ED125" s="38"/>
      <c r="EE125" s="38"/>
      <c r="EF125" s="38"/>
      <c r="EG125" s="31"/>
      <c r="EH125" s="130"/>
      <c r="EI125" s="38"/>
      <c r="EJ125" s="38"/>
      <c r="EK125" s="38"/>
      <c r="EL125" s="31"/>
      <c r="EM125" s="131"/>
      <c r="EN125" s="132"/>
      <c r="EO125" s="132"/>
      <c r="EP125" s="132"/>
      <c r="EQ125" s="132"/>
      <c r="ER125" s="31"/>
      <c r="ES125" s="131"/>
      <c r="ET125" s="132"/>
      <c r="EU125" s="132"/>
      <c r="EV125" s="132"/>
      <c r="EW125" s="132"/>
    </row>
    <row r="126" spans="1:153" s="8" customFormat="1" ht="15" customHeight="1">
      <c r="A126"/>
      <c r="B126" s="129"/>
      <c r="C126" s="129"/>
      <c r="D126" s="10"/>
      <c r="E126" s="122"/>
      <c r="F126" s="122"/>
      <c r="G126" s="122"/>
      <c r="H126" s="122"/>
      <c r="I126" s="122"/>
      <c r="J126" s="10"/>
      <c r="K126" s="10"/>
      <c r="L126" s="122"/>
      <c r="M126" s="10"/>
      <c r="N126" s="10"/>
      <c r="O126" s="10"/>
      <c r="P126" s="10"/>
      <c r="Q126" s="122"/>
      <c r="R126" s="130"/>
      <c r="S126" s="38"/>
      <c r="T126" s="38"/>
      <c r="U126" s="38"/>
      <c r="V126" s="37"/>
      <c r="W126" s="130"/>
      <c r="X126" s="38"/>
      <c r="Y126" s="38"/>
      <c r="Z126" s="38"/>
      <c r="AA126" s="37"/>
      <c r="AB126" s="130"/>
      <c r="AC126" s="38"/>
      <c r="AD126" s="38"/>
      <c r="AE126" s="38"/>
      <c r="AF126" s="38"/>
      <c r="AG126" s="130"/>
      <c r="AH126" s="38"/>
      <c r="AI126" s="38"/>
      <c r="AJ126" s="38"/>
      <c r="AK126" s="37"/>
      <c r="AL126" s="130"/>
      <c r="AM126" s="38"/>
      <c r="AN126" s="38"/>
      <c r="AO126" s="38"/>
      <c r="AP126" s="38"/>
      <c r="AQ126" s="130"/>
      <c r="AR126" s="38"/>
      <c r="AS126" s="38"/>
      <c r="AT126" s="38"/>
      <c r="AU126" s="38"/>
      <c r="AZ126" s="38"/>
      <c r="BA126" s="130"/>
      <c r="BB126" s="38"/>
      <c r="BC126" s="38"/>
      <c r="BD126" s="38"/>
      <c r="BE126" s="38"/>
      <c r="BF126" s="130"/>
      <c r="BG126" s="38"/>
      <c r="BH126" s="38"/>
      <c r="BI126" s="38"/>
      <c r="BJ126" s="786"/>
      <c r="BK126" s="130"/>
      <c r="BL126" s="38"/>
      <c r="BM126" s="38"/>
      <c r="BN126" s="38"/>
      <c r="BO126" s="786"/>
      <c r="BP126" s="130"/>
      <c r="BQ126" s="38"/>
      <c r="BR126" s="38"/>
      <c r="BS126" s="38"/>
      <c r="BT126" s="786"/>
      <c r="BU126" s="130"/>
      <c r="BV126" s="38"/>
      <c r="BW126" s="38"/>
      <c r="BX126" s="38"/>
      <c r="BY126" s="31"/>
      <c r="BZ126" s="130"/>
      <c r="CA126" s="38"/>
      <c r="CB126" s="38"/>
      <c r="CC126" s="38"/>
      <c r="CD126" s="38"/>
      <c r="CE126" s="130"/>
      <c r="CF126" s="38"/>
      <c r="CG126" s="38"/>
      <c r="CH126" s="38"/>
      <c r="CI126" s="31"/>
      <c r="CO126" s="130"/>
      <c r="CP126" s="38"/>
      <c r="CQ126" s="38"/>
      <c r="CR126" s="38"/>
      <c r="CS126" s="31"/>
      <c r="CT126" s="130"/>
      <c r="CU126" s="38"/>
      <c r="CV126" s="38"/>
      <c r="CW126" s="38"/>
      <c r="CX126" s="31"/>
      <c r="CY126" s="130"/>
      <c r="CZ126" s="38"/>
      <c r="DA126" s="38"/>
      <c r="DB126" s="38"/>
      <c r="DC126" s="31"/>
      <c r="DD126" s="130"/>
      <c r="DE126" s="38"/>
      <c r="DF126" s="38"/>
      <c r="DG126" s="38"/>
      <c r="DH126" s="31"/>
      <c r="DI126" s="130"/>
      <c r="DJ126" s="38"/>
      <c r="DK126" s="38"/>
      <c r="DL126" s="38"/>
      <c r="DM126" s="31"/>
      <c r="DN126" s="130"/>
      <c r="DO126" s="38"/>
      <c r="DP126" s="38"/>
      <c r="DQ126" s="38"/>
      <c r="DR126" s="31"/>
      <c r="DS126" s="130"/>
      <c r="DT126" s="38"/>
      <c r="DU126" s="38"/>
      <c r="DV126" s="38"/>
      <c r="DW126" s="31"/>
      <c r="DX126" s="130"/>
      <c r="DY126" s="38"/>
      <c r="DZ126" s="38"/>
      <c r="EA126" s="38"/>
      <c r="EB126" s="31"/>
      <c r="EC126" s="130"/>
      <c r="ED126" s="38"/>
      <c r="EE126" s="38"/>
      <c r="EF126" s="38"/>
      <c r="EG126" s="31"/>
      <c r="EH126" s="130"/>
      <c r="EI126" s="38"/>
      <c r="EJ126" s="38"/>
      <c r="EK126" s="38"/>
      <c r="EL126" s="31"/>
      <c r="EM126" s="131"/>
      <c r="EN126" s="132"/>
      <c r="EO126" s="132"/>
      <c r="EP126" s="132"/>
      <c r="EQ126" s="132"/>
      <c r="ER126" s="31"/>
      <c r="ES126" s="131"/>
      <c r="ET126" s="132"/>
      <c r="EU126" s="132"/>
      <c r="EV126" s="132"/>
      <c r="EW126" s="132"/>
    </row>
    <row r="127" spans="1:153" s="8" customFormat="1" ht="15" customHeight="1">
      <c r="A127"/>
      <c r="B127" s="129"/>
      <c r="C127" s="129"/>
      <c r="D127" s="10"/>
      <c r="E127" s="122"/>
      <c r="F127" s="122"/>
      <c r="G127" s="122"/>
      <c r="H127" s="122"/>
      <c r="I127" s="122"/>
      <c r="J127" s="10"/>
      <c r="K127" s="10"/>
      <c r="L127" s="122"/>
      <c r="M127" s="10"/>
      <c r="N127" s="10"/>
      <c r="O127" s="10"/>
      <c r="P127" s="10"/>
      <c r="Q127" s="122"/>
      <c r="R127" s="130"/>
      <c r="S127" s="38"/>
      <c r="T127" s="38"/>
      <c r="U127" s="38"/>
      <c r="V127" s="37"/>
      <c r="W127" s="130"/>
      <c r="X127" s="38"/>
      <c r="Y127" s="38"/>
      <c r="Z127" s="38"/>
      <c r="AA127" s="37"/>
      <c r="AB127" s="130"/>
      <c r="AC127" s="38"/>
      <c r="AD127" s="38"/>
      <c r="AE127" s="38"/>
      <c r="AF127" s="38"/>
      <c r="AG127" s="130"/>
      <c r="AH127" s="38"/>
      <c r="AI127" s="38"/>
      <c r="AJ127" s="38"/>
      <c r="AK127" s="37"/>
      <c r="AL127" s="130"/>
      <c r="AM127" s="38"/>
      <c r="AN127" s="38"/>
      <c r="AO127" s="38"/>
      <c r="AP127" s="38"/>
      <c r="AQ127" s="130"/>
      <c r="AR127" s="38"/>
      <c r="AS127" s="38"/>
      <c r="AT127" s="38"/>
      <c r="AU127" s="38"/>
      <c r="AZ127" s="38"/>
      <c r="BA127" s="130"/>
      <c r="BB127" s="38"/>
      <c r="BC127" s="38"/>
      <c r="BD127" s="38"/>
      <c r="BE127" s="38"/>
      <c r="BF127" s="130"/>
      <c r="BG127" s="38"/>
      <c r="BH127" s="38"/>
      <c r="BI127" s="38"/>
      <c r="BJ127" s="786"/>
      <c r="BK127" s="130"/>
      <c r="BL127" s="38"/>
      <c r="BM127" s="38"/>
      <c r="BN127" s="38"/>
      <c r="BO127" s="786"/>
      <c r="BP127" s="130"/>
      <c r="BQ127" s="38"/>
      <c r="BR127" s="38"/>
      <c r="BS127" s="38"/>
      <c r="BT127" s="786"/>
      <c r="BU127" s="130"/>
      <c r="BV127" s="38"/>
      <c r="BW127" s="38"/>
      <c r="BX127" s="38"/>
      <c r="BY127" s="31"/>
      <c r="BZ127" s="130"/>
      <c r="CA127" s="38"/>
      <c r="CB127" s="38"/>
      <c r="CC127" s="38"/>
      <c r="CD127" s="38"/>
      <c r="CE127" s="130"/>
      <c r="CF127" s="38"/>
      <c r="CG127" s="38"/>
      <c r="CH127" s="38"/>
      <c r="CI127" s="31"/>
      <c r="CO127" s="130"/>
      <c r="CP127" s="38"/>
      <c r="CQ127" s="38"/>
      <c r="CR127" s="38"/>
      <c r="CS127" s="31"/>
      <c r="CT127" s="130"/>
      <c r="CU127" s="38"/>
      <c r="CV127" s="38"/>
      <c r="CW127" s="38"/>
      <c r="CX127" s="31"/>
      <c r="CY127" s="130"/>
      <c r="CZ127" s="38"/>
      <c r="DA127" s="38"/>
      <c r="DB127" s="38"/>
      <c r="DC127" s="31"/>
      <c r="DD127" s="130"/>
      <c r="DE127" s="38"/>
      <c r="DF127" s="38"/>
      <c r="DG127" s="38"/>
      <c r="DH127" s="31"/>
      <c r="DI127" s="130"/>
      <c r="DJ127" s="38"/>
      <c r="DK127" s="38"/>
      <c r="DL127" s="38"/>
      <c r="DM127" s="31"/>
      <c r="DN127" s="130"/>
      <c r="DO127" s="38"/>
      <c r="DP127" s="38"/>
      <c r="DQ127" s="38"/>
      <c r="DR127" s="31"/>
      <c r="DS127" s="130"/>
      <c r="DT127" s="38"/>
      <c r="DU127" s="38"/>
      <c r="DV127" s="38"/>
      <c r="DW127" s="31"/>
      <c r="DX127" s="130"/>
      <c r="DY127" s="38"/>
      <c r="DZ127" s="38"/>
      <c r="EA127" s="38"/>
      <c r="EB127" s="31"/>
      <c r="EC127" s="130"/>
      <c r="ED127" s="38"/>
      <c r="EE127" s="38"/>
      <c r="EF127" s="38"/>
      <c r="EG127" s="31"/>
      <c r="EH127" s="130"/>
      <c r="EI127" s="38"/>
      <c r="EJ127" s="38"/>
      <c r="EK127" s="38"/>
      <c r="EL127" s="31"/>
      <c r="EM127" s="131"/>
      <c r="EN127" s="132"/>
      <c r="EO127" s="132"/>
      <c r="EP127" s="132"/>
      <c r="EQ127" s="132"/>
      <c r="ER127" s="31"/>
      <c r="ES127" s="131"/>
      <c r="ET127" s="132"/>
      <c r="EU127" s="132"/>
      <c r="EV127" s="132"/>
      <c r="EW127" s="132"/>
    </row>
    <row r="128" spans="1:153" s="8" customFormat="1" ht="15" customHeight="1">
      <c r="A128"/>
      <c r="B128" s="129"/>
      <c r="C128" s="129"/>
      <c r="D128" s="10"/>
      <c r="E128" s="122"/>
      <c r="F128" s="122"/>
      <c r="G128" s="122"/>
      <c r="H128" s="122"/>
      <c r="I128" s="122"/>
      <c r="J128" s="10"/>
      <c r="K128" s="10"/>
      <c r="L128" s="122"/>
      <c r="M128" s="10"/>
      <c r="N128" s="10"/>
      <c r="O128" s="10"/>
      <c r="P128" s="10"/>
      <c r="Q128" s="122"/>
      <c r="R128" s="130"/>
      <c r="S128" s="38"/>
      <c r="T128" s="38"/>
      <c r="U128" s="38"/>
      <c r="V128" s="37"/>
      <c r="W128" s="130"/>
      <c r="X128" s="38"/>
      <c r="Y128" s="38"/>
      <c r="Z128" s="38"/>
      <c r="AA128" s="37"/>
      <c r="AB128" s="130"/>
      <c r="AC128" s="38"/>
      <c r="AD128" s="38"/>
      <c r="AE128" s="38"/>
      <c r="AF128" s="38"/>
      <c r="AG128" s="130"/>
      <c r="AH128" s="38"/>
      <c r="AI128" s="38"/>
      <c r="AJ128" s="38"/>
      <c r="AK128" s="37"/>
      <c r="AL128" s="130"/>
      <c r="AM128" s="38"/>
      <c r="AN128" s="38"/>
      <c r="AO128" s="38"/>
      <c r="AP128" s="38"/>
      <c r="AQ128" s="130"/>
      <c r="AR128" s="38"/>
      <c r="AS128" s="38"/>
      <c r="AT128" s="38"/>
      <c r="AU128" s="38"/>
      <c r="AZ128" s="38"/>
      <c r="BA128" s="130"/>
      <c r="BB128" s="38"/>
      <c r="BC128" s="38"/>
      <c r="BD128" s="38"/>
      <c r="BE128" s="38"/>
      <c r="BF128" s="130"/>
      <c r="BG128" s="38"/>
      <c r="BH128" s="38"/>
      <c r="BI128" s="38"/>
      <c r="BJ128" s="786"/>
      <c r="BK128" s="130"/>
      <c r="BL128" s="38"/>
      <c r="BM128" s="38"/>
      <c r="BN128" s="38"/>
      <c r="BO128" s="786"/>
      <c r="BP128" s="130"/>
      <c r="BQ128" s="38"/>
      <c r="BR128" s="38"/>
      <c r="BS128" s="38"/>
      <c r="BT128" s="786"/>
      <c r="BU128" s="130"/>
      <c r="BV128" s="38"/>
      <c r="BW128" s="38"/>
      <c r="BX128" s="38"/>
      <c r="BY128" s="31"/>
      <c r="BZ128" s="130"/>
      <c r="CA128" s="38"/>
      <c r="CB128" s="38"/>
      <c r="CC128" s="38"/>
      <c r="CD128" s="38"/>
      <c r="CE128" s="130"/>
      <c r="CF128" s="38"/>
      <c r="CG128" s="38"/>
      <c r="CH128" s="38"/>
      <c r="CI128" s="31"/>
      <c r="CO128" s="130"/>
      <c r="CP128" s="38"/>
      <c r="CQ128" s="38"/>
      <c r="CR128" s="38"/>
      <c r="CS128" s="31"/>
      <c r="CT128" s="130"/>
      <c r="CU128" s="38"/>
      <c r="CV128" s="38"/>
      <c r="CW128" s="38"/>
      <c r="CX128" s="31"/>
      <c r="CY128" s="130"/>
      <c r="CZ128" s="38"/>
      <c r="DA128" s="38"/>
      <c r="DB128" s="38"/>
      <c r="DC128" s="31"/>
      <c r="DD128" s="130"/>
      <c r="DE128" s="38"/>
      <c r="DF128" s="38"/>
      <c r="DG128" s="38"/>
      <c r="DH128" s="31"/>
      <c r="DI128" s="130"/>
      <c r="DJ128" s="38"/>
      <c r="DK128" s="38"/>
      <c r="DL128" s="38"/>
      <c r="DM128" s="31"/>
      <c r="DN128" s="130"/>
      <c r="DO128" s="38"/>
      <c r="DP128" s="38"/>
      <c r="DQ128" s="38"/>
      <c r="DR128" s="31"/>
      <c r="DS128" s="130"/>
      <c r="DT128" s="38"/>
      <c r="DU128" s="38"/>
      <c r="DV128" s="38"/>
      <c r="DW128" s="31"/>
      <c r="DX128" s="130"/>
      <c r="DY128" s="38"/>
      <c r="DZ128" s="38"/>
      <c r="EA128" s="38"/>
      <c r="EB128" s="31"/>
      <c r="EC128" s="130"/>
      <c r="ED128" s="38"/>
      <c r="EE128" s="38"/>
      <c r="EF128" s="38"/>
      <c r="EG128" s="31"/>
      <c r="EH128" s="130"/>
      <c r="EI128" s="38"/>
      <c r="EJ128" s="38"/>
      <c r="EK128" s="38"/>
      <c r="EL128" s="31"/>
      <c r="EM128" s="131"/>
      <c r="EN128" s="132"/>
      <c r="EO128" s="132"/>
      <c r="EP128" s="132"/>
      <c r="EQ128" s="132"/>
      <c r="ER128" s="31"/>
      <c r="ES128" s="131"/>
      <c r="ET128" s="132"/>
      <c r="EU128" s="132"/>
      <c r="EV128" s="132"/>
      <c r="EW128" s="132"/>
    </row>
    <row r="129" spans="1:154" s="8" customFormat="1" ht="15" customHeight="1">
      <c r="A129"/>
      <c r="B129" s="129"/>
      <c r="C129" s="129"/>
      <c r="D129" s="10"/>
      <c r="E129" s="122"/>
      <c r="F129" s="122"/>
      <c r="G129" s="122"/>
      <c r="H129" s="122"/>
      <c r="I129" s="122"/>
      <c r="J129" s="10"/>
      <c r="K129" s="10"/>
      <c r="L129" s="122"/>
      <c r="M129" s="10"/>
      <c r="N129" s="10"/>
      <c r="O129" s="10"/>
      <c r="P129" s="10"/>
      <c r="Q129" s="122"/>
      <c r="R129" s="130"/>
      <c r="S129" s="38"/>
      <c r="T129" s="38"/>
      <c r="U129" s="38"/>
      <c r="V129" s="37"/>
      <c r="W129" s="130"/>
      <c r="X129" s="38"/>
      <c r="Y129" s="38"/>
      <c r="Z129" s="38"/>
      <c r="AA129" s="37"/>
      <c r="AB129" s="130"/>
      <c r="AC129" s="38"/>
      <c r="AD129" s="38"/>
      <c r="AE129" s="38"/>
      <c r="AF129" s="38"/>
      <c r="AG129" s="130"/>
      <c r="AH129" s="38"/>
      <c r="AI129" s="38"/>
      <c r="AJ129" s="38"/>
      <c r="AK129" s="37"/>
      <c r="AL129" s="130"/>
      <c r="AM129" s="38"/>
      <c r="AN129" s="38"/>
      <c r="AO129" s="38"/>
      <c r="AP129" s="38"/>
      <c r="AQ129" s="130"/>
      <c r="AR129" s="38"/>
      <c r="AS129" s="38"/>
      <c r="AT129" s="38"/>
      <c r="AU129" s="38"/>
      <c r="AZ129" s="38"/>
      <c r="BA129" s="130"/>
      <c r="BB129" s="38"/>
      <c r="BC129" s="38"/>
      <c r="BD129" s="38"/>
      <c r="BE129" s="38"/>
      <c r="BF129" s="130"/>
      <c r="BG129" s="38"/>
      <c r="BH129" s="38"/>
      <c r="BI129" s="38"/>
      <c r="BJ129" s="786"/>
      <c r="BK129" s="130"/>
      <c r="BL129" s="38"/>
      <c r="BM129" s="38"/>
      <c r="BN129" s="38"/>
      <c r="BO129" s="786"/>
      <c r="BP129" s="130"/>
      <c r="BQ129" s="38"/>
      <c r="BR129" s="38"/>
      <c r="BS129" s="38"/>
      <c r="BT129" s="786"/>
      <c r="BU129" s="130"/>
      <c r="BV129" s="38"/>
      <c r="BW129" s="38"/>
      <c r="BX129" s="38"/>
      <c r="BY129" s="31"/>
      <c r="BZ129" s="130"/>
      <c r="CA129" s="38"/>
      <c r="CB129" s="38"/>
      <c r="CC129" s="38"/>
      <c r="CD129" s="38"/>
      <c r="CE129" s="130"/>
      <c r="CF129" s="38"/>
      <c r="CG129" s="38"/>
      <c r="CH129" s="38"/>
      <c r="CI129" s="31"/>
      <c r="CO129" s="130"/>
      <c r="CP129" s="38"/>
      <c r="CQ129" s="38"/>
      <c r="CR129" s="38"/>
      <c r="CS129" s="31"/>
      <c r="CT129" s="130"/>
      <c r="CU129" s="38"/>
      <c r="CV129" s="38"/>
      <c r="CW129" s="38"/>
      <c r="CX129" s="31"/>
      <c r="CY129" s="130"/>
      <c r="CZ129" s="38"/>
      <c r="DA129" s="38"/>
      <c r="DB129" s="38"/>
      <c r="DC129" s="31"/>
      <c r="DD129" s="130"/>
      <c r="DE129" s="38"/>
      <c r="DF129" s="38"/>
      <c r="DG129" s="38"/>
      <c r="DH129" s="31"/>
      <c r="DI129" s="130"/>
      <c r="DJ129" s="38"/>
      <c r="DK129" s="38"/>
      <c r="DL129" s="38"/>
      <c r="DM129" s="31"/>
      <c r="DN129" s="130"/>
      <c r="DO129" s="38"/>
      <c r="DP129" s="38"/>
      <c r="DQ129" s="38"/>
      <c r="DR129" s="31"/>
      <c r="DS129" s="130"/>
      <c r="DT129" s="38"/>
      <c r="DU129" s="38"/>
      <c r="DV129" s="38"/>
      <c r="DW129" s="31"/>
      <c r="DX129" s="130"/>
      <c r="DY129" s="38"/>
      <c r="DZ129" s="38"/>
      <c r="EA129" s="38"/>
      <c r="EB129" s="31"/>
      <c r="EC129" s="130"/>
      <c r="ED129" s="38"/>
      <c r="EE129" s="38"/>
      <c r="EF129" s="38"/>
      <c r="EG129" s="31"/>
      <c r="EH129" s="130"/>
      <c r="EI129" s="38"/>
      <c r="EJ129" s="38"/>
      <c r="EK129" s="38"/>
      <c r="EL129" s="31"/>
      <c r="EM129" s="131"/>
      <c r="EN129" s="132"/>
      <c r="EO129" s="132"/>
      <c r="EP129" s="132"/>
      <c r="EQ129" s="132"/>
      <c r="ER129" s="31"/>
      <c r="ES129" s="131"/>
      <c r="ET129" s="132"/>
      <c r="EU129" s="132"/>
      <c r="EV129" s="132"/>
      <c r="EW129" s="132"/>
    </row>
    <row r="130" spans="1:154" s="8" customFormat="1" ht="15" customHeight="1">
      <c r="A130"/>
      <c r="B130" s="129"/>
      <c r="C130" s="129"/>
      <c r="D130" s="10"/>
      <c r="E130" s="122"/>
      <c r="F130" s="122"/>
      <c r="G130" s="122"/>
      <c r="H130" s="122"/>
      <c r="I130" s="122"/>
      <c r="J130" s="10"/>
      <c r="K130" s="10"/>
      <c r="L130" s="122"/>
      <c r="M130" s="10"/>
      <c r="N130" s="10"/>
      <c r="O130" s="10"/>
      <c r="P130" s="10"/>
      <c r="Q130" s="122"/>
      <c r="R130" s="130"/>
      <c r="S130" s="38"/>
      <c r="T130" s="38"/>
      <c r="U130" s="38"/>
      <c r="V130" s="37"/>
      <c r="W130" s="130"/>
      <c r="X130" s="38"/>
      <c r="Y130" s="38"/>
      <c r="Z130" s="38"/>
      <c r="AA130" s="37"/>
      <c r="AB130" s="130"/>
      <c r="AC130" s="38"/>
      <c r="AD130" s="38"/>
      <c r="AE130" s="38"/>
      <c r="AF130" s="38"/>
      <c r="AG130" s="130"/>
      <c r="AH130" s="38"/>
      <c r="AI130" s="38"/>
      <c r="AJ130" s="38"/>
      <c r="AK130" s="37"/>
      <c r="AL130" s="130"/>
      <c r="AM130" s="38"/>
      <c r="AN130" s="38"/>
      <c r="AO130" s="38"/>
      <c r="AP130" s="38"/>
      <c r="AQ130" s="130"/>
      <c r="AR130" s="38"/>
      <c r="AS130" s="38"/>
      <c r="AT130" s="38"/>
      <c r="AU130" s="38"/>
      <c r="AZ130" s="38"/>
      <c r="BA130" s="130"/>
      <c r="BB130" s="38"/>
      <c r="BC130" s="38"/>
      <c r="BD130" s="38"/>
      <c r="BE130" s="38"/>
      <c r="BF130" s="130"/>
      <c r="BG130" s="38"/>
      <c r="BH130" s="38"/>
      <c r="BI130" s="38"/>
      <c r="BJ130" s="786"/>
      <c r="BK130" s="130"/>
      <c r="BL130" s="38"/>
      <c r="BM130" s="38"/>
      <c r="BN130" s="38"/>
      <c r="BO130" s="786"/>
      <c r="BP130" s="130"/>
      <c r="BQ130" s="38"/>
      <c r="BR130" s="38"/>
      <c r="BS130" s="38"/>
      <c r="BT130" s="786"/>
      <c r="BU130" s="130"/>
      <c r="BV130" s="38"/>
      <c r="BW130" s="38"/>
      <c r="BX130" s="38"/>
      <c r="BY130" s="31"/>
      <c r="BZ130" s="130"/>
      <c r="CA130" s="38"/>
      <c r="CB130" s="38"/>
      <c r="CC130" s="38"/>
      <c r="CD130" s="38"/>
      <c r="CE130" s="130"/>
      <c r="CF130" s="38"/>
      <c r="CG130" s="38"/>
      <c r="CH130" s="38"/>
      <c r="CI130" s="31"/>
      <c r="CO130" s="130"/>
      <c r="CP130" s="38"/>
      <c r="CQ130" s="38"/>
      <c r="CR130" s="38"/>
      <c r="CS130" s="31"/>
      <c r="CT130" s="130"/>
      <c r="CU130" s="38"/>
      <c r="CV130" s="38"/>
      <c r="CW130" s="38"/>
      <c r="CX130" s="31"/>
      <c r="CY130" s="130"/>
      <c r="CZ130" s="38"/>
      <c r="DA130" s="38"/>
      <c r="DB130" s="38"/>
      <c r="DC130" s="31"/>
      <c r="DD130" s="130"/>
      <c r="DE130" s="38"/>
      <c r="DF130" s="38"/>
      <c r="DG130" s="38"/>
      <c r="DH130" s="31"/>
      <c r="DI130" s="130"/>
      <c r="DJ130" s="38"/>
      <c r="DK130" s="38"/>
      <c r="DL130" s="38"/>
      <c r="DM130" s="31"/>
      <c r="DN130" s="130"/>
      <c r="DO130" s="38"/>
      <c r="DP130" s="38"/>
      <c r="DQ130" s="38"/>
      <c r="DR130" s="31"/>
      <c r="DS130" s="130"/>
      <c r="DT130" s="38"/>
      <c r="DU130" s="38"/>
      <c r="DV130" s="38"/>
      <c r="DW130" s="31"/>
      <c r="DX130" s="130"/>
      <c r="DY130" s="38"/>
      <c r="DZ130" s="38"/>
      <c r="EA130" s="38"/>
      <c r="EB130" s="31"/>
      <c r="EC130" s="130"/>
      <c r="ED130" s="38"/>
      <c r="EE130" s="38"/>
      <c r="EF130" s="38"/>
      <c r="EG130" s="31"/>
      <c r="EH130" s="130"/>
      <c r="EI130" s="38"/>
      <c r="EJ130" s="38"/>
      <c r="EK130" s="38"/>
      <c r="EL130" s="31"/>
      <c r="EM130" s="131"/>
      <c r="EN130" s="132"/>
      <c r="EO130" s="132"/>
      <c r="EP130" s="132"/>
      <c r="EQ130" s="132"/>
      <c r="ER130" s="31"/>
      <c r="ES130" s="131"/>
      <c r="ET130" s="132"/>
      <c r="EU130" s="132"/>
      <c r="EV130" s="132"/>
      <c r="EW130" s="132"/>
    </row>
    <row r="131" spans="1:154" s="8" customFormat="1" ht="15" customHeight="1">
      <c r="A131"/>
      <c r="B131" s="129"/>
      <c r="C131" s="129"/>
      <c r="D131" s="10"/>
      <c r="E131" s="122"/>
      <c r="F131" s="122"/>
      <c r="G131" s="122"/>
      <c r="H131" s="122"/>
      <c r="I131" s="122"/>
      <c r="J131" s="10"/>
      <c r="K131" s="10"/>
      <c r="L131" s="122"/>
      <c r="M131" s="10"/>
      <c r="N131" s="10"/>
      <c r="O131" s="10"/>
      <c r="P131" s="10"/>
      <c r="Q131" s="122"/>
      <c r="R131" s="130"/>
      <c r="S131" s="38"/>
      <c r="T131" s="38"/>
      <c r="U131" s="38"/>
      <c r="V131" s="37"/>
      <c r="W131" s="130"/>
      <c r="X131" s="38"/>
      <c r="Y131" s="38"/>
      <c r="Z131" s="38"/>
      <c r="AA131" s="37"/>
      <c r="AB131" s="130"/>
      <c r="AC131" s="38"/>
      <c r="AD131" s="38"/>
      <c r="AE131" s="38"/>
      <c r="AF131" s="38"/>
      <c r="AG131" s="130"/>
      <c r="AH131" s="38"/>
      <c r="AI131" s="38"/>
      <c r="AJ131" s="38"/>
      <c r="AK131" s="37"/>
      <c r="AL131" s="130"/>
      <c r="AM131" s="38"/>
      <c r="AN131" s="38"/>
      <c r="AO131" s="38"/>
      <c r="AP131" s="38"/>
      <c r="AQ131" s="130"/>
      <c r="AR131" s="38"/>
      <c r="AS131" s="38"/>
      <c r="AT131" s="38"/>
      <c r="AU131" s="38"/>
      <c r="AZ131" s="38"/>
      <c r="BA131" s="130"/>
      <c r="BB131" s="38"/>
      <c r="BC131" s="38"/>
      <c r="BD131" s="38"/>
      <c r="BE131" s="38"/>
      <c r="BF131" s="130"/>
      <c r="BG131" s="38"/>
      <c r="BH131" s="38"/>
      <c r="BI131" s="38"/>
      <c r="BJ131" s="786"/>
      <c r="BK131" s="130"/>
      <c r="BL131" s="38"/>
      <c r="BM131" s="38"/>
      <c r="BN131" s="38"/>
      <c r="BO131" s="786"/>
      <c r="BP131" s="130"/>
      <c r="BQ131" s="38"/>
      <c r="BR131" s="38"/>
      <c r="BS131" s="38"/>
      <c r="BT131" s="786"/>
      <c r="BU131" s="130"/>
      <c r="BV131" s="38"/>
      <c r="BW131" s="38"/>
      <c r="BX131" s="38"/>
      <c r="BY131" s="31"/>
      <c r="BZ131" s="130"/>
      <c r="CA131" s="38"/>
      <c r="CB131" s="38"/>
      <c r="CC131" s="38"/>
      <c r="CD131" s="38"/>
      <c r="CE131" s="130"/>
      <c r="CF131" s="38"/>
      <c r="CG131" s="38"/>
      <c r="CH131" s="38"/>
      <c r="CI131" s="31"/>
      <c r="CO131" s="130"/>
      <c r="CP131" s="38"/>
      <c r="CQ131" s="38"/>
      <c r="CR131" s="38"/>
      <c r="CS131" s="31"/>
      <c r="CT131" s="130"/>
      <c r="CU131" s="38"/>
      <c r="CV131" s="38"/>
      <c r="CW131" s="38"/>
      <c r="CX131" s="31"/>
      <c r="CY131" s="130"/>
      <c r="CZ131" s="38"/>
      <c r="DA131" s="38"/>
      <c r="DB131" s="38"/>
      <c r="DC131" s="31"/>
      <c r="DD131" s="130"/>
      <c r="DE131" s="38"/>
      <c r="DF131" s="38"/>
      <c r="DG131" s="38"/>
      <c r="DH131" s="31"/>
      <c r="DI131" s="130"/>
      <c r="DJ131" s="38"/>
      <c r="DK131" s="38"/>
      <c r="DL131" s="38"/>
      <c r="DM131" s="31"/>
      <c r="DN131" s="130"/>
      <c r="DO131" s="38"/>
      <c r="DP131" s="38"/>
      <c r="DQ131" s="38"/>
      <c r="DR131" s="31"/>
      <c r="DS131" s="130"/>
      <c r="DT131" s="38"/>
      <c r="DU131" s="38"/>
      <c r="DV131" s="38"/>
      <c r="DW131" s="31"/>
      <c r="DX131" s="130"/>
      <c r="DY131" s="38"/>
      <c r="DZ131" s="38"/>
      <c r="EA131" s="38"/>
      <c r="EB131" s="31"/>
      <c r="EC131" s="130"/>
      <c r="ED131" s="38"/>
      <c r="EE131" s="38"/>
      <c r="EF131" s="38"/>
      <c r="EG131" s="31"/>
      <c r="EH131" s="130"/>
      <c r="EI131" s="38"/>
      <c r="EJ131" s="38"/>
      <c r="EK131" s="38"/>
      <c r="EL131" s="31"/>
      <c r="EM131" s="131"/>
      <c r="EN131" s="132"/>
      <c r="EO131" s="132"/>
      <c r="EP131" s="132"/>
      <c r="EQ131" s="132"/>
      <c r="ER131" s="31"/>
      <c r="ES131" s="131"/>
      <c r="ET131" s="132"/>
      <c r="EU131" s="132"/>
      <c r="EV131" s="132"/>
      <c r="EW131" s="132"/>
    </row>
    <row r="132" spans="1:154" s="8" customFormat="1" ht="15" customHeight="1">
      <c r="A132"/>
      <c r="B132" s="129"/>
      <c r="C132" s="129"/>
      <c r="D132" s="10"/>
      <c r="E132" s="122"/>
      <c r="F132" s="122"/>
      <c r="G132" s="122"/>
      <c r="H132" s="122"/>
      <c r="I132" s="122"/>
      <c r="J132" s="10"/>
      <c r="K132" s="10"/>
      <c r="L132" s="122"/>
      <c r="M132" s="10"/>
      <c r="N132" s="10"/>
      <c r="O132" s="10"/>
      <c r="P132" s="10"/>
      <c r="Q132" s="122"/>
      <c r="R132" s="130"/>
      <c r="S132" s="38"/>
      <c r="T132" s="38"/>
      <c r="U132" s="38"/>
      <c r="V132" s="37"/>
      <c r="W132" s="130"/>
      <c r="X132" s="38"/>
      <c r="Y132" s="38"/>
      <c r="Z132" s="38"/>
      <c r="AA132" s="37"/>
      <c r="AB132" s="130"/>
      <c r="AC132" s="38"/>
      <c r="AD132" s="38"/>
      <c r="AE132" s="38"/>
      <c r="AF132" s="38"/>
      <c r="AG132" s="130"/>
      <c r="AH132" s="38"/>
      <c r="AI132" s="38"/>
      <c r="AJ132" s="38"/>
      <c r="AK132" s="37"/>
      <c r="AL132" s="130"/>
      <c r="AM132" s="38"/>
      <c r="AN132" s="38"/>
      <c r="AO132" s="38"/>
      <c r="AP132" s="38"/>
      <c r="AQ132" s="130"/>
      <c r="AR132" s="38"/>
      <c r="AS132" s="38"/>
      <c r="AT132" s="38"/>
      <c r="AU132" s="38"/>
      <c r="AZ132" s="38"/>
      <c r="BA132" s="130"/>
      <c r="BB132" s="38"/>
      <c r="BC132" s="38"/>
      <c r="BD132" s="38"/>
      <c r="BE132" s="38"/>
      <c r="BF132" s="130"/>
      <c r="BG132" s="38"/>
      <c r="BH132" s="38"/>
      <c r="BI132" s="38"/>
      <c r="BJ132" s="786"/>
      <c r="BK132" s="130"/>
      <c r="BL132" s="38"/>
      <c r="BM132" s="38"/>
      <c r="BN132" s="38"/>
      <c r="BO132" s="786"/>
      <c r="BP132" s="130"/>
      <c r="BQ132" s="38"/>
      <c r="BR132" s="38"/>
      <c r="BS132" s="38"/>
      <c r="BT132" s="786"/>
      <c r="BU132" s="130"/>
      <c r="BV132" s="38"/>
      <c r="BW132" s="38"/>
      <c r="BX132" s="38"/>
      <c r="BY132" s="31"/>
      <c r="BZ132" s="130"/>
      <c r="CA132" s="38"/>
      <c r="CB132" s="38"/>
      <c r="CC132" s="38"/>
      <c r="CD132" s="38"/>
      <c r="CE132" s="130"/>
      <c r="CF132" s="38"/>
      <c r="CG132" s="38"/>
      <c r="CH132" s="38"/>
      <c r="CI132" s="31"/>
      <c r="CO132" s="130"/>
      <c r="CP132" s="38"/>
      <c r="CQ132" s="38"/>
      <c r="CR132" s="38"/>
      <c r="CS132" s="31"/>
      <c r="CT132" s="130"/>
      <c r="CU132" s="38"/>
      <c r="CV132" s="38"/>
      <c r="CW132" s="38"/>
      <c r="CX132" s="31"/>
      <c r="CY132" s="130"/>
      <c r="CZ132" s="38"/>
      <c r="DA132" s="38"/>
      <c r="DB132" s="38"/>
      <c r="DC132" s="31"/>
      <c r="DD132" s="130"/>
      <c r="DE132" s="38"/>
      <c r="DF132" s="38"/>
      <c r="DG132" s="38"/>
      <c r="DH132" s="31"/>
      <c r="DI132" s="130"/>
      <c r="DJ132" s="38"/>
      <c r="DK132" s="38"/>
      <c r="DL132" s="38"/>
      <c r="DM132" s="31"/>
      <c r="DN132" s="130"/>
      <c r="DO132" s="38"/>
      <c r="DP132" s="38"/>
      <c r="DQ132" s="38"/>
      <c r="DR132" s="31"/>
      <c r="DS132" s="130"/>
      <c r="DT132" s="38"/>
      <c r="DU132" s="38"/>
      <c r="DV132" s="38"/>
      <c r="DW132" s="31"/>
      <c r="DX132" s="130"/>
      <c r="DY132" s="38"/>
      <c r="DZ132" s="38"/>
      <c r="EA132" s="38"/>
      <c r="EB132" s="31"/>
      <c r="EC132" s="130"/>
      <c r="ED132" s="38"/>
      <c r="EE132" s="38"/>
      <c r="EF132" s="38"/>
      <c r="EG132" s="31"/>
      <c r="EH132" s="130"/>
      <c r="EI132" s="38"/>
      <c r="EJ132" s="38"/>
      <c r="EK132" s="38"/>
      <c r="EL132" s="31"/>
      <c r="EM132" s="131"/>
      <c r="EN132" s="132"/>
      <c r="EO132" s="132"/>
      <c r="EP132" s="132"/>
      <c r="EQ132" s="132"/>
      <c r="ER132" s="31"/>
      <c r="ES132" s="131"/>
      <c r="ET132" s="132"/>
      <c r="EU132" s="132"/>
      <c r="EV132" s="132"/>
      <c r="EW132" s="132"/>
    </row>
    <row r="133" spans="1:154" s="8" customFormat="1" ht="15" customHeight="1">
      <c r="A133"/>
      <c r="B133" s="129"/>
      <c r="C133" s="129"/>
      <c r="D133" s="10"/>
      <c r="E133" s="122"/>
      <c r="F133" s="122"/>
      <c r="G133" s="122"/>
      <c r="H133" s="122"/>
      <c r="I133" s="122"/>
      <c r="J133" s="10"/>
      <c r="K133" s="10"/>
      <c r="L133" s="122"/>
      <c r="M133" s="10"/>
      <c r="N133" s="10"/>
      <c r="O133" s="10"/>
      <c r="P133" s="10"/>
      <c r="Q133" s="122"/>
      <c r="R133" s="130"/>
      <c r="S133" s="38"/>
      <c r="T133" s="38"/>
      <c r="U133" s="38"/>
      <c r="V133" s="37"/>
      <c r="W133" s="130"/>
      <c r="X133" s="38"/>
      <c r="Y133" s="38"/>
      <c r="Z133" s="38"/>
      <c r="AA133" s="37"/>
      <c r="AB133" s="130"/>
      <c r="AC133" s="38"/>
      <c r="AD133" s="38"/>
      <c r="AE133" s="38"/>
      <c r="AF133" s="38"/>
      <c r="AG133" s="130"/>
      <c r="AH133" s="38"/>
      <c r="AI133" s="38"/>
      <c r="AJ133" s="38"/>
      <c r="AK133" s="37"/>
      <c r="AL133" s="130"/>
      <c r="AM133" s="38"/>
      <c r="AN133" s="38"/>
      <c r="AO133" s="38"/>
      <c r="AP133" s="38"/>
      <c r="AQ133" s="130"/>
      <c r="AR133" s="38"/>
      <c r="AS133" s="38"/>
      <c r="AT133" s="38"/>
      <c r="AU133" s="38"/>
      <c r="AZ133" s="38"/>
      <c r="BA133" s="130"/>
      <c r="BB133" s="38"/>
      <c r="BC133" s="38"/>
      <c r="BD133" s="38"/>
      <c r="BE133" s="38"/>
      <c r="BF133" s="130"/>
      <c r="BG133" s="38"/>
      <c r="BH133" s="38"/>
      <c r="BI133" s="38"/>
      <c r="BJ133" s="786"/>
      <c r="BK133" s="130"/>
      <c r="BL133" s="38"/>
      <c r="BM133" s="38"/>
      <c r="BN133" s="38"/>
      <c r="BO133" s="786"/>
      <c r="BP133" s="130"/>
      <c r="BQ133" s="38"/>
      <c r="BR133" s="38"/>
      <c r="BS133" s="38"/>
      <c r="BT133" s="786"/>
      <c r="BU133" s="130"/>
      <c r="BV133" s="38"/>
      <c r="BW133" s="38"/>
      <c r="BX133" s="38"/>
      <c r="BY133" s="31"/>
      <c r="BZ133" s="130"/>
      <c r="CA133" s="38"/>
      <c r="CB133" s="38"/>
      <c r="CC133" s="38"/>
      <c r="CD133" s="38"/>
      <c r="CE133" s="130"/>
      <c r="CF133" s="38"/>
      <c r="CG133" s="38"/>
      <c r="CH133" s="38"/>
      <c r="CI133" s="31"/>
      <c r="CO133" s="130"/>
      <c r="CP133" s="38"/>
      <c r="CQ133" s="38"/>
      <c r="CR133" s="38"/>
      <c r="CS133" s="31"/>
      <c r="CT133" s="130"/>
      <c r="CU133" s="38"/>
      <c r="CV133" s="38"/>
      <c r="CW133" s="38"/>
      <c r="CX133" s="31"/>
      <c r="CY133" s="130"/>
      <c r="CZ133" s="38"/>
      <c r="DA133" s="38"/>
      <c r="DB133" s="38"/>
      <c r="DC133" s="31"/>
      <c r="DD133" s="130"/>
      <c r="DE133" s="38"/>
      <c r="DF133" s="38"/>
      <c r="DG133" s="38"/>
      <c r="DH133" s="31"/>
      <c r="DI133" s="130"/>
      <c r="DJ133" s="38"/>
      <c r="DK133" s="38"/>
      <c r="DL133" s="38"/>
      <c r="DM133" s="31"/>
      <c r="DN133" s="130"/>
      <c r="DO133" s="38"/>
      <c r="DP133" s="38"/>
      <c r="DQ133" s="38"/>
      <c r="DR133" s="31"/>
      <c r="DS133" s="130"/>
      <c r="DT133" s="38"/>
      <c r="DU133" s="38"/>
      <c r="DV133" s="38"/>
      <c r="DW133" s="31"/>
      <c r="DX133" s="130"/>
      <c r="DY133" s="38"/>
      <c r="DZ133" s="38"/>
      <c r="EA133" s="38"/>
      <c r="EB133" s="31"/>
      <c r="EC133" s="130"/>
      <c r="ED133" s="38"/>
      <c r="EE133" s="38"/>
      <c r="EF133" s="38"/>
      <c r="EG133" s="31"/>
      <c r="EH133" s="130"/>
      <c r="EI133" s="38"/>
      <c r="EJ133" s="38"/>
      <c r="EK133" s="38"/>
      <c r="EL133" s="31"/>
      <c r="EM133" s="131"/>
      <c r="EN133" s="132"/>
      <c r="EO133" s="132"/>
      <c r="EP133" s="132"/>
      <c r="EQ133" s="132"/>
      <c r="ER133" s="31"/>
      <c r="ES133" s="131"/>
      <c r="ET133" s="132"/>
      <c r="EU133" s="132"/>
      <c r="EV133" s="132"/>
      <c r="EW133" s="132"/>
    </row>
    <row r="134" spans="1:154" s="8" customFormat="1" ht="15" customHeight="1">
      <c r="A134"/>
      <c r="B134" s="129"/>
      <c r="C134" s="129"/>
      <c r="D134" s="10"/>
      <c r="E134" s="122"/>
      <c r="F134" s="122"/>
      <c r="G134" s="122"/>
      <c r="H134" s="122"/>
      <c r="I134" s="122"/>
      <c r="J134" s="10"/>
      <c r="K134" s="10"/>
      <c r="L134" s="122"/>
      <c r="M134" s="10"/>
      <c r="N134" s="10"/>
      <c r="O134" s="10"/>
      <c r="P134" s="10"/>
      <c r="Q134" s="122"/>
      <c r="R134" s="130"/>
      <c r="S134" s="38"/>
      <c r="T134" s="38"/>
      <c r="U134" s="38"/>
      <c r="V134" s="37"/>
      <c r="W134" s="130"/>
      <c r="X134" s="38"/>
      <c r="Y134" s="38"/>
      <c r="Z134" s="38"/>
      <c r="AA134" s="37"/>
      <c r="AB134" s="130"/>
      <c r="AC134" s="38"/>
      <c r="AD134" s="38"/>
      <c r="AE134" s="38"/>
      <c r="AF134" s="38"/>
      <c r="AG134" s="130"/>
      <c r="AH134" s="38"/>
      <c r="AI134" s="38"/>
      <c r="AJ134" s="38"/>
      <c r="AK134" s="37"/>
      <c r="AL134" s="130"/>
      <c r="AM134" s="38"/>
      <c r="AN134" s="38"/>
      <c r="AO134" s="38"/>
      <c r="AP134" s="38"/>
      <c r="AQ134" s="130"/>
      <c r="AR134" s="38"/>
      <c r="AS134" s="38"/>
      <c r="AT134" s="38"/>
      <c r="AU134" s="38"/>
      <c r="AZ134" s="38"/>
      <c r="BA134" s="130"/>
      <c r="BB134" s="38"/>
      <c r="BC134" s="38"/>
      <c r="BD134" s="38"/>
      <c r="BE134" s="38"/>
      <c r="BF134" s="130"/>
      <c r="BG134" s="38"/>
      <c r="BH134" s="38"/>
      <c r="BI134" s="38"/>
      <c r="BJ134" s="786"/>
      <c r="BK134" s="130"/>
      <c r="BL134" s="38"/>
      <c r="BM134" s="38"/>
      <c r="BN134" s="38"/>
      <c r="BO134" s="786"/>
      <c r="BP134" s="130"/>
      <c r="BQ134" s="38"/>
      <c r="BR134" s="38"/>
      <c r="BS134" s="38"/>
      <c r="BT134" s="786"/>
      <c r="BU134" s="130"/>
      <c r="BV134" s="38"/>
      <c r="BW134" s="38"/>
      <c r="BX134" s="38"/>
      <c r="BY134" s="31"/>
      <c r="BZ134" s="130"/>
      <c r="CA134" s="38"/>
      <c r="CB134" s="38"/>
      <c r="CC134" s="38"/>
      <c r="CD134" s="38"/>
      <c r="CE134" s="130"/>
      <c r="CF134" s="38"/>
      <c r="CG134" s="38"/>
      <c r="CH134" s="38"/>
      <c r="CI134" s="31"/>
      <c r="CO134" s="130"/>
      <c r="CP134" s="38"/>
      <c r="CQ134" s="38"/>
      <c r="CR134" s="38"/>
      <c r="CS134" s="31"/>
      <c r="CT134" s="130"/>
      <c r="CU134" s="38"/>
      <c r="CV134" s="38"/>
      <c r="CW134" s="38"/>
      <c r="CX134" s="31"/>
      <c r="CY134" s="130"/>
      <c r="CZ134" s="38"/>
      <c r="DA134" s="38"/>
      <c r="DB134" s="38"/>
      <c r="DC134" s="31"/>
      <c r="DD134" s="130"/>
      <c r="DE134" s="38"/>
      <c r="DF134" s="38"/>
      <c r="DG134" s="38"/>
      <c r="DH134" s="31"/>
      <c r="DI134" s="130"/>
      <c r="DJ134" s="38"/>
      <c r="DK134" s="38"/>
      <c r="DL134" s="38"/>
      <c r="DM134" s="31"/>
      <c r="DN134" s="130"/>
      <c r="DO134" s="38"/>
      <c r="DP134" s="38"/>
      <c r="DQ134" s="38"/>
      <c r="DR134" s="31"/>
      <c r="DS134" s="130"/>
      <c r="DT134" s="38"/>
      <c r="DU134" s="38"/>
      <c r="DV134" s="38"/>
      <c r="DW134" s="31"/>
      <c r="DX134" s="130"/>
      <c r="DY134" s="38"/>
      <c r="DZ134" s="38"/>
      <c r="EA134" s="38"/>
      <c r="EB134" s="31"/>
      <c r="EC134" s="130"/>
      <c r="ED134" s="38"/>
      <c r="EE134" s="38"/>
      <c r="EF134" s="38"/>
      <c r="EG134" s="31"/>
      <c r="EH134" s="130"/>
      <c r="EI134" s="38"/>
      <c r="EJ134" s="38"/>
      <c r="EK134" s="38"/>
      <c r="EL134" s="31"/>
      <c r="EM134" s="131"/>
      <c r="EN134" s="132"/>
      <c r="EO134" s="132"/>
      <c r="EP134" s="132"/>
      <c r="EQ134" s="132"/>
      <c r="ER134" s="31"/>
      <c r="ES134" s="131"/>
      <c r="ET134" s="132"/>
      <c r="EU134" s="132"/>
      <c r="EV134" s="132"/>
      <c r="EW134" s="132"/>
    </row>
    <row r="135" spans="1:154" s="8" customFormat="1" ht="15" customHeight="1">
      <c r="A135"/>
      <c r="B135" s="129"/>
      <c r="C135" s="129"/>
      <c r="D135" s="10"/>
      <c r="E135" s="122"/>
      <c r="F135" s="122"/>
      <c r="G135" s="122"/>
      <c r="H135" s="122"/>
      <c r="I135" s="122"/>
      <c r="J135" s="10"/>
      <c r="K135" s="10"/>
      <c r="L135" s="122"/>
      <c r="M135" s="10"/>
      <c r="N135" s="10"/>
      <c r="O135" s="10"/>
      <c r="P135" s="10"/>
      <c r="Q135" s="122"/>
      <c r="R135" s="130"/>
      <c r="S135" s="38"/>
      <c r="T135" s="38"/>
      <c r="U135" s="38"/>
      <c r="V135" s="37"/>
      <c r="W135" s="130"/>
      <c r="X135" s="38"/>
      <c r="Y135" s="38"/>
      <c r="Z135" s="38"/>
      <c r="AA135" s="37"/>
      <c r="AB135" s="130"/>
      <c r="AC135" s="38"/>
      <c r="AD135" s="38"/>
      <c r="AE135" s="38"/>
      <c r="AF135" s="38"/>
      <c r="AG135" s="130"/>
      <c r="AH135" s="38"/>
      <c r="AI135" s="38"/>
      <c r="AJ135" s="38"/>
      <c r="AK135" s="37"/>
      <c r="AL135" s="130"/>
      <c r="AM135" s="38"/>
      <c r="AN135" s="38"/>
      <c r="AO135" s="38"/>
      <c r="AP135" s="38"/>
      <c r="AQ135" s="130"/>
      <c r="AR135" s="38"/>
      <c r="AS135" s="38"/>
      <c r="AT135" s="38"/>
      <c r="AU135" s="38"/>
      <c r="AZ135" s="38"/>
      <c r="BA135" s="130"/>
      <c r="BB135" s="38"/>
      <c r="BC135" s="38"/>
      <c r="BD135" s="38"/>
      <c r="BE135" s="38"/>
      <c r="BF135" s="130"/>
      <c r="BG135" s="38"/>
      <c r="BH135" s="38"/>
      <c r="BI135" s="38"/>
      <c r="BJ135" s="786"/>
      <c r="BK135" s="130"/>
      <c r="BL135" s="38"/>
      <c r="BM135" s="38"/>
      <c r="BN135" s="38"/>
      <c r="BO135" s="786"/>
      <c r="BP135" s="130"/>
      <c r="BQ135" s="38"/>
      <c r="BR135" s="38"/>
      <c r="BS135" s="38"/>
      <c r="BT135" s="786"/>
      <c r="BU135" s="130"/>
      <c r="BV135" s="38"/>
      <c r="BW135" s="38"/>
      <c r="BX135" s="38"/>
      <c r="BY135" s="31"/>
      <c r="BZ135" s="130"/>
      <c r="CA135" s="38"/>
      <c r="CB135" s="38"/>
      <c r="CC135" s="38"/>
      <c r="CD135" s="38"/>
      <c r="CE135" s="130"/>
      <c r="CF135" s="38"/>
      <c r="CG135" s="38"/>
      <c r="CH135" s="38"/>
      <c r="CI135" s="31"/>
      <c r="CO135" s="130"/>
      <c r="CP135" s="38"/>
      <c r="CQ135" s="38"/>
      <c r="CR135" s="38"/>
      <c r="CS135" s="31"/>
      <c r="CT135" s="130"/>
      <c r="CU135" s="38"/>
      <c r="CV135" s="38"/>
      <c r="CW135" s="38"/>
      <c r="CX135" s="31"/>
      <c r="CY135" s="130"/>
      <c r="CZ135" s="38"/>
      <c r="DA135" s="38"/>
      <c r="DB135" s="38"/>
      <c r="DC135" s="31"/>
      <c r="DD135" s="130"/>
      <c r="DE135" s="38"/>
      <c r="DF135" s="38"/>
      <c r="DG135" s="38"/>
      <c r="DH135" s="31"/>
      <c r="DI135" s="130"/>
      <c r="DJ135" s="38"/>
      <c r="DK135" s="38"/>
      <c r="DL135" s="38"/>
      <c r="DM135" s="31"/>
      <c r="DN135" s="130"/>
      <c r="DO135" s="38"/>
      <c r="DP135" s="38"/>
      <c r="DQ135" s="38"/>
      <c r="DR135" s="31"/>
      <c r="DS135" s="130"/>
      <c r="DT135" s="38"/>
      <c r="DU135" s="38"/>
      <c r="DV135" s="38"/>
      <c r="DW135" s="31"/>
      <c r="DX135" s="130"/>
      <c r="DY135" s="38"/>
      <c r="DZ135" s="38"/>
      <c r="EA135" s="38"/>
      <c r="EB135" s="31"/>
      <c r="EC135" s="130"/>
      <c r="ED135" s="38"/>
      <c r="EE135" s="38"/>
      <c r="EF135" s="38"/>
      <c r="EG135" s="31"/>
      <c r="EH135" s="130"/>
      <c r="EI135" s="38"/>
      <c r="EJ135" s="38"/>
      <c r="EK135" s="38"/>
      <c r="EL135" s="31"/>
      <c r="EM135" s="131"/>
      <c r="EN135" s="132"/>
      <c r="EO135" s="132"/>
      <c r="EP135" s="132"/>
      <c r="EQ135" s="132"/>
      <c r="ER135" s="31"/>
      <c r="ES135" s="131"/>
      <c r="ET135" s="132"/>
      <c r="EU135" s="132"/>
      <c r="EV135" s="132"/>
      <c r="EW135" s="132"/>
    </row>
    <row r="136" spans="1:154" s="8" customFormat="1" ht="15" customHeight="1">
      <c r="A136"/>
      <c r="B136" s="129"/>
      <c r="C136" s="129"/>
      <c r="D136" s="10"/>
      <c r="E136" s="122"/>
      <c r="F136" s="122"/>
      <c r="G136" s="122"/>
      <c r="H136" s="122"/>
      <c r="I136" s="122"/>
      <c r="J136" s="10"/>
      <c r="K136" s="10"/>
      <c r="L136" s="122"/>
      <c r="M136" s="10"/>
      <c r="N136" s="10"/>
      <c r="O136" s="10"/>
      <c r="P136" s="10"/>
      <c r="Q136" s="122"/>
      <c r="R136" s="130"/>
      <c r="S136" s="38"/>
      <c r="T136" s="38"/>
      <c r="U136" s="38"/>
      <c r="V136" s="37"/>
      <c r="W136" s="130"/>
      <c r="X136" s="38"/>
      <c r="Y136" s="38"/>
      <c r="Z136" s="38"/>
      <c r="AA136" s="37"/>
      <c r="AB136" s="130"/>
      <c r="AC136" s="38"/>
      <c r="AD136" s="38"/>
      <c r="AE136" s="38"/>
      <c r="AF136" s="38"/>
      <c r="AG136" s="130"/>
      <c r="AH136" s="38"/>
      <c r="AI136" s="38"/>
      <c r="AJ136" s="38"/>
      <c r="AK136" s="37"/>
      <c r="AL136" s="130"/>
      <c r="AM136" s="38"/>
      <c r="AN136" s="38"/>
      <c r="AO136" s="38"/>
      <c r="AP136" s="38"/>
      <c r="AQ136" s="130"/>
      <c r="AR136" s="38"/>
      <c r="AS136" s="38"/>
      <c r="AT136" s="38"/>
      <c r="AU136" s="38"/>
      <c r="AZ136" s="38"/>
      <c r="BA136" s="130"/>
      <c r="BB136" s="38"/>
      <c r="BC136" s="38"/>
      <c r="BD136" s="38"/>
      <c r="BE136" s="38"/>
      <c r="BF136" s="130"/>
      <c r="BG136" s="38"/>
      <c r="BH136" s="38"/>
      <c r="BI136" s="38"/>
      <c r="BJ136" s="786"/>
      <c r="BK136" s="130"/>
      <c r="BL136" s="38"/>
      <c r="BM136" s="38"/>
      <c r="BN136" s="38"/>
      <c r="BO136" s="786"/>
      <c r="BP136" s="130"/>
      <c r="BQ136" s="38"/>
      <c r="BR136" s="38"/>
      <c r="BS136" s="38"/>
      <c r="BT136" s="786"/>
      <c r="BU136" s="130"/>
      <c r="BV136" s="38"/>
      <c r="BW136" s="38"/>
      <c r="BX136" s="38"/>
      <c r="BY136" s="31"/>
      <c r="BZ136" s="130"/>
      <c r="CA136" s="38"/>
      <c r="CB136" s="38"/>
      <c r="CC136" s="38"/>
      <c r="CD136" s="38"/>
      <c r="CE136" s="130"/>
      <c r="CF136" s="38"/>
      <c r="CG136" s="38"/>
      <c r="CH136" s="38"/>
      <c r="CI136" s="31"/>
      <c r="CO136" s="130"/>
      <c r="CP136" s="38"/>
      <c r="CQ136" s="38"/>
      <c r="CR136" s="38"/>
      <c r="CS136" s="31"/>
      <c r="CT136" s="130"/>
      <c r="CU136" s="38"/>
      <c r="CV136" s="38"/>
      <c r="CW136" s="38"/>
      <c r="CX136" s="31"/>
      <c r="CY136" s="130"/>
      <c r="CZ136" s="38"/>
      <c r="DA136" s="38"/>
      <c r="DB136" s="38"/>
      <c r="DC136" s="31"/>
      <c r="DD136" s="130"/>
      <c r="DE136" s="38"/>
      <c r="DF136" s="38"/>
      <c r="DG136" s="38"/>
      <c r="DH136" s="31"/>
      <c r="DI136" s="130"/>
      <c r="DJ136" s="38"/>
      <c r="DK136" s="38"/>
      <c r="DL136" s="38"/>
      <c r="DM136" s="31"/>
      <c r="DN136" s="130"/>
      <c r="DO136" s="38"/>
      <c r="DP136" s="38"/>
      <c r="DQ136" s="38"/>
      <c r="DR136" s="31"/>
      <c r="DS136" s="130"/>
      <c r="DT136" s="38"/>
      <c r="DU136" s="38"/>
      <c r="DV136" s="38"/>
      <c r="DW136" s="31"/>
      <c r="DX136" s="130"/>
      <c r="DY136" s="38"/>
      <c r="DZ136" s="38"/>
      <c r="EA136" s="38"/>
      <c r="EB136" s="31"/>
      <c r="EC136" s="130"/>
      <c r="ED136" s="38"/>
      <c r="EE136" s="38"/>
      <c r="EF136" s="38"/>
      <c r="EG136" s="31"/>
      <c r="EH136" s="130"/>
      <c r="EI136" s="38"/>
      <c r="EJ136" s="38"/>
      <c r="EK136" s="38"/>
      <c r="EL136" s="31"/>
      <c r="EM136" s="131"/>
      <c r="EN136" s="132"/>
      <c r="EO136" s="132"/>
      <c r="EP136" s="132"/>
      <c r="EQ136" s="132"/>
      <c r="ER136" s="31"/>
      <c r="ES136" s="131"/>
      <c r="ET136" s="132"/>
      <c r="EU136" s="132"/>
      <c r="EV136" s="132"/>
      <c r="EW136" s="132"/>
    </row>
    <row r="137" spans="1:154" s="8" customFormat="1" ht="15" customHeight="1">
      <c r="A137"/>
      <c r="B137" s="129"/>
      <c r="C137" s="129"/>
      <c r="D137" s="10"/>
      <c r="E137" s="122"/>
      <c r="F137" s="122"/>
      <c r="G137" s="122"/>
      <c r="H137" s="122"/>
      <c r="I137" s="122"/>
      <c r="J137" s="10"/>
      <c r="K137" s="10"/>
      <c r="L137" s="122"/>
      <c r="M137" s="10"/>
      <c r="N137" s="10"/>
      <c r="O137" s="10"/>
      <c r="P137" s="10"/>
      <c r="Q137" s="122"/>
      <c r="R137" s="130"/>
      <c r="S137" s="38"/>
      <c r="T137" s="38"/>
      <c r="U137" s="38"/>
      <c r="V137" s="37"/>
      <c r="W137" s="130"/>
      <c r="X137" s="38"/>
      <c r="Y137" s="38"/>
      <c r="Z137" s="38"/>
      <c r="AA137" s="37"/>
      <c r="AB137" s="130"/>
      <c r="AC137" s="38"/>
      <c r="AD137" s="38"/>
      <c r="AE137" s="38"/>
      <c r="AF137" s="38"/>
      <c r="AG137" s="130"/>
      <c r="AH137" s="38"/>
      <c r="AI137" s="38"/>
      <c r="AJ137" s="38"/>
      <c r="AK137" s="37"/>
      <c r="AL137" s="130"/>
      <c r="AM137" s="38"/>
      <c r="AN137" s="38"/>
      <c r="AO137" s="38"/>
      <c r="AP137" s="38"/>
      <c r="AQ137" s="130"/>
      <c r="AR137" s="38"/>
      <c r="AS137" s="38"/>
      <c r="AT137" s="38"/>
      <c r="AU137" s="38"/>
      <c r="AZ137" s="38"/>
      <c r="BA137" s="130"/>
      <c r="BB137" s="38"/>
      <c r="BC137" s="38"/>
      <c r="BD137" s="38"/>
      <c r="BE137" s="38"/>
      <c r="BF137" s="130"/>
      <c r="BG137" s="38"/>
      <c r="BH137" s="38"/>
      <c r="BI137" s="38"/>
      <c r="BJ137" s="786"/>
      <c r="BK137" s="130"/>
      <c r="BL137" s="38"/>
      <c r="BM137" s="38"/>
      <c r="BN137" s="38"/>
      <c r="BO137" s="786"/>
      <c r="BP137" s="130"/>
      <c r="BQ137" s="38"/>
      <c r="BR137" s="38"/>
      <c r="BS137" s="38"/>
      <c r="BT137" s="786"/>
      <c r="BU137" s="130"/>
      <c r="BV137" s="38"/>
      <c r="BW137" s="38"/>
      <c r="BX137" s="38"/>
      <c r="BY137" s="31"/>
      <c r="BZ137" s="130"/>
      <c r="CA137" s="38"/>
      <c r="CB137" s="38"/>
      <c r="CC137" s="38"/>
      <c r="CD137" s="38"/>
      <c r="CE137" s="130"/>
      <c r="CF137" s="38"/>
      <c r="CG137" s="38"/>
      <c r="CH137" s="38"/>
      <c r="CI137" s="31"/>
      <c r="CO137" s="130"/>
      <c r="CP137" s="38"/>
      <c r="CQ137" s="38"/>
      <c r="CR137" s="38"/>
      <c r="CS137" s="31"/>
      <c r="CT137" s="130"/>
      <c r="CU137" s="38"/>
      <c r="CV137" s="38"/>
      <c r="CW137" s="38"/>
      <c r="CX137" s="31"/>
      <c r="CY137" s="130"/>
      <c r="CZ137" s="38"/>
      <c r="DA137" s="38"/>
      <c r="DB137" s="38"/>
      <c r="DC137" s="31"/>
      <c r="DD137" s="130"/>
      <c r="DE137" s="38"/>
      <c r="DF137" s="38"/>
      <c r="DG137" s="38"/>
      <c r="DH137" s="31"/>
      <c r="DI137" s="130"/>
      <c r="DJ137" s="38"/>
      <c r="DK137" s="38"/>
      <c r="DL137" s="38"/>
      <c r="DM137" s="31"/>
      <c r="DN137" s="130"/>
      <c r="DO137" s="38"/>
      <c r="DP137" s="38"/>
      <c r="DQ137" s="38"/>
      <c r="DR137" s="31"/>
      <c r="DS137" s="130"/>
      <c r="DT137" s="38"/>
      <c r="DU137" s="38"/>
      <c r="DV137" s="38"/>
      <c r="DW137" s="31"/>
      <c r="DX137" s="130"/>
      <c r="DY137" s="38"/>
      <c r="DZ137" s="38"/>
      <c r="EA137" s="38"/>
      <c r="EB137" s="31"/>
      <c r="EC137" s="130"/>
      <c r="ED137" s="38"/>
      <c r="EE137" s="38"/>
      <c r="EF137" s="38"/>
      <c r="EG137" s="31"/>
      <c r="EH137" s="130"/>
      <c r="EI137" s="38"/>
      <c r="EJ137" s="38"/>
      <c r="EK137" s="38"/>
      <c r="EL137" s="31"/>
      <c r="EM137" s="131"/>
      <c r="EN137" s="132"/>
      <c r="EO137" s="132"/>
      <c r="EP137" s="132"/>
      <c r="EQ137" s="132"/>
      <c r="ER137" s="31"/>
      <c r="ES137" s="131"/>
      <c r="ET137" s="132"/>
      <c r="EU137" s="132"/>
      <c r="EV137" s="132"/>
      <c r="EW137" s="132"/>
    </row>
    <row r="138" spans="1:154" s="8" customFormat="1" ht="15" customHeight="1">
      <c r="A138"/>
      <c r="B138" s="129"/>
      <c r="C138" s="129"/>
      <c r="D138" s="10"/>
      <c r="E138" s="122"/>
      <c r="F138" s="122"/>
      <c r="G138" s="122"/>
      <c r="H138" s="122"/>
      <c r="I138" s="122"/>
      <c r="J138" s="10"/>
      <c r="K138" s="10"/>
      <c r="L138" s="122"/>
      <c r="M138" s="10"/>
      <c r="N138" s="10"/>
      <c r="O138" s="10"/>
      <c r="P138" s="10"/>
      <c r="Q138" s="122"/>
      <c r="R138" s="130"/>
      <c r="S138" s="38"/>
      <c r="T138" s="38"/>
      <c r="U138" s="38"/>
      <c r="V138" s="37"/>
      <c r="W138" s="130"/>
      <c r="X138" s="38"/>
      <c r="Y138" s="38"/>
      <c r="Z138" s="38"/>
      <c r="AA138" s="37"/>
      <c r="AB138" s="130"/>
      <c r="AC138" s="38"/>
      <c r="AD138" s="38"/>
      <c r="AE138" s="38"/>
      <c r="AF138" s="38"/>
      <c r="AG138" s="130"/>
      <c r="AH138" s="38"/>
      <c r="AI138" s="38"/>
      <c r="AJ138" s="38"/>
      <c r="AK138" s="37"/>
      <c r="AL138" s="130"/>
      <c r="AM138" s="38"/>
      <c r="AN138" s="38"/>
      <c r="AO138" s="38"/>
      <c r="AP138" s="38"/>
      <c r="AQ138" s="130"/>
      <c r="AR138" s="38"/>
      <c r="AS138" s="38"/>
      <c r="AT138" s="38"/>
      <c r="AU138" s="38"/>
      <c r="AZ138" s="38"/>
      <c r="BA138" s="130"/>
      <c r="BB138" s="38"/>
      <c r="BC138" s="38"/>
      <c r="BD138" s="38"/>
      <c r="BE138" s="38"/>
      <c r="BF138" s="130"/>
      <c r="BG138" s="38"/>
      <c r="BH138" s="38"/>
      <c r="BI138" s="38"/>
      <c r="BJ138" s="786"/>
      <c r="BK138" s="130"/>
      <c r="BL138" s="38"/>
      <c r="BM138" s="38"/>
      <c r="BN138" s="38"/>
      <c r="BO138" s="786"/>
      <c r="BP138" s="130"/>
      <c r="BQ138" s="38"/>
      <c r="BR138" s="38"/>
      <c r="BS138" s="38"/>
      <c r="BT138" s="786"/>
      <c r="BU138" s="130"/>
      <c r="BV138" s="38"/>
      <c r="BW138" s="38"/>
      <c r="BX138" s="38"/>
      <c r="BY138" s="31"/>
      <c r="BZ138" s="130"/>
      <c r="CA138" s="38"/>
      <c r="CB138" s="38"/>
      <c r="CC138" s="38"/>
      <c r="CD138" s="38"/>
      <c r="CE138" s="130"/>
      <c r="CF138" s="38"/>
      <c r="CG138" s="38"/>
      <c r="CH138" s="38"/>
      <c r="CI138" s="31"/>
      <c r="CO138" s="130"/>
      <c r="CP138" s="38"/>
      <c r="CQ138" s="38"/>
      <c r="CR138" s="38"/>
      <c r="CS138" s="31"/>
      <c r="CT138" s="130"/>
      <c r="CU138" s="38"/>
      <c r="CV138" s="38"/>
      <c r="CW138" s="38"/>
      <c r="CX138" s="31"/>
      <c r="CY138" s="130"/>
      <c r="CZ138" s="38"/>
      <c r="DA138" s="38"/>
      <c r="DB138" s="38"/>
      <c r="DC138" s="31"/>
      <c r="DD138" s="130"/>
      <c r="DE138" s="38"/>
      <c r="DF138" s="38"/>
      <c r="DG138" s="38"/>
      <c r="DH138" s="31"/>
      <c r="DI138" s="130"/>
      <c r="DJ138" s="38"/>
      <c r="DK138" s="38"/>
      <c r="DL138" s="38"/>
      <c r="DM138" s="31"/>
      <c r="DN138" s="130"/>
      <c r="DO138" s="38"/>
      <c r="DP138" s="38"/>
      <c r="DQ138" s="38"/>
      <c r="DR138" s="31"/>
      <c r="DS138" s="130"/>
      <c r="DT138" s="38"/>
      <c r="DU138" s="38"/>
      <c r="DV138" s="38"/>
      <c r="DW138" s="31"/>
      <c r="DX138" s="130"/>
      <c r="DY138" s="38"/>
      <c r="DZ138" s="38"/>
      <c r="EA138" s="38"/>
      <c r="EB138" s="31"/>
      <c r="EC138" s="130"/>
      <c r="ED138" s="38"/>
      <c r="EE138" s="38"/>
      <c r="EF138" s="38"/>
      <c r="EG138" s="31"/>
      <c r="EH138" s="130"/>
      <c r="EI138" s="38"/>
      <c r="EJ138" s="38"/>
      <c r="EK138" s="38"/>
      <c r="EL138" s="31"/>
      <c r="EM138" s="131"/>
      <c r="EN138" s="132"/>
      <c r="EO138" s="132"/>
      <c r="EP138" s="132"/>
      <c r="EQ138" s="132"/>
      <c r="ER138" s="31"/>
      <c r="ES138" s="131"/>
      <c r="ET138" s="132"/>
      <c r="EU138" s="132"/>
      <c r="EV138" s="132"/>
      <c r="EW138" s="132"/>
    </row>
    <row r="139" spans="1:154" s="8" customFormat="1" ht="14.25" customHeight="1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</row>
    <row r="140" spans="1:154" s="8" customFormat="1" ht="12.95" customHeight="1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DI140" s="78"/>
      <c r="DJ140" s="78"/>
      <c r="DK140" s="78"/>
      <c r="DL140" s="78"/>
      <c r="DN140" s="78"/>
      <c r="DO140" s="78"/>
      <c r="DP140" s="78"/>
      <c r="DQ140" s="78"/>
      <c r="DS140" s="78"/>
      <c r="DT140" s="78"/>
      <c r="DU140" s="78"/>
      <c r="DV140" s="78"/>
      <c r="DX140" s="78"/>
      <c r="DY140" s="78"/>
      <c r="DZ140" s="78"/>
      <c r="EA140" s="78"/>
      <c r="EC140" s="78"/>
      <c r="ED140" s="78"/>
      <c r="EE140" s="78"/>
      <c r="EF140" s="78"/>
      <c r="EH140" s="78"/>
      <c r="EI140" s="78"/>
      <c r="EJ140" s="78"/>
      <c r="EK140" s="78"/>
    </row>
    <row r="141" spans="1:154" s="6" customFormat="1" ht="15" customHeight="1">
      <c r="A141" s="84" t="s">
        <v>209</v>
      </c>
      <c r="B141" s="210" t="s">
        <v>209</v>
      </c>
      <c r="C141" s="473" t="s">
        <v>515</v>
      </c>
      <c r="D141" s="138"/>
      <c r="E141" s="5"/>
      <c r="F141" s="5"/>
      <c r="G141" s="17"/>
      <c r="H141" s="17"/>
      <c r="I141" s="85"/>
      <c r="J141" s="20"/>
      <c r="K141" s="20"/>
      <c r="L141" s="85"/>
      <c r="M141" s="20"/>
      <c r="N141" s="20"/>
      <c r="O141" s="20"/>
      <c r="P141" s="20"/>
      <c r="Q141" s="85"/>
      <c r="R141" s="5"/>
      <c r="S141" s="5"/>
      <c r="U141" s="5"/>
      <c r="W141" s="5"/>
      <c r="X141" s="5"/>
      <c r="Y141" s="5"/>
      <c r="Z141" s="5"/>
      <c r="AB141" s="5">
        <v>2</v>
      </c>
      <c r="AC141" s="5">
        <f>AC26*AB141+AC5*AB141+AC6*AB141+AC7*AB141+AC8*AB141+AC9*AB141+AC10*AB141+AC11*AB141+AC12*AB141+AC13*AB141+AC14*AB141+AC15*AB141+AC16*AB141+AC17*AB141+AC18*AB141+AC19*AB141+AC20*AB141+AC21*AB141+AC22*AB141+AC23*AB141+AC24*AB141+AC25*AB141+AD26*AB141+AD5*AB141+AD6*AB141+AD7*AB141+AD8*AB141+AD9*AB141+AD10*AB141+AD11*AB141+AD12*AB141+AD13*AB141+AD14*AB141+AD15*AB141+AD16*AB141+AD17*AB141+AD18*AB141+AD19*AB141+AD20*AB141+AD21*AB141+AD22*AB141+AD23*AB141+AD24*AB141+AD25*AB141+AE26*AB141+AE5*AB141+AE6*AB141+AE7*AB141+AE8*AB141+AE9*AB141+AE10*AB141+AE11*AB141+AE12*AB141+AE13*AB141+AE14*AB141+AE15*AB141+AE16*AB141+AE17*AB141+AE18*AB141+AE19*AB141+AE20*AB141+AE21*AB141+AE22*AB141+AE23*AB141+AE24*AB141+AE25*AB141</f>
        <v>0</v>
      </c>
      <c r="AD141" s="5"/>
      <c r="AE141" s="5"/>
      <c r="AG141" s="5"/>
      <c r="AH141" s="5"/>
      <c r="AI141" s="5"/>
      <c r="AJ141" s="5"/>
      <c r="AL141" s="5"/>
      <c r="AM141" s="5"/>
      <c r="AN141" s="5"/>
      <c r="AO141" s="5"/>
      <c r="AQ141" s="5"/>
      <c r="AR141" s="5"/>
      <c r="AS141" s="5"/>
      <c r="AT141" s="5"/>
      <c r="BD141" s="5"/>
      <c r="BF141" s="5"/>
      <c r="BG141" s="5"/>
      <c r="BH141" s="5"/>
      <c r="BI141" s="5"/>
      <c r="BM141" s="5"/>
      <c r="BN141" s="5"/>
      <c r="BP141" s="5"/>
      <c r="BQ141" s="5"/>
      <c r="BR141" s="5"/>
      <c r="BS141" s="5"/>
      <c r="BU141" s="5"/>
      <c r="BV141" s="5"/>
      <c r="BW141" s="5"/>
      <c r="BX141" s="5"/>
      <c r="BZ141" s="5"/>
      <c r="CA141" s="5"/>
      <c r="CB141" s="5"/>
      <c r="CC141" s="5"/>
      <c r="CE141" s="5"/>
      <c r="CF141" s="5"/>
      <c r="CG141" s="5"/>
      <c r="CH141" s="5"/>
      <c r="CO141" s="13"/>
      <c r="CP141" s="5"/>
      <c r="CQ141" s="5"/>
      <c r="CR141" s="5"/>
      <c r="CT141" s="5"/>
      <c r="CU141" s="5"/>
      <c r="CV141" s="5"/>
      <c r="CW141" s="5"/>
      <c r="CY141" s="5"/>
      <c r="CZ141" s="5"/>
      <c r="DA141" s="5"/>
      <c r="DB141" s="5"/>
      <c r="DD141" s="5"/>
      <c r="DE141" s="5"/>
      <c r="DF141" s="5"/>
      <c r="DG141" s="5"/>
      <c r="DI141" s="5"/>
      <c r="DJ141" s="5"/>
      <c r="DK141" s="5"/>
      <c r="DL141" s="5"/>
      <c r="DN141" s="5"/>
      <c r="DO141" s="5"/>
      <c r="DP141" s="5"/>
      <c r="DQ141" s="5"/>
      <c r="DS141" s="5"/>
      <c r="DT141" s="5"/>
      <c r="DU141" s="5"/>
      <c r="DV141" s="5"/>
      <c r="DX141" s="5"/>
      <c r="DY141" s="5"/>
      <c r="DZ141" s="5"/>
      <c r="EA141" s="5"/>
      <c r="EC141" s="5"/>
      <c r="ED141" s="5"/>
      <c r="EE141" s="5"/>
      <c r="EF141" s="5"/>
      <c r="EH141" s="5"/>
      <c r="EI141" s="5"/>
      <c r="EJ141" s="5"/>
      <c r="EK141" s="5"/>
      <c r="EX141" s="659">
        <f>IF(EY141=34,0,F141+K141+N141+S141+T141+X141+AC141+AH141+AM141+CZ141+AR141+AW141+BB141+BG141+BL141+BQ141+BV141+CA141+CF141+CK141+CP141+CU141+DE141+DJ141+DO141+DT141+DY141+ED141+EI141+EN141+ET141+EU141)</f>
        <v>0</v>
      </c>
    </row>
    <row r="142" spans="1:154" s="6" customFormat="1" ht="15" customHeight="1">
      <c r="A142" s="84"/>
      <c r="B142" s="167" t="s">
        <v>1030</v>
      </c>
      <c r="C142" s="400" t="s">
        <v>0</v>
      </c>
      <c r="D142" s="138"/>
      <c r="E142" s="5"/>
      <c r="F142" s="5"/>
      <c r="G142" s="17"/>
      <c r="H142" s="17"/>
      <c r="I142" s="85"/>
      <c r="J142" s="20"/>
      <c r="K142" s="20"/>
      <c r="L142" s="85"/>
      <c r="M142" s="20"/>
      <c r="N142" s="20"/>
      <c r="O142" s="20"/>
      <c r="P142" s="20"/>
      <c r="Q142" s="85"/>
      <c r="R142" s="5"/>
      <c r="S142" s="5"/>
      <c r="U142" s="5"/>
      <c r="W142" s="5"/>
      <c r="X142" s="5"/>
      <c r="Y142" s="5"/>
      <c r="Z142" s="5"/>
      <c r="AB142" s="5"/>
      <c r="AC142" s="5"/>
      <c r="AD142" s="5"/>
      <c r="AE142" s="5"/>
      <c r="AG142" s="5"/>
      <c r="AH142" s="5"/>
      <c r="AI142" s="5"/>
      <c r="AJ142" s="5"/>
      <c r="AL142" s="5"/>
      <c r="AM142" s="5"/>
      <c r="AN142" s="5"/>
      <c r="AO142" s="5"/>
      <c r="AQ142" s="5"/>
      <c r="AR142" s="5"/>
      <c r="AS142" s="5"/>
      <c r="AT142" s="5"/>
      <c r="BD142" s="5"/>
      <c r="BF142" s="5"/>
      <c r="BG142" s="5"/>
      <c r="BH142" s="5"/>
      <c r="BI142" s="5"/>
      <c r="BM142" s="5"/>
      <c r="BN142" s="5"/>
      <c r="BP142" s="5"/>
      <c r="BQ142" s="5"/>
      <c r="BR142" s="5"/>
      <c r="BS142" s="5"/>
      <c r="BU142" s="5"/>
      <c r="BV142" s="5"/>
      <c r="BW142" s="5"/>
      <c r="BX142" s="5"/>
      <c r="BZ142" s="5"/>
      <c r="CA142" s="5"/>
      <c r="CB142" s="5"/>
      <c r="CC142" s="5"/>
      <c r="CE142" s="5"/>
      <c r="CF142" s="5"/>
      <c r="CG142" s="5"/>
      <c r="CH142" s="5"/>
      <c r="CO142" s="13"/>
      <c r="CP142" s="5"/>
      <c r="CQ142" s="5"/>
      <c r="CR142" s="5"/>
      <c r="CT142" s="5"/>
      <c r="CU142" s="5"/>
      <c r="CV142" s="5"/>
      <c r="CW142" s="5"/>
      <c r="CY142" s="5"/>
      <c r="CZ142" s="5"/>
      <c r="DA142" s="5"/>
      <c r="DB142" s="5"/>
      <c r="DD142" s="5"/>
      <c r="DE142" s="5"/>
      <c r="DF142" s="5"/>
      <c r="DG142" s="5"/>
      <c r="DI142" s="5"/>
      <c r="DJ142" s="5"/>
      <c r="DK142" s="5"/>
      <c r="DL142" s="5"/>
      <c r="DN142" s="5"/>
      <c r="DO142" s="5"/>
      <c r="DP142" s="5"/>
      <c r="DQ142" s="5"/>
      <c r="DS142" s="5"/>
      <c r="DT142" s="5"/>
      <c r="DU142" s="5"/>
      <c r="DV142" s="5"/>
      <c r="DX142" s="5"/>
      <c r="DY142" s="5"/>
      <c r="DZ142" s="5"/>
      <c r="EA142" s="5"/>
      <c r="EC142" s="5"/>
      <c r="ED142" s="5"/>
      <c r="EE142" s="5"/>
      <c r="EF142" s="5"/>
      <c r="EH142" s="5"/>
      <c r="EI142" s="5"/>
      <c r="EJ142" s="5"/>
      <c r="EK142" s="5"/>
      <c r="EX142" s="659">
        <f t="shared" ref="EX142:EX207" si="0">IF(EY142=34,0,F142+K142+N142+S142+T142+X142+AC142+AH142+AM142+CZ142+AR142+AW142+BB142+BG142+BL142+BQ142+BV142+CA142+CF142+CK142+CP142+CU142+DE142+DJ142+DO142+DT142+DY142+ED142+EI142+EN142+ET142+EU142)</f>
        <v>0</v>
      </c>
    </row>
    <row r="143" spans="1:154" s="6" customFormat="1" ht="15" customHeight="1">
      <c r="A143" s="84"/>
      <c r="B143" s="167" t="s">
        <v>1252</v>
      </c>
      <c r="C143" s="400" t="s">
        <v>0</v>
      </c>
      <c r="D143" s="138"/>
      <c r="E143" s="5"/>
      <c r="F143" s="5"/>
      <c r="G143" s="17"/>
      <c r="H143" s="17"/>
      <c r="I143" s="85"/>
      <c r="J143" s="20">
        <v>4</v>
      </c>
      <c r="K143" s="657">
        <f>SUM(K5:K26)*J143</f>
        <v>0</v>
      </c>
      <c r="L143" s="85"/>
      <c r="M143" s="657"/>
      <c r="N143" s="657">
        <f>SUM(N5:N26,O5:O26,P5:P26)*M143</f>
        <v>0</v>
      </c>
      <c r="O143" s="20"/>
      <c r="P143" s="20"/>
      <c r="Q143" s="85"/>
      <c r="R143" s="5"/>
      <c r="S143" s="5"/>
      <c r="U143" s="5"/>
      <c r="W143" s="5"/>
      <c r="X143" s="5"/>
      <c r="Y143" s="5"/>
      <c r="Z143" s="5"/>
      <c r="AB143" s="5"/>
      <c r="AC143" s="5"/>
      <c r="AD143" s="5"/>
      <c r="AE143" s="5"/>
      <c r="AG143" s="5"/>
      <c r="AH143" s="5"/>
      <c r="AI143" s="5"/>
      <c r="AJ143" s="5"/>
      <c r="AL143" s="5"/>
      <c r="AM143" s="5"/>
      <c r="AN143" s="5"/>
      <c r="AO143" s="5"/>
      <c r="AQ143" s="5"/>
      <c r="AR143" s="5"/>
      <c r="AS143" s="5"/>
      <c r="AT143" s="5"/>
      <c r="BD143" s="5"/>
      <c r="BF143" s="5"/>
      <c r="BG143" s="5"/>
      <c r="BH143" s="5"/>
      <c r="BI143" s="5"/>
      <c r="BM143" s="5"/>
      <c r="BN143" s="5"/>
      <c r="BP143" s="5"/>
      <c r="BQ143" s="5"/>
      <c r="BR143" s="5"/>
      <c r="BS143" s="5"/>
      <c r="BU143" s="5"/>
      <c r="BV143" s="5"/>
      <c r="BW143" s="5"/>
      <c r="BX143" s="5"/>
      <c r="BZ143" s="5"/>
      <c r="CA143" s="5"/>
      <c r="CB143" s="5"/>
      <c r="CC143" s="5"/>
      <c r="CE143" s="5"/>
      <c r="CF143" s="5"/>
      <c r="CG143" s="5"/>
      <c r="CH143" s="5"/>
      <c r="CO143" s="13"/>
      <c r="CP143" s="5"/>
      <c r="CQ143" s="5"/>
      <c r="CR143" s="5"/>
      <c r="CT143" s="5"/>
      <c r="CU143" s="5"/>
      <c r="CV143" s="5"/>
      <c r="CW143" s="5"/>
      <c r="CY143" s="5"/>
      <c r="CZ143" s="5"/>
      <c r="DA143" s="5"/>
      <c r="DB143" s="5"/>
      <c r="DD143" s="5"/>
      <c r="DE143" s="5"/>
      <c r="DF143" s="5"/>
      <c r="DG143" s="5"/>
      <c r="DI143" s="5"/>
      <c r="DJ143" s="5"/>
      <c r="DK143" s="5"/>
      <c r="DL143" s="5"/>
      <c r="DN143" s="5"/>
      <c r="DO143" s="5"/>
      <c r="DP143" s="5"/>
      <c r="DQ143" s="5"/>
      <c r="DS143" s="5"/>
      <c r="DT143" s="5"/>
      <c r="DU143" s="5"/>
      <c r="DV143" s="5"/>
      <c r="DX143" s="5"/>
      <c r="DY143" s="5"/>
      <c r="DZ143" s="5"/>
      <c r="EA143" s="5"/>
      <c r="EC143" s="5"/>
      <c r="ED143" s="5"/>
      <c r="EE143" s="5"/>
      <c r="EF143" s="5"/>
      <c r="EH143" s="5"/>
      <c r="EI143" s="5"/>
      <c r="EJ143" s="5"/>
      <c r="EK143" s="5"/>
      <c r="EX143" s="659">
        <f t="shared" si="0"/>
        <v>0</v>
      </c>
    </row>
    <row r="144" spans="1:154" s="6" customFormat="1" ht="15" customHeight="1">
      <c r="A144" s="84" t="s">
        <v>55</v>
      </c>
      <c r="B144" s="210" t="s">
        <v>1175</v>
      </c>
      <c r="C144" s="473" t="s">
        <v>515</v>
      </c>
      <c r="D144" s="138"/>
      <c r="E144" s="5"/>
      <c r="F144" s="5"/>
      <c r="G144" s="13"/>
      <c r="H144" s="13"/>
      <c r="I144" s="86"/>
      <c r="J144" s="4"/>
      <c r="K144" s="4"/>
      <c r="L144" s="86"/>
      <c r="M144" s="4"/>
      <c r="N144" s="4"/>
      <c r="O144" s="4"/>
      <c r="P144" s="4"/>
      <c r="Q144" s="86"/>
      <c r="R144" s="5"/>
      <c r="S144" s="5"/>
      <c r="U144" s="5"/>
      <c r="W144" s="5"/>
      <c r="X144" s="5"/>
      <c r="Y144" s="5"/>
      <c r="Z144" s="5"/>
      <c r="AB144" s="5"/>
      <c r="AC144" s="5"/>
      <c r="AD144" s="5"/>
      <c r="AE144" s="5"/>
      <c r="AG144" s="5"/>
      <c r="AH144" s="5"/>
      <c r="AI144" s="5"/>
      <c r="AJ144" s="5"/>
      <c r="AL144" s="5"/>
      <c r="AM144" s="5"/>
      <c r="AN144" s="5"/>
      <c r="AO144" s="5"/>
      <c r="AQ144" s="5"/>
      <c r="AR144" s="5"/>
      <c r="AS144" s="5"/>
      <c r="AT144" s="5"/>
      <c r="BD144" s="5"/>
      <c r="BF144" s="5"/>
      <c r="BG144" s="5"/>
      <c r="BH144" s="5"/>
      <c r="BI144" s="5"/>
      <c r="BM144" s="5"/>
      <c r="BN144" s="5"/>
      <c r="BP144" s="5"/>
      <c r="BQ144" s="5"/>
      <c r="BR144" s="5"/>
      <c r="BS144" s="5"/>
      <c r="BU144" s="5"/>
      <c r="BV144" s="5"/>
      <c r="BW144" s="5"/>
      <c r="BX144" s="5"/>
      <c r="BZ144" s="5"/>
      <c r="CA144" s="5"/>
      <c r="CB144" s="5"/>
      <c r="CC144" s="5"/>
      <c r="CE144" s="5"/>
      <c r="CF144" s="5"/>
      <c r="CG144" s="5"/>
      <c r="CH144" s="5"/>
      <c r="CO144" s="13"/>
      <c r="CP144" s="5"/>
      <c r="CQ144" s="5"/>
      <c r="CR144" s="5"/>
      <c r="CT144" s="5"/>
      <c r="CU144" s="5"/>
      <c r="CV144" s="5"/>
      <c r="CW144" s="5"/>
      <c r="CY144" s="5"/>
      <c r="CZ144" s="5"/>
      <c r="DA144" s="5"/>
      <c r="DB144" s="5"/>
      <c r="DD144" s="5"/>
      <c r="DE144" s="5"/>
      <c r="DF144" s="5"/>
      <c r="DG144" s="5"/>
      <c r="DI144" s="5"/>
      <c r="DJ144" s="5"/>
      <c r="DK144" s="5"/>
      <c r="DL144" s="5"/>
      <c r="DN144" s="5"/>
      <c r="DO144" s="5"/>
      <c r="DP144" s="5"/>
      <c r="DQ144" s="5"/>
      <c r="DS144" s="5"/>
      <c r="DT144" s="5"/>
      <c r="DU144" s="5"/>
      <c r="DV144" s="5"/>
      <c r="DX144" s="5"/>
      <c r="DY144" s="5"/>
      <c r="DZ144" s="5"/>
      <c r="EA144" s="5"/>
      <c r="EC144" s="5"/>
      <c r="ED144" s="5"/>
      <c r="EE144" s="5"/>
      <c r="EF144" s="5"/>
      <c r="EH144" s="5"/>
      <c r="EI144" s="5"/>
      <c r="EJ144" s="5"/>
      <c r="EK144" s="5"/>
      <c r="EN144" s="6">
        <f>SUM(EP5:EQ5)*4</f>
        <v>0</v>
      </c>
      <c r="EX144" s="659">
        <f t="shared" si="0"/>
        <v>0</v>
      </c>
    </row>
    <row r="145" spans="1:154" s="6" customFormat="1" ht="15" customHeight="1">
      <c r="A145" s="3" t="s">
        <v>56</v>
      </c>
      <c r="B145" s="210" t="s">
        <v>1176</v>
      </c>
      <c r="C145" s="473" t="s">
        <v>515</v>
      </c>
      <c r="D145" s="138"/>
      <c r="E145" s="5"/>
      <c r="F145" s="5"/>
      <c r="G145" s="5"/>
      <c r="H145" s="5"/>
      <c r="I145" s="4"/>
      <c r="J145" s="4"/>
      <c r="K145" s="4"/>
      <c r="L145" s="4"/>
      <c r="M145" s="4"/>
      <c r="N145" s="4"/>
      <c r="O145" s="4"/>
      <c r="P145" s="4"/>
      <c r="Q145" s="4"/>
      <c r="R145" s="5"/>
      <c r="S145" s="5"/>
      <c r="U145" s="5"/>
      <c r="W145" s="5"/>
      <c r="X145" s="5"/>
      <c r="Y145" s="5"/>
      <c r="Z145" s="5"/>
      <c r="AB145" s="5"/>
      <c r="AC145" s="5"/>
      <c r="AD145" s="5"/>
      <c r="AE145" s="5"/>
      <c r="AG145" s="5"/>
      <c r="AH145" s="5"/>
      <c r="AI145" s="5"/>
      <c r="AJ145" s="5"/>
      <c r="AL145" s="5"/>
      <c r="AM145" s="5"/>
      <c r="AN145" s="5"/>
      <c r="AO145" s="5"/>
      <c r="AQ145" s="5"/>
      <c r="AR145" s="5"/>
      <c r="AS145" s="5"/>
      <c r="AT145" s="5"/>
      <c r="BD145" s="5"/>
      <c r="BF145" s="5"/>
      <c r="BG145" s="5"/>
      <c r="BH145" s="5"/>
      <c r="BI145" s="5"/>
      <c r="BM145" s="5"/>
      <c r="BN145" s="5"/>
      <c r="BP145" s="5"/>
      <c r="BQ145" s="5"/>
      <c r="BR145" s="5"/>
      <c r="BS145" s="5"/>
      <c r="BU145" s="5"/>
      <c r="BV145" s="5"/>
      <c r="BW145" s="5"/>
      <c r="BX145" s="5"/>
      <c r="BZ145" s="5"/>
      <c r="CA145" s="5"/>
      <c r="CB145" s="5"/>
      <c r="CC145" s="5"/>
      <c r="CE145" s="5"/>
      <c r="CF145" s="5"/>
      <c r="CG145" s="5"/>
      <c r="CH145" s="5"/>
      <c r="CO145" s="13"/>
      <c r="CP145" s="5"/>
      <c r="CQ145" s="5"/>
      <c r="CR145" s="5"/>
      <c r="CT145" s="5"/>
      <c r="CU145" s="5"/>
      <c r="CV145" s="5"/>
      <c r="CW145" s="5"/>
      <c r="CY145" s="5"/>
      <c r="CZ145" s="5"/>
      <c r="DA145" s="5"/>
      <c r="DB145" s="5"/>
      <c r="DD145" s="5"/>
      <c r="DE145" s="5"/>
      <c r="DF145" s="5"/>
      <c r="DG145" s="5"/>
      <c r="DI145" s="5"/>
      <c r="DJ145" s="5"/>
      <c r="DK145" s="5"/>
      <c r="DL145" s="5"/>
      <c r="DN145" s="5"/>
      <c r="DO145" s="5"/>
      <c r="DP145" s="5"/>
      <c r="DQ145" s="5"/>
      <c r="DS145" s="5"/>
      <c r="DT145" s="5"/>
      <c r="DU145" s="5"/>
      <c r="DV145" s="5"/>
      <c r="DX145" s="5"/>
      <c r="DY145" s="5"/>
      <c r="DZ145" s="5"/>
      <c r="EA145" s="5"/>
      <c r="EC145" s="5"/>
      <c r="ED145" s="5"/>
      <c r="EE145" s="5"/>
      <c r="EF145" s="5"/>
      <c r="EH145" s="5"/>
      <c r="EI145" s="5"/>
      <c r="EJ145" s="5"/>
      <c r="EK145" s="5"/>
      <c r="EN145" s="6">
        <f>SUM(EP$6:EQ$6)+SUM(EN5:EO5)*4</f>
        <v>0</v>
      </c>
      <c r="EX145" s="659">
        <f t="shared" si="0"/>
        <v>0</v>
      </c>
    </row>
    <row r="146" spans="1:154" s="6" customFormat="1" ht="15" customHeight="1">
      <c r="A146" s="3" t="s">
        <v>57</v>
      </c>
      <c r="B146" s="210" t="s">
        <v>1177</v>
      </c>
      <c r="C146" s="473" t="s">
        <v>515</v>
      </c>
      <c r="D146" s="138"/>
      <c r="E146" s="5"/>
      <c r="F146" s="5"/>
      <c r="G146" s="5"/>
      <c r="H146" s="5"/>
      <c r="I146" s="4"/>
      <c r="J146" s="4"/>
      <c r="K146" s="4"/>
      <c r="L146" s="4"/>
      <c r="M146" s="4"/>
      <c r="N146" s="4"/>
      <c r="O146" s="4"/>
      <c r="P146" s="4"/>
      <c r="Q146" s="4"/>
      <c r="R146" s="5"/>
      <c r="S146" s="5"/>
      <c r="U146" s="5"/>
      <c r="W146" s="5"/>
      <c r="X146" s="5"/>
      <c r="Y146" s="5"/>
      <c r="Z146" s="5"/>
      <c r="AB146" s="5"/>
      <c r="AC146" s="5"/>
      <c r="AD146" s="5"/>
      <c r="AE146" s="5"/>
      <c r="AG146" s="5"/>
      <c r="AH146" s="5"/>
      <c r="AI146" s="5"/>
      <c r="AJ146" s="5"/>
      <c r="AL146" s="5"/>
      <c r="AM146" s="5"/>
      <c r="AN146" s="5"/>
      <c r="AO146" s="5"/>
      <c r="AQ146" s="5"/>
      <c r="AR146" s="5"/>
      <c r="AS146" s="5"/>
      <c r="AT146" s="5"/>
      <c r="BD146" s="5"/>
      <c r="BF146" s="5"/>
      <c r="BG146" s="5"/>
      <c r="BH146" s="5"/>
      <c r="BI146" s="5"/>
      <c r="BM146" s="5"/>
      <c r="BN146" s="5"/>
      <c r="BP146" s="5"/>
      <c r="BQ146" s="5"/>
      <c r="BR146" s="5"/>
      <c r="BS146" s="5"/>
      <c r="BU146" s="5"/>
      <c r="BV146" s="5"/>
      <c r="BW146" s="5"/>
      <c r="BX146" s="5"/>
      <c r="BZ146" s="5"/>
      <c r="CA146" s="5"/>
      <c r="CB146" s="5"/>
      <c r="CC146" s="5"/>
      <c r="CE146" s="5"/>
      <c r="CF146" s="5"/>
      <c r="CG146" s="5"/>
      <c r="CH146" s="5"/>
      <c r="CO146" s="13"/>
      <c r="CP146" s="5"/>
      <c r="CQ146" s="5"/>
      <c r="CR146" s="5"/>
      <c r="CT146" s="5"/>
      <c r="CU146" s="5"/>
      <c r="CV146" s="5"/>
      <c r="CW146" s="5"/>
      <c r="CY146" s="5"/>
      <c r="CZ146" s="5"/>
      <c r="DA146" s="5"/>
      <c r="DB146" s="5"/>
      <c r="DD146" s="5"/>
      <c r="DE146" s="5"/>
      <c r="DF146" s="5"/>
      <c r="DG146" s="5"/>
      <c r="DI146" s="5"/>
      <c r="DJ146" s="5"/>
      <c r="DK146" s="5"/>
      <c r="DL146" s="5"/>
      <c r="DN146" s="5"/>
      <c r="DO146" s="5"/>
      <c r="DP146" s="5"/>
      <c r="DQ146" s="5"/>
      <c r="DS146" s="5"/>
      <c r="DT146" s="5"/>
      <c r="DU146" s="5"/>
      <c r="DV146" s="5"/>
      <c r="DX146" s="5"/>
      <c r="DY146" s="5"/>
      <c r="DZ146" s="5"/>
      <c r="EA146" s="5"/>
      <c r="EC146" s="5"/>
      <c r="ED146" s="5"/>
      <c r="EE146" s="5"/>
      <c r="EF146" s="5"/>
      <c r="EH146" s="5"/>
      <c r="EI146" s="5"/>
      <c r="EJ146" s="5"/>
      <c r="EK146" s="5"/>
      <c r="EN146" s="6">
        <f>SUM(EN$6:EO$6,EU6,EW6)*4</f>
        <v>0</v>
      </c>
      <c r="EX146" s="659">
        <f t="shared" si="0"/>
        <v>0</v>
      </c>
    </row>
    <row r="147" spans="1:154" s="6" customFormat="1" ht="15" customHeight="1">
      <c r="A147" s="3" t="s">
        <v>189</v>
      </c>
      <c r="B147" s="210" t="s">
        <v>1171</v>
      </c>
      <c r="C147" s="473" t="s">
        <v>515</v>
      </c>
      <c r="D147" s="138"/>
      <c r="E147" s="5"/>
      <c r="F147" s="5">
        <f>SUM(F5:F26)*E147</f>
        <v>0</v>
      </c>
      <c r="G147" s="5"/>
      <c r="H147" s="5"/>
      <c r="I147" s="4"/>
      <c r="J147" s="4"/>
      <c r="K147" s="4"/>
      <c r="L147" s="4"/>
      <c r="M147" s="658">
        <v>6</v>
      </c>
      <c r="N147" s="658">
        <f>SUM(N5:N26)*M147</f>
        <v>0</v>
      </c>
      <c r="O147" s="4"/>
      <c r="P147" s="4"/>
      <c r="Q147" s="4"/>
      <c r="R147" s="5"/>
      <c r="S147" s="5"/>
      <c r="U147" s="5"/>
      <c r="W147" s="5"/>
      <c r="X147" s="5"/>
      <c r="Y147" s="5"/>
      <c r="Z147" s="5"/>
      <c r="AB147" s="5"/>
      <c r="AC147" s="5"/>
      <c r="AD147" s="5"/>
      <c r="AE147" s="5"/>
      <c r="AG147" s="5">
        <v>3</v>
      </c>
      <c r="AH147" s="5">
        <f>SUM(AH5:AH26)*AG147</f>
        <v>0</v>
      </c>
      <c r="AI147" s="5"/>
      <c r="AJ147" s="5"/>
      <c r="AL147" s="5">
        <v>6</v>
      </c>
      <c r="AM147" s="5">
        <f>SUM(AM5:AM26)*AL147</f>
        <v>0</v>
      </c>
      <c r="AN147" s="5"/>
      <c r="AO147" s="5"/>
      <c r="AQ147" s="5">
        <v>6</v>
      </c>
      <c r="AR147" s="5">
        <f>SUM(AR5:AR26)*AQ147</f>
        <v>0</v>
      </c>
      <c r="AS147" s="5"/>
      <c r="AT147" s="5"/>
      <c r="BD147" s="5"/>
      <c r="BF147" s="5">
        <v>3</v>
      </c>
      <c r="BG147" s="5">
        <f>SUM(BG5:BG26)*BF147</f>
        <v>0</v>
      </c>
      <c r="BH147" s="5"/>
      <c r="BI147" s="5"/>
      <c r="BK147" s="6">
        <v>3</v>
      </c>
      <c r="BL147" s="5">
        <f>SUM(BL5:BL26)*BK147</f>
        <v>0</v>
      </c>
      <c r="BM147" s="5"/>
      <c r="BN147" s="5"/>
      <c r="BP147" s="5">
        <v>3</v>
      </c>
      <c r="BQ147" s="5">
        <f>SUM(BQ5:BQ26)*BP147</f>
        <v>0</v>
      </c>
      <c r="BR147" s="5"/>
      <c r="BS147" s="5"/>
      <c r="BU147" s="5">
        <v>3</v>
      </c>
      <c r="BV147" s="5">
        <f>SUM(BV5:BV26)*BU147</f>
        <v>0</v>
      </c>
      <c r="BW147" s="5"/>
      <c r="BX147" s="5"/>
      <c r="BZ147" s="5">
        <v>6</v>
      </c>
      <c r="CA147" s="5">
        <f>SUM(CA5:CA26)*BZ147</f>
        <v>0</v>
      </c>
      <c r="CB147" s="5"/>
      <c r="CC147" s="5"/>
      <c r="CE147" s="5">
        <v>6</v>
      </c>
      <c r="CF147" s="5">
        <f>SUM(CF5:CF26)*CE147</f>
        <v>0</v>
      </c>
      <c r="CG147" s="5"/>
      <c r="CH147" s="5"/>
      <c r="CJ147" s="6">
        <v>3</v>
      </c>
      <c r="CK147" s="6">
        <f>CK5*CJ147+CK6*CJ147+CK7*CJ147+CK8*CJ147+CK9*CJ147+CK10*CJ147+CK11*CJ147+CK12*CJ147+CK13*CJ147+CK14*CJ147+CK15*CJ147+CK16*CJ147+CK17*CJ147+CK18*CJ147+CK19*CJ147+CK20*CJ147+CK21*CJ147+CK22*CJ147+CK23*CJ147+CK24*CJ147+CK25*CJ147+CK26*CJ147</f>
        <v>0</v>
      </c>
      <c r="CO147" s="13">
        <v>6</v>
      </c>
      <c r="CP147" s="5">
        <f>CP5*CO147+CP6*CO147+CP7*CO147+CP8*CO147+CP9*CO147+CP10*CO147+CP11*CO147+CP12*CO147+CP13*CO147+CP14*CO147+CP15*CO147+CP16*CO147+CP17*CO147+CP18*CO147+CP19*CO147+CP20*CO147+CP21*CO147+CP22*CO147+CP23*CO147+CP24*CO147+CP25*CO147+CP26*CO147</f>
        <v>0</v>
      </c>
      <c r="CQ147" s="5"/>
      <c r="CR147" s="5"/>
      <c r="CT147" s="5">
        <v>6</v>
      </c>
      <c r="CU147" s="5">
        <f>SUM(CU5:CU26)*CT147</f>
        <v>0</v>
      </c>
      <c r="CV147" s="5"/>
      <c r="CW147" s="5"/>
      <c r="CY147" s="5">
        <v>6</v>
      </c>
      <c r="CZ147" s="5">
        <f>SUM(CZ5:CZ26)*CY147</f>
        <v>0</v>
      </c>
      <c r="DA147" s="5"/>
      <c r="DB147" s="5"/>
      <c r="DD147" s="5">
        <v>6</v>
      </c>
      <c r="DE147" s="5">
        <f>SUM(DE5:DE26)*DD147</f>
        <v>0</v>
      </c>
      <c r="DF147" s="5"/>
      <c r="DG147" s="5"/>
      <c r="DI147" s="5"/>
      <c r="DJ147" s="5">
        <f>SUM(DJ5:DJ26)*DI147</f>
        <v>0</v>
      </c>
      <c r="DK147" s="5"/>
      <c r="DL147" s="5"/>
      <c r="DN147" s="5"/>
      <c r="DO147" s="5">
        <f>SUM(DO5:DO26)*DN147</f>
        <v>0</v>
      </c>
      <c r="DP147" s="5"/>
      <c r="DQ147" s="5"/>
      <c r="DS147" s="5">
        <v>3</v>
      </c>
      <c r="DT147" s="5">
        <f>SUM(DT5:DT26)*DS147</f>
        <v>0</v>
      </c>
      <c r="DU147" s="5"/>
      <c r="DV147" s="5"/>
      <c r="DX147" s="5">
        <v>3</v>
      </c>
      <c r="DY147" s="5">
        <f>SUM(DY5:DY26)*DX147</f>
        <v>0</v>
      </c>
      <c r="DZ147" s="5"/>
      <c r="EA147" s="5"/>
      <c r="EC147" s="5">
        <v>3</v>
      </c>
      <c r="ED147" s="5">
        <f>SUM(ED5:ED26)*EC147</f>
        <v>0</v>
      </c>
      <c r="EE147" s="5"/>
      <c r="EF147" s="5"/>
      <c r="EH147" s="5">
        <v>3</v>
      </c>
      <c r="EI147" s="5">
        <f>SUM(EI5:EI26)*EH147</f>
        <v>0</v>
      </c>
      <c r="EJ147" s="5"/>
      <c r="EK147" s="5"/>
      <c r="EN147" s="6">
        <f>SUM(ET6+EV6)*4</f>
        <v>0</v>
      </c>
      <c r="EX147" s="659">
        <f t="shared" si="0"/>
        <v>0</v>
      </c>
    </row>
    <row r="148" spans="1:154" s="6" customFormat="1" ht="15" customHeight="1">
      <c r="A148" s="3" t="s">
        <v>190</v>
      </c>
      <c r="B148" s="210" t="s">
        <v>1172</v>
      </c>
      <c r="C148" s="473" t="s">
        <v>515</v>
      </c>
      <c r="D148" s="138"/>
      <c r="E148" s="5"/>
      <c r="F148" s="5">
        <f>SUM(G5:G26)*E148</f>
        <v>0</v>
      </c>
      <c r="G148" s="5"/>
      <c r="H148" s="5"/>
      <c r="I148" s="4"/>
      <c r="J148" s="4"/>
      <c r="K148" s="4"/>
      <c r="L148" s="4"/>
      <c r="M148" s="658">
        <v>6</v>
      </c>
      <c r="N148" s="658">
        <f>SUM(O5:O26)*M148</f>
        <v>0</v>
      </c>
      <c r="O148" s="4"/>
      <c r="P148" s="4"/>
      <c r="Q148" s="4"/>
      <c r="R148" s="5"/>
      <c r="S148" s="5"/>
      <c r="U148" s="5"/>
      <c r="W148" s="5"/>
      <c r="X148" s="5"/>
      <c r="Y148" s="5"/>
      <c r="Z148" s="5"/>
      <c r="AB148" s="5"/>
      <c r="AC148" s="5"/>
      <c r="AD148" s="5"/>
      <c r="AE148" s="5"/>
      <c r="AG148" s="5">
        <v>3</v>
      </c>
      <c r="AH148" s="5">
        <f>SUM(AI5:AI26)*AG148</f>
        <v>0</v>
      </c>
      <c r="AI148" s="5"/>
      <c r="AJ148" s="5"/>
      <c r="AL148" s="5">
        <v>6</v>
      </c>
      <c r="AM148" s="5">
        <f>SUM(AN5:AN26)*AL148</f>
        <v>0</v>
      </c>
      <c r="AN148" s="5"/>
      <c r="AO148" s="5"/>
      <c r="AQ148" s="5">
        <v>6</v>
      </c>
      <c r="AR148" s="5">
        <f>SUM(AS5:AS26)*AQ148</f>
        <v>0</v>
      </c>
      <c r="AS148" s="5"/>
      <c r="AT148" s="5"/>
      <c r="BD148" s="5"/>
      <c r="BF148" s="5">
        <v>3</v>
      </c>
      <c r="BG148" s="5">
        <f>SUM(BH5:BH26)*BF148</f>
        <v>0</v>
      </c>
      <c r="BH148" s="5"/>
      <c r="BI148" s="5"/>
      <c r="BK148" s="6">
        <v>3</v>
      </c>
      <c r="BL148" s="5">
        <f>SUM(BM5:BM26)*BK148</f>
        <v>0</v>
      </c>
      <c r="BM148" s="5"/>
      <c r="BN148" s="5"/>
      <c r="BP148" s="5">
        <v>3</v>
      </c>
      <c r="BQ148" s="5">
        <f>SUM(BR5:BR26)*BP148</f>
        <v>0</v>
      </c>
      <c r="BR148" s="5"/>
      <c r="BS148" s="5"/>
      <c r="BU148" s="5">
        <v>3</v>
      </c>
      <c r="BV148" s="5">
        <f>SUM(BW5:BW26)*BU148</f>
        <v>0</v>
      </c>
      <c r="BW148" s="5"/>
      <c r="BX148" s="5"/>
      <c r="BZ148" s="5">
        <v>6</v>
      </c>
      <c r="CA148" s="5">
        <f>SUM(CB5:CB26)*BZ148</f>
        <v>0</v>
      </c>
      <c r="CB148" s="5"/>
      <c r="CC148" s="5"/>
      <c r="CE148" s="5">
        <v>6</v>
      </c>
      <c r="CF148" s="5">
        <f>SUM(CG5:CG26)*CE148</f>
        <v>0</v>
      </c>
      <c r="CG148" s="5"/>
      <c r="CH148" s="5"/>
      <c r="CJ148" s="6">
        <v>3</v>
      </c>
      <c r="CK148" s="6">
        <f>CL5*CJ148+CL6*CJ148+CL7*CJ148+CL8*CJ148+CL9*CJ148+CL10*CJ148+CL11*CJ148+CL12*CJ148+CL13*CJ148+CL14*CJ148+CL15*CJ148+CL16*CJ148+CL17*CJ148+CL18*CJ148+CL19*CJ148+CL20*CJ148+CL21*CJ148+CL22*CJ148+CL23*CJ148+CL24*CJ148+CL25*CJ148+CL26*CJ148</f>
        <v>0</v>
      </c>
      <c r="CO148" s="13">
        <v>6</v>
      </c>
      <c r="CP148" s="5">
        <f>CQ5*CO148+CQ6*CO148+CQ7*CO148+CQ8*CO148+CQ9*CO148+CQ10*CO148+CQ11*CO148+CQ12*CO148+CQ13*CO148+CQ14*CO148+CQ15*CO148+CQ16*CO148+CQ17*CO148+CQ18*CO148+CQ19*CO148+CQ20*CO148+CQ21*CO148+CQ22*CO148+CQ23*CO148+CQ24*CO148+CQ25*CO148+CQ26*CO148</f>
        <v>0</v>
      </c>
      <c r="CQ148" s="5"/>
      <c r="CR148" s="5"/>
      <c r="CT148" s="5">
        <v>6</v>
      </c>
      <c r="CU148" s="5">
        <f>SUM(CV5:CV26)*CT148</f>
        <v>0</v>
      </c>
      <c r="CV148" s="5"/>
      <c r="CW148" s="5"/>
      <c r="CY148" s="5">
        <v>6</v>
      </c>
      <c r="CZ148" s="5">
        <f>SUM(DA5:DA26)*CY148</f>
        <v>0</v>
      </c>
      <c r="DA148" s="5"/>
      <c r="DB148" s="5"/>
      <c r="DD148" s="5">
        <v>6</v>
      </c>
      <c r="DE148" s="5">
        <f>SUM(DF5:DF26)*DD148</f>
        <v>0</v>
      </c>
      <c r="DF148" s="5"/>
      <c r="DG148" s="5"/>
      <c r="DI148" s="5"/>
      <c r="DJ148" s="5">
        <f>SUM(DK5:DK26)*DI148</f>
        <v>0</v>
      </c>
      <c r="DK148" s="5"/>
      <c r="DL148" s="5"/>
      <c r="DN148" s="5"/>
      <c r="DO148" s="5">
        <f>SUM(DP5:DP26)*DN148</f>
        <v>0</v>
      </c>
      <c r="DP148" s="5"/>
      <c r="DQ148" s="5"/>
      <c r="DS148" s="5">
        <v>3</v>
      </c>
      <c r="DT148" s="5">
        <f>SUM(DU5:DU26)*DS148</f>
        <v>0</v>
      </c>
      <c r="DU148" s="5"/>
      <c r="DV148" s="5"/>
      <c r="DX148" s="5">
        <v>3</v>
      </c>
      <c r="DY148" s="5">
        <f>SUM(DZ5:DZ26)*DX148</f>
        <v>0</v>
      </c>
      <c r="DZ148" s="5"/>
      <c r="EA148" s="5"/>
      <c r="EC148" s="5">
        <v>3</v>
      </c>
      <c r="ED148" s="5">
        <f>SUM(EE5:EE26)*EC148</f>
        <v>0</v>
      </c>
      <c r="EE148" s="5"/>
      <c r="EF148" s="5"/>
      <c r="EH148" s="5">
        <v>3</v>
      </c>
      <c r="EI148" s="5">
        <f>SUM(EJ5:EJ26)*EH148</f>
        <v>0</v>
      </c>
      <c r="EJ148" s="5"/>
      <c r="EK148" s="5"/>
      <c r="EN148" s="44"/>
      <c r="ES148" s="44"/>
      <c r="ET148" s="44"/>
      <c r="EU148" s="44"/>
      <c r="EV148" s="44"/>
      <c r="EW148" s="44"/>
      <c r="EX148" s="659">
        <f t="shared" si="0"/>
        <v>0</v>
      </c>
    </row>
    <row r="149" spans="1:154" s="6" customFormat="1" ht="15" customHeight="1">
      <c r="A149" s="3" t="s">
        <v>191</v>
      </c>
      <c r="B149" s="210" t="s">
        <v>1173</v>
      </c>
      <c r="C149" s="473" t="s">
        <v>515</v>
      </c>
      <c r="D149" s="138"/>
      <c r="E149" s="5"/>
      <c r="F149" s="5">
        <f>SUM(H5:H26)*E149</f>
        <v>0</v>
      </c>
      <c r="G149" s="5"/>
      <c r="H149" s="5"/>
      <c r="I149" s="4"/>
      <c r="J149" s="4"/>
      <c r="K149" s="4"/>
      <c r="L149" s="4"/>
      <c r="M149" s="658">
        <v>6</v>
      </c>
      <c r="N149" s="658">
        <f>SUM(P5:P26)*M149</f>
        <v>0</v>
      </c>
      <c r="O149" s="4"/>
      <c r="P149" s="4"/>
      <c r="Q149" s="4"/>
      <c r="R149" s="5"/>
      <c r="S149" s="5"/>
      <c r="U149" s="5"/>
      <c r="W149" s="5"/>
      <c r="X149" s="5"/>
      <c r="Y149" s="5"/>
      <c r="Z149" s="5"/>
      <c r="AB149" s="5"/>
      <c r="AC149" s="5"/>
      <c r="AD149" s="5"/>
      <c r="AE149" s="5"/>
      <c r="AG149" s="5">
        <v>3</v>
      </c>
      <c r="AH149" s="5">
        <f>SUM(AJ5:AJ26)*AG149</f>
        <v>0</v>
      </c>
      <c r="AI149" s="5"/>
      <c r="AJ149" s="5"/>
      <c r="AL149" s="5">
        <v>6</v>
      </c>
      <c r="AM149" s="5">
        <f>SUM(AO5:AO26)*AL149</f>
        <v>0</v>
      </c>
      <c r="AN149" s="5"/>
      <c r="AO149" s="5"/>
      <c r="AQ149" s="5">
        <v>6</v>
      </c>
      <c r="AR149" s="5">
        <f>SUM(AT5:AT26)*AQ149</f>
        <v>0</v>
      </c>
      <c r="AS149" s="5"/>
      <c r="AT149" s="5"/>
      <c r="BD149" s="5"/>
      <c r="BF149" s="5">
        <v>3</v>
      </c>
      <c r="BG149" s="5">
        <f>SUM(BI5:BI26)*BF149</f>
        <v>0</v>
      </c>
      <c r="BH149" s="5"/>
      <c r="BI149" s="5"/>
      <c r="BK149" s="6">
        <v>3</v>
      </c>
      <c r="BL149" s="5">
        <f>SUM(BN5:BN26)*BK149</f>
        <v>0</v>
      </c>
      <c r="BM149" s="5"/>
      <c r="BN149" s="5"/>
      <c r="BP149" s="5">
        <v>3</v>
      </c>
      <c r="BQ149" s="5">
        <f>SUM(BS5:BS26)*BP149</f>
        <v>0</v>
      </c>
      <c r="BR149" s="5"/>
      <c r="BS149" s="5"/>
      <c r="BU149" s="5">
        <v>3</v>
      </c>
      <c r="BV149" s="5">
        <f>SUM(BX5:BX26)*BU149</f>
        <v>0</v>
      </c>
      <c r="BW149" s="5"/>
      <c r="BX149" s="5"/>
      <c r="BZ149" s="5">
        <v>6</v>
      </c>
      <c r="CA149" s="5">
        <f>SUM(CC5:CC26)*BZ149</f>
        <v>0</v>
      </c>
      <c r="CB149" s="5"/>
      <c r="CC149" s="5"/>
      <c r="CE149" s="5">
        <v>6</v>
      </c>
      <c r="CF149" s="5">
        <f>SUM(CH5:CH26)*CE149</f>
        <v>0</v>
      </c>
      <c r="CG149" s="5"/>
      <c r="CH149" s="5"/>
      <c r="CJ149" s="6">
        <v>3</v>
      </c>
      <c r="CK149" s="6">
        <f>CM6*CJ149+CM7*CJ149+CM8*CJ149+CM9*CJ149+CM10*CJ149+CM11*CJ149+CM12*CJ149+CM13*CJ149+CM14*CJ149+CM15*CJ149+CM16*CJ149+CM17*CJ149+CM18*CJ149+CM19*CJ149+CM20*CJ149+CM21*CJ149+CM22*CJ149+CM23*CJ149+CM24*CJ149+CM25*CJ149+CM26*CJ149+CM5*CJ149</f>
        <v>0</v>
      </c>
      <c r="CO149" s="13">
        <v>6</v>
      </c>
      <c r="CP149" s="5">
        <f>CR6*CO149+CR7*CO149+CR8*CO149+CR9*CO149+CR10*CO149+CR11*CO149+CR12*CO149+CR13*CO149+CR14*CO149+CR15*CO149+CR16*CO149+CR17*CO149+CR18*CO149+CR19*CO149+CR20*CO149+CR21*CO149+CR22*CO149+CR23*CO149+CR24*CO149+CR25*CO149+CR26*CO149+CR5*CO149</f>
        <v>0</v>
      </c>
      <c r="CQ149" s="5"/>
      <c r="CR149" s="5"/>
      <c r="CT149" s="5">
        <v>6</v>
      </c>
      <c r="CU149" s="5">
        <f>SUM(CW5:CW26)*CT149</f>
        <v>0</v>
      </c>
      <c r="CV149" s="5"/>
      <c r="CW149" s="5"/>
      <c r="CY149" s="5">
        <v>6</v>
      </c>
      <c r="CZ149" s="5">
        <f>SUM(DB5:DB26)*CY149</f>
        <v>0</v>
      </c>
      <c r="DA149" s="5"/>
      <c r="DB149" s="5"/>
      <c r="DD149" s="5">
        <v>6</v>
      </c>
      <c r="DE149" s="5">
        <f>SUM(DG5:DG26)*DD149</f>
        <v>0</v>
      </c>
      <c r="DF149" s="5"/>
      <c r="DG149" s="5"/>
      <c r="DI149" s="5"/>
      <c r="DJ149" s="5">
        <f>SUM(DL5:DL26)*DI149</f>
        <v>0</v>
      </c>
      <c r="DK149" s="5"/>
      <c r="DL149" s="5"/>
      <c r="DN149" s="5"/>
      <c r="DO149" s="5">
        <f>SUM(DQ5:DQ26)*DN149</f>
        <v>0</v>
      </c>
      <c r="DP149" s="5"/>
      <c r="DQ149" s="5"/>
      <c r="DS149" s="5">
        <v>3</v>
      </c>
      <c r="DT149" s="5">
        <f>SUM(DV5:DV26)*DS149</f>
        <v>0</v>
      </c>
      <c r="DU149" s="5"/>
      <c r="DV149" s="5"/>
      <c r="DX149" s="5">
        <v>3</v>
      </c>
      <c r="DY149" s="5">
        <f>SUM(EA5:EA26)*DX149</f>
        <v>0</v>
      </c>
      <c r="DZ149" s="5"/>
      <c r="EA149" s="5"/>
      <c r="EC149" s="5">
        <v>3</v>
      </c>
      <c r="ED149" s="5">
        <f>SUM(EF5:EF26)*EC149</f>
        <v>0</v>
      </c>
      <c r="EE149" s="5"/>
      <c r="EF149" s="5"/>
      <c r="EH149" s="5">
        <v>3</v>
      </c>
      <c r="EI149" s="5">
        <f>SUM(EK5:EK26)*EH149</f>
        <v>0</v>
      </c>
      <c r="EJ149" s="5"/>
      <c r="EK149" s="5"/>
      <c r="EN149" s="44"/>
      <c r="ES149" s="44"/>
      <c r="ET149" s="44"/>
      <c r="EU149" s="44"/>
      <c r="EV149" s="44"/>
      <c r="EW149" s="44"/>
      <c r="EX149" s="659">
        <f t="shared" si="0"/>
        <v>0</v>
      </c>
    </row>
    <row r="150" spans="1:154" s="6" customFormat="1" ht="15" customHeight="1">
      <c r="A150" s="3" t="s">
        <v>316</v>
      </c>
      <c r="B150" s="210" t="s">
        <v>1174</v>
      </c>
      <c r="C150" s="473" t="s">
        <v>515</v>
      </c>
      <c r="D150" s="138"/>
      <c r="E150" s="5"/>
      <c r="F150" s="5"/>
      <c r="G150" s="5"/>
      <c r="H150" s="5"/>
      <c r="I150" s="4"/>
      <c r="J150" s="4"/>
      <c r="K150" s="4"/>
      <c r="L150" s="4"/>
      <c r="M150" s="4"/>
      <c r="N150" s="4"/>
      <c r="O150" s="4"/>
      <c r="P150" s="4"/>
      <c r="Q150" s="4"/>
      <c r="R150" s="5"/>
      <c r="S150" s="5"/>
      <c r="U150" s="5"/>
      <c r="W150" s="5"/>
      <c r="X150" s="5"/>
      <c r="Y150" s="5"/>
      <c r="Z150" s="5"/>
      <c r="AB150" s="5"/>
      <c r="AC150" s="5"/>
      <c r="AD150" s="5"/>
      <c r="AE150" s="5"/>
      <c r="AG150" s="5"/>
      <c r="AH150" s="5"/>
      <c r="AI150" s="5"/>
      <c r="AJ150" s="5"/>
      <c r="AL150" s="5"/>
      <c r="AM150" s="5"/>
      <c r="AN150" s="5"/>
      <c r="AO150" s="5"/>
      <c r="AQ150" s="5"/>
      <c r="AR150" s="5"/>
      <c r="AS150" s="5"/>
      <c r="AT150" s="5"/>
      <c r="BD150" s="5"/>
      <c r="BF150" s="5"/>
      <c r="BG150" s="5"/>
      <c r="BH150" s="5"/>
      <c r="BI150" s="5"/>
      <c r="BM150" s="5"/>
      <c r="BN150" s="5"/>
      <c r="BP150" s="5"/>
      <c r="BQ150" s="5"/>
      <c r="BR150" s="5"/>
      <c r="BS150" s="5"/>
      <c r="BU150" s="5"/>
      <c r="BV150" s="5"/>
      <c r="BW150" s="5"/>
      <c r="BX150" s="5"/>
      <c r="BZ150" s="5"/>
      <c r="CA150" s="5"/>
      <c r="CB150" s="5"/>
      <c r="CC150" s="5"/>
      <c r="CE150" s="5"/>
      <c r="CF150" s="5"/>
      <c r="CG150" s="5"/>
      <c r="CH150" s="5"/>
      <c r="CO150" s="13"/>
      <c r="CP150" s="5"/>
      <c r="CQ150" s="5"/>
      <c r="CR150" s="5"/>
      <c r="CT150" s="5"/>
      <c r="CU150" s="5"/>
      <c r="CV150" s="5"/>
      <c r="CW150" s="5"/>
      <c r="CY150" s="5"/>
      <c r="CZ150" s="5"/>
      <c r="DA150" s="5"/>
      <c r="DB150" s="5"/>
      <c r="DD150" s="5"/>
      <c r="DE150" s="5"/>
      <c r="DF150" s="5"/>
      <c r="DG150" s="5"/>
      <c r="DI150" s="5"/>
      <c r="DJ150" s="5"/>
      <c r="DK150" s="5"/>
      <c r="DL150" s="5"/>
      <c r="DN150" s="5"/>
      <c r="DO150" s="5"/>
      <c r="DP150" s="5"/>
      <c r="DQ150" s="5"/>
      <c r="DS150" s="5"/>
      <c r="DT150" s="5"/>
      <c r="DU150" s="5"/>
      <c r="DV150" s="5"/>
      <c r="DX150" s="5"/>
      <c r="DY150" s="5"/>
      <c r="DZ150" s="5"/>
      <c r="EA150" s="5"/>
      <c r="EC150" s="5"/>
      <c r="ED150" s="5"/>
      <c r="EE150" s="5"/>
      <c r="EF150" s="5"/>
      <c r="EH150" s="5"/>
      <c r="EI150" s="5"/>
      <c r="EJ150" s="5"/>
      <c r="EK150" s="5"/>
      <c r="EN150" s="44"/>
      <c r="ES150" s="44"/>
      <c r="ET150" s="44"/>
      <c r="EU150" s="44"/>
      <c r="EV150" s="44"/>
      <c r="EW150" s="44"/>
      <c r="EX150" s="659">
        <f t="shared" si="0"/>
        <v>0</v>
      </c>
    </row>
    <row r="151" spans="1:154" s="6" customFormat="1" ht="15" customHeight="1">
      <c r="A151" s="3" t="s">
        <v>42</v>
      </c>
      <c r="B151" s="210" t="s">
        <v>42</v>
      </c>
      <c r="C151" s="473" t="s">
        <v>515</v>
      </c>
      <c r="D151" s="138"/>
      <c r="E151" s="5"/>
      <c r="F151" s="5"/>
      <c r="G151" s="5"/>
      <c r="H151" s="5"/>
      <c r="I151" s="4"/>
      <c r="J151" s="4"/>
      <c r="K151" s="4"/>
      <c r="L151" s="4"/>
      <c r="M151" s="4"/>
      <c r="N151" s="4"/>
      <c r="O151" s="4"/>
      <c r="P151" s="4"/>
      <c r="Q151" s="4"/>
      <c r="R151" s="5"/>
      <c r="S151" s="5"/>
      <c r="U151" s="5"/>
      <c r="W151" s="5"/>
      <c r="X151" s="5"/>
      <c r="Y151" s="5"/>
      <c r="Z151" s="5"/>
      <c r="AB151" s="5"/>
      <c r="AC151" s="5"/>
      <c r="AD151" s="5"/>
      <c r="AE151" s="5"/>
      <c r="AG151" s="5"/>
      <c r="AH151" s="5"/>
      <c r="AI151" s="5"/>
      <c r="AJ151" s="5"/>
      <c r="AL151" s="5"/>
      <c r="AM151" s="5"/>
      <c r="AN151" s="5"/>
      <c r="AO151" s="5"/>
      <c r="AQ151" s="5"/>
      <c r="AR151" s="5"/>
      <c r="AS151" s="5"/>
      <c r="AT151" s="5"/>
      <c r="BD151" s="5"/>
      <c r="BF151" s="5"/>
      <c r="BG151" s="5"/>
      <c r="BH151" s="5"/>
      <c r="BI151" s="5"/>
      <c r="BM151" s="5"/>
      <c r="BN151" s="5"/>
      <c r="BP151" s="5"/>
      <c r="BQ151" s="5"/>
      <c r="BR151" s="5"/>
      <c r="BS151" s="5"/>
      <c r="BU151" s="5"/>
      <c r="BV151" s="5"/>
      <c r="BW151" s="5"/>
      <c r="BX151" s="5"/>
      <c r="BZ151" s="5"/>
      <c r="CA151" s="5"/>
      <c r="CB151" s="5"/>
      <c r="CC151" s="5"/>
      <c r="CE151" s="5"/>
      <c r="CF151" s="5"/>
      <c r="CG151" s="5"/>
      <c r="CH151" s="5"/>
      <c r="CO151" s="13"/>
      <c r="CP151" s="5"/>
      <c r="CQ151" s="5"/>
      <c r="CR151" s="5"/>
      <c r="CT151" s="5"/>
      <c r="CU151" s="5"/>
      <c r="CV151" s="5"/>
      <c r="CW151" s="5"/>
      <c r="CY151" s="5"/>
      <c r="CZ151" s="5"/>
      <c r="DA151" s="5"/>
      <c r="DB151" s="5"/>
      <c r="DD151" s="5"/>
      <c r="DE151" s="5"/>
      <c r="DF151" s="5"/>
      <c r="DG151" s="5"/>
      <c r="DI151" s="5"/>
      <c r="DJ151" s="5"/>
      <c r="DK151" s="5"/>
      <c r="DL151" s="5"/>
      <c r="DN151" s="5"/>
      <c r="DO151" s="5"/>
      <c r="DP151" s="5"/>
      <c r="DQ151" s="5"/>
      <c r="DS151" s="5"/>
      <c r="DT151" s="5"/>
      <c r="DU151" s="5"/>
      <c r="DV151" s="5"/>
      <c r="DX151" s="5"/>
      <c r="DY151" s="5"/>
      <c r="DZ151" s="5"/>
      <c r="EA151" s="5"/>
      <c r="EC151" s="5"/>
      <c r="ED151" s="5"/>
      <c r="EE151" s="5"/>
      <c r="EF151" s="5"/>
      <c r="EH151" s="5"/>
      <c r="EI151" s="5"/>
      <c r="EJ151" s="5"/>
      <c r="EK151" s="5"/>
      <c r="EX151" s="659">
        <f t="shared" si="0"/>
        <v>0</v>
      </c>
    </row>
    <row r="152" spans="1:154" s="6" customFormat="1" ht="15" customHeight="1">
      <c r="A152" s="3" t="s">
        <v>36</v>
      </c>
      <c r="B152" s="210" t="s">
        <v>36</v>
      </c>
      <c r="C152" s="473" t="s">
        <v>516</v>
      </c>
      <c r="D152" s="138"/>
      <c r="E152" s="5"/>
      <c r="F152" s="5"/>
      <c r="G152" s="5"/>
      <c r="H152" s="5"/>
      <c r="I152" s="4"/>
      <c r="J152" s="4"/>
      <c r="K152" s="4"/>
      <c r="L152" s="4"/>
      <c r="M152" s="4"/>
      <c r="N152" s="4"/>
      <c r="O152" s="4"/>
      <c r="P152" s="4"/>
      <c r="Q152" s="4"/>
      <c r="R152" s="5"/>
      <c r="S152" s="5"/>
      <c r="T152" s="6">
        <f>C14*0.03</f>
        <v>0</v>
      </c>
      <c r="U152" s="5"/>
      <c r="W152" s="5"/>
      <c r="X152" s="5"/>
      <c r="Y152" s="5"/>
      <c r="Z152" s="5"/>
      <c r="AB152" s="5"/>
      <c r="AC152" s="5"/>
      <c r="AD152" s="5"/>
      <c r="AE152" s="5"/>
      <c r="AG152" s="5"/>
      <c r="AH152" s="5"/>
      <c r="AI152" s="5"/>
      <c r="AJ152" s="5"/>
      <c r="AL152" s="5"/>
      <c r="AM152" s="5"/>
      <c r="AN152" s="5"/>
      <c r="AO152" s="5"/>
      <c r="AQ152" s="5"/>
      <c r="AR152" s="5"/>
      <c r="AS152" s="5"/>
      <c r="AT152" s="5"/>
      <c r="BD152" s="5"/>
      <c r="BF152" s="5"/>
      <c r="BG152" s="5"/>
      <c r="BH152" s="5"/>
      <c r="BI152" s="5"/>
      <c r="BM152" s="5"/>
      <c r="BN152" s="5"/>
      <c r="BP152" s="5"/>
      <c r="BQ152" s="5"/>
      <c r="BR152" s="5"/>
      <c r="BS152" s="5"/>
      <c r="BU152" s="5"/>
      <c r="BV152" s="5"/>
      <c r="BW152" s="5"/>
      <c r="BX152" s="5"/>
      <c r="BZ152" s="5"/>
      <c r="CA152" s="5"/>
      <c r="CB152" s="5"/>
      <c r="CC152" s="5"/>
      <c r="CE152" s="5"/>
      <c r="CF152" s="5"/>
      <c r="CG152" s="5"/>
      <c r="CH152" s="5"/>
      <c r="CO152" s="13"/>
      <c r="CP152" s="5"/>
      <c r="CQ152" s="5"/>
      <c r="CR152" s="5"/>
      <c r="CT152" s="5"/>
      <c r="CU152" s="5"/>
      <c r="CV152" s="5"/>
      <c r="CW152" s="5"/>
      <c r="CY152" s="5"/>
      <c r="CZ152" s="5"/>
      <c r="DA152" s="5"/>
      <c r="DB152" s="5"/>
      <c r="DD152" s="5"/>
      <c r="DE152" s="5"/>
      <c r="DF152" s="5"/>
      <c r="DG152" s="5"/>
      <c r="DI152" s="5"/>
      <c r="DJ152" s="5"/>
      <c r="DK152" s="5"/>
      <c r="DL152" s="5"/>
      <c r="DN152" s="5"/>
      <c r="DO152" s="5"/>
      <c r="DP152" s="5"/>
      <c r="DQ152" s="5"/>
      <c r="DS152" s="5"/>
      <c r="DT152" s="5"/>
      <c r="DU152" s="5"/>
      <c r="DV152" s="5"/>
      <c r="DX152" s="5"/>
      <c r="DY152" s="5"/>
      <c r="DZ152" s="5"/>
      <c r="EA152" s="5"/>
      <c r="EC152" s="5"/>
      <c r="ED152" s="5"/>
      <c r="EE152" s="5"/>
      <c r="EF152" s="5"/>
      <c r="EH152" s="5"/>
      <c r="EI152" s="5"/>
      <c r="EJ152" s="5"/>
      <c r="EK152" s="5"/>
      <c r="EX152" s="659">
        <f t="shared" si="0"/>
        <v>0</v>
      </c>
    </row>
    <row r="153" spans="1:154" s="6" customFormat="1" ht="15" customHeight="1">
      <c r="A153" s="3" t="s">
        <v>1</v>
      </c>
      <c r="B153" s="210" t="s">
        <v>1</v>
      </c>
      <c r="C153" s="473" t="s">
        <v>515</v>
      </c>
      <c r="D153" s="138"/>
      <c r="E153" s="5"/>
      <c r="F153" s="5"/>
      <c r="G153" s="5"/>
      <c r="H153" s="5"/>
      <c r="I153" s="4"/>
      <c r="J153" s="4"/>
      <c r="K153" s="4"/>
      <c r="L153" s="4"/>
      <c r="M153" s="4"/>
      <c r="N153" s="4"/>
      <c r="O153" s="4"/>
      <c r="P153" s="4"/>
      <c r="Q153" s="4"/>
      <c r="R153" s="5"/>
      <c r="S153" s="5"/>
      <c r="U153" s="5"/>
      <c r="W153" s="5"/>
      <c r="X153" s="5"/>
      <c r="Y153" s="5"/>
      <c r="Z153" s="5"/>
      <c r="AB153" s="5"/>
      <c r="AC153" s="5"/>
      <c r="AD153" s="5"/>
      <c r="AE153" s="5"/>
      <c r="AG153" s="5"/>
      <c r="AH153" s="5"/>
      <c r="AI153" s="5"/>
      <c r="AJ153" s="5"/>
      <c r="AL153" s="5"/>
      <c r="AM153" s="5"/>
      <c r="AN153" s="5"/>
      <c r="AO153" s="5"/>
      <c r="AQ153" s="5"/>
      <c r="AR153" s="5"/>
      <c r="AS153" s="5"/>
      <c r="AT153" s="5"/>
      <c r="BD153" s="5"/>
      <c r="BF153" s="5"/>
      <c r="BG153" s="5"/>
      <c r="BH153" s="5"/>
      <c r="BI153" s="5"/>
      <c r="BM153" s="5"/>
      <c r="BN153" s="5"/>
      <c r="BP153" s="5"/>
      <c r="BQ153" s="5"/>
      <c r="BR153" s="5"/>
      <c r="BS153" s="5"/>
      <c r="BU153" s="5"/>
      <c r="BV153" s="5"/>
      <c r="BW153" s="5"/>
      <c r="BX153" s="5"/>
      <c r="BZ153" s="5"/>
      <c r="CA153" s="5"/>
      <c r="CB153" s="5"/>
      <c r="CC153" s="5"/>
      <c r="CE153" s="5"/>
      <c r="CF153" s="5"/>
      <c r="CG153" s="5"/>
      <c r="CH153" s="5"/>
      <c r="CO153" s="13"/>
      <c r="CP153" s="5"/>
      <c r="CQ153" s="5"/>
      <c r="CR153" s="5"/>
      <c r="CT153" s="5"/>
      <c r="CU153" s="5"/>
      <c r="CV153" s="5"/>
      <c r="CW153" s="5"/>
      <c r="CY153" s="5"/>
      <c r="CZ153" s="5"/>
      <c r="DA153" s="5"/>
      <c r="DB153" s="5"/>
      <c r="DD153" s="5"/>
      <c r="DE153" s="5"/>
      <c r="DF153" s="5"/>
      <c r="DG153" s="5"/>
      <c r="DI153" s="5"/>
      <c r="DJ153" s="5"/>
      <c r="DK153" s="5"/>
      <c r="DL153" s="5"/>
      <c r="DN153" s="5"/>
      <c r="DO153" s="5"/>
      <c r="DP153" s="5"/>
      <c r="DQ153" s="5"/>
      <c r="DS153" s="5"/>
      <c r="DT153" s="5"/>
      <c r="DU153" s="5"/>
      <c r="DV153" s="5"/>
      <c r="DX153" s="5"/>
      <c r="DY153" s="5"/>
      <c r="DZ153" s="5"/>
      <c r="EA153" s="5"/>
      <c r="EC153" s="5"/>
      <c r="ED153" s="5"/>
      <c r="EE153" s="5"/>
      <c r="EF153" s="5"/>
      <c r="EH153" s="5"/>
      <c r="EI153" s="5"/>
      <c r="EJ153" s="5"/>
      <c r="EK153" s="5"/>
      <c r="EN153" s="6">
        <f>SUM(EN5:EQ6,ET6:EW6)</f>
        <v>0</v>
      </c>
      <c r="EX153" s="659">
        <f t="shared" si="0"/>
        <v>0</v>
      </c>
    </row>
    <row r="154" spans="1:154" s="6" customFormat="1" ht="15" customHeight="1">
      <c r="A154" s="3" t="s">
        <v>2</v>
      </c>
      <c r="B154" s="210" t="s">
        <v>2</v>
      </c>
      <c r="C154" s="473" t="s">
        <v>515</v>
      </c>
      <c r="D154" s="138"/>
      <c r="E154" s="5"/>
      <c r="F154" s="5">
        <f>SUM(F5:F26,G5:G26,H5:H26)*E154</f>
        <v>0</v>
      </c>
      <c r="G154" s="5"/>
      <c r="H154" s="5"/>
      <c r="I154" s="4"/>
      <c r="J154" s="4">
        <v>1</v>
      </c>
      <c r="K154" s="658">
        <f>SUM(K5:K15)*J154</f>
        <v>0</v>
      </c>
      <c r="L154" s="4"/>
      <c r="M154" s="658">
        <v>4</v>
      </c>
      <c r="N154" s="658">
        <f>SUM(N5:N15,O5:O15,P5:P15)*M154</f>
        <v>0</v>
      </c>
      <c r="O154" s="4"/>
      <c r="P154" s="4"/>
      <c r="Q154" s="4"/>
      <c r="R154" s="5"/>
      <c r="S154" s="5"/>
      <c r="U154" s="5"/>
      <c r="W154" s="5">
        <v>2</v>
      </c>
      <c r="X154" s="5">
        <f>X5*W154+Y5*W154+X6*W154+Y6*W154+X7*W154+Y7*W154+X8*W154+Y8*W154+X9*W154+Y9*W154+X10*W154+Y10*W154+X11*W154+Y11*W154+X12*W154+Y12*W154+X13*W154+Y13*W154+X14*W154+Y14*W154+X15*W154+Y15*W154+Z5*W154+Z6*W154+Z7*W154+Z8*W154+Z9*W154+Z10*W154+Z11*W154+Z12*W154+Z13*W154+Z14*W154+Z14*W154+Z15*W154</f>
        <v>0</v>
      </c>
      <c r="Y154" s="5"/>
      <c r="Z154" s="5"/>
      <c r="AB154" s="5">
        <v>2</v>
      </c>
      <c r="AC154" s="5">
        <f>AC5*AB154+AD5*AB154+AC6*AB154+AD6*AB154+AC7*AB154+AD7*AB154+AC8*AB154+AD8*AB154+AC9*AB154+AD9*AB154+AC10*AB154+AD10*AB154+AC11*AB154+AD11*AB154+AC12*AB154+AD12*AB154+AC13*AB154+AD13*AB154+AC14*AB154+AD14*AB154+AC15*AB154+AD15*AB154+AE5*AB154+AE6*AB154+AE7*AB154+AE8*AB154+AE9*AB154+AE10*AB154+AE11*AB154+AE12*AB154+AE13*AB154+AE14*AB154+AE14*AB154+AE15*AB154</f>
        <v>0</v>
      </c>
      <c r="AD154" s="5"/>
      <c r="AE154" s="5"/>
      <c r="AG154" s="5">
        <v>3</v>
      </c>
      <c r="AH154" s="5">
        <f>AH5*AG154+AI5*AG154+AH6*AG154+AI6*AG154+AH7*AG154+AI7*AG154+AH8*AG154+AI8*AG154+AH9*AG154+AI9*AG154+AH10*AG154+AI10*AG154+AH11*AG154+AI11*AG154+AH12*AG154+AI12*AG154+AH13*AG154+AI13*AG154+AH14*AG154+AI14*AG154+AH15*AG154+AI15*AG154+AH26*AG154+AH16*AG154+AI16*AG154+AH17*AG154+AI17*AG154+AH18*AG154+AI18*AG154+AH19*AG154+AI19*AG154+AH20*AG154+AI20*AG154+AH21*AG154+AI21*AG154+AH22*AG154+AI22*AG154+AH23*AG154+AI23*AG154+AH24*AG154+AI24*AG154+AH25*AG154+AI25*AG154+AJ5*AG154+AJ6*AG154+AJ7*AG154+AJ8*AG154+AJ9*AG154+AJ10*AG154+AJ11*AG154+AJ12*AG154+AJ13*AG154+AJ14*AG154+AJ15*AG154+AJ16*AG154+AJ17*AG154+AJ18*AG154+AJ19*AG154+AJ20*AG154+AJ21*AG154+AJ22*AG154+AJ23*AG154+AJ24*AG154+AJ25*AG154+AJ26*AG154</f>
        <v>0</v>
      </c>
      <c r="AI154" s="5"/>
      <c r="AJ154" s="5"/>
      <c r="AL154" s="5">
        <v>6</v>
      </c>
      <c r="AM154" s="5">
        <f>AM5*AL154+AN5*AL154+AM6*AL154+AN6*AL154+AM7*AL154+AN7*AL154+AM8*AL154+AN8*AL154+AM9*AL154+AN9*AL154+AM10*AL154+AN10*AL154+AM11*AL154+AN11*AL154+AM12*AL154+AN12*AL154+AM13*AL154+AN13*AL154+AM14*AL154+AN14*AL154+AM15*AL154+AN15*AL154+AM26*AL154+AM16*AL154+AN16*AL154+AM17*AL154+AN17*AL154+AM18*AL154+AN18*AL154+AM19*AL154+AN19*AL154+AM20*AL154+AN20*AL154+AM21*AL154+AN21*AL154+AM22*AL154+AN22*AL154+AM23*AL154+AN23*AL154+AM24*AL154+AN24*AL154+AM25*AL154+AN25*AL154+AO5*AL154+AO6*AL154+AO7*AL154+AO8*AL154+AO9*AL154+AO10*AL154+AO11*AL154+AO12*AL154+AO13*AL154+AO14*AL154+AO15*AL154+AO16*AL154+AO17*AL154+AO18*AL154+AO19*AL154+AO20*AL154+AO21*AL154+AO22*AL154+AO23*AL154+AO24*AL154+AO25*AL154+AO26*AL154</f>
        <v>0</v>
      </c>
      <c r="AN154" s="5"/>
      <c r="AO154" s="5"/>
      <c r="AQ154" s="5"/>
      <c r="AR154" s="5"/>
      <c r="AS154" s="5"/>
      <c r="AT154" s="5"/>
      <c r="AV154" s="6" t="s">
        <v>155</v>
      </c>
      <c r="AW154" s="6">
        <f>SUM(AW5:AW15,AX5:AX15,AY5:AY15)*5+SUM(AW16:AW26,AX16:AX26,AY16:AY26)*3</f>
        <v>0</v>
      </c>
      <c r="BA154" s="6" t="s">
        <v>155</v>
      </c>
      <c r="BB154" s="6">
        <f>SUM(BB5:BB15,BC5:BC15,BD5:BD15)*5+SUM(BB16:BB26,BC16:BC26,BD16:BD26)*3</f>
        <v>0</v>
      </c>
      <c r="BD154" s="5"/>
      <c r="BF154" s="5">
        <v>11</v>
      </c>
      <c r="BG154" s="5">
        <f>SUM(BG5:BG26,BH5:BH26,BI5:BI26)*BF154</f>
        <v>0</v>
      </c>
      <c r="BH154" s="5"/>
      <c r="BI154" s="5"/>
      <c r="BK154" s="6">
        <v>11</v>
      </c>
      <c r="BL154" s="5">
        <f>SUM(BL5:BL26,BM5:BM26,BN5:BN26)*BK154</f>
        <v>0</v>
      </c>
      <c r="BM154" s="5"/>
      <c r="BN154" s="5"/>
      <c r="BP154" s="5">
        <v>11</v>
      </c>
      <c r="BQ154" s="5">
        <f>SUM(BQ5:BQ26,BR5:BR26,BS5:BS26)*BP154</f>
        <v>0</v>
      </c>
      <c r="BR154" s="5"/>
      <c r="BS154" s="5"/>
      <c r="BU154" s="5">
        <v>21</v>
      </c>
      <c r="BV154" s="5">
        <f>SUM(BV5:BV26,BW5:BW26,BX5:BX26)*BU154</f>
        <v>0</v>
      </c>
      <c r="BW154" s="5"/>
      <c r="BX154" s="5"/>
      <c r="BZ154" s="5">
        <v>22</v>
      </c>
      <c r="CA154" s="5">
        <f>SUM(CA5:CA26,CB5:CB26,CC5:CC26)*BZ154</f>
        <v>0</v>
      </c>
      <c r="CB154" s="5"/>
      <c r="CC154" s="5"/>
      <c r="CE154" s="5">
        <v>22</v>
      </c>
      <c r="CF154" s="5">
        <f>SUM(CF5:CF26,CG5:CG26,CH5:CH26)*CE154</f>
        <v>0</v>
      </c>
      <c r="CG154" s="5"/>
      <c r="CH154" s="5"/>
      <c r="CK154" s="6">
        <f>CK5*CJ154+CL5*CJ154+CK6*CJ154+CL6*CJ154+CK7*CJ154+CL7*CJ154+CK8*CJ154+CL8*CJ154+CK9*CJ154+CL9*CJ154+CK10*CJ154+CL10*CJ154+CK11*CJ154+CL11*CJ154+CK12*CJ154+CL12*CJ154+CK13*CJ154+CL13*CJ154+CK14*CJ154+CL14*CJ154+CK15*CJ154+CL15*CJ154+CK26*CJ154+CK26*CJ154+CK16*CJ154+CL16*CJ154+CK17*CJ154+CL17*CJ154+CK18*CJ154+CL18*CJ154+CK19*CJ154+CL19*CJ154+CK20*CJ154+CL20*CJ154+CK21*CJ154+CL21*CJ154+CK22*CJ154+CL22*CJ154+CK23*CJ154+CL23*CJ154+CK24*CJ154+CL24*CJ154+CK25*CJ154+CL25*CJ154+CM5*CJ154+CM6*CJ154+CM7*CJ154+CM8*CJ154+CM9*CJ154+CM10*CJ154+CM11*CJ154+CM12*CJ154+CM13*CJ154+CM14*CJ154+CM15*CJ154+CM16*CJ154+CM17*CJ154+CM18*CJ154+CM19*CJ154+CM20*CJ154+CM21*CJ154+CM22*CJ154+CM23*CJ154+CM24*CJ154+CM25*CJ154+CM26*CJ154</f>
        <v>0</v>
      </c>
      <c r="CO154" s="13">
        <v>8</v>
      </c>
      <c r="CP154" s="5">
        <f>CP5*CO154+CQ5*CO154+CP6*CO154+CQ6*CO154+CP7*CO154+CQ7*CO154+CP8*CO154+CQ8*CO154+CP9*CO154+CQ9*CO154+CP10*CO154+CQ10*CO154+CP11*CO154+CQ11*CO154+CP12*CO154+CQ12*CO154+CP13*CO154+CQ13*CO154+CP14*CO154+CQ14*CO154+CP15*CO154+CQ15*CO154+CP26*CO154+CP26*CO154+CP16*CO154+CQ16*CO154+CP17*CO154+CQ17*CO154+CP18*CO154+CQ18*CO154+CP19*CO154+CQ19*CO154+CP20*CO154+CQ20*CO154+CP21*CO154+CQ21*CO154+CP22*CO154+CQ22*CO154+CP23*CO154+CQ23*CO154+CP24*CO154+CQ24*CO154+CP25*CO154+CQ25*CO154+CR5*CO154+CR6*CO154+CR7*CO154+CR8*CO154+CR9*CO154+CR10*CO154+CR11*CO154+CR12*CO154+CR13*CO154+CR14*CO154+CR15*CO154+CR16*CO154+CR17*CO154+CR18*CO154+CR19*CO154+CR20*CO154+CR21*CO154+CR22*CO154+CR23*CO154+CR24*CO154+CR25*CO154+CR26*CO154</f>
        <v>0</v>
      </c>
      <c r="CQ154" s="5"/>
      <c r="CR154" s="5"/>
      <c r="CT154" s="5">
        <v>13</v>
      </c>
      <c r="CU154" s="5">
        <f>SUM(CU5:CU26,CV5:CV26,CW5:CW26)*CT154</f>
        <v>0</v>
      </c>
      <c r="CV154" s="5"/>
      <c r="CW154" s="5"/>
      <c r="CY154" s="5">
        <v>21</v>
      </c>
      <c r="CZ154" s="5">
        <f>SUM(CZ5:CZ26,DA5:DA26,DB5:DB26)*CY154</f>
        <v>0</v>
      </c>
      <c r="DA154" s="5"/>
      <c r="DB154" s="5"/>
      <c r="DD154" s="5">
        <v>6</v>
      </c>
      <c r="DE154" s="5">
        <f>DE5*DD154+DF5*DD154+DE6*DD154+DF6*DD154+DE7*DD154+DF7*DD154+DE8*DD154+DF8*DD154+DE9*DD154+DF9*DD154+DE10*DD154+DF10*DD154+DE11*DD154+DF11*DD154+DE12*DD154+DF12*DD154+DE13*DD154+DF13*DD154+DE14*DD154+DF14*DD154+DE15*DD154+DF15*DD154+DE26*DD154+DE26*DD154+DE16*DD154+DF16*DD154+DE17*DD154+DF17*DD154+DE18*DD154+DF18*DD154+DE19*DD154+DF19*DD154+DE20*DD154+DF20*DD154+DE21*DD154+DF21*DD154+DE22*DD154+DF22*DD154+DE23*DD154+DF23*DD154+DE24*DD154+DF24*DD154+DE25*DD154+DF25*DD154+DG5*DD154+DG6*DD154+DG7*DD154+DG8*DD154+DG9*DD154+DG10*DD154+DG11*DD154+DG12*DD154+DG13*DD154+DG14*DD154+DG15*DD154+DG16*DD154+DG17*DD154+DG18*DD154+DG19*DD154+DG20*DD154+DG21*DD154+DG22*DD154+DG23*DD154+DG24*DD154+DG25*DD154+DG26*DD154</f>
        <v>0</v>
      </c>
      <c r="DF154" s="5"/>
      <c r="DG154" s="5"/>
      <c r="DI154" s="5">
        <v>13</v>
      </c>
      <c r="DJ154" s="5">
        <f>DJ5*DI154+DK5*DI154+DJ6*DI154+DK6*DI154+DJ7*DI154+DK7*DI154+DJ8*DI154+DK8*DI154+DJ9*DI154+DK9*DI154+DJ10*DI154+DK10*DI154+DJ11*DI154+DK11*DI154+DJ12*DI154+DK12*DI154+DJ13*DI154+DK13*DI154+DJ14*DI154+DK14*DI154+DJ15*DI154+DK15*DI154+DJ26*13+DJ16*5+DK16*5+DJ17*5+DK17*5+DJ18*5+DK18*5+DJ19*5+DK19*5+DJ20*5+DK20*5+DJ21*5+DK21*5+DJ22*5+DK22*5+DJ23*5+DK23*5+DJ24*5+DK24*5+DJ25*5+DK25*5+DL5*DI154+DL6*DI154+DL7*DI154+DL8*DI154+DL9*DI154+DL10*DI154+DL11*DI154+DL12*DI154+DL13*DI154+DL14*DI154+DL15*DI154+DL16*5+DL17*5+DL18*5+DL19*5+DL20*5+DL21*5+DL22*5+DL23*5+DL24*5+DL25*5+DL26*5</f>
        <v>0</v>
      </c>
      <c r="DK154" s="5"/>
      <c r="DL154" s="5"/>
      <c r="DN154" s="5">
        <v>13</v>
      </c>
      <c r="DO154" s="5">
        <f>DO5*DN154+DP5*DN154+DO6*DN154+DP6*DN154+DO7*DN154+DP7*DN154+DO8*DN154+DP8*DN154+DO9*DN154+DP9*DN154+DO10*DN154+DP10*DN154+DO11*DN154+DP11*DN154+DO12*DN154+DP12*DN154+DO13*DN154+DP13*DN154+DO14*DN154+DP14*DN154+DO15*DN154+DP15*DN154+DO26*13+DO16*5+DP16*5+DO17*5+DP17*5+DO18*5+DP18*5+DO19*5+DP19*5+DO20*5+DP20*5+DO21*5+DP21*5+DO22*5+DP22*5+DO23*5+DP23*5+DO24*5+DP24*5+DO25*5+DP25*5+DQ5*DN154+DQ6*DN154+DQ7*DN154+DQ8*DN154+DQ9*DN154+DQ10*DN154+DQ11*DN154+DQ12*DN154+DQ13*DN154+DQ14*DN154+DQ15*DN154+DQ16*5+DQ17*5+DQ18*5+DQ19*5+DQ20*5+DQ21*5+DQ22*5+DQ23*5+DQ24*5+DQ25*5+DQ26*5</f>
        <v>0</v>
      </c>
      <c r="DP154" s="5"/>
      <c r="DQ154" s="5"/>
      <c r="DS154" s="5">
        <v>22</v>
      </c>
      <c r="DT154" s="5">
        <f>DT5*DS154+DU5*DS154+DT6*DS154+DU6*DS154+DT7*DS154+DU7*DS154+DT8*DS154+DU8*DS154+DT9*DS154+DU9*DS154+DT10*DS154+DU10*DS154+DT11*DS154+DU11*DS154+DT12*DS154+DU12*DS154+DT13*DS154+DU13*DS154+DT14*DS154+DU14*DS154+DT15*DS154+DU15*DS154+DT26*13+DT16*13+DU16*13+DT17*13+DU17*13+DT18*13+DU18*13+DT19*13+DU19*13+DT20*13+DU20*13+DT21*13+DU21*13+DT22*13+DU22*13+DT23*13+DU23*13+DT24*13+DU24*13+DT25*13+DU25*13+DV5*DS154+DV6*DS154+DV7*DS154+DV8*DS154+DV9*DS154+DV10*DS154+DV11*DS154+DV12*DS154+DV13*DS154+DV14*DS154+DV15*DS154+DV16*13+DV17*13+DV18*13+DV19*13+DV20*13+DV21*13+DV22*13+DV23*13+DV24*13+DV25*13+DV26*13</f>
        <v>0</v>
      </c>
      <c r="DU154" s="5"/>
      <c r="DV154" s="5"/>
      <c r="DX154" s="5">
        <v>19</v>
      </c>
      <c r="DY154" s="5">
        <f>DY5*DX154+DZ5*DX154+DY6*DX154+DZ6*DX154+DY7*DX154+DZ7*DX154+DY8*DX154+DZ8*DX154+DY9*DX154+DZ9*DX154+DY10*DX154+DZ10*DX154+DY11*DX154+DZ11*DX154+DY12*DX154+DZ12*DX154+DY13*DX154+DZ13*DX154+DY14*DX154+DZ14*DX154+DY15*DX154+DZ15*DX154+DY26*13+DY16*13+DZ16*13+DY17*13+DZ17*13+DY18*13+DZ18*13+DY19*13+DZ19*13+DY20*13+DZ20*13+DY21*13+DZ21*13+DY22*13+DZ22*13+DY23*13+DZ23*13+DY24*13+DZ24*13+DY25*13+DZ25*13+EA5*DX154+EA6*DX154+EA7*DX154+EA8*DX154+EA9*DX154+EA10*DX154+EA11*DX154+EA12*DX154+EA13*DX154+EA14*DX154+EA15*DX154+EA16*13+EA17*13+EA18*13+EA19*13+EA20*13+EA21*13+EA22*13+EA23*13+EA24*13+EA25*13+EA26*13</f>
        <v>0</v>
      </c>
      <c r="DZ154" s="5"/>
      <c r="EA154" s="5"/>
      <c r="EC154" s="5">
        <v>16</v>
      </c>
      <c r="ED154" s="5">
        <f>ED5*EC154+EE5*EC154+ED6*EC154+EE6*EC154+ED7*EC154+EE7*EC154+ED8*EC154+EE8*EC154+ED9*EC154+EE9*EC154+ED10*EC154+EE10*EC154+ED11*EC154+EE11*EC154+ED12*EC154+EE12*EC154+ED13*EC154+EE13*EC154+ED14*EC154+EE14*EC154+ED15*EC154+EE15*EC154+ED26*13+ED16*13+EE16*13+ED17*13+EE17*13+ED18*13+EE18*13+ED19*13+EE19*13+ED20*13+EE20*13+ED21*13+EE21*13+ED22*13+EE22*13+ED23*13+EE23*13+ED24*13+EE24*13+ED25*13+EE25*13+EF5*EC154+EF6*EC154+EF7*EC154+EF8*EC154+EF9*EC154+EF10*EC154+EF11*EC154+EF12*EC154+EF13*EC154+EF14*EC154+EF15*EC154+EF16*13+EF17*13+EF18*13+EF19*13+EF20*13+EF21*13+EF22*13+EF23*13+EF24*13+EF25*13+EF26*13</f>
        <v>0</v>
      </c>
      <c r="EE154" s="5"/>
      <c r="EF154" s="5"/>
      <c r="EH154" s="5">
        <v>16</v>
      </c>
      <c r="EI154" s="5">
        <f>EI5*EH154+EJ5*EH154+EI6*EH154+EJ6*EH154+EI7*EH154+EJ7*EH154+EI8*EH154+EJ8*EH154+EI9*EH154+EJ9*EH154+EI10*EH154+EJ10*EH154+EI11*EH154+EJ11*EH154+EI12*EH154+EJ12*EH154+EI13*EH154+EJ13*EH154+EI14*EH154+EJ14*EH154+EI15*EH154+EJ15*EH154+EI26*13+EI16*13+EJ16*13+EI17*13+EJ17*13+EI18*13+EJ18*13+EI19*13+EJ19*13+EI20*13+EJ20*13+EI21*13+EJ21*13+EI22*13+EJ22*13+EI23*13+EJ23*13+EI24*13+EJ24*13+EI25*13+EJ25*13+EK5*EH154+EK6*EH154+EK7*EH154+EK8*EH154+EK9*EH154+EK10*EH154+EK11*EH154+EK12*EH154+EK13*EH154+EK14*EH154+EK15*EH154+EK16*13+EK17*13+EK18*13+EK19*13+EK20*13+EK21*13+EK22*13+EK23*13+EK24*13+EK25*13+EK26*13</f>
        <v>0</v>
      </c>
      <c r="EJ154" s="5"/>
      <c r="EK154" s="5"/>
      <c r="EX154" s="659">
        <f t="shared" si="0"/>
        <v>0</v>
      </c>
    </row>
    <row r="155" spans="1:154" s="6" customFormat="1" ht="15" customHeight="1">
      <c r="A155" s="22" t="s">
        <v>312</v>
      </c>
      <c r="B155" s="210" t="s">
        <v>312</v>
      </c>
      <c r="C155" s="473" t="s">
        <v>515</v>
      </c>
      <c r="D155" s="138"/>
      <c r="E155" s="5"/>
      <c r="F155" s="5"/>
      <c r="G155" s="5"/>
      <c r="H155" s="5"/>
      <c r="I155" s="4"/>
      <c r="J155" s="4"/>
      <c r="K155" s="4"/>
      <c r="L155" s="4"/>
      <c r="M155" s="4"/>
      <c r="N155" s="4"/>
      <c r="O155" s="4"/>
      <c r="P155" s="4"/>
      <c r="Q155" s="4"/>
      <c r="R155" s="5"/>
      <c r="S155" s="5"/>
      <c r="U155" s="5"/>
      <c r="W155" s="5"/>
      <c r="X155" s="5"/>
      <c r="Y155" s="5"/>
      <c r="Z155" s="5"/>
      <c r="AB155" s="5"/>
      <c r="AC155" s="5"/>
      <c r="AD155" s="5"/>
      <c r="AE155" s="5"/>
      <c r="AG155" s="5"/>
      <c r="AH155" s="5"/>
      <c r="AI155" s="5"/>
      <c r="AJ155" s="5"/>
      <c r="AL155" s="5"/>
      <c r="AM155" s="5"/>
      <c r="AN155" s="5"/>
      <c r="AO155" s="5"/>
      <c r="AQ155" s="5"/>
      <c r="AR155" s="5"/>
      <c r="AS155" s="5"/>
      <c r="AT155" s="5"/>
      <c r="BD155" s="5"/>
      <c r="BF155" s="5"/>
      <c r="BG155" s="5"/>
      <c r="BH155" s="5"/>
      <c r="BI155" s="5"/>
      <c r="BM155" s="5"/>
      <c r="BN155" s="5"/>
      <c r="BP155" s="5"/>
      <c r="BQ155" s="5"/>
      <c r="BR155" s="5"/>
      <c r="BS155" s="5"/>
      <c r="BU155" s="5"/>
      <c r="BV155" s="5"/>
      <c r="BW155" s="5"/>
      <c r="BX155" s="5"/>
      <c r="BZ155" s="5"/>
      <c r="CA155" s="5"/>
      <c r="CB155" s="5"/>
      <c r="CC155" s="5"/>
      <c r="CE155" s="5"/>
      <c r="CF155" s="5"/>
      <c r="CG155" s="5"/>
      <c r="CH155" s="5"/>
      <c r="CO155" s="13"/>
      <c r="CP155" s="5"/>
      <c r="CQ155" s="5"/>
      <c r="CR155" s="5"/>
      <c r="CT155" s="5"/>
      <c r="CU155" s="5"/>
      <c r="CV155" s="5"/>
      <c r="CW155" s="5"/>
      <c r="CY155" s="5"/>
      <c r="CZ155" s="5"/>
      <c r="DA155" s="5"/>
      <c r="DB155" s="5"/>
      <c r="DD155" s="5"/>
      <c r="DE155" s="5"/>
      <c r="DF155" s="5"/>
      <c r="DG155" s="5"/>
      <c r="DI155" s="5"/>
      <c r="DJ155" s="5"/>
      <c r="DK155" s="5"/>
      <c r="DL155" s="5"/>
      <c r="DN155" s="5"/>
      <c r="DO155" s="5"/>
      <c r="DP155" s="5"/>
      <c r="DQ155" s="5"/>
      <c r="DS155" s="5"/>
      <c r="DT155" s="5"/>
      <c r="DU155" s="5"/>
      <c r="DV155" s="5"/>
      <c r="DX155" s="5"/>
      <c r="DY155" s="5"/>
      <c r="DZ155" s="5"/>
      <c r="EA155" s="5"/>
      <c r="EC155" s="5"/>
      <c r="ED155" s="5"/>
      <c r="EE155" s="5"/>
      <c r="EF155" s="5"/>
      <c r="EH155" s="5"/>
      <c r="EI155" s="5"/>
      <c r="EJ155" s="5"/>
      <c r="EK155" s="5"/>
      <c r="EX155" s="659">
        <f t="shared" si="0"/>
        <v>0</v>
      </c>
    </row>
    <row r="156" spans="1:154" s="6" customFormat="1" ht="15" customHeight="1">
      <c r="A156" s="22"/>
      <c r="B156" s="210" t="s">
        <v>1424</v>
      </c>
      <c r="C156" s="473" t="s">
        <v>168</v>
      </c>
      <c r="D156" s="138"/>
      <c r="E156" s="5"/>
      <c r="F156" s="5"/>
      <c r="G156" s="5"/>
      <c r="H156" s="5"/>
      <c r="I156" s="4"/>
      <c r="J156" s="4"/>
      <c r="K156" s="4"/>
      <c r="L156" s="4"/>
      <c r="M156" s="4"/>
      <c r="N156" s="4"/>
      <c r="O156" s="4"/>
      <c r="P156" s="4"/>
      <c r="Q156" s="4"/>
      <c r="R156" s="5"/>
      <c r="S156" s="5"/>
      <c r="U156" s="5"/>
      <c r="W156" s="5"/>
      <c r="X156" s="5"/>
      <c r="Y156" s="5"/>
      <c r="Z156" s="5"/>
      <c r="AB156" s="5"/>
      <c r="AC156" s="5"/>
      <c r="AD156" s="5"/>
      <c r="AE156" s="5"/>
      <c r="AG156" s="5"/>
      <c r="AH156" s="5"/>
      <c r="AI156" s="5"/>
      <c r="AJ156" s="5"/>
      <c r="AL156" s="5"/>
      <c r="AM156" s="5"/>
      <c r="AN156" s="5"/>
      <c r="AO156" s="5"/>
      <c r="AQ156" s="5"/>
      <c r="AR156" s="5"/>
      <c r="AS156" s="5"/>
      <c r="AT156" s="5"/>
      <c r="BD156" s="5"/>
      <c r="BF156" s="5"/>
      <c r="BG156" s="5"/>
      <c r="BH156" s="5"/>
      <c r="BI156" s="5"/>
      <c r="BM156" s="5"/>
      <c r="BN156" s="5"/>
      <c r="BP156" s="5"/>
      <c r="BQ156" s="5"/>
      <c r="BR156" s="5"/>
      <c r="BS156" s="5"/>
      <c r="BU156" s="5"/>
      <c r="BV156" s="5"/>
      <c r="BW156" s="5"/>
      <c r="BX156" s="5"/>
      <c r="BZ156" s="5"/>
      <c r="CA156" s="5"/>
      <c r="CB156" s="5"/>
      <c r="CC156" s="5"/>
      <c r="CE156" s="5"/>
      <c r="CF156" s="5"/>
      <c r="CG156" s="5"/>
      <c r="CH156" s="5"/>
      <c r="CO156" s="13"/>
      <c r="CP156" s="5"/>
      <c r="CQ156" s="5"/>
      <c r="CR156" s="5"/>
      <c r="CT156" s="5"/>
      <c r="CU156" s="5"/>
      <c r="CV156" s="5"/>
      <c r="CW156" s="5"/>
      <c r="CY156" s="5"/>
      <c r="CZ156" s="5"/>
      <c r="DA156" s="5"/>
      <c r="DB156" s="5"/>
      <c r="DD156" s="5"/>
      <c r="DE156" s="5"/>
      <c r="DF156" s="5"/>
      <c r="DG156" s="5"/>
      <c r="DI156" s="5"/>
      <c r="DJ156" s="5"/>
      <c r="DK156" s="5"/>
      <c r="DL156" s="5"/>
      <c r="DN156" s="5"/>
      <c r="DO156" s="5"/>
      <c r="DP156" s="5"/>
      <c r="DQ156" s="5"/>
      <c r="DS156" s="5"/>
      <c r="DT156" s="5"/>
      <c r="DU156" s="5"/>
      <c r="DV156" s="5"/>
      <c r="DX156" s="5"/>
      <c r="DY156" s="5"/>
      <c r="DZ156" s="5"/>
      <c r="EA156" s="5"/>
      <c r="EC156" s="5"/>
      <c r="ED156" s="5"/>
      <c r="EE156" s="5"/>
      <c r="EF156" s="5"/>
      <c r="EH156" s="5"/>
      <c r="EI156" s="5"/>
      <c r="EJ156" s="5"/>
      <c r="EK156" s="5"/>
      <c r="EN156" s="6">
        <f>SUM(EP5:EQ5)*50</f>
        <v>0</v>
      </c>
      <c r="ER156" s="855"/>
      <c r="EX156" s="659">
        <f t="shared" si="0"/>
        <v>0</v>
      </c>
    </row>
    <row r="157" spans="1:154" s="6" customFormat="1" ht="15" customHeight="1">
      <c r="A157" s="22"/>
      <c r="B157" s="210" t="s">
        <v>313</v>
      </c>
      <c r="C157" s="473" t="s">
        <v>168</v>
      </c>
      <c r="D157" s="138"/>
      <c r="E157" s="5"/>
      <c r="F157" s="5"/>
      <c r="G157" s="5"/>
      <c r="H157" s="5"/>
      <c r="I157" s="4"/>
      <c r="J157" s="4"/>
      <c r="K157" s="4"/>
      <c r="L157" s="4"/>
      <c r="M157" s="4"/>
      <c r="N157" s="4"/>
      <c r="O157" s="4"/>
      <c r="P157" s="4"/>
      <c r="Q157" s="4"/>
      <c r="R157" s="5"/>
      <c r="S157" s="5"/>
      <c r="U157" s="5"/>
      <c r="W157" s="5"/>
      <c r="X157" s="5"/>
      <c r="Y157" s="5"/>
      <c r="Z157" s="5"/>
      <c r="AB157" s="5"/>
      <c r="AC157" s="5"/>
      <c r="AD157" s="5"/>
      <c r="AE157" s="5"/>
      <c r="AG157" s="5"/>
      <c r="AH157" s="5"/>
      <c r="AI157" s="5"/>
      <c r="AJ157" s="5"/>
      <c r="AL157" s="5"/>
      <c r="AM157" s="5"/>
      <c r="AN157" s="5"/>
      <c r="AO157" s="5"/>
      <c r="AQ157" s="5"/>
      <c r="AR157" s="5"/>
      <c r="AS157" s="5"/>
      <c r="AT157" s="5"/>
      <c r="BD157" s="5"/>
      <c r="BF157" s="5"/>
      <c r="BG157" s="5"/>
      <c r="BH157" s="5"/>
      <c r="BI157" s="5"/>
      <c r="BM157" s="5"/>
      <c r="BN157" s="5"/>
      <c r="BP157" s="5"/>
      <c r="BQ157" s="5"/>
      <c r="BR157" s="5"/>
      <c r="BS157" s="5"/>
      <c r="BU157" s="5"/>
      <c r="BV157" s="5"/>
      <c r="BW157" s="5"/>
      <c r="BX157" s="5"/>
      <c r="BZ157" s="5"/>
      <c r="CA157" s="5"/>
      <c r="CB157" s="5"/>
      <c r="CC157" s="5"/>
      <c r="CE157" s="5"/>
      <c r="CF157" s="5"/>
      <c r="CG157" s="5"/>
      <c r="CH157" s="5"/>
      <c r="CO157" s="13"/>
      <c r="CP157" s="5"/>
      <c r="CQ157" s="5"/>
      <c r="CR157" s="5"/>
      <c r="CT157" s="5"/>
      <c r="CU157" s="5"/>
      <c r="CV157" s="5"/>
      <c r="CW157" s="5"/>
      <c r="CY157" s="5"/>
      <c r="CZ157" s="5"/>
      <c r="DA157" s="5"/>
      <c r="DB157" s="5"/>
      <c r="DD157" s="5"/>
      <c r="DE157" s="5"/>
      <c r="DF157" s="5"/>
      <c r="DG157" s="5"/>
      <c r="DI157" s="5"/>
      <c r="DJ157" s="5"/>
      <c r="DK157" s="5"/>
      <c r="DL157" s="5"/>
      <c r="DN157" s="5"/>
      <c r="DO157" s="5"/>
      <c r="DP157" s="5"/>
      <c r="DQ157" s="5"/>
      <c r="DS157" s="5"/>
      <c r="DT157" s="5"/>
      <c r="DU157" s="5"/>
      <c r="DV157" s="5"/>
      <c r="DX157" s="5"/>
      <c r="DY157" s="5"/>
      <c r="DZ157" s="5"/>
      <c r="EA157" s="5"/>
      <c r="EC157" s="5"/>
      <c r="ED157" s="5"/>
      <c r="EE157" s="5"/>
      <c r="EF157" s="5"/>
      <c r="EH157" s="5"/>
      <c r="EI157" s="5"/>
      <c r="EJ157" s="5"/>
      <c r="EK157" s="5"/>
      <c r="EN157" s="6">
        <f>IF(SUM(EP$6:EQ$6)*50+SUM(EN5:EO5)*50&lt;=0,0)</f>
        <v>0</v>
      </c>
      <c r="ER157" s="855"/>
      <c r="EX157" s="659">
        <f t="shared" si="0"/>
        <v>0</v>
      </c>
    </row>
    <row r="158" spans="1:154" s="6" customFormat="1" ht="15" customHeight="1">
      <c r="A158" s="22"/>
      <c r="B158" s="210" t="s">
        <v>409</v>
      </c>
      <c r="C158" s="473" t="s">
        <v>168</v>
      </c>
      <c r="D158" s="138"/>
      <c r="E158" s="5"/>
      <c r="F158" s="5"/>
      <c r="G158" s="5"/>
      <c r="H158" s="5"/>
      <c r="I158" s="4"/>
      <c r="J158" s="4"/>
      <c r="K158" s="4"/>
      <c r="L158" s="4"/>
      <c r="M158" s="4"/>
      <c r="N158" s="4"/>
      <c r="O158" s="4"/>
      <c r="P158" s="4"/>
      <c r="Q158" s="4"/>
      <c r="R158" s="5"/>
      <c r="S158" s="5"/>
      <c r="U158" s="5"/>
      <c r="W158" s="5"/>
      <c r="X158" s="5"/>
      <c r="Y158" s="5"/>
      <c r="Z158" s="5"/>
      <c r="AB158" s="5"/>
      <c r="AC158" s="5"/>
      <c r="AD158" s="5"/>
      <c r="AE158" s="5"/>
      <c r="AG158" s="5"/>
      <c r="AH158" s="5"/>
      <c r="AI158" s="5"/>
      <c r="AJ158" s="5"/>
      <c r="AL158" s="5"/>
      <c r="AM158" s="5"/>
      <c r="AN158" s="5"/>
      <c r="AO158" s="5"/>
      <c r="AQ158" s="5"/>
      <c r="AR158" s="5"/>
      <c r="AS158" s="5"/>
      <c r="AT158" s="5"/>
      <c r="BD158" s="5"/>
      <c r="BF158" s="5"/>
      <c r="BG158" s="5"/>
      <c r="BH158" s="5"/>
      <c r="BI158" s="5"/>
      <c r="BM158" s="5"/>
      <c r="BN158" s="5"/>
      <c r="BP158" s="5"/>
      <c r="BQ158" s="5"/>
      <c r="BR158" s="5"/>
      <c r="BS158" s="5"/>
      <c r="BU158" s="5"/>
      <c r="BV158" s="5"/>
      <c r="BW158" s="5"/>
      <c r="BX158" s="5"/>
      <c r="BZ158" s="5"/>
      <c r="CA158" s="5"/>
      <c r="CB158" s="5"/>
      <c r="CC158" s="5"/>
      <c r="CE158" s="5"/>
      <c r="CF158" s="5"/>
      <c r="CG158" s="5"/>
      <c r="CH158" s="5"/>
      <c r="CO158" s="13"/>
      <c r="CP158" s="5"/>
      <c r="CQ158" s="5"/>
      <c r="CR158" s="5"/>
      <c r="CT158" s="5"/>
      <c r="CU158" s="5"/>
      <c r="CV158" s="5"/>
      <c r="CW158" s="5"/>
      <c r="CY158" s="5"/>
      <c r="CZ158" s="5"/>
      <c r="DA158" s="5"/>
      <c r="DB158" s="5"/>
      <c r="DD158" s="5"/>
      <c r="DE158" s="5"/>
      <c r="DF158" s="5"/>
      <c r="DG158" s="5"/>
      <c r="DI158" s="5"/>
      <c r="DJ158" s="5"/>
      <c r="DK158" s="5"/>
      <c r="DL158" s="5"/>
      <c r="DN158" s="5"/>
      <c r="DO158" s="5"/>
      <c r="DP158" s="5"/>
      <c r="DQ158" s="5"/>
      <c r="DS158" s="5"/>
      <c r="DT158" s="5"/>
      <c r="DU158" s="5"/>
      <c r="DV158" s="5"/>
      <c r="DX158" s="5"/>
      <c r="DY158" s="5"/>
      <c r="DZ158" s="5"/>
      <c r="EA158" s="5"/>
      <c r="EC158" s="5"/>
      <c r="ED158" s="5"/>
      <c r="EE158" s="5"/>
      <c r="EF158" s="5"/>
      <c r="EH158" s="5"/>
      <c r="EI158" s="5"/>
      <c r="EJ158" s="5"/>
      <c r="EK158" s="5"/>
      <c r="EN158" s="6">
        <f>SUM(EN$6:EO$6,EU6+EW6)*50</f>
        <v>0</v>
      </c>
      <c r="ER158" s="855"/>
      <c r="EX158" s="659">
        <f t="shared" si="0"/>
        <v>0</v>
      </c>
    </row>
    <row r="159" spans="1:154" s="6" customFormat="1" ht="15" customHeight="1">
      <c r="A159" s="22" t="s">
        <v>313</v>
      </c>
      <c r="B159" s="210" t="s">
        <v>1382</v>
      </c>
      <c r="C159" s="473" t="s">
        <v>168</v>
      </c>
      <c r="D159" s="4"/>
      <c r="E159" s="5"/>
      <c r="F159" s="5"/>
      <c r="G159" s="5"/>
      <c r="H159" s="5"/>
      <c r="I159" s="4"/>
      <c r="J159" s="4"/>
      <c r="K159" s="4"/>
      <c r="L159" s="4"/>
      <c r="M159" s="4"/>
      <c r="N159" s="4"/>
      <c r="O159" s="4"/>
      <c r="P159" s="4"/>
      <c r="Q159" s="4"/>
      <c r="R159" s="5"/>
      <c r="S159" s="5"/>
      <c r="U159" s="5"/>
      <c r="W159" s="5"/>
      <c r="X159" s="5"/>
      <c r="Y159" s="5"/>
      <c r="Z159" s="5"/>
      <c r="AB159" s="5"/>
      <c r="AC159" s="5"/>
      <c r="AD159" s="5"/>
      <c r="AE159" s="5"/>
      <c r="AG159" s="5"/>
      <c r="AH159" s="5"/>
      <c r="AI159" s="5"/>
      <c r="AJ159" s="5"/>
      <c r="AL159" s="5"/>
      <c r="AM159" s="5"/>
      <c r="AN159" s="5"/>
      <c r="AO159" s="5"/>
      <c r="AQ159" s="5"/>
      <c r="AR159" s="5"/>
      <c r="AS159" s="5"/>
      <c r="AT159" s="5"/>
      <c r="BD159" s="5"/>
      <c r="BF159" s="5"/>
      <c r="BG159" s="5"/>
      <c r="BH159" s="5"/>
      <c r="BI159" s="5"/>
      <c r="BK159" s="5"/>
      <c r="BL159" s="5"/>
      <c r="BM159" s="5"/>
      <c r="BN159" s="5"/>
      <c r="BP159" s="5"/>
      <c r="BQ159" s="5"/>
      <c r="BR159" s="5"/>
      <c r="BS159" s="5"/>
      <c r="BU159" s="5"/>
      <c r="BV159" s="5"/>
      <c r="BW159" s="5"/>
      <c r="BX159" s="5"/>
      <c r="BZ159" s="5"/>
      <c r="CA159" s="5"/>
      <c r="CB159" s="5"/>
      <c r="CC159" s="5"/>
      <c r="CE159" s="5"/>
      <c r="CF159" s="5"/>
      <c r="CG159" s="5"/>
      <c r="CH159" s="5"/>
      <c r="CO159" s="13"/>
      <c r="CP159" s="5"/>
      <c r="CQ159" s="5"/>
      <c r="CR159" s="5"/>
      <c r="CT159" s="5"/>
      <c r="CU159" s="5"/>
      <c r="CV159" s="5"/>
      <c r="CW159" s="5"/>
      <c r="CY159" s="5"/>
      <c r="CZ159" s="5"/>
      <c r="DA159" s="5"/>
      <c r="DB159" s="5"/>
      <c r="DD159" s="5"/>
      <c r="DE159" s="5"/>
      <c r="DF159" s="5"/>
      <c r="DG159" s="5"/>
      <c r="DI159" s="5"/>
      <c r="DJ159" s="5"/>
      <c r="DK159" s="5"/>
      <c r="DL159" s="5"/>
      <c r="DN159" s="5"/>
      <c r="DO159" s="5"/>
      <c r="DP159" s="5"/>
      <c r="DQ159" s="5"/>
      <c r="DS159" s="5"/>
      <c r="DT159" s="5"/>
      <c r="DU159" s="5"/>
      <c r="DV159" s="5"/>
      <c r="DX159" s="5"/>
      <c r="DY159" s="5"/>
      <c r="DZ159" s="5"/>
      <c r="EA159" s="5"/>
      <c r="EC159" s="5"/>
      <c r="ED159" s="5"/>
      <c r="EE159" s="5"/>
      <c r="EF159" s="5"/>
      <c r="EH159" s="5"/>
      <c r="EI159" s="5"/>
      <c r="EJ159" s="5"/>
      <c r="EK159" s="5"/>
      <c r="EN159" s="6">
        <f>SUM(ET6+EU6)*50</f>
        <v>0</v>
      </c>
      <c r="ER159" s="855"/>
      <c r="EX159" s="659">
        <f t="shared" si="0"/>
        <v>0</v>
      </c>
    </row>
    <row r="160" spans="1:154" s="6" customFormat="1" ht="15" customHeight="1">
      <c r="A160" s="22"/>
      <c r="B160" s="210" t="s">
        <v>1425</v>
      </c>
      <c r="C160" s="473" t="s">
        <v>168</v>
      </c>
      <c r="D160" s="4"/>
      <c r="E160" s="5"/>
      <c r="F160" s="5"/>
      <c r="G160" s="5"/>
      <c r="H160" s="5"/>
      <c r="I160" s="4"/>
      <c r="J160" s="4"/>
      <c r="K160" s="4"/>
      <c r="L160" s="4"/>
      <c r="M160" s="4"/>
      <c r="N160" s="4"/>
      <c r="O160" s="4"/>
      <c r="P160" s="4"/>
      <c r="Q160" s="4"/>
      <c r="R160" s="5"/>
      <c r="S160" s="5"/>
      <c r="U160" s="5"/>
      <c r="W160" s="5"/>
      <c r="X160" s="5"/>
      <c r="Y160" s="5"/>
      <c r="Z160" s="5"/>
      <c r="AB160" s="5"/>
      <c r="AC160" s="5"/>
      <c r="AD160" s="5"/>
      <c r="AE160" s="5"/>
      <c r="AG160" s="5"/>
      <c r="AH160" s="5"/>
      <c r="AI160" s="5"/>
      <c r="AJ160" s="5"/>
      <c r="AL160" s="5"/>
      <c r="AM160" s="5"/>
      <c r="AN160" s="5"/>
      <c r="AO160" s="5"/>
      <c r="AQ160" s="5"/>
      <c r="AR160" s="5"/>
      <c r="AS160" s="5"/>
      <c r="AT160" s="5"/>
      <c r="BD160" s="5"/>
      <c r="BF160" s="5"/>
      <c r="BG160" s="5"/>
      <c r="BH160" s="5"/>
      <c r="BI160" s="5"/>
      <c r="BK160" s="5"/>
      <c r="BL160" s="5"/>
      <c r="BM160" s="5"/>
      <c r="BN160" s="5"/>
      <c r="BP160" s="5"/>
      <c r="BQ160" s="5"/>
      <c r="BR160" s="5"/>
      <c r="BS160" s="5"/>
      <c r="BU160" s="5"/>
      <c r="BV160" s="5"/>
      <c r="BW160" s="5"/>
      <c r="BX160" s="5"/>
      <c r="BZ160" s="5"/>
      <c r="CA160" s="5"/>
      <c r="CB160" s="5"/>
      <c r="CC160" s="5"/>
      <c r="CE160" s="5"/>
      <c r="CF160" s="5"/>
      <c r="CG160" s="5"/>
      <c r="CH160" s="5"/>
      <c r="CO160" s="13"/>
      <c r="CP160" s="5"/>
      <c r="CQ160" s="5"/>
      <c r="CR160" s="5"/>
      <c r="CT160" s="5"/>
      <c r="CU160" s="5"/>
      <c r="CV160" s="5"/>
      <c r="CW160" s="5"/>
      <c r="CY160" s="5"/>
      <c r="CZ160" s="5"/>
      <c r="DA160" s="5"/>
      <c r="DB160" s="5"/>
      <c r="DD160" s="5"/>
      <c r="DE160" s="5"/>
      <c r="DF160" s="5"/>
      <c r="DG160" s="5"/>
      <c r="DI160" s="5"/>
      <c r="DJ160" s="5"/>
      <c r="DK160" s="5"/>
      <c r="DL160" s="5"/>
      <c r="DN160" s="5"/>
      <c r="DO160" s="5"/>
      <c r="DP160" s="5"/>
      <c r="DQ160" s="5"/>
      <c r="DS160" s="5"/>
      <c r="DT160" s="5"/>
      <c r="DU160" s="5"/>
      <c r="DV160" s="5"/>
      <c r="DX160" s="5"/>
      <c r="DY160" s="5"/>
      <c r="DZ160" s="5"/>
      <c r="EA160" s="5"/>
      <c r="EC160" s="5"/>
      <c r="ED160" s="5"/>
      <c r="EE160" s="5"/>
      <c r="EF160" s="5"/>
      <c r="EH160" s="5"/>
      <c r="EI160" s="5"/>
      <c r="EJ160" s="5"/>
      <c r="EK160" s="5"/>
      <c r="EX160" s="659">
        <f t="shared" si="0"/>
        <v>0</v>
      </c>
    </row>
    <row r="161" spans="1:154" s="6" customFormat="1" ht="15" customHeight="1">
      <c r="A161" s="22"/>
      <c r="B161" s="210" t="s">
        <v>1380</v>
      </c>
      <c r="C161" s="473" t="s">
        <v>168</v>
      </c>
      <c r="D161" s="4"/>
      <c r="E161" s="5"/>
      <c r="F161" s="5"/>
      <c r="G161" s="5"/>
      <c r="H161" s="5"/>
      <c r="I161" s="4"/>
      <c r="J161" s="4"/>
      <c r="K161" s="4"/>
      <c r="L161" s="4"/>
      <c r="M161" s="4"/>
      <c r="N161" s="4"/>
      <c r="O161" s="4"/>
      <c r="P161" s="4"/>
      <c r="Q161" s="4"/>
      <c r="R161" s="5"/>
      <c r="S161" s="5"/>
      <c r="U161" s="5"/>
      <c r="W161" s="5"/>
      <c r="X161" s="5"/>
      <c r="Y161" s="5"/>
      <c r="Z161" s="5"/>
      <c r="AB161" s="5"/>
      <c r="AC161" s="5"/>
      <c r="AD161" s="5"/>
      <c r="AE161" s="5"/>
      <c r="AG161" s="5"/>
      <c r="AH161" s="5"/>
      <c r="AI161" s="5"/>
      <c r="AJ161" s="5"/>
      <c r="AL161" s="5"/>
      <c r="AM161" s="5"/>
      <c r="AN161" s="5"/>
      <c r="AO161" s="5"/>
      <c r="AQ161" s="5"/>
      <c r="AR161" s="5"/>
      <c r="AS161" s="5"/>
      <c r="AT161" s="5"/>
      <c r="BD161" s="5"/>
      <c r="BF161" s="5"/>
      <c r="BG161" s="5"/>
      <c r="BH161" s="5"/>
      <c r="BI161" s="5"/>
      <c r="BK161" s="5"/>
      <c r="BL161" s="5"/>
      <c r="BM161" s="5"/>
      <c r="BN161" s="5"/>
      <c r="BP161" s="5"/>
      <c r="BQ161" s="5"/>
      <c r="BR161" s="5"/>
      <c r="BS161" s="5"/>
      <c r="BU161" s="5"/>
      <c r="BV161" s="5"/>
      <c r="BW161" s="5"/>
      <c r="BX161" s="5"/>
      <c r="BZ161" s="5"/>
      <c r="CA161" s="5"/>
      <c r="CB161" s="5"/>
      <c r="CC161" s="5"/>
      <c r="CE161" s="5"/>
      <c r="CF161" s="5"/>
      <c r="CG161" s="5"/>
      <c r="CH161" s="5"/>
      <c r="CO161" s="13"/>
      <c r="CP161" s="5"/>
      <c r="CQ161" s="5"/>
      <c r="CR161" s="5"/>
      <c r="CT161" s="5"/>
      <c r="CU161" s="5"/>
      <c r="CV161" s="5"/>
      <c r="CW161" s="5"/>
      <c r="CY161" s="5"/>
      <c r="CZ161" s="5"/>
      <c r="DA161" s="5"/>
      <c r="DB161" s="5"/>
      <c r="DD161" s="5"/>
      <c r="DE161" s="5"/>
      <c r="DF161" s="5"/>
      <c r="DG161" s="5"/>
      <c r="DI161" s="5"/>
      <c r="DJ161" s="5"/>
      <c r="DK161" s="5"/>
      <c r="DL161" s="5"/>
      <c r="DN161" s="5"/>
      <c r="DO161" s="5"/>
      <c r="DP161" s="5"/>
      <c r="DQ161" s="5"/>
      <c r="DS161" s="5"/>
      <c r="DT161" s="5"/>
      <c r="DU161" s="5"/>
      <c r="DV161" s="5"/>
      <c r="DX161" s="5"/>
      <c r="DY161" s="5"/>
      <c r="DZ161" s="5"/>
      <c r="EA161" s="5"/>
      <c r="EC161" s="5"/>
      <c r="ED161" s="5"/>
      <c r="EE161" s="5"/>
      <c r="EF161" s="5"/>
      <c r="EH161" s="5"/>
      <c r="EI161" s="5"/>
      <c r="EJ161" s="5"/>
      <c r="EK161" s="5"/>
      <c r="EX161" s="659">
        <f t="shared" si="0"/>
        <v>0</v>
      </c>
    </row>
    <row r="162" spans="1:154" s="6" customFormat="1" ht="15" customHeight="1">
      <c r="A162" s="3" t="s">
        <v>58</v>
      </c>
      <c r="B162" s="210" t="s">
        <v>58</v>
      </c>
      <c r="C162" s="473" t="s">
        <v>386</v>
      </c>
      <c r="D162" s="138"/>
      <c r="E162" s="5"/>
      <c r="F162" s="5"/>
      <c r="G162" s="5"/>
      <c r="H162" s="5"/>
      <c r="I162" s="4"/>
      <c r="J162" s="4"/>
      <c r="K162" s="4"/>
      <c r="L162" s="4"/>
      <c r="M162" s="4"/>
      <c r="N162" s="4"/>
      <c r="O162" s="4"/>
      <c r="P162" s="4"/>
      <c r="Q162" s="4"/>
      <c r="R162" s="5"/>
      <c r="S162" s="5"/>
      <c r="U162" s="5"/>
      <c r="W162" s="5"/>
      <c r="X162" s="5"/>
      <c r="Y162" s="5"/>
      <c r="Z162" s="5"/>
      <c r="AB162" s="5"/>
      <c r="AC162" s="5"/>
      <c r="AD162" s="5"/>
      <c r="AE162" s="5"/>
      <c r="AG162" s="5"/>
      <c r="AH162" s="5"/>
      <c r="AI162" s="5"/>
      <c r="AJ162" s="5"/>
      <c r="AL162" s="5"/>
      <c r="AM162" s="5"/>
      <c r="AN162" s="5"/>
      <c r="AO162" s="5"/>
      <c r="AQ162" s="5"/>
      <c r="AR162" s="5"/>
      <c r="AS162" s="5"/>
      <c r="AT162" s="5"/>
      <c r="BD162" s="5"/>
      <c r="BF162" s="5"/>
      <c r="BG162" s="5"/>
      <c r="BH162" s="5"/>
      <c r="BI162" s="5"/>
      <c r="BM162" s="5"/>
      <c r="BN162" s="5"/>
      <c r="BP162" s="5"/>
      <c r="BQ162" s="5"/>
      <c r="BR162" s="5"/>
      <c r="BS162" s="5"/>
      <c r="BU162" s="5"/>
      <c r="BV162" s="5"/>
      <c r="BW162" s="5"/>
      <c r="BX162" s="5"/>
      <c r="BZ162" s="5"/>
      <c r="CA162" s="5"/>
      <c r="CB162" s="5"/>
      <c r="CC162" s="5"/>
      <c r="CE162" s="5"/>
      <c r="CF162" s="5"/>
      <c r="CG162" s="5"/>
      <c r="CH162" s="5"/>
      <c r="CO162" s="13"/>
      <c r="CP162" s="5"/>
      <c r="CQ162" s="5"/>
      <c r="CR162" s="5"/>
      <c r="CT162" s="5"/>
      <c r="CU162" s="5"/>
      <c r="CV162" s="5"/>
      <c r="CW162" s="5"/>
      <c r="CY162" s="5"/>
      <c r="CZ162" s="5"/>
      <c r="DA162" s="5"/>
      <c r="DB162" s="5"/>
      <c r="DD162" s="5"/>
      <c r="DE162" s="5"/>
      <c r="DF162" s="5"/>
      <c r="DG162" s="5"/>
      <c r="DI162" s="5"/>
      <c r="DJ162" s="5"/>
      <c r="DK162" s="5"/>
      <c r="DL162" s="5"/>
      <c r="DN162" s="5"/>
      <c r="DO162" s="5"/>
      <c r="DP162" s="5"/>
      <c r="DQ162" s="5"/>
      <c r="DS162" s="5"/>
      <c r="DT162" s="5"/>
      <c r="DU162" s="5"/>
      <c r="DV162" s="5"/>
      <c r="DX162" s="5"/>
      <c r="DY162" s="5"/>
      <c r="DZ162" s="5"/>
      <c r="EA162" s="5"/>
      <c r="EC162" s="5"/>
      <c r="ED162" s="5"/>
      <c r="EE162" s="5"/>
      <c r="EF162" s="5"/>
      <c r="EH162" s="5"/>
      <c r="EI162" s="5"/>
      <c r="EJ162" s="5"/>
      <c r="EK162" s="5"/>
      <c r="EX162" s="659">
        <f t="shared" si="0"/>
        <v>0</v>
      </c>
    </row>
    <row r="163" spans="1:154" s="6" customFormat="1" ht="15" customHeight="1">
      <c r="A163" s="3" t="s">
        <v>59</v>
      </c>
      <c r="B163" s="210" t="s">
        <v>59</v>
      </c>
      <c r="C163" s="473" t="s">
        <v>386</v>
      </c>
      <c r="D163" s="138"/>
      <c r="E163" s="5"/>
      <c r="F163" s="5"/>
      <c r="G163" s="5"/>
      <c r="H163" s="5"/>
      <c r="I163" s="4"/>
      <c r="J163" s="4"/>
      <c r="K163" s="4"/>
      <c r="L163" s="4"/>
      <c r="M163" s="4"/>
      <c r="N163" s="4"/>
      <c r="O163" s="4"/>
      <c r="P163" s="4"/>
      <c r="Q163" s="4"/>
      <c r="R163" s="5"/>
      <c r="S163" s="5"/>
      <c r="U163" s="5"/>
      <c r="W163" s="5"/>
      <c r="X163" s="5"/>
      <c r="Y163" s="5"/>
      <c r="Z163" s="5"/>
      <c r="AB163" s="5"/>
      <c r="AC163" s="5"/>
      <c r="AD163" s="5"/>
      <c r="AE163" s="5"/>
      <c r="AG163" s="5"/>
      <c r="AH163" s="5"/>
      <c r="AI163" s="5"/>
      <c r="AJ163" s="5"/>
      <c r="AL163" s="5"/>
      <c r="AM163" s="5"/>
      <c r="AN163" s="5"/>
      <c r="AO163" s="5"/>
      <c r="AQ163" s="5"/>
      <c r="AR163" s="5"/>
      <c r="AS163" s="5"/>
      <c r="AT163" s="5"/>
      <c r="BD163" s="5"/>
      <c r="BF163" s="5"/>
      <c r="BG163" s="5"/>
      <c r="BH163" s="5"/>
      <c r="BI163" s="5"/>
      <c r="BM163" s="5"/>
      <c r="BN163" s="5"/>
      <c r="BP163" s="5"/>
      <c r="BQ163" s="5"/>
      <c r="BR163" s="5"/>
      <c r="BS163" s="5"/>
      <c r="BU163" s="5"/>
      <c r="BV163" s="5"/>
      <c r="BW163" s="5"/>
      <c r="BX163" s="5"/>
      <c r="BZ163" s="5"/>
      <c r="CA163" s="5"/>
      <c r="CB163" s="5"/>
      <c r="CC163" s="5"/>
      <c r="CE163" s="5"/>
      <c r="CF163" s="5"/>
      <c r="CG163" s="5"/>
      <c r="CH163" s="5"/>
      <c r="CO163" s="13"/>
      <c r="CP163" s="5"/>
      <c r="CQ163" s="5"/>
      <c r="CR163" s="5"/>
      <c r="CT163" s="5"/>
      <c r="CU163" s="5"/>
      <c r="CV163" s="5"/>
      <c r="CW163" s="5"/>
      <c r="CY163" s="5"/>
      <c r="CZ163" s="5"/>
      <c r="DA163" s="5"/>
      <c r="DB163" s="5"/>
      <c r="DD163" s="5"/>
      <c r="DE163" s="5"/>
      <c r="DF163" s="5"/>
      <c r="DG163" s="5"/>
      <c r="DI163" s="5"/>
      <c r="DJ163" s="5"/>
      <c r="DK163" s="5"/>
      <c r="DL163" s="5"/>
      <c r="DN163" s="5"/>
      <c r="DO163" s="5"/>
      <c r="DP163" s="5"/>
      <c r="DQ163" s="5"/>
      <c r="DS163" s="5"/>
      <c r="DT163" s="5"/>
      <c r="DU163" s="5"/>
      <c r="DV163" s="5"/>
      <c r="DX163" s="5"/>
      <c r="DY163" s="5"/>
      <c r="DZ163" s="5"/>
      <c r="EA163" s="5"/>
      <c r="EC163" s="5"/>
      <c r="ED163" s="5"/>
      <c r="EE163" s="5"/>
      <c r="EF163" s="5"/>
      <c r="EH163" s="5"/>
      <c r="EI163" s="5"/>
      <c r="EJ163" s="5"/>
      <c r="EK163" s="5"/>
      <c r="EX163" s="659">
        <f t="shared" si="0"/>
        <v>0</v>
      </c>
    </row>
    <row r="164" spans="1:154" s="6" customFormat="1" ht="15" customHeight="1">
      <c r="A164" s="3" t="s">
        <v>60</v>
      </c>
      <c r="B164" s="210" t="s">
        <v>60</v>
      </c>
      <c r="C164" s="473" t="s">
        <v>386</v>
      </c>
      <c r="D164" s="138"/>
      <c r="E164" s="5"/>
      <c r="F164" s="5"/>
      <c r="G164" s="5"/>
      <c r="H164" s="5"/>
      <c r="I164" s="4"/>
      <c r="J164" s="4"/>
      <c r="K164" s="4"/>
      <c r="L164" s="4"/>
      <c r="M164" s="4"/>
      <c r="N164" s="4"/>
      <c r="O164" s="4"/>
      <c r="P164" s="4"/>
      <c r="Q164" s="4"/>
      <c r="R164" s="5"/>
      <c r="S164" s="5"/>
      <c r="U164" s="5"/>
      <c r="W164" s="5"/>
      <c r="X164" s="5"/>
      <c r="Y164" s="5"/>
      <c r="Z164" s="5"/>
      <c r="AB164" s="5"/>
      <c r="AC164" s="5"/>
      <c r="AD164" s="5"/>
      <c r="AE164" s="5"/>
      <c r="AG164" s="5"/>
      <c r="AH164" s="5"/>
      <c r="AI164" s="5"/>
      <c r="AJ164" s="5"/>
      <c r="AL164" s="5"/>
      <c r="AM164" s="5"/>
      <c r="AN164" s="5"/>
      <c r="AO164" s="5"/>
      <c r="AQ164" s="5"/>
      <c r="AR164" s="5"/>
      <c r="AS164" s="5"/>
      <c r="AT164" s="5"/>
      <c r="BD164" s="5"/>
      <c r="BF164" s="5"/>
      <c r="BG164" s="5"/>
      <c r="BH164" s="5"/>
      <c r="BI164" s="5"/>
      <c r="BM164" s="5"/>
      <c r="BN164" s="5"/>
      <c r="BP164" s="5"/>
      <c r="BQ164" s="5"/>
      <c r="BR164" s="5"/>
      <c r="BS164" s="5"/>
      <c r="BU164" s="5"/>
      <c r="BV164" s="5"/>
      <c r="BW164" s="5"/>
      <c r="BX164" s="5"/>
      <c r="BZ164" s="5"/>
      <c r="CA164" s="5"/>
      <c r="CB164" s="5"/>
      <c r="CC164" s="5"/>
      <c r="CE164" s="5"/>
      <c r="CF164" s="5"/>
      <c r="CG164" s="5"/>
      <c r="CH164" s="5"/>
      <c r="CO164" s="13"/>
      <c r="CP164" s="5"/>
      <c r="CQ164" s="5"/>
      <c r="CR164" s="5"/>
      <c r="CT164" s="5"/>
      <c r="CU164" s="5"/>
      <c r="CV164" s="5"/>
      <c r="CW164" s="5"/>
      <c r="CY164" s="5"/>
      <c r="CZ164" s="5"/>
      <c r="DA164" s="5"/>
      <c r="DB164" s="5"/>
      <c r="DD164" s="5"/>
      <c r="DE164" s="5"/>
      <c r="DF164" s="5"/>
      <c r="DG164" s="5"/>
      <c r="DI164" s="5"/>
      <c r="DJ164" s="5"/>
      <c r="DK164" s="5"/>
      <c r="DL164" s="5"/>
      <c r="DN164" s="5"/>
      <c r="DO164" s="5"/>
      <c r="DP164" s="5"/>
      <c r="DQ164" s="5"/>
      <c r="DS164" s="5"/>
      <c r="DT164" s="5"/>
      <c r="DU164" s="5"/>
      <c r="DV164" s="5"/>
      <c r="DX164" s="5"/>
      <c r="DY164" s="5"/>
      <c r="DZ164" s="5"/>
      <c r="EA164" s="5"/>
      <c r="EC164" s="5"/>
      <c r="ED164" s="5"/>
      <c r="EE164" s="5"/>
      <c r="EF164" s="5"/>
      <c r="EH164" s="5"/>
      <c r="EI164" s="5"/>
      <c r="EJ164" s="5"/>
      <c r="EK164" s="5"/>
      <c r="EX164" s="659">
        <f t="shared" si="0"/>
        <v>0</v>
      </c>
    </row>
    <row r="165" spans="1:154" s="6" customFormat="1" ht="15" customHeight="1">
      <c r="A165" s="3" t="s">
        <v>61</v>
      </c>
      <c r="B165" s="210" t="s">
        <v>61</v>
      </c>
      <c r="C165" s="473" t="s">
        <v>386</v>
      </c>
      <c r="D165" s="138"/>
      <c r="E165" s="5"/>
      <c r="F165" s="5"/>
      <c r="G165" s="5"/>
      <c r="H165" s="5"/>
      <c r="I165" s="4"/>
      <c r="J165" s="4"/>
      <c r="K165" s="4"/>
      <c r="L165" s="4"/>
      <c r="M165" s="4"/>
      <c r="N165" s="4"/>
      <c r="O165" s="4"/>
      <c r="P165" s="4"/>
      <c r="Q165" s="4"/>
      <c r="R165" s="5"/>
      <c r="S165" s="5"/>
      <c r="U165" s="5"/>
      <c r="W165" s="5"/>
      <c r="X165" s="5"/>
      <c r="Y165" s="5"/>
      <c r="Z165" s="5"/>
      <c r="AB165" s="5"/>
      <c r="AC165" s="5"/>
      <c r="AD165" s="5"/>
      <c r="AE165" s="5"/>
      <c r="AG165" s="5"/>
      <c r="AH165" s="5"/>
      <c r="AI165" s="5"/>
      <c r="AJ165" s="5"/>
      <c r="AL165" s="5"/>
      <c r="AM165" s="5"/>
      <c r="AN165" s="5"/>
      <c r="AO165" s="5"/>
      <c r="AQ165" s="5"/>
      <c r="AR165" s="5"/>
      <c r="AS165" s="5"/>
      <c r="AT165" s="5"/>
      <c r="BD165" s="5"/>
      <c r="BF165" s="5"/>
      <c r="BG165" s="5"/>
      <c r="BH165" s="5"/>
      <c r="BI165" s="5"/>
      <c r="BM165" s="5"/>
      <c r="BN165" s="5"/>
      <c r="BP165" s="5"/>
      <c r="BQ165" s="5"/>
      <c r="BR165" s="5"/>
      <c r="BS165" s="5"/>
      <c r="BU165" s="5"/>
      <c r="BV165" s="5"/>
      <c r="BW165" s="5"/>
      <c r="BX165" s="5"/>
      <c r="BZ165" s="5"/>
      <c r="CA165" s="5"/>
      <c r="CB165" s="5"/>
      <c r="CC165" s="5"/>
      <c r="CE165" s="5"/>
      <c r="CF165" s="5"/>
      <c r="CG165" s="5"/>
      <c r="CH165" s="5"/>
      <c r="CO165" s="13"/>
      <c r="CP165" s="5"/>
      <c r="CQ165" s="5"/>
      <c r="CR165" s="5"/>
      <c r="CT165" s="5"/>
      <c r="CU165" s="5"/>
      <c r="CV165" s="5"/>
      <c r="CW165" s="5"/>
      <c r="CY165" s="5"/>
      <c r="CZ165" s="5"/>
      <c r="DA165" s="5"/>
      <c r="DB165" s="5"/>
      <c r="DD165" s="5"/>
      <c r="DE165" s="5"/>
      <c r="DF165" s="5"/>
      <c r="DG165" s="5"/>
      <c r="DI165" s="5"/>
      <c r="DJ165" s="5"/>
      <c r="DK165" s="5"/>
      <c r="DL165" s="5"/>
      <c r="DN165" s="5"/>
      <c r="DO165" s="5"/>
      <c r="DP165" s="5"/>
      <c r="DQ165" s="5"/>
      <c r="DS165" s="5"/>
      <c r="DT165" s="5"/>
      <c r="DU165" s="5"/>
      <c r="DV165" s="5"/>
      <c r="DX165" s="5"/>
      <c r="DY165" s="5"/>
      <c r="DZ165" s="5"/>
      <c r="EA165" s="5"/>
      <c r="EC165" s="5"/>
      <c r="ED165" s="5"/>
      <c r="EE165" s="5"/>
      <c r="EF165" s="5"/>
      <c r="EH165" s="5"/>
      <c r="EI165" s="5"/>
      <c r="EJ165" s="5"/>
      <c r="EK165" s="5"/>
      <c r="EX165" s="659">
        <f t="shared" si="0"/>
        <v>0</v>
      </c>
    </row>
    <row r="166" spans="1:154" s="6" customFormat="1" ht="15" customHeight="1">
      <c r="A166" s="3"/>
      <c r="B166" s="210" t="s">
        <v>1534</v>
      </c>
      <c r="C166" s="473" t="s">
        <v>168</v>
      </c>
      <c r="D166" s="138"/>
      <c r="E166" s="5"/>
      <c r="F166" s="5"/>
      <c r="G166" s="5"/>
      <c r="H166" s="5"/>
      <c r="I166" s="4"/>
      <c r="J166" s="4"/>
      <c r="K166" s="4"/>
      <c r="L166" s="4"/>
      <c r="M166" s="4"/>
      <c r="N166" s="4"/>
      <c r="O166" s="4"/>
      <c r="P166" s="4"/>
      <c r="Q166" s="4"/>
      <c r="R166" s="5"/>
      <c r="S166" s="5"/>
      <c r="U166" s="5"/>
      <c r="W166" s="5"/>
      <c r="X166" s="5"/>
      <c r="Y166" s="5"/>
      <c r="Z166" s="5"/>
      <c r="AB166" s="5"/>
      <c r="AC166" s="5"/>
      <c r="AD166" s="5"/>
      <c r="AE166" s="5"/>
      <c r="AG166" s="5"/>
      <c r="AH166" s="5"/>
      <c r="AI166" s="5"/>
      <c r="AJ166" s="5"/>
      <c r="AL166" s="5"/>
      <c r="AM166" s="5"/>
      <c r="AN166" s="5"/>
      <c r="AO166" s="5"/>
      <c r="AQ166" s="5"/>
      <c r="AR166" s="5"/>
      <c r="AS166" s="5"/>
      <c r="AT166" s="5"/>
      <c r="BD166" s="5"/>
      <c r="BF166" s="5"/>
      <c r="BG166" s="5"/>
      <c r="BH166" s="5"/>
      <c r="BI166" s="5"/>
      <c r="BM166" s="5"/>
      <c r="BN166" s="5"/>
      <c r="BP166" s="5"/>
      <c r="BQ166" s="5"/>
      <c r="BR166" s="5"/>
      <c r="BS166" s="5"/>
      <c r="BU166" s="5"/>
      <c r="BV166" s="5"/>
      <c r="BW166" s="5"/>
      <c r="BX166" s="5"/>
      <c r="BZ166" s="5"/>
      <c r="CA166" s="5"/>
      <c r="CB166" s="5"/>
      <c r="CC166" s="5"/>
      <c r="CE166" s="5"/>
      <c r="CF166" s="5"/>
      <c r="CG166" s="5"/>
      <c r="CH166" s="5"/>
      <c r="CO166" s="13"/>
      <c r="CP166" s="5"/>
      <c r="CQ166" s="5"/>
      <c r="CR166" s="5"/>
      <c r="CT166" s="5"/>
      <c r="CU166" s="5"/>
      <c r="CV166" s="5"/>
      <c r="CW166" s="5"/>
      <c r="CY166" s="5"/>
      <c r="CZ166" s="5"/>
      <c r="DA166" s="5"/>
      <c r="DB166" s="5"/>
      <c r="DD166" s="5"/>
      <c r="DE166" s="5"/>
      <c r="DF166" s="5"/>
      <c r="DG166" s="5"/>
      <c r="DI166" s="5"/>
      <c r="DJ166" s="5"/>
      <c r="DK166" s="5"/>
      <c r="DL166" s="5"/>
      <c r="DN166" s="5"/>
      <c r="DO166" s="5"/>
      <c r="DP166" s="5"/>
      <c r="DQ166" s="5"/>
      <c r="DS166" s="5"/>
      <c r="DT166" s="5"/>
      <c r="DU166" s="5"/>
      <c r="DV166" s="5"/>
      <c r="DX166" s="5"/>
      <c r="DY166" s="5"/>
      <c r="DZ166" s="5"/>
      <c r="EA166" s="5"/>
      <c r="EC166" s="5"/>
      <c r="ED166" s="5"/>
      <c r="EE166" s="5"/>
      <c r="EF166" s="5"/>
      <c r="EH166" s="5"/>
      <c r="EI166" s="5"/>
      <c r="EJ166" s="5"/>
      <c r="EK166" s="5"/>
      <c r="EX166" s="659">
        <f t="shared" si="0"/>
        <v>0</v>
      </c>
    </row>
    <row r="167" spans="1:154" s="6" customFormat="1" ht="15" customHeight="1">
      <c r="A167" s="3"/>
      <c r="B167" s="210" t="s">
        <v>1556</v>
      </c>
      <c r="C167" s="473" t="s">
        <v>386</v>
      </c>
      <c r="D167" s="138"/>
      <c r="E167" s="5"/>
      <c r="F167" s="5"/>
      <c r="G167" s="5"/>
      <c r="H167" s="5"/>
      <c r="I167" s="4"/>
      <c r="J167" s="4"/>
      <c r="K167" s="4"/>
      <c r="L167" s="4"/>
      <c r="M167" s="4"/>
      <c r="N167" s="4"/>
      <c r="O167" s="4"/>
      <c r="P167" s="4"/>
      <c r="Q167" s="4"/>
      <c r="R167" s="5"/>
      <c r="S167" s="5"/>
      <c r="U167" s="5"/>
      <c r="W167" s="5"/>
      <c r="X167" s="5"/>
      <c r="Y167" s="5"/>
      <c r="Z167" s="5"/>
      <c r="AB167" s="5"/>
      <c r="AC167" s="5"/>
      <c r="AD167" s="5"/>
      <c r="AE167" s="5"/>
      <c r="AG167" s="5"/>
      <c r="AH167" s="5"/>
      <c r="AI167" s="5"/>
      <c r="AJ167" s="5"/>
      <c r="AL167" s="5"/>
      <c r="AM167" s="5"/>
      <c r="AN167" s="5"/>
      <c r="AO167" s="5"/>
      <c r="AQ167" s="5"/>
      <c r="AR167" s="5"/>
      <c r="AS167" s="5"/>
      <c r="AT167" s="5"/>
      <c r="BD167" s="5"/>
      <c r="BF167" s="5"/>
      <c r="BG167" s="5"/>
      <c r="BH167" s="5"/>
      <c r="BI167" s="5"/>
      <c r="BM167" s="5"/>
      <c r="BN167" s="5"/>
      <c r="BP167" s="5"/>
      <c r="BQ167" s="5"/>
      <c r="BR167" s="5"/>
      <c r="BS167" s="5"/>
      <c r="BU167" s="5"/>
      <c r="BV167" s="5"/>
      <c r="BW167" s="5"/>
      <c r="BX167" s="5"/>
      <c r="BZ167" s="5"/>
      <c r="CA167" s="5"/>
      <c r="CB167" s="5"/>
      <c r="CC167" s="5"/>
      <c r="CE167" s="5"/>
      <c r="CF167" s="5"/>
      <c r="CG167" s="5"/>
      <c r="CH167" s="5"/>
      <c r="CO167" s="13"/>
      <c r="CP167" s="5"/>
      <c r="CQ167" s="5"/>
      <c r="CR167" s="5"/>
      <c r="CT167" s="5"/>
      <c r="CU167" s="5"/>
      <c r="CV167" s="5"/>
      <c r="CW167" s="5"/>
      <c r="CY167" s="5"/>
      <c r="CZ167" s="5"/>
      <c r="DA167" s="5"/>
      <c r="DB167" s="5"/>
      <c r="DD167" s="5"/>
      <c r="DE167" s="5"/>
      <c r="DF167" s="5"/>
      <c r="DG167" s="5"/>
      <c r="DI167" s="5"/>
      <c r="DJ167" s="5"/>
      <c r="DK167" s="5"/>
      <c r="DL167" s="5"/>
      <c r="DN167" s="5"/>
      <c r="DO167" s="5"/>
      <c r="DP167" s="5"/>
      <c r="DQ167" s="5"/>
      <c r="DS167" s="5"/>
      <c r="DT167" s="5"/>
      <c r="DU167" s="5"/>
      <c r="DV167" s="5"/>
      <c r="DX167" s="5"/>
      <c r="DY167" s="5"/>
      <c r="DZ167" s="5"/>
      <c r="EA167" s="5"/>
      <c r="EC167" s="5"/>
      <c r="ED167" s="5"/>
      <c r="EE167" s="5"/>
      <c r="EF167" s="5"/>
      <c r="EH167" s="5"/>
      <c r="EI167" s="5"/>
      <c r="EJ167" s="5"/>
      <c r="EK167" s="5"/>
      <c r="EX167" s="659">
        <f t="shared" si="0"/>
        <v>0</v>
      </c>
    </row>
    <row r="168" spans="1:154" s="6" customFormat="1" ht="15" customHeight="1">
      <c r="A168" s="3" t="s">
        <v>64</v>
      </c>
      <c r="B168" s="210" t="s">
        <v>64</v>
      </c>
      <c r="C168" s="473" t="s">
        <v>386</v>
      </c>
      <c r="D168" s="138"/>
      <c r="E168" s="5"/>
      <c r="F168" s="5"/>
      <c r="G168" s="5"/>
      <c r="H168" s="5"/>
      <c r="I168" s="4"/>
      <c r="J168" s="4"/>
      <c r="K168" s="4"/>
      <c r="L168" s="4"/>
      <c r="M168" s="4"/>
      <c r="N168" s="4"/>
      <c r="O168" s="4"/>
      <c r="P168" s="4"/>
      <c r="Q168" s="4"/>
      <c r="R168" s="5"/>
      <c r="S168" s="5"/>
      <c r="T168" s="6">
        <f>C12*1.8</f>
        <v>0</v>
      </c>
      <c r="U168" s="5"/>
      <c r="W168" s="5"/>
      <c r="X168" s="5"/>
      <c r="Y168" s="5"/>
      <c r="Z168" s="5"/>
      <c r="AB168" s="5"/>
      <c r="AC168" s="5"/>
      <c r="AD168" s="5"/>
      <c r="AE168" s="5"/>
      <c r="AG168" s="5"/>
      <c r="AH168" s="5"/>
      <c r="AI168" s="5"/>
      <c r="AJ168" s="5"/>
      <c r="AL168" s="5"/>
      <c r="AM168" s="5"/>
      <c r="AN168" s="5"/>
      <c r="AO168" s="5"/>
      <c r="AQ168" s="5"/>
      <c r="AR168" s="5"/>
      <c r="AS168" s="5"/>
      <c r="AT168" s="5"/>
      <c r="BD168" s="5"/>
      <c r="BF168" s="5"/>
      <c r="BG168" s="5"/>
      <c r="BH168" s="5"/>
      <c r="BI168" s="5"/>
      <c r="BM168" s="5"/>
      <c r="BN168" s="5"/>
      <c r="BP168" s="5"/>
      <c r="BQ168" s="5"/>
      <c r="BR168" s="5"/>
      <c r="BS168" s="5"/>
      <c r="BU168" s="5"/>
      <c r="BV168" s="5"/>
      <c r="BW168" s="5"/>
      <c r="BX168" s="5"/>
      <c r="BZ168" s="5"/>
      <c r="CA168" s="5"/>
      <c r="CB168" s="5"/>
      <c r="CC168" s="5"/>
      <c r="CE168" s="5"/>
      <c r="CF168" s="5"/>
      <c r="CG168" s="5"/>
      <c r="CH168" s="5"/>
      <c r="CO168" s="13"/>
      <c r="CP168" s="5"/>
      <c r="CQ168" s="5"/>
      <c r="CR168" s="5"/>
      <c r="CT168" s="5"/>
      <c r="CU168" s="5"/>
      <c r="CV168" s="5"/>
      <c r="CW168" s="5"/>
      <c r="CY168" s="5"/>
      <c r="CZ168" s="5"/>
      <c r="DA168" s="5"/>
      <c r="DB168" s="5"/>
      <c r="DD168" s="5"/>
      <c r="DE168" s="5"/>
      <c r="DF168" s="5"/>
      <c r="DG168" s="5"/>
      <c r="DI168" s="5" t="s">
        <v>1568</v>
      </c>
      <c r="DJ168" s="5"/>
      <c r="DK168" s="5"/>
      <c r="DL168" s="5"/>
      <c r="DN168" s="5"/>
      <c r="DO168" s="5"/>
      <c r="DP168" s="5"/>
      <c r="DQ168" s="5"/>
      <c r="DS168" s="5"/>
      <c r="DT168" s="5"/>
      <c r="DU168" s="5"/>
      <c r="DV168" s="5"/>
      <c r="DX168" s="5"/>
      <c r="DY168" s="5"/>
      <c r="DZ168" s="5"/>
      <c r="EA168" s="5"/>
      <c r="EC168" s="5"/>
      <c r="ED168" s="5"/>
      <c r="EE168" s="5"/>
      <c r="EF168" s="5"/>
      <c r="EH168" s="5"/>
      <c r="EI168" s="5"/>
      <c r="EJ168" s="5"/>
      <c r="EK168" s="5"/>
      <c r="EN168" s="142"/>
      <c r="EX168" s="659">
        <f t="shared" si="0"/>
        <v>0</v>
      </c>
    </row>
    <row r="169" spans="1:154" s="6" customFormat="1" ht="15" customHeight="1">
      <c r="A169" s="3"/>
      <c r="B169" s="210" t="s">
        <v>453</v>
      </c>
      <c r="C169" s="473" t="s">
        <v>386</v>
      </c>
      <c r="D169" s="138"/>
      <c r="E169" s="5"/>
      <c r="F169" s="5"/>
      <c r="G169" s="5"/>
      <c r="H169" s="5"/>
      <c r="I169" s="4"/>
      <c r="J169" s="4" t="s">
        <v>1253</v>
      </c>
      <c r="K169" s="658">
        <f>SUM(K5:K8,K16:K19)*10+SUM(K9:K12,K20:K23)*11+SUM(K13:K15,K24:K26)*12</f>
        <v>0</v>
      </c>
      <c r="L169" s="4"/>
      <c r="M169" s="658">
        <v>4</v>
      </c>
      <c r="N169" s="658">
        <f>SUM(N5:N26,O5:O26,P5:P26)*M169+SUM(N5:N8,O5:O8,P5:P8,N16:N19,O16:O19,P16:P19)*20+SUM(N9:N12,O9:O12,P9:P12,N20:N23,O20:O23,P20:P23)*22+SUM(N13:N15,O13:O15,P13:P15,N24:N26,O24:O26,P24:P26)*24</f>
        <v>0</v>
      </c>
      <c r="O169" s="4"/>
      <c r="P169" s="4"/>
      <c r="Q169" s="4"/>
      <c r="R169" s="5"/>
      <c r="S169" s="5"/>
      <c r="U169" s="5"/>
      <c r="W169" s="5"/>
      <c r="X169" s="5"/>
      <c r="Y169" s="5"/>
      <c r="Z169" s="5"/>
      <c r="AB169" s="5"/>
      <c r="AC169" s="5"/>
      <c r="AD169" s="5"/>
      <c r="AE169" s="5"/>
      <c r="AG169" s="5"/>
      <c r="AH169" s="5"/>
      <c r="AI169" s="5"/>
      <c r="AJ169" s="5"/>
      <c r="AL169" s="5"/>
      <c r="AM169" s="5"/>
      <c r="AN169" s="5"/>
      <c r="AO169" s="5"/>
      <c r="AQ169" s="5"/>
      <c r="AR169" s="5"/>
      <c r="AS169" s="5"/>
      <c r="AT169" s="5"/>
      <c r="BD169" s="5"/>
      <c r="BF169" s="5"/>
      <c r="BG169" s="5"/>
      <c r="BH169" s="5"/>
      <c r="BI169" s="5"/>
      <c r="BM169" s="5"/>
      <c r="BN169" s="5"/>
      <c r="BP169" s="5"/>
      <c r="BQ169" s="5"/>
      <c r="BR169" s="5"/>
      <c r="BS169" s="5"/>
      <c r="BU169" s="5"/>
      <c r="BV169" s="5"/>
      <c r="BW169" s="5"/>
      <c r="BX169" s="5"/>
      <c r="BZ169" s="5"/>
      <c r="CA169" s="5"/>
      <c r="CB169" s="5"/>
      <c r="CC169" s="5"/>
      <c r="CE169" s="5"/>
      <c r="CF169" s="5"/>
      <c r="CG169" s="5"/>
      <c r="CH169" s="5"/>
      <c r="CO169" s="13"/>
      <c r="CP169" s="5"/>
      <c r="CQ169" s="5"/>
      <c r="CR169" s="5"/>
      <c r="CT169" s="5"/>
      <c r="CU169" s="5"/>
      <c r="CV169" s="5"/>
      <c r="CW169" s="5"/>
      <c r="CY169" s="5"/>
      <c r="CZ169" s="5"/>
      <c r="DA169" s="5"/>
      <c r="DB169" s="5"/>
      <c r="DD169" s="5"/>
      <c r="DE169" s="5"/>
      <c r="DF169" s="5"/>
      <c r="DG169" s="5"/>
      <c r="DI169" s="5"/>
      <c r="DJ169" s="5"/>
      <c r="DK169" s="5"/>
      <c r="DL169" s="5"/>
      <c r="DN169" s="5"/>
      <c r="DO169" s="5"/>
      <c r="DP169" s="5"/>
      <c r="DQ169" s="5"/>
      <c r="DS169" s="5"/>
      <c r="DT169" s="5"/>
      <c r="DU169" s="5"/>
      <c r="DV169" s="5"/>
      <c r="DX169" s="5"/>
      <c r="DY169" s="5"/>
      <c r="DZ169" s="5"/>
      <c r="EA169" s="5"/>
      <c r="EC169" s="5"/>
      <c r="ED169" s="5"/>
      <c r="EE169" s="5"/>
      <c r="EF169" s="5"/>
      <c r="EH169" s="5"/>
      <c r="EI169" s="5"/>
      <c r="EJ169" s="5"/>
      <c r="EK169" s="5"/>
      <c r="EN169" s="136"/>
      <c r="EX169" s="659">
        <f t="shared" si="0"/>
        <v>0</v>
      </c>
    </row>
    <row r="170" spans="1:154" s="6" customFormat="1" ht="15" customHeight="1">
      <c r="A170" s="3" t="s">
        <v>3</v>
      </c>
      <c r="B170" s="210" t="s">
        <v>3</v>
      </c>
      <c r="C170" s="473" t="s">
        <v>516</v>
      </c>
      <c r="D170" s="138"/>
      <c r="E170" s="5"/>
      <c r="F170" s="5"/>
      <c r="G170" s="5"/>
      <c r="H170" s="5"/>
      <c r="I170" s="4"/>
      <c r="J170" s="4"/>
      <c r="K170" s="4"/>
      <c r="L170" s="4"/>
      <c r="M170" s="4"/>
      <c r="N170" s="4"/>
      <c r="O170" s="4"/>
      <c r="P170" s="4"/>
      <c r="Q170" s="4"/>
      <c r="R170" s="1340">
        <f>C8*0.136*3</f>
        <v>0</v>
      </c>
      <c r="S170" s="5"/>
      <c r="T170" s="203">
        <f>R170+R170*3%</f>
        <v>0</v>
      </c>
      <c r="U170" s="5"/>
      <c r="W170" s="5"/>
      <c r="X170" s="5"/>
      <c r="Y170" s="5"/>
      <c r="Z170" s="5"/>
      <c r="AB170" s="5"/>
      <c r="AC170" s="5"/>
      <c r="AD170" s="5"/>
      <c r="AE170" s="5"/>
      <c r="AG170" s="5"/>
      <c r="AH170" s="5"/>
      <c r="AI170" s="5"/>
      <c r="AJ170" s="5"/>
      <c r="AL170" s="5"/>
      <c r="AM170" s="5"/>
      <c r="AN170" s="5"/>
      <c r="AO170" s="5"/>
      <c r="AQ170" s="5"/>
      <c r="AR170" s="5"/>
      <c r="AS170" s="5"/>
      <c r="AT170" s="5"/>
      <c r="BD170" s="5"/>
      <c r="BF170" s="5"/>
      <c r="BG170" s="5"/>
      <c r="BH170" s="5"/>
      <c r="BI170" s="5"/>
      <c r="BM170" s="5"/>
      <c r="BN170" s="5"/>
      <c r="BP170" s="5"/>
      <c r="BQ170" s="5"/>
      <c r="BR170" s="5"/>
      <c r="BS170" s="5"/>
      <c r="BU170" s="5"/>
      <c r="BV170" s="5"/>
      <c r="BW170" s="5"/>
      <c r="BX170" s="5"/>
      <c r="BZ170" s="5"/>
      <c r="CA170" s="5"/>
      <c r="CB170" s="5"/>
      <c r="CC170" s="5"/>
      <c r="CE170" s="5"/>
      <c r="CF170" s="5"/>
      <c r="CG170" s="5"/>
      <c r="CH170" s="5"/>
      <c r="CO170" s="13"/>
      <c r="CP170" s="5"/>
      <c r="CQ170" s="5"/>
      <c r="CR170" s="5"/>
      <c r="CT170" s="5"/>
      <c r="CU170" s="5"/>
      <c r="CV170" s="5"/>
      <c r="CW170" s="5"/>
      <c r="CY170" s="5"/>
      <c r="CZ170" s="5"/>
      <c r="DA170" s="5"/>
      <c r="DB170" s="5"/>
      <c r="DD170" s="5"/>
      <c r="DE170" s="5"/>
      <c r="DF170" s="5"/>
      <c r="DG170" s="5"/>
      <c r="DI170" s="5"/>
      <c r="DJ170" s="5"/>
      <c r="DK170" s="5"/>
      <c r="DL170" s="5"/>
      <c r="DN170" s="5"/>
      <c r="DO170" s="5"/>
      <c r="DP170" s="5"/>
      <c r="DQ170" s="5"/>
      <c r="DS170" s="5"/>
      <c r="DT170" s="5"/>
      <c r="DU170" s="5"/>
      <c r="DV170" s="5"/>
      <c r="DX170" s="5"/>
      <c r="DY170" s="5"/>
      <c r="DZ170" s="5"/>
      <c r="EA170" s="5"/>
      <c r="EC170" s="5"/>
      <c r="ED170" s="5"/>
      <c r="EE170" s="5"/>
      <c r="EF170" s="5"/>
      <c r="EH170" s="5"/>
      <c r="EI170" s="5"/>
      <c r="EJ170" s="5"/>
      <c r="EK170" s="5"/>
      <c r="EX170" s="659">
        <f t="shared" si="0"/>
        <v>0</v>
      </c>
    </row>
    <row r="171" spans="1:154" s="6" customFormat="1" ht="15" customHeight="1">
      <c r="A171" s="3" t="s">
        <v>187</v>
      </c>
      <c r="B171" s="210" t="s">
        <v>187</v>
      </c>
      <c r="C171" s="473" t="s">
        <v>516</v>
      </c>
      <c r="D171" s="138"/>
      <c r="E171" s="5"/>
      <c r="F171" s="5"/>
      <c r="G171" s="5"/>
      <c r="H171" s="5"/>
      <c r="I171" s="4"/>
      <c r="J171" s="4"/>
      <c r="K171" s="4"/>
      <c r="L171" s="4"/>
      <c r="M171" s="4"/>
      <c r="N171" s="4"/>
      <c r="O171" s="4"/>
      <c r="P171" s="4"/>
      <c r="Q171" s="4"/>
      <c r="R171" s="5">
        <f>C9*0.216*3</f>
        <v>0</v>
      </c>
      <c r="S171" s="5"/>
      <c r="T171" s="6">
        <f>R171+R171*3%</f>
        <v>0</v>
      </c>
      <c r="U171" s="5"/>
      <c r="W171" s="5"/>
      <c r="X171" s="5"/>
      <c r="Y171" s="5"/>
      <c r="Z171" s="5"/>
      <c r="AB171" s="5"/>
      <c r="AC171" s="5"/>
      <c r="AD171" s="5"/>
      <c r="AE171" s="5"/>
      <c r="AG171" s="5"/>
      <c r="AH171" s="5"/>
      <c r="AI171" s="5"/>
      <c r="AJ171" s="5"/>
      <c r="AL171" s="5"/>
      <c r="AM171" s="5"/>
      <c r="AN171" s="5"/>
      <c r="AO171" s="5"/>
      <c r="AQ171" s="5"/>
      <c r="AR171" s="5"/>
      <c r="AS171" s="5"/>
      <c r="AT171" s="5"/>
      <c r="BD171" s="5"/>
      <c r="BF171" s="5"/>
      <c r="BG171" s="5"/>
      <c r="BH171" s="5"/>
      <c r="BI171" s="5"/>
      <c r="BM171" s="5"/>
      <c r="BN171" s="5"/>
      <c r="BP171" s="5"/>
      <c r="BQ171" s="5"/>
      <c r="BR171" s="5"/>
      <c r="BS171" s="5"/>
      <c r="BU171" s="5"/>
      <c r="BV171" s="5"/>
      <c r="BW171" s="5"/>
      <c r="BX171" s="5"/>
      <c r="BZ171" s="5"/>
      <c r="CA171" s="5"/>
      <c r="CB171" s="5"/>
      <c r="CC171" s="5"/>
      <c r="CE171" s="5"/>
      <c r="CF171" s="5"/>
      <c r="CG171" s="5"/>
      <c r="CH171" s="5"/>
      <c r="CO171" s="13"/>
      <c r="CP171" s="5"/>
      <c r="CQ171" s="5"/>
      <c r="CR171" s="5"/>
      <c r="CT171" s="5"/>
      <c r="CU171" s="5"/>
      <c r="CV171" s="5"/>
      <c r="CW171" s="5"/>
      <c r="CY171" s="5"/>
      <c r="CZ171" s="5"/>
      <c r="DA171" s="5"/>
      <c r="DB171" s="5"/>
      <c r="DD171" s="5"/>
      <c r="DE171" s="5"/>
      <c r="DF171" s="5"/>
      <c r="DG171" s="5"/>
      <c r="DI171" s="5"/>
      <c r="DJ171" s="5"/>
      <c r="DK171" s="5"/>
      <c r="DL171" s="5"/>
      <c r="DN171" s="5"/>
      <c r="DO171" s="5"/>
      <c r="DP171" s="5"/>
      <c r="DQ171" s="5"/>
      <c r="DS171" s="5"/>
      <c r="DT171" s="5"/>
      <c r="DU171" s="5"/>
      <c r="DV171" s="5"/>
      <c r="DX171" s="5"/>
      <c r="DY171" s="5"/>
      <c r="DZ171" s="5"/>
      <c r="EA171" s="5"/>
      <c r="EC171" s="5"/>
      <c r="ED171" s="5"/>
      <c r="EE171" s="5"/>
      <c r="EF171" s="5"/>
      <c r="EH171" s="5"/>
      <c r="EI171" s="5"/>
      <c r="EJ171" s="5"/>
      <c r="EK171" s="5"/>
      <c r="EN171" s="44"/>
      <c r="EX171" s="659">
        <f t="shared" si="0"/>
        <v>0</v>
      </c>
    </row>
    <row r="172" spans="1:154" s="6" customFormat="1" ht="15" customHeight="1">
      <c r="A172" s="3" t="s">
        <v>192</v>
      </c>
      <c r="B172" s="210" t="s">
        <v>192</v>
      </c>
      <c r="C172" s="473" t="s">
        <v>516</v>
      </c>
      <c r="D172" s="138"/>
      <c r="E172" s="5"/>
      <c r="F172" s="5"/>
      <c r="G172" s="5"/>
      <c r="H172" s="5"/>
      <c r="I172" s="4"/>
      <c r="J172" s="4"/>
      <c r="K172" s="4"/>
      <c r="L172" s="4"/>
      <c r="M172" s="4"/>
      <c r="N172" s="4"/>
      <c r="O172" s="4"/>
      <c r="P172" s="4"/>
      <c r="Q172" s="4"/>
      <c r="R172" s="5">
        <f>C10*0.433*3</f>
        <v>0</v>
      </c>
      <c r="S172" s="5"/>
      <c r="T172" s="6">
        <f>R172+R172*3%</f>
        <v>0</v>
      </c>
      <c r="U172" s="5"/>
      <c r="W172" s="5"/>
      <c r="X172" s="5"/>
      <c r="Y172" s="5"/>
      <c r="Z172" s="5"/>
      <c r="AB172" s="5"/>
      <c r="AC172" s="5"/>
      <c r="AD172" s="5"/>
      <c r="AE172" s="5"/>
      <c r="AG172" s="5"/>
      <c r="AH172" s="5"/>
      <c r="AI172" s="5"/>
      <c r="AJ172" s="5"/>
      <c r="AL172" s="5"/>
      <c r="AM172" s="5"/>
      <c r="AN172" s="5"/>
      <c r="AO172" s="5"/>
      <c r="AQ172" s="5"/>
      <c r="AR172" s="5"/>
      <c r="AS172" s="5"/>
      <c r="AT172" s="5"/>
      <c r="BD172" s="5"/>
      <c r="BF172" s="5"/>
      <c r="BG172" s="5"/>
      <c r="BH172" s="5"/>
      <c r="BI172" s="5"/>
      <c r="BM172" s="5"/>
      <c r="BN172" s="5"/>
      <c r="BP172" s="5"/>
      <c r="BQ172" s="5"/>
      <c r="BR172" s="5"/>
      <c r="BS172" s="5"/>
      <c r="BU172" s="5"/>
      <c r="BV172" s="5"/>
      <c r="BW172" s="5"/>
      <c r="BX172" s="5"/>
      <c r="BZ172" s="5"/>
      <c r="CA172" s="5"/>
      <c r="CB172" s="5"/>
      <c r="CC172" s="5"/>
      <c r="CE172" s="5"/>
      <c r="CF172" s="5"/>
      <c r="CG172" s="5"/>
      <c r="CH172" s="5"/>
      <c r="CO172" s="13"/>
      <c r="CP172" s="5"/>
      <c r="CQ172" s="5"/>
      <c r="CR172" s="5"/>
      <c r="CT172" s="5"/>
      <c r="CU172" s="5"/>
      <c r="CV172" s="5"/>
      <c r="CW172" s="5"/>
      <c r="CY172" s="5"/>
      <c r="CZ172" s="5"/>
      <c r="DA172" s="5"/>
      <c r="DB172" s="5"/>
      <c r="DD172" s="5"/>
      <c r="DE172" s="5"/>
      <c r="DF172" s="5"/>
      <c r="DG172" s="5"/>
      <c r="DI172" s="5"/>
      <c r="DJ172" s="5"/>
      <c r="DK172" s="5"/>
      <c r="DL172" s="5"/>
      <c r="DN172" s="5"/>
      <c r="DO172" s="5"/>
      <c r="DP172" s="5"/>
      <c r="DQ172" s="5"/>
      <c r="DS172" s="5"/>
      <c r="DT172" s="5"/>
      <c r="DU172" s="5"/>
      <c r="DV172" s="5"/>
      <c r="DX172" s="5"/>
      <c r="DY172" s="5"/>
      <c r="DZ172" s="5"/>
      <c r="EA172" s="5"/>
      <c r="EC172" s="5"/>
      <c r="ED172" s="5"/>
      <c r="EE172" s="5"/>
      <c r="EF172" s="5"/>
      <c r="EH172" s="5"/>
      <c r="EI172" s="5"/>
      <c r="EJ172" s="5"/>
      <c r="EK172" s="5"/>
      <c r="EN172" s="44"/>
      <c r="EX172" s="659">
        <f t="shared" si="0"/>
        <v>0</v>
      </c>
    </row>
    <row r="173" spans="1:154" s="6" customFormat="1" ht="15" customHeight="1">
      <c r="A173" s="3" t="s">
        <v>314</v>
      </c>
      <c r="B173" s="210" t="s">
        <v>314</v>
      </c>
      <c r="C173" s="473" t="s">
        <v>516</v>
      </c>
      <c r="D173" s="138"/>
      <c r="E173" s="5"/>
      <c r="F173" s="5"/>
      <c r="G173" s="5"/>
      <c r="H173" s="5"/>
      <c r="I173" s="4"/>
      <c r="J173" s="4"/>
      <c r="K173" s="4"/>
      <c r="L173" s="4"/>
      <c r="M173" s="4"/>
      <c r="N173" s="4"/>
      <c r="O173" s="4"/>
      <c r="P173" s="4"/>
      <c r="Q173" s="4"/>
      <c r="R173" s="5">
        <f>C11*0.688*3</f>
        <v>0</v>
      </c>
      <c r="S173" s="5"/>
      <c r="T173" s="6">
        <f>R173+R173*3%</f>
        <v>0</v>
      </c>
      <c r="U173" s="5"/>
      <c r="W173" s="5"/>
      <c r="X173" s="5"/>
      <c r="Y173" s="5"/>
      <c r="Z173" s="5"/>
      <c r="AB173" s="5"/>
      <c r="AC173" s="5"/>
      <c r="AD173" s="5"/>
      <c r="AE173" s="5"/>
      <c r="AG173" s="5"/>
      <c r="AH173" s="5"/>
      <c r="AI173" s="5"/>
      <c r="AJ173" s="5"/>
      <c r="AL173" s="5"/>
      <c r="AM173" s="5"/>
      <c r="AN173" s="5"/>
      <c r="AO173" s="5"/>
      <c r="AQ173" s="5"/>
      <c r="AR173" s="5"/>
      <c r="AS173" s="5"/>
      <c r="AT173" s="5"/>
      <c r="BD173" s="5"/>
      <c r="BF173" s="5"/>
      <c r="BG173" s="5"/>
      <c r="BH173" s="5"/>
      <c r="BI173" s="5"/>
      <c r="BM173" s="5"/>
      <c r="BN173" s="5"/>
      <c r="BP173" s="5"/>
      <c r="BQ173" s="5"/>
      <c r="BR173" s="5"/>
      <c r="BS173" s="5"/>
      <c r="BU173" s="5"/>
      <c r="BV173" s="5"/>
      <c r="BW173" s="5"/>
      <c r="BX173" s="5"/>
      <c r="BZ173" s="5"/>
      <c r="CA173" s="5"/>
      <c r="CB173" s="5"/>
      <c r="CC173" s="5"/>
      <c r="CE173" s="5"/>
      <c r="CF173" s="5"/>
      <c r="CG173" s="5"/>
      <c r="CH173" s="5"/>
      <c r="CO173" s="13"/>
      <c r="CP173" s="5"/>
      <c r="CQ173" s="5"/>
      <c r="CR173" s="5"/>
      <c r="CT173" s="5"/>
      <c r="CU173" s="5"/>
      <c r="CV173" s="5"/>
      <c r="CW173" s="5"/>
      <c r="CY173" s="5"/>
      <c r="CZ173" s="5"/>
      <c r="DA173" s="5"/>
      <c r="DB173" s="5"/>
      <c r="DD173" s="5"/>
      <c r="DE173" s="5"/>
      <c r="DF173" s="5"/>
      <c r="DG173" s="5"/>
      <c r="DI173" s="5"/>
      <c r="DJ173" s="5"/>
      <c r="DK173" s="5"/>
      <c r="DL173" s="5"/>
      <c r="DN173" s="5"/>
      <c r="DO173" s="5"/>
      <c r="DP173" s="5"/>
      <c r="DQ173" s="5"/>
      <c r="DS173" s="5"/>
      <c r="DT173" s="5"/>
      <c r="DU173" s="5"/>
      <c r="DV173" s="5"/>
      <c r="DX173" s="5"/>
      <c r="DY173" s="5"/>
      <c r="DZ173" s="5"/>
      <c r="EA173" s="5"/>
      <c r="EC173" s="5"/>
      <c r="ED173" s="5"/>
      <c r="EE173" s="5"/>
      <c r="EF173" s="5"/>
      <c r="EH173" s="5"/>
      <c r="EI173" s="5"/>
      <c r="EJ173" s="5"/>
      <c r="EK173" s="5"/>
      <c r="EN173" s="44"/>
      <c r="EX173" s="659">
        <f t="shared" si="0"/>
        <v>0</v>
      </c>
    </row>
    <row r="174" spans="1:154" s="6" customFormat="1" ht="15" customHeight="1">
      <c r="A174" s="3" t="s">
        <v>62</v>
      </c>
      <c r="B174" s="210" t="s">
        <v>62</v>
      </c>
      <c r="C174" s="473" t="s">
        <v>386</v>
      </c>
      <c r="D174" s="138"/>
      <c r="E174" s="5">
        <v>6</v>
      </c>
      <c r="F174" s="5">
        <f>IF(SUM($ER$5:$ER$15)&gt;=750,0,SUM(F5:F23,G5:G26,H5:H26)*E174)</f>
        <v>0</v>
      </c>
      <c r="G174" s="5"/>
      <c r="H174" s="5"/>
      <c r="I174" s="4"/>
      <c r="J174" s="4"/>
      <c r="K174" s="4"/>
      <c r="L174" s="4"/>
      <c r="M174" s="4"/>
      <c r="N174" s="4"/>
      <c r="O174" s="4"/>
      <c r="P174" s="4"/>
      <c r="Q174" s="4"/>
      <c r="R174" s="5"/>
      <c r="S174" s="5"/>
      <c r="U174" s="5"/>
      <c r="W174" s="5"/>
      <c r="X174" s="5"/>
      <c r="Y174" s="5"/>
      <c r="Z174" s="5"/>
      <c r="AB174" s="5"/>
      <c r="AC174" s="5"/>
      <c r="AD174" s="5"/>
      <c r="AE174" s="5"/>
      <c r="AG174" s="5"/>
      <c r="AH174" s="5"/>
      <c r="AI174" s="5"/>
      <c r="AJ174" s="5"/>
      <c r="AL174" s="5"/>
      <c r="AM174" s="5"/>
      <c r="AN174" s="5"/>
      <c r="AO174" s="5"/>
      <c r="AQ174" s="5"/>
      <c r="AR174" s="5"/>
      <c r="AS174" s="5"/>
      <c r="AT174" s="5"/>
      <c r="BD174" s="5"/>
      <c r="BF174" s="5"/>
      <c r="BG174" s="5"/>
      <c r="BH174" s="5"/>
      <c r="BI174" s="5"/>
      <c r="BM174" s="5"/>
      <c r="BN174" s="5"/>
      <c r="BP174" s="5">
        <v>6</v>
      </c>
      <c r="BQ174" s="5">
        <f>IF(SUM($ER$5:$ER$15)&gt;=750,0,SUM(BQ5:BQ23,BR5:BR26,BS5:BS26)*BP174)</f>
        <v>0</v>
      </c>
      <c r="BR174" s="5"/>
      <c r="BS174" s="5"/>
      <c r="BU174" s="5">
        <v>6</v>
      </c>
      <c r="BV174" s="5">
        <f>IF(SUM($ER$5:$ER$15)&gt;=750,0,SUM(BV5:BV23,BW5:BW26,BX5:BX26)*BU174)</f>
        <v>0</v>
      </c>
      <c r="BW174" s="5"/>
      <c r="BX174" s="5"/>
      <c r="BZ174" s="5"/>
      <c r="CA174" s="5"/>
      <c r="CB174" s="5"/>
      <c r="CC174" s="5"/>
      <c r="CE174" s="5">
        <v>6</v>
      </c>
      <c r="CF174" s="5">
        <f>IF(SUM($ER$5:$ER$15)&gt;=750,0,SUM(CF5:CF23,CG5:CG26,CH5:CH26)*CE174)</f>
        <v>0</v>
      </c>
      <c r="CG174" s="5"/>
      <c r="CH174" s="5"/>
      <c r="CO174" s="13"/>
      <c r="CP174" s="5"/>
      <c r="CQ174" s="5"/>
      <c r="CR174" s="5"/>
      <c r="CT174" s="5">
        <v>6</v>
      </c>
      <c r="CU174" s="5">
        <f>IF(SUM($ER$5:$ER$15)&gt;=750,0,SUM(CU5:CU23,CV5:CV26,CW5:CW26)*CT174)</f>
        <v>0</v>
      </c>
      <c r="CV174" s="5"/>
      <c r="CW174" s="5"/>
      <c r="CY174" s="5">
        <v>6</v>
      </c>
      <c r="CZ174" s="5">
        <f>IF(SUM($ER$5:$ER$15)&gt;=750,0,SUM(CZ5:CZ23,DA5:DA26,DB5:DB26)*CY174)</f>
        <v>0</v>
      </c>
      <c r="DA174" s="5"/>
      <c r="DB174" s="5"/>
      <c r="DD174" s="5"/>
      <c r="DE174" s="5"/>
      <c r="DF174" s="5"/>
      <c r="DG174" s="5"/>
      <c r="DI174" s="5">
        <v>12</v>
      </c>
      <c r="DJ174" s="5">
        <f>SUM(DJ5:DJ26,DK5:DK26,DL5:DL26)*DI174</f>
        <v>0</v>
      </c>
      <c r="DK174" s="5"/>
      <c r="DL174" s="5"/>
      <c r="DN174" s="5">
        <v>12</v>
      </c>
      <c r="DO174" s="5">
        <f>SUM(DO5:DO26,DP5:DP26,DQ5:DQ26)*DN174</f>
        <v>0</v>
      </c>
      <c r="DP174" s="5"/>
      <c r="DQ174" s="5"/>
      <c r="DS174" s="5">
        <v>12</v>
      </c>
      <c r="DT174" s="5">
        <f>DT5*DS174+DU5*DS174+DT6*DS174+DU6*DS174+DT7*DS174+DU7*DS174+DT8*DS174+DU8*DS174+DT9*DS174+DU9*DS174+DT10*DS174+DU10*DS174+DT11*DS174+DU11*DS174+DT12*DS174+DU12*DS174+DT13*DS174+DU13*DS174+DT14*DS174+DU14*DS174+DT15*DS174+DU15*DS174+DT16*DS174+DU16*DS174+DT17*DS174+DU17*DS174+DT18*DS174+DU18*DS174+DT19*DS174+DU19*DS174+DT20*DS174+DU20*DS174+DT21*DS174+DU21*DS174+DT22*DS174+DU22*DS174+DT23*DS174+DU23*DS174+DT24*DS174+DU24*DS174+DT25*DS174+DU25*DS174+DT26*DS174+DU26*DS174+DV5*DS174+DV6*DS174+DV7*DS174+DV8*DS174+DV9*DS174+DV10*DS174+DV11*DS174+DV12*DS174+DV13*DS174+DV14*DS174+DV15*DS174+DV16*DS174+DV17*DS174+DV18*DS174+DV19*DS174+DV20*DS174+DV21*DS174+DV22*DS174+DV23*DS174+DV24*DS174+DV25*DS174+DV26*DS174</f>
        <v>0</v>
      </c>
      <c r="DU174" s="5"/>
      <c r="DV174" s="5"/>
      <c r="DX174" s="5">
        <v>12</v>
      </c>
      <c r="DY174" s="5">
        <f>DY5*DX174+DZ5*DX174+DY6*DX174+DZ6*DX174+DY7*DX174+DZ7*DX174+DY8*DX174+DZ8*DX174+DY9*DX174+DZ9*DX174+DY10*DX174+DZ10*DX174+DY11*DX174+DZ11*DX174+DY12*DX174+DZ12*DX174+DY13*DX174+DZ13*DX174+DY14*DX174+DZ14*DX174+DY15*DX174+DZ15*DX174+DY16*DX174+DZ16*DX174+DY17*DX174+DZ17*DX174+DY18*DX174+DZ18*DX174+DY19*DX174+DZ19*DX174+DY20*DX174+DZ20*DX174+DY21*DX174+DZ21*DX174+DY22*DX174+DZ22*DX174+DY23*DX174+DZ23*DX174+DY24*DX174+DZ24*DX174+DY25*DX174+DZ25*DX174+DY26*DX174+DZ26*DX174+EA5*DX174+EA6*DX174+EA7*DX174+EA8*DX174+EA9*DX174+EA10*DX174+EA11*DX174+EA12*DX174+EA13*DX174+EA14*DX174+EA15*DX174+EA16*DX174+EA17*DX174+EA18*DX174+EA19*DX174+EA20*DX174+EA21*DX174+EA22*DX174+EA23*DX174+EA24*DX174+EA25*DX174+EA26*DX174</f>
        <v>0</v>
      </c>
      <c r="DZ174" s="5"/>
      <c r="EA174" s="5"/>
      <c r="EC174" s="5">
        <v>12</v>
      </c>
      <c r="ED174" s="5">
        <f>ED5*EC174+EE5*EC174+ED6*EC174+EE6*EC174+ED7*EC174+EE7*EC174+ED8*EC174+EE8*EC174+ED9*EC174+EE9*EC174+ED10*EC174+EE10*EC174+ED11*EC174+EE11*EC174+ED12*EC174+EE12*EC174+ED13*EC174+EE13*EC174+ED14*EC174+EE14*EC174+ED15*EC174+EE15*EC174+ED16*EC174+EE16*EC174+ED17*EC174+EE17*EC174+ED18*EC174+EE18*EC174+ED19*EC174+EE19*EC174+ED20*EC174+EE20*EC174+ED21*EC174+EE21*EC174+ED22*EC174+EE22*EC174+ED23*EC174+EE23*EC174+ED24*EC174+EE24*EC174+ED25*EC174+EE25*EC174+ED26*EC174+EE26*EC174+EF5*EC174+EF6*EC174+EF7*EC174+EF8*EC174+EF9*EC174+EF10*EC174+EF11*EC174+EF12*EC174+EF13*EC174+EF14*EC174+EF15*EC174+EF16*EC174+EF17*EC174+EF18*EC174+EF19*EC174+EF20*EC174+EF21*EC174+EF22*EC174+EF23*EC174+EF24*EC174+EF25*EC174+EF26*EC174</f>
        <v>0</v>
      </c>
      <c r="EE174" s="5"/>
      <c r="EF174" s="5"/>
      <c r="EH174" s="5">
        <v>12</v>
      </c>
      <c r="EI174" s="5">
        <f>EI5*EH174+EJ5*EH174+EI6*EH174+EJ6*EH174+EI7*EH174+EJ7*EH174+EI8*EH174+EJ8*EH174+EI9*EH174+EJ9*EH174+EI10*EH174+EJ10*EH174+EI11*EH174+EJ11*EH174+EI12*EH174+EJ12*EH174+EI13*EH174+EJ13*EH174+EI14*EH174+EJ14*EH174+EI15*EH174+EJ15*EH174+EI16*EH174+EJ16*EH174+EI17*EH174+EJ17*EH174+EI18*EH174+EJ18*EH174+EI19*EH174+EJ19*EH174+EI20*EH174+EJ20*EH174+EI21*EH174+EJ21*EH174+EI22*EH174+EJ22*EH174+EI23*EH174+EJ23*EH174+EI24*EH174+EJ24*EH174+EI25*EH174+EJ25*EH174+EI26*EH174+EJ26*EH174+EK5*EH174+EK6*EH174+EK7*EH174+EK8*EH174+EK9*EH174+EK10*EH174+EK11*EH174+EK12*EH174+EK13*EH174+EK14*EH174+EK15*EH174+EK16*EH174+EK17*EH174+EK18*EH174+EK19*EH174+EK20*EH174+EK21*EH174+EK22*EH174+EK23*EH174+EK24*EH174+EK25*EH174+EK26*EH174</f>
        <v>0</v>
      </c>
      <c r="EJ174" s="5"/>
      <c r="EK174" s="5"/>
      <c r="EX174" s="659">
        <f t="shared" si="0"/>
        <v>0</v>
      </c>
    </row>
    <row r="175" spans="1:154" s="6" customFormat="1" ht="15" customHeight="1">
      <c r="A175" s="3"/>
      <c r="B175" s="210" t="s">
        <v>1508</v>
      </c>
      <c r="C175" s="473" t="s">
        <v>386</v>
      </c>
      <c r="D175" s="138"/>
      <c r="E175" s="5"/>
      <c r="F175" s="5"/>
      <c r="G175" s="5"/>
      <c r="H175" s="5"/>
      <c r="I175" s="4"/>
      <c r="J175" s="4"/>
      <c r="K175" s="4"/>
      <c r="L175" s="4"/>
      <c r="M175" s="4"/>
      <c r="N175" s="4"/>
      <c r="O175" s="4"/>
      <c r="P175" s="4"/>
      <c r="Q175" s="4"/>
      <c r="R175" s="5"/>
      <c r="S175" s="5"/>
      <c r="U175" s="5"/>
      <c r="W175" s="5"/>
      <c r="X175" s="5"/>
      <c r="Y175" s="5"/>
      <c r="Z175" s="5"/>
      <c r="AB175" s="5"/>
      <c r="AC175" s="5"/>
      <c r="AD175" s="5"/>
      <c r="AE175" s="5"/>
      <c r="AG175" s="5"/>
      <c r="AH175" s="5"/>
      <c r="AI175" s="5"/>
      <c r="AJ175" s="5"/>
      <c r="AL175" s="5"/>
      <c r="AM175" s="5"/>
      <c r="AN175" s="5"/>
      <c r="AO175" s="5"/>
      <c r="AQ175" s="5"/>
      <c r="AR175" s="5"/>
      <c r="AS175" s="5"/>
      <c r="AT175" s="5"/>
      <c r="BD175" s="5"/>
      <c r="BF175" s="5"/>
      <c r="BG175" s="5"/>
      <c r="BH175" s="5"/>
      <c r="BI175" s="5"/>
      <c r="BM175" s="5"/>
      <c r="BN175" s="5"/>
      <c r="BP175" s="5"/>
      <c r="BQ175" s="5"/>
      <c r="BR175" s="5"/>
      <c r="BS175" s="5"/>
      <c r="BU175" s="5"/>
      <c r="BV175" s="5"/>
      <c r="BW175" s="5"/>
      <c r="BX175" s="5"/>
      <c r="BZ175" s="5"/>
      <c r="CA175" s="5"/>
      <c r="CB175" s="5"/>
      <c r="CC175" s="5"/>
      <c r="CE175" s="5"/>
      <c r="CF175" s="5"/>
      <c r="CG175" s="5"/>
      <c r="CH175" s="5"/>
      <c r="CO175" s="13"/>
      <c r="CP175" s="5"/>
      <c r="CQ175" s="5"/>
      <c r="CR175" s="5"/>
      <c r="CT175" s="5"/>
      <c r="CU175" s="5"/>
      <c r="CV175" s="5"/>
      <c r="CW175" s="5"/>
      <c r="CY175" s="5"/>
      <c r="CZ175" s="5"/>
      <c r="DA175" s="5"/>
      <c r="DB175" s="5"/>
      <c r="DD175" s="5"/>
      <c r="DE175" s="5"/>
      <c r="DF175" s="5"/>
      <c r="DG175" s="5"/>
      <c r="DI175" s="5"/>
      <c r="DJ175" s="5"/>
      <c r="DK175" s="5"/>
      <c r="DL175" s="5"/>
      <c r="DN175" s="5"/>
      <c r="DO175" s="5"/>
      <c r="DP175" s="5"/>
      <c r="DQ175" s="5"/>
      <c r="DS175" s="5"/>
      <c r="DT175" s="5"/>
      <c r="DU175" s="5"/>
      <c r="DV175" s="5"/>
      <c r="DX175" s="5"/>
      <c r="DY175" s="5"/>
      <c r="DZ175" s="5"/>
      <c r="EA175" s="5"/>
      <c r="EC175" s="5"/>
      <c r="ED175" s="5"/>
      <c r="EE175" s="5"/>
      <c r="EF175" s="5"/>
      <c r="EH175" s="5"/>
      <c r="EI175" s="5"/>
      <c r="EJ175" s="5"/>
      <c r="EK175" s="5"/>
      <c r="EX175" s="659">
        <f t="shared" si="0"/>
        <v>0</v>
      </c>
    </row>
    <row r="176" spans="1:154" s="6" customFormat="1" ht="15" customHeight="1">
      <c r="A176" s="3" t="s">
        <v>5</v>
      </c>
      <c r="B176" s="210" t="s">
        <v>5</v>
      </c>
      <c r="C176" s="473" t="s">
        <v>386</v>
      </c>
      <c r="D176" s="138"/>
      <c r="E176" s="5"/>
      <c r="F176" s="5"/>
      <c r="G176" s="5"/>
      <c r="H176" s="5"/>
      <c r="I176" s="4"/>
      <c r="J176" s="4"/>
      <c r="K176" s="4"/>
      <c r="L176" s="4"/>
      <c r="M176" s="4"/>
      <c r="N176" s="4"/>
      <c r="O176" s="4"/>
      <c r="P176" s="4"/>
      <c r="Q176" s="4"/>
      <c r="R176" s="5"/>
      <c r="S176" s="5"/>
      <c r="U176" s="5"/>
      <c r="W176" s="5"/>
      <c r="X176" s="5"/>
      <c r="Y176" s="5"/>
      <c r="Z176" s="5"/>
      <c r="AB176" s="5"/>
      <c r="AC176" s="5"/>
      <c r="AD176" s="5"/>
      <c r="AE176" s="5"/>
      <c r="AG176" s="5"/>
      <c r="AH176" s="5"/>
      <c r="AI176" s="5"/>
      <c r="AJ176" s="5"/>
      <c r="AL176" s="5"/>
      <c r="AM176" s="5"/>
      <c r="AN176" s="5"/>
      <c r="AO176" s="5"/>
      <c r="AQ176" s="5"/>
      <c r="AR176" s="5"/>
      <c r="AS176" s="5"/>
      <c r="AT176" s="5"/>
      <c r="BD176" s="5"/>
      <c r="BF176" s="5"/>
      <c r="BG176" s="5"/>
      <c r="BH176" s="5"/>
      <c r="BI176" s="5"/>
      <c r="BM176" s="5"/>
      <c r="BN176" s="5"/>
      <c r="BP176" s="5"/>
      <c r="BQ176" s="5"/>
      <c r="BR176" s="5"/>
      <c r="BS176" s="5"/>
      <c r="BU176" s="5"/>
      <c r="BV176" s="5"/>
      <c r="BW176" s="5"/>
      <c r="BX176" s="5"/>
      <c r="BZ176" s="5"/>
      <c r="CA176" s="5"/>
      <c r="CB176" s="5"/>
      <c r="CC176" s="5"/>
      <c r="CE176" s="5"/>
      <c r="CF176" s="5"/>
      <c r="CG176" s="5"/>
      <c r="CH176" s="5"/>
      <c r="CO176" s="13"/>
      <c r="CP176" s="5"/>
      <c r="CQ176" s="5"/>
      <c r="CR176" s="5"/>
      <c r="CT176" s="5"/>
      <c r="CU176" s="5"/>
      <c r="CV176" s="5"/>
      <c r="CW176" s="5"/>
      <c r="CY176" s="5"/>
      <c r="CZ176" s="5"/>
      <c r="DA176" s="5"/>
      <c r="DB176" s="5"/>
      <c r="DD176" s="5"/>
      <c r="DE176" s="5"/>
      <c r="DF176" s="5"/>
      <c r="DG176" s="5"/>
      <c r="DI176" s="5">
        <v>6</v>
      </c>
      <c r="DJ176" s="5">
        <f>SUM(DJ5:DJ26,DK5:DK26,DL5:DL26)*DI176</f>
        <v>0</v>
      </c>
      <c r="DK176" s="5"/>
      <c r="DL176" s="5"/>
      <c r="DN176" s="5">
        <v>6</v>
      </c>
      <c r="DO176" s="5">
        <f>SUM(DO5:DO26,DP5:DP26,DQ5:DQ26)*DN176</f>
        <v>0</v>
      </c>
      <c r="DP176" s="5"/>
      <c r="DQ176" s="5"/>
      <c r="DS176" s="5">
        <v>5</v>
      </c>
      <c r="DT176" s="5">
        <f>DT6*DS176+DU6*DS176+DT7*DS176+DU7*DS176+DT8*DS176+DU8*DS176+DT9*DS176+DU9*DS176+DT10*DS176+DU10*DS176+DT11*DS176+DU11*DS176+DT12*DS176+DU12*DS176+DT13*DS176+DU13*DS176+DT14*DS176+DU14*DS176+DT15*DS176+DU15*DS176+DT16*DS176+DU16*DS176+DT17*DS176+DU17*DS176+DT18*DS176+DU18*DS176+DT19*DS176+DU19*DS176+DT20*DS176+DU20*DS176+DT21*DS176+DU21*DS176+DT22*DS176+DU22*DS176+DT23*DS176+DU23*DS176+DT24*DS176+DU24*DS176+DT25*DS176+DU25*DS176+DT26*DS176+DU26*DS176+DT5*DS176+DU5*DS176+DV5*DS176+DV6*DS176+DV7*DS176+DV15*DS176+DV8*DS176+DV16*DS176+DV9*DS176+DV17*DS176+DV10*DS176+DV18*DS176+DV11*DS176+DV19*DS176+DV12*DS176+DV20*DS176+DV13*DS176+DV21*DS176+DV14*DS176+DV21*DS176+DV22*DS176+DV23*DS176+DV24*DS176+DV22*DS176+DV25*DS176+DV26*DS176</f>
        <v>0</v>
      </c>
      <c r="DU176" s="5"/>
      <c r="DV176" s="5"/>
      <c r="DX176" s="5">
        <v>6</v>
      </c>
      <c r="DY176" s="5">
        <f>DY6*DX176+DZ6*DX176+DY7*DX176+DZ7*DX176+DY8*DX176+DZ8*DX176+DY9*DX176+DZ9*DX176+DY10*DX176+DZ10*DX176+DY11*DX176+DZ11*DX176+DY12*DX176+DZ12*DX176+DY13*DX176+DZ13*DX176+DY14*DX176+DZ14*DX176+DY15*DX176+DZ15*DX176+DY16*DX176+DZ16*DX176+DY17*DX176+DZ17*DX176+DY18*DX176+DZ18*DX176+DY19*DX176+DZ19*DX176+DY20*DX176+DZ20*DX176+DY21*DX176+DZ21*DX176+DY22*DX176+DZ22*DX176+DY23*DX176+DZ23*DX176+DY24*DX176+DZ24*DX176+DY25*DX176+DZ25*DX176+DY26*DX176+DZ26*DX176+DY5*DX176+DZ5*DX176+EA5*DX176+EA6*DX176+EA7*DX176+EA15*DX176+EA8*DX176+EA16*DX176+EA9*DX176+EA17*DX176+EA10*DX176+EA18*DX176+EA11*DX176+EA19*DX176+EA12*DX176+EA20*DX176+EA13*DX176+EA21*DX176+EA14*DX176+EA21*DX176+EA22*DX176+EA23*DX176+EA24*DX176+EA22*DX176+EA25*DX176+EA26*DX176</f>
        <v>0</v>
      </c>
      <c r="DZ176" s="5"/>
      <c r="EA176" s="5"/>
      <c r="EC176" s="5">
        <v>5</v>
      </c>
      <c r="ED176" s="5">
        <f>ED6*EC176+EE6*EC176+ED7*EC176+EE7*EC176+ED8*EC176+EE8*EC176+ED9*EC176+EE9*EC176+ED10*EC176+EE10*EC176+ED11*EC176+EE11*EC176+ED12*EC176+EE12*EC176+ED13*EC176+EE13*EC176+ED14*EC176+EE14*EC176+ED15*EC176+EE15*EC176+ED16*EC176+EE16*EC176+ED17*EC176+EE17*EC176+ED18*EC176+EE18*EC176+ED19*EC176+EE19*EC176+ED20*EC176+EE20*EC176+ED21*EC176+EE21*EC176+ED22*EC176+EE22*EC176+ED23*EC176+EE23*EC176+ED24*EC176+EE24*EC176+ED25*EC176+EE25*EC176+ED26*EC176+EE26*EC176+ED5*EC176+EE5*EC176+EF5*EC176+EF6*EC176+EF7*EC176+EF15*EC176+EF8*EC176+EF16*EC176+EF9*EC176+EF17*EC176+EF10*EC176+EF18*EC176+EF11*EC176+EF19*EC176+EF12*EC176+EF20*EC176+EF13*EC176+EF21*EC176+EF14*EC176+EF21*EC176+EF22*EC176+EF23*EC176+EF24*EC176+EF22*EC176+EF25*EC176+EF26*EC176</f>
        <v>0</v>
      </c>
      <c r="EE176" s="5"/>
      <c r="EF176" s="5"/>
      <c r="EH176" s="5">
        <v>6</v>
      </c>
      <c r="EI176" s="5">
        <f>EI6*EH176+EJ6*EH176+EI7*EH176+EJ7*EH176+EI8*EH176+EJ8*EH176+EI9*EH176+EJ9*EH176+EI10*EH176+EJ10*EH176+EI11*EH176+EJ11*EH176+EI12*EH176+EJ12*EH176+EI13*EH176+EJ13*EH176+EI14*EH176+EJ14*EH176+EI15*EH176+EJ15*EH176+EI16*EH176+EJ16*EH176+EI17*EH176+EJ17*EH176+EI18*EH176+EJ18*EH176+EI19*EH176+EJ19*EH176+EI20*EH176+EJ20*EH176+EI21*EH176+EJ21*EH176+EI22*EH176+EJ22*EH176+EI23*EH176+EJ23*EH176+EI24*EH176+EJ24*EH176+EI25*EH176+EJ25*EH176+EI26*EH176+EJ26*EH176+EI5*EH176+EJ5*EH176+EK5*EH176+EK6*EH176+EK7*EH176+EK15*EH176+EK8*EH176+EK16*EH176+EK9*EH176+EK17*EH176+EK10*EH176+EK18*EH176+EK11*EH176+EK19*EH176+EK12*EH176+EK20*EH176+EK13*EH176+EK21*EH176+EK14*EH176+EK21*EH176+EK22*EH176+EK23*EH176+EK24*EH176+EK22*EH176+EK25*EH176+EK26*EH176</f>
        <v>0</v>
      </c>
      <c r="EJ176" s="5"/>
      <c r="EK176" s="5"/>
      <c r="EX176" s="659">
        <f t="shared" si="0"/>
        <v>0</v>
      </c>
    </row>
    <row r="177" spans="1:155" s="6" customFormat="1" ht="15" customHeight="1">
      <c r="A177" s="3"/>
      <c r="B177" s="210" t="s">
        <v>1739</v>
      </c>
      <c r="C177" s="473" t="s">
        <v>168</v>
      </c>
      <c r="D177" s="138"/>
      <c r="E177" s="5"/>
      <c r="F177" s="5"/>
      <c r="G177" s="5"/>
      <c r="H177" s="5"/>
      <c r="I177" s="4"/>
      <c r="J177" s="4"/>
      <c r="K177" s="4"/>
      <c r="L177" s="4"/>
      <c r="M177" s="4"/>
      <c r="N177" s="4"/>
      <c r="O177" s="4"/>
      <c r="P177" s="4"/>
      <c r="Q177" s="4"/>
      <c r="R177" s="5"/>
      <c r="S177" s="5"/>
      <c r="U177" s="5"/>
      <c r="W177" s="5"/>
      <c r="X177" s="5"/>
      <c r="Y177" s="5"/>
      <c r="Z177" s="5"/>
      <c r="AB177" s="5"/>
      <c r="AC177" s="5"/>
      <c r="AD177" s="5"/>
      <c r="AE177" s="5"/>
      <c r="AG177" s="5"/>
      <c r="AH177" s="5"/>
      <c r="AI177" s="5"/>
      <c r="AJ177" s="5"/>
      <c r="AL177" s="5"/>
      <c r="AM177" s="5"/>
      <c r="AN177" s="5"/>
      <c r="AO177" s="5"/>
      <c r="AQ177" s="5"/>
      <c r="AR177" s="5"/>
      <c r="AS177" s="5"/>
      <c r="AT177" s="5"/>
      <c r="BD177" s="5"/>
      <c r="BF177" s="5"/>
      <c r="BG177" s="5"/>
      <c r="BH177" s="5"/>
      <c r="BI177" s="5"/>
      <c r="BM177" s="5"/>
      <c r="BN177" s="5"/>
      <c r="BP177" s="5"/>
      <c r="BQ177" s="5"/>
      <c r="BR177" s="5"/>
      <c r="BS177" s="5"/>
      <c r="BU177" s="5"/>
      <c r="BV177" s="5"/>
      <c r="BW177" s="5"/>
      <c r="BX177" s="5"/>
      <c r="BZ177" s="5"/>
      <c r="CA177" s="5"/>
      <c r="CB177" s="5"/>
      <c r="CC177" s="5"/>
      <c r="CE177" s="5"/>
      <c r="CF177" s="5"/>
      <c r="CG177" s="5"/>
      <c r="CH177" s="5"/>
      <c r="CO177" s="13"/>
      <c r="CP177" s="5"/>
      <c r="CQ177" s="5"/>
      <c r="CR177" s="5"/>
      <c r="CT177" s="5"/>
      <c r="CU177" s="5"/>
      <c r="CV177" s="5"/>
      <c r="CW177" s="5"/>
      <c r="CY177" s="5"/>
      <c r="CZ177" s="5"/>
      <c r="DA177" s="5"/>
      <c r="DB177" s="5"/>
      <c r="DD177" s="5"/>
      <c r="DE177" s="5"/>
      <c r="DF177" s="5"/>
      <c r="DG177" s="5"/>
      <c r="DI177" s="5"/>
      <c r="DJ177" s="5"/>
      <c r="DK177" s="5"/>
      <c r="DL177" s="5"/>
      <c r="DN177" s="5" t="s">
        <v>1085</v>
      </c>
      <c r="DO177" s="5">
        <f>IF(SUM(ET5:ET12,EU5:EU12,EV5:EV12,EW5:EW12)&gt;=1,SUM(EN5:EN12,EO5:EO12,EP5:EP12,EQ5:EQ12)*60,SUM(EN5:EN12,EO5:EO12,EP5:EP12,EQ5:EQ12)*25+SUM(EN295:EN308)*35)</f>
        <v>0</v>
      </c>
      <c r="DP177" s="5"/>
      <c r="DQ177" s="5"/>
      <c r="DS177" s="5" t="s">
        <v>1568</v>
      </c>
      <c r="DT177" s="5"/>
      <c r="DU177" s="5"/>
      <c r="DV177" s="5"/>
      <c r="DX177" s="5" t="s">
        <v>1568</v>
      </c>
      <c r="DY177" s="5"/>
      <c r="DZ177" s="5"/>
      <c r="EA177" s="5"/>
      <c r="EC177" s="5" t="s">
        <v>1568</v>
      </c>
      <c r="ED177" s="5"/>
      <c r="EE177" s="5"/>
      <c r="EF177" s="5"/>
      <c r="EH177" s="5" t="s">
        <v>1568</v>
      </c>
      <c r="EI177" s="5"/>
      <c r="EJ177" s="5"/>
      <c r="EK177" s="5"/>
      <c r="EX177" s="659">
        <f t="shared" si="0"/>
        <v>0</v>
      </c>
    </row>
    <row r="178" spans="1:155" s="6" customFormat="1" ht="15" customHeight="1">
      <c r="A178" s="3"/>
      <c r="B178" s="210" t="s">
        <v>1689</v>
      </c>
      <c r="C178" s="473" t="s">
        <v>0</v>
      </c>
      <c r="D178" s="138"/>
      <c r="E178" s="5"/>
      <c r="F178" s="5"/>
      <c r="G178" s="5"/>
      <c r="H178" s="5"/>
      <c r="I178" s="4"/>
      <c r="J178" s="4"/>
      <c r="K178" s="4"/>
      <c r="L178" s="4"/>
      <c r="M178" s="4"/>
      <c r="N178" s="4"/>
      <c r="O178" s="4"/>
      <c r="P178" s="4"/>
      <c r="Q178" s="4"/>
      <c r="R178" s="5"/>
      <c r="S178" s="5"/>
      <c r="U178" s="5"/>
      <c r="W178" s="5"/>
      <c r="X178" s="5"/>
      <c r="Y178" s="5"/>
      <c r="Z178" s="5"/>
      <c r="AB178" s="5"/>
      <c r="AC178" s="5"/>
      <c r="AD178" s="5"/>
      <c r="AE178" s="5"/>
      <c r="AG178" s="5"/>
      <c r="AH178" s="5"/>
      <c r="AI178" s="5"/>
      <c r="AJ178" s="5"/>
      <c r="AL178" s="5"/>
      <c r="AM178" s="5"/>
      <c r="AN178" s="5"/>
      <c r="AO178" s="5"/>
      <c r="AQ178" s="5"/>
      <c r="AR178" s="5"/>
      <c r="AS178" s="5"/>
      <c r="AT178" s="5"/>
      <c r="BD178" s="5"/>
      <c r="BF178" s="5"/>
      <c r="BG178" s="5"/>
      <c r="BH178" s="5"/>
      <c r="BI178" s="5"/>
      <c r="BM178" s="5"/>
      <c r="BN178" s="5"/>
      <c r="BP178" s="5"/>
      <c r="BQ178" s="5"/>
      <c r="BR178" s="5"/>
      <c r="BS178" s="5"/>
      <c r="BU178" s="5"/>
      <c r="BV178" s="5"/>
      <c r="BW178" s="5"/>
      <c r="BX178" s="5"/>
      <c r="BZ178" s="5"/>
      <c r="CA178" s="5"/>
      <c r="CB178" s="5"/>
      <c r="CC178" s="5"/>
      <c r="CE178" s="5"/>
      <c r="CF178" s="5"/>
      <c r="CG178" s="5"/>
      <c r="CH178" s="5"/>
      <c r="CO178" s="13"/>
      <c r="CP178" s="5"/>
      <c r="CQ178" s="5"/>
      <c r="CR178" s="5"/>
      <c r="CT178" s="5"/>
      <c r="CU178" s="5"/>
      <c r="CV178" s="5"/>
      <c r="CW178" s="5"/>
      <c r="CY178" s="5"/>
      <c r="CZ178" s="5"/>
      <c r="DA178" s="5"/>
      <c r="DB178" s="5"/>
      <c r="DD178" s="5"/>
      <c r="DE178" s="5"/>
      <c r="DF178" s="5"/>
      <c r="DG178" s="5"/>
      <c r="DI178" s="5"/>
      <c r="DJ178" s="5"/>
      <c r="DK178" s="5"/>
      <c r="DL178" s="5"/>
      <c r="DN178" s="5"/>
      <c r="DO178" s="5"/>
      <c r="DP178" s="5"/>
      <c r="DQ178" s="5"/>
      <c r="DS178" s="5"/>
      <c r="DT178" s="5"/>
      <c r="DU178" s="5"/>
      <c r="DV178" s="5"/>
      <c r="DX178" s="5"/>
      <c r="DY178" s="5"/>
      <c r="DZ178" s="5"/>
      <c r="EA178" s="5"/>
      <c r="EC178" s="5"/>
      <c r="ED178" s="5"/>
      <c r="EE178" s="5"/>
      <c r="EF178" s="5"/>
      <c r="EH178" s="5"/>
      <c r="EI178" s="5"/>
      <c r="EJ178" s="5"/>
      <c r="EK178" s="5"/>
      <c r="EN178" s="6">
        <f>SUM(EN295:EN300)*1</f>
        <v>0</v>
      </c>
      <c r="EX178" s="659">
        <f t="shared" si="0"/>
        <v>0</v>
      </c>
    </row>
    <row r="179" spans="1:155" s="6" customFormat="1" ht="15" customHeight="1">
      <c r="A179" s="3" t="s">
        <v>6</v>
      </c>
      <c r="B179" s="210" t="s">
        <v>455</v>
      </c>
      <c r="C179" s="473" t="s">
        <v>515</v>
      </c>
      <c r="D179" s="138"/>
      <c r="E179" s="5">
        <v>3</v>
      </c>
      <c r="F179" s="5">
        <f>IF(SUM($ER$5:$ER$15)&gt;=750,0,SUM(G5:G26,H5:H26)*E179)</f>
        <v>0</v>
      </c>
      <c r="G179" s="5"/>
      <c r="H179" s="5"/>
      <c r="I179" s="4"/>
      <c r="J179" s="4"/>
      <c r="K179" s="4"/>
      <c r="L179" s="4"/>
      <c r="M179" s="5">
        <v>3</v>
      </c>
      <c r="N179" s="5">
        <f>SUM(O5:O26,P5:P26)*M179</f>
        <v>0</v>
      </c>
      <c r="O179" s="4"/>
      <c r="P179" s="4"/>
      <c r="Q179" s="4"/>
      <c r="R179" s="5"/>
      <c r="S179" s="5"/>
      <c r="U179" s="5"/>
      <c r="W179" s="5"/>
      <c r="X179" s="5"/>
      <c r="Y179" s="5"/>
      <c r="Z179" s="5"/>
      <c r="AB179" s="5"/>
      <c r="AC179" s="5"/>
      <c r="AD179" s="5"/>
      <c r="AE179" s="5"/>
      <c r="AG179" s="5">
        <v>3</v>
      </c>
      <c r="AH179" s="5">
        <f>SUM(AI5:AI26,AJ5:AJ26)*AG179</f>
        <v>0</v>
      </c>
      <c r="AI179" s="5"/>
      <c r="AJ179" s="5"/>
      <c r="AL179" s="5">
        <v>3</v>
      </c>
      <c r="AM179" s="5">
        <f>SUM(AN5:AN26,AO5:AO26)*AL179</f>
        <v>0</v>
      </c>
      <c r="AN179" s="5"/>
      <c r="AO179" s="5"/>
      <c r="AQ179" s="5">
        <v>3</v>
      </c>
      <c r="AR179" s="5">
        <f>SUM(AS5:AS26,AT5:AT26)*AQ179</f>
        <v>0</v>
      </c>
      <c r="AS179" s="5"/>
      <c r="AT179" s="5"/>
      <c r="BD179" s="5"/>
      <c r="BF179" s="5"/>
      <c r="BG179" s="5"/>
      <c r="BH179" s="5"/>
      <c r="BI179" s="5"/>
      <c r="BK179" s="5">
        <v>3</v>
      </c>
      <c r="BL179" s="5">
        <f>SUM(BM5:BM26,BN5:BN26)*BK179</f>
        <v>0</v>
      </c>
      <c r="BM179" s="5"/>
      <c r="BN179" s="5"/>
      <c r="BP179" s="5">
        <v>3</v>
      </c>
      <c r="BQ179" s="5">
        <f>IF(SUM($ER$5:$ER$15)&gt;=750,0,SUM(BR5:BR26,BS5:BS26)*BP179)</f>
        <v>0</v>
      </c>
      <c r="BR179" s="5"/>
      <c r="BS179" s="5"/>
      <c r="BU179" s="5">
        <v>3</v>
      </c>
      <c r="BV179" s="5">
        <f>IF(SUM($ER$5:$ER$15)&gt;=750,0,SUM(BW5:BW26,BX5:BX26)*BU179)</f>
        <v>0</v>
      </c>
      <c r="BW179" s="5"/>
      <c r="BX179" s="5"/>
      <c r="BZ179" s="5">
        <v>3</v>
      </c>
      <c r="CA179" s="5">
        <f>SUM(CB5:CB26,CC5:CC26)*BZ179</f>
        <v>0</v>
      </c>
      <c r="CB179" s="5"/>
      <c r="CC179" s="5"/>
      <c r="CE179" s="5">
        <v>3</v>
      </c>
      <c r="CF179" s="5">
        <f>IF(SUM($ER$5:$ER$15)&gt;=750,0,SUM(CG5:CG26,CH5:CH26)*CE179)</f>
        <v>0</v>
      </c>
      <c r="CG179" s="5"/>
      <c r="CH179" s="5"/>
      <c r="CJ179" s="6">
        <v>3</v>
      </c>
      <c r="CK179" s="6">
        <f>CL18*CJ179+CL19*CJ179+CL20*CJ179+CL21*CJ179+CL22*CJ179+CL23*CJ179+CL24*CJ179+CL25*CJ179+CL26*CJ179+CL5*CJ179+CL6*CJ179+CL7*CJ179+CL8*CJ179+CL9*CJ179+CL10*CJ179+CL11*CJ179+CL12*CJ179+CL13*CJ179+CL14*CJ179+CL15*CJ179+CL16*CJ179+CL17*CJ179+CM18*CJ179+CM19*CJ179+CM20*CJ179+CM21*CJ179+CM22*CJ179+CM23*CJ179+CM24*CJ179+CM25*CJ179+CM26*CJ179+CM5*CJ179+CM6*CJ179+CM7*CJ179+CM8*CJ179+CM9*CJ179+CM10*CJ179+CM11*CJ179+CM12*CJ179+CM13*CJ179+CM14*CJ179+CM15*CJ179+CM16*CJ179+CM17*CJ179</f>
        <v>0</v>
      </c>
      <c r="CO179" s="13">
        <v>3</v>
      </c>
      <c r="CP179" s="5">
        <f>CQ18*CO179+CQ19*CO179+CQ20*CO179+CQ21*CO179+CQ22*CO179+CQ23*CO179+CQ24*CO179+CQ25*CO179+CQ26*CO179+CQ5*CO179+CQ6*CO179+CQ7*CO179+CQ8*CO179+CQ9*CO179+CQ10*CO179+CQ11*CO179+CQ12*CO179+CQ13*CO179+CQ14*CO179+CQ15*CO179+CQ16*CO179+CQ17*CO179+CR18*CO179+CR19*CO179+CR20*CO179+CR21*CO179+CR22*CO179+CR23*CO179+CR24*CO179+CR25*CO179+CR26*CO179+CR5*CO179+CR6*CO179+CR7*CO179+CR8*CO179+CR9*CO179+CR10*CO179+CR11*CO179+CR12*CO179+CR13*CO179+CR14*CO179+CR15*CO179+CR16*CO179+CR17*CO179</f>
        <v>0</v>
      </c>
      <c r="CQ179" s="5"/>
      <c r="CR179" s="5"/>
      <c r="CT179" s="5">
        <v>3</v>
      </c>
      <c r="CU179" s="5">
        <f>IF(SUM($ER$5:$ER$15)&gt;=750,0,SUM(CV5:CV26,CW5:CW26)*CT179)</f>
        <v>0</v>
      </c>
      <c r="CV179" s="5"/>
      <c r="CW179" s="5"/>
      <c r="CY179" s="5">
        <v>6</v>
      </c>
      <c r="CZ179" s="5">
        <f>IF(SUM($ER$5:$ER$15)&gt;=750,0,SUM(DA5:DA26,DB5:DB26)*CY179)</f>
        <v>0</v>
      </c>
      <c r="DA179" s="5"/>
      <c r="DB179" s="5"/>
      <c r="DD179" s="5">
        <v>6</v>
      </c>
      <c r="DE179" s="5">
        <f>SUM(DF5:DF26,DG5:DG26,DE5:DE26)*DD179</f>
        <v>0</v>
      </c>
      <c r="DF179" s="5"/>
      <c r="DG179" s="5"/>
      <c r="DI179" s="5">
        <v>3</v>
      </c>
      <c r="DJ179" s="5">
        <f>SUM(DK5:DK26,DL5:DL26)*DI179</f>
        <v>0</v>
      </c>
      <c r="DK179" s="5"/>
      <c r="DL179" s="5"/>
      <c r="DN179" s="5">
        <v>3</v>
      </c>
      <c r="DO179" s="5">
        <f>SUM(DP5:DP26,DQ5:DQ26)*DN179</f>
        <v>0</v>
      </c>
      <c r="DP179" s="5"/>
      <c r="DQ179" s="5"/>
      <c r="DS179" s="5">
        <v>3</v>
      </c>
      <c r="DT179" s="5">
        <f>SUM(DU5:DU26,DV5:DV26)*DS179</f>
        <v>0</v>
      </c>
      <c r="DU179" s="5"/>
      <c r="DV179" s="5"/>
      <c r="DX179" s="5">
        <v>3</v>
      </c>
      <c r="DY179" s="5">
        <f>SUM(DZ5:DZ26,EA5:EA26)*DX179</f>
        <v>0</v>
      </c>
      <c r="DZ179" s="5"/>
      <c r="EA179" s="5"/>
      <c r="EC179" s="5">
        <v>3</v>
      </c>
      <c r="ED179" s="5">
        <f>SUM(EE5:EE26,EF5:EF26)*EC179</f>
        <v>0</v>
      </c>
      <c r="EE179" s="5"/>
      <c r="EF179" s="5"/>
      <c r="EH179" s="5">
        <v>3</v>
      </c>
      <c r="EI179" s="5">
        <f>SUM(EJ5:EJ26,EK5:EK26)*EH179</f>
        <v>0</v>
      </c>
      <c r="EJ179" s="5"/>
      <c r="EK179" s="5"/>
      <c r="EX179" s="659">
        <f t="shared" si="0"/>
        <v>0</v>
      </c>
    </row>
    <row r="180" spans="1:155" s="6" customFormat="1" ht="15" customHeight="1">
      <c r="A180" s="3" t="s">
        <v>37</v>
      </c>
      <c r="B180" s="210" t="s">
        <v>454</v>
      </c>
      <c r="C180" s="473" t="s">
        <v>515</v>
      </c>
      <c r="D180" s="138"/>
      <c r="E180" s="5">
        <v>3</v>
      </c>
      <c r="F180" s="5">
        <f>IF(SUM($ER$5:$ER$15)&gt;=750,0,SUM(F5:F23)*E180)</f>
        <v>0</v>
      </c>
      <c r="G180" s="5"/>
      <c r="H180" s="5"/>
      <c r="I180" s="4"/>
      <c r="J180" s="4"/>
      <c r="K180" s="4"/>
      <c r="L180" s="4"/>
      <c r="M180" s="5">
        <v>3</v>
      </c>
      <c r="N180" s="5">
        <f>SUM(N5:N26)*M180</f>
        <v>0</v>
      </c>
      <c r="O180" s="4"/>
      <c r="P180" s="4"/>
      <c r="Q180" s="4"/>
      <c r="R180" s="5"/>
      <c r="S180" s="5"/>
      <c r="U180" s="5"/>
      <c r="W180" s="5"/>
      <c r="X180" s="5"/>
      <c r="Y180" s="5"/>
      <c r="Z180" s="5"/>
      <c r="AB180" s="5"/>
      <c r="AC180" s="5"/>
      <c r="AD180" s="5"/>
      <c r="AE180" s="5"/>
      <c r="AG180" s="5">
        <v>3</v>
      </c>
      <c r="AH180" s="5">
        <f>SUM(AH5:AH26)*AG180</f>
        <v>0</v>
      </c>
      <c r="AI180" s="5"/>
      <c r="AJ180" s="5"/>
      <c r="AL180" s="5">
        <v>3</v>
      </c>
      <c r="AM180" s="5">
        <f>SUM(AM5:AM26)*AL180</f>
        <v>0</v>
      </c>
      <c r="AN180" s="5"/>
      <c r="AO180" s="5"/>
      <c r="AQ180" s="5">
        <v>3</v>
      </c>
      <c r="AR180" s="5">
        <f>SUM(AR5:AR26)*AQ180</f>
        <v>0</v>
      </c>
      <c r="AS180" s="5"/>
      <c r="AT180" s="5"/>
      <c r="BD180" s="5"/>
      <c r="BF180" s="5"/>
      <c r="BG180" s="5"/>
      <c r="BH180" s="5"/>
      <c r="BI180" s="5"/>
      <c r="BK180" s="5">
        <v>3</v>
      </c>
      <c r="BL180" s="5">
        <f>SUM(BL5:BL26)*BK180</f>
        <v>0</v>
      </c>
      <c r="BM180" s="5"/>
      <c r="BN180" s="5"/>
      <c r="BP180" s="5">
        <v>3</v>
      </c>
      <c r="BQ180" s="5">
        <f>IF(SUM($ER$5:$ER$15)&gt;=750,0,SUM(BQ5:BQ23)*BP180)</f>
        <v>0</v>
      </c>
      <c r="BR180" s="5"/>
      <c r="BS180" s="5"/>
      <c r="BT180" s="161">
        <f>IF(SUM(EN5:EQ5)*(15)+SUM(EN6:EQ6)*(30)+SUM(EN7:EQ7)*(45)+SUM(EN8:EQ8)*(75)+SUM(EN9:EQ9)*(113)+SUM(EN10:EQ10)*(150)+SUM(EN11:EQ11)*(225)+SUM(EN12:EQ12)*(300)&gt;749,3,0)</f>
        <v>0</v>
      </c>
      <c r="BU180" s="5">
        <v>3</v>
      </c>
      <c r="BV180" s="5">
        <f>IF(SUM($ER$5:$ER$15)&gt;=750,0,SUM(BV5:BV23)*BU180)</f>
        <v>0</v>
      </c>
      <c r="BW180" s="5"/>
      <c r="BX180" s="5"/>
      <c r="BY180" s="6">
        <f>IF(SUM(EN5:EQ5)*(15)+SUM(EN6:EQ6)*(30)+SUM(EN7:EQ7)*(45)+SUM(EN8:EQ8)*(75)+SUM(EN9:EQ9)*(113)+SUM(EN10:EQ10)*(150)+SUM(EN11:EQ11)*(225)+SUM(EN12:EQ12)*(300)&gt;749,3,0)</f>
        <v>0</v>
      </c>
      <c r="BZ180" s="5">
        <v>3</v>
      </c>
      <c r="CA180" s="5">
        <f>SUM(CA5:CA26)*BZ180</f>
        <v>0</v>
      </c>
      <c r="CB180" s="5"/>
      <c r="CC180" s="5"/>
      <c r="CE180" s="5">
        <v>3</v>
      </c>
      <c r="CF180" s="5">
        <f>IF(SUM($ER$5:$ER$15)&gt;=750,0,SUM(CF5:CF23)*CE180)</f>
        <v>0</v>
      </c>
      <c r="CG180" s="5"/>
      <c r="CH180" s="5"/>
      <c r="CI180" s="6">
        <f>IF(SUM(EN5:EQ5)*(15)+SUM(EN6:EQ6)*(30)+SUM(EN7:EQ7)*(45)+SUM(EN8:EQ8)*(75)+SUM(EN9:EQ9)*(113)+SUM(EN10:EQ10)*(150)+SUM(EN11:EQ11)*(225)+SUM(EN12:EQ12)*(300)&gt;749,3,0)</f>
        <v>0</v>
      </c>
      <c r="CJ180" s="6">
        <v>3</v>
      </c>
      <c r="CK180" s="6">
        <f>CK18*CJ180+CK19*CJ180+CK20*CJ180+CK21*CJ180+CK22*CJ180+CK23*CJ180+CK24*CJ180+CK25*CJ180+CK26*CJ180+CK5*CJ180+CK6*CJ180+CK7*CJ180+CK8*CJ180+CK9*CJ180+CK10*CJ180+CK11*CJ180+CK12*CJ180+CK13*CJ180+CK14*CJ180+CK15*CJ180+CK16*CJ180+CK17*CJ180</f>
        <v>0</v>
      </c>
      <c r="CO180" s="13">
        <v>3</v>
      </c>
      <c r="CP180" s="5">
        <f>CP18*CO180+CP19*CO180+CP20*CO180+CP21*CO180+CP22*CO180+CP23*CO180+CP24*CO180+CP25*CO180+CP26*CO180+CP5*CO180+CP6*CO180+CP7*CO180+CP8*CO180+CP9*CO180+CP10*CO180+CP11*CO180+CP12*CO180+CP13*CO180+CP14*CO180+CP15*CO180+CP16*CO180+CP17*CO180</f>
        <v>0</v>
      </c>
      <c r="CQ180" s="5"/>
      <c r="CR180" s="5"/>
      <c r="CT180" s="5">
        <v>3</v>
      </c>
      <c r="CU180" s="5">
        <f>IF(SUM($ER$5:$ER$15)&gt;=750,0,SUM(CU5:CU23)*CT180)</f>
        <v>0</v>
      </c>
      <c r="CV180" s="5"/>
      <c r="CW180" s="5"/>
      <c r="CY180" s="5">
        <v>3</v>
      </c>
      <c r="CZ180" s="5">
        <f>IF(SUM($ER$5:$ER$15)&gt;=750,0,SUM(CZ5:CZ23)*CY180)</f>
        <v>0</v>
      </c>
      <c r="DA180" s="5"/>
      <c r="DB180" s="5"/>
      <c r="DD180" s="5"/>
      <c r="DE180" s="5"/>
      <c r="DF180" s="5"/>
      <c r="DG180" s="5"/>
      <c r="DI180" s="5">
        <v>3</v>
      </c>
      <c r="DJ180" s="5">
        <f>SUM(DJ5:DJ26)*DI180</f>
        <v>0</v>
      </c>
      <c r="DK180" s="5"/>
      <c r="DL180" s="5"/>
      <c r="DN180" s="5">
        <v>3</v>
      </c>
      <c r="DO180" s="5">
        <f>SUM(DO5:DO26)*DN180</f>
        <v>0</v>
      </c>
      <c r="DP180" s="5"/>
      <c r="DQ180" s="5"/>
      <c r="DS180" s="5">
        <v>3</v>
      </c>
      <c r="DT180" s="5">
        <f>SUM(DT5:DT26)*DS180</f>
        <v>0</v>
      </c>
      <c r="DU180" s="5"/>
      <c r="DV180" s="5"/>
      <c r="DX180" s="5">
        <v>3</v>
      </c>
      <c r="DY180" s="5">
        <f>SUM(DY5:DY26)*DX180</f>
        <v>0</v>
      </c>
      <c r="DZ180" s="5"/>
      <c r="EA180" s="5"/>
      <c r="EC180" s="5">
        <v>3</v>
      </c>
      <c r="ED180" s="5">
        <f>SUM(ED5:ED26)*EC180</f>
        <v>0</v>
      </c>
      <c r="EE180" s="5"/>
      <c r="EF180" s="5"/>
      <c r="EH180" s="5">
        <v>3</v>
      </c>
      <c r="EI180" s="5">
        <f>SUM(EI5:EI26)*EH180</f>
        <v>0</v>
      </c>
      <c r="EJ180" s="5"/>
      <c r="EK180" s="5"/>
      <c r="EX180" s="659">
        <f t="shared" si="0"/>
        <v>0</v>
      </c>
    </row>
    <row r="181" spans="1:155" s="6" customFormat="1" ht="15" customHeight="1">
      <c r="A181" s="3"/>
      <c r="B181" s="117" t="s">
        <v>1254</v>
      </c>
      <c r="C181" s="4" t="s">
        <v>0</v>
      </c>
      <c r="D181" s="138"/>
      <c r="E181" s="5"/>
      <c r="F181" s="5"/>
      <c r="G181" s="5"/>
      <c r="H181" s="5"/>
      <c r="I181" s="4"/>
      <c r="J181" s="4">
        <v>1</v>
      </c>
      <c r="K181" s="658">
        <f>SUM(K5:K26)*J181</f>
        <v>0</v>
      </c>
      <c r="L181" s="4"/>
      <c r="M181" s="4"/>
      <c r="N181" s="661">
        <f>SUM(N5:N26,O5:O26,P5:P26)*M181</f>
        <v>0</v>
      </c>
      <c r="O181" s="4"/>
      <c r="P181" s="4"/>
      <c r="Q181" s="4"/>
      <c r="R181" s="5"/>
      <c r="S181" s="5"/>
      <c r="U181" s="5"/>
      <c r="W181" s="5"/>
      <c r="X181" s="5"/>
      <c r="Y181" s="5"/>
      <c r="Z181" s="5"/>
      <c r="AB181" s="5"/>
      <c r="AC181" s="5"/>
      <c r="AD181" s="5"/>
      <c r="AE181" s="5"/>
      <c r="AG181" s="5"/>
      <c r="AH181" s="5"/>
      <c r="AI181" s="5"/>
      <c r="AJ181" s="5"/>
      <c r="AL181" s="5"/>
      <c r="AM181" s="5"/>
      <c r="AN181" s="5"/>
      <c r="AO181" s="5"/>
      <c r="AQ181" s="5"/>
      <c r="AR181" s="5"/>
      <c r="AS181" s="5"/>
      <c r="AT181" s="5"/>
      <c r="BD181" s="5"/>
      <c r="BF181" s="5"/>
      <c r="BG181" s="5"/>
      <c r="BH181" s="5"/>
      <c r="BI181" s="5"/>
      <c r="BM181" s="5"/>
      <c r="BN181" s="5"/>
      <c r="BP181" s="5"/>
      <c r="BQ181" s="5"/>
      <c r="BR181" s="5"/>
      <c r="BS181" s="5"/>
      <c r="BU181" s="5"/>
      <c r="BV181" s="5"/>
      <c r="BW181" s="5"/>
      <c r="BX181" s="5"/>
      <c r="BZ181" s="5"/>
      <c r="CA181" s="5"/>
      <c r="CB181" s="5"/>
      <c r="CC181" s="5"/>
      <c r="CE181" s="5"/>
      <c r="CF181" s="5"/>
      <c r="CG181" s="5"/>
      <c r="CH181" s="5"/>
      <c r="CO181" s="13"/>
      <c r="CP181" s="5"/>
      <c r="CQ181" s="5"/>
      <c r="CR181" s="5"/>
      <c r="CT181" s="5"/>
      <c r="CU181" s="5"/>
      <c r="CV181" s="5"/>
      <c r="CW181" s="5"/>
      <c r="CY181" s="5"/>
      <c r="CZ181" s="5"/>
      <c r="DA181" s="5"/>
      <c r="DB181" s="5"/>
      <c r="DD181" s="5"/>
      <c r="DE181" s="5"/>
      <c r="DF181" s="5"/>
      <c r="DG181" s="5"/>
      <c r="DI181" s="5"/>
      <c r="DJ181" s="5"/>
      <c r="DK181" s="5"/>
      <c r="DL181" s="5"/>
      <c r="DN181" s="5"/>
      <c r="DO181" s="5"/>
      <c r="DP181" s="5"/>
      <c r="DQ181" s="5"/>
      <c r="DS181" s="5"/>
      <c r="DT181" s="5"/>
      <c r="DU181" s="5"/>
      <c r="DV181" s="5"/>
      <c r="DX181" s="5"/>
      <c r="DY181" s="5"/>
      <c r="DZ181" s="5"/>
      <c r="EA181" s="5"/>
      <c r="EC181" s="5"/>
      <c r="ED181" s="5"/>
      <c r="EE181" s="5"/>
      <c r="EF181" s="5"/>
      <c r="EH181" s="5"/>
      <c r="EI181" s="5"/>
      <c r="EJ181" s="5"/>
      <c r="EK181" s="5"/>
      <c r="EX181" s="659">
        <f t="shared" si="0"/>
        <v>0</v>
      </c>
    </row>
    <row r="182" spans="1:155" s="6" customFormat="1" ht="15" customHeight="1">
      <c r="A182" s="3" t="s">
        <v>170</v>
      </c>
      <c r="B182" s="210" t="s">
        <v>457</v>
      </c>
      <c r="C182" s="473" t="s">
        <v>515</v>
      </c>
      <c r="D182" s="138"/>
      <c r="E182" s="5">
        <v>3</v>
      </c>
      <c r="F182" s="5">
        <f>IF(SUM($ER$5:$ER$15)&lt;=750,0,SUM(F5:F23,G5:G26,H5:H26)*E182)</f>
        <v>0</v>
      </c>
      <c r="G182" s="5"/>
      <c r="H182" s="5"/>
      <c r="I182" s="4"/>
      <c r="J182" s="4"/>
      <c r="K182" s="4"/>
      <c r="L182" s="4"/>
      <c r="M182" s="4"/>
      <c r="N182" s="4"/>
      <c r="O182" s="4"/>
      <c r="P182" s="4"/>
      <c r="Q182" s="4"/>
      <c r="R182" s="5"/>
      <c r="S182" s="5"/>
      <c r="U182" s="5"/>
      <c r="W182" s="5"/>
      <c r="X182" s="5"/>
      <c r="Y182" s="5"/>
      <c r="Z182" s="5"/>
      <c r="AB182" s="5"/>
      <c r="AC182" s="5"/>
      <c r="AD182" s="5"/>
      <c r="AE182" s="5"/>
      <c r="AG182" s="5"/>
      <c r="AH182" s="5"/>
      <c r="AI182" s="5"/>
      <c r="AJ182" s="5"/>
      <c r="AL182" s="5"/>
      <c r="AM182" s="5"/>
      <c r="AN182" s="5"/>
      <c r="AO182" s="5"/>
      <c r="AQ182" s="5"/>
      <c r="AR182" s="5"/>
      <c r="AS182" s="5"/>
      <c r="AT182" s="5"/>
      <c r="BD182" s="5"/>
      <c r="BF182" s="5"/>
      <c r="BG182" s="5"/>
      <c r="BH182" s="5"/>
      <c r="BI182" s="5"/>
      <c r="BM182" s="5"/>
      <c r="BN182" s="5"/>
      <c r="BP182" s="5">
        <v>3</v>
      </c>
      <c r="BQ182" s="5">
        <f>IF(SUM($ER$5:$ER$15)&lt;=750,0,SUM(BQ5:BQ23,BR5:BR26,BS5:BS26)*BP182)</f>
        <v>0</v>
      </c>
      <c r="BR182" s="5"/>
      <c r="BS182" s="5"/>
      <c r="BT182" s="6">
        <f>IF(SUM($ER$5:$ER$12)&gt;750,SUM(,BQ5:BQ26)*3,0)</f>
        <v>0</v>
      </c>
      <c r="BU182" s="5">
        <v>3</v>
      </c>
      <c r="BV182" s="5">
        <f>IF(SUM($ER$5:$ER$15)&lt;=750,0,SUM(BV5:BV23,BW5:BW26,BX5:BX26)*BU182)</f>
        <v>0</v>
      </c>
      <c r="BW182" s="5"/>
      <c r="BX182" s="5"/>
      <c r="BZ182" s="5"/>
      <c r="CA182" s="5"/>
      <c r="CB182" s="5"/>
      <c r="CC182" s="5"/>
      <c r="CE182" s="5">
        <v>3</v>
      </c>
      <c r="CF182" s="5">
        <f>IF(SUM($ER$5:$ER$15)&lt;=750,0,SUM(CF5:CF23,CG5:CG26,CH5:CH26)*CE182)</f>
        <v>0</v>
      </c>
      <c r="CG182" s="5"/>
      <c r="CH182" s="5"/>
      <c r="CI182" s="6">
        <f>IF(SUM($ER$5:$ER$12)&gt;749,SUM(CF5:CF26)*3,0)</f>
        <v>0</v>
      </c>
      <c r="CO182" s="13"/>
      <c r="CP182" s="5"/>
      <c r="CQ182" s="5"/>
      <c r="CR182" s="5"/>
      <c r="CT182" s="5">
        <v>3</v>
      </c>
      <c r="CU182" s="5">
        <f>IF(SUM($ER$5:$ER$15)&lt;=750,0,SUM(CU5:CU23,CV5:CV26,CW5:CW26)*CT182)</f>
        <v>0</v>
      </c>
      <c r="CV182" s="5"/>
      <c r="CW182" s="5"/>
      <c r="CY182" s="5">
        <v>3</v>
      </c>
      <c r="CZ182" s="5">
        <f>IF(SUM($ER$5:$ER$15)&lt;=750,0,SUM(CZ5:CZ23,DA5:DA26,DB5:DB26)*CY182)</f>
        <v>0</v>
      </c>
      <c r="DA182" s="5"/>
      <c r="DB182" s="5"/>
      <c r="DD182" s="5">
        <v>3</v>
      </c>
      <c r="DE182" s="5">
        <f>SUM(DE5:DE26,DF5:DF26,DG5:DG26)*DD182</f>
        <v>0</v>
      </c>
      <c r="DF182" s="5"/>
      <c r="DG182" s="5"/>
      <c r="DI182" s="5"/>
      <c r="DJ182" s="5"/>
      <c r="DK182" s="5"/>
      <c r="DL182" s="5"/>
      <c r="DN182" s="5"/>
      <c r="DO182" s="5"/>
      <c r="DP182" s="5"/>
      <c r="DQ182" s="5"/>
      <c r="DS182" s="5"/>
      <c r="DT182" s="5"/>
      <c r="DU182" s="5"/>
      <c r="DV182" s="5"/>
      <c r="DX182" s="5"/>
      <c r="DY182" s="5"/>
      <c r="DZ182" s="5"/>
      <c r="EA182" s="5"/>
      <c r="EC182" s="5"/>
      <c r="ED182" s="5"/>
      <c r="EE182" s="5"/>
      <c r="EF182" s="5"/>
      <c r="EH182" s="5"/>
      <c r="EI182" s="5"/>
      <c r="EJ182" s="5"/>
      <c r="EK182" s="5"/>
      <c r="EX182" s="659">
        <f t="shared" si="0"/>
        <v>0</v>
      </c>
      <c r="EY182" s="6">
        <v>13</v>
      </c>
    </row>
    <row r="183" spans="1:155" s="6" customFormat="1" ht="15" customHeight="1">
      <c r="A183" s="3" t="s">
        <v>65</v>
      </c>
      <c r="B183" s="210" t="s">
        <v>456</v>
      </c>
      <c r="C183" s="473" t="s">
        <v>515</v>
      </c>
      <c r="D183" s="138"/>
      <c r="E183" s="5">
        <v>3</v>
      </c>
      <c r="F183" s="5">
        <f>IF(SUM($ER$5:$ER$15)&lt;=2000,0,SUM(F5:F23,G5:G26,H5:H26)*E183)</f>
        <v>0</v>
      </c>
      <c r="G183" s="5"/>
      <c r="H183" s="5"/>
      <c r="I183" s="4"/>
      <c r="J183" s="4"/>
      <c r="K183" s="4"/>
      <c r="L183" s="4"/>
      <c r="M183" s="4"/>
      <c r="N183" s="4"/>
      <c r="O183" s="4"/>
      <c r="P183" s="4"/>
      <c r="Q183" s="4"/>
      <c r="R183" s="5"/>
      <c r="S183" s="5"/>
      <c r="U183" s="5"/>
      <c r="W183" s="5"/>
      <c r="X183" s="5"/>
      <c r="Y183" s="5"/>
      <c r="Z183" s="5"/>
      <c r="AB183" s="5"/>
      <c r="AC183" s="5"/>
      <c r="AD183" s="5"/>
      <c r="AE183" s="5"/>
      <c r="AG183" s="5"/>
      <c r="AH183" s="5"/>
      <c r="AI183" s="5"/>
      <c r="AJ183" s="5"/>
      <c r="AL183" s="5"/>
      <c r="AM183" s="5"/>
      <c r="AN183" s="5"/>
      <c r="AO183" s="5"/>
      <c r="AQ183" s="5"/>
      <c r="AR183" s="5"/>
      <c r="AS183" s="5"/>
      <c r="AT183" s="5"/>
      <c r="BD183" s="5"/>
      <c r="BF183" s="5"/>
      <c r="BG183" s="5"/>
      <c r="BH183" s="5"/>
      <c r="BI183" s="5"/>
      <c r="BM183" s="5"/>
      <c r="BN183" s="5"/>
      <c r="BP183" s="5">
        <v>3</v>
      </c>
      <c r="BQ183" s="5">
        <f>IF(SUM($ER$5:$ER$15)&lt;=2000,0,SUM(BQ5:BQ23,BR5:BR26,BS5:BS26)*BP183)</f>
        <v>0</v>
      </c>
      <c r="BR183" s="5"/>
      <c r="BS183" s="5"/>
      <c r="BT183" s="6">
        <f>IF(SUM($ER$5:$ER$12)&gt;750,SUM(,BQ5:BQ26)*3,0)</f>
        <v>0</v>
      </c>
      <c r="BU183" s="5">
        <v>3</v>
      </c>
      <c r="BV183" s="5">
        <f>IF(SUM($ER$5:$ER$15)&lt;=2000,0,SUM(BV5:BV23,BW5:BW26,BX5:BX26)*BU183)</f>
        <v>0</v>
      </c>
      <c r="BW183" s="5"/>
      <c r="BX183" s="5"/>
      <c r="BZ183" s="5"/>
      <c r="CA183" s="5"/>
      <c r="CB183" s="5"/>
      <c r="CC183" s="5"/>
      <c r="CE183" s="5">
        <v>3</v>
      </c>
      <c r="CF183" s="5">
        <f>IF(SUM($ER$5:$ER$15)&lt;=2000,0,SUM(CF5:CF23,CG5:CG26,CH5:CH26)*CE183)</f>
        <v>0</v>
      </c>
      <c r="CG183" s="5"/>
      <c r="CH183" s="5"/>
      <c r="CI183" s="6">
        <f>IF(SUM($ER$5:$ER$12)&gt;749,SUM(CF5:CF26)*3,0)</f>
        <v>0</v>
      </c>
      <c r="CO183" s="13"/>
      <c r="CP183" s="5"/>
      <c r="CQ183" s="5"/>
      <c r="CR183" s="5"/>
      <c r="CT183" s="5">
        <v>3</v>
      </c>
      <c r="CU183" s="5">
        <f>IF(SUM($ER$5:$ER$15)&lt;=2000,0,SUM(CU5:CU23,CV5:CV26,CW5:CW26)*CT183)</f>
        <v>0</v>
      </c>
      <c r="CV183" s="5"/>
      <c r="CW183" s="5"/>
      <c r="CY183" s="5">
        <v>3</v>
      </c>
      <c r="CZ183" s="5">
        <f>IF(SUM($ER$5:$ER$15)&lt;=2000,0,SUM(CZ5:CZ23,DA5:DA26,DB5:DB26)*CY183)</f>
        <v>0</v>
      </c>
      <c r="DA183" s="5"/>
      <c r="DB183" s="5"/>
      <c r="DD183" s="5">
        <v>3</v>
      </c>
      <c r="DE183" s="5">
        <f>DE7*DD183+DF7*DD183+DE8*DD183+DF8*DD183+DE9*DD183+DF9*DD183+DE10*DD183+DF10*DD183+DE11*DD183+DF11*DD183+DE12*DD183+DF12*DD183+DE13*DD183+DF13*DD183+DE14*DD183+DF14*DD183+DE15*DD183+DF15*DD183+DE16*DD183+DF16*DD183+DE17*DD183+DF17*DD183+DE18*DD183+DF18*DD183+DE19*DD183+DF19*DD183+DE20*DD183+DF20*DD183+DE21*DD183+DF21*DD183+DE22*DD183+DF22*DD183+DE23*DD183+DF23*DD183+DE24*DD183+DF24*DD183+DE25*DD183+DF25*DD183+DE26*DD183+DF26*DD183+DE5*DD183+DF5*DD183+DE6*DD183+DF6*DD183+DE5*DD183+DF5*DD183+DG5*DD183+DG6*DD183+DG7*DD183+DG8*DD183+DG9*DD183+DG10*DD183+DG11*DD183+DG12*DD183+DG13*DD183+DG14*DD183+DG15*DD183+DG16*DD183+DG17*DD183+DG18*DD183+DG19*DD183+DG20*DD183+DG21*DD183+DG22*DD183+DG23*DD183+DG24*DD183+DG25*DD183+DG26*DD183</f>
        <v>0</v>
      </c>
      <c r="DF183" s="5"/>
      <c r="DG183" s="5"/>
      <c r="DI183" s="5">
        <f>IF(SUM($ER$5:$ER$21)&gt;=750,0,SUM(CU5:CU26)*3)</f>
        <v>0</v>
      </c>
      <c r="DJ183" s="5"/>
      <c r="DK183" s="5"/>
      <c r="DL183" s="5"/>
      <c r="DN183" s="5"/>
      <c r="DO183" s="5"/>
      <c r="DP183" s="5"/>
      <c r="DQ183" s="5"/>
      <c r="DS183" s="5"/>
      <c r="DT183" s="5"/>
      <c r="DU183" s="5"/>
      <c r="DV183" s="5"/>
      <c r="DX183" s="5"/>
      <c r="DY183" s="5"/>
      <c r="DZ183" s="5"/>
      <c r="EA183" s="5"/>
      <c r="EC183" s="5"/>
      <c r="ED183" s="5"/>
      <c r="EE183" s="5"/>
      <c r="EF183" s="5"/>
      <c r="EH183" s="5"/>
      <c r="EI183" s="5"/>
      <c r="EJ183" s="5"/>
      <c r="EK183" s="5"/>
      <c r="EX183" s="659">
        <f t="shared" si="0"/>
        <v>0</v>
      </c>
      <c r="EY183" s="1341">
        <v>34</v>
      </c>
    </row>
    <row r="184" spans="1:155" s="6" customFormat="1" ht="15" customHeight="1">
      <c r="A184" s="3" t="s">
        <v>163</v>
      </c>
      <c r="B184" s="210" t="s">
        <v>505</v>
      </c>
      <c r="C184" s="473" t="s">
        <v>515</v>
      </c>
      <c r="D184" s="138"/>
      <c r="E184" s="5"/>
      <c r="F184" s="5"/>
      <c r="G184" s="5"/>
      <c r="H184" s="5"/>
      <c r="I184" s="4"/>
      <c r="J184" s="4"/>
      <c r="K184" s="4"/>
      <c r="L184" s="4"/>
      <c r="M184" s="4"/>
      <c r="N184" s="4"/>
      <c r="O184" s="4"/>
      <c r="P184" s="4"/>
      <c r="Q184" s="4"/>
      <c r="R184" s="5"/>
      <c r="S184" s="5"/>
      <c r="U184" s="5"/>
      <c r="W184" s="5"/>
      <c r="X184" s="5"/>
      <c r="Y184" s="5"/>
      <c r="Z184" s="5"/>
      <c r="AB184" s="5"/>
      <c r="AC184" s="5"/>
      <c r="AD184" s="5"/>
      <c r="AE184" s="5"/>
      <c r="AG184" s="5"/>
      <c r="AH184" s="5"/>
      <c r="AI184" s="5"/>
      <c r="AJ184" s="5"/>
      <c r="AL184" s="5"/>
      <c r="AM184" s="5"/>
      <c r="AN184" s="5"/>
      <c r="AO184" s="5"/>
      <c r="AQ184" s="5"/>
      <c r="AR184" s="5"/>
      <c r="AS184" s="5"/>
      <c r="AT184" s="5"/>
      <c r="BD184" s="5"/>
      <c r="BF184" s="5"/>
      <c r="BG184" s="5"/>
      <c r="BH184" s="5"/>
      <c r="BI184" s="5"/>
      <c r="BM184" s="5"/>
      <c r="BN184" s="5"/>
      <c r="BP184" s="5"/>
      <c r="BQ184" s="5"/>
      <c r="BR184" s="5"/>
      <c r="BS184" s="5"/>
      <c r="BU184" s="5">
        <v>3</v>
      </c>
      <c r="BV184" s="5">
        <f>IF(SUM($ER$5:$ER$15)&gt;=750,0,SUM(BV5:BV23,BW5:BW26,BX5:BX26)*BU184)</f>
        <v>0</v>
      </c>
      <c r="BW184" s="5"/>
      <c r="BX184" s="5"/>
      <c r="BZ184" s="5"/>
      <c r="CA184" s="5"/>
      <c r="CB184" s="5"/>
      <c r="CC184" s="5"/>
      <c r="CE184" s="5"/>
      <c r="CF184" s="5"/>
      <c r="CG184" s="5"/>
      <c r="CH184" s="5"/>
      <c r="CO184" s="13"/>
      <c r="CP184" s="5"/>
      <c r="CQ184" s="5"/>
      <c r="CR184" s="5"/>
      <c r="CT184" s="5"/>
      <c r="CU184" s="5"/>
      <c r="CV184" s="5"/>
      <c r="CW184" s="5"/>
      <c r="CY184" s="5">
        <v>3</v>
      </c>
      <c r="CZ184" s="5">
        <f>IF(SUM($ER$5:$ER$15)&gt;=750,0,SUM(CZ5:CZ23,DA5:DA26,DB5:DB26)*CY184)</f>
        <v>0</v>
      </c>
      <c r="DA184" s="5"/>
      <c r="DB184" s="5"/>
      <c r="DD184" s="5"/>
      <c r="DE184" s="5"/>
      <c r="DF184" s="5"/>
      <c r="DG184" s="5"/>
      <c r="DI184" s="5"/>
      <c r="DJ184" s="5"/>
      <c r="DK184" s="5"/>
      <c r="DL184" s="5"/>
      <c r="DN184" s="5"/>
      <c r="DO184" s="5"/>
      <c r="DP184" s="5"/>
      <c r="DQ184" s="5"/>
      <c r="DS184" s="5"/>
      <c r="DT184" s="5"/>
      <c r="DU184" s="5"/>
      <c r="DV184" s="5"/>
      <c r="DX184" s="5"/>
      <c r="DY184" s="5"/>
      <c r="DZ184" s="5"/>
      <c r="EA184" s="5"/>
      <c r="EC184" s="5"/>
      <c r="ED184" s="5"/>
      <c r="EE184" s="5"/>
      <c r="EF184" s="5"/>
      <c r="EH184" s="5"/>
      <c r="EI184" s="5"/>
      <c r="EJ184" s="5"/>
      <c r="EK184" s="5"/>
      <c r="EX184" s="659">
        <f t="shared" si="0"/>
        <v>0</v>
      </c>
      <c r="EY184" s="6">
        <v>13</v>
      </c>
    </row>
    <row r="185" spans="1:155" s="6" customFormat="1" ht="15" customHeight="1">
      <c r="A185" s="3" t="s">
        <v>149</v>
      </c>
      <c r="B185" s="210" t="s">
        <v>506</v>
      </c>
      <c r="C185" s="473" t="s">
        <v>515</v>
      </c>
      <c r="D185" s="138"/>
      <c r="E185" s="5"/>
      <c r="F185" s="5"/>
      <c r="G185" s="5"/>
      <c r="H185" s="5"/>
      <c r="I185" s="4"/>
      <c r="J185" s="4"/>
      <c r="K185" s="4"/>
      <c r="L185" s="4"/>
      <c r="M185" s="4"/>
      <c r="N185" s="4"/>
      <c r="O185" s="4"/>
      <c r="P185" s="4"/>
      <c r="Q185" s="4"/>
      <c r="R185" s="5"/>
      <c r="S185" s="5"/>
      <c r="U185" s="5"/>
      <c r="W185" s="5"/>
      <c r="X185" s="5"/>
      <c r="Y185" s="5"/>
      <c r="Z185" s="5"/>
      <c r="AB185" s="5"/>
      <c r="AC185" s="5"/>
      <c r="AD185" s="5"/>
      <c r="AE185" s="5"/>
      <c r="AG185" s="5"/>
      <c r="AH185" s="5"/>
      <c r="AI185" s="5"/>
      <c r="AJ185" s="5"/>
      <c r="AL185" s="5"/>
      <c r="AM185" s="5"/>
      <c r="AN185" s="5"/>
      <c r="AO185" s="5"/>
      <c r="AQ185" s="5"/>
      <c r="AR185" s="5"/>
      <c r="AS185" s="5"/>
      <c r="AT185" s="5"/>
      <c r="BD185" s="5"/>
      <c r="BF185" s="5"/>
      <c r="BG185" s="5"/>
      <c r="BH185" s="5"/>
      <c r="BI185" s="5"/>
      <c r="BM185" s="5"/>
      <c r="BN185" s="5"/>
      <c r="BP185" s="5"/>
      <c r="BQ185" s="5"/>
      <c r="BR185" s="5"/>
      <c r="BS185" s="5"/>
      <c r="BU185" s="5">
        <v>3</v>
      </c>
      <c r="BV185" s="5">
        <f>IF(SUM($ER$5:$ER$15)&gt;=2000,0,SUM(BV5:BV23,BW5:BW26,BX5:BX26)*BU185)</f>
        <v>0</v>
      </c>
      <c r="BW185" s="5"/>
      <c r="BX185" s="5"/>
      <c r="BZ185" s="5"/>
      <c r="CA185" s="5"/>
      <c r="CB185" s="5"/>
      <c r="CC185" s="5"/>
      <c r="CE185" s="5"/>
      <c r="CF185" s="5"/>
      <c r="CG185" s="5"/>
      <c r="CH185" s="5"/>
      <c r="CO185" s="13"/>
      <c r="CP185" s="5"/>
      <c r="CQ185" s="5"/>
      <c r="CR185" s="5"/>
      <c r="CT185" s="5"/>
      <c r="CU185" s="5"/>
      <c r="CV185" s="5"/>
      <c r="CW185" s="5"/>
      <c r="CY185" s="5">
        <v>3</v>
      </c>
      <c r="CZ185" s="5">
        <f>IF(SUM($ER$5:$ER$15)&gt;=750,0,SUM(CZ5:CZ23,DA5:DA26,DB5:DB26)*CY185)</f>
        <v>0</v>
      </c>
      <c r="DA185" s="5"/>
      <c r="DB185" s="5"/>
      <c r="DD185" s="5"/>
      <c r="DE185" s="5"/>
      <c r="DF185" s="5"/>
      <c r="DG185" s="5"/>
      <c r="DI185" s="5"/>
      <c r="DJ185" s="5"/>
      <c r="DK185" s="5"/>
      <c r="DL185" s="5"/>
      <c r="DN185" s="5"/>
      <c r="DO185" s="5"/>
      <c r="DP185" s="5"/>
      <c r="DQ185" s="5"/>
      <c r="DS185" s="5"/>
      <c r="DT185" s="5"/>
      <c r="DU185" s="5"/>
      <c r="DV185" s="5"/>
      <c r="DX185" s="5"/>
      <c r="DY185" s="5"/>
      <c r="DZ185" s="5"/>
      <c r="EA185" s="5"/>
      <c r="EC185" s="5"/>
      <c r="ED185" s="5"/>
      <c r="EE185" s="5"/>
      <c r="EF185" s="5"/>
      <c r="EH185" s="5"/>
      <c r="EI185" s="5"/>
      <c r="EJ185" s="5"/>
      <c r="EK185" s="5"/>
      <c r="EX185" s="659">
        <f t="shared" si="0"/>
        <v>0</v>
      </c>
      <c r="EY185" s="1341">
        <v>34</v>
      </c>
    </row>
    <row r="186" spans="1:155" s="6" customFormat="1" ht="15" customHeight="1">
      <c r="A186" s="3" t="s">
        <v>164</v>
      </c>
      <c r="B186" s="210" t="s">
        <v>467</v>
      </c>
      <c r="C186" s="473" t="s">
        <v>515</v>
      </c>
      <c r="D186" s="138"/>
      <c r="E186" s="5">
        <v>3</v>
      </c>
      <c r="F186" s="5">
        <f>IF(SUM($ER$5:$ER$15)&gt;=750,0,SUM(F5:F23,G5:G26,H5:H26)*E186)</f>
        <v>0</v>
      </c>
      <c r="G186" s="5"/>
      <c r="H186" s="5"/>
      <c r="I186" s="4"/>
      <c r="J186" s="4"/>
      <c r="K186" s="4"/>
      <c r="L186" s="4"/>
      <c r="M186" s="4"/>
      <c r="N186" s="4"/>
      <c r="O186" s="4"/>
      <c r="P186" s="4"/>
      <c r="Q186" s="4"/>
      <c r="R186" s="5"/>
      <c r="S186" s="5"/>
      <c r="U186" s="5"/>
      <c r="W186" s="5"/>
      <c r="X186" s="5"/>
      <c r="Y186" s="5"/>
      <c r="Z186" s="5"/>
      <c r="AB186" s="5"/>
      <c r="AC186" s="5"/>
      <c r="AD186" s="5"/>
      <c r="AE186" s="5"/>
      <c r="AG186" s="5"/>
      <c r="AH186" s="5"/>
      <c r="AI186" s="5"/>
      <c r="AJ186" s="5"/>
      <c r="AL186" s="5"/>
      <c r="AM186" s="5"/>
      <c r="AN186" s="5"/>
      <c r="AO186" s="5"/>
      <c r="AQ186" s="5"/>
      <c r="AR186" s="5"/>
      <c r="AS186" s="5"/>
      <c r="AT186" s="5"/>
      <c r="BD186" s="5"/>
      <c r="BF186" s="5"/>
      <c r="BG186" s="5"/>
      <c r="BH186" s="5"/>
      <c r="BI186" s="5"/>
      <c r="BM186" s="5"/>
      <c r="BN186" s="5"/>
      <c r="BP186" s="5">
        <v>3</v>
      </c>
      <c r="BQ186" s="5">
        <f>IF(SUM($ER$5:$ER$15)&gt;=750,0,SUM(BQ5:BQ23,BR5:BR26,BS5:BS26)*BP186)</f>
        <v>0</v>
      </c>
      <c r="BR186" s="5"/>
      <c r="BS186" s="5"/>
      <c r="BU186" s="5"/>
      <c r="BV186" s="5"/>
      <c r="BW186" s="5"/>
      <c r="BX186" s="5"/>
      <c r="BZ186" s="5"/>
      <c r="CA186" s="5"/>
      <c r="CB186" s="5"/>
      <c r="CC186" s="5"/>
      <c r="CE186" s="5">
        <v>3</v>
      </c>
      <c r="CF186" s="5">
        <f>IF(SUM($ER$5:$ER$15)&gt;=750,0,SUM(CF5:CF23,CG5:CG26,CH5:CH26)*CE186)</f>
        <v>0</v>
      </c>
      <c r="CG186" s="5"/>
      <c r="CH186" s="5"/>
      <c r="CO186" s="13"/>
      <c r="CP186" s="5"/>
      <c r="CQ186" s="5"/>
      <c r="CR186" s="5"/>
      <c r="CT186" s="5">
        <v>3</v>
      </c>
      <c r="CU186" s="5">
        <f>IF(SUM($ER$5:$ER$15)&gt;=750,0,SUM(CU5:CU23,CV5:CV26,CW5:CW26)*CT186)</f>
        <v>0</v>
      </c>
      <c r="CV186" s="5"/>
      <c r="CW186" s="5"/>
      <c r="CY186" s="5"/>
      <c r="CZ186" s="5"/>
      <c r="DA186" s="5"/>
      <c r="DB186" s="5"/>
      <c r="DD186" s="5"/>
      <c r="DE186" s="5"/>
      <c r="DF186" s="5"/>
      <c r="DG186" s="5"/>
      <c r="DI186" s="5"/>
      <c r="DJ186" s="5"/>
      <c r="DN186" s="5">
        <v>3</v>
      </c>
      <c r="DO186" s="5">
        <f>DO7*DN186+DP7*DN186+DO8*DN186+DP8*DN186+DO9*DN186+DP9*DN186+DO10*DN186+DP10*DN186+DO11*DN186+DP11*DN186+DO12*DN186+DP12*DN186+DO13*DN186+DP13*DN186+DO14*DN186+DP14*DN186+DO15*DN186+DP15*DN186+DO16*DN186+DP16*DN186+DO17*DN186+DP17*DN186+DO18*DN186+DP18*DN186+DO19*DN186+DP19*DN186+DO20*DN186+DP20*DN186+DO21*DN186+DP21*DN186+DO22*DN186+DP22*DN186+DO23*DN186+DP23*DN186+DO24*DN186+DP24*DN186+DO25*DN186+DP25*DN186+DO26*DN186+DP26*DN186+DO5*DN186+DP5*DN186+DO6*DN186+DP6*DN186+DQ5*DN186+DQ6*DN186+DQ7*DN186+DQ8*DN186+DQ9*DN186+DQ10*DN186+DQ11*DN186+DQ12*DN186+DQ13*DN186+DQ14*DN186+DQ15*DN186+DQ16*DN186+DQ17*DN186+DQ18*DN186+DQ19*DN186+DQ20*DN186+DQ21*DN186+DQ22*DN186+DQ23*DN186+DQ24*DN186+DQ25*DN186+DQ26*DN186</f>
        <v>0</v>
      </c>
      <c r="DS186" s="5"/>
      <c r="DT186" s="5"/>
      <c r="DX186" s="5">
        <v>3</v>
      </c>
      <c r="DY186" s="5">
        <f>DY7*DX186+DZ7*DX186+DY8*DX186+DZ8*DX186+DY9*DX186+DZ9*DX186+DY10*DX186+DZ10*DX186+DY11*DX186+DZ11*DX186+DY12*DX186+DZ12*DX186+DY13*DX186+DZ13*DX186+DY14*DX186+DZ14*DX186+DY15*DX186+DZ15*DX186+DY16*DX186+DZ16*DX186+DY17*DX186+DZ17*DX186+DY18*DX186+DZ18*DX186+DY19*DX186+DZ19*DX186+DY20*DX186+DZ20*DX186+DY21*DX186+DZ21*DX186+DY22*DX186+DZ22*DX186+DY23*DX186+DZ23*DX186+DY24*DX186+DZ24*DX186+DY25*DX186+DZ25*DX186+DY26*DX186+DZ26*DX186+DY5*DX186+DZ5*DX186+DY6*DX186+DZ6*DX186+EA5*DX186+EA6*DX186+EA7*DX186+EA8*DX186+EA9*DX186+EA10*DX186+EA11*DX186+EA12*DX186+EA13*DX186+EA14*DX186+EA15*DX186+EA16*DX186+EA17*DX186+EA18*DX186+EA19*DX186+EA20*DX186+EA21*DX186+EA22*DX186+EA23*DX186+EA24*DX186+EA25*DX186+EA26*DX186</f>
        <v>0</v>
      </c>
      <c r="EC186" s="5"/>
      <c r="ED186" s="5"/>
      <c r="EH186" s="5">
        <v>3</v>
      </c>
      <c r="EI186" s="5">
        <f>EI7*EH186+EJ7*EH186+EI8*EH186+EJ8*EH186+EI9*EH186+EJ9*EH186+EI10*EH186+EJ10*EH186+EI11*EH186+EJ11*EH186+EI12*EH186+EJ12*EH186+EI13*EH186+EJ13*EH186+EI14*EH186+EJ14*EH186+EI15*EH186+EJ15*EH186+EI16*EH186+EJ16*EH186+EI17*EH186+EJ17*EH186+EI18*EH186+EJ18*EH186+EI19*EH186+EJ19*EH186+EI20*EH186+EJ20*EH186+EI21*EH186+EJ21*EH186+EI22*EH186+EJ22*EH186+EI23*EH186+EJ23*EH186+EI24*EH186+EJ24*EH186+EI25*EH186+EJ25*EH186+EI26*EH186+EJ26*EH186+EI5*EH186+EJ5*EH186+EI6*EH186+EJ6*EH186+EK5*EH186+EK6*EH186+EK7*EH186+EK8*EH186+EK9*EH186+EK10*EH186+EK11*EH186+EK12*EH186+EK13*EH186+EK14*EH186+EK15*EH186+EK16*EH186+EK17*EH186+EK18*EH186+EK19*EH186+EK20*EH186+EK21*EH186+EK22*EH186+EK23*EH186+EK24*EH186+EK25*EH186+EK26*EH186</f>
        <v>0</v>
      </c>
      <c r="EX186" s="659">
        <f t="shared" si="0"/>
        <v>0</v>
      </c>
      <c r="EY186" s="6">
        <v>13</v>
      </c>
    </row>
    <row r="187" spans="1:155" s="6" customFormat="1" ht="15" customHeight="1">
      <c r="A187" s="3"/>
      <c r="B187" s="210" t="s">
        <v>468</v>
      </c>
      <c r="C187" s="473" t="s">
        <v>515</v>
      </c>
      <c r="D187" s="138"/>
      <c r="E187" s="5"/>
      <c r="F187" s="5"/>
      <c r="G187" s="5"/>
      <c r="H187" s="5"/>
      <c r="I187" s="4"/>
      <c r="J187" s="4"/>
      <c r="K187" s="4"/>
      <c r="L187" s="4"/>
      <c r="M187" s="4"/>
      <c r="N187" s="4"/>
      <c r="O187" s="4"/>
      <c r="P187" s="4"/>
      <c r="Q187" s="4"/>
      <c r="R187" s="5"/>
      <c r="S187" s="5"/>
      <c r="U187" s="5"/>
      <c r="W187" s="5"/>
      <c r="X187" s="5"/>
      <c r="Y187" s="5"/>
      <c r="Z187" s="5"/>
      <c r="AB187" s="5"/>
      <c r="AC187" s="5"/>
      <c r="AD187" s="5"/>
      <c r="AE187" s="5"/>
      <c r="AG187" s="5"/>
      <c r="AH187" s="5"/>
      <c r="AI187" s="5"/>
      <c r="AJ187" s="5"/>
      <c r="AL187" s="5"/>
      <c r="AM187" s="5"/>
      <c r="AN187" s="5"/>
      <c r="AO187" s="5"/>
      <c r="AQ187" s="5"/>
      <c r="AR187" s="5"/>
      <c r="AS187" s="5"/>
      <c r="AT187" s="5"/>
      <c r="BD187" s="5"/>
      <c r="BF187" s="5"/>
      <c r="BG187" s="5"/>
      <c r="BH187" s="5"/>
      <c r="BI187" s="5"/>
      <c r="BM187" s="5"/>
      <c r="BN187" s="5"/>
      <c r="BP187" s="5"/>
      <c r="BQ187" s="5"/>
      <c r="BR187" s="5"/>
      <c r="BS187" s="5"/>
      <c r="BU187" s="5"/>
      <c r="BV187" s="5"/>
      <c r="BW187" s="5"/>
      <c r="BX187" s="5"/>
      <c r="BZ187" s="5"/>
      <c r="CA187" s="5"/>
      <c r="CB187" s="5"/>
      <c r="CC187" s="5"/>
      <c r="CE187" s="5"/>
      <c r="CF187" s="5"/>
      <c r="CG187" s="5"/>
      <c r="CH187" s="5"/>
      <c r="CO187" s="13"/>
      <c r="CP187" s="5"/>
      <c r="CQ187" s="5"/>
      <c r="CR187" s="5"/>
      <c r="CT187" s="5"/>
      <c r="CU187" s="5"/>
      <c r="CV187" s="5"/>
      <c r="CW187" s="5"/>
      <c r="CY187" s="5"/>
      <c r="CZ187" s="5"/>
      <c r="DA187" s="5"/>
      <c r="DB187" s="5"/>
      <c r="DD187" s="5"/>
      <c r="DE187" s="5"/>
      <c r="DF187" s="5"/>
      <c r="DG187" s="5"/>
      <c r="DI187" s="5"/>
      <c r="DJ187" s="5"/>
      <c r="DN187" s="5"/>
      <c r="DO187" s="5"/>
      <c r="DS187" s="5"/>
      <c r="DT187" s="5"/>
      <c r="DX187" s="5"/>
      <c r="DY187" s="5"/>
      <c r="EC187" s="5"/>
      <c r="ED187" s="5"/>
      <c r="EH187" s="5"/>
      <c r="EI187" s="5"/>
      <c r="EX187" s="659">
        <f t="shared" si="0"/>
        <v>0</v>
      </c>
      <c r="EY187" s="6">
        <v>13</v>
      </c>
    </row>
    <row r="188" spans="1:155" s="6" customFormat="1" ht="15" customHeight="1">
      <c r="A188" s="3" t="s">
        <v>66</v>
      </c>
      <c r="B188" s="210" t="s">
        <v>469</v>
      </c>
      <c r="C188" s="473" t="s">
        <v>515</v>
      </c>
      <c r="D188" s="138"/>
      <c r="E188" s="5">
        <v>3</v>
      </c>
      <c r="F188" s="5">
        <f>IF(SUM($ER$5:$ER$15)&gt;=2000,0,SUM(F5:F23,G5:G26,H5:H26)*E186)</f>
        <v>0</v>
      </c>
      <c r="G188" s="5"/>
      <c r="H188" s="5"/>
      <c r="I188" s="4"/>
      <c r="J188" s="4"/>
      <c r="K188" s="4"/>
      <c r="L188" s="4"/>
      <c r="M188" s="4"/>
      <c r="N188" s="4"/>
      <c r="O188" s="4"/>
      <c r="P188" s="4"/>
      <c r="Q188" s="4"/>
      <c r="R188" s="5"/>
      <c r="S188" s="5"/>
      <c r="U188" s="5"/>
      <c r="W188" s="5"/>
      <c r="X188" s="5"/>
      <c r="Y188" s="5"/>
      <c r="Z188" s="5"/>
      <c r="AB188" s="5"/>
      <c r="AC188" s="5"/>
      <c r="AD188" s="5"/>
      <c r="AE188" s="5"/>
      <c r="AG188" s="5"/>
      <c r="AH188" s="5"/>
      <c r="AI188" s="5"/>
      <c r="AJ188" s="5"/>
      <c r="AL188" s="5"/>
      <c r="AM188" s="5"/>
      <c r="AN188" s="5"/>
      <c r="AO188" s="5"/>
      <c r="AQ188" s="5"/>
      <c r="AR188" s="5"/>
      <c r="AS188" s="5"/>
      <c r="AT188" s="5"/>
      <c r="BD188" s="5"/>
      <c r="BF188" s="5"/>
      <c r="BG188" s="5"/>
      <c r="BH188" s="5"/>
      <c r="BI188" s="5"/>
      <c r="BM188" s="5"/>
      <c r="BN188" s="5"/>
      <c r="BP188" s="5">
        <v>3</v>
      </c>
      <c r="BQ188" s="5">
        <f>IF(SUM($ER$5:$ER$15)&gt;=2000,0,SUM(BQ5:BQ23,BR5:BR26,BS5:BS26)*BP186)</f>
        <v>0</v>
      </c>
      <c r="BR188" s="5"/>
      <c r="BS188" s="5"/>
      <c r="BU188" s="5"/>
      <c r="BV188" s="5"/>
      <c r="BW188" s="5"/>
      <c r="BX188" s="5"/>
      <c r="BZ188" s="5"/>
      <c r="CA188" s="5"/>
      <c r="CB188" s="5"/>
      <c r="CC188" s="5"/>
      <c r="CE188" s="5">
        <v>3</v>
      </c>
      <c r="CF188" s="5">
        <f>IF(SUM($ER$5:$ER$15)&gt;=2000,0,SUM(CF5:CF23,CG5:CG26,CH5:CH26)*CE186)</f>
        <v>0</v>
      </c>
      <c r="CG188" s="5"/>
      <c r="CH188" s="5"/>
      <c r="CO188" s="13"/>
      <c r="CP188" s="5"/>
      <c r="CQ188" s="5"/>
      <c r="CR188" s="5"/>
      <c r="CT188" s="5">
        <v>3</v>
      </c>
      <c r="CU188" s="5">
        <f>IF(SUM($ER$5:$ER$15)&gt;=2000,0,SUM(CU5:CU23,CV5:CV26,CW5:CW26)*CT186)</f>
        <v>0</v>
      </c>
      <c r="CV188" s="5"/>
      <c r="CW188" s="5"/>
      <c r="CY188" s="5"/>
      <c r="CZ188" s="5"/>
      <c r="DA188" s="5"/>
      <c r="DB188" s="5"/>
      <c r="DD188" s="5"/>
      <c r="DE188" s="5"/>
      <c r="DF188" s="5"/>
      <c r="DG188" s="5"/>
      <c r="DI188" s="5"/>
      <c r="DJ188" s="5"/>
      <c r="DN188" s="5">
        <v>3</v>
      </c>
      <c r="DO188" s="5">
        <f>DO8*DN188+DP8*DN188+DO9*DN188+DP9*DN188+DO10*DN188+DP10*DN188+DO11*DN188+DP11*DN188+DO12*DN188+DP12*DN188+DO13*DN188+DP13*DN188+DO14*DN188+DP14*DN188+DO15*DN188+DP15*DN188+DO16*DN188+DP16*DN188+DO17*DN188+DP17*DN188+DO18*DN188+DP18*DN188+DO19*DN188+DP19*DN188+DO20*DN188+DP20*DN188+DO21*DN188+DP21*DN188+DO22*DN188+DP22*DN188+DO23*DN188+DP23*DN188+DO24*DN188+DP24*DN188+DO25*DN188+DP25*DN188+DO26*DN188+DP26*DN188+DO5*DN188+DP5*DN188+DP6*DN188+DO7*DN188+DP7*DN188+DO6*DN188+DQ6*DN188+DQ7*DN188+DQ8*DN188+DQ9*DN188+DQ10*DN188+DQ11*DN188+DQ12*DN188+DQ13*DN188+DQ14*DN188+DQ15*DN188+DQ16*DN188+DQ17*DN188+DQ18*DN188+DQ19*DN188+DQ20*DN188+DQ21*DN188+DQ22*DN188+DQ23*DN188+DQ24*DN188+DQ25*DN188+DQ26*DN188+DQ5*DN188</f>
        <v>0</v>
      </c>
      <c r="DS188" s="5"/>
      <c r="DT188" s="5"/>
      <c r="DX188" s="5">
        <v>3</v>
      </c>
      <c r="DY188" s="5">
        <f>DY8*DX188+DZ8*DX188+DY9*DX188+DZ9*DX188+DY10*DX188+DZ10*DX188+DY11*DX188+DZ11*DX188+DY12*DX188+DZ12*DX188+DY13*DX188+DZ13*DX188+DY14*DX188+DZ14*DX188+DY15*DX188+DZ15*DX188+DY16*DX188+DZ16*DX188+DY17*DX188+DZ17*DX188+DY18*DX188+DZ18*DX188+DY19*DX188+DZ19*DX188+DY20*DX188+DZ20*DX188+DY21*DX188+DZ21*DX188+DY22*DX188+DZ22*DX188+DY23*DX188+DZ23*DX188+DY24*DX188+DZ24*DX188+DY25*DX188+DZ25*DX188+DY26*DX188+DZ26*DX188+DY5*DX188+DZ5*DX188+DZ6*DX188+DY7*DX188+DZ7*DX188+DY6*DX188+EA6*DX188+EA7*DX188+EA8*DX188+EA9*DX188+EA10*DX188+EA11*DX188+EA12*DX188+EA13*DX188+EA14*DX188+EA15*DX188+EA16*DX188+EA17*DX188+EA18*DX188+EA19*DX188+EA20*DX188+EA21*DX188+EA22*DX188+EA23*DX188+EA24*DX188+EA25*DX188+EA26*DX188+EA5*DX188</f>
        <v>0</v>
      </c>
      <c r="EC188" s="5"/>
      <c r="ED188" s="5"/>
      <c r="EH188" s="5">
        <v>3</v>
      </c>
      <c r="EI188" s="5">
        <f>EI8*EH188+EJ8*EH188+EI9*EH188+EJ9*EH188+EI10*EH188+EJ10*EH188+EI11*EH188+EJ11*EH188+EI12*EH188+EJ12*EH188+EI13*EH188+EJ13*EH188+EI14*EH188+EJ14*EH188+EI15*EH188+EJ15*EH188+EI16*EH188+EJ16*EH188+EI17*EH188+EJ17*EH188+EI18*EH188+EJ18*EH188+EI19*EH188+EJ19*EH188+EI20*EH188+EJ20*EH188+EI21*EH188+EJ21*EH188+EI22*EH188+EJ22*EH188+EI23*EH188+EJ23*EH188+EI24*EH188+EJ24*EH188+EI25*EH188+EJ25*EH188+EI26*EH188+EJ26*EH188+EI5*EH188+EJ5*EH188+EJ6*EH188+EI7*EH188+EJ7*EH188+EI6*EH188+EK6*EH188+EK7*EH188+EK8*EH188+EK9*EH188+EK10*EH188+EK11*EH188+EK12*EH188+EK13*EH188+EK14*EH188+EK15*EH188+EK16*EH188+EK17*EH188+EK18*EH188+EK19*EH188+EK20*EH188+EK21*EH188+EK22*EH188+EK23*EH188+EK24*EH188+EK25*EH188+EK26*EH188+EK5*EH188</f>
        <v>0</v>
      </c>
      <c r="EX188" s="659">
        <f t="shared" si="0"/>
        <v>0</v>
      </c>
      <c r="EY188" s="1341">
        <v>34</v>
      </c>
    </row>
    <row r="189" spans="1:155" s="6" customFormat="1" ht="15" customHeight="1">
      <c r="A189" s="3"/>
      <c r="B189" s="210" t="s">
        <v>470</v>
      </c>
      <c r="C189" s="473" t="s">
        <v>515</v>
      </c>
      <c r="D189" s="138"/>
      <c r="E189" s="5"/>
      <c r="F189" s="5"/>
      <c r="G189" s="5"/>
      <c r="H189" s="5"/>
      <c r="I189" s="4"/>
      <c r="J189" s="4"/>
      <c r="K189" s="4"/>
      <c r="L189" s="4"/>
      <c r="M189" s="4"/>
      <c r="N189" s="4"/>
      <c r="O189" s="4"/>
      <c r="P189" s="4"/>
      <c r="Q189" s="4"/>
      <c r="R189" s="5"/>
      <c r="S189" s="5"/>
      <c r="U189" s="5"/>
      <c r="W189" s="5"/>
      <c r="X189" s="5"/>
      <c r="Y189" s="5"/>
      <c r="Z189" s="5"/>
      <c r="AB189" s="5"/>
      <c r="AC189" s="5"/>
      <c r="AD189" s="5"/>
      <c r="AE189" s="5"/>
      <c r="AG189" s="5"/>
      <c r="AH189" s="5"/>
      <c r="AI189" s="5"/>
      <c r="AJ189" s="5"/>
      <c r="AL189" s="5"/>
      <c r="AM189" s="5"/>
      <c r="AN189" s="5"/>
      <c r="AO189" s="5"/>
      <c r="AQ189" s="5"/>
      <c r="AR189" s="5"/>
      <c r="AS189" s="5"/>
      <c r="AT189" s="5"/>
      <c r="BD189" s="5"/>
      <c r="BF189" s="5"/>
      <c r="BG189" s="5"/>
      <c r="BH189" s="5"/>
      <c r="BI189" s="5"/>
      <c r="BM189" s="5"/>
      <c r="BN189" s="5"/>
      <c r="BP189" s="5"/>
      <c r="BQ189" s="5"/>
      <c r="BR189" s="5"/>
      <c r="BS189" s="5"/>
      <c r="BU189" s="5"/>
      <c r="BV189" s="5"/>
      <c r="BW189" s="5"/>
      <c r="BX189" s="5"/>
      <c r="BZ189" s="5"/>
      <c r="CA189" s="5"/>
      <c r="CB189" s="5"/>
      <c r="CC189" s="5"/>
      <c r="CE189" s="5"/>
      <c r="CF189" s="5"/>
      <c r="CG189" s="5"/>
      <c r="CH189" s="5"/>
      <c r="CO189" s="13"/>
      <c r="CP189" s="5"/>
      <c r="CQ189" s="5"/>
      <c r="CR189" s="5"/>
      <c r="CT189" s="5"/>
      <c r="CU189" s="5"/>
      <c r="CV189" s="5"/>
      <c r="CW189" s="5"/>
      <c r="CY189" s="5"/>
      <c r="CZ189" s="5"/>
      <c r="DA189" s="5"/>
      <c r="DB189" s="5"/>
      <c r="DD189" s="5"/>
      <c r="DE189" s="5"/>
      <c r="DF189" s="5"/>
      <c r="DG189" s="5"/>
      <c r="DI189" s="5"/>
      <c r="DJ189" s="5"/>
      <c r="DK189" s="5"/>
      <c r="DL189" s="5"/>
      <c r="DN189" s="5"/>
      <c r="DO189" s="5"/>
      <c r="DP189" s="5"/>
      <c r="DQ189" s="5"/>
      <c r="DS189" s="5"/>
      <c r="DT189" s="5"/>
      <c r="DU189" s="5"/>
      <c r="DV189" s="5"/>
      <c r="DX189" s="5"/>
      <c r="DY189" s="5"/>
      <c r="DZ189" s="5"/>
      <c r="EA189" s="5"/>
      <c r="EC189" s="5"/>
      <c r="ED189" s="5"/>
      <c r="EE189" s="5"/>
      <c r="EF189" s="5"/>
      <c r="EH189" s="5"/>
      <c r="EI189" s="5"/>
      <c r="EJ189" s="5"/>
      <c r="EK189" s="5"/>
      <c r="EX189" s="659">
        <f t="shared" si="0"/>
        <v>0</v>
      </c>
      <c r="EY189" s="1342">
        <v>34</v>
      </c>
    </row>
    <row r="190" spans="1:155" s="6" customFormat="1" ht="15" customHeight="1">
      <c r="A190" s="3"/>
      <c r="B190" s="210" t="s">
        <v>1475</v>
      </c>
      <c r="C190" s="473" t="s">
        <v>0</v>
      </c>
      <c r="D190" s="138"/>
      <c r="E190" s="5"/>
      <c r="F190" s="5"/>
      <c r="G190" s="5"/>
      <c r="H190" s="5"/>
      <c r="I190" s="4"/>
      <c r="J190" s="4"/>
      <c r="K190" s="4"/>
      <c r="L190" s="4"/>
      <c r="M190" s="4"/>
      <c r="N190" s="4"/>
      <c r="O190" s="4"/>
      <c r="P190" s="4"/>
      <c r="Q190" s="4"/>
      <c r="R190" s="5"/>
      <c r="S190" s="5"/>
      <c r="U190" s="5"/>
      <c r="W190" s="5"/>
      <c r="X190" s="5"/>
      <c r="Y190" s="5"/>
      <c r="Z190" s="5"/>
      <c r="AB190" s="5"/>
      <c r="AC190" s="5"/>
      <c r="AD190" s="5"/>
      <c r="AE190" s="5"/>
      <c r="AG190" s="5"/>
      <c r="AH190" s="5"/>
      <c r="AI190" s="5"/>
      <c r="AJ190" s="5"/>
      <c r="AL190" s="5"/>
      <c r="AM190" s="5"/>
      <c r="AN190" s="5"/>
      <c r="AO190" s="5"/>
      <c r="AQ190" s="5"/>
      <c r="AR190" s="5"/>
      <c r="AS190" s="5"/>
      <c r="AT190" s="5"/>
      <c r="BD190" s="5"/>
      <c r="BF190" s="5"/>
      <c r="BG190" s="5"/>
      <c r="BH190" s="5"/>
      <c r="BI190" s="5"/>
      <c r="BM190" s="5"/>
      <c r="BN190" s="5"/>
      <c r="BP190" s="5"/>
      <c r="BQ190" s="5"/>
      <c r="BR190" s="5"/>
      <c r="BS190" s="5"/>
      <c r="BU190" s="5"/>
      <c r="BV190" s="5"/>
      <c r="BW190" s="5"/>
      <c r="BX190" s="5"/>
      <c r="BZ190" s="5"/>
      <c r="CA190" s="5"/>
      <c r="CB190" s="5"/>
      <c r="CC190" s="5"/>
      <c r="CE190" s="5"/>
      <c r="CF190" s="5"/>
      <c r="CG190" s="5"/>
      <c r="CH190" s="5"/>
      <c r="CO190" s="13"/>
      <c r="CP190" s="5"/>
      <c r="CQ190" s="5"/>
      <c r="CR190" s="5"/>
      <c r="CT190" s="5"/>
      <c r="CU190" s="5"/>
      <c r="CV190" s="5"/>
      <c r="CW190" s="5"/>
      <c r="CY190" s="5">
        <v>1</v>
      </c>
      <c r="CZ190" s="5">
        <f>SUM(CZ16:DB16,CZ20:DB20)*CY190</f>
        <v>0</v>
      </c>
      <c r="DA190" s="5"/>
      <c r="DB190" s="5"/>
      <c r="DD190" s="5"/>
      <c r="DE190" s="5"/>
      <c r="DF190" s="5"/>
      <c r="DG190" s="5"/>
      <c r="DI190" s="5"/>
      <c r="DJ190" s="5"/>
      <c r="DK190" s="5"/>
      <c r="DL190" s="5"/>
      <c r="DN190" s="5"/>
      <c r="DO190" s="5"/>
      <c r="DP190" s="5"/>
      <c r="DQ190" s="5"/>
      <c r="DS190" s="5"/>
      <c r="DT190" s="5"/>
      <c r="DU190" s="5"/>
      <c r="DV190" s="5"/>
      <c r="DX190" s="5"/>
      <c r="DY190" s="5"/>
      <c r="DZ190" s="5"/>
      <c r="EA190" s="5"/>
      <c r="EC190" s="5"/>
      <c r="ED190" s="5"/>
      <c r="EE190" s="5"/>
      <c r="EF190" s="5"/>
      <c r="EH190" s="5"/>
      <c r="EI190" s="5"/>
      <c r="EJ190" s="5"/>
      <c r="EK190" s="5"/>
      <c r="EX190" s="659">
        <f t="shared" si="0"/>
        <v>0</v>
      </c>
      <c r="EY190" s="1342"/>
    </row>
    <row r="191" spans="1:155" s="6" customFormat="1" ht="15" customHeight="1">
      <c r="A191" s="3" t="s">
        <v>117</v>
      </c>
      <c r="B191" s="210" t="s">
        <v>117</v>
      </c>
      <c r="C191" s="473" t="s">
        <v>515</v>
      </c>
      <c r="D191" s="138"/>
      <c r="E191" s="5"/>
      <c r="F191" s="5"/>
      <c r="G191" s="5"/>
      <c r="H191" s="5"/>
      <c r="I191" s="4"/>
      <c r="J191" s="4">
        <v>1</v>
      </c>
      <c r="K191" s="658">
        <f>SUM(K16,K20)*J191</f>
        <v>0</v>
      </c>
      <c r="L191" s="4"/>
      <c r="M191" s="4">
        <v>9</v>
      </c>
      <c r="N191" s="658">
        <f>SUM(N16:P16,N20:P20)*M191</f>
        <v>0</v>
      </c>
      <c r="O191" s="4"/>
      <c r="P191" s="4"/>
      <c r="Q191" s="4"/>
      <c r="R191" s="5">
        <v>2</v>
      </c>
      <c r="S191" s="5">
        <f>S16*R191+T16*R191+S20*R191+T20*R191+U16*R191+U20*R191</f>
        <v>0</v>
      </c>
      <c r="U191" s="5"/>
      <c r="W191" s="5">
        <v>2</v>
      </c>
      <c r="X191" s="5">
        <f>X16*W191+Y16*W191+X20*W191+Y20*W191+Z16*W191+Z20*W191</f>
        <v>0</v>
      </c>
      <c r="Y191" s="5"/>
      <c r="Z191" s="5"/>
      <c r="AB191" s="5">
        <v>4</v>
      </c>
      <c r="AC191" s="5">
        <f>AC16*AB191+AD16*AB191+AC20*AB191+AD20*AB191+AE16*AB191+AE20*AB191</f>
        <v>0</v>
      </c>
      <c r="AD191" s="5"/>
      <c r="AE191" s="5"/>
      <c r="AG191" s="5">
        <v>1</v>
      </c>
      <c r="AH191" s="5">
        <f>AH16*AG191+AI16*AG191+AH20*AG191+AI20*AG191+AJ16*AG191+AJ20*AG191</f>
        <v>0</v>
      </c>
      <c r="AI191" s="5"/>
      <c r="AJ191" s="5"/>
      <c r="AL191" s="5">
        <v>2</v>
      </c>
      <c r="AM191" s="5">
        <f>AM16*AL191+AN16*AL191+AM20*AL191+AN20*AL191+AO16*AL191+AO20*AL191</f>
        <v>0</v>
      </c>
      <c r="AN191" s="5"/>
      <c r="AO191" s="5"/>
      <c r="AQ191" s="5">
        <v>3</v>
      </c>
      <c r="AR191" s="5">
        <f>AR16*AQ191+AS16*AQ191+AR20*AQ191+AS20*AQ191+AT16*AQ191+AT20*AQ191</f>
        <v>0</v>
      </c>
      <c r="AS191" s="5"/>
      <c r="AT191" s="5"/>
      <c r="AV191" s="6">
        <v>1</v>
      </c>
      <c r="AW191" s="6">
        <f>AW16*AV191+AX16*AV191+AW20*AV191+AX20*AV191+AY16*AV191+AY20*AV191</f>
        <v>0</v>
      </c>
      <c r="BA191" s="6">
        <v>1</v>
      </c>
      <c r="BB191" s="6">
        <f>BB16*BA191+BC16*BA191+BB20*BA191+BC20*BA191+BD16*BA191+BD20*BA191</f>
        <v>0</v>
      </c>
      <c r="BD191" s="5"/>
      <c r="BF191" s="5">
        <v>1</v>
      </c>
      <c r="BG191" s="5">
        <f>SUM(BG16:BI16,BG20:BI20)*BF191</f>
        <v>0</v>
      </c>
      <c r="BH191" s="5"/>
      <c r="BI191" s="5"/>
      <c r="BM191" s="5"/>
      <c r="BN191" s="5"/>
      <c r="BP191" s="5"/>
      <c r="BQ191" s="5"/>
      <c r="BR191" s="5"/>
      <c r="BS191" s="5"/>
      <c r="BU191" s="5"/>
      <c r="BV191" s="5"/>
      <c r="BW191" s="5"/>
      <c r="BX191" s="5"/>
      <c r="BZ191" s="5">
        <v>1</v>
      </c>
      <c r="CA191" s="5">
        <f>SUM(CA16:CC16)*BZ191</f>
        <v>0</v>
      </c>
      <c r="CB191" s="5"/>
      <c r="CC191" s="5"/>
      <c r="CE191" s="5">
        <v>1</v>
      </c>
      <c r="CF191" s="5">
        <f>SUM(CF16:CH16,CF20:CH20)*CE191</f>
        <v>0</v>
      </c>
      <c r="CG191" s="5"/>
      <c r="CH191" s="5"/>
      <c r="CK191" s="6">
        <f>CK16*CJ191+CL16*CJ191+CK20*CJ191+CL20*CJ191+CM16*CJ191+CM20*CJ191</f>
        <v>0</v>
      </c>
      <c r="CO191" s="13">
        <v>1</v>
      </c>
      <c r="CP191" s="5">
        <f>CP16*CO191+CQ16*CO191+CP20*CO191+CQ20*CO191+CR16*CO191+CR20*CO191</f>
        <v>0</v>
      </c>
      <c r="CQ191" s="5"/>
      <c r="CR191" s="5"/>
      <c r="CT191" s="5">
        <v>1</v>
      </c>
      <c r="CU191" s="5">
        <f>SUM(CU16:CW16,CU20:CW20)*CT191</f>
        <v>0</v>
      </c>
      <c r="CV191" s="5"/>
      <c r="CW191" s="5"/>
      <c r="CY191" s="5">
        <v>1</v>
      </c>
      <c r="CZ191" s="5">
        <f>SUM(CZ16:DB16,CZ20:DB20)*CY191</f>
        <v>0</v>
      </c>
      <c r="DA191" s="5"/>
      <c r="DB191" s="5"/>
      <c r="DD191" s="5">
        <v>1</v>
      </c>
      <c r="DE191" s="5">
        <f>DE16*DD191+DF16*DD191+DE20*DD191+DF20*DD191+DG16*DD191+DG20*DD191</f>
        <v>0</v>
      </c>
      <c r="DF191" s="5"/>
      <c r="DG191" s="5"/>
      <c r="DI191" s="5">
        <v>1</v>
      </c>
      <c r="DJ191" s="5">
        <f>DJ16*DI191+DK16*DI191+DJ20*DI191+DK20*DI191+DL16*DI191+DL20*DI191</f>
        <v>0</v>
      </c>
      <c r="DK191" s="5"/>
      <c r="DL191" s="5"/>
      <c r="DN191" s="5">
        <v>1</v>
      </c>
      <c r="DO191" s="5">
        <f>DO16*DN191+DP16*DN191+DO20*DN191+DP20*DN191+DQ16*DN191+DQ20*DN191</f>
        <v>0</v>
      </c>
      <c r="DP191" s="5"/>
      <c r="DQ191" s="5"/>
      <c r="DS191" s="5">
        <v>1</v>
      </c>
      <c r="DT191" s="5">
        <f>DT16*DS191+DU16*DS191+DT20*DS191+DU20*DS191+DV16*DS191+DV20*DS191</f>
        <v>0</v>
      </c>
      <c r="DU191" s="5"/>
      <c r="DV191" s="5"/>
      <c r="DX191" s="5">
        <v>1</v>
      </c>
      <c r="DY191" s="5">
        <f>DY16*DX191+DZ16*DX191+DY20*DX191+DZ20*DX191+EA16*DX191+EA20*DX191</f>
        <v>0</v>
      </c>
      <c r="DZ191" s="5"/>
      <c r="EA191" s="5"/>
      <c r="EC191" s="5">
        <v>1</v>
      </c>
      <c r="ED191" s="5">
        <f>ED16*EC191+EE16*EC191+ED20*EC191+EE20*EC191+EF16*EC191+EF20*EC191</f>
        <v>0</v>
      </c>
      <c r="EE191" s="5"/>
      <c r="EF191" s="5"/>
      <c r="EH191" s="5">
        <v>1</v>
      </c>
      <c r="EI191" s="5">
        <f>EI16*EH191+EJ16*EH191+EI20*EH191+EJ20*EH191+EK16*EH191+EK20*EH191</f>
        <v>0</v>
      </c>
      <c r="EJ191" s="5"/>
      <c r="EK191" s="5"/>
      <c r="EX191" s="659">
        <f t="shared" si="0"/>
        <v>0</v>
      </c>
    </row>
    <row r="192" spans="1:155" s="6" customFormat="1" ht="15" customHeight="1">
      <c r="A192" s="3" t="s">
        <v>118</v>
      </c>
      <c r="B192" s="210" t="s">
        <v>118</v>
      </c>
      <c r="C192" s="473" t="s">
        <v>515</v>
      </c>
      <c r="D192" s="138"/>
      <c r="E192" s="5">
        <v>1</v>
      </c>
      <c r="F192" s="5">
        <f>SUM(F16:H16)*E192</f>
        <v>0</v>
      </c>
      <c r="G192" s="5"/>
      <c r="H192" s="5"/>
      <c r="I192" s="4"/>
      <c r="J192" s="4"/>
      <c r="K192" s="658"/>
      <c r="L192" s="4"/>
      <c r="M192" s="4"/>
      <c r="N192" s="658"/>
      <c r="O192" s="4"/>
      <c r="P192" s="4"/>
      <c r="Q192" s="4"/>
      <c r="R192" s="5">
        <v>2</v>
      </c>
      <c r="S192" s="5">
        <f>S16*R192+T16*R192+S20*R192+T20*R192+U16*R192+U20*R192</f>
        <v>0</v>
      </c>
      <c r="U192" s="5"/>
      <c r="W192" s="5">
        <v>4</v>
      </c>
      <c r="X192" s="5">
        <f>X16*W192+Y16*W192+X20*W192+Y20*W192+Z16*W192+Z20*W192</f>
        <v>0</v>
      </c>
      <c r="Y192" s="5"/>
      <c r="Z192" s="5"/>
      <c r="AB192" s="5"/>
      <c r="AC192" s="5"/>
      <c r="AD192" s="5"/>
      <c r="AE192" s="5"/>
      <c r="AG192" s="5">
        <v>1</v>
      </c>
      <c r="AH192" s="5">
        <f>AH16*AG192+AI16*AG192+AH20*AG192+AI20*AG192+AJ16*AG192+AJ20*AG192</f>
        <v>0</v>
      </c>
      <c r="AI192" s="5"/>
      <c r="AJ192" s="5"/>
      <c r="AL192" s="5">
        <v>2</v>
      </c>
      <c r="AM192" s="5">
        <f>AM16*AL192+AN16*AL192+AM20*AL192+AN20*AL192+AO16*AL192+AO20*AL192</f>
        <v>0</v>
      </c>
      <c r="AN192" s="5"/>
      <c r="AO192" s="5"/>
      <c r="AQ192" s="5">
        <v>3</v>
      </c>
      <c r="AR192" s="5">
        <f>AR16*AQ192+AS16*AQ192+AR20*AQ192+AS20*AQ192+AT16*AQ192+AT20*AQ192</f>
        <v>0</v>
      </c>
      <c r="AS192" s="5"/>
      <c r="AT192" s="5"/>
      <c r="AV192" s="6">
        <v>1</v>
      </c>
      <c r="AW192" s="6">
        <f>AW16*AV192+AX16*AV192+AW20*AV192+AX20*AV192+AY16*AV192+AY20*AV192</f>
        <v>0</v>
      </c>
      <c r="BA192" s="6">
        <v>1</v>
      </c>
      <c r="BB192" s="6">
        <f>BB16*BA192+BC16*BA192+BB20*BA192+BC20*BA192+BD16*BA192+BD20*BA192</f>
        <v>0</v>
      </c>
      <c r="BD192" s="5"/>
      <c r="BF192" s="5">
        <v>1</v>
      </c>
      <c r="BG192" s="5">
        <f>SUM(BG16:BI16,BG20:BI20)*BF192</f>
        <v>0</v>
      </c>
      <c r="BH192" s="5"/>
      <c r="BI192" s="5"/>
      <c r="BK192" s="6">
        <v>1</v>
      </c>
      <c r="BL192" s="5">
        <f>SUM(BL16:BN16)*BK192</f>
        <v>0</v>
      </c>
      <c r="BM192" s="5"/>
      <c r="BN192" s="5"/>
      <c r="BP192" s="5">
        <v>1</v>
      </c>
      <c r="BQ192" s="5">
        <f>SUM(BQ16:BS16)*BP192</f>
        <v>0</v>
      </c>
      <c r="BR192" s="5"/>
      <c r="BS192" s="5"/>
      <c r="BU192" s="5"/>
      <c r="BV192" s="5">
        <f>SUM(BV16:BX16,BV20:BX20)*BU192</f>
        <v>0</v>
      </c>
      <c r="BW192" s="5"/>
      <c r="BX192" s="5"/>
      <c r="BZ192" s="5" t="s">
        <v>1085</v>
      </c>
      <c r="CA192" s="5">
        <f>SUM(CA16:CC16)*2+SUM(CA20:CC20)*1</f>
        <v>0</v>
      </c>
      <c r="CB192" s="5"/>
      <c r="CC192" s="5"/>
      <c r="CE192" s="5" t="s">
        <v>1085</v>
      </c>
      <c r="CF192" s="5">
        <f>SUM(CF16:CH16)*2+SUM(CF20:CH20)*1</f>
        <v>0</v>
      </c>
      <c r="CG192" s="5"/>
      <c r="CH192" s="5"/>
      <c r="CK192" s="6">
        <f>CK16*CJ192+CL16*CJ192+CK20*CJ192+CL20*CJ192+CM16*CJ192+CM20*CJ192</f>
        <v>0</v>
      </c>
      <c r="CO192" s="13">
        <v>1</v>
      </c>
      <c r="CP192" s="5">
        <f>CP16*CO192+CQ16*CO192+CP20*CO192+CQ20*CO192+CR16*CO192+CR20*CO192</f>
        <v>0</v>
      </c>
      <c r="CQ192" s="5"/>
      <c r="CR192" s="5"/>
      <c r="CT192" s="5">
        <v>2</v>
      </c>
      <c r="CU192" s="5">
        <f>CU16*CT192+CV16*CT192+CU20*CT192+CV20*CT192+CW16*CT192+CW20*CT192</f>
        <v>0</v>
      </c>
      <c r="CV192" s="5"/>
      <c r="CW192" s="5"/>
      <c r="CY192" s="5">
        <v>1</v>
      </c>
      <c r="CZ192" s="5">
        <f>SUM(CZ16:DB16,CZ20:DB20)*CY192</f>
        <v>0</v>
      </c>
      <c r="DA192" s="5"/>
      <c r="DB192" s="5"/>
      <c r="DD192" s="5">
        <v>1</v>
      </c>
      <c r="DE192" s="5">
        <f>DE16*DD192+DF16*DD192+DE20*DD192+DF20*DD192+DG16*DD192+DG20*DD192</f>
        <v>0</v>
      </c>
      <c r="DF192" s="5"/>
      <c r="DG192" s="5"/>
      <c r="DI192" s="5">
        <v>2</v>
      </c>
      <c r="DJ192" s="5">
        <f>DJ16*DI192+DK16*DI192+DJ20*DI192+DK20*DI192+DL16*DI192+DL20*DI192</f>
        <v>0</v>
      </c>
      <c r="DK192" s="5"/>
      <c r="DL192" s="5"/>
      <c r="DN192" s="5">
        <v>2</v>
      </c>
      <c r="DO192" s="5">
        <f>DO16*DN192+DP16*DN192+DO20*DN192+DP20*DN192+DQ16*DN192+DQ20*DN192</f>
        <v>0</v>
      </c>
      <c r="DP192" s="5"/>
      <c r="DQ192" s="5"/>
      <c r="DS192" s="5">
        <v>2</v>
      </c>
      <c r="DT192" s="5">
        <f>DT16*DS192+DU16*DS192+DT20*DS192+DU20*DS192+DV16*DS192+DV20*DS192</f>
        <v>0</v>
      </c>
      <c r="DU192" s="5"/>
      <c r="DV192" s="5"/>
      <c r="DX192" s="5">
        <v>2</v>
      </c>
      <c r="DY192" s="5">
        <f>DY16*DX192+DZ16*DX192+DY20*DX192+DZ20*DX192+EA16*DX192+EA20*DX192</f>
        <v>0</v>
      </c>
      <c r="DZ192" s="5"/>
      <c r="EA192" s="5"/>
      <c r="EC192" s="5">
        <v>2</v>
      </c>
      <c r="ED192" s="5">
        <f>ED16*EC192+EE16*EC192+ED20*EC192+EE20*EC192+EF16*EC192+EF20*EC192</f>
        <v>0</v>
      </c>
      <c r="EE192" s="5"/>
      <c r="EF192" s="5"/>
      <c r="EH192" s="5">
        <v>2</v>
      </c>
      <c r="EI192" s="5">
        <f>EI16*EH192+EJ16*EH192+EI20*EH192+EJ20*EH192+EK16*EH192+EK20*EH192</f>
        <v>0</v>
      </c>
      <c r="EJ192" s="5"/>
      <c r="EK192" s="5"/>
      <c r="EX192" s="659">
        <f t="shared" si="0"/>
        <v>0</v>
      </c>
    </row>
    <row r="193" spans="1:154" s="6" customFormat="1" ht="15" customHeight="1">
      <c r="A193" s="3" t="s">
        <v>119</v>
      </c>
      <c r="B193" s="210" t="s">
        <v>119</v>
      </c>
      <c r="C193" s="473" t="s">
        <v>515</v>
      </c>
      <c r="D193" s="138"/>
      <c r="E193" s="5">
        <v>1</v>
      </c>
      <c r="F193" s="5">
        <f>SUM(F16:H16,F20:H20)*E193</f>
        <v>0</v>
      </c>
      <c r="G193" s="5"/>
      <c r="H193" s="5"/>
      <c r="I193" s="4"/>
      <c r="J193" s="4">
        <v>1</v>
      </c>
      <c r="K193" s="658">
        <f>SUM(K17,K21,K24)*J193</f>
        <v>0</v>
      </c>
      <c r="L193" s="4"/>
      <c r="M193" s="4">
        <v>9</v>
      </c>
      <c r="N193" s="658">
        <f>SUM(N17:P17,N21:P21,N24:P24)*M193</f>
        <v>0</v>
      </c>
      <c r="O193" s="4"/>
      <c r="P193" s="4"/>
      <c r="Q193" s="4"/>
      <c r="R193" s="5">
        <v>2</v>
      </c>
      <c r="S193" s="5">
        <f>S17*R193+T17*R193+S21*R193+T21*R193+S24*R193+T24*R193+S16*R193+T16*R193+S20*R193+T20*R193+U24*R193+U17*R193+U16*R193+U20*R193+U21*R193</f>
        <v>0</v>
      </c>
      <c r="U193" s="5"/>
      <c r="W193" s="5">
        <v>1</v>
      </c>
      <c r="X193" s="5">
        <f>X17*W193+Y17*W193+X21*W193+Y21*W193+X24*W193+Y24*W193+Z24*W193+Z17*W193+Z21*W193</f>
        <v>0</v>
      </c>
      <c r="Y193" s="5"/>
      <c r="Z193" s="5"/>
      <c r="AB193" s="5">
        <v>2</v>
      </c>
      <c r="AC193" s="5">
        <f>AC17*AB193+AD17*AB193+AC21*AB193+AD21*AB193+AC24*AB193+AD24*AB193+AE24*AB193+AE17*AB193+AE21*AB193</f>
        <v>0</v>
      </c>
      <c r="AD193" s="5"/>
      <c r="AE193" s="5"/>
      <c r="AG193" s="5">
        <v>1</v>
      </c>
      <c r="AH193" s="5">
        <f>AH17*AG193+AI17*AG193+AH21*AG193+AI21*AG193+AH24*AG193+AI24*AG193+AH16*AG193+AI16*AG193+AH20*AG193+AI20*AG193+AJ24*AG193+AJ17*AG193+AJ16*AG193+AJ20*AG193+AJ21*AG193</f>
        <v>0</v>
      </c>
      <c r="AI193" s="5"/>
      <c r="AJ193" s="5"/>
      <c r="AL193" s="5">
        <v>2</v>
      </c>
      <c r="AM193" s="5">
        <f>AM17*AL193+AN17*AL193+AM21*AL193+AN21*AL193+AM24*AL193+AN24*AL193+AM16*AL193+AN16*AL193+AM20*AL193+AN20*AL193+AO24*AL193+AO17*AL193+AO16*AL193+AO20*AL193+AO21*AL193</f>
        <v>0</v>
      </c>
      <c r="AN193" s="5"/>
      <c r="AO193" s="5"/>
      <c r="AQ193" s="5">
        <v>3</v>
      </c>
      <c r="AR193" s="5">
        <f>AR17*AQ193+AS17*AQ193+AR21*AQ193+AS21*AQ193+AR24*AQ193+AS24*AQ193+AR16*AQ193+AS16*AQ193+AR20*AQ193+AS20*AQ193+AT24*AQ193+AT17*AQ193+AT16*AQ193+AT20*AQ193+AT21*AQ193</f>
        <v>0</v>
      </c>
      <c r="AS193" s="5"/>
      <c r="AT193" s="5"/>
      <c r="AV193" s="6">
        <v>1</v>
      </c>
      <c r="AW193" s="6">
        <f>AW17*AV193+AX17*AV193+AW21*AV193+AX21*AV193+AW24*AV193+AX24*AV193+AY24*AV193+AY17*AV193+AY21*AV193</f>
        <v>0</v>
      </c>
      <c r="BA193" s="6">
        <v>1</v>
      </c>
      <c r="BB193" s="6">
        <f>BB17*BA193+BC17*BA193+BB21*BA193+BC21*BA193+BB24*BA193+BC24*BA193+BD24*BA193+BD17*BA193+BD21*BA193</f>
        <v>0</v>
      </c>
      <c r="BD193" s="5"/>
      <c r="BF193" s="5">
        <v>1</v>
      </c>
      <c r="BG193" s="5">
        <f>SUM(BG17:BI17,BG21:BI21,BG24:BI24)*BF193</f>
        <v>0</v>
      </c>
      <c r="BH193" s="5"/>
      <c r="BI193" s="5"/>
      <c r="BK193" s="6">
        <v>1</v>
      </c>
      <c r="BL193" s="5">
        <f>SUM(BL16:BN16,BL20:BN20)*BK193</f>
        <v>0</v>
      </c>
      <c r="BM193" s="5"/>
      <c r="BN193" s="5"/>
      <c r="BP193" s="5">
        <v>1</v>
      </c>
      <c r="BQ193" s="5">
        <f>SUM(BQ16:BS16,BQ20:BS20)*BP193</f>
        <v>0</v>
      </c>
      <c r="BR193" s="5"/>
      <c r="BS193" s="5"/>
      <c r="BU193" s="5">
        <v>1</v>
      </c>
      <c r="BV193" s="5">
        <f>SUM(BV16:BX16,BV20:BX20)*BU193</f>
        <v>0</v>
      </c>
      <c r="BW193" s="5"/>
      <c r="BX193" s="5"/>
      <c r="BZ193" s="5" t="s">
        <v>1085</v>
      </c>
      <c r="CA193" s="5">
        <f>SUM(CA16:CC16,CA17:CC17,CA21:CC21,CA24:CC24)*1+SUM(CA20:CC20)*2</f>
        <v>0</v>
      </c>
      <c r="CB193" s="5"/>
      <c r="CC193" s="5"/>
      <c r="CE193" s="5" t="s">
        <v>1085</v>
      </c>
      <c r="CF193" s="5">
        <f>SUM(CF16:CH16,CF17:CH17,CF21:CH21,CF24:CH24)*1+SUM(CF20:CH20)*2</f>
        <v>0</v>
      </c>
      <c r="CG193" s="5"/>
      <c r="CH193" s="5"/>
      <c r="CK193" s="6">
        <f>CK17*CJ193+CL17*CJ193+CK21*CJ193+CL21*CJ193+CK24*CJ193+CL24*CJ193+CM24*CJ193+CM17*CJ193+CM21*CJ193</f>
        <v>0</v>
      </c>
      <c r="CO193" s="13">
        <v>1</v>
      </c>
      <c r="CP193" s="5">
        <f>CP17*CO193+CQ17*CO193+CP21*CO193+CQ21*CO193+CP24*CO193+CQ24*CO193+CR24*CO193+CR17*CO193+CR21*CO193</f>
        <v>0</v>
      </c>
      <c r="CQ193" s="5"/>
      <c r="CR193" s="5"/>
      <c r="CT193" s="5">
        <v>1</v>
      </c>
      <c r="CU193" s="5">
        <f>CU17*CT193+CV17*CT193+CU21*CT193+CV21*CT193+CU24*CT193+CV24*CT193+CW24*CT193+CW17*CT193+CW21*CT193+CU16*CT193+CV16*CT193+CU20*CT193+CV20+CW16*CT193+CW20*CT193</f>
        <v>0</v>
      </c>
      <c r="CV193" s="5"/>
      <c r="CW193" s="5"/>
      <c r="CY193" s="5">
        <v>1</v>
      </c>
      <c r="CZ193" s="5">
        <f>SUM(CZ17:DB17,CZ21:DB21,CZ24:DB24)*CY193</f>
        <v>0</v>
      </c>
      <c r="DA193" s="5"/>
      <c r="DB193" s="5"/>
      <c r="DD193" s="5">
        <v>1</v>
      </c>
      <c r="DE193" s="5">
        <f>DE17*DD193+DF17*DD193+DE21*DD193+DF21*DD193+DE24*DD193+DF24*DD193+DG24*DD193+DG17*DD193+DG21*DD193</f>
        <v>0</v>
      </c>
      <c r="DF193" s="5"/>
      <c r="DG193" s="5"/>
      <c r="DI193" s="5">
        <v>1</v>
      </c>
      <c r="DJ193" s="5">
        <f>DJ17*DI193+DK17*DI193+DJ21*DI193+DK21*DI193+DJ24*DI193+DK24*DI193+DL24*DI193+DL17*DI193+DL21*DI193+DJ16*DI193+DK16*DI193+DL16*DI193+DJ20*DI193+DK20*DI193+DL20*DI193</f>
        <v>0</v>
      </c>
      <c r="DK193" s="5"/>
      <c r="DL193" s="5"/>
      <c r="DN193" s="5">
        <v>1</v>
      </c>
      <c r="DO193" s="5">
        <f>DO17*DN193+DP17*DN193+DO21*DN193+DP21*DN193+DO24*DN193+DP24*DN193+DQ24*DN193+DQ17*DN193+DQ21*DN193+DO16*DN193+DP16*DN193+DQ16*DN193+DO20*DN193+DP20*DN193+DQ20*DN193</f>
        <v>0</v>
      </c>
      <c r="DP193" s="5"/>
      <c r="DQ193" s="5"/>
      <c r="DS193" s="5">
        <v>1</v>
      </c>
      <c r="DT193" s="5">
        <f>DT17*DS193+DU17*DS193+DT21*DS193+DU21*DS193+DT24*DS193+DU24*DS193+DV24*DS193+DV17*DS193+DV21*DS193+DT16*DS193+DU16*DS193+DV16*DS193+DT20*DS193+DU20*DS193+DV20*DS193</f>
        <v>0</v>
      </c>
      <c r="DU193" s="5"/>
      <c r="DV193" s="5"/>
      <c r="DX193" s="5">
        <v>1</v>
      </c>
      <c r="DY193" s="5">
        <f>DY17*DX193+DZ17*DX193+DY21*DX193+DZ21*DX193+DY24*DX193+DZ24*DX193+EA24*DX193+EA17*DX193+EA21*DX193+DY16*DX193+DZ16*DX193+EA16*DX193+DY20*DX193+DZ20*DX193+EA20*DX193</f>
        <v>0</v>
      </c>
      <c r="DZ193" s="5"/>
      <c r="EA193" s="5"/>
      <c r="EC193" s="5">
        <v>1</v>
      </c>
      <c r="ED193" s="5">
        <f>ED17*EC193+EE17*EC193+ED21*EC193+EE21*EC193+ED24*EC193+EE24*EC193+EF24*EC193+EF17*EC193+EF21*EC193+ED16*EC193+EE16*EC193+EF16*EC193+ED20*EC193+EE20*EC193+EF20*EC193</f>
        <v>0</v>
      </c>
      <c r="EE193" s="5"/>
      <c r="EF193" s="5"/>
      <c r="EH193" s="5">
        <v>1</v>
      </c>
      <c r="EI193" s="5">
        <f>EI17*EH193+EJ17*EH193+EI21*EH193+EJ21*EH193+EI24*EH193+EJ24*EH193+EK24*EH193+EK17*EH193+EK21*EH193+EI16*EH193+EJ16*EH193+EK16*EH193+EI20*EH193+EJ20*EH193+EK20*EH193</f>
        <v>0</v>
      </c>
      <c r="EJ193" s="5"/>
      <c r="EK193" s="5"/>
      <c r="EX193" s="659">
        <f t="shared" si="0"/>
        <v>0</v>
      </c>
    </row>
    <row r="194" spans="1:154" s="6" customFormat="1" ht="15" customHeight="1">
      <c r="A194" s="3" t="s">
        <v>120</v>
      </c>
      <c r="B194" s="210" t="s">
        <v>120</v>
      </c>
      <c r="C194" s="473" t="s">
        <v>515</v>
      </c>
      <c r="D194" s="138"/>
      <c r="E194" s="5">
        <v>1</v>
      </c>
      <c r="F194" s="5">
        <f>SUM(F17:H17,F21:H21,F24:H24)*E194</f>
        <v>0</v>
      </c>
      <c r="G194" s="5"/>
      <c r="H194" s="5"/>
      <c r="I194" s="4"/>
      <c r="J194" s="4"/>
      <c r="K194" s="658"/>
      <c r="L194" s="4"/>
      <c r="M194" s="4"/>
      <c r="N194" s="658"/>
      <c r="O194" s="4"/>
      <c r="P194" s="4"/>
      <c r="Q194" s="4"/>
      <c r="R194" s="5">
        <v>2</v>
      </c>
      <c r="S194" s="5">
        <f>S17*R194+T17*R194+S21*R194+T21*R194+U17*R194+U21*R194+T24*R194+S24*R194+U24*R194</f>
        <v>0</v>
      </c>
      <c r="U194" s="5"/>
      <c r="W194" s="5">
        <v>3</v>
      </c>
      <c r="X194" s="5">
        <f>X17*W194+Y17*W194+X21*W194+Y21*W194+Z17*W194+Z21*W194+Y24*W194+X24*W194+Z24*W194</f>
        <v>0</v>
      </c>
      <c r="Y194" s="5"/>
      <c r="Z194" s="5"/>
      <c r="AB194" s="5">
        <v>2</v>
      </c>
      <c r="AC194" s="5">
        <f>AC17*AB194+AD17*AB194+AC21*AB194+AD21*AB194+AE17*AB194+AE21*AB194+AD24*AB194+AC24*AB194+AE24*AB194</f>
        <v>0</v>
      </c>
      <c r="AD194" s="5"/>
      <c r="AE194" s="5"/>
      <c r="AG194" s="5"/>
      <c r="AH194" s="5"/>
      <c r="AI194" s="5"/>
      <c r="AJ194" s="5"/>
      <c r="AL194" s="5"/>
      <c r="AM194" s="5"/>
      <c r="AN194" s="5"/>
      <c r="AO194" s="5"/>
      <c r="AQ194" s="5"/>
      <c r="AR194" s="5"/>
      <c r="AS194" s="5"/>
      <c r="AT194" s="5"/>
      <c r="AV194" s="6">
        <v>1</v>
      </c>
      <c r="AW194" s="6">
        <f>AW17*AV194+AX17*AV194+AW21*AV194+AX21*AV194+AW24*AV194+AX24*AV194+AY24*AV194+AY17*AV194+AY21*AV194</f>
        <v>0</v>
      </c>
      <c r="BA194" s="6">
        <v>1</v>
      </c>
      <c r="BB194" s="6">
        <f>BB17*BA194+BC17*BA194+BB21*BA194+BC21*BA194+BB24*BA194+BC24*BA194+BD24*BA194+BD17*BA194+BD21*BA194</f>
        <v>0</v>
      </c>
      <c r="BD194" s="5"/>
      <c r="BF194" s="5">
        <v>1</v>
      </c>
      <c r="BG194" s="5">
        <f>SUM(BG17:BI17,BG21:BI21,BG24:BI24)*BF194</f>
        <v>0</v>
      </c>
      <c r="BH194" s="5"/>
      <c r="BI194" s="5"/>
      <c r="BK194" s="6">
        <v>1</v>
      </c>
      <c r="BL194" s="5">
        <f>SUM(BL17:BN17,BL21:BN21,BL24:BN24)*BK194</f>
        <v>0</v>
      </c>
      <c r="BM194" s="5"/>
      <c r="BN194" s="5"/>
      <c r="BP194" s="5">
        <v>1</v>
      </c>
      <c r="BQ194" s="5">
        <f>SUM(BQ17:BS17,BQ21:BS21,BQ24:BS24)*BP194</f>
        <v>0</v>
      </c>
      <c r="BR194" s="5"/>
      <c r="BS194" s="5"/>
      <c r="BU194" s="5">
        <v>1</v>
      </c>
      <c r="BV194" s="5">
        <f>SUM(BV16:BX16,BV20:BX20)*BU194</f>
        <v>0</v>
      </c>
      <c r="BW194" s="5"/>
      <c r="BX194" s="5"/>
      <c r="BZ194" s="5" t="s">
        <v>1085</v>
      </c>
      <c r="CA194" s="5">
        <f>SUM(CA17:CC17,CA21:CC21,CA24:CC24)*2+SUM(CA20:CC20)*1</f>
        <v>0</v>
      </c>
      <c r="CB194" s="5"/>
      <c r="CC194" s="5"/>
      <c r="CE194" s="5" t="s">
        <v>1085</v>
      </c>
      <c r="CF194" s="5">
        <f>SUM(CF17:CH17,CF21:CH21,CF24:CH24)*2+SUM(CF20:CH20)*1</f>
        <v>0</v>
      </c>
      <c r="CG194" s="5"/>
      <c r="CH194" s="5"/>
      <c r="CK194" s="6">
        <f>CK17*CJ194+CL17*CJ194+CK21*CJ194+CL21*CJ194+CK24*CJ194+CL24*CJ194+CM24*CJ194+CM17*CJ194+CM21*CJ194</f>
        <v>0</v>
      </c>
      <c r="CO194" s="13">
        <v>1</v>
      </c>
      <c r="CP194" s="5">
        <f>CP17*CO194+CQ17*CO194+CP21*CO194+CQ21*CO194+CP24*CO194+CQ24*CO194+CR24*CO194+CR17*CO194+CR21*CO194</f>
        <v>0</v>
      </c>
      <c r="CQ194" s="5"/>
      <c r="CR194" s="5"/>
      <c r="CT194" s="5">
        <v>2</v>
      </c>
      <c r="CU194" s="5">
        <f>CU17*CT194+CV17*CT194+CU21*CT194+CV21*CT194+CU24*CT194+CV24*CT194+CW24*CT194+CW17*CT194+CW21*CT194</f>
        <v>0</v>
      </c>
      <c r="CV194" s="5"/>
      <c r="CW194" s="5"/>
      <c r="CY194" s="5">
        <v>1</v>
      </c>
      <c r="CZ194" s="5">
        <f>SUM(CZ17:DB17,CZ21:DB21,CZ24:DB24)*CY194</f>
        <v>0</v>
      </c>
      <c r="DA194" s="5"/>
      <c r="DB194" s="5"/>
      <c r="DD194" s="5">
        <v>1</v>
      </c>
      <c r="DE194" s="5">
        <f>DE17*DD194+DF17*DD194+DE21*DD194+DF21*DD194+DE24*DD194+DF24*DD194+DG24*DD194+DG17*DD194+DG21*DD194</f>
        <v>0</v>
      </c>
      <c r="DF194" s="5"/>
      <c r="DG194" s="5"/>
      <c r="DI194" s="5">
        <v>2</v>
      </c>
      <c r="DJ194" s="5">
        <f>DJ17*DI194+DK17*DI194+DJ21*DI194+DK21*DI194+DJ24*DI194+DK24*DI194+DL24*DI194+DL17*DI194+DL21*DI194</f>
        <v>0</v>
      </c>
      <c r="DK194" s="5"/>
      <c r="DL194" s="5"/>
      <c r="DN194" s="5">
        <v>2</v>
      </c>
      <c r="DO194" s="5">
        <f>DO17*DN194+DP17*DN194+DO21*DN194+DP21*DN194+DO24*DN194+DP24*DN194+DQ24*DN194+DQ17*DN194+DQ21*DN194</f>
        <v>0</v>
      </c>
      <c r="DP194" s="5"/>
      <c r="DQ194" s="5"/>
      <c r="DS194" s="5">
        <v>2</v>
      </c>
      <c r="DT194" s="5">
        <f>DT17*DS194+DU17*DS194+DT21*DS194+DU21*DS194+DT24*DS194+DU24*DS194+DV24*DS194+DV17*DS194+DV21*DS194</f>
        <v>0</v>
      </c>
      <c r="DU194" s="5"/>
      <c r="DV194" s="5"/>
      <c r="DX194" s="5">
        <v>2</v>
      </c>
      <c r="DY194" s="5">
        <f>DY17*DX194+DZ17*DX194+DY21*DX194+DZ21*DX194+DY24*DX194+DZ24*DX194+EA24*DX194+EA17*DX194+EA21*DX194</f>
        <v>0</v>
      </c>
      <c r="DZ194" s="5"/>
      <c r="EA194" s="5"/>
      <c r="EC194" s="5">
        <v>2</v>
      </c>
      <c r="ED194" s="5">
        <f>ED17*EC194+EE17*EC194+ED21*EC194+EE21*EC194+ED24*EC194+EE24*EC194+EF24*EC194+EF17*EC194+EF21*EC194</f>
        <v>0</v>
      </c>
      <c r="EE194" s="5"/>
      <c r="EF194" s="5"/>
      <c r="EH194" s="5">
        <v>2</v>
      </c>
      <c r="EI194" s="5">
        <f>EI17*EH194+EJ17*EH194+EI21*EH194+EJ21*EH194+EI24*EH194+EJ24*EH194+EK24*EH194+EK17*EH194+EK21*EH194</f>
        <v>0</v>
      </c>
      <c r="EJ194" s="5"/>
      <c r="EK194" s="5"/>
      <c r="EX194" s="659">
        <f t="shared" si="0"/>
        <v>0</v>
      </c>
    </row>
    <row r="195" spans="1:154" s="6" customFormat="1" ht="15" customHeight="1">
      <c r="A195" s="3" t="s">
        <v>121</v>
      </c>
      <c r="B195" s="210" t="s">
        <v>121</v>
      </c>
      <c r="C195" s="473" t="s">
        <v>515</v>
      </c>
      <c r="D195" s="138"/>
      <c r="E195" s="5">
        <v>1</v>
      </c>
      <c r="F195" s="5">
        <f>SUM(F17:H17,F21:H21,F24:H24)*E195</f>
        <v>0</v>
      </c>
      <c r="G195" s="5"/>
      <c r="H195" s="5"/>
      <c r="I195" s="4"/>
      <c r="J195" s="4">
        <v>1</v>
      </c>
      <c r="K195" s="658">
        <f>SUM(K18,K22,K25)*J195</f>
        <v>0</v>
      </c>
      <c r="L195" s="4"/>
      <c r="M195" s="4">
        <v>9</v>
      </c>
      <c r="N195" s="658">
        <f>SUM(N18:P18,N22:P22,N25:P25)*M195</f>
        <v>0</v>
      </c>
      <c r="O195" s="4"/>
      <c r="P195" s="4"/>
      <c r="Q195" s="4"/>
      <c r="R195" s="5">
        <v>2</v>
      </c>
      <c r="S195" s="5">
        <f>S18*R195+T18*R195+S22*R195+T22*R195+S25*R195+S17*R195+T17*R195+S21*R195+T21*R195+S24*R195+T24*R195+T25*R195+U17*R195+U18*R195+U21*R195+U22*R195+U24*R195+U25*R195</f>
        <v>0</v>
      </c>
      <c r="U195" s="5"/>
      <c r="W195" s="5">
        <v>2</v>
      </c>
      <c r="X195" s="5">
        <f>X18*W195+Y18*W195+X22*W195+Y22*W195+X25*W195+X17*W195+Y17*W195+X21*W195+Y21*W195+X24*W195+Y24*W195+Y25*W195+Z17*W195+Z18*W195+Z21*W195+Z22*W195+Z24*W195+Z25*W195</f>
        <v>0</v>
      </c>
      <c r="Y195" s="5"/>
      <c r="Z195" s="5"/>
      <c r="AB195" s="5">
        <v>2</v>
      </c>
      <c r="AC195" s="5">
        <f>AC18*AB195+AD18*AB195+AC22*AB195+AD22*AB195+AC25*AB195+AD25*AB195+AE18*AB195+AE22*AB195+AE25*AB195</f>
        <v>0</v>
      </c>
      <c r="AD195" s="5"/>
      <c r="AE195" s="5"/>
      <c r="AG195" s="5">
        <v>1</v>
      </c>
      <c r="AH195" s="5">
        <f>AH18*AG195+AI18*AG195+AH22*AG195+AI22*AG195+AH25*AG195+AI25*AG195+AH17*AG195+AI17*AG195+AH21*AG195+AI21*AG195+AH24*AG195+AI24*AG195+AI25*AG195+AJ17*AG195+AJ18*AG195+AJ21*AG195+AJ22*AG195+AJ24*AG195+AJ25*AG195</f>
        <v>0</v>
      </c>
      <c r="AI195" s="5"/>
      <c r="AJ195" s="5"/>
      <c r="AL195" s="5">
        <v>2</v>
      </c>
      <c r="AM195" s="5">
        <f>AM18*AL195+AN18*AL195+AM22*AL195+AN22*AL195+AM25*AL195+AN25*AL195+AM17*AL195+AN17*AL195+AM21*AL195+AN21*AL195+AM24*AL195+AN24*AL195+AN25*AL195+AO17*AL195+AO18*AL195+AO21*AL195+AO22*AL195+AO24*AL195+AO25*AL195</f>
        <v>0</v>
      </c>
      <c r="AN195" s="5"/>
      <c r="AO195" s="5"/>
      <c r="AQ195" s="5">
        <v>3</v>
      </c>
      <c r="AR195" s="5">
        <f>AR18*AQ195+AS18*AQ195+AR22*AQ195+AS22*AQ195+AR25*AQ195+AS25*AQ195+AR17*AQ195+AS17*AQ195+AR21*AQ195+AS21*AQ195+AR24*AQ195+AS24*AQ195+AS25*AQ195+AT17*AQ195+AT18*AQ195+AT21*AQ195+AT22*AQ195+AT24*AQ195+AT25*AQ195</f>
        <v>0</v>
      </c>
      <c r="AS195" s="5"/>
      <c r="AT195" s="5"/>
      <c r="BD195" s="5"/>
      <c r="BF195" s="5"/>
      <c r="BG195" s="5"/>
      <c r="BH195" s="5"/>
      <c r="BI195" s="5"/>
      <c r="BK195" s="6">
        <v>1</v>
      </c>
      <c r="BL195" s="5">
        <f>SUM(BL17:BN17,BL21:BN21,BL24:BN24)*BK195</f>
        <v>0</v>
      </c>
      <c r="BM195" s="5"/>
      <c r="BN195" s="5"/>
      <c r="BP195" s="5">
        <v>1</v>
      </c>
      <c r="BQ195" s="5">
        <f>SUM(BQ17:BS17,BQ21:BS21,BQ24:BS24)*BP195</f>
        <v>0</v>
      </c>
      <c r="BR195" s="5"/>
      <c r="BS195" s="5"/>
      <c r="BU195" s="5"/>
      <c r="BV195" s="5">
        <f>SUM(BV17:BX17,BV21:BX21,BV24:BX24)*BU195</f>
        <v>0</v>
      </c>
      <c r="BW195" s="5"/>
      <c r="BX195" s="5"/>
      <c r="BZ195" s="5">
        <v>1</v>
      </c>
      <c r="CA195" s="5">
        <f>SUM(CA17:CC17,CA21:CC21,CA24:CC24)*BZ195</f>
        <v>0</v>
      </c>
      <c r="CB195" s="5"/>
      <c r="CC195" s="5"/>
      <c r="CE195" s="5">
        <v>1</v>
      </c>
      <c r="CF195" s="5">
        <f>SUM(CF17:CH17,CF21:CH21,CF24:CH24)*CE195</f>
        <v>0</v>
      </c>
      <c r="CG195" s="5"/>
      <c r="CH195" s="5"/>
      <c r="CO195" s="13"/>
      <c r="CP195" s="5"/>
      <c r="CQ195" s="5"/>
      <c r="CR195" s="5"/>
      <c r="CT195" s="5">
        <v>1</v>
      </c>
      <c r="CU195" s="5">
        <f>CU17*CT195+CV17*CT195+CU21*CT195+CV21*CT195+CU24*CT195+CV24*CT195+CW24*CT195+CW17*CT195+CW21*CT195</f>
        <v>0</v>
      </c>
      <c r="CV195" s="5"/>
      <c r="CW195" s="5"/>
      <c r="CY195" s="5">
        <v>1</v>
      </c>
      <c r="CZ195" s="5">
        <f>SUM(CZ17:DB17,CZ18:DB18,CZ22:DB22,CZ21:DB21,CZ24:DB24,CZ25:DB25)*CY195</f>
        <v>0</v>
      </c>
      <c r="DA195" s="5"/>
      <c r="DB195" s="5"/>
      <c r="DD195" s="5"/>
      <c r="DE195" s="5"/>
      <c r="DF195" s="5"/>
      <c r="DG195" s="5"/>
      <c r="DI195" s="5"/>
      <c r="DJ195" s="5">
        <f>DJ17*DI195+DK17*DI195+DJ21*DI195+DK21*DI195+DJ24*DI195+DK24*DI195+DL17*DI195+DL21*DI195+DL24*DI195</f>
        <v>0</v>
      </c>
      <c r="DK195" s="5"/>
      <c r="DL195" s="5"/>
      <c r="DN195" s="5"/>
      <c r="DO195" s="5">
        <f>DO17*DN195+DP17*DN195+DO21*DN195+DP21*DN195+DO24*DN195+DP24*DN195+DQ17*DN195+DQ21*DN195+DQ24*DN195</f>
        <v>0</v>
      </c>
      <c r="DP195" s="5"/>
      <c r="DQ195" s="5"/>
      <c r="DS195" s="5">
        <v>1</v>
      </c>
      <c r="DT195" s="5">
        <f>DT17*DS195+DU17*DS195+DT21*DS195+DU21*DS195+DT24*DS195+DU24*DS195+DV17*DS195+DV21*DS195+DV24*DS195</f>
        <v>0</v>
      </c>
      <c r="DU195" s="5"/>
      <c r="DV195" s="5"/>
      <c r="DX195" s="5">
        <v>1</v>
      </c>
      <c r="DY195" s="5">
        <f>DY17*DX195+DZ17*DX195+DY21*DX195+DZ21*DX195+DY24*DX195+DZ24*DX195+EA17*DX195+EA21*DX195+EA24*DX195</f>
        <v>0</v>
      </c>
      <c r="DZ195" s="5"/>
      <c r="EA195" s="5"/>
      <c r="EC195" s="5">
        <v>1</v>
      </c>
      <c r="ED195" s="5">
        <f>ED17*EC195+EE17*EC195+ED21*EC195+EE21*EC195+ED24*EC195+EE24*EC195+EF17*EC195+EF21*EC195+EF24*EC195</f>
        <v>0</v>
      </c>
      <c r="EE195" s="5"/>
      <c r="EF195" s="5"/>
      <c r="EH195" s="5">
        <v>1</v>
      </c>
      <c r="EI195" s="5">
        <f>EI17*EH195+EJ17*EH195+EI21*EH195+EJ21*EH195+EI24*EH195+EJ24*EH195+EK17*EH195+EK21*EH195+EK24*EH195</f>
        <v>0</v>
      </c>
      <c r="EJ195" s="5"/>
      <c r="EK195" s="5"/>
      <c r="EX195" s="659">
        <f t="shared" si="0"/>
        <v>0</v>
      </c>
    </row>
    <row r="196" spans="1:154" s="6" customFormat="1" ht="15" customHeight="1">
      <c r="A196" s="3" t="s">
        <v>122</v>
      </c>
      <c r="B196" s="210" t="s">
        <v>122</v>
      </c>
      <c r="C196" s="473" t="s">
        <v>515</v>
      </c>
      <c r="D196" s="138"/>
      <c r="E196" s="5"/>
      <c r="F196" s="5"/>
      <c r="G196" s="5"/>
      <c r="H196" s="5"/>
      <c r="I196" s="4"/>
      <c r="J196" s="4"/>
      <c r="K196" s="4"/>
      <c r="L196" s="4"/>
      <c r="M196" s="4"/>
      <c r="N196" s="658"/>
      <c r="O196" s="4"/>
      <c r="P196" s="4"/>
      <c r="Q196" s="4"/>
      <c r="R196" s="5">
        <v>2</v>
      </c>
      <c r="S196" s="5">
        <f>S18*R196+T18*R196+S22*R196+T22*R196+S25*R196+T25*R196+U18*R196+U22*R196+U25*R196</f>
        <v>0</v>
      </c>
      <c r="U196" s="5"/>
      <c r="W196" s="5">
        <v>2</v>
      </c>
      <c r="X196" s="5">
        <f>X18*W196+Y18*W196+X22*W196+Y22*W196+X25*W196+Y25*W196+Z18*W196+Z22*W196+Z25*W196</f>
        <v>0</v>
      </c>
      <c r="Y196" s="5"/>
      <c r="Z196" s="5"/>
      <c r="AB196" s="5">
        <v>2</v>
      </c>
      <c r="AC196" s="5">
        <f>AC18*AB196+AD18*AB196+AC22*AB196+AD22*AB196+AC25*AB196+AD25*AB196+AE18*AB196+AE22*AB196+AE25*AB196</f>
        <v>0</v>
      </c>
      <c r="AD196" s="5"/>
      <c r="AE196" s="5"/>
      <c r="AG196" s="5">
        <v>1</v>
      </c>
      <c r="AH196" s="5">
        <f>AH18*AG196+AI18*AG196+AH22*AG196+AI22*AG196+AH25*AG196+AI25*AG196+AH17*AG196+AI17*AG196+AH21*AG196+AI21*AG196+AH24*AG196+AI24*AG196+AI25*AG196+AJ17*AG196+AJ18*AG196+AJ21*AG196+AJ22*AG196+AJ24*AG196+AJ25*AG196</f>
        <v>0</v>
      </c>
      <c r="AI196" s="5"/>
      <c r="AJ196" s="5"/>
      <c r="AL196" s="5">
        <v>2</v>
      </c>
      <c r="AM196" s="5">
        <f>AM18*AL196+AN18*AL196+AM22*AL196+AN22*AL196+AM25*AL196+AN25*AL196+AM17*AL196+AN17*AL196+AM21*AL196+AN21*AL196+AM24*AL196+AN24*AL196+AN25*AL196+AO17*AL196+AO18*AL196+AO21*AL196+AO22*AL196+AO24*AL196+AO25*AL196</f>
        <v>0</v>
      </c>
      <c r="AN196" s="5"/>
      <c r="AO196" s="5"/>
      <c r="AQ196" s="5">
        <v>3</v>
      </c>
      <c r="AR196" s="5">
        <f>AR18*AQ196+AS18*AQ196+AR22*AQ196+AS22*AQ196+AR25*AQ196+AS25*AQ196+AR17*AQ196+AS17*AQ196+AR21*AQ196+AS21*AQ196+AR24*AQ196+AS24*AQ196+AS25*AQ196+AT17*AQ196+AT18*AQ196+AT21*AQ196+AT22*AQ196+AT24*AQ196+AT25*AQ196</f>
        <v>0</v>
      </c>
      <c r="AS196" s="5"/>
      <c r="AT196" s="5"/>
      <c r="AV196" s="6">
        <v>1</v>
      </c>
      <c r="AW196" s="6">
        <f>AW18*AV196+AX18*AV196+AW22*AV196+AX22*AV196+AW25*AV196+AX25*AV196+AY25*AV196+AY18*AV196+AY22*AV196</f>
        <v>0</v>
      </c>
      <c r="BA196" s="6">
        <v>1</v>
      </c>
      <c r="BB196" s="6">
        <f>BB18*BA196+BC18*BA196+BB22*BA196+BC22*BA196+BB25*BA196+BC25*BA196+BD25*BA196+BD18*BA196+BD22*BA196</f>
        <v>0</v>
      </c>
      <c r="BD196" s="5"/>
      <c r="BF196" s="5">
        <v>1</v>
      </c>
      <c r="BG196" s="5">
        <f>SUM(BG18:BI18,BG22:BI22,BG25:BI25)*BF196</f>
        <v>0</v>
      </c>
      <c r="BH196" s="5"/>
      <c r="BI196" s="5"/>
      <c r="BL196" s="5"/>
      <c r="BM196" s="5"/>
      <c r="BN196" s="5"/>
      <c r="BP196" s="5"/>
      <c r="BQ196" s="5"/>
      <c r="BR196" s="5"/>
      <c r="BS196" s="5"/>
      <c r="BU196" s="5">
        <v>1</v>
      </c>
      <c r="BV196" s="5">
        <f>SUM(BV17:BX17,BV21:BX21,BV24:BX24)*BU196</f>
        <v>0</v>
      </c>
      <c r="BW196" s="5"/>
      <c r="BX196" s="5"/>
      <c r="BZ196" s="5">
        <v>1</v>
      </c>
      <c r="CA196" s="5">
        <f>SUM(CA18:CC18,CA22:CC22,CA25:CC25)*BZ196</f>
        <v>0</v>
      </c>
      <c r="CB196" s="5"/>
      <c r="CC196" s="5"/>
      <c r="CE196" s="5">
        <v>1</v>
      </c>
      <c r="CF196" s="5">
        <f>SUM(CF18:CH18,CF22:CH22,CF25:CH25)*CE196</f>
        <v>0</v>
      </c>
      <c r="CG196" s="5"/>
      <c r="CH196" s="5"/>
      <c r="CK196" s="6">
        <f>CK18*CJ196+CL18*CJ196+CK22*CJ196+CL22*CJ196+CK25*CJ196+CL25*CJ196+CM25*CJ196+CM18*CJ196+CM22*CJ196</f>
        <v>0</v>
      </c>
      <c r="CO196" s="13">
        <v>1</v>
      </c>
      <c r="CP196" s="5">
        <f>CP18*CO196+CQ18*CO196+CP22*CO196+CQ22*CO196+CP25*CO196+CQ25*CO196+CR25*CO196+CR18*CO196+CR22*CO196</f>
        <v>0</v>
      </c>
      <c r="CQ196" s="5"/>
      <c r="CR196" s="5"/>
      <c r="CT196" s="5">
        <v>1</v>
      </c>
      <c r="CU196" s="5">
        <f>CU18*CT196+CV18*CT196+CU22*CT196+CV22*CT196+CU25*CT196+CV25*CT196+CW25*CT196+CW18*CT196+CW22*CT196</f>
        <v>0</v>
      </c>
      <c r="CV196" s="5"/>
      <c r="CW196" s="5"/>
      <c r="CY196" s="5">
        <v>1</v>
      </c>
      <c r="CZ196" s="5">
        <f>SUM(CZ18:DB18,CZ22:DB22,CZ25:DB25)*CY196</f>
        <v>0</v>
      </c>
      <c r="DA196" s="5"/>
      <c r="DB196" s="5"/>
      <c r="DD196" s="5">
        <v>1</v>
      </c>
      <c r="DE196" s="5">
        <f>DE18*DD196+DF18*DD196+DE22*DD196+DF22*DD196+DE25*DD196+DF25*DD196+DG25*DD196+DG18*DD196+DG22*DD196</f>
        <v>0</v>
      </c>
      <c r="DF196" s="5"/>
      <c r="DG196" s="5"/>
      <c r="DI196" s="5">
        <v>1</v>
      </c>
      <c r="DJ196" s="5">
        <f>DJ18*DI196+DK18*DI196+DJ22*DI196+DK22*DI196+DJ25*DI196+DK25*DI196+DL25*DI196+DL18*DI196+DL22*DI196</f>
        <v>0</v>
      </c>
      <c r="DK196" s="5"/>
      <c r="DL196" s="5"/>
      <c r="DN196" s="5">
        <v>1</v>
      </c>
      <c r="DO196" s="5">
        <f>DO18*DN196+DP18*DN196+DO22*DN196+DP22*DN196+DO25*DN196+DP25*DN196+DQ25*DN196+DQ18*DN196+DQ22*DN196</f>
        <v>0</v>
      </c>
      <c r="DP196" s="5"/>
      <c r="DQ196" s="5"/>
      <c r="DS196" s="5">
        <v>1</v>
      </c>
      <c r="DT196" s="5">
        <f>DT18*DS196+DU18*DS196+DT22*DS196+DU22*DS196+DT25*DS196+DU25*DS196+DV25*DS196+DV18*DS196+DV22*DS196</f>
        <v>0</v>
      </c>
      <c r="DU196" s="5"/>
      <c r="DV196" s="5"/>
      <c r="DX196" s="5">
        <v>1</v>
      </c>
      <c r="DY196" s="5">
        <f>DY18*DX196+DZ18*DX196+DY22*DX196+DZ22*DX196+DY25*DX196+DZ25*DX196+EA25*DX196+EA18*DX196+EA22*DX196</f>
        <v>0</v>
      </c>
      <c r="DZ196" s="5"/>
      <c r="EA196" s="5"/>
      <c r="EC196" s="5">
        <v>1</v>
      </c>
      <c r="ED196" s="5">
        <f>ED18*EC196+EE18*EC196+ED22*EC196+EE22*EC196+ED25*EC196+EE25*EC196+EF25*EC196+EF18*EC196+EF22*EC196</f>
        <v>0</v>
      </c>
      <c r="EE196" s="5"/>
      <c r="EF196" s="5"/>
      <c r="EH196" s="5">
        <v>1</v>
      </c>
      <c r="EI196" s="5">
        <f>EI18*EH196+EJ18*EH196+EI22*EH196+EJ22*EH196+EI25*EH196+EJ25*EH196+EK25*EH196+EK18*EH196+EK22*EH196</f>
        <v>0</v>
      </c>
      <c r="EJ196" s="5"/>
      <c r="EK196" s="5"/>
      <c r="EX196" s="659">
        <f t="shared" si="0"/>
        <v>0</v>
      </c>
    </row>
    <row r="197" spans="1:154" s="6" customFormat="1" ht="15" customHeight="1">
      <c r="A197" s="3" t="s">
        <v>123</v>
      </c>
      <c r="B197" s="210" t="s">
        <v>123</v>
      </c>
      <c r="C197" s="473" t="s">
        <v>515</v>
      </c>
      <c r="D197" s="138"/>
      <c r="E197" s="5">
        <v>1</v>
      </c>
      <c r="F197" s="5">
        <f>SUM(F18:H18,F22:H22,F25:H25)*E197</f>
        <v>0</v>
      </c>
      <c r="G197" s="5"/>
      <c r="H197" s="5"/>
      <c r="I197" s="4"/>
      <c r="J197" s="4"/>
      <c r="K197" s="4"/>
      <c r="L197" s="4"/>
      <c r="M197" s="4"/>
      <c r="N197" s="658"/>
      <c r="O197" s="4"/>
      <c r="P197" s="4"/>
      <c r="Q197" s="4"/>
      <c r="R197" s="5">
        <v>2</v>
      </c>
      <c r="S197" s="5">
        <f>S18*R197+T18*R197+S22*R197+T22*R197+S25*R197+T25*R197+U18*R197+U22*R197+U25*R197</f>
        <v>0</v>
      </c>
      <c r="U197" s="5"/>
      <c r="W197" s="5">
        <v>2</v>
      </c>
      <c r="X197" s="5">
        <f>X18*W197+Y18*W197+X22*W197+Y22*W197+X25*W197+Y25*W197+Z18*W197+Z22*W197+Z25*W197</f>
        <v>0</v>
      </c>
      <c r="Y197" s="5"/>
      <c r="Z197" s="5"/>
      <c r="AB197" s="5"/>
      <c r="AC197" s="5"/>
      <c r="AD197" s="5"/>
      <c r="AE197" s="5"/>
      <c r="AG197" s="5"/>
      <c r="AH197" s="5"/>
      <c r="AI197" s="5"/>
      <c r="AJ197" s="5"/>
      <c r="AL197" s="5"/>
      <c r="AM197" s="5"/>
      <c r="AN197" s="5"/>
      <c r="AO197" s="5"/>
      <c r="AQ197" s="5"/>
      <c r="AR197" s="5"/>
      <c r="AS197" s="5"/>
      <c r="AT197" s="5"/>
      <c r="AV197" s="6">
        <v>1</v>
      </c>
      <c r="AW197" s="6">
        <f>AW18*AV197+AX18*AV197+AW22*AV197+AX22*AV197+AW25*AV197+AX25*AV197+AY25*AV197+AY18*AV197+AY22*AV197</f>
        <v>0</v>
      </c>
      <c r="BA197" s="6">
        <v>1</v>
      </c>
      <c r="BB197" s="6">
        <f>BB18*BA197+BC18*BA197+BB22*BA197+BC22*BA197+BB25*BA197+BC25*BA197+BD25*BA197+BD18*BA197+BD22*BA197</f>
        <v>0</v>
      </c>
      <c r="BD197" s="5"/>
      <c r="BF197" s="5">
        <v>1</v>
      </c>
      <c r="BG197" s="5">
        <f>SUM(BG18:BI18,BG22:BI22,BG25:BI25)*BF197</f>
        <v>0</v>
      </c>
      <c r="BH197" s="5"/>
      <c r="BI197" s="5"/>
      <c r="BK197" s="6">
        <v>1</v>
      </c>
      <c r="BL197" s="5">
        <f>SUM(BL18:BN18,BL22:BN22,BL25:BN25)*BK197</f>
        <v>0</v>
      </c>
      <c r="BM197" s="5"/>
      <c r="BN197" s="5"/>
      <c r="BP197" s="5">
        <v>1</v>
      </c>
      <c r="BQ197" s="5">
        <f>SUM(BQ18:BS18,BQ22:BS22,BQ25:BS25)*BP197</f>
        <v>0</v>
      </c>
      <c r="BR197" s="5"/>
      <c r="BS197" s="5"/>
      <c r="BU197" s="5">
        <v>1</v>
      </c>
      <c r="BV197" s="5">
        <f>SUM(BV17:BX17,BV21:BX21,BV24:BX24)*BU197</f>
        <v>0</v>
      </c>
      <c r="BW197" s="5"/>
      <c r="BX197" s="5"/>
      <c r="BZ197" s="5">
        <v>2</v>
      </c>
      <c r="CA197" s="5">
        <f>SUM(CA18:CC18,CA22:CC22,CA25:CC25)*BZ197</f>
        <v>0</v>
      </c>
      <c r="CB197" s="5"/>
      <c r="CC197" s="5"/>
      <c r="CE197" s="5">
        <v>2</v>
      </c>
      <c r="CF197" s="5">
        <f>SUM(CF18:CH18,CF22:CH22,CF25:CH25)*CE197</f>
        <v>0</v>
      </c>
      <c r="CG197" s="5"/>
      <c r="CH197" s="5"/>
      <c r="CK197" s="6">
        <f>CK18*CJ197+CL18*CJ197+CK22*CJ197+CL22*CJ197+CK25*CJ197+CL25*CJ197+CM25*CJ197+CM18*CJ197+CM22*CJ197</f>
        <v>0</v>
      </c>
      <c r="CO197" s="13">
        <v>1</v>
      </c>
      <c r="CP197" s="5">
        <f>CP18*CO197+CQ18*CO197+CP22*CO197+CQ22*CO197+CP25*CO197+CQ25*CO197+CR25*CO197+CR18*CO197+CR22*CO197</f>
        <v>0</v>
      </c>
      <c r="CQ197" s="5"/>
      <c r="CR197" s="5"/>
      <c r="CT197" s="5">
        <v>2</v>
      </c>
      <c r="CU197" s="5">
        <f>CU18*CT197+CV18*CT197+CU22*CT197+CV22*CT197+CU25*CT197+CV25*CT197+CW25*CT197+CW18*CT197+CW22*CT197</f>
        <v>0</v>
      </c>
      <c r="CV197" s="5"/>
      <c r="CW197" s="5"/>
      <c r="CY197" s="5">
        <v>1</v>
      </c>
      <c r="CZ197" s="5">
        <f>SUM(CZ18:DB18,CZ22:DB22,CZ25:DB25)*CY197</f>
        <v>0</v>
      </c>
      <c r="DA197" s="5"/>
      <c r="DB197" s="5"/>
      <c r="DD197" s="5">
        <v>1</v>
      </c>
      <c r="DE197" s="5">
        <f>DE18*DD197+DF18*DD197+DE22*DD197+DF22*DD197+DE25*DD197+DF25*DD197+DG25*DD197+DG18*DD197+DG22*DD197</f>
        <v>0</v>
      </c>
      <c r="DF197" s="5"/>
      <c r="DG197" s="5"/>
      <c r="DI197" s="5"/>
      <c r="DJ197" s="5">
        <f>DJ18*DI197+DK18*DI197+DJ22*DI197+DK22*DI197+DJ25*DI197+DK25*DI197+DL25*DI197+DL18*DI197+DL22*DI197</f>
        <v>0</v>
      </c>
      <c r="DK197" s="5"/>
      <c r="DL197" s="5"/>
      <c r="DN197" s="5"/>
      <c r="DO197" s="5">
        <f>DO18*DN197+DP18*DN197+DO22*DN197+DP22*DN197+DO25*DN197+DP25*DN197+DQ25*DN197+DQ18*DN197+DQ22*DN197</f>
        <v>0</v>
      </c>
      <c r="DP197" s="5"/>
      <c r="DQ197" s="5"/>
      <c r="DS197" s="5">
        <v>2</v>
      </c>
      <c r="DT197" s="5">
        <f>DT18*DS197+DU18*DS197+DT22*DS197+DU22*DS197+DT25*DS197+DU25*DS197+DV25*DS197+DV18*DS197+DV22*DS197</f>
        <v>0</v>
      </c>
      <c r="DU197" s="5"/>
      <c r="DV197" s="5"/>
      <c r="DX197" s="5">
        <v>2</v>
      </c>
      <c r="DY197" s="5">
        <f>DY18*DX197+DZ18*DX197+DY22*DX197+DZ22*DX197+DY25*DX197+DZ25*DX197+EA25*DX197+EA18*DX197+EA22*DX197</f>
        <v>0</v>
      </c>
      <c r="DZ197" s="5"/>
      <c r="EA197" s="5"/>
      <c r="EC197" s="5">
        <v>2</v>
      </c>
      <c r="ED197" s="5">
        <f>ED18*EC197+EE18*EC197+ED22*EC197+EE22*EC197+ED25*EC197+EE25*EC197+EF25*EC197+EF18*EC197+EF22*EC197</f>
        <v>0</v>
      </c>
      <c r="EE197" s="5"/>
      <c r="EF197" s="5"/>
      <c r="EH197" s="5">
        <v>2</v>
      </c>
      <c r="EI197" s="5">
        <f>EI18*EH197+EJ18*EH197+EI22*EH197+EJ22*EH197+EI25*EH197+EJ25*EH197+EK25*EH197+EK18*EH197+EK22*EH197</f>
        <v>0</v>
      </c>
      <c r="EJ197" s="5"/>
      <c r="EK197" s="5"/>
      <c r="EX197" s="659">
        <f t="shared" si="0"/>
        <v>0</v>
      </c>
    </row>
    <row r="198" spans="1:154" s="6" customFormat="1" ht="15" customHeight="1">
      <c r="A198" s="3" t="s">
        <v>124</v>
      </c>
      <c r="B198" s="210" t="s">
        <v>124</v>
      </c>
      <c r="C198" s="473" t="s">
        <v>515</v>
      </c>
      <c r="D198" s="138"/>
      <c r="E198" s="5">
        <v>1</v>
      </c>
      <c r="F198" s="5">
        <f>SUM(F18:H18,F22:H22,F25:H25)*E198</f>
        <v>0</v>
      </c>
      <c r="G198" s="5"/>
      <c r="H198" s="5"/>
      <c r="I198" s="4"/>
      <c r="J198" s="4"/>
      <c r="K198" s="4"/>
      <c r="L198" s="4"/>
      <c r="M198" s="4"/>
      <c r="N198" s="658"/>
      <c r="O198" s="4"/>
      <c r="P198" s="4"/>
      <c r="Q198" s="4"/>
      <c r="R198" s="5"/>
      <c r="S198" s="5"/>
      <c r="U198" s="5"/>
      <c r="W198" s="5"/>
      <c r="X198" s="5"/>
      <c r="Y198" s="5"/>
      <c r="Z198" s="5"/>
      <c r="AB198" s="5"/>
      <c r="AC198" s="5"/>
      <c r="AD198" s="5"/>
      <c r="AE198" s="5"/>
      <c r="AG198" s="5">
        <v>1</v>
      </c>
      <c r="AH198" s="5">
        <f>AH18*AG198+AI18*AG198+AH22*AG198+AI22*AG198+AH25*AG198+AI25*AG198+AJ18*AG198+AJ22*AG198+AJ25*AG198</f>
        <v>0</v>
      </c>
      <c r="AI198" s="5"/>
      <c r="AJ198" s="5"/>
      <c r="AL198" s="5">
        <v>2</v>
      </c>
      <c r="AM198" s="5">
        <f>AM18*AL198+AN18*AL198+AM22*AL198+AN22*AL198+AM25*AL198+AN25*AL198+AO18*AL198+AO22*AL198+AO25*AL198</f>
        <v>0</v>
      </c>
      <c r="AN198" s="5"/>
      <c r="AO198" s="5"/>
      <c r="AQ198" s="5">
        <v>3</v>
      </c>
      <c r="AR198" s="5">
        <f>AR18*AQ198+AS18*AQ198+AR22*AQ198+AS22*AQ198+AR25*AQ198+AS25*AQ198+AT18*AQ198+AT22*AQ198+AT25*AQ198</f>
        <v>0</v>
      </c>
      <c r="AS198" s="5"/>
      <c r="AT198" s="5"/>
      <c r="BD198" s="5"/>
      <c r="BF198" s="5"/>
      <c r="BG198" s="5"/>
      <c r="BH198" s="5"/>
      <c r="BI198" s="5"/>
      <c r="BK198" s="6">
        <v>1</v>
      </c>
      <c r="BL198" s="5">
        <f>SUM(BL18:BN18,BL22:BN22,BL25:BN25)*BK198</f>
        <v>0</v>
      </c>
      <c r="BM198" s="5"/>
      <c r="BN198" s="5"/>
      <c r="BP198" s="5">
        <v>1</v>
      </c>
      <c r="BQ198" s="5">
        <f>SUM(BQ18:BS18,BQ22:BS22,BQ25:BS25)*BP198</f>
        <v>0</v>
      </c>
      <c r="BR198" s="5"/>
      <c r="BS198" s="5"/>
      <c r="BU198" s="5">
        <v>1</v>
      </c>
      <c r="BV198" s="5">
        <f>SUM(BV18:BX18,BV22:BX22,BV25:BX25)*BU198</f>
        <v>0</v>
      </c>
      <c r="BW198" s="5"/>
      <c r="BX198" s="5"/>
      <c r="BZ198" s="5">
        <v>1</v>
      </c>
      <c r="CA198" s="5">
        <f>SUM(CA18:CC18,CA22:CC22,CA25:CC25)*BZ198</f>
        <v>0</v>
      </c>
      <c r="CB198" s="5"/>
      <c r="CC198" s="5"/>
      <c r="CE198" s="5">
        <v>1</v>
      </c>
      <c r="CF198" s="5">
        <f>SUM(CF18:CH18,CF22:CH22,CF25:CH25)*CE198</f>
        <v>0</v>
      </c>
      <c r="CG198" s="5"/>
      <c r="CH198" s="5"/>
      <c r="CO198" s="13"/>
      <c r="CP198" s="5"/>
      <c r="CQ198" s="5"/>
      <c r="CR198" s="5"/>
      <c r="CT198" s="5">
        <v>1</v>
      </c>
      <c r="CU198" s="5">
        <f>CU18*CT198+CV18*CT198+CU22*CT198+CV22*CT198+CU25*CT198+CV25*CT198+CW25*CT198+CW18*CT198+CW22*CT198</f>
        <v>0</v>
      </c>
      <c r="CV198" s="5"/>
      <c r="CW198" s="5"/>
      <c r="CY198" s="5"/>
      <c r="CZ198" s="5"/>
      <c r="DA198" s="5"/>
      <c r="DB198" s="5"/>
      <c r="DD198" s="5"/>
      <c r="DE198" s="5"/>
      <c r="DF198" s="5"/>
      <c r="DG198" s="5"/>
      <c r="DI198" s="5">
        <v>1</v>
      </c>
      <c r="DJ198" s="5">
        <f>DJ18*DI198+DK18*DI198+DJ22*DI198+DK22*DI198+DJ25*DI198+DK25*DI198+DL25*DI198+DL18*DI198+DL22*DI198</f>
        <v>0</v>
      </c>
      <c r="DK198" s="5"/>
      <c r="DL198" s="5"/>
      <c r="DN198" s="5">
        <v>1</v>
      </c>
      <c r="DO198" s="5">
        <f>DO18*DN198+DP18*DN198+DO22*DN198+DP22*DN198+DO25*DN198+DP25*DN198+DQ25*DN198+DQ18*DN198+DQ22*DN198</f>
        <v>0</v>
      </c>
      <c r="DP198" s="5"/>
      <c r="DQ198" s="5"/>
      <c r="DS198" s="5">
        <v>1</v>
      </c>
      <c r="DT198" s="5">
        <f>DT18*DS198+DU18*DS198+DT22*DS198+DU22*DS198+DT25*DS198+DU25*DS198+DV25*DS198+DV18*DS198+DV22*DS198</f>
        <v>0</v>
      </c>
      <c r="DU198" s="5"/>
      <c r="DV198" s="5"/>
      <c r="DX198" s="5">
        <v>1</v>
      </c>
      <c r="DY198" s="5">
        <f>DY18*DX198+DZ18*DX198+DY22*DX198+DZ22*DX198+DY25*DX198+DZ25*DX198+EA25*DX198+EA18*DX198+EA22*DX198</f>
        <v>0</v>
      </c>
      <c r="DZ198" s="5"/>
      <c r="EA198" s="5"/>
      <c r="EC198" s="5">
        <v>1</v>
      </c>
      <c r="ED198" s="5">
        <f>ED18*EC198+EE18*EC198+ED22*EC198+EE22*EC198+ED25*EC198+EE25*EC198+EF25*EC198+EF18*EC198+EF22*EC198</f>
        <v>0</v>
      </c>
      <c r="EE198" s="5"/>
      <c r="EF198" s="5"/>
      <c r="EH198" s="5">
        <v>1</v>
      </c>
      <c r="EI198" s="5">
        <f>EI18*EH198+EJ18*EH198+EI22*EH198+EJ22*EH198+EI25*EH198+EJ25*EH198+EK25*EH198+EK18*EH198+EK22*EH198</f>
        <v>0</v>
      </c>
      <c r="EJ198" s="5"/>
      <c r="EK198" s="5"/>
      <c r="EX198" s="659">
        <f t="shared" si="0"/>
        <v>0</v>
      </c>
    </row>
    <row r="199" spans="1:154" s="6" customFormat="1" ht="15" customHeight="1">
      <c r="A199" s="3" t="s">
        <v>125</v>
      </c>
      <c r="B199" s="210" t="s">
        <v>125</v>
      </c>
      <c r="C199" s="473" t="s">
        <v>515</v>
      </c>
      <c r="D199" s="138"/>
      <c r="E199" s="5"/>
      <c r="F199" s="5">
        <f>SUM(F19:H19,F23:H23,F26:H26)*E199</f>
        <v>0</v>
      </c>
      <c r="G199" s="5"/>
      <c r="H199" s="5"/>
      <c r="I199" s="4"/>
      <c r="J199" s="4">
        <v>1</v>
      </c>
      <c r="K199" s="658">
        <f>SUM(K19,K23,K26)*J199</f>
        <v>0</v>
      </c>
      <c r="L199" s="4"/>
      <c r="M199" s="4">
        <v>9</v>
      </c>
      <c r="N199" s="658">
        <f>SUM(N19:P19,N23:P23,N26:P26)*M199</f>
        <v>0</v>
      </c>
      <c r="O199" s="4"/>
      <c r="P199" s="4"/>
      <c r="Q199" s="4"/>
      <c r="R199" s="5">
        <v>2</v>
      </c>
      <c r="S199" s="5">
        <f>S19*R199+T19*R199+T26*R199+S23*R199+T23*R199+S26*R199+U19*R199+T23*R199+U23*R199+U26*R199</f>
        <v>0</v>
      </c>
      <c r="U199" s="5"/>
      <c r="W199" s="5">
        <v>2</v>
      </c>
      <c r="X199" s="5">
        <f>X19*W199+Y19*W199+Y26*W199+X23*W199+Y23*W199+X26*W199+Z19*W199+Y23*W199+Z23*W199+Z26*W199</f>
        <v>0</v>
      </c>
      <c r="Y199" s="5"/>
      <c r="Z199" s="5"/>
      <c r="AB199" s="5">
        <v>2</v>
      </c>
      <c r="AC199" s="5">
        <f>AC19*AB199+AD19*AB199+AC23*AB199+AD23*AB199+AC26*AB199+AD26*AB199+AD23*AB199+AC26*AB199+AD26*AB199+AE19*AB199+AE23*AB199+AE26*AB199</f>
        <v>0</v>
      </c>
      <c r="AD199" s="5"/>
      <c r="AE199" s="5"/>
      <c r="AG199" s="5">
        <v>1</v>
      </c>
      <c r="AH199" s="5">
        <f>AH19*AG199+AI19*AG199+AH23*AG199+AH26*AG199+AJ19*AG199+AI23*AG199+AI26*AG199+AJ23*AG199+AJ26*AG199</f>
        <v>0</v>
      </c>
      <c r="AI199" s="5"/>
      <c r="AJ199" s="5"/>
      <c r="AL199" s="5">
        <v>2</v>
      </c>
      <c r="AM199" s="5">
        <f>AM19*AL199+AN19*AL199+AM23*AL199+AM26*AL199+AO19*AL199+AN23*AL199+AN26*AL199+AO23*AL199+AO26*AL199</f>
        <v>0</v>
      </c>
      <c r="AN199" s="5"/>
      <c r="AO199" s="5"/>
      <c r="AQ199" s="5">
        <v>3</v>
      </c>
      <c r="AR199" s="5">
        <f>AR19*AQ199+AS19*AQ199+AR23*AQ199+AR26*AQ199+AT19*AQ199+AS23*AQ199+AS26*AQ199+AT23*AQ199+AT26*AQ199</f>
        <v>0</v>
      </c>
      <c r="AS199" s="5"/>
      <c r="AT199" s="5"/>
      <c r="AV199" s="6">
        <v>1</v>
      </c>
      <c r="AW199" s="6">
        <f>AW19*AV199+AX19*AV199+AW23*AV199+AX23*AV199+AW26*AV199+AY19*AV199+AX23*AV199+AY23*AV199+AY26*AV199+AX26*AV199</f>
        <v>0</v>
      </c>
      <c r="BA199" s="6">
        <v>1</v>
      </c>
      <c r="BB199" s="6">
        <f>BB19*BA199+BC19*BA199+BB23*BA199+BC23*BA199+BB26*BA199+BD19*BA199+BC23*BA199+BD23*BA199+BD26*BA199+BC26*BA199</f>
        <v>0</v>
      </c>
      <c r="BD199" s="5"/>
      <c r="BF199" s="5">
        <v>1</v>
      </c>
      <c r="BG199" s="5">
        <f>SUM(BG19:BI19,BG23:BI23,BG26:BI26)*BF199</f>
        <v>0</v>
      </c>
      <c r="BH199" s="5"/>
      <c r="BI199" s="5"/>
      <c r="BL199" s="5">
        <f>SUM(BL19:BN19,BL23:BN23,BL26:BN26)*BK199</f>
        <v>0</v>
      </c>
      <c r="BM199" s="5"/>
      <c r="BN199" s="5"/>
      <c r="BP199" s="5"/>
      <c r="BQ199" s="5">
        <f>SUM(BQ19:BS19,BQ23:BS23,BQ26:BS26)*BP199</f>
        <v>0</v>
      </c>
      <c r="BR199" s="5"/>
      <c r="BS199" s="5"/>
      <c r="BU199" s="5">
        <v>1</v>
      </c>
      <c r="BV199" s="5">
        <f>SUM(BV18:BX18,BV22:BX22,BV25:BX25)*BU199</f>
        <v>0</v>
      </c>
      <c r="BW199" s="5"/>
      <c r="BX199" s="5"/>
      <c r="BZ199" s="5">
        <v>1</v>
      </c>
      <c r="CA199" s="5">
        <f>SUM(CA19:CC19,CA23:CC23,CA26:CC26)*BZ199</f>
        <v>0</v>
      </c>
      <c r="CB199" s="5"/>
      <c r="CC199" s="5"/>
      <c r="CE199" s="5">
        <v>1</v>
      </c>
      <c r="CF199" s="5">
        <f>SUM(CF19:CH19,CF23:CH23,CF26:CH26)*CE199</f>
        <v>0</v>
      </c>
      <c r="CG199" s="5"/>
      <c r="CH199" s="5"/>
      <c r="CK199" s="6">
        <f>CK19*CJ199+CL19*CJ199+CK23*CJ199+CL23*CJ199+CK26*CJ199+CM19*CJ199+CL23*CJ199+CM23*CJ199+CM26*CJ199+CL26*CJ199</f>
        <v>0</v>
      </c>
      <c r="CO199" s="13">
        <v>1</v>
      </c>
      <c r="CP199" s="5">
        <f>CP19*CO199+CQ19*CO199+CP23*CO199+CQ23*CO199+CP26*CO199+CR19*CO199+CQ23*CO199+CR23*CO199+CR26*CO199+CQ26*CO199</f>
        <v>0</v>
      </c>
      <c r="CQ199" s="5"/>
      <c r="CR199" s="5"/>
      <c r="CT199" s="5">
        <v>1</v>
      </c>
      <c r="CU199" s="5">
        <f>CU19*CT199+CV19*CT199+CU23*CT199+CV23*CT199+CU26*CT199+CW19*CT199+CV23*CT199+CW23*CT199+CW26*CT199+CV26*CT199</f>
        <v>0</v>
      </c>
      <c r="CV199" s="5"/>
      <c r="CW199" s="5"/>
      <c r="CY199" s="5">
        <v>1</v>
      </c>
      <c r="CZ199" s="5">
        <f>SUM(CZ19:DB19,CZ23:DB23,CZ26:DB26)*CY199</f>
        <v>0</v>
      </c>
      <c r="DA199" s="5"/>
      <c r="DB199" s="5"/>
      <c r="DD199" s="5">
        <v>1</v>
      </c>
      <c r="DE199" s="5">
        <f>DE19*DD199+DF19*DD199+DE23*DD199+DF23*DD199+DE26*DD199+DG19*DD199+DF23*DD199+DG23*DD199+DG26*DD199+DF26*DD199</f>
        <v>0</v>
      </c>
      <c r="DF199" s="5"/>
      <c r="DG199" s="5"/>
      <c r="DI199" s="5">
        <v>1</v>
      </c>
      <c r="DJ199" s="5">
        <f>DJ19*DI199+DK19*DI199+DJ23*DI199+DK23*DI199+DJ26*DI199+DL19*DI199+DK23*DI199+DL23*DI199+DL26*DI199+DK26*DI199</f>
        <v>0</v>
      </c>
      <c r="DK199" s="5"/>
      <c r="DL199" s="5"/>
      <c r="DN199" s="5">
        <v>1</v>
      </c>
      <c r="DO199" s="5">
        <f>DO19*DN199+DP19*DN199+DO23*DN199+DP23*DN199+DO26*DN199+DQ19*DN199+DP23*DN199+DQ23*DN199+DQ26*DN199+DP26*DN199</f>
        <v>0</v>
      </c>
      <c r="DP199" s="5"/>
      <c r="DQ199" s="5"/>
      <c r="DS199" s="5">
        <v>1</v>
      </c>
      <c r="DT199" s="5">
        <f>DT19*DS199+DU19*DS199+DT23*DS199+DU23*DS199+DT26*DS199+DV19*DS199+DU23*DS199+DV23*DS199+DV26*DS199+DU26*DS199</f>
        <v>0</v>
      </c>
      <c r="DU199" s="5"/>
      <c r="DV199" s="5"/>
      <c r="DX199" s="5">
        <v>1</v>
      </c>
      <c r="DY199" s="5">
        <f>DY19*DX199+DZ19*DX199+DY23*DX199+DZ23*DX199+DY26*DX199+EA19*DX199+DZ23*DX199+EA23*DX199+EA26*DX199+DZ26*DX199</f>
        <v>0</v>
      </c>
      <c r="DZ199" s="5"/>
      <c r="EA199" s="5"/>
      <c r="EC199" s="5">
        <v>1</v>
      </c>
      <c r="ED199" s="5">
        <f>ED19*EC199+EE19*EC199+ED23*EC199+EE23*EC199+ED26*EC199+EF19*EC199+EE23*EC199+EF23*EC199+EF26*EC199+EE26*EC199</f>
        <v>0</v>
      </c>
      <c r="EE199" s="5"/>
      <c r="EF199" s="5"/>
      <c r="EH199" s="5">
        <v>1</v>
      </c>
      <c r="EI199" s="5">
        <f>EI19*EH199+EJ19*EH199+EI23*EH199+EJ23*EH199+EI26*EH199+EK19*EH199+EJ23*EH199+EK23*EH199+EK26*EH199+EJ26*EH199</f>
        <v>0</v>
      </c>
      <c r="EJ199" s="5"/>
      <c r="EK199" s="5"/>
      <c r="EX199" s="659">
        <f t="shared" si="0"/>
        <v>0</v>
      </c>
    </row>
    <row r="200" spans="1:154" s="6" customFormat="1" ht="15" customHeight="1">
      <c r="A200" s="3" t="s">
        <v>126</v>
      </c>
      <c r="B200" s="210" t="s">
        <v>126</v>
      </c>
      <c r="C200" s="473" t="s">
        <v>515</v>
      </c>
      <c r="D200" s="138"/>
      <c r="E200" s="5">
        <v>1</v>
      </c>
      <c r="F200" s="5">
        <f>SUM(F19:H19,F23:H23,F26:H26)*E200</f>
        <v>0</v>
      </c>
      <c r="G200" s="5"/>
      <c r="H200" s="5"/>
      <c r="I200" s="4"/>
      <c r="J200" s="4"/>
      <c r="K200" s="4"/>
      <c r="L200" s="4"/>
      <c r="M200" s="4"/>
      <c r="N200" s="4"/>
      <c r="O200" s="4"/>
      <c r="P200" s="4"/>
      <c r="Q200" s="4"/>
      <c r="R200" s="5">
        <v>2</v>
      </c>
      <c r="S200" s="5">
        <f>S19*R200+T19*R200+S23*R200+T23*R200+S26*R200+T26*R200+T23*R200+U19*R200+U23*R200+U26*R200</f>
        <v>0</v>
      </c>
      <c r="U200" s="5"/>
      <c r="W200" s="5">
        <v>2</v>
      </c>
      <c r="X200" s="5">
        <f>X19*W200+Y19*W200+X23*W200+Y23*W200+Y26*W200+Y23*W200+X26*W200+Z19*W200+Z23*W200+Z26*W200</f>
        <v>0</v>
      </c>
      <c r="Y200" s="5"/>
      <c r="Z200" s="5"/>
      <c r="AB200" s="5">
        <v>2</v>
      </c>
      <c r="AC200" s="5">
        <f>AC19*AB200+AD19*AB200+AC23*AB200+AD23*AB200+AC26*AB200+AD26*AB200+AD23*AB200+AC26*AB200+AD26*AB200+AE19*AB200+AE23*AB200+AE26*AB200</f>
        <v>0</v>
      </c>
      <c r="AD200" s="5"/>
      <c r="AE200" s="5"/>
      <c r="AG200" s="5">
        <v>1</v>
      </c>
      <c r="AH200" s="5">
        <f>AH19*AG200+AI19*AG200+AH23*AG200+AI23*AG200+AI26*AG200+AH26*AG200+AJ19*AG200+AJ23*AG200+AJ26*AG200</f>
        <v>0</v>
      </c>
      <c r="AI200" s="5"/>
      <c r="AJ200" s="5"/>
      <c r="AL200" s="5">
        <v>2</v>
      </c>
      <c r="AM200" s="5">
        <f>AM19*AL200+AN19*AL200+AM23*AL200+AN23*AL200+AN26*AL200+AM26*AL200+AO19*AL200+AO23*AL200+AO26*AL200</f>
        <v>0</v>
      </c>
      <c r="AN200" s="5"/>
      <c r="AO200" s="5"/>
      <c r="AQ200" s="5">
        <v>3</v>
      </c>
      <c r="AR200" s="5">
        <f>AR19*AQ200+AS19*AQ200+AR23*AQ200+AS23*AQ200+AS26*AQ200+AR26*AQ200+AT19*AQ200+AT23*AQ200+AT26*AQ200</f>
        <v>0</v>
      </c>
      <c r="AS200" s="5"/>
      <c r="AT200" s="5"/>
      <c r="AV200" s="6">
        <v>1</v>
      </c>
      <c r="AW200" s="6">
        <f>AW19*AV200+AX19*AV200+AW23*AV200+AX23*AV200+AW26*AV200+AX26*AV200+AY19*AV200+AY23*AV200+AY26*AV200</f>
        <v>0</v>
      </c>
      <c r="BA200" s="6">
        <v>1</v>
      </c>
      <c r="BB200" s="6">
        <f>BB19*BA200+BC19*BA200+BB23*BA200+BC23*BA200+BB26*BA200+BC26*BA200+BD19*BA200+BD23*BA200+BD26*BA200</f>
        <v>0</v>
      </c>
      <c r="BD200" s="5"/>
      <c r="BF200" s="5">
        <v>1</v>
      </c>
      <c r="BG200" s="5">
        <f>SUM(BG19:BI19,BG23:BI23,BG26:BI26)*BF200</f>
        <v>0</v>
      </c>
      <c r="BH200" s="5"/>
      <c r="BI200" s="5"/>
      <c r="BK200" s="6">
        <v>1</v>
      </c>
      <c r="BL200" s="5">
        <f>SUM(BL19:BN19,BL23:BN23,BL26:BN26)*BK200</f>
        <v>0</v>
      </c>
      <c r="BM200" s="5"/>
      <c r="BN200" s="5"/>
      <c r="BP200" s="5">
        <v>1</v>
      </c>
      <c r="BQ200" s="5">
        <f>SUM(BQ19:BS19,BQ23:BS23,BQ26:BS26)*BP200</f>
        <v>0</v>
      </c>
      <c r="BR200" s="5"/>
      <c r="BS200" s="5"/>
      <c r="BU200" s="5"/>
      <c r="BV200" s="5"/>
      <c r="BW200" s="5"/>
      <c r="BX200" s="5"/>
      <c r="BZ200" s="5">
        <v>2</v>
      </c>
      <c r="CA200" s="5">
        <f>SUM(CA19:CC19,CA23:CC23,CA26:CC26)*BZ200</f>
        <v>0</v>
      </c>
      <c r="CB200" s="5"/>
      <c r="CC200" s="5"/>
      <c r="CE200" s="5">
        <v>2</v>
      </c>
      <c r="CF200" s="5">
        <f>SUM(CF19:CH19,CF23:CH23,CF26:CH26)*CE200</f>
        <v>0</v>
      </c>
      <c r="CG200" s="5"/>
      <c r="CH200" s="5"/>
      <c r="CK200" s="6">
        <f>CK19*CJ200+CL19*CJ200+CK23*CJ200+CL23*CJ200+CK26*CJ200+CL26*CJ200+CM19*CJ200+CM23*CJ200+CM26*CJ200</f>
        <v>0</v>
      </c>
      <c r="CO200" s="13">
        <v>1</v>
      </c>
      <c r="CP200" s="5">
        <f>CP19*CO200+CQ19*CO200+CP23*CO200+CQ23*CO200+CP26*CO200+CQ26*CO200+CR19*CO200+CR23*CO200+CR26*CO200</f>
        <v>0</v>
      </c>
      <c r="CQ200" s="5"/>
      <c r="CR200" s="5"/>
      <c r="CT200" s="5">
        <v>2</v>
      </c>
      <c r="CU200" s="5">
        <f>CU19*CT200+CV19*CT200+CU23*CT200+CV23*CT200+CU26*CT200+CV26*CT200+CW19*CT200+CW23*CT200+CW26*CT200</f>
        <v>0</v>
      </c>
      <c r="CV200" s="5"/>
      <c r="CW200" s="5"/>
      <c r="CY200" s="5">
        <v>1</v>
      </c>
      <c r="CZ200" s="5">
        <f>SUM(CZ19:DB19,CZ23:DB23,CZ26:DB26)*CY200</f>
        <v>0</v>
      </c>
      <c r="DA200" s="5"/>
      <c r="DB200" s="5"/>
      <c r="DD200" s="5">
        <v>1</v>
      </c>
      <c r="DE200" s="5">
        <f>DE19*DD200+DF19*DD200+DE23*DD200+DF23*DD200+DE26*DD200+DF26*DD200+DG19*DD200+DG23*DD200+DG26*DD200</f>
        <v>0</v>
      </c>
      <c r="DF200" s="5"/>
      <c r="DG200" s="5"/>
      <c r="DI200" s="5">
        <v>2</v>
      </c>
      <c r="DJ200" s="5">
        <f>DJ19*DI200+DK19*DI200+DJ23*DI200+DJ26*DI200+DK26*DI200+DK23*DI200+DL19*1+DL23*DI200+DL26*DI200</f>
        <v>0</v>
      </c>
      <c r="DK200" s="5"/>
      <c r="DL200" s="5"/>
      <c r="DN200" s="5">
        <v>2</v>
      </c>
      <c r="DO200" s="5">
        <f>DO19*DN200+DP19*DN200+DO23*DN200+DO26*DN200+DP26*DN200+DP23*DN200+DQ19*1+DQ23*DN200+DQ26*DN200</f>
        <v>0</v>
      </c>
      <c r="DP200" s="5"/>
      <c r="DQ200" s="5"/>
      <c r="DS200" s="5">
        <v>2</v>
      </c>
      <c r="DT200" s="5">
        <f>DT19*DS200+DU19*DS200+DT23*DS200+DT26*DS200+DU26*DS200+DU23*DS200+DV19*1+DV23*DS200+DV26*DS200</f>
        <v>0</v>
      </c>
      <c r="DU200" s="5"/>
      <c r="DV200" s="5"/>
      <c r="DX200" s="5">
        <v>2</v>
      </c>
      <c r="DY200" s="5">
        <f>DY19*DX200+DZ19*DX200+DY23*DX200+DY26*DX200+DZ26*DX200+DZ23*DX200+EA19*1+EA23*DX200+EA26*DX200</f>
        <v>0</v>
      </c>
      <c r="DZ200" s="5"/>
      <c r="EA200" s="5"/>
      <c r="EC200" s="5">
        <v>2</v>
      </c>
      <c r="ED200" s="5">
        <f>ED19*EC200+EE19*EC200+ED23*EC200+ED26*EC200+EE26*EC200+EE23*EC200+EF19*1+EF23*EC200+EF26*EC200</f>
        <v>0</v>
      </c>
      <c r="EE200" s="5"/>
      <c r="EF200" s="5"/>
      <c r="EH200" s="5">
        <v>2</v>
      </c>
      <c r="EI200" s="5">
        <f>EI19*EH200+EJ19*EH200+EI23*EH200+EI26*EH200+EJ26*EH200+EJ23*EH200+EK19*1+EK23*EH200+EK26*EH200</f>
        <v>0</v>
      </c>
      <c r="EJ200" s="5"/>
      <c r="EK200" s="5"/>
      <c r="EX200" s="659">
        <f t="shared" si="0"/>
        <v>0</v>
      </c>
    </row>
    <row r="201" spans="1:154" s="6" customFormat="1" ht="15" customHeight="1">
      <c r="A201" s="3" t="s">
        <v>127</v>
      </c>
      <c r="B201" s="210" t="s">
        <v>127</v>
      </c>
      <c r="C201" s="473" t="s">
        <v>515</v>
      </c>
      <c r="D201" s="138"/>
      <c r="E201" s="5">
        <v>1</v>
      </c>
      <c r="F201" s="5">
        <f>SUM(F19:H19,F23:H23,F26:H26)*E201</f>
        <v>0</v>
      </c>
      <c r="G201" s="5"/>
      <c r="H201" s="5"/>
      <c r="I201" s="4"/>
      <c r="J201" s="4"/>
      <c r="K201" s="4"/>
      <c r="L201" s="4"/>
      <c r="M201" s="4"/>
      <c r="N201" s="4"/>
      <c r="O201" s="4"/>
      <c r="P201" s="4"/>
      <c r="Q201" s="4"/>
      <c r="R201" s="5">
        <v>2</v>
      </c>
      <c r="S201" s="5">
        <f>S19*R201+T19*R201+S23*R201+T23*R201+S26*R201+T26*R201+T23*R201+U19*R201+U23*R201+U26*R201</f>
        <v>0</v>
      </c>
      <c r="U201" s="5"/>
      <c r="W201" s="5">
        <v>2</v>
      </c>
      <c r="X201" s="5">
        <f>X23*W201+X19*W201+Y19*W201+X23*W201+Y23*W201+X26*W201+Y26*W201+Z19*W201+Z23*W201+Z26*W201</f>
        <v>0</v>
      </c>
      <c r="Y201" s="5"/>
      <c r="Z201" s="5"/>
      <c r="AB201" s="5"/>
      <c r="AC201" s="5"/>
      <c r="AD201" s="5"/>
      <c r="AE201" s="5"/>
      <c r="AG201" s="5"/>
      <c r="AH201" s="5"/>
      <c r="AI201" s="5"/>
      <c r="AJ201" s="5"/>
      <c r="AL201" s="5"/>
      <c r="AM201" s="5"/>
      <c r="AN201" s="5"/>
      <c r="AO201" s="5"/>
      <c r="AQ201" s="5"/>
      <c r="AR201" s="5"/>
      <c r="AS201" s="5"/>
      <c r="AT201" s="5"/>
      <c r="BD201" s="5"/>
      <c r="BF201" s="5"/>
      <c r="BG201" s="5"/>
      <c r="BH201" s="5"/>
      <c r="BI201" s="5"/>
      <c r="BK201" s="6">
        <v>1</v>
      </c>
      <c r="BL201" s="5">
        <f>SUM(BL19:BN19,BL23:BN23,BL26:BN26)*BK201</f>
        <v>0</v>
      </c>
      <c r="BM201" s="5"/>
      <c r="BN201" s="5"/>
      <c r="BP201" s="5">
        <v>1</v>
      </c>
      <c r="BQ201" s="5">
        <f>SUM(BQ19:BS19,BQ23:BS23,BQ26:BS26)*BP201</f>
        <v>0</v>
      </c>
      <c r="BR201" s="5"/>
      <c r="BS201" s="5"/>
      <c r="BU201" s="5"/>
      <c r="BV201" s="5">
        <f>SUM(BV19:BX19,BV23:BX23,BV26:BX26)*BU201</f>
        <v>0</v>
      </c>
      <c r="BW201" s="5"/>
      <c r="BX201" s="5"/>
      <c r="BZ201" s="5">
        <v>1</v>
      </c>
      <c r="CA201" s="5">
        <f>SUM(CA19:CC19,CA23:CC23,CA26:CC26)*BZ201</f>
        <v>0</v>
      </c>
      <c r="CB201" s="5"/>
      <c r="CC201" s="5"/>
      <c r="CE201" s="5">
        <v>1</v>
      </c>
      <c r="CF201" s="5">
        <f>SUM(CF19:CH19,CF23:CH23,CF26:CH26)*CE201</f>
        <v>0</v>
      </c>
      <c r="CG201" s="5"/>
      <c r="CH201" s="5"/>
      <c r="CO201" s="13"/>
      <c r="CP201" s="5"/>
      <c r="CQ201" s="5"/>
      <c r="CR201" s="5"/>
      <c r="CT201" s="5">
        <v>1</v>
      </c>
      <c r="CU201" s="5">
        <f>CU19*CT201+CV19*CT201+CU23*CT201+CV23*CT201+CU26*CT201+CV26*CT201+CW19*CT201+CW23*CT201+CW26*CT201</f>
        <v>0</v>
      </c>
      <c r="CV201" s="5"/>
      <c r="CW201" s="5"/>
      <c r="CY201" s="5">
        <v>1</v>
      </c>
      <c r="CZ201" s="5">
        <f>SUM(CZ19:DB19,CZ23:DB23,CZ26:DB26)*CY201</f>
        <v>0</v>
      </c>
      <c r="DA201" s="5"/>
      <c r="DB201" s="5"/>
      <c r="DD201" s="5"/>
      <c r="DE201" s="5"/>
      <c r="DF201" s="5"/>
      <c r="DG201" s="5"/>
      <c r="DI201" s="5">
        <v>1</v>
      </c>
      <c r="DJ201" s="5">
        <f>DJ19*DI201+DK19*DI201+DJ23*DI201+DK23*DI201+DJ26*DI201+DK26*DI201+DL19*DI201+DL23*DI201+DL26*DI201</f>
        <v>0</v>
      </c>
      <c r="DK201" s="5"/>
      <c r="DL201" s="5"/>
      <c r="DN201" s="5">
        <v>1</v>
      </c>
      <c r="DO201" s="5">
        <f>DO19*DN201+DP19*DN201+DO23*DN201+DP23*DN201+DO26*DN201+DP26*DN201+DQ19*DN201+DQ23*DN201+DQ26*DN201</f>
        <v>0</v>
      </c>
      <c r="DP201" s="5"/>
      <c r="DQ201" s="5"/>
      <c r="DS201" s="5">
        <v>1</v>
      </c>
      <c r="DT201" s="5">
        <f>DT19*DS201+DU19*DS201+DT23*DS201+DU23*DS201+DT26*DS201+DU26*DS201+DV19*DS201+DV23*DS201+DV26*DS201</f>
        <v>0</v>
      </c>
      <c r="DU201" s="5"/>
      <c r="DV201" s="5"/>
      <c r="DX201" s="5">
        <v>1</v>
      </c>
      <c r="DY201" s="5">
        <f>DY19*DX201+DZ19*DX201+DY23*DX201+DZ23*DX201+DY26*DX201+DZ26*DX201+EA19*DX201+EA23*DX201+EA26*DX201</f>
        <v>0</v>
      </c>
      <c r="DZ201" s="5"/>
      <c r="EA201" s="5"/>
      <c r="EC201" s="5">
        <v>1</v>
      </c>
      <c r="ED201" s="5">
        <f>ED19*EC201+EE19*EC201+ED23*EC201+EE23*EC201+ED26*EC201+EE26*EC201+EF19*EC201+EF23*EC201+EF26*EC201</f>
        <v>0</v>
      </c>
      <c r="EE201" s="5"/>
      <c r="EF201" s="5"/>
      <c r="EH201" s="5">
        <v>1</v>
      </c>
      <c r="EI201" s="5">
        <f>EI19*EH201+EJ19*EH201+EI23*EH201+EJ23*EH201+EI26*EH201+EJ26*EH201+EK19*EH201+EK23*EH201+EK26*EH201</f>
        <v>0</v>
      </c>
      <c r="EJ201" s="5"/>
      <c r="EK201" s="5"/>
      <c r="EX201" s="659">
        <f t="shared" si="0"/>
        <v>0</v>
      </c>
    </row>
    <row r="202" spans="1:154" s="6" customFormat="1" ht="15" customHeight="1">
      <c r="A202" s="3" t="s">
        <v>211</v>
      </c>
      <c r="B202" s="210" t="s">
        <v>211</v>
      </c>
      <c r="C202" s="473" t="s">
        <v>515</v>
      </c>
      <c r="D202" s="138"/>
      <c r="E202" s="5"/>
      <c r="F202" s="5"/>
      <c r="G202" s="5"/>
      <c r="H202" s="5"/>
      <c r="I202" s="4"/>
      <c r="J202" s="4"/>
      <c r="K202" s="4"/>
      <c r="L202" s="4"/>
      <c r="M202" s="4"/>
      <c r="N202" s="4"/>
      <c r="O202" s="4"/>
      <c r="P202" s="4"/>
      <c r="Q202" s="4"/>
      <c r="R202" s="5"/>
      <c r="S202" s="5"/>
      <c r="U202" s="5"/>
      <c r="W202" s="5"/>
      <c r="X202" s="5"/>
      <c r="Y202" s="5"/>
      <c r="Z202" s="5"/>
      <c r="AB202" s="5"/>
      <c r="AC202" s="5"/>
      <c r="AD202" s="5"/>
      <c r="AE202" s="5"/>
      <c r="AG202" s="5">
        <v>1</v>
      </c>
      <c r="AH202" s="5">
        <f>AH19*AG202+AI19*AG202+AH23*AG202+AI23*AG202+AH26*AG202+AI26*AG202+AJ19*AG202+AJ23*AG202+AJ26*AG202</f>
        <v>0</v>
      </c>
      <c r="AI202" s="5"/>
      <c r="AJ202" s="5"/>
      <c r="AL202" s="5">
        <v>2</v>
      </c>
      <c r="AM202" s="5">
        <f>AM19*AL202+AN19*AL202+AM23*AL202+AN23*AL202+AM26*AL202+AN26*AL202+AO19*AL202+AO23*AL202+AO26*AL202</f>
        <v>0</v>
      </c>
      <c r="AN202" s="5"/>
      <c r="AO202" s="5"/>
      <c r="AQ202" s="5">
        <v>3</v>
      </c>
      <c r="AR202" s="5">
        <f>AR19*AQ202+AS19*AQ202+AR23*AQ202+AS23*AQ202+AR26*AQ202+AS26*AQ202+AT19*AQ202+AT23*AQ202+AT26*AQ202</f>
        <v>0</v>
      </c>
      <c r="AS202" s="5"/>
      <c r="AT202" s="5"/>
      <c r="BD202" s="5"/>
      <c r="BF202" s="5"/>
      <c r="BG202" s="5"/>
      <c r="BH202" s="5"/>
      <c r="BI202" s="5"/>
      <c r="BM202" s="5"/>
      <c r="BN202" s="5"/>
      <c r="BP202" s="5"/>
      <c r="BQ202" s="5"/>
      <c r="BR202" s="5"/>
      <c r="BS202" s="5"/>
      <c r="BU202" s="5">
        <v>1</v>
      </c>
      <c r="BV202" s="5">
        <f>SUM(BV19:BX19,BV23:BX23,BV26:BX26)*BU202</f>
        <v>0</v>
      </c>
      <c r="BW202" s="5"/>
      <c r="BX202" s="5"/>
      <c r="BZ202" s="5"/>
      <c r="CA202" s="5"/>
      <c r="CB202" s="5"/>
      <c r="CC202" s="5"/>
      <c r="CE202" s="5"/>
      <c r="CF202" s="5"/>
      <c r="CG202" s="5"/>
      <c r="CH202" s="5"/>
      <c r="CO202" s="13"/>
      <c r="CP202" s="5"/>
      <c r="CQ202" s="5"/>
      <c r="CR202" s="5"/>
      <c r="CT202" s="5"/>
      <c r="CU202" s="5"/>
      <c r="CV202" s="5"/>
      <c r="CW202" s="5"/>
      <c r="CY202" s="5"/>
      <c r="CZ202" s="5"/>
      <c r="DA202" s="5"/>
      <c r="DB202" s="5"/>
      <c r="DD202" s="5"/>
      <c r="DE202" s="5"/>
      <c r="DF202" s="5"/>
      <c r="DG202" s="5"/>
      <c r="DI202" s="5"/>
      <c r="DJ202" s="5"/>
      <c r="DK202" s="5"/>
      <c r="DL202" s="5"/>
      <c r="DN202" s="5"/>
      <c r="DO202" s="5"/>
      <c r="DP202" s="5"/>
      <c r="DQ202" s="5"/>
      <c r="DS202" s="5"/>
      <c r="DT202" s="5"/>
      <c r="DU202" s="5"/>
      <c r="DV202" s="5"/>
      <c r="DX202" s="5"/>
      <c r="DY202" s="5"/>
      <c r="DZ202" s="5"/>
      <c r="EA202" s="5"/>
      <c r="EC202" s="5"/>
      <c r="ED202" s="5"/>
      <c r="EE202" s="5"/>
      <c r="EF202" s="5"/>
      <c r="EH202" s="5"/>
      <c r="EI202" s="5"/>
      <c r="EJ202" s="5"/>
      <c r="EK202" s="5"/>
      <c r="EX202" s="659">
        <f t="shared" si="0"/>
        <v>0</v>
      </c>
    </row>
    <row r="203" spans="1:154" s="6" customFormat="1" ht="15" customHeight="1">
      <c r="A203" s="3"/>
      <c r="B203" s="117" t="s">
        <v>1020</v>
      </c>
      <c r="C203" s="4" t="s">
        <v>0</v>
      </c>
      <c r="D203" s="138"/>
      <c r="E203" s="5"/>
      <c r="F203" s="5"/>
      <c r="G203" s="5"/>
      <c r="H203" s="5"/>
      <c r="I203" s="4"/>
      <c r="J203" s="4"/>
      <c r="K203" s="4"/>
      <c r="L203" s="4"/>
      <c r="M203" s="4"/>
      <c r="N203" s="4"/>
      <c r="O203" s="4"/>
      <c r="P203" s="4"/>
      <c r="Q203" s="4"/>
      <c r="R203" s="5"/>
      <c r="S203" s="5"/>
      <c r="U203" s="5"/>
      <c r="W203" s="5"/>
      <c r="X203" s="5"/>
      <c r="Y203" s="5"/>
      <c r="Z203" s="5"/>
      <c r="AB203" s="5"/>
      <c r="AC203" s="5"/>
      <c r="AD203" s="5"/>
      <c r="AE203" s="5"/>
      <c r="AG203" s="5"/>
      <c r="AH203" s="5"/>
      <c r="AI203" s="5"/>
      <c r="AJ203" s="5"/>
      <c r="AL203" s="5"/>
      <c r="AM203" s="5"/>
      <c r="AN203" s="5"/>
      <c r="AO203" s="5"/>
      <c r="AQ203" s="5"/>
      <c r="AR203" s="5"/>
      <c r="AS203" s="5"/>
      <c r="AT203" s="5"/>
      <c r="BD203" s="5"/>
      <c r="BF203" s="5"/>
      <c r="BG203" s="5"/>
      <c r="BH203" s="5"/>
      <c r="BI203" s="5"/>
      <c r="BM203" s="5"/>
      <c r="BN203" s="5"/>
      <c r="BP203" s="5"/>
      <c r="BQ203" s="5"/>
      <c r="BR203" s="5"/>
      <c r="BS203" s="5"/>
      <c r="BU203" s="5">
        <v>1</v>
      </c>
      <c r="BV203" s="5">
        <f>SUM(BV19:BX19,BV23:BX23,BV26:BX26)*BU203</f>
        <v>0</v>
      </c>
      <c r="BW203" s="5"/>
      <c r="BX203" s="5"/>
      <c r="BZ203" s="5"/>
      <c r="CA203" s="5"/>
      <c r="CB203" s="5"/>
      <c r="CC203" s="5"/>
      <c r="CE203" s="5"/>
      <c r="CF203" s="5"/>
      <c r="CG203" s="5"/>
      <c r="CH203" s="5"/>
      <c r="CO203" s="13"/>
      <c r="CP203" s="5"/>
      <c r="CQ203" s="5"/>
      <c r="CR203" s="5"/>
      <c r="CT203" s="5"/>
      <c r="CU203" s="5"/>
      <c r="CV203" s="5"/>
      <c r="CW203" s="5"/>
      <c r="CY203" s="5"/>
      <c r="CZ203" s="5"/>
      <c r="DA203" s="5"/>
      <c r="DB203" s="5"/>
      <c r="DD203" s="5"/>
      <c r="DE203" s="5"/>
      <c r="DF203" s="5"/>
      <c r="DG203" s="5"/>
      <c r="DI203" s="5"/>
      <c r="DJ203" s="5"/>
      <c r="DK203" s="5"/>
      <c r="DL203" s="5"/>
      <c r="DN203" s="5"/>
      <c r="DO203" s="5"/>
      <c r="DP203" s="5"/>
      <c r="DQ203" s="5"/>
      <c r="DS203" s="5"/>
      <c r="DT203" s="5"/>
      <c r="DU203" s="5"/>
      <c r="DV203" s="5"/>
      <c r="DX203" s="5"/>
      <c r="DY203" s="5"/>
      <c r="DZ203" s="5"/>
      <c r="EA203" s="5"/>
      <c r="EC203" s="5"/>
      <c r="ED203" s="5"/>
      <c r="EE203" s="5"/>
      <c r="EF203" s="5"/>
      <c r="EH203" s="5"/>
      <c r="EI203" s="5"/>
      <c r="EJ203" s="5"/>
      <c r="EK203" s="5"/>
      <c r="EX203" s="659">
        <f t="shared" si="0"/>
        <v>0</v>
      </c>
    </row>
    <row r="204" spans="1:154" s="6" customFormat="1" ht="15" customHeight="1">
      <c r="A204" s="3"/>
      <c r="B204" s="117" t="s">
        <v>1255</v>
      </c>
      <c r="C204" s="4" t="s">
        <v>0</v>
      </c>
      <c r="D204" s="138"/>
      <c r="E204" s="5"/>
      <c r="F204" s="5"/>
      <c r="G204" s="5"/>
      <c r="H204" s="5"/>
      <c r="I204" s="4"/>
      <c r="J204" s="4"/>
      <c r="K204" s="4"/>
      <c r="L204" s="4"/>
      <c r="M204" s="4"/>
      <c r="N204" s="4"/>
      <c r="O204" s="4"/>
      <c r="P204" s="4"/>
      <c r="Q204" s="4"/>
      <c r="R204" s="5"/>
      <c r="S204" s="5"/>
      <c r="U204" s="5"/>
      <c r="W204" s="5"/>
      <c r="X204" s="5"/>
      <c r="Y204" s="5"/>
      <c r="Z204" s="5"/>
      <c r="AB204" s="5"/>
      <c r="AC204" s="5"/>
      <c r="AD204" s="5"/>
      <c r="AE204" s="5"/>
      <c r="AG204" s="5"/>
      <c r="AH204" s="5"/>
      <c r="AI204" s="5"/>
      <c r="AJ204" s="5"/>
      <c r="AL204" s="5"/>
      <c r="AM204" s="5"/>
      <c r="AN204" s="5"/>
      <c r="AO204" s="5"/>
      <c r="AQ204" s="5"/>
      <c r="AR204" s="5"/>
      <c r="AS204" s="5"/>
      <c r="AT204" s="5"/>
      <c r="BD204" s="5"/>
      <c r="BF204" s="5"/>
      <c r="BG204" s="5"/>
      <c r="BH204" s="5"/>
      <c r="BI204" s="5"/>
      <c r="BM204" s="5"/>
      <c r="BN204" s="5"/>
      <c r="BP204" s="5"/>
      <c r="BQ204" s="5"/>
      <c r="BR204" s="5"/>
      <c r="BS204" s="5"/>
      <c r="BU204" s="5"/>
      <c r="BV204" s="5"/>
      <c r="BW204" s="5"/>
      <c r="BX204" s="5"/>
      <c r="BZ204" s="5"/>
      <c r="CA204" s="5"/>
      <c r="CB204" s="5"/>
      <c r="CC204" s="5"/>
      <c r="CE204" s="5"/>
      <c r="CF204" s="5"/>
      <c r="CG204" s="5"/>
      <c r="CH204" s="5"/>
      <c r="CO204" s="13"/>
      <c r="CP204" s="5"/>
      <c r="CQ204" s="5"/>
      <c r="CR204" s="5"/>
      <c r="CT204" s="5"/>
      <c r="CU204" s="5"/>
      <c r="CV204" s="5"/>
      <c r="CW204" s="5"/>
      <c r="CY204" s="5"/>
      <c r="CZ204" s="5"/>
      <c r="DA204" s="5"/>
      <c r="DB204" s="5"/>
      <c r="DD204" s="5"/>
      <c r="DE204" s="5"/>
      <c r="DF204" s="5"/>
      <c r="DG204" s="5"/>
      <c r="DI204" s="5"/>
      <c r="DJ204" s="5"/>
      <c r="DK204" s="5"/>
      <c r="DL204" s="5"/>
      <c r="DN204" s="5"/>
      <c r="DO204" s="5"/>
      <c r="DP204" s="5"/>
      <c r="DQ204" s="5"/>
      <c r="DS204" s="5"/>
      <c r="DT204" s="5"/>
      <c r="DU204" s="5"/>
      <c r="DV204" s="5"/>
      <c r="DX204" s="5"/>
      <c r="DY204" s="5"/>
      <c r="DZ204" s="5"/>
      <c r="EA204" s="5"/>
      <c r="EC204" s="5"/>
      <c r="ED204" s="5"/>
      <c r="EE204" s="5"/>
      <c r="EF204" s="5"/>
      <c r="EH204" s="5"/>
      <c r="EI204" s="5"/>
      <c r="EJ204" s="5"/>
      <c r="EK204" s="5"/>
      <c r="EX204" s="659">
        <f t="shared" si="0"/>
        <v>0</v>
      </c>
    </row>
    <row r="205" spans="1:154" s="6" customFormat="1" ht="15" customHeight="1">
      <c r="A205" s="3"/>
      <c r="B205" s="117" t="s">
        <v>1256</v>
      </c>
      <c r="C205" s="4" t="s">
        <v>0</v>
      </c>
      <c r="D205" s="138"/>
      <c r="E205" s="5"/>
      <c r="F205" s="5"/>
      <c r="G205" s="5"/>
      <c r="H205" s="5"/>
      <c r="I205" s="4"/>
      <c r="J205" s="4"/>
      <c r="K205" s="4"/>
      <c r="L205" s="4"/>
      <c r="M205" s="4"/>
      <c r="N205" s="4"/>
      <c r="O205" s="4"/>
      <c r="P205" s="4"/>
      <c r="Q205" s="4"/>
      <c r="R205" s="5"/>
      <c r="S205" s="5"/>
      <c r="U205" s="5"/>
      <c r="W205" s="5"/>
      <c r="X205" s="5"/>
      <c r="Y205" s="5"/>
      <c r="Z205" s="5"/>
      <c r="AB205" s="5"/>
      <c r="AC205" s="5"/>
      <c r="AD205" s="5"/>
      <c r="AE205" s="5"/>
      <c r="AG205" s="5"/>
      <c r="AH205" s="5"/>
      <c r="AI205" s="5"/>
      <c r="AJ205" s="5"/>
      <c r="AL205" s="5"/>
      <c r="AM205" s="5"/>
      <c r="AN205" s="5"/>
      <c r="AO205" s="5"/>
      <c r="AQ205" s="5"/>
      <c r="AR205" s="5"/>
      <c r="AS205" s="5"/>
      <c r="AT205" s="5"/>
      <c r="BD205" s="5"/>
      <c r="BF205" s="5"/>
      <c r="BG205" s="5"/>
      <c r="BH205" s="5"/>
      <c r="BI205" s="5"/>
      <c r="BM205" s="5"/>
      <c r="BN205" s="5"/>
      <c r="BP205" s="5"/>
      <c r="BQ205" s="5"/>
      <c r="BR205" s="5"/>
      <c r="BS205" s="5"/>
      <c r="BU205" s="5"/>
      <c r="BV205" s="5"/>
      <c r="BW205" s="5"/>
      <c r="BX205" s="5"/>
      <c r="BZ205" s="5"/>
      <c r="CA205" s="5"/>
      <c r="CB205" s="5"/>
      <c r="CC205" s="5"/>
      <c r="CE205" s="5"/>
      <c r="CF205" s="5"/>
      <c r="CG205" s="5"/>
      <c r="CH205" s="5"/>
      <c r="CO205" s="13"/>
      <c r="CP205" s="5"/>
      <c r="CQ205" s="5"/>
      <c r="CR205" s="5"/>
      <c r="CT205" s="5"/>
      <c r="CU205" s="5"/>
      <c r="CV205" s="5"/>
      <c r="CW205" s="5"/>
      <c r="CY205" s="5"/>
      <c r="CZ205" s="5"/>
      <c r="DA205" s="5"/>
      <c r="DB205" s="5"/>
      <c r="DD205" s="5"/>
      <c r="DE205" s="5"/>
      <c r="DF205" s="5"/>
      <c r="DG205" s="5"/>
      <c r="DI205" s="5"/>
      <c r="DJ205" s="5"/>
      <c r="DK205" s="5"/>
      <c r="DL205" s="5"/>
      <c r="DN205" s="5"/>
      <c r="DO205" s="5"/>
      <c r="DP205" s="5"/>
      <c r="DQ205" s="5"/>
      <c r="DS205" s="5"/>
      <c r="DT205" s="5"/>
      <c r="DU205" s="5"/>
      <c r="DV205" s="5"/>
      <c r="DX205" s="5"/>
      <c r="DY205" s="5"/>
      <c r="DZ205" s="5"/>
      <c r="EA205" s="5"/>
      <c r="EC205" s="5"/>
      <c r="ED205" s="5"/>
      <c r="EE205" s="5"/>
      <c r="EF205" s="5"/>
      <c r="EH205" s="5"/>
      <c r="EI205" s="5"/>
      <c r="EJ205" s="5"/>
      <c r="EK205" s="5"/>
      <c r="EX205" s="659">
        <f t="shared" si="0"/>
        <v>0</v>
      </c>
    </row>
    <row r="206" spans="1:154" s="6" customFormat="1" ht="15" customHeight="1">
      <c r="A206" s="3"/>
      <c r="B206" s="117" t="s">
        <v>1257</v>
      </c>
      <c r="C206" s="4" t="s">
        <v>0</v>
      </c>
      <c r="D206" s="138"/>
      <c r="E206" s="5"/>
      <c r="F206" s="5"/>
      <c r="G206" s="5"/>
      <c r="H206" s="5"/>
      <c r="I206" s="4"/>
      <c r="J206" s="4"/>
      <c r="K206" s="4"/>
      <c r="L206" s="4"/>
      <c r="M206" s="4"/>
      <c r="N206" s="4"/>
      <c r="O206" s="4"/>
      <c r="P206" s="4"/>
      <c r="Q206" s="4"/>
      <c r="R206" s="5"/>
      <c r="S206" s="5"/>
      <c r="U206" s="5"/>
      <c r="W206" s="5"/>
      <c r="X206" s="5"/>
      <c r="Y206" s="5"/>
      <c r="Z206" s="5"/>
      <c r="AB206" s="5"/>
      <c r="AC206" s="5"/>
      <c r="AD206" s="5"/>
      <c r="AE206" s="5"/>
      <c r="AG206" s="5"/>
      <c r="AH206" s="5"/>
      <c r="AI206" s="5"/>
      <c r="AJ206" s="5"/>
      <c r="AL206" s="5"/>
      <c r="AM206" s="5"/>
      <c r="AN206" s="5"/>
      <c r="AO206" s="5"/>
      <c r="AQ206" s="5"/>
      <c r="AR206" s="5"/>
      <c r="AS206" s="5"/>
      <c r="AT206" s="5"/>
      <c r="BD206" s="5"/>
      <c r="BF206" s="5"/>
      <c r="BG206" s="5"/>
      <c r="BH206" s="5"/>
      <c r="BI206" s="5"/>
      <c r="BM206" s="5"/>
      <c r="BN206" s="5"/>
      <c r="BP206" s="5"/>
      <c r="BQ206" s="5"/>
      <c r="BR206" s="5"/>
      <c r="BS206" s="5"/>
      <c r="BU206" s="5"/>
      <c r="BV206" s="5"/>
      <c r="BW206" s="5"/>
      <c r="BX206" s="5"/>
      <c r="BZ206" s="5"/>
      <c r="CA206" s="5"/>
      <c r="CB206" s="5"/>
      <c r="CC206" s="5"/>
      <c r="CE206" s="5"/>
      <c r="CF206" s="5"/>
      <c r="CG206" s="5"/>
      <c r="CH206" s="5"/>
      <c r="CO206" s="13"/>
      <c r="CP206" s="5"/>
      <c r="CQ206" s="5"/>
      <c r="CR206" s="5"/>
      <c r="CT206" s="5"/>
      <c r="CU206" s="5"/>
      <c r="CV206" s="5"/>
      <c r="CW206" s="5"/>
      <c r="CY206" s="5"/>
      <c r="CZ206" s="5"/>
      <c r="DA206" s="5"/>
      <c r="DB206" s="5"/>
      <c r="DD206" s="5"/>
      <c r="DE206" s="5"/>
      <c r="DF206" s="5"/>
      <c r="DG206" s="5"/>
      <c r="DI206" s="5"/>
      <c r="DJ206" s="5"/>
      <c r="DK206" s="5"/>
      <c r="DL206" s="5"/>
      <c r="DN206" s="5"/>
      <c r="DO206" s="5"/>
      <c r="DP206" s="5"/>
      <c r="DQ206" s="5"/>
      <c r="DS206" s="5"/>
      <c r="DT206" s="5"/>
      <c r="DU206" s="5"/>
      <c r="DV206" s="5"/>
      <c r="DX206" s="5"/>
      <c r="DY206" s="5"/>
      <c r="DZ206" s="5"/>
      <c r="EA206" s="5"/>
      <c r="EC206" s="5"/>
      <c r="ED206" s="5"/>
      <c r="EE206" s="5"/>
      <c r="EF206" s="5"/>
      <c r="EH206" s="5"/>
      <c r="EI206" s="5"/>
      <c r="EJ206" s="5"/>
      <c r="EK206" s="5"/>
      <c r="EX206" s="659">
        <f t="shared" si="0"/>
        <v>0</v>
      </c>
    </row>
    <row r="207" spans="1:154" s="6" customFormat="1" ht="15" customHeight="1">
      <c r="A207" s="3"/>
      <c r="B207" s="117" t="s">
        <v>1258</v>
      </c>
      <c r="C207" s="4" t="s">
        <v>0</v>
      </c>
      <c r="D207" s="138"/>
      <c r="E207" s="5"/>
      <c r="F207" s="5"/>
      <c r="G207" s="5"/>
      <c r="H207" s="5"/>
      <c r="I207" s="4"/>
      <c r="J207" s="4"/>
      <c r="K207" s="4"/>
      <c r="L207" s="4"/>
      <c r="M207" s="4"/>
      <c r="N207" s="4"/>
      <c r="O207" s="4"/>
      <c r="P207" s="4"/>
      <c r="Q207" s="4"/>
      <c r="R207" s="5"/>
      <c r="S207" s="5"/>
      <c r="U207" s="5"/>
      <c r="W207" s="5"/>
      <c r="X207" s="5"/>
      <c r="Y207" s="5"/>
      <c r="Z207" s="5"/>
      <c r="AB207" s="5"/>
      <c r="AC207" s="5"/>
      <c r="AD207" s="5"/>
      <c r="AE207" s="5"/>
      <c r="AG207" s="5"/>
      <c r="AH207" s="5"/>
      <c r="AI207" s="5"/>
      <c r="AJ207" s="5"/>
      <c r="AL207" s="5"/>
      <c r="AM207" s="5"/>
      <c r="AN207" s="5"/>
      <c r="AO207" s="5"/>
      <c r="AQ207" s="5"/>
      <c r="AR207" s="5"/>
      <c r="AS207" s="5"/>
      <c r="AT207" s="5"/>
      <c r="BD207" s="5"/>
      <c r="BF207" s="5"/>
      <c r="BG207" s="5"/>
      <c r="BH207" s="5"/>
      <c r="BI207" s="5"/>
      <c r="BM207" s="5"/>
      <c r="BN207" s="5"/>
      <c r="BP207" s="5"/>
      <c r="BQ207" s="5"/>
      <c r="BR207" s="5"/>
      <c r="BS207" s="5"/>
      <c r="BU207" s="5"/>
      <c r="BV207" s="5"/>
      <c r="BW207" s="5"/>
      <c r="BX207" s="5"/>
      <c r="BZ207" s="5"/>
      <c r="CA207" s="5"/>
      <c r="CB207" s="5"/>
      <c r="CC207" s="5"/>
      <c r="CE207" s="5"/>
      <c r="CF207" s="5"/>
      <c r="CG207" s="5"/>
      <c r="CH207" s="5"/>
      <c r="CO207" s="13"/>
      <c r="CP207" s="5"/>
      <c r="CQ207" s="5"/>
      <c r="CR207" s="5"/>
      <c r="CT207" s="5"/>
      <c r="CU207" s="5"/>
      <c r="CV207" s="5"/>
      <c r="CW207" s="5"/>
      <c r="CY207" s="5"/>
      <c r="CZ207" s="5"/>
      <c r="DA207" s="5"/>
      <c r="DB207" s="5"/>
      <c r="DD207" s="5"/>
      <c r="DE207" s="5"/>
      <c r="DF207" s="5"/>
      <c r="DG207" s="5"/>
      <c r="DI207" s="5"/>
      <c r="DJ207" s="5"/>
      <c r="DK207" s="5"/>
      <c r="DL207" s="5"/>
      <c r="DN207" s="5"/>
      <c r="DO207" s="5"/>
      <c r="DP207" s="5"/>
      <c r="DQ207" s="5"/>
      <c r="DS207" s="5"/>
      <c r="DT207" s="5"/>
      <c r="DU207" s="5"/>
      <c r="DV207" s="5"/>
      <c r="DX207" s="5"/>
      <c r="DY207" s="5"/>
      <c r="DZ207" s="5"/>
      <c r="EA207" s="5"/>
      <c r="EC207" s="5"/>
      <c r="ED207" s="5"/>
      <c r="EE207" s="5"/>
      <c r="EF207" s="5"/>
      <c r="EH207" s="5"/>
      <c r="EI207" s="5"/>
      <c r="EJ207" s="5"/>
      <c r="EK207" s="5"/>
      <c r="EX207" s="659">
        <f t="shared" si="0"/>
        <v>0</v>
      </c>
    </row>
    <row r="208" spans="1:154" s="6" customFormat="1" ht="15" customHeight="1">
      <c r="A208" s="3"/>
      <c r="B208" s="210" t="s">
        <v>1259</v>
      </c>
      <c r="C208" s="4" t="s">
        <v>0</v>
      </c>
      <c r="D208" s="138"/>
      <c r="E208" s="5"/>
      <c r="F208" s="5"/>
      <c r="G208" s="5"/>
      <c r="H208" s="5"/>
      <c r="I208" s="4"/>
      <c r="J208" s="4"/>
      <c r="K208" s="4"/>
      <c r="L208" s="4"/>
      <c r="M208" s="4"/>
      <c r="N208" s="4"/>
      <c r="O208" s="4"/>
      <c r="P208" s="4"/>
      <c r="Q208" s="4"/>
      <c r="R208" s="5"/>
      <c r="S208" s="5"/>
      <c r="U208" s="5"/>
      <c r="W208" s="5"/>
      <c r="X208" s="5"/>
      <c r="Y208" s="5"/>
      <c r="Z208" s="5"/>
      <c r="AB208" s="5"/>
      <c r="AC208" s="5"/>
      <c r="AD208" s="5"/>
      <c r="AE208" s="5"/>
      <c r="AG208" s="5"/>
      <c r="AH208" s="5"/>
      <c r="AI208" s="5"/>
      <c r="AJ208" s="5"/>
      <c r="AL208" s="5"/>
      <c r="AM208" s="5"/>
      <c r="AN208" s="5"/>
      <c r="AO208" s="5"/>
      <c r="AQ208" s="5"/>
      <c r="AR208" s="5"/>
      <c r="AS208" s="5"/>
      <c r="AT208" s="5"/>
      <c r="BD208" s="5"/>
      <c r="BF208" s="5"/>
      <c r="BG208" s="5"/>
      <c r="BH208" s="5"/>
      <c r="BI208" s="5"/>
      <c r="BM208" s="5"/>
      <c r="BN208" s="5"/>
      <c r="BP208" s="5"/>
      <c r="BQ208" s="5"/>
      <c r="BR208" s="5"/>
      <c r="BS208" s="5"/>
      <c r="BU208" s="5"/>
      <c r="BV208" s="5"/>
      <c r="BW208" s="5"/>
      <c r="BX208" s="5"/>
      <c r="BZ208" s="5"/>
      <c r="CA208" s="5"/>
      <c r="CB208" s="5"/>
      <c r="CC208" s="5"/>
      <c r="CE208" s="5"/>
      <c r="CF208" s="5"/>
      <c r="CG208" s="5"/>
      <c r="CH208" s="5"/>
      <c r="CO208" s="13"/>
      <c r="CP208" s="5"/>
      <c r="CQ208" s="5"/>
      <c r="CR208" s="5"/>
      <c r="CT208" s="5"/>
      <c r="CU208" s="5"/>
      <c r="CV208" s="5"/>
      <c r="CW208" s="5"/>
      <c r="CY208" s="5"/>
      <c r="CZ208" s="5"/>
      <c r="DA208" s="5"/>
      <c r="DB208" s="5"/>
      <c r="DD208" s="5"/>
      <c r="DE208" s="5"/>
      <c r="DF208" s="5"/>
      <c r="DG208" s="5"/>
      <c r="DI208" s="5"/>
      <c r="DJ208" s="5"/>
      <c r="DK208" s="5"/>
      <c r="DL208" s="5"/>
      <c r="DN208" s="5"/>
      <c r="DO208" s="5"/>
      <c r="DP208" s="5"/>
      <c r="DQ208" s="5"/>
      <c r="DS208" s="5"/>
      <c r="DT208" s="5"/>
      <c r="DU208" s="5"/>
      <c r="DV208" s="5"/>
      <c r="DX208" s="5"/>
      <c r="DY208" s="5"/>
      <c r="DZ208" s="5"/>
      <c r="EA208" s="5"/>
      <c r="EC208" s="5"/>
      <c r="ED208" s="5"/>
      <c r="EE208" s="5"/>
      <c r="EF208" s="5"/>
      <c r="EH208" s="5"/>
      <c r="EI208" s="5"/>
      <c r="EJ208" s="5"/>
      <c r="EK208" s="5"/>
      <c r="EX208" s="659">
        <f t="shared" ref="EX208:EX272" si="1">IF(EY208=34,0,F208+K208+N208+S208+T208+X208+AC208+AH208+AM208+CZ208+AR208+AW208+BB208+BG208+BL208+BQ208+BV208+CA208+CF208+CK208+CP208+CU208+DE208+DJ208+DO208+DT208+DY208+ED208+EI208+EN208+ET208+EU208)</f>
        <v>0</v>
      </c>
    </row>
    <row r="209" spans="1:154" s="6" customFormat="1" ht="15" customHeight="1">
      <c r="A209" s="3"/>
      <c r="B209" s="210" t="s">
        <v>1260</v>
      </c>
      <c r="C209" s="4" t="s">
        <v>0</v>
      </c>
      <c r="D209" s="138"/>
      <c r="E209" s="5"/>
      <c r="F209" s="5"/>
      <c r="G209" s="5"/>
      <c r="H209" s="5"/>
      <c r="I209" s="4"/>
      <c r="J209" s="4"/>
      <c r="K209" s="4"/>
      <c r="L209" s="4"/>
      <c r="M209" s="4"/>
      <c r="N209" s="4"/>
      <c r="O209" s="4"/>
      <c r="P209" s="4"/>
      <c r="Q209" s="4"/>
      <c r="R209" s="5"/>
      <c r="S209" s="5"/>
      <c r="U209" s="5"/>
      <c r="W209" s="5"/>
      <c r="X209" s="5"/>
      <c r="Y209" s="5"/>
      <c r="Z209" s="5"/>
      <c r="AB209" s="5"/>
      <c r="AC209" s="5"/>
      <c r="AD209" s="5"/>
      <c r="AE209" s="5"/>
      <c r="AG209" s="5"/>
      <c r="AH209" s="5"/>
      <c r="AI209" s="5"/>
      <c r="AJ209" s="5"/>
      <c r="AL209" s="5"/>
      <c r="AM209" s="5"/>
      <c r="AN209" s="5"/>
      <c r="AO209" s="5"/>
      <c r="AQ209" s="5"/>
      <c r="AR209" s="5"/>
      <c r="AS209" s="5"/>
      <c r="AT209" s="5"/>
      <c r="BD209" s="5"/>
      <c r="BF209" s="5"/>
      <c r="BG209" s="5"/>
      <c r="BH209" s="5"/>
      <c r="BI209" s="5"/>
      <c r="BM209" s="5"/>
      <c r="BN209" s="5"/>
      <c r="BP209" s="5"/>
      <c r="BQ209" s="5"/>
      <c r="BR209" s="5"/>
      <c r="BS209" s="5"/>
      <c r="BU209" s="5"/>
      <c r="BV209" s="5"/>
      <c r="BW209" s="5"/>
      <c r="BX209" s="5"/>
      <c r="BZ209" s="5"/>
      <c r="CA209" s="5"/>
      <c r="CB209" s="5"/>
      <c r="CC209" s="5"/>
      <c r="CE209" s="5"/>
      <c r="CF209" s="5"/>
      <c r="CG209" s="5"/>
      <c r="CH209" s="5"/>
      <c r="CO209" s="13"/>
      <c r="CP209" s="5"/>
      <c r="CQ209" s="5"/>
      <c r="CR209" s="5"/>
      <c r="CT209" s="5"/>
      <c r="CU209" s="5"/>
      <c r="CV209" s="5"/>
      <c r="CW209" s="5"/>
      <c r="CY209" s="5"/>
      <c r="CZ209" s="5"/>
      <c r="DA209" s="5"/>
      <c r="DB209" s="5"/>
      <c r="DD209" s="5"/>
      <c r="DE209" s="5"/>
      <c r="DF209" s="5"/>
      <c r="DG209" s="5"/>
      <c r="DI209" s="5"/>
      <c r="DJ209" s="5"/>
      <c r="DK209" s="5"/>
      <c r="DL209" s="5"/>
      <c r="DN209" s="5"/>
      <c r="DO209" s="5"/>
      <c r="DP209" s="5"/>
      <c r="DQ209" s="5"/>
      <c r="DS209" s="5"/>
      <c r="DT209" s="5"/>
      <c r="DU209" s="5"/>
      <c r="DV209" s="5"/>
      <c r="DX209" s="5"/>
      <c r="DY209" s="5"/>
      <c r="DZ209" s="5"/>
      <c r="EA209" s="5"/>
      <c r="EC209" s="5"/>
      <c r="ED209" s="5"/>
      <c r="EE209" s="5"/>
      <c r="EF209" s="5"/>
      <c r="EH209" s="5"/>
      <c r="EI209" s="5"/>
      <c r="EJ209" s="5"/>
      <c r="EK209" s="5"/>
      <c r="EX209" s="659">
        <f t="shared" si="1"/>
        <v>0</v>
      </c>
    </row>
    <row r="210" spans="1:154" s="6" customFormat="1" ht="15" customHeight="1">
      <c r="A210" s="3"/>
      <c r="B210" s="210" t="s">
        <v>1261</v>
      </c>
      <c r="C210" s="4" t="s">
        <v>0</v>
      </c>
      <c r="D210" s="138"/>
      <c r="E210" s="5"/>
      <c r="F210" s="5"/>
      <c r="G210" s="5"/>
      <c r="H210" s="5"/>
      <c r="I210" s="4"/>
      <c r="J210" s="4"/>
      <c r="K210" s="4"/>
      <c r="L210" s="4"/>
      <c r="M210" s="4"/>
      <c r="N210" s="4"/>
      <c r="O210" s="4"/>
      <c r="P210" s="4"/>
      <c r="Q210" s="4"/>
      <c r="R210" s="5"/>
      <c r="S210" s="5"/>
      <c r="U210" s="5"/>
      <c r="W210" s="5"/>
      <c r="X210" s="5"/>
      <c r="Y210" s="5"/>
      <c r="Z210" s="5"/>
      <c r="AB210" s="5"/>
      <c r="AC210" s="5"/>
      <c r="AD210" s="5"/>
      <c r="AE210" s="5"/>
      <c r="AG210" s="5"/>
      <c r="AH210" s="5"/>
      <c r="AI210" s="5"/>
      <c r="AJ210" s="5"/>
      <c r="AL210" s="5"/>
      <c r="AM210" s="5"/>
      <c r="AN210" s="5"/>
      <c r="AO210" s="5"/>
      <c r="AQ210" s="5"/>
      <c r="AR210" s="5"/>
      <c r="AS210" s="5"/>
      <c r="AT210" s="5"/>
      <c r="BD210" s="5"/>
      <c r="BF210" s="5"/>
      <c r="BG210" s="5"/>
      <c r="BH210" s="5"/>
      <c r="BI210" s="5"/>
      <c r="BM210" s="5"/>
      <c r="BN210" s="5"/>
      <c r="BP210" s="5"/>
      <c r="BQ210" s="5"/>
      <c r="BR210" s="5"/>
      <c r="BS210" s="5"/>
      <c r="BU210" s="5"/>
      <c r="BV210" s="5"/>
      <c r="BW210" s="5"/>
      <c r="BX210" s="5"/>
      <c r="BZ210" s="5"/>
      <c r="CA210" s="5"/>
      <c r="CB210" s="5"/>
      <c r="CC210" s="5"/>
      <c r="CE210" s="5"/>
      <c r="CF210" s="5"/>
      <c r="CG210" s="5"/>
      <c r="CH210" s="5"/>
      <c r="CO210" s="13"/>
      <c r="CP210" s="5"/>
      <c r="CQ210" s="5"/>
      <c r="CR210" s="5"/>
      <c r="CT210" s="5"/>
      <c r="CU210" s="5"/>
      <c r="CV210" s="5"/>
      <c r="CW210" s="5"/>
      <c r="CY210" s="5"/>
      <c r="CZ210" s="5"/>
      <c r="DA210" s="5"/>
      <c r="DB210" s="5"/>
      <c r="DD210" s="5"/>
      <c r="DE210" s="5"/>
      <c r="DF210" s="5"/>
      <c r="DG210" s="5"/>
      <c r="DI210" s="5"/>
      <c r="DJ210" s="5"/>
      <c r="DK210" s="5"/>
      <c r="DL210" s="5"/>
      <c r="DN210" s="5"/>
      <c r="DO210" s="5"/>
      <c r="DP210" s="5"/>
      <c r="DQ210" s="5"/>
      <c r="DS210" s="5"/>
      <c r="DT210" s="5"/>
      <c r="DU210" s="5"/>
      <c r="DV210" s="5"/>
      <c r="DX210" s="5"/>
      <c r="DY210" s="5"/>
      <c r="DZ210" s="5"/>
      <c r="EA210" s="5"/>
      <c r="EC210" s="5"/>
      <c r="ED210" s="5"/>
      <c r="EE210" s="5"/>
      <c r="EF210" s="5"/>
      <c r="EH210" s="5"/>
      <c r="EI210" s="5"/>
      <c r="EJ210" s="5"/>
      <c r="EK210" s="5"/>
      <c r="EX210" s="659">
        <f t="shared" si="1"/>
        <v>0</v>
      </c>
    </row>
    <row r="211" spans="1:154" s="6" customFormat="1" ht="15" customHeight="1">
      <c r="A211" s="3"/>
      <c r="B211" s="210" t="s">
        <v>1262</v>
      </c>
      <c r="C211" s="4" t="s">
        <v>0</v>
      </c>
      <c r="D211" s="138"/>
      <c r="E211" s="5"/>
      <c r="F211" s="5"/>
      <c r="G211" s="5"/>
      <c r="H211" s="5"/>
      <c r="I211" s="4"/>
      <c r="J211" s="4"/>
      <c r="K211" s="4"/>
      <c r="L211" s="4"/>
      <c r="M211" s="4"/>
      <c r="N211" s="4"/>
      <c r="O211" s="4"/>
      <c r="P211" s="4"/>
      <c r="Q211" s="4"/>
      <c r="R211" s="5"/>
      <c r="S211" s="5"/>
      <c r="U211" s="5"/>
      <c r="W211" s="5"/>
      <c r="X211" s="5"/>
      <c r="Y211" s="5"/>
      <c r="Z211" s="5"/>
      <c r="AB211" s="5"/>
      <c r="AC211" s="5"/>
      <c r="AD211" s="5"/>
      <c r="AE211" s="5"/>
      <c r="AG211" s="5"/>
      <c r="AH211" s="5"/>
      <c r="AI211" s="5"/>
      <c r="AJ211" s="5"/>
      <c r="AL211" s="5"/>
      <c r="AM211" s="5"/>
      <c r="AN211" s="5"/>
      <c r="AO211" s="5"/>
      <c r="AQ211" s="5"/>
      <c r="AR211" s="5"/>
      <c r="AS211" s="5"/>
      <c r="AT211" s="5"/>
      <c r="BD211" s="5"/>
      <c r="BF211" s="5"/>
      <c r="BG211" s="5"/>
      <c r="BH211" s="5"/>
      <c r="BI211" s="5"/>
      <c r="BM211" s="5"/>
      <c r="BN211" s="5"/>
      <c r="BP211" s="5"/>
      <c r="BQ211" s="5"/>
      <c r="BR211" s="5"/>
      <c r="BS211" s="5"/>
      <c r="BU211" s="5"/>
      <c r="BV211" s="5"/>
      <c r="BW211" s="5"/>
      <c r="BX211" s="5"/>
      <c r="BZ211" s="5"/>
      <c r="CA211" s="5"/>
      <c r="CB211" s="5"/>
      <c r="CC211" s="5"/>
      <c r="CE211" s="5"/>
      <c r="CF211" s="5"/>
      <c r="CG211" s="5"/>
      <c r="CH211" s="5"/>
      <c r="CO211" s="13"/>
      <c r="CP211" s="5"/>
      <c r="CQ211" s="5"/>
      <c r="CR211" s="5"/>
      <c r="CT211" s="5"/>
      <c r="CU211" s="5"/>
      <c r="CV211" s="5"/>
      <c r="CW211" s="5"/>
      <c r="CY211" s="5"/>
      <c r="CZ211" s="5"/>
      <c r="DA211" s="5"/>
      <c r="DB211" s="5"/>
      <c r="DD211" s="5"/>
      <c r="DE211" s="5"/>
      <c r="DF211" s="5"/>
      <c r="DG211" s="5"/>
      <c r="DI211" s="5"/>
      <c r="DJ211" s="5"/>
      <c r="DK211" s="5"/>
      <c r="DL211" s="5"/>
      <c r="DN211" s="5"/>
      <c r="DO211" s="5"/>
      <c r="DP211" s="5"/>
      <c r="DQ211" s="5"/>
      <c r="DS211" s="5"/>
      <c r="DT211" s="5"/>
      <c r="DU211" s="5"/>
      <c r="DV211" s="5"/>
      <c r="DX211" s="5"/>
      <c r="DY211" s="5"/>
      <c r="DZ211" s="5"/>
      <c r="EA211" s="5"/>
      <c r="EC211" s="5"/>
      <c r="ED211" s="5"/>
      <c r="EE211" s="5"/>
      <c r="EF211" s="5"/>
      <c r="EH211" s="5"/>
      <c r="EI211" s="5"/>
      <c r="EJ211" s="5"/>
      <c r="EK211" s="5"/>
      <c r="EX211" s="659">
        <f t="shared" si="1"/>
        <v>0</v>
      </c>
    </row>
    <row r="212" spans="1:154" s="6" customFormat="1" ht="15" customHeight="1">
      <c r="A212" s="3"/>
      <c r="B212" s="210" t="s">
        <v>1263</v>
      </c>
      <c r="C212" s="4" t="s">
        <v>0</v>
      </c>
      <c r="D212" s="138"/>
      <c r="E212" s="5"/>
      <c r="F212" s="5"/>
      <c r="G212" s="5"/>
      <c r="H212" s="5"/>
      <c r="I212" s="4"/>
      <c r="J212" s="4"/>
      <c r="K212" s="4"/>
      <c r="L212" s="4"/>
      <c r="M212" s="4"/>
      <c r="N212" s="4"/>
      <c r="O212" s="4"/>
      <c r="P212" s="4"/>
      <c r="Q212" s="4"/>
      <c r="R212" s="5"/>
      <c r="S212" s="5"/>
      <c r="U212" s="5"/>
      <c r="W212" s="5"/>
      <c r="X212" s="5"/>
      <c r="Y212" s="5"/>
      <c r="Z212" s="5"/>
      <c r="AB212" s="5"/>
      <c r="AC212" s="5"/>
      <c r="AD212" s="5"/>
      <c r="AE212" s="5"/>
      <c r="AG212" s="5"/>
      <c r="AH212" s="5"/>
      <c r="AI212" s="5"/>
      <c r="AJ212" s="5"/>
      <c r="AL212" s="5"/>
      <c r="AM212" s="5"/>
      <c r="AN212" s="5"/>
      <c r="AO212" s="5"/>
      <c r="AQ212" s="5"/>
      <c r="AR212" s="5"/>
      <c r="AS212" s="5"/>
      <c r="AT212" s="5"/>
      <c r="BD212" s="5"/>
      <c r="BF212" s="5"/>
      <c r="BG212" s="5"/>
      <c r="BH212" s="5"/>
      <c r="BI212" s="5"/>
      <c r="BM212" s="5"/>
      <c r="BN212" s="5"/>
      <c r="BP212" s="5"/>
      <c r="BQ212" s="5"/>
      <c r="BR212" s="5"/>
      <c r="BS212" s="5"/>
      <c r="BU212" s="5"/>
      <c r="BV212" s="5"/>
      <c r="BW212" s="5"/>
      <c r="BX212" s="5"/>
      <c r="BZ212" s="5"/>
      <c r="CA212" s="5"/>
      <c r="CB212" s="5"/>
      <c r="CC212" s="5"/>
      <c r="CE212" s="5"/>
      <c r="CF212" s="5"/>
      <c r="CG212" s="5"/>
      <c r="CH212" s="5"/>
      <c r="CO212" s="13"/>
      <c r="CP212" s="5"/>
      <c r="CQ212" s="5"/>
      <c r="CR212" s="5"/>
      <c r="CT212" s="5"/>
      <c r="CU212" s="5"/>
      <c r="CV212" s="5"/>
      <c r="CW212" s="5"/>
      <c r="CY212" s="5"/>
      <c r="CZ212" s="5"/>
      <c r="DA212" s="5"/>
      <c r="DB212" s="5"/>
      <c r="DD212" s="5"/>
      <c r="DE212" s="5"/>
      <c r="DF212" s="5"/>
      <c r="DG212" s="5"/>
      <c r="DI212" s="5"/>
      <c r="DJ212" s="5"/>
      <c r="DK212" s="5"/>
      <c r="DL212" s="5"/>
      <c r="DN212" s="5"/>
      <c r="DO212" s="5"/>
      <c r="DP212" s="5"/>
      <c r="DQ212" s="5"/>
      <c r="DS212" s="5"/>
      <c r="DT212" s="5"/>
      <c r="DU212" s="5"/>
      <c r="DV212" s="5"/>
      <c r="DX212" s="5"/>
      <c r="DY212" s="5"/>
      <c r="DZ212" s="5"/>
      <c r="EA212" s="5"/>
      <c r="EC212" s="5"/>
      <c r="ED212" s="5"/>
      <c r="EE212" s="5"/>
      <c r="EF212" s="5"/>
      <c r="EH212" s="5"/>
      <c r="EI212" s="5"/>
      <c r="EJ212" s="5"/>
      <c r="EK212" s="5"/>
      <c r="EX212" s="659">
        <f t="shared" si="1"/>
        <v>0</v>
      </c>
    </row>
    <row r="213" spans="1:154" s="6" customFormat="1" ht="15" customHeight="1">
      <c r="A213" s="3" t="s">
        <v>134</v>
      </c>
      <c r="B213" s="210" t="s">
        <v>381</v>
      </c>
      <c r="C213" s="473" t="s">
        <v>517</v>
      </c>
      <c r="D213" s="138"/>
      <c r="E213" s="5"/>
      <c r="F213" s="5"/>
      <c r="G213" s="5"/>
      <c r="H213" s="5"/>
      <c r="I213" s="4"/>
      <c r="J213" s="4"/>
      <c r="K213" s="4"/>
      <c r="L213" s="4"/>
      <c r="M213" s="4"/>
      <c r="N213" s="4"/>
      <c r="O213" s="4"/>
      <c r="P213" s="4"/>
      <c r="Q213" s="4"/>
      <c r="R213" s="5">
        <v>1</v>
      </c>
      <c r="S213" s="5">
        <f>S7*R213+T7*R213+S8*R213+T8*R213+S11*R213+T11*R213+S12*R213+T12*R213+S14*R213+T14*R213+S15*R213+T15*R213+S18*R213+T18*R213+S19*R213+T19*R213+S22*R213+T22*R213+S23*R213+T23*R213+S25*R213+T25*R213+S26*R213+T26*R213+U7*R213+U8*R213+U11*R213+U12*R213+U14*R213+U15*R213+U18*R213+U19*R213+U22*R213+U23*R213+U25*R213+U26*R213</f>
        <v>0</v>
      </c>
      <c r="U213" s="5"/>
      <c r="W213" s="5">
        <v>1</v>
      </c>
      <c r="X213" s="5">
        <f>X7*W213+Y7*W213+X8*W213+Y8*W213+X11*W213+Y11*W213+X12*W213+Y12*W213+X14*W213+Y14*W213+X15*W213+Y15*W213+X18*W213+Y18*W213+X19*W213+Y19*W213+X22*W213+Y22*W213+X23*W213+Y23*W213+X25*W213+Y25*W213+X26*W213+Y26*W213+Z7*W213+Z8*W213+Z11*W213+Z12*W213+Z14*W213+Z15*W213+Z18*W213+Z19*W213+Z22*W213+Z23*W213+Z25*W213+Z26*W213</f>
        <v>0</v>
      </c>
      <c r="Y213" s="5"/>
      <c r="Z213" s="5"/>
      <c r="AB213" s="5">
        <v>1</v>
      </c>
      <c r="AC213" s="5">
        <f>AC7*AB213+AD7*AB213+AC8*AB213+AD8*AB213+AC11*AB213+AD11*AB213+AC12*AB213+AD12*AB213+AC14*AB213+AD14*AB213+AC15*AB213+AD15*AB213+AC18*AB213+AD18*AB213+AC19*AB213+AD19*AB213+AC22*AB213+AD22*AB213+AC23*AB213+AD23*AB213+AC25*AB213+AD25*AB213+AC26*AB213+AD26*AB213+AE7*AB213+AE8*AB213+AE11*AB213+AE12*AB213+AE14*AB213+AE15*AB213+AE18*AB213+AE19*AB213+AE22*AB213+AE23*AB213+AE25*AB213+AE26*AB213</f>
        <v>0</v>
      </c>
      <c r="AD213" s="5"/>
      <c r="AE213" s="5"/>
      <c r="AG213" s="5">
        <v>1</v>
      </c>
      <c r="AH213" s="5">
        <f>AH7*AG213+AI7*AG213+AH8*AG213+AI8*AG213+AH11*AG213+AI11*AG213+AH12*AG213+AI12*AG213+AH14*AG213+AI14*AG213+AH15*AG213+AI15*AG213+AH18*AG213+AI18*AG213+AH19*AG213+AI19*AG213+AH22*AG213+AI22*AG213+AH23*AG213+AI23*AG213+AH25*AG213+AI25*AG213+AH26*AG213+AI26*AG213+AJ7*AG213+AJ8*AG213+AJ11*AG213+AJ12*AG213+AJ14*AG213+AJ15*AG213+AJ18*AG213+AJ19*AG213+AJ22*AG213+AJ23*AG213+AJ25*AG213+AJ26*AG213</f>
        <v>0</v>
      </c>
      <c r="AI213" s="5"/>
      <c r="AJ213" s="5"/>
      <c r="AL213" s="5">
        <v>1</v>
      </c>
      <c r="AM213" s="5">
        <f>AM7*AL213+AN7*AL213+AM8*AL213+AN8*AL213+AM11*AL213+AN11*AL213+AM12*AL213+AN12*AL213+AM14*AL213+AN14*AL213+AM15*AL213+AN15*AL213+AM18*AL213+AN18*AL213+AM19*AL213+AN19*AL213+AM22*AL213+AN22*AL213+AM23*AL213+AN23*AL213+AM25*AL213+AN25*AL213+AM26*AL213+AN26*AL213+AO7*AL213+AO8*AL213+AO11*AL213+AO12*AL213+AO14*AL213+AO15*AL213+AO18*AL213+AO19*AL213+AO22*AL213+AO23*AL213+AO25*AL213+AO26*AL213</f>
        <v>0</v>
      </c>
      <c r="AN213" s="5"/>
      <c r="AO213" s="5"/>
      <c r="AQ213" s="5">
        <v>1</v>
      </c>
      <c r="AR213" s="5">
        <f>AR7*AQ213+AS7*AQ213+AR8*AQ213+AS8*AQ213+AR11*AQ213+AS11*AQ213+AR12*AQ213+AS12*AQ213+AR14*AQ213+AS14*AQ213+AR15*AQ213+AS15*AQ213+AR18*AQ213+AS18*AQ213+AR19*AQ213+AS19*AQ213+AR22*AQ213+AS22*AQ213+AR23*AQ213+AS23*AQ213+AR25*AQ213+AS25*AQ213+AR26*AQ213+AS26*AQ213+AT7*AQ213+AT8*AQ213+AT11*AQ213+AT12*AQ213+AT14*AQ213+AT15*AQ213+AT18*AQ213+AT19*AQ213+AT22*AQ213+AT23*AQ213+AT25*AQ213+AT26*AQ213</f>
        <v>0</v>
      </c>
      <c r="AS213" s="5"/>
      <c r="AT213" s="5"/>
      <c r="AV213" s="6">
        <v>1</v>
      </c>
      <c r="AW213" s="6">
        <f>AW7*AV213+AX7*AV213+AW8*AV213+AX8*AV213+AW11*AV213+AX11*AV213+AW12*AV213+AX12*AV213+AW14*AV213+AX14*AV213+AW15*AV213+AX15*AV213+AW18*AV213+AX18*AV213+AW19*AV213+AX19*AV213+AW22*AV213+AX22*AV213+AW23*AV213+AX23*AV213+AW25*AV213+AX25*AV213+AW26*AV213+AX26*AV213+AY7*AV213+AY8*AV213+AY11*AV213+AY12*AV213+AY14*AV213+AY15*AV213+AY18*AV213+AY19*AV213+AY22*AV213+AY23*AV213+AY25*AV213+AY26*AV213</f>
        <v>0</v>
      </c>
      <c r="BA213" s="6">
        <v>1</v>
      </c>
      <c r="BB213" s="6">
        <f>BB7*BA213+BC7*BA213+BB8*BA213+BC8*BA213+BB11*BA213+BC11*BA213+BB12*BA213+BC12*BA213+BB14*BA213+BC14*BA213+BB15*BA213+BC15*BA213+BB18*BA213+BC18*BA213+BB19*BA213+BC19*BA213+BB22*BA213+BC22*BA213+BB23*BA213+BC23*BA213+BB25*BA213+BC25*BA213+BB26*BA213+BC26*BA213+BD7*BA213+BD8*BA213+BD11*BA213+BD12*BA213+BD14*BA213+BD15*BA213+BD18*BA213+BD19*BA213+BD22*BA213+BD23*BA213+BD25*BA213+BD26*BA213</f>
        <v>0</v>
      </c>
      <c r="BD213" s="5"/>
      <c r="BF213" s="5">
        <v>1</v>
      </c>
      <c r="BG213" s="5">
        <f>SUM(BG11:BI11,BG12:BI12,BG14:BI14,BG15:BI15,BG18:BI18,BG19:BI19,BG22:BI22,BG23:BI23,BG25:BI25,BG26:BI26)*BF213</f>
        <v>0</v>
      </c>
      <c r="BH213" s="5"/>
      <c r="BI213" s="5"/>
      <c r="BM213" s="5"/>
      <c r="BN213" s="5"/>
      <c r="BP213" s="5"/>
      <c r="BQ213" s="5"/>
      <c r="BR213" s="5"/>
      <c r="BS213" s="5"/>
      <c r="BU213" s="5">
        <v>1</v>
      </c>
      <c r="BV213" s="5">
        <f>SUM(BV11:BX11,BV12:BX12,BV14:BX14,BV15:BX15,BV18:BX18,BV19:BX19,BV22:BX22,BV23:BX23,BV25:BX25,BV26:BX26)*BU213</f>
        <v>0</v>
      </c>
      <c r="BW213" s="5"/>
      <c r="BX213" s="5"/>
      <c r="BZ213" s="5">
        <v>1</v>
      </c>
      <c r="CA213" s="5">
        <f>SUM(CA11:CC11,CA12:CC12,CA14:CC14,CA15:CC15,CA18:CC18,CA19:CC19,CA22:CC22,CA23:CC23,CA25:CC25,CA26:CC26)*BZ213</f>
        <v>0</v>
      </c>
      <c r="CB213" s="5"/>
      <c r="CC213" s="5"/>
      <c r="CE213" s="5">
        <v>1</v>
      </c>
      <c r="CF213" s="5">
        <f>SUM(CF11:CH11,CF12:CH12,CF14:CH14,CF15:CH15,CF18:CH18,CF19:CH19,CF22:CH22,CF23:CH23,CF25:CH25,CF26:CH26)*CE213</f>
        <v>0</v>
      </c>
      <c r="CG213" s="5"/>
      <c r="CH213" s="5"/>
      <c r="CI213" s="855"/>
      <c r="CK213" s="6">
        <f>CK7*CJ213+CL7*CJ213+CK8*CJ213+CL8*CJ213+CK11*CJ213+CL11*CJ213+CK12*CJ213+CL12*CJ213+CK14*CJ213+CL14*CJ213+CK15*CJ213+CL15*CJ213+CK18*CJ213+CL18*CJ213+CK19*CJ213+CL19*CJ213+CK22*CJ213+CL22*CJ213+CK23*CJ213+CL23*CJ213+CK25*CJ213+CL25*CJ213+CK26*CJ213+CL26*CJ213+CM7*CJ213+CM8*CJ213+CM11*CJ213+CM12*CJ213+CM14*CJ213+CM15*CJ213+CM18*CJ213+CM19*CJ213+CM22*CJ213+CM23*CJ213+CM25*CJ213+CM26*CJ213</f>
        <v>0</v>
      </c>
      <c r="CO213" s="13">
        <v>1</v>
      </c>
      <c r="CP213" s="5">
        <f>CP7*CO213+CQ7*CO213+CP8*CO213+CQ8*CO213+CP11*CO213+CQ11*CO213+CP12*CO213+CQ12*CO213+CP14*CO213+CQ14*CO213+CP15*CO213+CQ15*CO213+CP18*CO213+CQ18*CO213+CP19*CO213+CQ19*CO213+CP22*CO213+CQ22*CO213+CP23*CO213+CQ23*CO213+CP25*CO213+CQ25*CO213+CP26*CO213+CQ26*CO213+CR7*CO213+CR8*CO213+CR11*CO213+CR12*CO213+CR14*CO213+CR15*CO213+CR18*CO213+CR19*CO213+CR22*CO213+CR23*CO213+CR25*CO213+CR26*CO213</f>
        <v>0</v>
      </c>
      <c r="CQ213" s="5"/>
      <c r="CR213" s="5"/>
      <c r="CT213" s="5">
        <v>1</v>
      </c>
      <c r="CU213" s="5">
        <f>SUM(CU11:CW11,CU12:CW12,CU14:CW14,CU15:CW15,CU18:CW18,CU19:CW19,CU22:CW22,CU23:CW23,CU25:CW25,CU26:CW26)*CT213</f>
        <v>0</v>
      </c>
      <c r="CV213" s="5"/>
      <c r="CW213" s="5"/>
      <c r="CX213" s="855"/>
      <c r="CY213" s="5">
        <v>1</v>
      </c>
      <c r="CZ213" s="5">
        <f>SUM(CZ11:DB11,CZ12:DB12,CZ14:DB14,CZ15:DB15,CZ18:DB18,CZ19:DB19,CZ22:DB22,CZ23:DB23,CZ25:DB25,CZ26:DB26)*CY213</f>
        <v>0</v>
      </c>
      <c r="DA213" s="5"/>
      <c r="DB213" s="5"/>
      <c r="DC213" s="855"/>
      <c r="DD213" s="5">
        <v>1</v>
      </c>
      <c r="DE213" s="5">
        <f>DE7*DD213+DF7*DD213+DE8*DD213+DF8*DD213+DE11*DD213+DF11*DD213+DE12*DD213+DF12*DD213+DE14*DD213+DF14*DD213+DE15*DD213+DF15*DD213+DE18*DD213+DF18*DD213+DE19*DD213+DF19*DD213+DE22*DD213+DF22*DD213+DE23*DD213+DF23*DD213+DE25*DD213+DF25*DD213+DE26*DD213+DF26*DD213+DG7*DD213+DG8*DD213+DG11*DD213+DG12*DD213+DG14*DD213+DG15*DD213+DG18*DD213+DG19*DD213+DG22*DD213+DG23*DD213+DG25*DD213+DG26*DD213</f>
        <v>0</v>
      </c>
      <c r="DF213" s="5"/>
      <c r="DG213" s="5"/>
      <c r="DI213" s="5">
        <v>1</v>
      </c>
      <c r="DJ213" s="5">
        <f>DJ7*DI213+DK7*DI213+DJ8*DI213+DK8*DI213+DJ11*DI213+DK11*DI213+DJ12*DI213+DK12*DI213+DJ14*DI213+DK14*DI213+DJ15*DI213+DK15*DI213+DJ18*DI213+DK18*DI213+DJ19*DI213+DK19*DI213+DJ22*DI213+DK22*DI213+DJ23*DI213+DK23*DI213+DJ25*DI213+DK25*DI213+DJ26*DI213+DK26*DI213+DL7*DI213+DL8*DI213+DL11*DI213+DL12*DI213+DL14*DI213+DL15*DI213+DL18*DI213+DL19*DI213+DL22*DI213+DL23*DI213+DL25*DI213+DL26*DI213</f>
        <v>0</v>
      </c>
      <c r="DK213" s="5"/>
      <c r="DL213" s="5"/>
      <c r="DN213" s="5">
        <v>1</v>
      </c>
      <c r="DO213" s="5">
        <f>DO7*DN213+DP7*DN213+DO8*DN213+DP8*DN213+DO11*DN213+DP11*DN213+DO12*DN213+DP12*DN213+DO14*DN213+DP14*DN213+DO15*DN213+DP15*DN213+DO18*DN213+DP18*DN213+DO19*DN213+DP19*DN213+DO22*DN213+DP22*DN213+DO23*DN213+DP23*DN213+DO25*DN213+DP25*DN213+DO26*DN213+DP26*DN213+DQ7*DN213+DQ8*DN213+DQ11*DN213+DQ12*DN213+DQ14*DN213+DQ15*DN213+DQ18*DN213+DQ19*DN213+DQ22*DN213+DQ23*DN213+DQ25*DN213+DQ26*DN213</f>
        <v>0</v>
      </c>
      <c r="DP213" s="5"/>
      <c r="DQ213" s="5"/>
      <c r="DS213" s="5">
        <v>1</v>
      </c>
      <c r="DT213" s="5">
        <f>DT7*DS213+DU7*DS213+DT8*DS213+DU8*DS213+DT11*DS213+DU11*DS213+DT12*DS213+DU12*DS213+DT14*DS213+DU14*DS213+DT15*DS213+DU15*DS213+DT18*DS213+DU18*DS213+DT19*DS213+DU19*DS213+DT22*DS213+DU22*DS213+DT23*DS213+DU23*DS213+DT25*DS213+DU25*DS213+DT26*DS213+DU26*DS213+DV7*DS213+DV8*DS213+DV11*DS213+DV12*DS213+DV14*DS213+DV15*DS213+DV18*DS213+DV19*DS213+DV22*DS213+DV23*DS213+DV25*DS213+DV26*DS213</f>
        <v>0</v>
      </c>
      <c r="DU213" s="5"/>
      <c r="DV213" s="5"/>
      <c r="DX213" s="5">
        <v>1</v>
      </c>
      <c r="DY213" s="5">
        <f>DY7*DX213+DZ7*DX213+DY8*DX213+DZ8*DX213+DY11*DX213+DZ11*DX213+DY12*DX213+DZ12*DX213+DY14*DX213+DZ14*DX213+DY15*DX213+DZ15*DX213+DY18*DX213+DZ18*DX213+DY19*DX213+DZ19*DX213+DY22*DX213+DZ22*DX213+DY23*DX213+DZ23*DX213+DY25*DX213+DZ25*DX213+DY26*DX213+DZ26*DX213+EA7*DX213+EA8*DX213+EA11*DX213+EA12*DX213+EA14*DX213+EA15*DX213+EA18*DX213+EA19*DX213+EA22*DX213+EA23*DX213+EA25*DX213+EA26*DX213</f>
        <v>0</v>
      </c>
      <c r="DZ213" s="5"/>
      <c r="EA213" s="5"/>
      <c r="EC213" s="5">
        <v>1</v>
      </c>
      <c r="ED213" s="5">
        <f>ED7*EC213+EE7*EC213+ED8*EC213+EE8*EC213+ED11*EC213+EE11*EC213+ED12*EC213+EE12*EC213+ED14*EC213+EE14*EC213+ED15*EC213+EE15*EC213+ED18*EC213+EE18*EC213+ED19*EC213+EE19*EC213+ED22*EC213+EE22*EC213+ED23*EC213+EE23*EC213+ED25*EC213+EE25*EC213+ED26*EC213+EE26*EC213+EF7*EC213+EF8*EC213+EF11*EC213+EF12*EC213+EF14*EC213+EF15*EC213+EF18*EC213+EF19*EC213+EF22*EC213+EF23*EC213+EF25*EC213+EF26*EC213</f>
        <v>0</v>
      </c>
      <c r="EE213" s="5"/>
      <c r="EF213" s="5"/>
      <c r="EH213" s="5">
        <v>1</v>
      </c>
      <c r="EI213" s="5">
        <f>EI7*EH213+EJ7*EH213+EI8*EH213+EJ8*EH213+EI11*EH213+EJ11*EH213+EI12*EH213+EJ12*EH213+EI14*EH213+EJ14*EH213+EI15*EH213+EJ15*EH213+EI18*EH213+EJ18*EH213+EI19*EH213+EJ19*EH213+EI22*EH213+EJ22*EH213+EI23*EH213+EJ23*EH213+EI25*EH213+EJ25*EH213+EI26*EH213+EJ26*EH213+EK7*EH213+EK8*EH213+EK11*EH213+EK12*EH213+EK14*EH213+EK15*EH213+EK18*EH213+EK19*EH213+EK22*EH213+EK23*EH213+EK25*EH213+EK26*EH213</f>
        <v>0</v>
      </c>
      <c r="EJ213" s="5"/>
      <c r="EK213" s="5"/>
      <c r="EX213" s="659">
        <f t="shared" si="1"/>
        <v>0</v>
      </c>
    </row>
    <row r="214" spans="1:154" s="6" customFormat="1" ht="15" customHeight="1">
      <c r="A214" s="3" t="s">
        <v>7</v>
      </c>
      <c r="B214" s="210" t="s">
        <v>1407</v>
      </c>
      <c r="C214" s="400" t="s">
        <v>0</v>
      </c>
      <c r="D214" s="138"/>
      <c r="E214" s="5">
        <v>3</v>
      </c>
      <c r="F214" s="6">
        <f>IF(SUM($ER$5:$ER$15)&gt;=750,0,SUM(F5:F23)*E186)</f>
        <v>0</v>
      </c>
      <c r="I214" s="4"/>
      <c r="J214" s="4"/>
      <c r="K214" s="4"/>
      <c r="L214" s="4"/>
      <c r="M214" s="4"/>
      <c r="N214" s="4"/>
      <c r="O214" s="4"/>
      <c r="P214" s="4"/>
      <c r="Q214" s="4"/>
      <c r="R214" s="5"/>
      <c r="S214" s="5"/>
      <c r="U214" s="5"/>
      <c r="W214" s="5"/>
      <c r="X214" s="5"/>
      <c r="Y214" s="5"/>
      <c r="Z214" s="5"/>
      <c r="AB214" s="5"/>
      <c r="AC214" s="5"/>
      <c r="AD214" s="5"/>
      <c r="AE214" s="5"/>
      <c r="AG214" s="5">
        <v>3</v>
      </c>
      <c r="AH214" s="5">
        <f>AH5*AG214+AH6*AG214+AH7*AG214+AH8*AG214+AH9*AG214+AH10*AG214+AH11*AG214+AH12*AG214+AH13*AG214+AH14*AG214+AH15*AG214+AH16*AG214+AH17*AG214+AH18*AG214+AH19*AG214+AH20*AG214+AH21*AG214+AH22*AG214+AH23*AG214+AH24*AG214+AH25*AG214+AH26*AG214</f>
        <v>0</v>
      </c>
      <c r="AI214" s="5"/>
      <c r="AJ214" s="5"/>
      <c r="AL214" s="5"/>
      <c r="AM214" s="5"/>
      <c r="AN214" s="5"/>
      <c r="AO214" s="5"/>
      <c r="AQ214" s="5"/>
      <c r="AR214" s="5"/>
      <c r="AS214" s="5"/>
      <c r="AT214" s="5"/>
      <c r="BD214" s="5"/>
      <c r="BF214" s="5"/>
      <c r="BG214" s="5"/>
      <c r="BH214" s="5"/>
      <c r="BI214" s="5"/>
      <c r="BK214" s="6">
        <v>3</v>
      </c>
      <c r="BL214" s="6">
        <f>SUM(BL5:BL26)*BK214</f>
        <v>0</v>
      </c>
      <c r="BM214" s="5"/>
      <c r="BN214" s="5"/>
      <c r="BP214" s="5">
        <v>3</v>
      </c>
      <c r="BQ214" s="6">
        <f>IF(SUM($ER$5:$ER$15)&gt;=750,0,SUM(BQ5:BQ23)*BP186)</f>
        <v>0</v>
      </c>
      <c r="BR214" s="5"/>
      <c r="BS214" s="5"/>
      <c r="BT214" s="6">
        <f>IF(SUM(BS5:BS26)&gt;0,BT182,0)</f>
        <v>0</v>
      </c>
      <c r="BU214" s="5">
        <v>3</v>
      </c>
      <c r="BV214" s="6">
        <f>IF(SUM($ER$5:$ER$15)&gt;=750,0,SUM(BV5:BV23)*BU186)</f>
        <v>0</v>
      </c>
      <c r="BX214" s="5"/>
      <c r="BZ214" s="5"/>
      <c r="CA214" s="5"/>
      <c r="CB214" s="5"/>
      <c r="CC214" s="5"/>
      <c r="CE214" s="5">
        <v>3</v>
      </c>
      <c r="CF214" s="6">
        <f>IF(SUM($ER$5:$ER$15)&gt;=750,0,SUM(CF5:CF23)*CE186)</f>
        <v>0</v>
      </c>
      <c r="CG214" s="5"/>
      <c r="CH214" s="5"/>
      <c r="CI214" s="855" t="b">
        <f>IF(SUM(CH5:CH26)&gt;0,CI182)</f>
        <v>0</v>
      </c>
      <c r="CO214" s="13"/>
      <c r="CP214" s="5"/>
      <c r="CQ214" s="5"/>
      <c r="CR214" s="5"/>
      <c r="CT214" s="5">
        <v>3</v>
      </c>
      <c r="CU214" s="6">
        <f>IF(SUM($ER$5:$ER$15)&gt;=750,0,SUM(CU5:CU23)*CT186)</f>
        <v>0</v>
      </c>
      <c r="CV214" s="5"/>
      <c r="CW214" s="5"/>
      <c r="CX214" s="855">
        <f>IF(SUM(CW5:CW26)&gt;0,CX182,0)</f>
        <v>0</v>
      </c>
      <c r="CY214" s="5">
        <v>3</v>
      </c>
      <c r="CZ214" s="6">
        <f>IF(SUM($ER$5:$ER$15)&gt;=750,0,SUM(CZ5:CZ23)*CY186)</f>
        <v>0</v>
      </c>
      <c r="DB214" s="5"/>
      <c r="DC214" s="855"/>
      <c r="DD214" s="5"/>
      <c r="DE214" s="5"/>
      <c r="DF214" s="5"/>
      <c r="DG214" s="5"/>
      <c r="DI214" s="5">
        <v>3</v>
      </c>
      <c r="DJ214" s="5">
        <f>DJ5*DI214+DJ6*DI214+DJ7*DI214+DJ8*DI214+DJ9*DI214+DJ10*DI214+DJ11*DI214+DJ12*DI214+DJ13*DI214+DJ14*DI214+DJ15*DI214+DJ16*DI214+DJ17*DI214+DJ18*DI214+DJ19*DI214+DJ20*DI214+DJ21*DI214+DJ22*DI214+DJ23*DI214+DJ24*DI214+DJ25*DI214+DJ26*DI214</f>
        <v>0</v>
      </c>
      <c r="DK214" s="5"/>
      <c r="DL214" s="5"/>
      <c r="DN214" s="5">
        <v>3</v>
      </c>
      <c r="DO214" s="5">
        <f>DO5*DN214+DO6*DN214+DO7*DN214+DO8*DN214+DO9*DN214+DO10*DN214+DO11*DN214+DO12*DN214+DO13*DN214+DO14*DN214+DO15*DN214+DO16*DN214+DO17*DN214+DO18*DN214+DO19*DN214+DO20*DN214+DO21*DN214+DO22*DN214+DO23*DN214+DO24*DN214+DO25*DN214+DO26*DN214</f>
        <v>0</v>
      </c>
      <c r="DP214" s="5"/>
      <c r="DQ214" s="5"/>
      <c r="DS214" s="5">
        <v>3</v>
      </c>
      <c r="DT214" s="5">
        <f>DT5*DS214+DT6*DS214+DT7*DS214+DT8*DS214+DT9*DS214+DT10*DS214+DT11*DS214+DT12*DS214+DT13*DS214+DT14*DS214+DT15*DS214+DT16*DS214+DT17*DS214+DT18*DS214+DT19*DS214+DT20*DS214+DT21*DS214+DT22*DS214+DT23*DS214+DT24*DS214+DT25*DS214+DT26*DS214</f>
        <v>0</v>
      </c>
      <c r="DU214" s="5"/>
      <c r="DV214" s="5"/>
      <c r="DX214" s="5">
        <v>3</v>
      </c>
      <c r="DY214" s="5">
        <f>DY5*DX214+DY6*DX214+DY7*DX214+DY8*DX214+DY9*DX214+DY10*DX214+DY11*DX214+DY12*DX214+DY13*DX214+DY14*DX214+DY15*DX214+DY16*DX214+DY17*DX214+DY18*DX214+DY19*DX214+DY20*DX214+DY21*DX214+DY22*DX214+DY23*DX214+DY24*DX214+DY25*DX214+DY26*DX214</f>
        <v>0</v>
      </c>
      <c r="DZ214" s="5"/>
      <c r="EA214" s="5"/>
      <c r="EC214" s="5">
        <v>3</v>
      </c>
      <c r="ED214" s="5">
        <f>ED5*EC214+ED6*EC214+ED7*EC214+ED8*EC214+ED9*EC214+ED10*EC214+ED11*EC214+ED12*EC214+ED13*EC214+ED14*EC214+ED15*EC214+ED16*EC214+ED17*EC214+ED18*EC214+ED19*EC214+ED20*EC214+ED21*EC214+ED22*EC214+ED23*EC214+ED24*EC214+ED25*EC214+ED26*EC214</f>
        <v>0</v>
      </c>
      <c r="EE214" s="5"/>
      <c r="EF214" s="5"/>
      <c r="EH214" s="5">
        <v>3</v>
      </c>
      <c r="EI214" s="5">
        <f>EI5*EH214+EI6*EH214+EI7*EH214+EI8*EH214+EI9*EH214+EI10*EH214+EI11*EH214+EI12*EH214+EI13*EH214+EI14*EH214+EI15*EH214+EI16*EH214+EI17*EH214+EI18*EH214+EI19*EH214+EI20*EH214+EI21*EH214+EI22*EH214+EI23*EH214+EI24*EH214+EI25*EH214+EI26*EH214</f>
        <v>0</v>
      </c>
      <c r="EJ214" s="5"/>
      <c r="EK214" s="5"/>
      <c r="EX214" s="659">
        <f t="shared" si="1"/>
        <v>0</v>
      </c>
    </row>
    <row r="215" spans="1:154" s="6" customFormat="1" ht="15" customHeight="1">
      <c r="A215" s="3" t="s">
        <v>188</v>
      </c>
      <c r="B215" s="210" t="s">
        <v>1408</v>
      </c>
      <c r="C215" s="400" t="s">
        <v>0</v>
      </c>
      <c r="D215" s="138"/>
      <c r="E215" s="5">
        <v>3</v>
      </c>
      <c r="F215" s="6">
        <f>IF(SUM($ER$5:$ER$15)&gt;=750,0,SUM(G5:G23)*E186)</f>
        <v>0</v>
      </c>
      <c r="I215" s="4"/>
      <c r="J215" s="4"/>
      <c r="K215" s="4"/>
      <c r="L215" s="4"/>
      <c r="M215" s="4"/>
      <c r="N215" s="4"/>
      <c r="O215" s="4"/>
      <c r="P215" s="4"/>
      <c r="Q215" s="4"/>
      <c r="R215" s="5"/>
      <c r="S215" s="5"/>
      <c r="U215" s="5"/>
      <c r="W215" s="5"/>
      <c r="X215" s="5"/>
      <c r="Y215" s="5"/>
      <c r="Z215" s="5"/>
      <c r="AB215" s="5"/>
      <c r="AC215" s="5"/>
      <c r="AD215" s="5"/>
      <c r="AE215" s="5"/>
      <c r="AG215" s="5">
        <v>3</v>
      </c>
      <c r="AH215" s="5">
        <f>AI5*AG215+AI6*AG215+AI7*AG215+AI8*AG215+AI9*AG215+AI10*AG215+AI11*AG215+AI12*AG215+AI13*AG215+AI14*AG215+AI15*AG215+AI16*AG215+AI17*AG215+AI18*AG215+AI19*AG215+AI20*AG215+AI21*AG215+AI22*AG215+AI23*AG215+AI24*AG215+AI25*AG215+AI26*AG215</f>
        <v>0</v>
      </c>
      <c r="AI215" s="5"/>
      <c r="AJ215" s="5"/>
      <c r="AL215" s="5"/>
      <c r="AM215" s="5"/>
      <c r="AN215" s="5"/>
      <c r="AO215" s="5"/>
      <c r="AQ215" s="5"/>
      <c r="AR215" s="5"/>
      <c r="AS215" s="5"/>
      <c r="AT215" s="5"/>
      <c r="BD215" s="5"/>
      <c r="BF215" s="5"/>
      <c r="BG215" s="5"/>
      <c r="BH215" s="5"/>
      <c r="BI215" s="5"/>
      <c r="BK215" s="6">
        <v>3</v>
      </c>
      <c r="BL215" s="6">
        <f>SUM(BM5:BM26)*BK215</f>
        <v>0</v>
      </c>
      <c r="BM215" s="5"/>
      <c r="BN215" s="5"/>
      <c r="BP215" s="5">
        <v>3</v>
      </c>
      <c r="BQ215" s="6">
        <f>IF(SUM($ER$5:$ER$15)&gt;=750,0,SUM(BR5:BR23)*BP186)</f>
        <v>0</v>
      </c>
      <c r="BR215" s="5"/>
      <c r="BS215" s="5"/>
      <c r="BT215" s="6">
        <f>IF(SUM(BS6:BS27)&gt;0,BT183,0)</f>
        <v>0</v>
      </c>
      <c r="BU215" s="5">
        <v>3</v>
      </c>
      <c r="BV215" s="6">
        <f>IF(SUM($ER$5:$ER$15)&gt;=750,0,SUM(BW5:BW23)*BU186)</f>
        <v>0</v>
      </c>
      <c r="BX215" s="5"/>
      <c r="BZ215" s="5"/>
      <c r="CA215" s="5"/>
      <c r="CB215" s="5"/>
      <c r="CC215" s="5"/>
      <c r="CE215" s="5">
        <v>3</v>
      </c>
      <c r="CF215" s="6">
        <f>IF(SUM($ER$5:$ER$15)&gt;=750,0,SUM(CG5:CG23)*CE186)</f>
        <v>0</v>
      </c>
      <c r="CG215" s="5"/>
      <c r="CH215" s="5"/>
      <c r="CI215" s="855">
        <f>IF(SUM(CH6:CH27)&gt;0,CI183,0)</f>
        <v>0</v>
      </c>
      <c r="CO215" s="13"/>
      <c r="CP215" s="5"/>
      <c r="CQ215" s="5"/>
      <c r="CR215" s="5"/>
      <c r="CT215" s="5">
        <v>3</v>
      </c>
      <c r="CU215" s="6">
        <f>IF(SUM($ER$5:$ER$15)&gt;=750,0,SUM(CV5:CV23)*CT186)</f>
        <v>0</v>
      </c>
      <c r="CV215" s="5"/>
      <c r="CW215" s="5"/>
      <c r="CX215" s="855">
        <f>IF(SUM(CW6:CW27)&gt;0,CX183,0)</f>
        <v>0</v>
      </c>
      <c r="CY215" s="5">
        <v>3</v>
      </c>
      <c r="CZ215" s="6">
        <f>IF(SUM($ER$5:$ER$15)&gt;=750,0,SUM(DA5:DA23)*CY186)</f>
        <v>0</v>
      </c>
      <c r="DB215" s="5"/>
      <c r="DC215" s="855"/>
      <c r="DD215" s="5"/>
      <c r="DE215" s="5"/>
      <c r="DF215" s="5"/>
      <c r="DG215" s="5"/>
      <c r="DI215" s="5">
        <v>3</v>
      </c>
      <c r="DJ215" s="5">
        <f>DK5*DI215+DK6*DI215+DK7*DI215+DK8*DI215+DK9*DI215+DK10*DI215+DK11*DI215+DK12*DI215+DK13*DI215+DK14*DI215+DK15*DI215+DK16*DI215+DK17*DI215+DK18*DI215+DK19*DI215+DK20*DI215+DK21*DI215+DK22*DI215+DK23*DI215+DK24*DI215+DK25*DI215+DK26*DI215</f>
        <v>0</v>
      </c>
      <c r="DK215" s="5"/>
      <c r="DL215" s="5"/>
      <c r="DN215" s="5">
        <v>3</v>
      </c>
      <c r="DO215" s="5">
        <f>DP5*DN215+DP6*DN215+DP7*DN215+DP8*DN215+DP9*DN215+DP10*DN215+DP11*DN215+DP12*DN215+DP13*DN215+DP14*DN215+DP15*DN215+DP16*DN215+DP17*DN215+DP18*DN215+DP19*DN215+DP20*DN215+DP21*DN215+DP22*DN215+DP23*DN215+DP24*DN215+DP25*DN215+DP26*DN215</f>
        <v>0</v>
      </c>
      <c r="DP215" s="5"/>
      <c r="DQ215" s="5"/>
      <c r="DS215" s="5">
        <v>3</v>
      </c>
      <c r="DT215" s="5">
        <f>DU5*DS215+DU6*DS215+DU7*DS215+DU8*DS215+DU9*DS215+DU10*DS215+DU11*DS215+DU12*DS215+DU13*DS215+DU14*DS215+DU15*DS215+DU16*DS215+DU17*DS215+DU18*DS215+DU19*DS215+DU20*DS215+DU21*DS215+DU22*DS215+DU23*DS215+DU24*DS215+DU25*DS215+DU26*DS215</f>
        <v>0</v>
      </c>
      <c r="DU215" s="5"/>
      <c r="DV215" s="5"/>
      <c r="DX215" s="5">
        <v>3</v>
      </c>
      <c r="DY215" s="5">
        <f>DZ5*DX215+DZ6*DX215+DZ7*DX215+DZ8*DX215+DZ9*DX215+DZ10*DX215+DZ11*DX215+DZ12*DX215+DZ13*DX215+DZ14*DX215+DZ15*DX215+DZ16*DX215+DZ17*DX215+DZ18*DX215+DZ19*DX215+DZ20*DX215+DZ21*DX215+DZ22*DX215+DZ23*DX215+DZ24*DX215+DZ25*DX215+DZ26*DX215</f>
        <v>0</v>
      </c>
      <c r="DZ215" s="5"/>
      <c r="EA215" s="5"/>
      <c r="EC215" s="5">
        <v>3</v>
      </c>
      <c r="ED215" s="5">
        <f>EE5*EC215+EE6*EC215+EE7*EC215+EE8*EC215+EE9*EC215+EE10*EC215+EE11*EC215+EE12*EC215+EE13*EC215+EE14*EC215+EE15*EC215+EE16*EC215+EE17*EC215+EE18*EC215+EE19*EC215+EE20*EC215+EE21*EC215+EE22*EC215+EE23*EC215+EE24*EC215+EE25*EC215+EE26*EC215</f>
        <v>0</v>
      </c>
      <c r="EE215" s="5"/>
      <c r="EF215" s="5"/>
      <c r="EH215" s="5">
        <v>3</v>
      </c>
      <c r="EI215" s="5">
        <f>EJ5*EH215+EJ6*EH215+EJ7*EH215+EJ8*EH215+EJ9*EH215+EJ10*EH215+EJ11*EH215+EJ12*EH215+EJ13*EH215+EJ14*EH215+EJ15*EH215+EJ16*EH215+EJ17*EH215+EJ18*EH215+EJ19*EH215+EJ20*EH215+EJ21*EH215+EJ22*EH215+EJ23*EH215+EJ24*EH215+EJ25*EH215+EJ26*EH215</f>
        <v>0</v>
      </c>
      <c r="EJ215" s="5"/>
      <c r="EK215" s="5"/>
      <c r="ES215" s="44"/>
      <c r="ET215" s="44"/>
      <c r="EU215" s="44"/>
      <c r="EV215" s="44"/>
      <c r="EW215" s="44"/>
      <c r="EX215" s="659">
        <f t="shared" si="1"/>
        <v>0</v>
      </c>
    </row>
    <row r="216" spans="1:154" s="6" customFormat="1" ht="15" customHeight="1">
      <c r="A216" s="3" t="s">
        <v>193</v>
      </c>
      <c r="B216" s="210" t="s">
        <v>1409</v>
      </c>
      <c r="C216" s="400" t="s">
        <v>0</v>
      </c>
      <c r="D216" s="138"/>
      <c r="E216" s="5">
        <v>3</v>
      </c>
      <c r="F216" s="6">
        <f>IF(SUM($ER$5:$ER$15)&gt;=750,0,SUM(H5:H23)*E186)</f>
        <v>0</v>
      </c>
      <c r="I216" s="4"/>
      <c r="J216" s="4"/>
      <c r="K216" s="4"/>
      <c r="L216" s="4"/>
      <c r="M216" s="4"/>
      <c r="N216" s="4"/>
      <c r="O216" s="4"/>
      <c r="P216" s="4"/>
      <c r="Q216" s="4"/>
      <c r="R216" s="5"/>
      <c r="S216" s="5"/>
      <c r="U216" s="5"/>
      <c r="W216" s="5"/>
      <c r="X216" s="5"/>
      <c r="Y216" s="5"/>
      <c r="Z216" s="5"/>
      <c r="AB216" s="5"/>
      <c r="AC216" s="5"/>
      <c r="AD216" s="5"/>
      <c r="AE216" s="5"/>
      <c r="AG216" s="5">
        <v>3</v>
      </c>
      <c r="AH216" s="5">
        <f>AJ5*AG216+AJ6*AG216+AJ7*AG216+AJ8*AG216+AJ9*AG216+AJ10*AG216+AJ11*AG216+AJ12*AG216+AJ13*AG216+AJ14*AG216+AJ15*AG216+AJ16*AG216+AJ17*AG216+AJ18*AG216+AJ19*AG216+AJ20*AG216+AJ21*AG216+AJ22*AG216+AJ23*AG216+AJ24*AG216+AJ25*AG216+AJ26*AG216</f>
        <v>0</v>
      </c>
      <c r="AI216" s="5"/>
      <c r="AJ216" s="5"/>
      <c r="AL216" s="5"/>
      <c r="AM216" s="5"/>
      <c r="AN216" s="5"/>
      <c r="AO216" s="5"/>
      <c r="AQ216" s="5"/>
      <c r="AR216" s="5"/>
      <c r="AS216" s="5"/>
      <c r="AT216" s="5"/>
      <c r="BD216" s="5"/>
      <c r="BF216" s="5"/>
      <c r="BG216" s="5"/>
      <c r="BH216" s="5"/>
      <c r="BI216" s="5"/>
      <c r="BK216" s="6">
        <v>3</v>
      </c>
      <c r="BL216" s="6">
        <f>SUM(BN5:BN26)*BK216</f>
        <v>0</v>
      </c>
      <c r="BM216" s="5"/>
      <c r="BN216" s="5"/>
      <c r="BP216" s="5">
        <v>3</v>
      </c>
      <c r="BQ216" s="6">
        <f>IF(SUM($ER$5:$ER$15)&gt;=750,0,SUM(BS5:BS23)*BP186)</f>
        <v>0</v>
      </c>
      <c r="BR216" s="5"/>
      <c r="BS216" s="5"/>
      <c r="BT216" s="6">
        <f>IF(SUM(BS7:BS28)&gt;0,BT184,0)</f>
        <v>0</v>
      </c>
      <c r="BU216" s="5">
        <v>3</v>
      </c>
      <c r="BV216" s="6">
        <f>IF(SUM($ER$5:$ER$15)&gt;=750,0,SUM(BX5:BX23)*BU186)</f>
        <v>0</v>
      </c>
      <c r="BX216" s="5"/>
      <c r="BZ216" s="5"/>
      <c r="CA216" s="5"/>
      <c r="CB216" s="5"/>
      <c r="CC216" s="5"/>
      <c r="CE216" s="5">
        <v>3</v>
      </c>
      <c r="CF216" s="6">
        <f>IF(SUM($ER$5:$ER$15)&gt;=750,0,SUM(CH5:CH23)*CE186)</f>
        <v>0</v>
      </c>
      <c r="CG216" s="5"/>
      <c r="CH216" s="5"/>
      <c r="CI216" s="855">
        <f>IF(SUM(CH7:CH28)&gt;0,CI184,0)</f>
        <v>0</v>
      </c>
      <c r="CO216" s="13"/>
      <c r="CP216" s="5"/>
      <c r="CQ216" s="5"/>
      <c r="CR216" s="5"/>
      <c r="CT216" s="5">
        <v>3</v>
      </c>
      <c r="CU216" s="6">
        <f>IF(SUM($ER$5:$ER$15)&gt;=750,0,SUM(CW5:CW23)*CT186)</f>
        <v>0</v>
      </c>
      <c r="CV216" s="5"/>
      <c r="CW216" s="5"/>
      <c r="CX216" s="855">
        <f>IF(SUM(CW7:CW28)&gt;0,CX184,0)</f>
        <v>0</v>
      </c>
      <c r="CY216" s="5">
        <v>3</v>
      </c>
      <c r="CZ216" s="6">
        <f>IF(SUM($ER$5:$ER$15)&gt;=750,0,SUM(DB5:DB23)*CY186)</f>
        <v>0</v>
      </c>
      <c r="DB216" s="5"/>
      <c r="DC216" s="855"/>
      <c r="DD216" s="5"/>
      <c r="DE216" s="5"/>
      <c r="DF216" s="5"/>
      <c r="DG216" s="5"/>
      <c r="DI216" s="5">
        <v>3</v>
      </c>
      <c r="DJ216" s="5">
        <f>DL5*DI216+DL6*DI216+DL7*DI216+DL8*DI216+DL9*DI216+DL10*DI216+DL11*DI216+DL12*DI216+DL13*DI216+DL14*DI216+DL15*DI216+DL16*DI216+DL17*DI216+DL18*DI216+DL19*DI216+DL20*DI216+DL21*DI216+DL22*DI216+DL23*DI216+DL24*DI216+DL25*DI216+DL26*DI216</f>
        <v>0</v>
      </c>
      <c r="DK216" s="5"/>
      <c r="DL216" s="5"/>
      <c r="DN216" s="5">
        <v>3</v>
      </c>
      <c r="DO216" s="5">
        <f>DQ5*DN216+DQ6*DN216+DQ7*DN216+DQ8*DN216+DQ9*DN216+DQ10*DN216+DQ11*DN216+DQ12*DN216+DQ13*DN216+DQ14*DN216+DQ15*DN216+DQ16*DN216+DQ17*DN216+DQ18*DN216+DQ19*DN216+DQ20*DN216+DQ21*DN216+DQ22*DN216+DQ23*DN216+DQ24*DN216+DQ25*DN216+DQ26*DN216</f>
        <v>0</v>
      </c>
      <c r="DP216" s="5"/>
      <c r="DQ216" s="5"/>
      <c r="DS216" s="5">
        <v>3</v>
      </c>
      <c r="DT216" s="5">
        <f>DV5*DS216+DV6*DS216+DV7*DS216+DV8*DS216+DV9*DS216+DV10*DS216+DV11*DS216+DV12*DS216+DV13*DS216+DV14*DS216+DV15*DS216+DV16*DS216+DV17*DS216+DV18*DS216+DV19*DS216+DV20*DS216+DV21*DS216+DV22*DS216+DV23*DS216+DV24*DS216+DV25*DS216+DV26*DS216</f>
        <v>0</v>
      </c>
      <c r="DU216" s="5"/>
      <c r="DV216" s="5"/>
      <c r="DX216" s="5">
        <v>3</v>
      </c>
      <c r="DY216" s="5">
        <f>EA5*DX216+EA6*DX216+EA7*DX216+EA8*DX216+EA9*DX216+EA10*DX216+EA11*DX216+EA12*DX216+EA13*DX216+EA14*DX216+EA15*DX216+EA16*DX216+EA17*DX216+EA18*DX216+EA19*DX216+EA20*DX216+EA21*DX216+EA22*DX216+EA23*DX216+EA24*DX216+EA25*DX216+EA26*DX216</f>
        <v>0</v>
      </c>
      <c r="DZ216" s="5"/>
      <c r="EA216" s="5"/>
      <c r="EC216" s="5">
        <v>3</v>
      </c>
      <c r="ED216" s="5">
        <f>EF5*EC216+EF6*EC216+EF7*EC216+EF8*EC216+EF9*EC216+EF10*EC216+EF11*EC216+EF12*EC216+EF13*EC216+EF14*EC216+EF15*EC216+EF16*EC216+EF17*EC216+EF18*EC216+EF19*EC216+EF20*EC216+EF21*EC216+EF22*EC216+EF23*EC216+EF24*EC216+EF25*EC216+EF26*EC216</f>
        <v>0</v>
      </c>
      <c r="EE216" s="5"/>
      <c r="EF216" s="5"/>
      <c r="EH216" s="5">
        <v>3</v>
      </c>
      <c r="EI216" s="5">
        <f>EK5*EH216+EK6*EH216+EK7*EH216+EK8*EH216+EK9*EH216+EK10*EH216+EK11*EH216+EK12*EH216+EK13*EH216+EK14*EH216+EK15*EH216+EK16*EH216+EK17*EH216+EK18*EH216+EK19*EH216+EK20*EH216+EK21*EH216+EK22*EH216+EK23*EH216+EK24*EH216+EK25*EH216+EK26*EH216</f>
        <v>0</v>
      </c>
      <c r="EJ216" s="5"/>
      <c r="EK216" s="5"/>
      <c r="ES216" s="44"/>
      <c r="ET216" s="44"/>
      <c r="EU216" s="44"/>
      <c r="EV216" s="44"/>
      <c r="EW216" s="44"/>
      <c r="EX216" s="659">
        <f t="shared" si="1"/>
        <v>0</v>
      </c>
    </row>
    <row r="217" spans="1:154" s="6" customFormat="1" ht="15" customHeight="1">
      <c r="A217" s="3" t="s">
        <v>320</v>
      </c>
      <c r="B217" s="210" t="s">
        <v>1410</v>
      </c>
      <c r="C217" s="400" t="s">
        <v>0</v>
      </c>
      <c r="D217" s="138"/>
      <c r="E217" s="5"/>
      <c r="I217" s="4"/>
      <c r="J217" s="4"/>
      <c r="K217" s="4"/>
      <c r="L217" s="4"/>
      <c r="M217" s="4"/>
      <c r="N217" s="4"/>
      <c r="O217" s="4"/>
      <c r="P217" s="4"/>
      <c r="Q217" s="4"/>
      <c r="R217" s="5"/>
      <c r="S217" s="5"/>
      <c r="U217" s="5"/>
      <c r="W217" s="5"/>
      <c r="X217" s="5"/>
      <c r="Y217" s="5"/>
      <c r="Z217" s="5"/>
      <c r="AB217" s="5"/>
      <c r="AC217" s="5"/>
      <c r="AD217" s="5"/>
      <c r="AE217" s="5"/>
      <c r="AG217" s="5"/>
      <c r="AH217" s="5"/>
      <c r="AI217" s="5"/>
      <c r="AJ217" s="5"/>
      <c r="AL217" s="5"/>
      <c r="AM217" s="5"/>
      <c r="AN217" s="5"/>
      <c r="AO217" s="5"/>
      <c r="AQ217" s="5"/>
      <c r="AR217" s="5"/>
      <c r="AS217" s="5"/>
      <c r="AT217" s="5"/>
      <c r="BD217" s="5"/>
      <c r="BF217" s="5"/>
      <c r="BG217" s="5"/>
      <c r="BH217" s="5"/>
      <c r="BI217" s="5"/>
      <c r="BM217" s="5"/>
      <c r="BN217" s="5"/>
      <c r="BP217" s="5"/>
      <c r="BR217" s="5"/>
      <c r="BS217" s="5"/>
      <c r="BU217" s="5"/>
      <c r="BW217" s="5"/>
      <c r="BX217" s="5"/>
      <c r="BZ217" s="5"/>
      <c r="CA217" s="5"/>
      <c r="CB217" s="5"/>
      <c r="CC217" s="5"/>
      <c r="CE217" s="5"/>
      <c r="CG217" s="5"/>
      <c r="CH217" s="5"/>
      <c r="CI217" s="855"/>
      <c r="CO217" s="13"/>
      <c r="CP217" s="5"/>
      <c r="CQ217" s="5"/>
      <c r="CR217" s="5"/>
      <c r="CT217" s="5"/>
      <c r="CV217" s="5"/>
      <c r="CW217" s="5"/>
      <c r="CX217" s="855"/>
      <c r="CY217" s="5"/>
      <c r="DA217" s="5"/>
      <c r="DB217" s="5"/>
      <c r="DC217" s="855"/>
      <c r="DD217" s="5"/>
      <c r="DE217" s="5"/>
      <c r="DF217" s="5"/>
      <c r="DG217" s="5"/>
      <c r="DI217" s="5"/>
      <c r="DJ217" s="5"/>
      <c r="DK217" s="5"/>
      <c r="DL217" s="5"/>
      <c r="DN217" s="5"/>
      <c r="DO217" s="5"/>
      <c r="DP217" s="5"/>
      <c r="DQ217" s="5"/>
      <c r="DS217" s="5"/>
      <c r="DT217" s="5"/>
      <c r="DU217" s="5"/>
      <c r="DV217" s="5"/>
      <c r="DX217" s="5"/>
      <c r="DY217" s="5"/>
      <c r="DZ217" s="5"/>
      <c r="EA217" s="5"/>
      <c r="EC217" s="5"/>
      <c r="ED217" s="5"/>
      <c r="EE217" s="5"/>
      <c r="EF217" s="5"/>
      <c r="EH217" s="5"/>
      <c r="EI217" s="5"/>
      <c r="EJ217" s="5"/>
      <c r="EK217" s="5"/>
      <c r="ES217" s="44"/>
      <c r="ET217" s="44"/>
      <c r="EU217" s="44"/>
      <c r="EV217" s="44"/>
      <c r="EW217" s="44"/>
      <c r="EX217" s="659">
        <f t="shared" si="1"/>
        <v>0</v>
      </c>
    </row>
    <row r="218" spans="1:154" s="6" customFormat="1" ht="15" customHeight="1">
      <c r="A218" s="3" t="s">
        <v>8</v>
      </c>
      <c r="B218" s="210" t="s">
        <v>8</v>
      </c>
      <c r="C218" s="473" t="s">
        <v>515</v>
      </c>
      <c r="D218" s="138"/>
      <c r="E218" s="5">
        <v>3</v>
      </c>
      <c r="F218" s="6">
        <f>IF(SUM($ER$5:$ER$15)&gt;=750,0,SUM(F5:F23)*E218)</f>
        <v>0</v>
      </c>
      <c r="I218" s="4"/>
      <c r="J218" s="4"/>
      <c r="K218" s="4"/>
      <c r="L218" s="4"/>
      <c r="M218" s="4"/>
      <c r="N218" s="4"/>
      <c r="O218" s="4"/>
      <c r="P218" s="4"/>
      <c r="Q218" s="4"/>
      <c r="R218" s="5"/>
      <c r="S218" s="5"/>
      <c r="U218" s="5"/>
      <c r="W218" s="5"/>
      <c r="X218" s="5"/>
      <c r="Y218" s="5"/>
      <c r="Z218" s="5"/>
      <c r="AB218" s="5"/>
      <c r="AC218" s="5"/>
      <c r="AD218" s="5"/>
      <c r="AE218" s="5"/>
      <c r="AG218" s="5">
        <v>3</v>
      </c>
      <c r="AH218" s="6">
        <f>SUM(AH5:AH26,AI5:AI26,AJ5:AJ26)*AG218</f>
        <v>0</v>
      </c>
      <c r="AI218" s="5"/>
      <c r="AJ218" s="5"/>
      <c r="AL218" s="5"/>
      <c r="AM218" s="5"/>
      <c r="AN218" s="5"/>
      <c r="AO218" s="5"/>
      <c r="AQ218" s="5"/>
      <c r="AR218" s="5"/>
      <c r="AS218" s="5"/>
      <c r="AT218" s="5"/>
      <c r="BD218" s="5"/>
      <c r="BF218" s="5"/>
      <c r="BG218" s="5"/>
      <c r="BH218" s="5"/>
      <c r="BI218" s="5"/>
      <c r="BK218" s="6">
        <v>3</v>
      </c>
      <c r="BL218" s="6">
        <f>SUM(BL5:BL26,BM5:BM26,BN5:BN26)*BK218</f>
        <v>0</v>
      </c>
      <c r="BM218" s="5"/>
      <c r="BN218" s="5"/>
      <c r="BP218" s="5">
        <v>3</v>
      </c>
      <c r="BQ218" s="6">
        <f>SUM(BR214:BT214)</f>
        <v>0</v>
      </c>
      <c r="BR218" s="5"/>
      <c r="BS218" s="5"/>
      <c r="BT218" s="6">
        <f>IF(SUM(BS5:BS26)&gt;0,BT186,0)</f>
        <v>0</v>
      </c>
      <c r="BU218" s="5">
        <v>3</v>
      </c>
      <c r="BV218" s="6">
        <f>IF(SUM($ER$5:$ER$23)&gt;749,0,SUM(BX5:BX26,BW5:BW26,BV5:BV26)*3)</f>
        <v>0</v>
      </c>
      <c r="BW218" s="5"/>
      <c r="BX218" s="5"/>
      <c r="BZ218" s="5"/>
      <c r="CA218" s="5"/>
      <c r="CB218" s="5"/>
      <c r="CC218" s="5"/>
      <c r="CE218" s="5">
        <v>3</v>
      </c>
      <c r="CF218" s="6">
        <f>IF(SUM($ER$5:$ER$23)&gt;749,0,SUM(CH5:CH26,CG5:CG26,CF5:CF26)*3)</f>
        <v>0</v>
      </c>
      <c r="CG218" s="5"/>
      <c r="CH218" s="5"/>
      <c r="CI218" s="855">
        <f>IF(SUM(CH5:CH26)&gt;0,CI186,0)</f>
        <v>0</v>
      </c>
      <c r="CO218" s="13"/>
      <c r="CP218" s="5"/>
      <c r="CQ218" s="5"/>
      <c r="CR218" s="5"/>
      <c r="CT218" s="5">
        <v>3</v>
      </c>
      <c r="CU218" s="6">
        <f>IF(SUM($ER$5:$ER$23)&gt;749,0,SUM(CW5:CW26,CV5:CV26,CU5:CU26)*3)</f>
        <v>0</v>
      </c>
      <c r="CV218" s="5"/>
      <c r="CW218" s="5"/>
      <c r="CX218" s="855">
        <f>IF(SUM(CW5:CW26)&gt;0,CX186,0)</f>
        <v>0</v>
      </c>
      <c r="CY218" s="5">
        <v>3</v>
      </c>
      <c r="CZ218" s="6">
        <f>IF(SUM($ER$5:$ER$23)&gt;749,0,SUM(DB5:DB26,DA5:DA26,CZ5:CZ26)*3)</f>
        <v>0</v>
      </c>
      <c r="DA218" s="5"/>
      <c r="DB218" s="5"/>
      <c r="DC218" s="855"/>
      <c r="DD218" s="5"/>
      <c r="DE218" s="5"/>
      <c r="DF218" s="5"/>
      <c r="DG218" s="5"/>
      <c r="DI218" s="5">
        <v>3</v>
      </c>
      <c r="DJ218" s="5">
        <f>DJ5*DI218+DK5*DI218+DJ6*DI218+DK6*DI218+DJ7*DI218+DK7*DI218+DJ8*DI218+DK8*DI218+DJ9*DI218+DK9*DI218+DJ10*DI218+DK10*DI218+DJ11*DI218+DK11*DI218+DJ12*DI218+DK12*DI218+DJ13*DI218+DK13*DI218+DJ14*DI218+DK14*DI218+DJ15*DI218+DK15*DI218+DJ16*DI218+DK16*DI218+DJ17*DI218+DK17*DI218+DJ18*DI218+DK18*DI218+DJ19*DI218+DK19*DI218+DJ20*DI218+DK20*DI218+DJ21*DI218+DK21*DI218+DJ22*DI218+DK22*DI218+DJ23*DI218+DK23*DI218+DJ24*DI218+DK24*DI218+DJ25*DI218+DK25*DI218+DJ26*DI218+DK26*DI218+DL5*DI218+DL6*DI218+DL7*DI218+DL8*DI218+DL9*DI218+DL10*DI218+DL11*DI218+DL12*DI218+DL13*DI218+DL14*DI218+DL15*DI218+DL15*DI218+DL16*DI218+DL17*DI218+DL18*DI218+DL19*DI218+DL20*DI218+DL21*DI218+DL22*DI218+DL23*DI218+DL24*DI218+DL25*DI218+DL26*DI218</f>
        <v>0</v>
      </c>
      <c r="DK218" s="5"/>
      <c r="DL218" s="5"/>
      <c r="DN218" s="5">
        <v>3</v>
      </c>
      <c r="DO218" s="5">
        <f>DO5*DN218+DP5*DN218+DO6*DN218+DP6*DN218+DO7*DN218+DP7*DN218+DO8*DN218+DP8*DN218+DO9*DN218+DP9*DN218+DO10*DN218+DP10*DN218+DO11*DN218+DP11*DN218+DO12*DN218+DP12*DN218+DO13*DN218+DP13*DN218+DO14*DN218+DP14*DN218+DO15*DN218+DP15*DN218+DO16*DN218+DP16*DN218+DO17*DN218+DP17*DN218+DO18*DN218+DP18*DN218+DO19*DN218+DP19*DN218+DO20*DN218+DP20*DN218+DO21*DN218+DP21*DN218+DO22*DN218+DP22*DN218+DO23*DN218+DP23*DN218+DO24*DN218+DP24*DN218+DO25*DN218+DP25*DN218+DO26*DN218+DP26*DN218+DQ5*DN218+DQ6*DN218+DQ7*DN218+DQ8*DN218+DQ9*DN218+DQ10*DN218+DQ11*DN218+DQ12*DN218+DQ13*DN218+DQ14*DN218+DQ15*DN218+DQ15*DN218+DQ16*DN218+DQ17*DN218+DQ18*DN218+DQ19*DN218+DQ20*DN218+DQ21*DN218+DQ22*DN218+DQ23*DN218+DQ24*DN218+DQ25*DN218+DQ26*DN218</f>
        <v>0</v>
      </c>
      <c r="DP218" s="5"/>
      <c r="DQ218" s="5"/>
      <c r="DS218" s="5">
        <v>3</v>
      </c>
      <c r="DT218" s="5">
        <f>DT5*DS218+DU5*DS218+DT6*DS218+DU6*DS218+DT7*DS218+DU7*DS218+DT8*DS218+DU8*DS218+DT9*DS218+DU9*DS218+DT10*DS218+DU10*DS218+DT11*DS218+DU11*DS218+DT12*DS218+DU12*DS218+DT13*DS218+DU13*DS218+DT14*DS218+DU14*DS218+DT15*DS218+DU15*DS218+DT16*DS218+DU16*DS218+DT17*DS218+DU17*DS218+DT18*DS218+DU18*DS218+DT19*DS218+DU19*DS218+DT20*DS218+DU20*DS218+DT21*DS218+DU21*DS218+DT22*DS218+DU22*DS218+DT23*DS218+DU23*DS218+DT24*DS218+DU24*DS218+DT25*DS218+DU25*DS218+DT26*DS218+DU26*DS218+DV5*DS218+DV6*DS218+DV7*DS218+DV8*DS218+DV9*DS218+DV10*DS218+DV11*DS218+DV12*DS218+DV13*DS218+DV14*DS218+DV15*DS218+DV15*DS218+DV16*DS218+DV17*DS218+DV18*DS218+DV19*DS218+DV20*DS218+DV21*DS218+DV22*DS218+DV23*DS218+DV24*DS218+DV25*DS218+DV26*DS218</f>
        <v>0</v>
      </c>
      <c r="DU218" s="5"/>
      <c r="DV218" s="5"/>
      <c r="DX218" s="5">
        <v>3</v>
      </c>
      <c r="DY218" s="5">
        <f>DY5*DX218+DZ5*DX218+DY6*DX218+DZ6*DX218+DY7*DX218+DZ7*DX218+DY8*DX218+DZ8*DX218+DY9*DX218+DZ9*DX218+DY10*DX218+DZ10*DX218+DY11*DX218+DZ11*DX218+DY12*DX218+DZ12*DX218+DY13*DX218+DZ13*DX218+DY14*DX218+DZ14*DX218+DY15*DX218+DZ15*DX218+DY16*DX218+DZ16*DX218+DY17*DX218+DZ17*DX218+DY18*DX218+DZ18*DX218+DY19*DX218+DZ19*DX218+DY20*DX218+DZ20*DX218+DY21*DX218+DZ21*DX218+DY22*DX218+DZ22*DX218+DY23*DX218+DZ23*DX218+DY24*DX218+DZ24*DX218+DY25*DX218+DZ25*DX218+DY26*DX218+DZ26*DX218+EA5*DX218+EA6*DX218+EA7*DX218+EA8*DX218+EA9*DX218+EA10*DX218+EA11*DX218+EA12*DX218+EA13*DX218+EA14*DX218+EA15*DX218+EA15*DX218+EA16*DX218+EA17*DX218+EA18*DX218+EA19*DX218+EA20*DX218+EA21*DX218+EA22*DX218+EA23*DX218+EA24*DX218+EA25*DX218+EA26*DX218</f>
        <v>0</v>
      </c>
      <c r="DZ218" s="5"/>
      <c r="EA218" s="5"/>
      <c r="EC218" s="5">
        <v>3</v>
      </c>
      <c r="ED218" s="5">
        <f>ED5*EC218+EE5*EC218+ED6*EC218+EE6*EC218+ED7*EC218+EE7*EC218+ED8*EC218+EE8*EC218+ED9*EC218+EE9*EC218+ED10*EC218+EE10*EC218+ED11*EC218+EE11*EC218+ED12*EC218+EE12*EC218+ED13*EC218+EE13*EC218+ED14*EC218+EE14*EC218+ED15*EC218+EE15*EC218+ED16*EC218+EE16*EC218+ED17*EC218+EE17*EC218+ED18*EC218+EE18*EC218+ED19*EC218+EE19*EC218+ED20*EC218+EE20*EC218+ED21*EC218+EE21*EC218+ED22*EC218+EE22*EC218+ED23*EC218+EE23*EC218+ED24*EC218+EE24*EC218+ED25*EC218+EE25*EC218+ED26*EC218+EE26*EC218+EF5*EC218+EF6*EC218+EF7*EC218+EF8*EC218+EF9*EC218+EF10*EC218+EF11*EC218+EF12*EC218+EF13*EC218+EF14*EC218+EF15*EC218+EF15*EC218+EF16*EC218+EF17*EC218+EF18*EC218+EF19*EC218+EF20*EC218+EF21*EC218+EF22*EC218+EF23*EC218+EF24*EC218+EF25*EC218+EF26*EC218</f>
        <v>0</v>
      </c>
      <c r="EE218" s="5"/>
      <c r="EF218" s="5"/>
      <c r="EH218" s="5">
        <v>3</v>
      </c>
      <c r="EI218" s="5">
        <f>EI5*EH218+EJ5*EH218+EI6*EH218+EJ6*EH218+EI7*EH218+EJ7*EH218+EI8*EH218+EJ8*EH218+EI9*EH218+EJ9*EH218+EI10*EH218+EJ10*EH218+EI11*EH218+EJ11*EH218+EI12*EH218+EJ12*EH218+EI13*EH218+EJ13*EH218+EI14*EH218+EJ14*EH218+EI15*EH218+EJ15*EH218+EI16*EH218+EJ16*EH218+EI17*EH218+EJ17*EH218+EI18*EH218+EJ18*EH218+EI19*EH218+EJ19*EH218+EI20*EH218+EJ20*EH218+EI21*EH218+EJ21*EH218+EI22*EH218+EJ22*EH218+EI23*EH218+EJ23*EH218+EI24*EH218+EJ24*EH218+EI25*EH218+EJ25*EH218+EI26*EH218+EJ26*EH218+EK5*EH218+EK6*EH218+EK7*EH218+EK8*EH218+EK9*EH218+EK10*EH218+EK11*EH218+EK12*EH218+EK13*EH218+EK14*EH218+EK15*EH218+EK15*EH218+EK16*EH218+EK17*EH218+EK18*EH218+EK19*EH218+EK20*EH218+EK21*EH218+EK22*EH218+EK23*EH218+EK24*EH218+EK25*EH218+EK26*EH218</f>
        <v>0</v>
      </c>
      <c r="EJ218" s="5"/>
      <c r="EK218" s="5"/>
      <c r="EX218" s="659">
        <f t="shared" si="1"/>
        <v>0</v>
      </c>
    </row>
    <row r="219" spans="1:154" s="6" customFormat="1" ht="15" customHeight="1">
      <c r="A219" s="3" t="s">
        <v>141</v>
      </c>
      <c r="B219" s="210" t="s">
        <v>141</v>
      </c>
      <c r="C219" s="473" t="s">
        <v>515</v>
      </c>
      <c r="D219" s="138"/>
      <c r="E219" s="5"/>
      <c r="F219" s="5"/>
      <c r="G219" s="5"/>
      <c r="H219" s="5"/>
      <c r="I219" s="4"/>
      <c r="J219" s="4"/>
      <c r="K219" s="4"/>
      <c r="L219" s="4"/>
      <c r="M219" s="4"/>
      <c r="N219" s="4"/>
      <c r="O219" s="4"/>
      <c r="P219" s="4"/>
      <c r="Q219" s="4"/>
      <c r="R219" s="5"/>
      <c r="S219" s="5"/>
      <c r="U219" s="5"/>
      <c r="W219" s="5"/>
      <c r="X219" s="5"/>
      <c r="Y219" s="5"/>
      <c r="Z219" s="5"/>
      <c r="AB219" s="5"/>
      <c r="AC219" s="5"/>
      <c r="AD219" s="5"/>
      <c r="AE219" s="5"/>
      <c r="AG219" s="5"/>
      <c r="AH219" s="5"/>
      <c r="AI219" s="5"/>
      <c r="AJ219" s="5"/>
      <c r="AL219" s="5"/>
      <c r="AM219" s="5"/>
      <c r="AN219" s="5"/>
      <c r="AO219" s="5"/>
      <c r="AQ219" s="5"/>
      <c r="AR219" s="5"/>
      <c r="AS219" s="5"/>
      <c r="AT219" s="5"/>
      <c r="BD219" s="5"/>
      <c r="BF219" s="5"/>
      <c r="BG219" s="5"/>
      <c r="BH219" s="5"/>
      <c r="BI219" s="5"/>
      <c r="BM219" s="5"/>
      <c r="BN219" s="5"/>
      <c r="BP219" s="5"/>
      <c r="BQ219" s="5"/>
      <c r="BR219" s="5"/>
      <c r="BS219" s="5"/>
      <c r="BU219" s="5"/>
      <c r="BV219" s="5"/>
      <c r="BW219" s="5"/>
      <c r="BX219" s="5"/>
      <c r="BZ219" s="5"/>
      <c r="CA219" s="5"/>
      <c r="CB219" s="5"/>
      <c r="CC219" s="5"/>
      <c r="CE219" s="5"/>
      <c r="CF219" s="5"/>
      <c r="CG219" s="5"/>
      <c r="CH219" s="5"/>
      <c r="CO219" s="13"/>
      <c r="CP219" s="5"/>
      <c r="CQ219" s="5"/>
      <c r="CR219" s="5"/>
      <c r="CT219" s="5"/>
      <c r="CU219" s="5"/>
      <c r="CV219" s="5"/>
      <c r="CW219" s="5"/>
      <c r="CY219" s="5"/>
      <c r="CZ219" s="5"/>
      <c r="DA219" s="5"/>
      <c r="DB219" s="5"/>
      <c r="DD219" s="5"/>
      <c r="DE219" s="5"/>
      <c r="DF219" s="5"/>
      <c r="DG219" s="5"/>
      <c r="DI219" s="5"/>
      <c r="DJ219" s="5">
        <f>DJ6*DI219+DK6*DI219+DJ7*DI219+DK7*DI219+DJ8*DI219+DK8*DI219+DJ9*DI219+DK9*DI219+DJ10*DI219+DK10*DI219+DJ11*DI219+DK11*DI219+DJ12*DI219+DK12*DI219+DJ13*DI219+DK13*DI219+DJ14*DI219+DK14*DI219+DJ15*DI219+DK15*DI219+DJ16*DI219+DK16*DI219+DJ17*DI219+DK17*DI219+DJ18*DI219+DK18*DI219+DJ19*DI219+DK19*DI219+DJ20*DI219+DK20*DI219+DJ21*DI219+DK21*DI219+DJ22*DI219+DK22*DI219+DJ23*DI219+DK23*DI219+DJ24*DI219+DK24*DI219+DJ25*DI219+DK25*DI219+DJ26*DI219+DK26*DI219+DJ5*DI219+DK5*DI219+DL6*DI219+DL7*DI219+DL8*DI219+DL9*DI219+DL10*DI219+DL11*DI219+DL12*DI219+DL13*DI219+DL14*DI219+DL15*DI219+DL16*DI219+DL16*DI219+DL17*DI219+DL18*DI219+DL19*DI219+DL20*DI219+DL21*DI219+DL22*DI219+DL23*DI219+DL24*DI219+DL25*DI219+DL26*DI219+DL5*DI219</f>
        <v>0</v>
      </c>
      <c r="DK219" s="5"/>
      <c r="DL219" s="5"/>
      <c r="DN219" s="5"/>
      <c r="DO219" s="5">
        <f>DO6*DN219+DP6*DN219+DO7*DN219+DP7*DN219+DO8*DN219+DP8*DN219+DO9*DN219+DP9*DN219+DO10*DN219+DP10*DN219+DO11*DN219+DP11*DN219+DO12*DN219+DP12*DN219+DO13*DN219+DP13*DN219+DO14*DN219+DP14*DN219+DO15*DN219+DP15*DN219+DO16*DN219+DP16*DN219+DO17*DN219+DP17*DN219+DO18*DN219+DP18*DN219+DO19*DN219+DP19*DN219+DO20*DN219+DP20*DN219+DO21*DN219+DP21*DN219+DO22*DN219+DP22*DN219+DO23*DN219+DP23*DN219+DO24*DN219+DP24*DN219+DO25*DN219+DP25*DN219+DO26*DN219+DP26*DN219+DO5*DN219+DP5*DN219+DQ6*DN219+DQ7*DN219+DQ8*DN219+DQ9*DN219+DQ10*DN219+DQ11*DN219+DQ12*DN219+DQ13*DN219+DQ14*DN219+DQ15*DN219+DQ16*DN219+DQ16*DN219+DQ17*DN219+DQ18*DN219+DQ19*DN219+DQ20*DN219+DQ21*DN219+DQ22*DN219+DQ23*DN219+DQ24*DN219+DQ25*DN219+DQ26*DN219+DQ5*DN219</f>
        <v>0</v>
      </c>
      <c r="DP219" s="5"/>
      <c r="DQ219" s="5"/>
      <c r="DS219" s="5"/>
      <c r="DT219" s="5">
        <f>DT6*DS219+DU6*DS219+DT7*DS219+DU7*DS219+DT8*DS219+DU8*DS219+DT9*DS219+DU9*DS219+DT10*DS219+DU10*DS219+DT11*DS219+DU11*DS219+DT12*DS219+DU12*DS219+DT13*DS219+DU13*DS219+DT14*DS219+DU14*DS219+DT15*DS219+DU15*DS219+DT16*DS219+DU16*DS219+DT17*DS219+DU17*DS219+DT18*DS219+DU18*DS219+DT19*DS219+DU19*DS219+DT20*DS219+DU20*DS219+DT21*DS219+DU21*DS219+DT22*DS219+DU22*DS219+DT23*DS219+DU23*DS219+DT24*DS219+DU24*DS219+DT25*DS219+DU25*DS219+DT26*DS219+DU26*DS219+DT5*DS219+DU5*DS219+DV6*DS219+DV7*DS219+DV8*DS219+DV9*DS219+DV10*DS219+DV11*DS219+DV12*DS219+DV13*DS219+DV14*DS219+DV15*DS219+DV16*DS219+DV16*DS219+DV17*DS219+DV18*DS219+DV19*DS219+DV20*DS219+DV21*DS219+DV22*DS219+DV23*DS219+DV24*DS219+DV25*DS219+DV26*DS219+DV5*DS219</f>
        <v>0</v>
      </c>
      <c r="DU219" s="5"/>
      <c r="DV219" s="5"/>
      <c r="DX219" s="5"/>
      <c r="DY219" s="5">
        <f>DY6*DX219+DZ6*DX219+DY7*DX219+DZ7*DX219+DY8*DX219+DZ8*DX219+DY9*DX219+DZ9*DX219+DY10*DX219+DZ10*DX219+DY11*DX219+DZ11*DX219+DY12*DX219+DZ12*DX219+DY13*DX219+DZ13*DX219+DY14*DX219+DZ14*DX219+DY15*DX219+DZ15*DX219+DY16*DX219+DZ16*DX219+DY17*DX219+DZ17*DX219+DY18*DX219+DZ18*DX219+DY19*DX219+DZ19*DX219+DY20*DX219+DZ20*DX219+DY21*DX219+DZ21*DX219+DY22*DX219+DZ22*DX219+DY23*DX219+DZ23*DX219+DY24*DX219+DZ24*DX219+DY25*DX219+DZ25*DX219+DY26*DX219+DZ26*DX219+DY5*DX219+DZ5*DX219+EA6*DX219+EA7*DX219+EA8*DX219+EA9*DX219+EA10*DX219+EA11*DX219+EA12*DX219+EA13*DX219+EA14*DX219+EA15*DX219+EA16*DX219+EA16*DX219+EA17*DX219+EA18*DX219+EA19*DX219+EA20*DX219+EA21*DX219+EA22*DX219+EA23*DX219+EA24*DX219+EA25*DX219+EA26*DX219+EA5*DX219</f>
        <v>0</v>
      </c>
      <c r="DZ219" s="5"/>
      <c r="EA219" s="5"/>
      <c r="EC219" s="5"/>
      <c r="ED219" s="5">
        <f>ED6*EC219+EE6*EC219+ED7*EC219+EE7*EC219+ED8*EC219+EE8*EC219+ED9*EC219+EE9*EC219+ED10*EC219+EE10*EC219+ED11*EC219+EE11*EC219+ED12*EC219+EE12*EC219+ED13*EC219+EE13*EC219+ED14*EC219+EE14*EC219+ED15*EC219+EE15*EC219+ED16*EC219+EE16*EC219+ED17*EC219+EE17*EC219+ED18*EC219+EE18*EC219+ED19*EC219+EE19*EC219+ED20*EC219+EE20*EC219+ED21*EC219+EE21*EC219+ED22*EC219+EE22*EC219+ED23*EC219+EE23*EC219+ED24*EC219+EE24*EC219+ED25*EC219+EE25*EC219+ED26*EC219+EE26*EC219+ED5*EC219+EE5*EC219+EF6*EC219+EF7*EC219+EF8*EC219+EF9*EC219+EF10*EC219+EF11*EC219+EF12*EC219+EF13*EC219+EF14*EC219+EF15*EC219+EF16*EC219+EF16*EC219+EF17*EC219+EF18*EC219+EF19*EC219+EF20*EC219+EF21*EC219+EF22*EC219+EF23*EC219+EF24*EC219+EF25*EC219+EF26*EC219+EF5*EC219</f>
        <v>0</v>
      </c>
      <c r="EE219" s="5"/>
      <c r="EF219" s="5"/>
      <c r="EH219" s="5"/>
      <c r="EI219" s="5">
        <f>EI6*EH219+EJ6*EH219+EI7*EH219+EJ7*EH219+EI8*EH219+EJ8*EH219+EI9*EH219+EJ9*EH219+EI10*EH219+EJ10*EH219+EI11*EH219+EJ11*EH219+EI12*EH219+EJ12*EH219+EI13*EH219+EJ13*EH219+EI14*EH219+EJ14*EH219+EI15*EH219+EJ15*EH219+EI16*EH219+EJ16*EH219+EI17*EH219+EJ17*EH219+EI18*EH219+EJ18*EH219+EI19*EH219+EJ19*EH219+EI20*EH219+EJ20*EH219+EI21*EH219+EJ21*EH219+EI22*EH219+EJ22*EH219+EI23*EH219+EJ23*EH219+EI24*EH219+EJ24*EH219+EI25*EH219+EJ25*EH219+EI26*EH219+EJ26*EH219+EI5*EH219+EJ5*EH219+EK6*EH219+EK7*EH219+EK8*EH219+EK9*EH219+EK10*EH219+EK11*EH219+EK12*EH219+EK13*EH219+EK14*EH219+EK15*EH219+EK16*EH219+EK16*EH219+EK17*EH219+EK18*EH219+EK19*EH219+EK20*EH219+EK21*EH219+EK22*EH219+EK23*EH219+EK24*EH219+EK25*EH219+EK26*EH219+EK5*EH219</f>
        <v>0</v>
      </c>
      <c r="EJ219" s="5"/>
      <c r="EK219" s="5"/>
      <c r="EX219" s="659">
        <f t="shared" si="1"/>
        <v>0</v>
      </c>
    </row>
    <row r="220" spans="1:154" s="6" customFormat="1" ht="15" customHeight="1">
      <c r="A220" s="3" t="s">
        <v>9</v>
      </c>
      <c r="B220" s="210" t="s">
        <v>9</v>
      </c>
      <c r="C220" s="473" t="s">
        <v>515</v>
      </c>
      <c r="D220" s="138"/>
      <c r="E220" s="5"/>
      <c r="F220" s="5"/>
      <c r="G220" s="5"/>
      <c r="H220" s="5"/>
      <c r="I220" s="4"/>
      <c r="J220" s="4"/>
      <c r="K220" s="4"/>
      <c r="L220" s="4"/>
      <c r="M220" s="4"/>
      <c r="N220" s="4"/>
      <c r="O220" s="4"/>
      <c r="P220" s="4"/>
      <c r="Q220" s="4"/>
      <c r="R220" s="5"/>
      <c r="S220" s="5"/>
      <c r="U220" s="5"/>
      <c r="W220" s="5"/>
      <c r="X220" s="5"/>
      <c r="Y220" s="5"/>
      <c r="Z220" s="5"/>
      <c r="AB220" s="5"/>
      <c r="AC220" s="5"/>
      <c r="AD220" s="5"/>
      <c r="AE220" s="5"/>
      <c r="AG220" s="5"/>
      <c r="AH220" s="5"/>
      <c r="AI220" s="5"/>
      <c r="AJ220" s="5"/>
      <c r="AL220" s="5"/>
      <c r="AM220" s="5"/>
      <c r="AN220" s="5"/>
      <c r="AO220" s="5"/>
      <c r="AQ220" s="5"/>
      <c r="AR220" s="5"/>
      <c r="AS220" s="5"/>
      <c r="AT220" s="5"/>
      <c r="BD220" s="5"/>
      <c r="BF220" s="5"/>
      <c r="BG220" s="5"/>
      <c r="BH220" s="5"/>
      <c r="BI220" s="5"/>
      <c r="BM220" s="5"/>
      <c r="BN220" s="5"/>
      <c r="BP220" s="5"/>
      <c r="BQ220" s="5"/>
      <c r="BR220" s="5"/>
      <c r="BS220" s="5"/>
      <c r="BU220" s="5"/>
      <c r="BV220" s="5"/>
      <c r="BW220" s="5"/>
      <c r="BX220" s="5"/>
      <c r="BZ220" s="5"/>
      <c r="CA220" s="5"/>
      <c r="CB220" s="5"/>
      <c r="CC220" s="5"/>
      <c r="CE220" s="5"/>
      <c r="CF220" s="5"/>
      <c r="CG220" s="5"/>
      <c r="CH220" s="5"/>
      <c r="CO220" s="13"/>
      <c r="CP220" s="5"/>
      <c r="CQ220" s="5"/>
      <c r="CR220" s="5"/>
      <c r="CT220" s="5"/>
      <c r="CU220" s="5"/>
      <c r="CV220" s="5"/>
      <c r="CW220" s="5"/>
      <c r="CY220" s="5"/>
      <c r="CZ220" s="5"/>
      <c r="DA220" s="5"/>
      <c r="DB220" s="5"/>
      <c r="DD220" s="5"/>
      <c r="DE220" s="5"/>
      <c r="DF220" s="5"/>
      <c r="DG220" s="5"/>
      <c r="DI220" s="5">
        <v>1</v>
      </c>
      <c r="DJ220" s="5">
        <f>DJ7*DI220+DK7*DI220+DJ8*DI220+DK8*DI220+DJ9*DI220+DK9*DI220+DJ10*DI220+DK10*DI220+DJ11*DI220+DK11*DI220+DJ12*DI220+DK12*DI220+DJ13*DI220+DK13*DI220+DJ14*DI220+DK14*DI220+DJ15*DI220+DK15*DI220+DJ16*DI220+DK16*DI220+DJ17*DI220+DK17*DI220+DJ18*DI220+DK18*DI220+DJ19*DI220+DK19*DI220+DJ20*DI220+DK20*DI220+DJ21*DI220+DK21*DI220+DJ22*DI220+DK22*DI220+DJ23*DI220+DK23*DI220+DJ24*DI220+DK24*DI220+DJ25*DI220+DK25*DI220+DJ26*DI220+DK26*DI220+DJ5*DI220+DK5*DI220+DJ6*DI220+DK6*DI220+DL7*DI220+DL8*DI220+DL9*DI220+DL10*DI220+DL11*DI220+DL12*DI220+DL13*DI220+DL14*DI220+DL15*DI220+DL16*DI220+DL17*DI220+DL17*DI220+DL18*DI220+DL19*DI220+DL20*DI220+DL21*DI220+DL22*DI220+DL23*DI220+DL24*DI220+DL25*DI220+DL26*DI220+DL5*DI220+DL6*DI220</f>
        <v>0</v>
      </c>
      <c r="DK220" s="5"/>
      <c r="DL220" s="5"/>
      <c r="DN220" s="5">
        <v>1</v>
      </c>
      <c r="DO220" s="5">
        <f>DO7*DN220+DP7*DN220+DO8*DN220+DP8*DN220+DO9*DN220+DP9*DN220+DO10*DN220+DP10*DN220+DO11*DN220+DP11*DN220+DO12*DN220+DP12*DN220+DO13*DN220+DP13*DN220+DO14*DN220+DP14*DN220+DO15*DN220+DP15*DN220+DO16*DN220+DP16*DN220+DO17*DN220+DP17*DN220+DO18*DN220+DP18*DN220+DO19*DN220+DP19*DN220+DO20*DN220+DP20*DN220+DO21*DN220+DP21*DN220+DO22*DN220+DP22*DN220+DO23*DN220+DP23*DN220+DO24*DN220+DP24*DN220+DO25*DN220+DP25*DN220+DO26*DN220+DP26*DN220+DO5*DN220+DP5*DN220+DO6*DN220+DP6*DN220+DQ7*DN220+DQ8*DN220+DQ9*DN220+DQ10*DN220+DQ11*DN220+DQ12*DN220+DQ13*DN220+DQ14*DN220+DQ15*DN220+DQ16*DN220+DQ17*DN220+DQ17*DN220+DQ18*DN220+DQ19*DN220+DQ20*DN220+DQ21*DN220+DQ22*DN220+DQ23*DN220+DQ24*DN220+DQ25*DN220+DQ26*DN220+DQ5*DN220+DQ6*DN220</f>
        <v>0</v>
      </c>
      <c r="DP220" s="5"/>
      <c r="DQ220" s="5"/>
      <c r="DS220" s="5">
        <v>1</v>
      </c>
      <c r="DT220" s="5">
        <f>DT7*DS220+DU7*DS220+DT8*DS220+DU8*DS220+DT9*DS220+DU9*DS220+DT10*DS220+DU10*DS220+DT11*DS220+DU11*DS220+DT12*DS220+DU12*DS220+DT13*DS220+DU13*DS220+DT14*DS220+DU14*DS220+DT15*DS220+DU15*DS220+DT16*DS220+DU16*DS220+DT17*DS220+DU17*DS220+DT18*DS220+DU18*DS220+DT19*DS220+DU19*DS220+DT20*DS220+DU20*DS220+DT21*DS220+DU21*DS220+DT22*DS220+DU22*DS220+DT23*DS220+DU23*DS220+DT24*DS220+DU24*DS220+DT25*DS220+DU25*DS220+DT26*DS220+DU26*DS220+DT5*DS220+DU5*DS220+DT6*DS220+DU6*DS220+DV7*DS220+DV8*DS220+DV9*DS220+DV10*DS220+DV11*DS220+DV12*DS220+DV13*DS220+DV14*DS220+DV15*DS220+DV16*DS220+DV17*DS220+DV17*DS220+DV18*DS220+DV19*DS220+DV20*DS220+DV21*DS220+DV22*DS220+DV23*DS220+DV24*DS220+DV25*DS220+DV26*DS220+DV5*DS220+DV6*DS220</f>
        <v>0</v>
      </c>
      <c r="DU220" s="5"/>
      <c r="DV220" s="5"/>
      <c r="DX220" s="5">
        <v>1</v>
      </c>
      <c r="DY220" s="5">
        <f>DY7*DX220+DZ7*DX220+DY8*DX220+DZ8*DX220+DY9*DX220+DZ9*DX220+DY10*DX220+DZ10*DX220+DY11*DX220+DZ11*DX220+DY12*DX220+DZ12*DX220+DY13*DX220+DZ13*DX220+DY14*DX220+DZ14*DX220+DY15*DX220+DZ15*DX220+DY16*DX220+DZ16*DX220+DY17*DX220+DZ17*DX220+DY18*DX220+DZ18*DX220+DY19*DX220+DZ19*DX220+DY20*DX220+DZ20*DX220+DY21*DX220+DZ21*DX220+DY22*DX220+DZ22*DX220+DY23*DX220+DZ23*DX220+DY24*DX220+DZ24*DX220+DY25*DX220+DZ25*DX220+DY26*DX220+DZ26*DX220+DY5*DX220+DZ5*DX220+DY6*DX220+DZ6*DX220+EA7*DX220+EA8*DX220+EA9*DX220+EA10*DX220+EA11*DX220+EA12*DX220+EA13*DX220+EA14*DX220+EA15*DX220+EA16*DX220+EA17*DX220+EA17*DX220+EA18*DX220+EA19*DX220+EA20*DX220+EA21*DX220+EA22*DX220+EA23*DX220+EA24*DX220+EA25*DX220+EA26*DX220+EA5*DX220+EA6*DX220</f>
        <v>0</v>
      </c>
      <c r="DZ220" s="5"/>
      <c r="EA220" s="5"/>
      <c r="EC220" s="5">
        <v>1</v>
      </c>
      <c r="ED220" s="5">
        <f>ED7*EC220+EE7*EC220+ED8*EC220+EE8*EC220+ED9*EC220+EE9*EC220+ED10*EC220+EE10*EC220+ED11*EC220+EE11*EC220+ED12*EC220+EE12*EC220+ED13*EC220+EE13*EC220+ED14*EC220+EE14*EC220+ED15*EC220+EE15*EC220+ED16*EC220+EE16*EC220+ED17*EC220+EE17*EC220+ED18*EC220+EE18*EC220+ED19*EC220+EE19*EC220+ED20*EC220+EE20*EC220+ED21*EC220+EE21*EC220+ED22*EC220+EE22*EC220+ED23*EC220+EE23*EC220+ED24*EC220+EE24*EC220+ED25*EC220+EE25*EC220+ED26*EC220+EE26*EC220+ED5*EC220+EE5*EC220+ED6*EC220+EE6*EC220+EF7*EC220+EF8*EC220+EF9*EC220+EF10*EC220+EF11*EC220+EF12*EC220+EF13*EC220+EF14*EC220+EF15*EC220+EF16*EC220+EF17*EC220+EF17*EC220+EF18*EC220+EF19*EC220+EF20*EC220+EF21*EC220+EF22*EC220+EF23*EC220+EF24*EC220+EF25*EC220+EF26*EC220+EF5*EC220+EF6*EC220</f>
        <v>0</v>
      </c>
      <c r="EE220" s="5"/>
      <c r="EF220" s="5"/>
      <c r="EH220" s="5">
        <v>1</v>
      </c>
      <c r="EI220" s="5">
        <f>EI7*EH220+EJ7*EH220+EI8*EH220+EJ8*EH220+EI9*EH220+EJ9*EH220+EI10*EH220+EJ10*EH220+EI11*EH220+EJ11*EH220+EI12*EH220+EJ12*EH220+EI13*EH220+EJ13*EH220+EI14*EH220+EJ14*EH220+EI15*EH220+EJ15*EH220+EI16*EH220+EJ16*EH220+EI17*EH220+EJ17*EH220+EI18*EH220+EJ18*EH220+EI19*EH220+EJ19*EH220+EI20*EH220+EJ20*EH220+EI21*EH220+EJ21*EH220+EI22*EH220+EJ22*EH220+EI23*EH220+EJ23*EH220+EI24*EH220+EJ24*EH220+EI25*EH220+EJ25*EH220+EI26*EH220+EJ26*EH220+EI5*EH220+EJ5*EH220+EI6*EH220+EJ6*EH220+EK7*EH220+EK8*EH220+EK9*EH220+EK10*EH220+EK11*EH220+EK12*EH220+EK13*EH220+EK14*EH220+EK15*EH220+EK16*EH220+EK17*EH220+EK17*EH220+EK18*EH220+EK19*EH220+EK20*EH220+EK21*EH220+EK22*EH220+EK23*EH220+EK24*EH220+EK25*EH220+EK26*EH220+EK5*EH220+EK6*EH220</f>
        <v>0</v>
      </c>
      <c r="EJ220" s="5"/>
      <c r="EK220" s="5"/>
      <c r="EN220" s="6">
        <f>IF(SUM(EU6,EW6)&gt;0,0,SUM(EU7,EW7)*4)</f>
        <v>0</v>
      </c>
      <c r="EX220" s="659">
        <f t="shared" si="1"/>
        <v>0</v>
      </c>
    </row>
    <row r="221" spans="1:154" s="6" customFormat="1" ht="15" customHeight="1">
      <c r="A221" s="3"/>
      <c r="B221" s="210" t="s">
        <v>452</v>
      </c>
      <c r="C221" s="473" t="s">
        <v>515</v>
      </c>
      <c r="D221" s="138"/>
      <c r="E221" s="5"/>
      <c r="F221" s="5"/>
      <c r="G221" s="5"/>
      <c r="H221" s="5"/>
      <c r="I221" s="4"/>
      <c r="J221" s="4"/>
      <c r="K221" s="4"/>
      <c r="L221" s="4"/>
      <c r="M221" s="4"/>
      <c r="N221" s="4"/>
      <c r="O221" s="4"/>
      <c r="P221" s="4"/>
      <c r="Q221" s="4"/>
      <c r="R221" s="5"/>
      <c r="S221" s="5"/>
      <c r="U221" s="5"/>
      <c r="W221" s="5"/>
      <c r="X221" s="5"/>
      <c r="Y221" s="5"/>
      <c r="Z221" s="5"/>
      <c r="AB221" s="5"/>
      <c r="AC221" s="5"/>
      <c r="AD221" s="5"/>
      <c r="AE221" s="5"/>
      <c r="AG221" s="5"/>
      <c r="AH221" s="5"/>
      <c r="AI221" s="5"/>
      <c r="AJ221" s="5"/>
      <c r="AL221" s="5"/>
      <c r="AM221" s="5"/>
      <c r="AN221" s="5"/>
      <c r="AO221" s="5"/>
      <c r="AQ221" s="5"/>
      <c r="AR221" s="5"/>
      <c r="AS221" s="5"/>
      <c r="AT221" s="5"/>
      <c r="BD221" s="5"/>
      <c r="BF221" s="5"/>
      <c r="BG221" s="5"/>
      <c r="BH221" s="5"/>
      <c r="BI221" s="5"/>
      <c r="BM221" s="5"/>
      <c r="BN221" s="5"/>
      <c r="BP221" s="5"/>
      <c r="BQ221" s="5"/>
      <c r="BR221" s="5"/>
      <c r="BS221" s="5"/>
      <c r="BU221" s="5"/>
      <c r="BV221" s="5"/>
      <c r="BW221" s="5"/>
      <c r="BX221" s="5"/>
      <c r="BZ221" s="5"/>
      <c r="CA221" s="5"/>
      <c r="CB221" s="5"/>
      <c r="CC221" s="5"/>
      <c r="CE221" s="5"/>
      <c r="CF221" s="5"/>
      <c r="CG221" s="5"/>
      <c r="CH221" s="5"/>
      <c r="CO221" s="13"/>
      <c r="CP221" s="5"/>
      <c r="CQ221" s="5"/>
      <c r="CR221" s="5"/>
      <c r="CT221" s="5"/>
      <c r="CU221" s="5"/>
      <c r="CV221" s="5"/>
      <c r="CW221" s="5"/>
      <c r="CY221" s="5"/>
      <c r="CZ221" s="5"/>
      <c r="DA221" s="5"/>
      <c r="DB221" s="5"/>
      <c r="DD221" s="5"/>
      <c r="DE221" s="5"/>
      <c r="DF221" s="5"/>
      <c r="DG221" s="5"/>
      <c r="DI221" s="5"/>
      <c r="DJ221" s="5"/>
      <c r="DK221" s="5"/>
      <c r="DL221" s="5"/>
      <c r="DN221" s="5"/>
      <c r="DO221" s="5"/>
      <c r="DP221" s="5"/>
      <c r="DQ221" s="5"/>
      <c r="DS221" s="5"/>
      <c r="DT221" s="5"/>
      <c r="DU221" s="5"/>
      <c r="DV221" s="5"/>
      <c r="DX221" s="5"/>
      <c r="DY221" s="5"/>
      <c r="DZ221" s="5"/>
      <c r="EA221" s="5"/>
      <c r="EC221" s="5"/>
      <c r="ED221" s="5"/>
      <c r="EE221" s="5"/>
      <c r="EF221" s="5"/>
      <c r="EH221" s="5"/>
      <c r="EI221" s="5"/>
      <c r="EJ221" s="5"/>
      <c r="EK221" s="5"/>
      <c r="EX221" s="659">
        <f t="shared" si="1"/>
        <v>0</v>
      </c>
    </row>
    <row r="222" spans="1:154" s="6" customFormat="1" ht="15" customHeight="1">
      <c r="A222" s="3" t="s">
        <v>10</v>
      </c>
      <c r="B222" s="210" t="s">
        <v>10</v>
      </c>
      <c r="C222" s="473" t="s">
        <v>515</v>
      </c>
      <c r="D222" s="138"/>
      <c r="E222" s="5"/>
      <c r="F222" s="5"/>
      <c r="G222" s="5"/>
      <c r="H222" s="5"/>
      <c r="I222" s="4"/>
      <c r="J222" s="4"/>
      <c r="K222" s="4"/>
      <c r="L222" s="4"/>
      <c r="M222" s="4"/>
      <c r="N222" s="4"/>
      <c r="O222" s="4"/>
      <c r="P222" s="4"/>
      <c r="Q222" s="4"/>
      <c r="R222" s="5"/>
      <c r="S222" s="5"/>
      <c r="U222" s="5"/>
      <c r="W222" s="5"/>
      <c r="X222" s="5"/>
      <c r="Y222" s="5"/>
      <c r="Z222" s="5"/>
      <c r="AB222" s="5"/>
      <c r="AC222" s="5"/>
      <c r="AD222" s="5"/>
      <c r="AE222" s="5"/>
      <c r="AG222" s="5"/>
      <c r="AH222" s="5"/>
      <c r="AI222" s="5"/>
      <c r="AJ222" s="5"/>
      <c r="AL222" s="5"/>
      <c r="AM222" s="5"/>
      <c r="AN222" s="5"/>
      <c r="AO222" s="5"/>
      <c r="AQ222" s="5"/>
      <c r="AR222" s="5"/>
      <c r="AS222" s="5"/>
      <c r="AT222" s="5"/>
      <c r="BD222" s="5"/>
      <c r="BF222" s="5"/>
      <c r="BG222" s="5"/>
      <c r="BH222" s="5"/>
      <c r="BI222" s="5"/>
      <c r="BM222" s="5"/>
      <c r="BN222" s="5"/>
      <c r="BP222" s="5"/>
      <c r="BQ222" s="5"/>
      <c r="BR222" s="5"/>
      <c r="BS222" s="5"/>
      <c r="BU222" s="5"/>
      <c r="BV222" s="5"/>
      <c r="BW222" s="5"/>
      <c r="BX222" s="5"/>
      <c r="BZ222" s="5"/>
      <c r="CA222" s="5"/>
      <c r="CB222" s="5"/>
      <c r="CC222" s="5"/>
      <c r="CE222" s="5"/>
      <c r="CF222" s="5"/>
      <c r="CG222" s="5"/>
      <c r="CH222" s="5"/>
      <c r="CO222" s="13"/>
      <c r="CP222" s="5"/>
      <c r="CQ222" s="5"/>
      <c r="CR222" s="5"/>
      <c r="CT222" s="5"/>
      <c r="CU222" s="5"/>
      <c r="CV222" s="5"/>
      <c r="CW222" s="5"/>
      <c r="CY222" s="5"/>
      <c r="CZ222" s="5"/>
      <c r="DA222" s="5"/>
      <c r="DB222" s="5"/>
      <c r="DD222" s="5"/>
      <c r="DE222" s="5"/>
      <c r="DF222" s="5"/>
      <c r="DG222" s="5"/>
      <c r="DI222" s="5"/>
      <c r="DJ222" s="5"/>
      <c r="DK222" s="5"/>
      <c r="DL222" s="5"/>
      <c r="DN222" s="5"/>
      <c r="DO222" s="5"/>
      <c r="DP222" s="5"/>
      <c r="DQ222" s="5"/>
      <c r="DS222" s="5"/>
      <c r="DT222" s="5"/>
      <c r="DU222" s="5"/>
      <c r="DV222" s="5"/>
      <c r="DX222" s="5"/>
      <c r="DY222" s="5"/>
      <c r="DZ222" s="5"/>
      <c r="EA222" s="5"/>
      <c r="EC222" s="5"/>
      <c r="ED222" s="5"/>
      <c r="EE222" s="5"/>
      <c r="EF222" s="5"/>
      <c r="EH222" s="5"/>
      <c r="EI222" s="5"/>
      <c r="EJ222" s="5"/>
      <c r="EK222" s="5"/>
      <c r="EX222" s="659">
        <f t="shared" si="1"/>
        <v>0</v>
      </c>
    </row>
    <row r="223" spans="1:154" s="6" customFormat="1" ht="15" customHeight="1">
      <c r="A223" s="3"/>
      <c r="B223" s="210" t="s">
        <v>731</v>
      </c>
      <c r="C223" s="473" t="s">
        <v>0</v>
      </c>
      <c r="D223" s="138"/>
      <c r="E223" s="40">
        <v>6</v>
      </c>
      <c r="F223" s="40">
        <f>IF(SUM($ER$5:$ER$15)&lt;=750,0,SUM(H5:H23)*E223)</f>
        <v>0</v>
      </c>
      <c r="G223" s="40"/>
      <c r="H223" s="40"/>
      <c r="I223" s="4"/>
      <c r="J223" s="4"/>
      <c r="K223" s="4"/>
      <c r="L223" s="4"/>
      <c r="M223" s="4"/>
      <c r="N223" s="4"/>
      <c r="O223" s="4"/>
      <c r="P223" s="4"/>
      <c r="Q223" s="4"/>
      <c r="R223" s="40"/>
      <c r="S223" s="41"/>
      <c r="T223" s="140"/>
      <c r="U223" s="41"/>
      <c r="W223" s="40"/>
      <c r="X223" s="41"/>
      <c r="Y223" s="41"/>
      <c r="Z223" s="41"/>
      <c r="AB223" s="40"/>
      <c r="AC223" s="41"/>
      <c r="AD223" s="41"/>
      <c r="AE223" s="41"/>
      <c r="AG223" s="40"/>
      <c r="AH223" s="41"/>
      <c r="AI223" s="41"/>
      <c r="AJ223" s="41"/>
      <c r="AL223" s="40"/>
      <c r="AM223" s="41"/>
      <c r="AN223" s="41"/>
      <c r="AO223" s="41"/>
      <c r="AQ223" s="40"/>
      <c r="AR223" s="41"/>
      <c r="AS223" s="41"/>
      <c r="AT223" s="41"/>
      <c r="AV223" s="139"/>
      <c r="AW223" s="139"/>
      <c r="AX223" s="139"/>
      <c r="AY223" s="140"/>
      <c r="BA223" s="139"/>
      <c r="BB223" s="139"/>
      <c r="BC223" s="139"/>
      <c r="BD223" s="41"/>
      <c r="BF223" s="40"/>
      <c r="BG223" s="40"/>
      <c r="BH223" s="40"/>
      <c r="BI223" s="41"/>
      <c r="BK223" s="139"/>
      <c r="BL223" s="139"/>
      <c r="BM223" s="40"/>
      <c r="BN223" s="41"/>
      <c r="BP223" s="40">
        <v>6</v>
      </c>
      <c r="BQ223" s="40">
        <f>IF(SUM($ER$5:$ER$15)&lt;750,0,SUM(BS5:BS23)*BP223)</f>
        <v>0</v>
      </c>
      <c r="BR223" s="40"/>
      <c r="BS223" s="41"/>
      <c r="BU223" s="40">
        <v>6</v>
      </c>
      <c r="BV223" s="40">
        <f>IF(SUM($ER$5:$ER$15)&lt;750,0,SUM(BX5:BX23)*BU223)</f>
        <v>0</v>
      </c>
      <c r="BW223" s="5"/>
      <c r="BX223" s="5"/>
      <c r="BZ223" s="5"/>
      <c r="CA223" s="5"/>
      <c r="CB223" s="5"/>
      <c r="CC223" s="5"/>
      <c r="CE223" s="40">
        <v>6</v>
      </c>
      <c r="CF223" s="40">
        <f>IF(SUM($ER$5:$ER$15)&lt;750,0,SUM(CH5:CH23)*CE223)</f>
        <v>0</v>
      </c>
      <c r="CG223" s="5"/>
      <c r="CH223" s="5"/>
      <c r="CO223" s="13"/>
      <c r="CP223" s="5"/>
      <c r="CQ223" s="5"/>
      <c r="CR223" s="5"/>
      <c r="CT223" s="40">
        <v>6</v>
      </c>
      <c r="CU223" s="40">
        <f>IF(SUM($ER$5:$ER$15)&lt;750,0,SUM(CW5:CW23)*CT223)</f>
        <v>0</v>
      </c>
      <c r="CV223" s="5"/>
      <c r="CW223" s="5"/>
      <c r="CY223" s="40">
        <v>6</v>
      </c>
      <c r="CZ223" s="40">
        <f>IF(SUM($ER$5:$ER$15)&lt;750,0,SUM(DB5:DB23)*CY223)</f>
        <v>0</v>
      </c>
      <c r="DA223" s="5"/>
      <c r="DB223" s="5"/>
      <c r="DD223" s="5">
        <v>6</v>
      </c>
      <c r="DE223" s="5">
        <f>SUM(DG5:DG26)*DD223</f>
        <v>0</v>
      </c>
      <c r="DF223" s="5"/>
      <c r="DG223" s="5"/>
      <c r="DI223" s="5"/>
      <c r="DJ223" s="5"/>
      <c r="DK223" s="5"/>
      <c r="DL223" s="5"/>
      <c r="DN223" s="5"/>
      <c r="DO223" s="5"/>
      <c r="DP223" s="5"/>
      <c r="DQ223" s="5"/>
      <c r="DS223" s="5"/>
      <c r="DT223" s="5"/>
      <c r="DU223" s="5"/>
      <c r="DV223" s="5"/>
      <c r="DX223" s="5"/>
      <c r="DY223" s="5"/>
      <c r="DZ223" s="5"/>
      <c r="EA223" s="5"/>
      <c r="EC223" s="5"/>
      <c r="ED223" s="5"/>
      <c r="EE223" s="5"/>
      <c r="EF223" s="5"/>
      <c r="EH223" s="5"/>
      <c r="EI223" s="5"/>
      <c r="EJ223" s="5"/>
      <c r="EK223" s="5"/>
      <c r="EX223" s="659">
        <f t="shared" si="1"/>
        <v>0</v>
      </c>
    </row>
    <row r="224" spans="1:154" s="6" customFormat="1" ht="15" customHeight="1">
      <c r="A224" s="3" t="s">
        <v>145</v>
      </c>
      <c r="B224" s="210" t="s">
        <v>145</v>
      </c>
      <c r="C224" s="473" t="s">
        <v>515</v>
      </c>
      <c r="D224" s="138"/>
      <c r="E224" s="40"/>
      <c r="F224" s="40"/>
      <c r="G224" s="40"/>
      <c r="H224" s="40"/>
      <c r="I224" s="4"/>
      <c r="J224" s="4"/>
      <c r="K224" s="4"/>
      <c r="L224" s="4"/>
      <c r="M224" s="4"/>
      <c r="N224" s="4"/>
      <c r="O224" s="4"/>
      <c r="P224" s="4"/>
      <c r="Q224" s="4"/>
      <c r="R224" s="40"/>
      <c r="S224" s="41"/>
      <c r="T224" s="140"/>
      <c r="U224" s="41"/>
      <c r="W224" s="40"/>
      <c r="X224" s="41"/>
      <c r="Y224" s="41"/>
      <c r="Z224" s="41"/>
      <c r="AB224" s="40"/>
      <c r="AC224" s="41"/>
      <c r="AD224" s="41"/>
      <c r="AE224" s="41"/>
      <c r="AG224" s="40"/>
      <c r="AH224" s="41"/>
      <c r="AI224" s="41"/>
      <c r="AJ224" s="41"/>
      <c r="AL224" s="40"/>
      <c r="AM224" s="41"/>
      <c r="AN224" s="41"/>
      <c r="AO224" s="41"/>
      <c r="AQ224" s="40"/>
      <c r="AR224" s="41"/>
      <c r="AS224" s="41"/>
      <c r="AT224" s="41"/>
      <c r="AV224" s="139"/>
      <c r="AW224" s="139"/>
      <c r="AX224" s="139"/>
      <c r="AY224" s="140"/>
      <c r="BA224" s="139"/>
      <c r="BB224" s="139"/>
      <c r="BC224" s="139"/>
      <c r="BD224" s="41"/>
      <c r="BF224" s="40"/>
      <c r="BG224" s="40"/>
      <c r="BH224" s="40"/>
      <c r="BI224" s="41"/>
      <c r="BK224" s="139"/>
      <c r="BL224" s="139"/>
      <c r="BM224" s="40"/>
      <c r="BN224" s="41"/>
      <c r="BP224" s="40">
        <v>6</v>
      </c>
      <c r="BQ224" s="40"/>
      <c r="BR224" s="40"/>
      <c r="BS224" s="41"/>
      <c r="BU224" s="40">
        <v>6</v>
      </c>
      <c r="BV224" s="40"/>
      <c r="BW224" s="5"/>
      <c r="BX224" s="5"/>
      <c r="BZ224" s="5"/>
      <c r="CA224" s="5"/>
      <c r="CB224" s="5"/>
      <c r="CC224" s="5"/>
      <c r="CE224" s="40">
        <v>6</v>
      </c>
      <c r="CF224" s="40"/>
      <c r="CG224" s="5"/>
      <c r="CH224" s="5"/>
      <c r="CO224" s="13"/>
      <c r="CP224" s="5"/>
      <c r="CQ224" s="5"/>
      <c r="CR224" s="5"/>
      <c r="CT224" s="40">
        <v>6</v>
      </c>
      <c r="CU224" s="40"/>
      <c r="CV224" s="5"/>
      <c r="CW224" s="5"/>
      <c r="CY224" s="40">
        <v>6</v>
      </c>
      <c r="CZ224" s="40"/>
      <c r="DA224" s="5"/>
      <c r="DB224" s="5"/>
      <c r="DD224" s="5">
        <v>6</v>
      </c>
      <c r="DE224" s="5"/>
      <c r="DF224" s="5"/>
      <c r="DG224" s="5"/>
      <c r="DI224" s="5"/>
      <c r="DJ224" s="5"/>
      <c r="DK224" s="5"/>
      <c r="DL224" s="5"/>
      <c r="DN224" s="5"/>
      <c r="DO224" s="5"/>
      <c r="DP224" s="5"/>
      <c r="DQ224" s="5"/>
      <c r="DS224" s="5"/>
      <c r="DT224" s="5"/>
      <c r="DU224" s="5"/>
      <c r="DV224" s="5"/>
      <c r="DX224" s="5"/>
      <c r="DY224" s="5"/>
      <c r="DZ224" s="5"/>
      <c r="EA224" s="5"/>
      <c r="EC224" s="5"/>
      <c r="ED224" s="5"/>
      <c r="EE224" s="5"/>
      <c r="EF224" s="5"/>
      <c r="EH224" s="5"/>
      <c r="EI224" s="5"/>
      <c r="EJ224" s="5"/>
      <c r="EK224" s="5"/>
      <c r="EX224" s="659">
        <f t="shared" si="1"/>
        <v>0</v>
      </c>
    </row>
    <row r="225" spans="1:154" s="6" customFormat="1" ht="15" customHeight="1">
      <c r="A225" s="3" t="s">
        <v>144</v>
      </c>
      <c r="B225" s="210" t="s">
        <v>144</v>
      </c>
      <c r="C225" s="473" t="s">
        <v>515</v>
      </c>
      <c r="D225" s="138"/>
      <c r="E225" s="40">
        <v>6</v>
      </c>
      <c r="F225" s="40"/>
      <c r="G225" s="40"/>
      <c r="H225" s="40"/>
      <c r="I225" s="4"/>
      <c r="J225" s="4"/>
      <c r="K225" s="4"/>
      <c r="L225" s="4"/>
      <c r="M225" s="4"/>
      <c r="N225" s="4"/>
      <c r="O225" s="4"/>
      <c r="P225" s="4"/>
      <c r="Q225" s="4"/>
      <c r="R225" s="40"/>
      <c r="S225" s="41"/>
      <c r="T225" s="140"/>
      <c r="U225" s="41"/>
      <c r="W225" s="40"/>
      <c r="X225" s="41"/>
      <c r="Y225" s="41"/>
      <c r="Z225" s="41"/>
      <c r="AB225" s="40"/>
      <c r="AC225" s="41"/>
      <c r="AD225" s="41"/>
      <c r="AE225" s="41"/>
      <c r="AG225" s="40"/>
      <c r="AH225" s="41"/>
      <c r="AI225" s="41"/>
      <c r="AJ225" s="41"/>
      <c r="AL225" s="40"/>
      <c r="AM225" s="41"/>
      <c r="AN225" s="41"/>
      <c r="AO225" s="41"/>
      <c r="AQ225" s="40"/>
      <c r="AR225" s="41"/>
      <c r="AS225" s="41"/>
      <c r="AT225" s="41"/>
      <c r="AV225" s="139"/>
      <c r="AW225" s="139"/>
      <c r="AX225" s="139"/>
      <c r="AY225" s="140"/>
      <c r="BA225" s="139"/>
      <c r="BB225" s="139"/>
      <c r="BC225" s="139"/>
      <c r="BD225" s="41"/>
      <c r="BF225" s="40"/>
      <c r="BG225" s="40"/>
      <c r="BH225" s="40"/>
      <c r="BI225" s="41"/>
      <c r="BK225" s="139"/>
      <c r="BL225" s="139"/>
      <c r="BM225" s="40"/>
      <c r="BN225" s="41"/>
      <c r="BP225" s="40">
        <v>6</v>
      </c>
      <c r="BQ225" s="40"/>
      <c r="BR225" s="40"/>
      <c r="BS225" s="41"/>
      <c r="BU225" s="40">
        <v>6</v>
      </c>
      <c r="BV225" s="40"/>
      <c r="BW225" s="5"/>
      <c r="BX225" s="5"/>
      <c r="BZ225" s="5"/>
      <c r="CA225" s="5"/>
      <c r="CB225" s="5"/>
      <c r="CC225" s="5"/>
      <c r="CE225" s="40">
        <v>6</v>
      </c>
      <c r="CF225" s="40"/>
      <c r="CG225" s="5"/>
      <c r="CH225" s="5"/>
      <c r="CO225" s="13"/>
      <c r="CP225" s="5"/>
      <c r="CQ225" s="5"/>
      <c r="CR225" s="5"/>
      <c r="CT225" s="40">
        <v>6</v>
      </c>
      <c r="CU225" s="40"/>
      <c r="CV225" s="5"/>
      <c r="CW225" s="5"/>
      <c r="CY225" s="40">
        <v>6</v>
      </c>
      <c r="CZ225" s="40"/>
      <c r="DA225" s="5"/>
      <c r="DB225" s="5"/>
      <c r="DD225" s="5">
        <v>6</v>
      </c>
      <c r="DE225" s="5"/>
      <c r="DF225" s="5"/>
      <c r="DG225" s="5"/>
      <c r="DI225" s="5"/>
      <c r="DJ225" s="5"/>
      <c r="DK225" s="5"/>
      <c r="DL225" s="5"/>
      <c r="DN225" s="5"/>
      <c r="DO225" s="5"/>
      <c r="DP225" s="5"/>
      <c r="DQ225" s="5"/>
      <c r="DS225" s="5"/>
      <c r="DT225" s="5"/>
      <c r="DU225" s="5"/>
      <c r="DV225" s="5"/>
      <c r="DX225" s="5"/>
      <c r="DY225" s="5"/>
      <c r="DZ225" s="5"/>
      <c r="EA225" s="5"/>
      <c r="EC225" s="5"/>
      <c r="ED225" s="5"/>
      <c r="EE225" s="5"/>
      <c r="EF225" s="5"/>
      <c r="EH225" s="5"/>
      <c r="EI225" s="5"/>
      <c r="EJ225" s="5"/>
      <c r="EK225" s="5"/>
      <c r="EX225" s="659">
        <f t="shared" si="1"/>
        <v>0</v>
      </c>
    </row>
    <row r="226" spans="1:154" s="6" customFormat="1" ht="15" customHeight="1">
      <c r="A226" s="56" t="s">
        <v>213</v>
      </c>
      <c r="B226" s="210" t="s">
        <v>213</v>
      </c>
      <c r="C226" s="473" t="s">
        <v>515</v>
      </c>
      <c r="D226" s="138"/>
      <c r="E226" s="40">
        <v>6</v>
      </c>
      <c r="F226" s="40">
        <f>IF(SUM($ER$5:$ER$15)&lt;=750,0,SUM(F5:F23)*E226)</f>
        <v>0</v>
      </c>
      <c r="G226" s="40"/>
      <c r="H226" s="40"/>
      <c r="I226" s="4"/>
      <c r="J226" s="4"/>
      <c r="K226" s="4"/>
      <c r="L226" s="4"/>
      <c r="M226" s="4"/>
      <c r="N226" s="4"/>
      <c r="O226" s="4"/>
      <c r="P226" s="4"/>
      <c r="Q226" s="4"/>
      <c r="R226" s="40"/>
      <c r="S226" s="41"/>
      <c r="T226" s="140"/>
      <c r="U226" s="41"/>
      <c r="W226" s="40"/>
      <c r="X226" s="41"/>
      <c r="Y226" s="41"/>
      <c r="Z226" s="41"/>
      <c r="AB226" s="40"/>
      <c r="AC226" s="41"/>
      <c r="AD226" s="41"/>
      <c r="AE226" s="41"/>
      <c r="AG226" s="40"/>
      <c r="AH226" s="41"/>
      <c r="AI226" s="41"/>
      <c r="AJ226" s="41"/>
      <c r="AL226" s="139"/>
      <c r="AM226" s="139">
        <f>AO5*AL226+AO6*AL226+AO7*AL226+AO8*AL226+AO9*AL226+AO10*AL226+AO11*AL226+AO12*AL226+AO13*AL226+AO14*AL226+AO15*AL226+AO16*AL226+AO17*AL226+AO18*AL226+AO19*AL226+AO20*AL226+AO21*AL226+AO22*AL226+AO23*AL226+AO24*AL226+AO25*AL226+AO26*AL226</f>
        <v>0</v>
      </c>
      <c r="AN226" s="41"/>
      <c r="AO226" s="41"/>
      <c r="AQ226" s="139"/>
      <c r="AR226" s="139">
        <f>AT5*AQ226+AT6*AQ226+AT7*AQ226+AT8*AQ226+AT9*AQ226+AT10*AQ226+AT11*AQ226+AT12*AQ226+AT13*AQ226+AT14*AQ226+AT15*AQ226+AT16*AQ226+AT17*AQ226+AT18*AQ226+AT19*AQ226+AT20*AQ226+AT21*AQ226+AT22*AQ226+AT23*AQ226+AT24*AQ226+AT25*AQ226+AT26*AQ226</f>
        <v>0</v>
      </c>
      <c r="AS226" s="41"/>
      <c r="AT226" s="41"/>
      <c r="AV226" s="139"/>
      <c r="AW226" s="139"/>
      <c r="AX226" s="139"/>
      <c r="AY226" s="140"/>
      <c r="BA226" s="139"/>
      <c r="BB226" s="139"/>
      <c r="BC226" s="139"/>
      <c r="BD226" s="41"/>
      <c r="BF226" s="40"/>
      <c r="BG226" s="40"/>
      <c r="BH226" s="40"/>
      <c r="BI226" s="41"/>
      <c r="BK226" s="139"/>
      <c r="BL226" s="139"/>
      <c r="BM226" s="40"/>
      <c r="BN226" s="41"/>
      <c r="BP226" s="40">
        <v>6</v>
      </c>
      <c r="BQ226" s="40">
        <f>IF(SUM($ER$5:$ER$15)&lt;750,0,SUM(BQ5:BQ26)*BP223)</f>
        <v>0</v>
      </c>
      <c r="BR226" s="40"/>
      <c r="BS226" s="41"/>
      <c r="BU226" s="40">
        <v>6</v>
      </c>
      <c r="BV226" s="40">
        <f>IF(SUM($ER$5:$ER$15)&lt;750,0,SUM(BV5:BV26)*BU223)</f>
        <v>0</v>
      </c>
      <c r="BW226" s="5"/>
      <c r="BX226" s="5"/>
      <c r="CA226" s="6">
        <f>CC5*BZ226+CC6*BZ226+CC7*BZ226+CC8*BZ226+CC9*BZ226+CC10*BZ226+CC11*BZ226+CC12*BZ226+CC13*BZ226+CC14*BZ226+CC15*BZ226+CC16*BZ226+CC17*BZ226+CC18*BZ226+CC19*BZ226+CC20*BZ226+CC21*BZ226+CC22*BZ226+CC23*BZ226+CC24*BZ226+CC25*BZ226+CC26*BZ226</f>
        <v>0</v>
      </c>
      <c r="CB226" s="5"/>
      <c r="CC226" s="5"/>
      <c r="CE226" s="40">
        <v>6</v>
      </c>
      <c r="CF226" s="40">
        <f>IF(SUM($ER$5:$ER$15)&lt;750,0,SUM(CF5:CF26)*CE223)</f>
        <v>0</v>
      </c>
      <c r="CG226" s="5"/>
      <c r="CH226" s="5"/>
      <c r="CK226" s="6">
        <f>CM5*CJ226+CM6*CJ226+CM7*CJ226+CM8*CJ226+CM9*CJ226+CM10*CJ226+CM11*CJ226+CM12*CJ226+CM13*CJ226+CM14*CJ226+CM15*CJ226+CM16*CJ226+CM17*CJ226+CM18*CJ226+CM19*CJ226+CM20*CJ226+CM21*CJ226+CM22*CJ226+CM23*CJ226+CM24*CJ226+CM25*CJ226+CM26*CJ226</f>
        <v>0</v>
      </c>
      <c r="CP226" s="6">
        <f>CR5*CO226+CR6*CO226+CR7*CO226+CR8*CO226+CR9*CO226+CR10*CO226+CR11*CO226+CR12*CO226+CR13*CO226+CR14*CO226+CR15*CO226+CR16*CO226+CR17*CO226+CR18*CO226+CR19*CO226+CR20*CO226+CR21*CO226+CR22*CO226+CR23*CO226+CR24*CO226+CR25*CO226+CR26*CO226</f>
        <v>0</v>
      </c>
      <c r="CQ226" s="5"/>
      <c r="CR226" s="5"/>
      <c r="CT226" s="40">
        <v>6</v>
      </c>
      <c r="CU226" s="40">
        <f>IF(SUM($ER$5:$ER$15)&lt;750,0,SUM(CU5:CU26)*CT223)</f>
        <v>0</v>
      </c>
      <c r="CV226" s="5"/>
      <c r="CW226" s="5"/>
      <c r="CY226" s="40">
        <v>6</v>
      </c>
      <c r="CZ226" s="40">
        <f>IF(SUM($ER$5:$ER$15)&lt;750,0,SUM(CZ5:CZ26)*CY223)</f>
        <v>0</v>
      </c>
      <c r="DA226" s="5"/>
      <c r="DB226" s="5"/>
      <c r="DD226" s="5">
        <v>6</v>
      </c>
      <c r="DE226" s="5">
        <f>SUM(DE5:DE26)*DD226</f>
        <v>0</v>
      </c>
      <c r="DF226" s="5"/>
      <c r="DG226" s="5"/>
      <c r="DI226" s="5"/>
      <c r="DJ226" s="5"/>
      <c r="DK226" s="5"/>
      <c r="DL226" s="5"/>
      <c r="DN226" s="5"/>
      <c r="DO226" s="5"/>
      <c r="DP226" s="5"/>
      <c r="DQ226" s="5"/>
      <c r="DS226" s="5"/>
      <c r="DT226" s="5"/>
      <c r="DU226" s="5"/>
      <c r="DV226" s="5"/>
      <c r="DX226" s="5"/>
      <c r="DY226" s="5"/>
      <c r="DZ226" s="5"/>
      <c r="EA226" s="5"/>
      <c r="EC226" s="6">
        <v>3</v>
      </c>
      <c r="ED226" s="6">
        <f>EF5*EC226+EF6*EC226+EF7*EC226+EF8*EC226+EF9*EC226+EF10*EC226+EF11*EC226+EF12*EC226+EF13*EC226+EF14*EC226+EF15*EC226+EF16*EC226+EF17*EC226+EF18*EC226+EF19*EC226+EF20*EC226+EF21*EC226+EF22*EC226+EF23*EC226+EF24*EC226+EF25*EC226+EF26*EC226</f>
        <v>0</v>
      </c>
      <c r="EE226" s="5"/>
      <c r="EF226" s="5"/>
      <c r="EH226" s="6">
        <v>3</v>
      </c>
      <c r="EI226" s="6">
        <f>EK5*EH226+EK6*EH226+EK7*EH226+EK8*EH226+EK9*EH226+EK10*EH226+EK11*EH226+EK12*EH226+EK13*EH226+EK14*EH226+EK15*EH226+EK16*EH226+EK17*EH226+EK18*EH226+EK19*EH226+EK20*EH226+EK21*EH226+EK22*EH226+EK23*EH226+EK24*EH226+EK25*EH226+EK26*EH226</f>
        <v>0</v>
      </c>
      <c r="EJ226" s="5"/>
      <c r="EK226" s="5"/>
      <c r="EX226" s="659">
        <f t="shared" si="1"/>
        <v>0</v>
      </c>
    </row>
    <row r="227" spans="1:154" s="6" customFormat="1" ht="15" customHeight="1">
      <c r="A227" s="56" t="s">
        <v>214</v>
      </c>
      <c r="B227" s="210" t="s">
        <v>214</v>
      </c>
      <c r="C227" s="473" t="s">
        <v>515</v>
      </c>
      <c r="D227" s="138"/>
      <c r="E227" s="5"/>
      <c r="F227" s="5"/>
      <c r="G227" s="5"/>
      <c r="H227" s="5"/>
      <c r="I227" s="4"/>
      <c r="J227" s="4"/>
      <c r="K227" s="4"/>
      <c r="L227" s="4"/>
      <c r="M227" s="5">
        <v>3</v>
      </c>
      <c r="N227" s="658">
        <f>SUM(O5:O26)*M227</f>
        <v>0</v>
      </c>
      <c r="O227" s="4"/>
      <c r="P227" s="4"/>
      <c r="Q227" s="4"/>
      <c r="R227" s="5"/>
      <c r="S227" s="5"/>
      <c r="U227" s="5"/>
      <c r="W227" s="5"/>
      <c r="X227" s="5"/>
      <c r="Y227" s="5"/>
      <c r="Z227" s="5"/>
      <c r="AB227" s="5"/>
      <c r="AC227" s="5"/>
      <c r="AD227" s="5"/>
      <c r="AE227" s="5"/>
      <c r="AG227" s="5"/>
      <c r="AH227" s="5"/>
      <c r="AI227" s="5"/>
      <c r="AJ227" s="5"/>
      <c r="AL227" s="6">
        <v>3</v>
      </c>
      <c r="AM227" s="6">
        <f>AN5*AL227+AN6*AL227+AN7*AL227+AN8*AL227+AN9*AL227+AN10*AL227+AN11*AL227+AN12*AL227+AN13*AL227+AN14*AL227+AN15*AL227+AN16*AL227+AN17*AL227+AN18*AL227+AN19*AL227+AN20*AL227+AN21*AL227+AN22*AL227+AN23*AL227+AN24*AL227+AN25*AL227+AN26*AL227</f>
        <v>0</v>
      </c>
      <c r="AN227" s="5"/>
      <c r="AO227" s="5"/>
      <c r="AQ227" s="6">
        <v>3</v>
      </c>
      <c r="AR227" s="6">
        <f>AS5*AQ227+AS6*AQ227+AS7*AQ227+AS8*AQ227+AS9*AQ227+AS10*AQ227+AS11*AQ227+AS12*AQ227+AS13*AQ227+AS14*AQ227+AS15*AQ227+AS16*AQ227+AS17*AQ227+AS18*AQ227+AS19*AQ227+AS20*AQ227+AS21*AQ227+AS22*AQ227+AS23*AQ227+AS24*AQ227+AS25*AQ227+AS26*AQ227</f>
        <v>0</v>
      </c>
      <c r="AS227" s="5"/>
      <c r="AT227" s="5"/>
      <c r="BD227" s="5"/>
      <c r="BF227" s="5"/>
      <c r="BG227" s="5"/>
      <c r="BH227" s="5"/>
      <c r="BI227" s="5"/>
      <c r="BM227" s="5"/>
      <c r="BN227" s="5"/>
      <c r="BP227" s="5"/>
      <c r="BQ227" s="5"/>
      <c r="BR227" s="5"/>
      <c r="BS227" s="5"/>
      <c r="BU227" s="5"/>
      <c r="BV227" s="5"/>
      <c r="BW227" s="5"/>
      <c r="BX227" s="5"/>
      <c r="BZ227" s="6">
        <v>3</v>
      </c>
      <c r="CA227" s="6">
        <f>SUM(CB5:CB26)*BZ227</f>
        <v>0</v>
      </c>
      <c r="CB227" s="5"/>
      <c r="CC227" s="5"/>
      <c r="CG227" s="5"/>
      <c r="CH227" s="5"/>
      <c r="CJ227" s="6">
        <v>3</v>
      </c>
      <c r="CK227" s="6">
        <f>CL5*CJ227+CL6*CJ227+CL7*CJ227+CL8*CJ227+CL9*CJ227+CL10*CJ227+CL11*CJ227+CL12*CJ227+CL13*CJ227+CL14*CJ227+CL15*CJ227+CL16*CJ227+CL17*CJ227+CL18*CJ227+CL19*CJ227+CL20*CJ227+CL21*CJ227+CL22*CJ227+CL23*CJ227+CL24*CJ227+CL25*CJ227+CL26*CJ227</f>
        <v>0</v>
      </c>
      <c r="CO227" s="6">
        <v>3</v>
      </c>
      <c r="CP227" s="6">
        <f>CQ5*CO227+CQ6*CO227+CQ7*CO227+CQ8*CO227+CQ9*CO227+CQ10*CO227+CQ11*CO227+CQ12*CO227+CQ13*CO227+CQ14*CO227+CQ15*CO227+CQ16*CO227+CQ17*CO227+CQ18*CO227+CQ19*CO227+CQ20*CO227+CQ21*CO227+CQ22*CO227+CQ23*CO227+CQ24*CO227+CQ25*CO227+CQ26*CO227</f>
        <v>0</v>
      </c>
      <c r="CQ227" s="5"/>
      <c r="CR227" s="5"/>
      <c r="CT227" s="5"/>
      <c r="CU227" s="5"/>
      <c r="CV227" s="5"/>
      <c r="CW227" s="5"/>
      <c r="CY227" s="5"/>
      <c r="CZ227" s="5"/>
      <c r="DA227" s="5"/>
      <c r="DB227" s="5"/>
      <c r="DD227" s="5"/>
      <c r="DE227" s="5"/>
      <c r="DF227" s="5"/>
      <c r="DG227" s="5"/>
      <c r="DI227" s="5"/>
      <c r="DJ227" s="5"/>
      <c r="DK227" s="5"/>
      <c r="DL227" s="5"/>
      <c r="DN227" s="5"/>
      <c r="DO227" s="5"/>
      <c r="DP227" s="5"/>
      <c r="DQ227" s="5"/>
      <c r="DS227" s="5"/>
      <c r="DT227" s="5"/>
      <c r="DU227" s="5"/>
      <c r="DV227" s="5"/>
      <c r="DX227" s="5"/>
      <c r="DY227" s="5"/>
      <c r="DZ227" s="5"/>
      <c r="EA227" s="5"/>
      <c r="EC227" s="6">
        <v>3</v>
      </c>
      <c r="ED227" s="6">
        <f>EE5*EC227+EE6*EC227+EE7*EC227+EE8*EC227+EE9*EC227+EE10*EC227+EE11*EC227+EE12*EC227+EE13*EC227+EE14*EC227+EE15*EC227+EE16*EC227+EE17*EC227+EE18*EC227+EE19*EC227+EE20*EC227+EE21*EC227+EE22*EC227+EE23*EC227+EE24*EC227+EE25*EC227+EE26*EC227</f>
        <v>0</v>
      </c>
      <c r="EE227" s="5"/>
      <c r="EF227" s="5"/>
      <c r="EH227" s="6">
        <v>3</v>
      </c>
      <c r="EI227" s="6">
        <f>EJ5*EH227+EJ6*EH227+EJ7*EH227+EJ8*EH227+EJ9*EH227+EJ10*EH227+EJ11*EH227+EJ12*EH227+EJ13*EH227+EJ14*EH227+EJ15*EH227+EJ16*EH227+EJ17*EH227+EJ18*EH227+EJ19*EH227+EJ20*EH227+EJ21*EH227+EJ22*EH227+EJ23*EH227+EJ24*EH227+EJ25*EH227+EJ26*EH227</f>
        <v>0</v>
      </c>
      <c r="EJ227" s="5"/>
      <c r="EK227" s="5"/>
      <c r="EN227" s="6">
        <f>IF(SUM(ET6,EV6)&gt;0,0,SUM(ET7,EV7)*4)</f>
        <v>0</v>
      </c>
      <c r="EX227" s="659">
        <f t="shared" si="1"/>
        <v>0</v>
      </c>
    </row>
    <row r="228" spans="1:154" s="6" customFormat="1" ht="15" customHeight="1">
      <c r="A228" s="56" t="s">
        <v>215</v>
      </c>
      <c r="B228" s="210" t="s">
        <v>458</v>
      </c>
      <c r="C228" s="473" t="s">
        <v>515</v>
      </c>
      <c r="D228" s="138"/>
      <c r="E228" s="5"/>
      <c r="F228" s="5"/>
      <c r="G228" s="5"/>
      <c r="H228" s="5"/>
      <c r="I228" s="4"/>
      <c r="J228" s="4"/>
      <c r="K228" s="4"/>
      <c r="L228" s="4"/>
      <c r="M228" s="5"/>
      <c r="N228" s="658"/>
      <c r="O228" s="4"/>
      <c r="P228" s="4"/>
      <c r="Q228" s="4"/>
      <c r="R228" s="5"/>
      <c r="S228" s="5"/>
      <c r="U228" s="5"/>
      <c r="W228" s="5"/>
      <c r="X228" s="5"/>
      <c r="Y228" s="5"/>
      <c r="Z228" s="5"/>
      <c r="AB228" s="5"/>
      <c r="AC228" s="5"/>
      <c r="AD228" s="5"/>
      <c r="AE228" s="5"/>
      <c r="AG228" s="5"/>
      <c r="AH228" s="5"/>
      <c r="AI228" s="5"/>
      <c r="AJ228" s="5"/>
      <c r="AN228" s="5"/>
      <c r="AO228" s="5"/>
      <c r="AS228" s="5"/>
      <c r="AT228" s="5"/>
      <c r="BD228" s="5"/>
      <c r="BF228" s="5"/>
      <c r="BG228" s="5"/>
      <c r="BH228" s="5"/>
      <c r="BI228" s="5"/>
      <c r="BM228" s="5"/>
      <c r="BN228" s="5"/>
      <c r="BP228" s="5"/>
      <c r="BQ228" s="5"/>
      <c r="BR228" s="5"/>
      <c r="BS228" s="5"/>
      <c r="BU228" s="5"/>
      <c r="BV228" s="5"/>
      <c r="BW228" s="5"/>
      <c r="BX228" s="5"/>
      <c r="CB228" s="5"/>
      <c r="CC228" s="5"/>
      <c r="CG228" s="5"/>
      <c r="CH228" s="5"/>
      <c r="CQ228" s="5"/>
      <c r="CR228" s="5"/>
      <c r="CT228" s="5"/>
      <c r="CU228" s="5"/>
      <c r="CV228" s="5"/>
      <c r="CW228" s="5"/>
      <c r="CY228" s="5"/>
      <c r="CZ228" s="5"/>
      <c r="DA228" s="5"/>
      <c r="DB228" s="5"/>
      <c r="DD228" s="5"/>
      <c r="DE228" s="5"/>
      <c r="DF228" s="5"/>
      <c r="DG228" s="5"/>
      <c r="DI228" s="5"/>
      <c r="DJ228" s="5"/>
      <c r="DK228" s="5"/>
      <c r="DL228" s="5"/>
      <c r="DN228" s="5"/>
      <c r="DO228" s="5"/>
      <c r="DP228" s="5"/>
      <c r="DQ228" s="5"/>
      <c r="DS228" s="5"/>
      <c r="DT228" s="5"/>
      <c r="DU228" s="5"/>
      <c r="DV228" s="5"/>
      <c r="DX228" s="5"/>
      <c r="DY228" s="5"/>
      <c r="DZ228" s="5"/>
      <c r="EA228" s="5"/>
      <c r="EE228" s="5"/>
      <c r="EF228" s="5"/>
      <c r="EJ228" s="5"/>
      <c r="EK228" s="5"/>
      <c r="EX228" s="659">
        <f t="shared" si="1"/>
        <v>0</v>
      </c>
    </row>
    <row r="229" spans="1:154" s="6" customFormat="1" ht="15" customHeight="1">
      <c r="A229" s="3" t="s">
        <v>140</v>
      </c>
      <c r="B229" s="210" t="s">
        <v>140</v>
      </c>
      <c r="C229" s="473" t="s">
        <v>515</v>
      </c>
      <c r="D229" s="138"/>
      <c r="E229" s="5"/>
      <c r="F229" s="5"/>
      <c r="G229" s="5"/>
      <c r="H229" s="5"/>
      <c r="I229" s="4"/>
      <c r="J229" s="4"/>
      <c r="K229" s="4"/>
      <c r="L229" s="4"/>
      <c r="M229" s="5">
        <v>3</v>
      </c>
      <c r="N229" s="658">
        <f>SUM(N5:N26)*M229</f>
        <v>0</v>
      </c>
      <c r="O229" s="4"/>
      <c r="P229" s="4"/>
      <c r="Q229" s="4"/>
      <c r="R229" s="5"/>
      <c r="S229" s="5"/>
      <c r="U229" s="5"/>
      <c r="W229" s="5"/>
      <c r="X229" s="5"/>
      <c r="Y229" s="5"/>
      <c r="Z229" s="5"/>
      <c r="AB229" s="5"/>
      <c r="AC229" s="5"/>
      <c r="AD229" s="5"/>
      <c r="AE229" s="5"/>
      <c r="AG229" s="5"/>
      <c r="AH229" s="5"/>
      <c r="AI229" s="5"/>
      <c r="AJ229" s="5"/>
      <c r="AL229" s="6">
        <v>3</v>
      </c>
      <c r="AM229" s="6">
        <f>AM5*AL229+AM6*AL229+AM7*AL229+AM8*AL229+AM9*AL229+AM10*AL229+AM11*AL229+AM12*AL229+AM13*AL229+AM14*AL229+AM15*AL229+AM16*AL229+AM17*AL229+AM18*AL229+AM19*AL229+AM20*AL229+AM21*AL229+AM22*AL229+AM23*AL229+AM24*AL229+AM25*AL229+AM26*AL229</f>
        <v>0</v>
      </c>
      <c r="AN229" s="5"/>
      <c r="AO229" s="5"/>
      <c r="AQ229" s="6">
        <v>3</v>
      </c>
      <c r="AR229" s="6">
        <f>AR5*AQ229+AR6*AQ229+AR7*AQ229+AR8*AQ229+AR9*AQ229+AR10*AQ229+AR11*AQ229+AR12*AQ229+AR13*AQ229+AR14*AQ229+AR15*AQ229+AR16*AQ229+AR17*AQ229+AR18*AQ229+AR19*AQ229+AR20*AQ229+AR21*AQ229+AR22*AQ229+AR23*AQ229+AR24*AQ229+AR25*AQ229+AR26*AQ229</f>
        <v>0</v>
      </c>
      <c r="AS229" s="5"/>
      <c r="AT229" s="5"/>
      <c r="BD229" s="5"/>
      <c r="BF229" s="5"/>
      <c r="BG229" s="5"/>
      <c r="BH229" s="5"/>
      <c r="BI229" s="5"/>
      <c r="BM229" s="5"/>
      <c r="BN229" s="5"/>
      <c r="BP229" s="5"/>
      <c r="BQ229" s="5"/>
      <c r="BR229" s="5"/>
      <c r="BS229" s="5"/>
      <c r="BU229" s="5"/>
      <c r="BV229" s="5"/>
      <c r="BW229" s="5"/>
      <c r="BX229" s="5"/>
      <c r="BZ229" s="6">
        <v>3</v>
      </c>
      <c r="CA229" s="6">
        <f>SUM(CA5:CA26)*BZ229</f>
        <v>0</v>
      </c>
      <c r="CB229" s="5"/>
      <c r="CC229" s="5"/>
      <c r="CG229" s="5"/>
      <c r="CH229" s="5"/>
      <c r="CJ229" s="6">
        <v>3</v>
      </c>
      <c r="CK229" s="6">
        <f>CK5*CJ229+CK6*CJ229+CK7*CJ229+CK8*CJ229+CK9*CJ229+CK10*CJ229+CK11*CJ229+CK12*CJ229+CK13*CJ229+CK14*CJ229+CK15*CJ229+CK16*CJ229+CK17*CJ229+CK18*CJ229+CK19*CJ229+CK20*CJ229+CK21*CJ229+CK22*CJ229+CK23*CJ229+CK24*CJ229+CK25*CJ229+CK26*CJ229</f>
        <v>0</v>
      </c>
      <c r="CO229" s="6">
        <v>3</v>
      </c>
      <c r="CP229" s="6">
        <f>CP5*CO229+CP6*CO229+CP7*CO229+CP8*CO229+CP9*CO229+CP10*CO229+CP11*CO229+CP12*CO229+CP13*CO229+CP14*CO229+CP15*CO229+CP16*CO229+CP17*CO229+CP18*CO229+CP19*CO229+CP20*CO229+CP21*CO229+CP22*CO229+CP23*CO229+CP24*CO229+CP25*CO229+CP26*CO229</f>
        <v>0</v>
      </c>
      <c r="CQ229" s="5"/>
      <c r="CR229" s="5"/>
      <c r="CT229" s="5"/>
      <c r="CU229" s="5"/>
      <c r="CV229" s="5"/>
      <c r="CW229" s="5"/>
      <c r="CY229" s="5"/>
      <c r="CZ229" s="5"/>
      <c r="DA229" s="5"/>
      <c r="DB229" s="5"/>
      <c r="DD229" s="5"/>
      <c r="DE229" s="5"/>
      <c r="DF229" s="5"/>
      <c r="DG229" s="5"/>
      <c r="DI229" s="5"/>
      <c r="DJ229" s="5"/>
      <c r="DK229" s="5"/>
      <c r="DL229" s="5"/>
      <c r="DN229" s="5"/>
      <c r="DO229" s="5"/>
      <c r="DP229" s="5"/>
      <c r="DQ229" s="5"/>
      <c r="DS229" s="5"/>
      <c r="DT229" s="5"/>
      <c r="DU229" s="5"/>
      <c r="DV229" s="5"/>
      <c r="DX229" s="5"/>
      <c r="DY229" s="5"/>
      <c r="DZ229" s="5"/>
      <c r="EA229" s="5"/>
      <c r="EC229" s="6">
        <v>3</v>
      </c>
      <c r="ED229" s="6">
        <f>ED5*EC229+ED6*EC229+ED7*EC229+ED8*EC229+ED9*EC229+ED10*EC229+ED11*EC229+ED12*EC229+ED13*EC229+ED14*EC229+ED15*EC229+ED16*EC229+ED17*EC229+ED18*EC229+ED19*EC229+ED20*EC229+ED21*EC229+ED22*EC229+ED23*EC229+ED24*EC229+ED25*EC229+ED26*EC229</f>
        <v>0</v>
      </c>
      <c r="EE229" s="5"/>
      <c r="EF229" s="5"/>
      <c r="EH229" s="6">
        <v>3</v>
      </c>
      <c r="EI229" s="6">
        <f>EI5*EH229+EI6*EH229+EI7*EH229+EI8*EH229+EI9*EH229+EI10*EH229+EI11*EH229+EI12*EH229+EI13*EH229+EI14*EH229+EI15*EH229+EI16*EH229+EI17*EH229+EI18*EH229+EI19*EH229+EI20*EH229+EI21*EH229+EI22*EH229+EI23*EH229+EI24*EH229+EI25*EH229+EI26*EH229</f>
        <v>0</v>
      </c>
      <c r="EJ229" s="5"/>
      <c r="EK229" s="5"/>
      <c r="EX229" s="659">
        <f t="shared" si="1"/>
        <v>0</v>
      </c>
    </row>
    <row r="230" spans="1:154" s="6" customFormat="1" ht="15" customHeight="1">
      <c r="A230" s="56" t="s">
        <v>216</v>
      </c>
      <c r="B230" s="210" t="s">
        <v>216</v>
      </c>
      <c r="C230" s="473" t="s">
        <v>515</v>
      </c>
      <c r="D230" s="138"/>
      <c r="E230" s="5"/>
      <c r="F230" s="5"/>
      <c r="G230" s="5"/>
      <c r="H230" s="5"/>
      <c r="I230" s="4"/>
      <c r="J230" s="4"/>
      <c r="K230" s="4"/>
      <c r="L230" s="4"/>
      <c r="M230" s="5"/>
      <c r="N230" s="658"/>
      <c r="O230" s="4"/>
      <c r="P230" s="4"/>
      <c r="Q230" s="4"/>
      <c r="R230" s="5"/>
      <c r="S230" s="5"/>
      <c r="U230" s="5"/>
      <c r="W230" s="5"/>
      <c r="X230" s="5"/>
      <c r="Y230" s="5"/>
      <c r="Z230" s="5"/>
      <c r="AB230" s="5"/>
      <c r="AC230" s="5"/>
      <c r="AD230" s="5"/>
      <c r="AE230" s="5"/>
      <c r="AG230" s="5"/>
      <c r="AH230" s="5"/>
      <c r="AI230" s="5"/>
      <c r="AJ230" s="5"/>
      <c r="AN230" s="5"/>
      <c r="AO230" s="5"/>
      <c r="AS230" s="5"/>
      <c r="AT230" s="5"/>
      <c r="BD230" s="5"/>
      <c r="BF230" s="5"/>
      <c r="BG230" s="5"/>
      <c r="BH230" s="5"/>
      <c r="BI230" s="5"/>
      <c r="BM230" s="5"/>
      <c r="BN230" s="5"/>
      <c r="BP230" s="5"/>
      <c r="BQ230" s="5"/>
      <c r="BR230" s="5"/>
      <c r="BS230" s="5"/>
      <c r="BU230" s="5"/>
      <c r="BV230" s="5"/>
      <c r="BW230" s="5"/>
      <c r="BX230" s="5"/>
      <c r="CB230" s="5"/>
      <c r="CC230" s="5"/>
      <c r="CG230" s="5"/>
      <c r="CH230" s="5"/>
      <c r="CQ230" s="5"/>
      <c r="CR230" s="5"/>
      <c r="CT230" s="5"/>
      <c r="CU230" s="5"/>
      <c r="CV230" s="5"/>
      <c r="CW230" s="5"/>
      <c r="CY230" s="5"/>
      <c r="CZ230" s="5"/>
      <c r="DA230" s="5"/>
      <c r="DB230" s="5"/>
      <c r="DD230" s="5"/>
      <c r="DE230" s="5"/>
      <c r="DF230" s="5"/>
      <c r="DG230" s="5"/>
      <c r="DI230" s="5"/>
      <c r="DJ230" s="5"/>
      <c r="DK230" s="5"/>
      <c r="DL230" s="5"/>
      <c r="DN230" s="5"/>
      <c r="DO230" s="5"/>
      <c r="DP230" s="5"/>
      <c r="DQ230" s="5"/>
      <c r="DS230" s="5"/>
      <c r="DT230" s="5"/>
      <c r="DU230" s="5"/>
      <c r="DV230" s="5"/>
      <c r="DX230" s="5"/>
      <c r="DY230" s="5"/>
      <c r="DZ230" s="5"/>
      <c r="EA230" s="5"/>
      <c r="EE230" s="5"/>
      <c r="EF230" s="5"/>
      <c r="EJ230" s="5"/>
      <c r="EK230" s="5"/>
      <c r="EX230" s="659">
        <f t="shared" si="1"/>
        <v>0</v>
      </c>
    </row>
    <row r="231" spans="1:154" s="6" customFormat="1" ht="15" customHeight="1">
      <c r="A231" s="56" t="s">
        <v>217</v>
      </c>
      <c r="B231" s="210" t="s">
        <v>217</v>
      </c>
      <c r="C231" s="473" t="s">
        <v>515</v>
      </c>
      <c r="D231" s="138"/>
      <c r="E231" s="5"/>
      <c r="F231" s="5">
        <f>IF(SUM($ER$5:$ER$15)&lt;=750,0,SUM(F5:F23,G5:G26,H5:H26)*E231)</f>
        <v>0</v>
      </c>
      <c r="G231" s="5"/>
      <c r="H231" s="5"/>
      <c r="I231" s="4"/>
      <c r="J231" s="4"/>
      <c r="K231" s="4"/>
      <c r="L231" s="4"/>
      <c r="M231" s="5">
        <v>3</v>
      </c>
      <c r="N231" s="658">
        <f>SUM(P5:P26)*M231</f>
        <v>0</v>
      </c>
      <c r="O231" s="4"/>
      <c r="P231" s="4"/>
      <c r="Q231" s="4"/>
      <c r="R231" s="5"/>
      <c r="S231" s="5"/>
      <c r="U231" s="5"/>
      <c r="W231" s="5"/>
      <c r="X231" s="5"/>
      <c r="Y231" s="5"/>
      <c r="Z231" s="5"/>
      <c r="AB231" s="5"/>
      <c r="AC231" s="5"/>
      <c r="AD231" s="5"/>
      <c r="AE231" s="5"/>
      <c r="AG231" s="5"/>
      <c r="AH231" s="5"/>
      <c r="AI231" s="5"/>
      <c r="AJ231" s="5"/>
      <c r="AL231" s="6">
        <v>3</v>
      </c>
      <c r="AM231" s="6">
        <f>AO5*AL231+AO6*AL231+AO7*AL231+AO8*AL231+AO9*AL231+AO10*AL231+AO11*AL231+AO12*AL231+AO13*AL231+AO14*AL231+AO15*AL231+AO16*AL231+AO17*AL231+AO18*AL231+AO19*AL231+AO20*AL231+AO21*AL231+AO22*AL231+AO23*AL231+AO24*AL231+AO25*AL231+AO26*AL231</f>
        <v>0</v>
      </c>
      <c r="AN231" s="5"/>
      <c r="AO231" s="5"/>
      <c r="AQ231" s="6">
        <v>3</v>
      </c>
      <c r="AR231" s="6">
        <f>AT5*AQ231+AT6*AQ231+AT7*AQ231+AT8*AQ231+AT9*AQ231+AT10*AQ231+AT11*AQ231+AT12*AQ231+AT13*AQ231+AT14*AQ231+AT15*AQ231+AT16*AQ231+AT17*AQ231+AT18*AQ231+AT19*AQ231+AT20*AQ231+AT21*AQ231+AT22*AQ231+AT23*AQ231+AT24*AQ231+AT25*AQ231+AT26*AQ231</f>
        <v>0</v>
      </c>
      <c r="AS231" s="5"/>
      <c r="AT231" s="5"/>
      <c r="BD231" s="5"/>
      <c r="BF231" s="5"/>
      <c r="BG231" s="5"/>
      <c r="BH231" s="5"/>
      <c r="BI231" s="5"/>
      <c r="BM231" s="5"/>
      <c r="BN231" s="5"/>
      <c r="BP231" s="5"/>
      <c r="BQ231" s="5"/>
      <c r="BR231" s="5"/>
      <c r="BS231" s="5"/>
      <c r="BU231" s="5"/>
      <c r="BV231" s="5"/>
      <c r="BW231" s="5"/>
      <c r="BX231" s="5"/>
      <c r="BZ231" s="6">
        <v>3</v>
      </c>
      <c r="CA231" s="6">
        <f>SUM(CC5:CC26)*BZ231</f>
        <v>0</v>
      </c>
      <c r="CB231" s="5"/>
      <c r="CC231" s="5"/>
      <c r="CG231" s="5"/>
      <c r="CH231" s="5"/>
      <c r="CJ231" s="6">
        <v>3</v>
      </c>
      <c r="CK231" s="6">
        <f>CM5*CJ231+CM6*CJ231+CM7*CJ231+CM8*CJ231+CM9*CJ231+CM10*CJ231+CM11*CJ231+CM12*CJ231+CM13*CJ231+CM14*CJ231+CM15*CJ231+CM16*CJ231+CM17*CJ231+CM18*CJ231+CM19*CJ231+CM20*CJ231+CM21*CJ231+CM22*CJ231+CM23*CJ231+CM24*CJ231+CM25*CJ231+CM26*CJ231</f>
        <v>0</v>
      </c>
      <c r="CO231" s="6">
        <v>3</v>
      </c>
      <c r="CP231" s="6">
        <f>CR5*CO231+CR6*CO231+CR7*CO231+CR8*CO231+CR9*CO231+CR10*CO231+CR11*CO231+CR12*CO231+CR13*CO231+CR14*CO231+CR15*CO231+CR16*CO231+CR17*CO231+CR18*CO231+CR19*CO231+CR20*CO231+CR21*CO231+CR22*CO231+CR23*CO231+CR24*CO231+CR25*CO231+CR26*CO231</f>
        <v>0</v>
      </c>
      <c r="CQ231" s="5"/>
      <c r="CR231" s="5"/>
      <c r="CT231" s="5"/>
      <c r="CU231" s="5"/>
      <c r="CV231" s="5"/>
      <c r="CW231" s="5"/>
      <c r="CY231" s="5"/>
      <c r="CZ231" s="5"/>
      <c r="DA231" s="5"/>
      <c r="DB231" s="5"/>
      <c r="DD231" s="5"/>
      <c r="DE231" s="5"/>
      <c r="DF231" s="5"/>
      <c r="DG231" s="5"/>
      <c r="DI231" s="5"/>
      <c r="DJ231" s="5"/>
      <c r="DK231" s="5"/>
      <c r="DL231" s="5"/>
      <c r="DN231" s="5"/>
      <c r="DO231" s="5"/>
      <c r="DP231" s="5"/>
      <c r="DQ231" s="5"/>
      <c r="DS231" s="5"/>
      <c r="DT231" s="5"/>
      <c r="DU231" s="5"/>
      <c r="DV231" s="5"/>
      <c r="DX231" s="5"/>
      <c r="DY231" s="5"/>
      <c r="DZ231" s="5"/>
      <c r="EA231" s="5"/>
      <c r="ED231" s="6">
        <f>EF5*EC231+EF6*EC231+EF7*EC231+EF8*EC231+EF9*EC231+EF10*EC231+EF11*EC231+EF12*EC231+EF13*EC231+EF14*EC231+EF15*EC231+EF16*EC231+EF17*EC231+EF18*EC231+EF19*EC231+EF20*EC231+EF21*EC231+EF22*EC231+EF23*EC231+EF24*EC231+EF25*EC231+EF26*EC231</f>
        <v>0</v>
      </c>
      <c r="EE231" s="5"/>
      <c r="EF231" s="5"/>
      <c r="EI231" s="6">
        <f>EK5*EH231+EK6*EH231+EK7*EH231+EK8*EH231+EK9*EH231+EK10*EH231+EK11*EH231+EK12*EH231+EK13*EH231+EK14*EH231+EK15*EH231+EK16*EH231+EK17*EH231+EK18*EH231+EK19*EH231+EK20*EH231+EK21*EH231+EK22*EH231+EK23*EH231+EK24*EH231+EK25*EH231+EK26*EH231</f>
        <v>0</v>
      </c>
      <c r="EJ231" s="5"/>
      <c r="EK231" s="5"/>
      <c r="EX231" s="659">
        <f t="shared" si="1"/>
        <v>0</v>
      </c>
    </row>
    <row r="232" spans="1:154" s="6" customFormat="1" ht="15" customHeight="1">
      <c r="A232" s="150"/>
      <c r="B232" s="210" t="s">
        <v>1734</v>
      </c>
      <c r="C232" s="473" t="s">
        <v>0</v>
      </c>
      <c r="D232" s="138"/>
      <c r="E232" s="40">
        <v>6</v>
      </c>
      <c r="F232" s="40">
        <f>IF(SUM($ER$5:$ER$15)&lt;=750,0,SUM(G5:G26)*E182)</f>
        <v>0</v>
      </c>
      <c r="G232" s="40"/>
      <c r="H232" s="40"/>
      <c r="I232" s="4"/>
      <c r="J232" s="4"/>
      <c r="K232" s="4"/>
      <c r="L232" s="4"/>
      <c r="M232" s="5"/>
      <c r="N232" s="658"/>
      <c r="O232" s="4"/>
      <c r="P232" s="4"/>
      <c r="Q232" s="4"/>
      <c r="R232" s="40"/>
      <c r="S232" s="41"/>
      <c r="T232" s="140"/>
      <c r="U232" s="41"/>
      <c r="W232" s="40"/>
      <c r="X232" s="41"/>
      <c r="Y232" s="41"/>
      <c r="Z232" s="41"/>
      <c r="AB232" s="40"/>
      <c r="AC232" s="41"/>
      <c r="AD232" s="41"/>
      <c r="AE232" s="41"/>
      <c r="AG232" s="40"/>
      <c r="AH232" s="41"/>
      <c r="AI232" s="41"/>
      <c r="AJ232" s="41"/>
      <c r="AL232" s="141"/>
      <c r="AM232" s="140"/>
      <c r="AN232" s="41"/>
      <c r="AO232" s="41"/>
      <c r="AQ232" s="141"/>
      <c r="AR232" s="140"/>
      <c r="AS232" s="41"/>
      <c r="AT232" s="41"/>
      <c r="AV232" s="139"/>
      <c r="AW232" s="139"/>
      <c r="AX232" s="139"/>
      <c r="AY232" s="140"/>
      <c r="BA232" s="139"/>
      <c r="BB232" s="139"/>
      <c r="BC232" s="139"/>
      <c r="BD232" s="41"/>
      <c r="BF232" s="40"/>
      <c r="BG232" s="40"/>
      <c r="BH232" s="40"/>
      <c r="BI232" s="41"/>
      <c r="BK232" s="139"/>
      <c r="BL232" s="139"/>
      <c r="BM232" s="40"/>
      <c r="BN232" s="41"/>
      <c r="BP232" s="40">
        <v>6</v>
      </c>
      <c r="BQ232" s="40">
        <f>IF(SUM($ER$5:$ER$15)&lt;750,0,SUM(BR5:BR23)*BP232)</f>
        <v>0</v>
      </c>
      <c r="BR232" s="40"/>
      <c r="BS232" s="41"/>
      <c r="BU232" s="40">
        <v>6</v>
      </c>
      <c r="BV232" s="40">
        <f>IF(SUM($ER$5:$ER$15)&lt;750,0,SUM(BW5:BW23)*BU232)</f>
        <v>0</v>
      </c>
      <c r="BW232" s="40"/>
      <c r="BX232" s="41"/>
      <c r="BZ232" s="141"/>
      <c r="CA232" s="140"/>
      <c r="CB232" s="40"/>
      <c r="CC232" s="41"/>
      <c r="CD232" s="140"/>
      <c r="CE232" s="40">
        <v>6</v>
      </c>
      <c r="CF232" s="40">
        <f>IF(SUM($ER$5:$ER$15)&lt;750,0,SUM(CG5:CG23)*CE232)</f>
        <v>0</v>
      </c>
      <c r="CG232" s="40"/>
      <c r="CH232" s="41"/>
      <c r="CJ232" s="141"/>
      <c r="CK232" s="140"/>
      <c r="CL232" s="139"/>
      <c r="CM232" s="140"/>
      <c r="CO232" s="141"/>
      <c r="CP232" s="140"/>
      <c r="CQ232" s="40"/>
      <c r="CR232" s="41"/>
      <c r="CT232" s="40">
        <v>6</v>
      </c>
      <c r="CU232" s="40">
        <f>IF(SUM($ER$5:$ER$15)&lt;750,0,SUM(CV5:CV23)*CT232)</f>
        <v>0</v>
      </c>
      <c r="CV232" s="40"/>
      <c r="CW232" s="41"/>
      <c r="CY232" s="40">
        <v>6</v>
      </c>
      <c r="CZ232" s="40">
        <f>IF(SUM($ER$5:$ER$15)&lt;750,0,SUM(DA5:DA23)*CY232)</f>
        <v>0</v>
      </c>
      <c r="DA232" s="40"/>
      <c r="DB232" s="41"/>
      <c r="DD232" s="46">
        <v>6</v>
      </c>
      <c r="DE232" s="41">
        <f>SUM(DF5:DF26)*DD232</f>
        <v>0</v>
      </c>
      <c r="DF232" s="40"/>
      <c r="DG232" s="41"/>
      <c r="DI232" s="64"/>
      <c r="DJ232" s="64"/>
      <c r="DK232" s="64"/>
      <c r="DL232" s="64"/>
      <c r="DN232" s="64"/>
      <c r="DO232" s="64"/>
      <c r="DP232" s="64"/>
      <c r="DQ232" s="64"/>
      <c r="DS232" s="64"/>
      <c r="DT232" s="64"/>
      <c r="DU232" s="64"/>
      <c r="DV232" s="64"/>
      <c r="DX232" s="64"/>
      <c r="DY232" s="64"/>
      <c r="DZ232" s="64"/>
      <c r="EA232" s="64"/>
      <c r="EC232" s="141"/>
      <c r="ED232" s="140"/>
      <c r="EE232" s="64"/>
      <c r="EF232" s="64"/>
      <c r="EH232" s="141"/>
      <c r="EI232" s="140"/>
      <c r="EJ232" s="64"/>
      <c r="EK232" s="64"/>
      <c r="ER232" s="855"/>
      <c r="EX232" s="659">
        <f t="shared" si="1"/>
        <v>0</v>
      </c>
    </row>
    <row r="233" spans="1:154" s="6" customFormat="1" ht="15" customHeight="1">
      <c r="A233" s="56"/>
      <c r="B233" s="210" t="s">
        <v>1536</v>
      </c>
      <c r="C233" s="473"/>
      <c r="D233" s="138"/>
      <c r="E233" s="5"/>
      <c r="F233" s="5"/>
      <c r="G233" s="5"/>
      <c r="H233" s="5"/>
      <c r="I233" s="4"/>
      <c r="J233" s="4"/>
      <c r="K233" s="4"/>
      <c r="L233" s="4"/>
      <c r="M233" s="5"/>
      <c r="N233" s="658"/>
      <c r="O233" s="4"/>
      <c r="P233" s="4"/>
      <c r="Q233" s="4"/>
      <c r="R233" s="5"/>
      <c r="S233" s="5"/>
      <c r="U233" s="5"/>
      <c r="W233" s="5"/>
      <c r="X233" s="5"/>
      <c r="Y233" s="5"/>
      <c r="Z233" s="5"/>
      <c r="AB233" s="5"/>
      <c r="AC233" s="5"/>
      <c r="AD233" s="5"/>
      <c r="AE233" s="5"/>
      <c r="AG233" s="5"/>
      <c r="AH233" s="5"/>
      <c r="AI233" s="5"/>
      <c r="AJ233" s="5"/>
      <c r="AN233" s="5"/>
      <c r="AO233" s="5"/>
      <c r="AS233" s="5"/>
      <c r="AT233" s="5"/>
      <c r="BD233" s="5"/>
      <c r="BF233" s="5"/>
      <c r="BG233" s="5"/>
      <c r="BH233" s="5"/>
      <c r="BI233" s="5"/>
      <c r="BM233" s="5"/>
      <c r="BN233" s="5"/>
      <c r="BP233" s="5"/>
      <c r="BQ233" s="5"/>
      <c r="BR233" s="5"/>
      <c r="BS233" s="5"/>
      <c r="BU233" s="5"/>
      <c r="BV233" s="5"/>
      <c r="BW233" s="5"/>
      <c r="BX233" s="5"/>
      <c r="CB233" s="5"/>
      <c r="CC233" s="5"/>
      <c r="CG233" s="5"/>
      <c r="CH233" s="5"/>
      <c r="CQ233" s="5"/>
      <c r="CR233" s="5"/>
      <c r="CT233" s="5"/>
      <c r="CU233" s="5"/>
      <c r="CV233" s="5"/>
      <c r="CW233" s="5"/>
      <c r="CY233" s="5"/>
      <c r="CZ233" s="5"/>
      <c r="DA233" s="5"/>
      <c r="DB233" s="5"/>
      <c r="DD233" s="5"/>
      <c r="DE233" s="5"/>
      <c r="DF233" s="5"/>
      <c r="DG233" s="5"/>
      <c r="DI233" s="5"/>
      <c r="DJ233" s="5"/>
      <c r="DK233" s="5"/>
      <c r="DL233" s="5"/>
      <c r="DN233" s="5"/>
      <c r="DO233" s="5"/>
      <c r="DP233" s="5"/>
      <c r="DQ233" s="5"/>
      <c r="DS233" s="5"/>
      <c r="DT233" s="5"/>
      <c r="DU233" s="5"/>
      <c r="DV233" s="5"/>
      <c r="DX233" s="5"/>
      <c r="DY233" s="5"/>
      <c r="DZ233" s="5"/>
      <c r="EA233" s="5"/>
      <c r="EE233" s="5"/>
      <c r="EF233" s="5"/>
      <c r="EJ233" s="5"/>
      <c r="EK233" s="5"/>
      <c r="EX233" s="659">
        <f t="shared" si="1"/>
        <v>0</v>
      </c>
    </row>
    <row r="234" spans="1:154" s="6" customFormat="1" ht="15" customHeight="1">
      <c r="A234" s="3" t="s">
        <v>63</v>
      </c>
      <c r="B234" s="210" t="s">
        <v>461</v>
      </c>
      <c r="C234" s="473" t="s">
        <v>515</v>
      </c>
      <c r="D234" s="138"/>
      <c r="E234" s="5">
        <v>6</v>
      </c>
      <c r="F234" s="5">
        <f>IF(SUM($ER$5:$ER$15)&lt;=750,0,SUM(F5:F23,G5:G26,H5:H26)*E234)</f>
        <v>0</v>
      </c>
      <c r="G234" s="5"/>
      <c r="H234" s="5"/>
      <c r="I234" s="4"/>
      <c r="J234" s="4"/>
      <c r="K234" s="4"/>
      <c r="L234" s="4"/>
      <c r="M234" s="4"/>
      <c r="N234" s="4"/>
      <c r="O234" s="4"/>
      <c r="P234" s="4"/>
      <c r="Q234" s="4"/>
      <c r="R234" s="5"/>
      <c r="S234" s="5"/>
      <c r="U234" s="5"/>
      <c r="W234" s="5"/>
      <c r="X234" s="5"/>
      <c r="Y234" s="5"/>
      <c r="Z234" s="5"/>
      <c r="AB234" s="5"/>
      <c r="AC234" s="5"/>
      <c r="AD234" s="5"/>
      <c r="AE234" s="5"/>
      <c r="AG234" s="5"/>
      <c r="AH234" s="5"/>
      <c r="AI234" s="5"/>
      <c r="AJ234" s="5"/>
      <c r="AL234" s="5"/>
      <c r="AM234" s="5"/>
      <c r="AN234" s="5"/>
      <c r="AO234" s="5"/>
      <c r="AQ234" s="5"/>
      <c r="AR234" s="5"/>
      <c r="AS234" s="5"/>
      <c r="AT234" s="5"/>
      <c r="BD234" s="5"/>
      <c r="BF234" s="5"/>
      <c r="BG234" s="5"/>
      <c r="BH234" s="5"/>
      <c r="BI234" s="5"/>
      <c r="BM234" s="5"/>
      <c r="BN234" s="5"/>
      <c r="BP234" s="5">
        <v>6</v>
      </c>
      <c r="BQ234" s="5">
        <f>IF(SUM($ER$5:$ER$15)&lt;=750,0,SUM(BQ5:BQ23,BR5:BR26,BS5:BS26)*BP234)</f>
        <v>0</v>
      </c>
      <c r="BR234" s="5"/>
      <c r="BS234" s="5"/>
      <c r="BU234" s="5"/>
      <c r="BV234" s="5"/>
      <c r="BW234" s="5"/>
      <c r="BX234" s="5"/>
      <c r="BZ234" s="5"/>
      <c r="CA234" s="5"/>
      <c r="CB234" s="5"/>
      <c r="CC234" s="5"/>
      <c r="CE234" s="5">
        <v>6</v>
      </c>
      <c r="CF234" s="5">
        <f>IF(SUM($ER$5:$ER$15)&lt;=750,0,SUM(CF5:CF23,CG5:CG26,CH5:CH26)*CE234)</f>
        <v>0</v>
      </c>
      <c r="CG234" s="5"/>
      <c r="CH234" s="5"/>
      <c r="CO234" s="13"/>
      <c r="CP234" s="5"/>
      <c r="CQ234" s="5"/>
      <c r="CR234" s="5"/>
      <c r="CT234" s="5">
        <v>6</v>
      </c>
      <c r="CU234" s="5">
        <f>IF(SUM($ER$5:$ER$15)&lt;=750,0,SUM(CU5:CU23,CV5:CV26,CW5:CW26)*CT234)</f>
        <v>0</v>
      </c>
      <c r="CV234" s="5"/>
      <c r="CW234" s="5"/>
      <c r="CY234" s="5">
        <v>6</v>
      </c>
      <c r="CZ234" s="5">
        <f>IF(SUM($ER$5:$ER$15)&lt;=750,0,SUM(CZ5:CZ23,DA5:DA26,DB5:DB26)*CY234)</f>
        <v>0</v>
      </c>
      <c r="DA234" s="5"/>
      <c r="DB234" s="5"/>
      <c r="DD234" s="5">
        <v>6</v>
      </c>
      <c r="DE234" s="5">
        <f>SUM(DE5:DE26,DF5:DF26,DG5:DG26)*DD234</f>
        <v>0</v>
      </c>
      <c r="DF234" s="5"/>
      <c r="DG234" s="5"/>
      <c r="DI234" s="5"/>
      <c r="DJ234" s="5"/>
      <c r="DK234" s="5"/>
      <c r="DL234" s="5"/>
      <c r="DN234" s="5"/>
      <c r="DO234" s="5"/>
      <c r="DP234" s="5"/>
      <c r="DQ234" s="5"/>
      <c r="DS234" s="5"/>
      <c r="DT234" s="5"/>
      <c r="DU234" s="5"/>
      <c r="DV234" s="5"/>
      <c r="DX234" s="5"/>
      <c r="DY234" s="5"/>
      <c r="DZ234" s="5"/>
      <c r="EA234" s="5"/>
      <c r="EC234" s="5"/>
      <c r="ED234" s="5"/>
      <c r="EE234" s="5"/>
      <c r="EF234" s="5"/>
      <c r="EH234" s="5"/>
      <c r="EI234" s="5"/>
      <c r="EJ234" s="5"/>
      <c r="EK234" s="5"/>
      <c r="EX234" s="659">
        <f t="shared" si="1"/>
        <v>0</v>
      </c>
    </row>
    <row r="235" spans="1:154" s="6" customFormat="1" ht="15" customHeight="1">
      <c r="A235" s="3" t="s">
        <v>11</v>
      </c>
      <c r="B235" s="210" t="s">
        <v>459</v>
      </c>
      <c r="C235" s="473" t="s">
        <v>515</v>
      </c>
      <c r="D235" s="138"/>
      <c r="E235" s="5"/>
      <c r="F235" s="5"/>
      <c r="G235" s="5"/>
      <c r="H235" s="5"/>
      <c r="I235" s="4"/>
      <c r="J235" s="4"/>
      <c r="K235" s="4"/>
      <c r="L235" s="4"/>
      <c r="M235" s="4"/>
      <c r="N235" s="4"/>
      <c r="O235" s="4"/>
      <c r="P235" s="4"/>
      <c r="Q235" s="4"/>
      <c r="R235" s="5"/>
      <c r="S235" s="5"/>
      <c r="T235" s="6">
        <f>C12</f>
        <v>0</v>
      </c>
      <c r="U235" s="5"/>
      <c r="W235" s="5"/>
      <c r="X235" s="5"/>
      <c r="Y235" s="5"/>
      <c r="Z235" s="5"/>
      <c r="AB235" s="5"/>
      <c r="AC235" s="5"/>
      <c r="AD235" s="5"/>
      <c r="AE235" s="5"/>
      <c r="AG235" s="5"/>
      <c r="AH235" s="5"/>
      <c r="AI235" s="5"/>
      <c r="AJ235" s="5"/>
      <c r="AL235" s="5"/>
      <c r="AM235" s="5"/>
      <c r="AN235" s="5"/>
      <c r="AO235" s="5"/>
      <c r="AQ235" s="5"/>
      <c r="AR235" s="5"/>
      <c r="AS235" s="5"/>
      <c r="AT235" s="5"/>
      <c r="BD235" s="5"/>
      <c r="BF235" s="5"/>
      <c r="BG235" s="5"/>
      <c r="BH235" s="5"/>
      <c r="BI235" s="5"/>
      <c r="BM235" s="5"/>
      <c r="BN235" s="5"/>
      <c r="BP235" s="5"/>
      <c r="BQ235" s="5"/>
      <c r="BR235" s="5"/>
      <c r="BS235" s="5"/>
      <c r="BU235" s="5"/>
      <c r="BV235" s="5"/>
      <c r="BW235" s="5"/>
      <c r="BX235" s="5"/>
      <c r="BZ235" s="5"/>
      <c r="CA235" s="5"/>
      <c r="CB235" s="5"/>
      <c r="CC235" s="5"/>
      <c r="CE235" s="5"/>
      <c r="CF235" s="5"/>
      <c r="CG235" s="5"/>
      <c r="CH235" s="5"/>
      <c r="CO235" s="13"/>
      <c r="CP235" s="5"/>
      <c r="CQ235" s="5"/>
      <c r="CR235" s="5"/>
      <c r="CT235" s="5"/>
      <c r="CU235" s="5"/>
      <c r="CV235" s="5"/>
      <c r="CW235" s="5"/>
      <c r="CY235" s="5"/>
      <c r="CZ235" s="5"/>
      <c r="DA235" s="5"/>
      <c r="DB235" s="5"/>
      <c r="DD235" s="5"/>
      <c r="DE235" s="5"/>
      <c r="DF235" s="5"/>
      <c r="DG235" s="5"/>
      <c r="DO235" s="6">
        <f>IF(SUM(ET5:ET12,EU5:EU12,EV5:EV12,EW5:EW12)&gt;=1,SUM(EN5:EN12,EO5:EO12,EP5:EP12,EQ5:EQ12)*15,SUM(EN5:EN12,EO5:EO12,EP5:EP12,EQ5:EQ12)*7+SUM(EN295:EN308)*8)</f>
        <v>0</v>
      </c>
      <c r="DP235" s="5"/>
      <c r="DQ235" s="5"/>
      <c r="DS235" s="5" t="s">
        <v>1568</v>
      </c>
      <c r="DT235" s="5"/>
      <c r="DU235" s="5"/>
      <c r="DV235" s="5"/>
      <c r="DX235" s="5" t="s">
        <v>1568</v>
      </c>
      <c r="DY235" s="5"/>
      <c r="DZ235" s="5"/>
      <c r="EA235" s="5"/>
      <c r="EC235" s="5" t="s">
        <v>1568</v>
      </c>
      <c r="ED235" s="5"/>
      <c r="EE235" s="5"/>
      <c r="EF235" s="5"/>
      <c r="EH235" s="5" t="s">
        <v>1568</v>
      </c>
      <c r="EI235" s="5"/>
      <c r="EJ235" s="5"/>
      <c r="EK235" s="5"/>
      <c r="EX235" s="659">
        <f t="shared" si="1"/>
        <v>0</v>
      </c>
    </row>
    <row r="236" spans="1:154" s="6" customFormat="1" ht="15" customHeight="1">
      <c r="A236" s="3" t="s">
        <v>154</v>
      </c>
      <c r="B236" s="210" t="s">
        <v>154</v>
      </c>
      <c r="C236" s="473" t="s">
        <v>515</v>
      </c>
      <c r="D236" s="138"/>
      <c r="E236" s="5"/>
      <c r="F236" s="5"/>
      <c r="G236" s="5"/>
      <c r="H236" s="5"/>
      <c r="I236" s="4"/>
      <c r="J236" s="4"/>
      <c r="K236" s="4"/>
      <c r="L236" s="4"/>
      <c r="M236" s="4"/>
      <c r="N236" s="4"/>
      <c r="O236" s="4"/>
      <c r="P236" s="4"/>
      <c r="Q236" s="4"/>
      <c r="R236" s="5"/>
      <c r="S236" s="5"/>
      <c r="U236" s="5"/>
      <c r="W236" s="5"/>
      <c r="X236" s="5"/>
      <c r="Y236" s="5"/>
      <c r="Z236" s="5"/>
      <c r="AB236" s="5"/>
      <c r="AC236" s="5"/>
      <c r="AD236" s="5"/>
      <c r="AE236" s="5"/>
      <c r="AG236" s="5"/>
      <c r="AH236" s="5"/>
      <c r="AI236" s="5"/>
      <c r="AJ236" s="5"/>
      <c r="AL236" s="5"/>
      <c r="AM236" s="5"/>
      <c r="AN236" s="5"/>
      <c r="AO236" s="5"/>
      <c r="AQ236" s="5"/>
      <c r="AR236" s="5"/>
      <c r="AS236" s="5"/>
      <c r="AT236" s="5"/>
      <c r="BD236" s="5"/>
      <c r="BF236" s="5"/>
      <c r="BG236" s="5"/>
      <c r="BH236" s="5"/>
      <c r="BI236" s="5"/>
      <c r="BM236" s="5"/>
      <c r="BN236" s="5"/>
      <c r="BP236" s="5"/>
      <c r="BQ236" s="5"/>
      <c r="BR236" s="5"/>
      <c r="BS236" s="5"/>
      <c r="BU236" s="5"/>
      <c r="BV236" s="5"/>
      <c r="BW236" s="5"/>
      <c r="BX236" s="5"/>
      <c r="BZ236" s="5"/>
      <c r="CA236" s="5"/>
      <c r="CB236" s="5"/>
      <c r="CC236" s="5"/>
      <c r="CE236" s="5"/>
      <c r="CF236" s="5"/>
      <c r="CG236" s="5"/>
      <c r="CH236" s="5"/>
      <c r="CO236" s="13"/>
      <c r="CP236" s="5"/>
      <c r="CQ236" s="5"/>
      <c r="CR236" s="5"/>
      <c r="CT236" s="5"/>
      <c r="CU236" s="5"/>
      <c r="CV236" s="5"/>
      <c r="CW236" s="5"/>
      <c r="CY236" s="5"/>
      <c r="CZ236" s="5"/>
      <c r="DA236" s="5"/>
      <c r="DB236" s="5"/>
      <c r="DD236" s="5"/>
      <c r="DE236" s="5"/>
      <c r="DF236" s="5"/>
      <c r="DG236" s="5"/>
      <c r="DI236" s="5"/>
      <c r="DJ236" s="5">
        <f>DJ26*DI236+DK26*DI236+DJ5*DI236+DK5*DI236+DJ6*DI236+DK6*DI236+DJ7*DI236+DK7*DI236+DJ8*DI236+DK8*DI236+DJ9*DI236+DK9*DI236+DJ10*DI236+DK10*DI236+DJ11*DI236+DK11*DI236+DJ12*DI236+DK12*DI236+DJ13*DI236+DK13*DI236+DJ14*DI236+DK14*DI236+DJ15*DI236+DK15*DI236+DJ16*DI236+DK16*DI236+DJ17*DI236+DK17*DI236+DJ18*DI236+DK18*DI236+DJ19*DI236+DK19*DI236+DJ20*DI236+DK20*DI236+DJ21*DI236+DK21*DI236+DJ22*DI236+DK22*DI236+DJ23*DI236+DK23*DI236+DJ24*DI236+DK24*DI236+DJ25*DI236+DK25*DI236+DL26*DI236+DL5*DI236+DL6*DI236+DL7*DI236+DL8*DI236+DL9*DI236+DL10*DI236+DJ18*DI236+DL11*DI236+DL12*DI236+DL13*DI236+DL14*DI236+DL15*DI236+DL16*DI236+DL17*DI236+DL18*DI236+DL19*DI236+DL20*DI236+DL21*DI236+DL22*DI236+DL23*DI236+DL24*DI236+DL25*DI236</f>
        <v>0</v>
      </c>
      <c r="DK236" s="5"/>
      <c r="DL236" s="5"/>
      <c r="DN236" s="5"/>
      <c r="DO236" s="5">
        <f>DO26*DN236+DP26*DN236+DO5*DN236+DP5*DN236+DO6*DN236+DP6*DN236+DO7*DN236+DP7*DN236+DO8*DN236+DP8*DN236+DO9*DN236+DP9*DN236+DO10*DN236+DP10*DN236+DO11*DN236+DP11*DN236+DO12*DN236+DP12*DN236+DO13*DN236+DP13*DN236+DO14*DN236+DP14*DN236+DO15*DN236+DP15*DN236+DO16*DN236+DP16*DN236+DO17*DN236+DP17*DN236+DO18*DN236+DP18*DN236+DO19*DN236+DP19*DN236+DO20*DN236+DP20*DN236+DO21*DN236+DP21*DN236+DO22*DN236+DP22*DN236+DO23*DN236+DP23*DN236+DO24*DN236+DP24*DN236+DO25*DN236+DP25*DN236+DQ26*DN236+DQ5*DN236+DQ6*DN236+DQ7*DN236+DQ8*DN236+DQ9*DN236+DQ10*DN236+DO18*DN236+DQ11*DN236+DQ12*DN236+DQ13*DN236+DQ14*DN236+DQ15*DN236+DQ16*DN236+DQ17*DN236+DQ18*DN236+DQ19*DN236+DQ20*DN236+DQ21*DN236+DQ22*DN236+DQ23*DN236+DQ24*DN236+DQ25*DN236</f>
        <v>0</v>
      </c>
      <c r="DP236" s="5"/>
      <c r="DQ236" s="5"/>
      <c r="DS236" s="5"/>
      <c r="DT236" s="5">
        <f>DT26*DS236+DU26*DS236+DT5*DS236+DU5*DS236+DT6*DS236+DU6*DS236+DT7*DS236+DU7*DS236+DT8*DS236+DU8*DS236+DT9*DS236+DU9*DS236+DT10*DS236+DU10*DS236+DT11*DS236+DU11*DS236+DT12*DS236+DU12*DS236+DT13*DS236+DU13*DS236+DT14*DS236+DU14*DS236+DT15*DS236+DU15*DS236+DT16*DS236+DU16*DS236+DT17*DS236+DU17*DS236+DT18*DS236+DU18*DS236+DT19*DS236+DU19*DS236+DT20*DS236+DU20*DS236+DT21*DS236+DU21*DS236+DT22*DS236+DU22*DS236+DT23*DS236+DU23*DS236+DT24*DS236+DU24*DS236+DT25*DS236+DU25*DS236+DV26*DS236+DV5*DS236+DV6*DS236+DV7*DS236+DV8*DS236+DV9*DS236+DV10*DS236+DT18*DS236+DV11*DS236+DV12*DS236+DV13*DS236+DV14*DS236+DV15*DS236+DV16*DS236+DV17*DS236+DV18*DS236+DV19*DS236+DV20*DS236+DV21*DS236+DV22*DS236+DV23*DS236+DV24*DS236+DV25*DS236</f>
        <v>0</v>
      </c>
      <c r="DU236" s="5"/>
      <c r="DV236" s="5"/>
      <c r="DX236" s="5"/>
      <c r="DY236" s="5">
        <f>DY26*DX236+DZ26*DX236+DY5*DX236+DZ5*DX236+DY6*DX236+DZ6*DX236+DY7*DX236+DZ7*DX236+DY8*DX236+DZ8*DX236+DY9*DX236+DZ9*DX236+DY10*DX236+DZ10*DX236+DY11*DX236+DZ11*DX236+DY12*DX236+DZ12*DX236+DY13*DX236+DZ13*DX236+DY14*DX236+DZ14*DX236+DY15*DX236+DZ15*DX236+DY16*DX236+DZ16*DX236+DY17*DX236+DZ17*DX236+DY18*DX236+DZ18*DX236+DY19*DX236+DZ19*DX236+DY20*DX236+DZ20*DX236+DY21*DX236+DZ21*DX236+DY22*DX236+DZ22*DX236+DY23*DX236+DZ23*DX236+DY24*DX236+DZ24*DX236+DY25*DX236+DZ25*DX236+EA26*DX236+EA5*DX236+EA6*DX236+EA7*DX236+EA8*DX236+EA9*DX236+EA10*DX236+DY18*DX236+EA11*DX236+EA12*DX236+EA13*DX236+EA14*DX236+EA15*DX236+EA16*DX236+EA17*DX236+EA18*DX236+EA19*DX236+EA20*DX236+EA21*DX236+EA22*DX236+EA23*DX236+EA24*DX236+EA25*DX236</f>
        <v>0</v>
      </c>
      <c r="DZ236" s="5"/>
      <c r="EA236" s="5"/>
      <c r="EC236" s="5"/>
      <c r="ED236" s="5">
        <f>ED26*EC236+EE26*EC236+ED5*EC236+EE5*EC236+ED6*EC236+EE6*EC236+ED7*EC236+EE7*EC236+ED8*EC236+EE8*EC236+ED9*EC236+EE9*EC236+ED10*EC236+EE10*EC236+ED11*EC236+EE11*EC236+ED12*EC236+EE12*EC236+ED13*EC236+EE13*EC236+ED14*EC236+EE14*EC236+ED15*EC236+EE15*EC236+ED16*EC236+EE16*EC236+ED17*EC236+EE17*EC236+ED18*EC236+EE18*EC236+ED19*EC236+EE19*EC236+ED20*EC236+EE20*EC236+ED21*EC236+EE21*EC236+ED22*EC236+EE22*EC236+ED23*EC236+EE23*EC236+ED24*EC236+EE24*EC236+ED25*EC236+EE25*EC236+EF26*EC236+EF5*EC236+EF6*EC236+EF7*EC236+EF8*EC236+EF9*EC236+EF10*EC236+ED18*EC236+EF11*EC236+EF12*EC236+EF13*EC236+EF14*EC236+EF15*EC236+EF16*EC236+EF17*EC236+EF18*EC236+EF19*EC236+EF20*EC236+EF21*EC236+EF22*EC236+EF23*EC236+EF24*EC236+EF25*EC236</f>
        <v>0</v>
      </c>
      <c r="EE236" s="5"/>
      <c r="EF236" s="5"/>
      <c r="EH236" s="5"/>
      <c r="EI236" s="5">
        <f>EI26*EH236+EJ26*EH236+EI5*EH236+EJ5*EH236+EI6*EH236+EJ6*EH236+EI7*EH236+EJ7*EH236+EI8*EH236+EJ8*EH236+EI9*EH236+EJ9*EH236+EI10*EH236+EJ10*EH236+EI11*EH236+EJ11*EH236+EI12*EH236+EJ12*EH236+EI13*EH236+EJ13*EH236+EI14*EH236+EJ14*EH236+EI15*EH236+EJ15*EH236+EI16*EH236+EJ16*EH236+EI17*EH236+EJ17*EH236+EI18*EH236+EJ18*EH236+EI19*EH236+EJ19*EH236+EI20*EH236+EJ20*EH236+EI21*EH236+EJ21*EH236+EI22*EH236+EJ22*EH236+EI23*EH236+EJ23*EH236+EI24*EH236+EJ24*EH236+EI25*EH236+EJ25*EH236+EK26*EH236+EK5*EH236+EK6*EH236+EK7*EH236+EK8*EH236+EK9*EH236+EK10*EH236+EI18*EH236+EK11*EH236+EK12*EH236+EK13*EH236+EK14*EH236+EK15*EH236+EK16*EH236+EK17*EH236+EK18*EH236+EK19*EH236+EK20*EH236+EK21*EH236+EK22*EH236+EK23*EH236+EK24*EH236+EK25*EH236</f>
        <v>0</v>
      </c>
      <c r="EJ236" s="5"/>
      <c r="EK236" s="5"/>
      <c r="EX236" s="659">
        <f t="shared" si="1"/>
        <v>0</v>
      </c>
    </row>
    <row r="237" spans="1:154" s="6" customFormat="1" ht="15" customHeight="1">
      <c r="A237" s="3" t="s">
        <v>147</v>
      </c>
      <c r="B237" s="210" t="s">
        <v>147</v>
      </c>
      <c r="C237" s="473" t="s">
        <v>515</v>
      </c>
      <c r="D237" s="138"/>
      <c r="E237" s="5"/>
      <c r="F237" s="6">
        <f>SUM(F5:F26,G5:G26,H5:H26)*E237</f>
        <v>0</v>
      </c>
      <c r="I237" s="4"/>
      <c r="J237" s="4"/>
      <c r="K237" s="4"/>
      <c r="L237" s="4"/>
      <c r="M237" s="4"/>
      <c r="N237" s="4"/>
      <c r="O237" s="4"/>
      <c r="P237" s="4"/>
      <c r="Q237" s="4"/>
      <c r="R237" s="5"/>
      <c r="S237" s="5"/>
      <c r="U237" s="5"/>
      <c r="W237" s="5"/>
      <c r="X237" s="5"/>
      <c r="Y237" s="5"/>
      <c r="Z237" s="5"/>
      <c r="AB237" s="5"/>
      <c r="AC237" s="5"/>
      <c r="AD237" s="5"/>
      <c r="AE237" s="5"/>
      <c r="AG237" s="5"/>
      <c r="AH237" s="5"/>
      <c r="AI237" s="5"/>
      <c r="AJ237" s="5"/>
      <c r="AL237" s="5"/>
      <c r="AM237" s="5"/>
      <c r="AN237" s="5"/>
      <c r="AO237" s="5"/>
      <c r="AQ237" s="5"/>
      <c r="AR237" s="5"/>
      <c r="AS237" s="5"/>
      <c r="AT237" s="5"/>
      <c r="AV237" s="6">
        <v>1</v>
      </c>
      <c r="AW237" s="6">
        <f>AW5*AV237+AX5*AV237+AW6*AV237+AX6*AV237+AW7*AV237+AX7*AV237+AW8*AV237+AX8*AV237+AW9*AV237+AX9*AV237+AW10*AV237+AX10*AV237+AW11*AV237+AX11*AV237+AW12*AV237+AX12*AV237+AW13*AV237+AX13*AV237+AW14*AV237+AX14*AV237+AW15*AV237+AX15*AV237+AW16*AV237+AX16*AV237+AW17*AV237+AX17*AV237+AW18*AV237+AX18*AV237+AW19*AV237+AX19*AV237+AW20*AV237+AX20*AV237+AW21*AV237+AX21*AV237+AW22*AV237+AX22*AV237+AW23*AV237+AX23*AV237+AW24*AV237+AX24*AV237+AW25*AV237+AX25*AV237+AW26*AV237+AX26*AV237+AY5*AV237+AY6*AV237+AY7*AV237+AY8*AV237+AY9*AV237+AY10*AV237+AY11*AV237+AW19*AV237+AY12*AV237+AY13*AV237+AY14*AV237+AY15*AV237+AY16*AV237+AY17*AV237+AY18*AV237+AY19*AV237+AY20*AV237+AY21*AV237+AY22*AV237+AY23*AV237+AY24*AV237+AY25*AV237+AY26*AV237</f>
        <v>0</v>
      </c>
      <c r="BA237" s="6">
        <v>1</v>
      </c>
      <c r="BB237" s="6">
        <f>BB5*BA237+BC5*BA237+BB6*BA237+BC6*BA237+BB7*BA237+BC7*BA237+BB8*BA237+BC8*BA237+BB9*BA237+BC9*BA237+BB10*BA237+BC10*BA237+BB11*BA237+BC11*BA237+BB12*BA237+BC12*BA237+BB13*BA237+BC13*BA237+BB14*BA237+BC14*BA237+BB15*BA237+BC15*BA237+BB16*BA237+BC16*BA237+BB17*BA237+BC17*BA237+BB18*BA237+BC18*BA237+BB19*BA237+BC19*BA237+BB20*BA237+BC20*BA237+BB21*BA237+BC21*BA237+BB22*BA237+BC22*BA237+BB23*BA237+BC23*BA237+BB24*BA237+BC24*BA237+BB25*BA237+BC25*BA237+BB26*BA237+BC26*BA237+BD5*BA237+BD6*BA237+BD7*BA237+BD8*BA237+BD9*BA237+BD10*BA237+BD11*BA237+BB19*BA237+BD12*BA237+BD13*BA237+BD14*BA237+BD15*BA237+BD16*BA237+BD17*BA237+BD18*BA237+BD19*BA237+BD20*BA237+BD21*BA237+BD22*BA237+BD23*BA237+BD24*BA237+BD25*BA237+BD26*BA237</f>
        <v>0</v>
      </c>
      <c r="BD237" s="5"/>
      <c r="BF237" s="5">
        <v>2</v>
      </c>
      <c r="BG237" s="5">
        <f>SUM(BG5:BG26,BH5:BH26,BI5:BI26)*BF237</f>
        <v>0</v>
      </c>
      <c r="BH237" s="5"/>
      <c r="BI237" s="5"/>
      <c r="BK237" s="6">
        <v>2</v>
      </c>
      <c r="BL237" s="6">
        <f>SUM(BL5:BL26,BM5:BM26,BN5:BN26)*BK237</f>
        <v>0</v>
      </c>
      <c r="BM237" s="5"/>
      <c r="BN237" s="5"/>
      <c r="BP237" s="5">
        <v>2</v>
      </c>
      <c r="BQ237" s="6">
        <f>SUM(BQ5:BQ26,BR5:BR26,BS5:BS26)*BP237</f>
        <v>0</v>
      </c>
      <c r="BR237" s="5"/>
      <c r="BS237" s="5"/>
      <c r="BU237" s="5">
        <v>4</v>
      </c>
      <c r="BV237" s="5">
        <f>SUM(BV5:BV26,BW5:BW26,BX5:BX26)*BU237</f>
        <v>0</v>
      </c>
      <c r="BW237" s="5"/>
      <c r="BX237" s="5"/>
      <c r="BZ237" s="5">
        <v>4</v>
      </c>
      <c r="CA237" s="5">
        <f>SUM(CA5:CA26,CB5:CB26,CC5:CC26)*BZ237</f>
        <v>0</v>
      </c>
      <c r="CB237" s="5"/>
      <c r="CC237" s="5"/>
      <c r="CE237" s="5">
        <v>4</v>
      </c>
      <c r="CF237" s="5">
        <f>SUM(CF5:CF26,CG5:CG26,CH5:CH26)*CE237</f>
        <v>0</v>
      </c>
      <c r="CG237" s="5"/>
      <c r="CH237" s="5"/>
      <c r="CK237" s="6">
        <f>CK5*CJ237+CL5*CJ237+CK6*CJ237+CL6*CJ237+CK7*CJ237+CL7*CJ237+CK8*CJ237+CL8*CJ237+CK9*CJ237+CL9*CJ237+CK10*CJ237+CL10*CJ237+CK11*CJ237+CL11*CJ237+CK12*CJ237+CL12*CJ237+CK13*CJ237+CL13*CJ237+CK14*CJ237+CL14*CJ237+CK15*CJ237+CL15*CJ237+CK16*CJ237+CL16*CJ237+CK17*CJ237+CL17*CJ237+CK18*CJ237+CL18*CJ237+CK19*CJ237+CL19*CJ237+CK20*CJ237+CL20*CJ237+CK21*CJ237+CL21*CJ237+CK22*CJ237+CL22*CJ237+CK23*CJ237+CL23*CJ237+CK24*CJ237+CL24*CJ237+CK25*CJ237+CL25*CJ237+CK26*CJ237+CL26*CJ237+CM5*CJ237+CM6*CJ237+CM7*CJ237+CM8*CJ237+CM9*CJ237+CM10*CJ237+CM11*CJ237+CK19*CJ237+CM12*CJ237+CM13*CJ237+CM14*CJ237+CM15*CJ237+CM16*CJ237+CM17*CJ237+CM18*CJ237+CM19*CJ237+CM20*CJ237+CM21*CJ237+CM22*CJ237+CM23*CJ237+CM24*CJ237+CM25*CJ237+CM26*CJ237</f>
        <v>0</v>
      </c>
      <c r="CO237" s="13">
        <v>2</v>
      </c>
      <c r="CP237" s="5">
        <f>CP5*CO237+CQ5*CO237+CP6*CO237+CQ6*CO237+CP7*CO237+CQ7*CO237+CP8*CO237+CQ8*CO237+CP9*CO237+CQ9*CO237+CP10*CO237+CQ10*CO237+CP11*CO237+CQ11*CO237+CP12*CO237+CQ12*CO237+CP13*CO237+CQ13*CO237+CP14*CO237+CQ14*CO237+CP15*CO237+CQ15*CO237+CP16*CO237+CQ16*CO237+CP17*CO237+CQ17*CO237+CP18*CO237+CQ18*CO237+CP19*CO237+CQ19*CO237+CP20*CO237+CQ20*CO237+CP21*CO237+CQ21*CO237+CP22*CO237+CQ22*CO237+CP23*CO237+CQ23*CO237+CP24*CO237+CQ24*CO237+CP25*CO237+CQ25*CO237+CP26*CO237+CQ26*CO237+CR5*CO237+CR6*CO237+CR7*CO237+CR8*CO237+CR9*CO237+CR10*CO237+CR11*CO237+CP19*CO237+CR12*CO237+CR13*CO237+CR14*CO237+CR15*CO237+CR16*CO237+CR17*CO237+CR18*CO237+CR19*CO237+CR20*CO237+CR21*CO237+CR22*CO237+CR23*CO237+CR24*CO237+CR25*CO237+CR26*CO237</f>
        <v>0</v>
      </c>
      <c r="CQ237" s="5"/>
      <c r="CR237" s="5"/>
      <c r="CT237" s="5">
        <v>3</v>
      </c>
      <c r="CU237" s="5">
        <f>SUM(CU5:CU26,CV5:CV26,CW5:CW26)*CT237</f>
        <v>0</v>
      </c>
      <c r="CV237" s="5"/>
      <c r="CW237" s="5"/>
      <c r="CY237" s="5">
        <v>4</v>
      </c>
      <c r="CZ237" s="5">
        <f>SUM(CZ5:CZ26,DA5:DA26,DB5:DB26)*CY237</f>
        <v>0</v>
      </c>
      <c r="DA237" s="5"/>
      <c r="DB237" s="5"/>
      <c r="DD237" s="5">
        <v>2</v>
      </c>
      <c r="DE237" s="5">
        <f>SUM(DE5:DE26,DF5:DF26,DG5:DG26)*DD237</f>
        <v>0</v>
      </c>
      <c r="DF237" s="5"/>
      <c r="DG237" s="5"/>
      <c r="DI237" s="5">
        <v>2</v>
      </c>
      <c r="DJ237" s="5">
        <f>SUM(DJ5:DJ26,DK5:DK26,DL5:DL26)*DI237</f>
        <v>0</v>
      </c>
      <c r="DK237" s="5"/>
      <c r="DL237" s="5"/>
      <c r="DN237" s="5">
        <v>2</v>
      </c>
      <c r="DO237" s="5">
        <f>SUM(DO5:DO26,DP5:DP26,DQ5:DQ26)*DN237</f>
        <v>0</v>
      </c>
      <c r="DP237" s="5"/>
      <c r="DQ237" s="5"/>
      <c r="DS237" s="5">
        <v>3</v>
      </c>
      <c r="DT237" s="5">
        <f>SUM(DT5:DT26,DU5:DU26,DV5:DV26)*DS237</f>
        <v>0</v>
      </c>
      <c r="DU237" s="5"/>
      <c r="DV237" s="5"/>
      <c r="DX237" s="5">
        <v>3</v>
      </c>
      <c r="DY237" s="5">
        <f>DY5*DX237+DZ5*DX237+DY6*DX237+DZ6*DX237+DY7*DX237+DZ7*DX237+DY8*DX237+DZ8*DX237+DY9*DX237+DZ9*DX237+DY10*DX237+DZ10*DX237+DY11*DX237+DZ11*DX237+DY12*DX237+DZ12*DX237+DY13*DX237+DZ13*DX237+DY14*DX237+DZ14*DX237+DY15*DX237+DZ15*DX237+DY16*DX237+DZ16*DX237+DY17*DX237+DZ17*DX237+DY18*DX237+DZ18*DX237+DY19*DX237+DZ19*DX237+DY20*DX237+DZ20*DX237+DY21*DX237+DZ21*DX237+DY22*DX237+DZ22*DX237+DY23*DX237+DZ23*DX237+DY24*DX237+DZ24*DX237+DY25*DX237+DZ25*DX237+DY26*DX237+DZ26*DX237+EA5*DX237+EA6*DX237+EA7*DX237+EA8*DX237+EA9*DX237+EA10*DX237+EA11*DX237+DY19*DX237+EA12*DX237+EA13*DX237+EA14*DX237+EA15*DX237+EA16*DX237+EA17*DX237+EA18*DX237+EA19*DX237+EA20*DX237+EA21*DX237+EA22*DX237+EA23*DX237+EA24*DX237+EA25*DX237+EA26*DX237</f>
        <v>0</v>
      </c>
      <c r="DZ237" s="5"/>
      <c r="EA237" s="5"/>
      <c r="EC237" s="5">
        <v>3</v>
      </c>
      <c r="ED237" s="5">
        <f>ED5*EC237+EE5*EC237+ED6*EC237+EE6*EC237+ED7*EC237+EE7*EC237+ED8*EC237+EE8*EC237+ED9*EC237+EE9*EC237+ED10*EC237+EE10*EC237+ED11*EC237+EE11*EC237+ED12*EC237+EE12*EC237+ED13*EC237+EE13*EC237+ED14*EC237+EE14*EC237+ED15*EC237+EE15*EC237+ED16*EC237+EE16*EC237+ED17*EC237+EE17*EC237+ED18*EC237+EE18*EC237+ED19*EC237+EE19*EC237+ED20*EC237+EE20*EC237+ED21*EC237+EE21*EC237+ED22*EC237+EE22*EC237+ED23*EC237+EE23*EC237+ED24*EC237+EE24*EC237+ED25*EC237+EE25*EC237+ED26*EC237+EE26*EC237+EF5*EC237+EF6*EC237+EF7*EC237+EF8*EC237+EF9*EC237+EF10*EC237+EF11*EC237+ED19*EC237+EF12*EC237+EF13*EC237+EF14*EC237+EF15*EC237+EF16*EC237+EF17*EC237+EF18*EC237+EF19*EC237+EF20*EC237+EF21*EC237+EF22*EC237+EF23*EC237+EF24*EC237+EF25*EC237+EF26*EC237</f>
        <v>0</v>
      </c>
      <c r="EE237" s="5"/>
      <c r="EF237" s="5"/>
      <c r="EH237" s="5">
        <v>3</v>
      </c>
      <c r="EI237" s="5">
        <f>EI5*EH237+EJ5*EH237+EI6*EH237+EJ6*EH237+EI7*EH237+EJ7*EH237+EI8*EH237+EJ8*EH237+EI9*EH237+EJ9*EH237+EI10*EH237+EJ10*EH237+EI11*EH237+EJ11*EH237+EI12*EH237+EJ12*EH237+EI13*EH237+EJ13*EH237+EI14*EH237+EJ14*EH237+EI15*EH237+EJ15*EH237+EI16*EH237+EJ16*EH237+EI17*EH237+EJ17*EH237+EI18*EH237+EJ18*EH237+EI19*EH237+EJ19*EH237+EI20*EH237+EJ20*EH237+EI21*EH237+EJ21*EH237+EI22*EH237+EJ22*EH237+EI23*EH237+EJ23*EH237+EI24*EH237+EJ24*EH237+EI25*EH237+EJ25*EH237+EI26*EH237+EJ26*EH237+EK5*EH237+EK6*EH237+EK7*EH237+EK8*EH237+EK9*EH237+EK10*EH237+EK11*EH237+EI19*EH237+EK12*EH237+EK13*EH237+EK14*EH237+EK15*EH237+EK16*EH237+EK17*EH237+EK18*EH237+EK19*EH237+EK20*EH237+EK21*EH237+EK22*EH237+EK23*EH237+EK24*EH237+EK25*EH237+EK26*EH237</f>
        <v>0</v>
      </c>
      <c r="EJ237" s="5"/>
      <c r="EK237" s="5"/>
      <c r="EX237" s="659">
        <f t="shared" si="1"/>
        <v>0</v>
      </c>
    </row>
    <row r="238" spans="1:154" s="6" customFormat="1" ht="15" customHeight="1">
      <c r="A238" s="3"/>
      <c r="B238" s="210" t="s">
        <v>1509</v>
      </c>
      <c r="C238" s="473" t="s">
        <v>0</v>
      </c>
      <c r="D238" s="138"/>
      <c r="E238" s="5"/>
      <c r="I238" s="4"/>
      <c r="J238" s="4"/>
      <c r="K238" s="4"/>
      <c r="L238" s="4"/>
      <c r="M238" s="4"/>
      <c r="N238" s="4"/>
      <c r="O238" s="4"/>
      <c r="P238" s="4"/>
      <c r="Q238" s="4"/>
      <c r="R238" s="5"/>
      <c r="S238" s="5"/>
      <c r="U238" s="5"/>
      <c r="W238" s="5"/>
      <c r="X238" s="5"/>
      <c r="Y238" s="5"/>
      <c r="Z238" s="5"/>
      <c r="AB238" s="5"/>
      <c r="AC238" s="5"/>
      <c r="AD238" s="5"/>
      <c r="AE238" s="5"/>
      <c r="AG238" s="5"/>
      <c r="AH238" s="5"/>
      <c r="AI238" s="5"/>
      <c r="AJ238" s="5"/>
      <c r="AL238" s="5"/>
      <c r="AM238" s="5"/>
      <c r="AN238" s="5"/>
      <c r="AO238" s="5"/>
      <c r="AQ238" s="5"/>
      <c r="AR238" s="5"/>
      <c r="AS238" s="5"/>
      <c r="AT238" s="5"/>
      <c r="BD238" s="5"/>
      <c r="BF238" s="5"/>
      <c r="BG238" s="5"/>
      <c r="BH238" s="5"/>
      <c r="BI238" s="5"/>
      <c r="BM238" s="5"/>
      <c r="BN238" s="5"/>
      <c r="BP238" s="5"/>
      <c r="BR238" s="5"/>
      <c r="BS238" s="5"/>
      <c r="BU238" s="5"/>
      <c r="BV238" s="5"/>
      <c r="BW238" s="5"/>
      <c r="BX238" s="5"/>
      <c r="BZ238" s="5"/>
      <c r="CA238" s="5"/>
      <c r="CB238" s="5"/>
      <c r="CC238" s="5"/>
      <c r="CE238" s="5"/>
      <c r="CF238" s="5"/>
      <c r="CG238" s="5"/>
      <c r="CH238" s="5"/>
      <c r="CO238" s="13"/>
      <c r="CP238" s="5"/>
      <c r="CQ238" s="5"/>
      <c r="CR238" s="5"/>
      <c r="CT238" s="5"/>
      <c r="CU238" s="5"/>
      <c r="CV238" s="5"/>
      <c r="CW238" s="5"/>
      <c r="CY238" s="5"/>
      <c r="CZ238" s="5"/>
      <c r="DA238" s="5"/>
      <c r="DB238" s="5"/>
      <c r="DD238" s="5"/>
      <c r="DE238" s="5"/>
      <c r="DF238" s="5"/>
      <c r="DG238" s="5"/>
      <c r="DI238" s="5"/>
      <c r="DJ238" s="5"/>
      <c r="DK238" s="5"/>
      <c r="DL238" s="5"/>
      <c r="DN238" s="5"/>
      <c r="DO238" s="5"/>
      <c r="DP238" s="5"/>
      <c r="DQ238" s="5"/>
      <c r="DS238" s="5"/>
      <c r="DT238" s="5"/>
      <c r="DU238" s="5"/>
      <c r="DV238" s="5"/>
      <c r="DX238" s="5"/>
      <c r="DY238" s="5"/>
      <c r="DZ238" s="5"/>
      <c r="EA238" s="5"/>
      <c r="EC238" s="5"/>
      <c r="ED238" s="5"/>
      <c r="EE238" s="5"/>
      <c r="EF238" s="5"/>
      <c r="EH238" s="5"/>
      <c r="EI238" s="5"/>
      <c r="EJ238" s="5"/>
      <c r="EK238" s="5"/>
      <c r="EX238" s="659">
        <f t="shared" si="1"/>
        <v>0</v>
      </c>
    </row>
    <row r="239" spans="1:154" s="6" customFormat="1" ht="15" customHeight="1">
      <c r="A239" s="3" t="s">
        <v>12</v>
      </c>
      <c r="B239" s="210" t="s">
        <v>410</v>
      </c>
      <c r="C239" s="473" t="s">
        <v>515</v>
      </c>
      <c r="D239" s="138"/>
      <c r="E239" s="5"/>
      <c r="F239" s="5"/>
      <c r="G239" s="5"/>
      <c r="H239" s="5"/>
      <c r="I239" s="4"/>
      <c r="J239" s="4"/>
      <c r="K239" s="4"/>
      <c r="L239" s="4"/>
      <c r="M239" s="4"/>
      <c r="N239" s="4"/>
      <c r="O239" s="4"/>
      <c r="P239" s="4"/>
      <c r="Q239" s="4"/>
      <c r="R239" s="5"/>
      <c r="S239" s="5"/>
      <c r="U239" s="5"/>
      <c r="W239" s="5"/>
      <c r="X239" s="5"/>
      <c r="Y239" s="5"/>
      <c r="Z239" s="5"/>
      <c r="AB239" s="5"/>
      <c r="AC239" s="5"/>
      <c r="AD239" s="5"/>
      <c r="AE239" s="5"/>
      <c r="AG239" s="5"/>
      <c r="AH239" s="5"/>
      <c r="AI239" s="5"/>
      <c r="AJ239" s="5"/>
      <c r="AL239" s="5"/>
      <c r="AM239" s="5"/>
      <c r="AN239" s="5"/>
      <c r="AO239" s="5"/>
      <c r="AQ239" s="5"/>
      <c r="AR239" s="5"/>
      <c r="AS239" s="5"/>
      <c r="AT239" s="5"/>
      <c r="BD239" s="5"/>
      <c r="BF239" s="5"/>
      <c r="BG239" s="5"/>
      <c r="BH239" s="5"/>
      <c r="BI239" s="5"/>
      <c r="BM239" s="5"/>
      <c r="BN239" s="5"/>
      <c r="BP239" s="5"/>
      <c r="BQ239" s="5"/>
      <c r="BR239" s="5"/>
      <c r="BS239" s="5"/>
      <c r="BU239" s="5"/>
      <c r="BV239" s="5"/>
      <c r="BW239" s="5"/>
      <c r="BX239" s="5"/>
      <c r="BZ239" s="5"/>
      <c r="CA239" s="5"/>
      <c r="CB239" s="5"/>
      <c r="CC239" s="5"/>
      <c r="CE239" s="5"/>
      <c r="CF239" s="5"/>
      <c r="CG239" s="5"/>
      <c r="CH239" s="5"/>
      <c r="CO239" s="13"/>
      <c r="CP239" s="5"/>
      <c r="CQ239" s="5"/>
      <c r="CR239" s="5"/>
      <c r="CT239" s="5"/>
      <c r="CU239" s="5"/>
      <c r="CV239" s="5"/>
      <c r="CW239" s="5"/>
      <c r="CY239" s="5"/>
      <c r="CZ239" s="5"/>
      <c r="DA239" s="5"/>
      <c r="DB239" s="5"/>
      <c r="DD239" s="5"/>
      <c r="DE239" s="5"/>
      <c r="DF239" s="5"/>
      <c r="DG239" s="5"/>
      <c r="DI239" s="5">
        <v>1</v>
      </c>
      <c r="DJ239" s="5">
        <f>DJ6*DI239+DK6*DI239+DJ7*DI239+DK7*DI239+DJ8*DI239+DK8*DI239+DJ9*DI239+DK9*DI239+DJ10*DI239+DK10*DI239+DJ11*DI239+DK11*DI239+DJ12*DI239+DK12*DI239+DJ13*DI239+DK13*DI239+DJ14*DI239+DK14*DI239+DJ15*DI239+DK15*DI239+DJ16*DI239+DK16*DI239+DJ17*DI239+DK17*DI239+DJ18*DI239+DK18*DI239+DJ19*DI239+DK19*DI239+DJ20*DI239+DK20*DI239+DJ21*DI239+DK21*DI239+DJ22*DI239+DK22*DI239+DJ23*DI239+DK23*DI239+DJ24*DI239+DK24*DI239+DJ25*DI239+DK25*DI239+DJ26*DI239+DK26*DI239+DJ5*DI239+DK5*DI239+DL6*DI239+DL7*DI239+DL8*DI239+DL9*DI239+DL10*DI239+DL11*DI239+DL12*DI239+DJ20*DI239+DL13*DI239+DL14*DI239+DL15*DI239+DL16*DI239+DL17*DI239+DL18*DI239+DL19*DI239+DL20*DI239+DL21*DI239+DL22*DI239+DL23*DI239+DL24*DI239+DL25*DI239+DL26*DI239+DL5*DI239</f>
        <v>0</v>
      </c>
      <c r="DK239" s="5"/>
      <c r="DL239" s="5"/>
      <c r="DN239" s="5">
        <v>1</v>
      </c>
      <c r="DO239" s="5">
        <f>DO6*DN239+DP6*DN239+DO7*DN239+DP7*DN239+DO8*DN239+DP8*DN239+DO9*DN239+DP9*DN239+DO10*DN239+DP10*DN239+DO11*DN239+DP11*DN239+DO12*DN239+DP12*DN239+DO13*DN239+DP13*DN239+DO14*DN239+DP14*DN239+DO15*DN239+DP15*DN239+DO16*DN239+DP16*DN239+DO17*DN239+DP17*DN239+DO18*DN239+DP18*DN239+DO19*DN239+DP19*DN239+DO20*DN239+DP20*DN239+DO21*DN239+DP21*DN239+DO22*DN239+DP22*DN239+DO23*DN239+DP23*DN239+DO24*DN239+DP24*DN239+DO25*DN239+DP25*DN239+DO26*DN239+DP26*DN239+DO5*DN239+DP5*DN239+DQ6*DN239+DQ7*DN239+DQ8*DN239+DQ9*DN239+DQ10*DN239+DQ11*DN239+DQ12*DN239+DO20*DN239+DQ13*DN239+DQ14*DN239+DQ15*DN239+DQ16*DN239+DQ17*DN239+DQ18*DN239+DQ19*DN239+DQ20*DN239+DQ21*DN239+DQ22*DN239+DQ23*DN239+DQ24*DN239+DQ25*DN239+DQ26*DN239+DQ5*DN239</f>
        <v>0</v>
      </c>
      <c r="DP239" s="5"/>
      <c r="DQ239" s="5"/>
      <c r="DS239" s="5">
        <v>1</v>
      </c>
      <c r="DT239" s="5">
        <f>DT6*DS239+DU6*DS239+DT7*DS239+DU7*DS239+DT8*DS239+DU8*DS239+DT9*DS239+DU9*DS239+DT10*DS239+DU10*DS239+DT11*DS239+DU11*DS239+DT12*DS239+DU12*DS239+DT13*DS239+DU13*DS239+DT14*DS239+DU14*DS239+DT15*DS239+DU15*DS239+DT16*DS239+DU16*DS239+DT17*DS239+DU17*DS239+DT18*DS239+DU18*DS239+DT19*DS239+DU19*DS239+DT20*DS239+DU20*DS239+DT21*DS239+DU21*DS239+DT22*DS239+DU22*DS239+DT23*DS239+DU23*DS239+DT24*DS239+DU24*DS239+DT25*DS239+DU25*DS239+DT26*DS239+DU26*DS239+DT5*DS239+DU5*DS239+DV6*DS239+DV7*DS239+DV8*DS239+DV9*DS239+DV10*DS239+DV11*DS239+DV12*DS239+DT20*DS239+DV13*DS239+DV14*DS239+DV15*DS239+DV16*DS239+DV17*DS239+DV18*DS239+DV19*DS239+DV20*DS239+DV21*DS239+DV22*DS239+DV23*DS239+DV24*DS239+DV25*DS239+DV26*DS239+DV5*DS239</f>
        <v>0</v>
      </c>
      <c r="DU239" s="5"/>
      <c r="DV239" s="5"/>
      <c r="DX239" s="5">
        <v>1</v>
      </c>
      <c r="DY239" s="5">
        <f>DY6*DX239+DZ6*DX239+DY7*DX239+DZ7*DX239+DY8*DX239+DZ8*DX239+DY9*DX239+DZ9*DX239+DY10*DX239+DZ10*DX239+DY11*DX239+DZ11*DX239+DY12*DX239+DZ12*DX239+DY13*DX239+DZ13*DX239+DY14*DX239+DZ14*DX239+DY15*DX239+DZ15*DX239+DY16*DX239+DZ16*DX239+DY17*DX239+DZ17*DX239+DY18*DX239+DZ18*DX239+DY19*DX239+DZ19*DX239+DY20*DX239+DZ20*DX239+DY21*DX239+DZ21*DX239+DY22*DX239+DZ22*DX239+DY23*DX239+DZ23*DX239+DY24*DX239+DZ24*DX239+DY25*DX239+DZ25*DX239+DY26*DX239+DZ26*DX239+DY5*DX239+DZ5*DX239+EA6*DX239+EA7*DX239+EA8*DX239+EA9*DX239+EA10*DX239+EA11*DX239+EA12*DX239+DY20*DX239+EA13*DX239+EA14*DX239+EA15*DX239+EA16*DX239+EA17*DX239+EA18*DX239+EA19*DX239+EA20*DX239+EA21*DX239+EA22*DX239+EA23*DX239+EA24*DX239+EA25*DX239+EA26*DX239+EA5*DX239</f>
        <v>0</v>
      </c>
      <c r="DZ239" s="5"/>
      <c r="EA239" s="5"/>
      <c r="EC239" s="5">
        <v>1</v>
      </c>
      <c r="ED239" s="5">
        <f>ED6*EC239+EE6*EC239+ED7*EC239+EE7*EC239+ED8*EC239+EE8*EC239+ED9*EC239+EE9*EC239+ED10*EC239+EE10*EC239+ED11*EC239+EE11*EC239+ED12*EC239+EE12*EC239+ED13*EC239+EE13*EC239+ED14*EC239+EE14*EC239+ED15*EC239+EE15*EC239+ED16*EC239+EE16*EC239+ED17*EC239+EE17*EC239+ED18*EC239+EE18*EC239+ED19*EC239+EE19*EC239+ED20*EC239+EE20*EC239+ED21*EC239+EE21*EC239+ED22*EC239+EE22*EC239+ED23*EC239+EE23*EC239+ED24*EC239+EE24*EC239+ED25*EC239+EE25*EC239+ED26*EC239+EE26*EC239+ED5*EC239+EE5*EC239+EF6*EC239+EF7*EC239+EF8*EC239+EF9*EC239+EF10*EC239+EF11*EC239+EF12*EC239+ED20*EC239+EF13*EC239+EF14*EC239+EF15*EC239+EF16*EC239+EF17*EC239+EF18*EC239+EF19*EC239+EF20*EC239+EF21*EC239+EF22*EC239+EF23*EC239+EF24*EC239+EF25*EC239+EF26*EC239+EF5*EC239</f>
        <v>0</v>
      </c>
      <c r="EE239" s="5"/>
      <c r="EF239" s="5"/>
      <c r="EH239" s="5">
        <v>1</v>
      </c>
      <c r="EI239" s="5">
        <f>EI6*EH239+EJ6*EH239+EI7*EH239+EJ7*EH239+EI8*EH239+EJ8*EH239+EI9*EH239+EJ9*EH239+EI10*EH239+EJ10*EH239+EI11*EH239+EJ11*EH239+EI12*EH239+EJ12*EH239+EI13*EH239+EJ13*EH239+EI14*EH239+EJ14*EH239+EI15*EH239+EJ15*EH239+EI16*EH239+EJ16*EH239+EI17*EH239+EJ17*EH239+EI18*EH239+EJ18*EH239+EI19*EH239+EJ19*EH239+EI20*EH239+EJ20*EH239+EI21*EH239+EJ21*EH239+EI22*EH239+EJ22*EH239+EI23*EH239+EJ23*EH239+EI24*EH239+EJ24*EH239+EI25*EH239+EJ25*EH239+EI26*EH239+EJ26*EH239+EI5*EH239+EJ5*EH239+EK6*EH239+EK7*EH239+EK8*EH239+EK9*EH239+EK10*EH239+EK11*EH239+EK12*EH239+EI20*EH239+EK13*EH239+EK14*EH239+EK15*EH239+EK16*EH239+EK17*EH239+EK18*EH239+EK19*EH239+EK20*EH239+EK21*EH239+EK22*EH239+EK23*EH239+EK24*EH239+EK25*EH239+EK26*EH239+EK5*EH239</f>
        <v>0</v>
      </c>
      <c r="EJ239" s="5"/>
      <c r="EK239" s="5"/>
      <c r="EX239" s="659">
        <f t="shared" si="1"/>
        <v>0</v>
      </c>
    </row>
    <row r="240" spans="1:154" s="6" customFormat="1" ht="15" customHeight="1">
      <c r="A240" s="3" t="s">
        <v>44</v>
      </c>
      <c r="B240" s="210" t="s">
        <v>44</v>
      </c>
      <c r="C240" s="473" t="s">
        <v>515</v>
      </c>
      <c r="D240" s="138"/>
      <c r="E240" s="5"/>
      <c r="F240" s="5"/>
      <c r="G240" s="5"/>
      <c r="H240" s="5"/>
      <c r="I240" s="4"/>
      <c r="J240" s="4"/>
      <c r="K240" s="4"/>
      <c r="L240" s="4"/>
      <c r="M240" s="4"/>
      <c r="N240" s="4"/>
      <c r="O240" s="4"/>
      <c r="P240" s="4"/>
      <c r="Q240" s="4"/>
      <c r="R240" s="5"/>
      <c r="S240" s="5"/>
      <c r="U240" s="5"/>
      <c r="W240" s="5"/>
      <c r="X240" s="5"/>
      <c r="Y240" s="5"/>
      <c r="Z240" s="5"/>
      <c r="AB240" s="5"/>
      <c r="AC240" s="5"/>
      <c r="AD240" s="5"/>
      <c r="AE240" s="5"/>
      <c r="AG240" s="5"/>
      <c r="AH240" s="5"/>
      <c r="AI240" s="5"/>
      <c r="AJ240" s="5"/>
      <c r="AL240" s="5"/>
      <c r="AM240" s="5"/>
      <c r="AN240" s="5"/>
      <c r="AO240" s="5"/>
      <c r="AQ240" s="5"/>
      <c r="AR240" s="5"/>
      <c r="AS240" s="5"/>
      <c r="AT240" s="5"/>
      <c r="BD240" s="5"/>
      <c r="BF240" s="5"/>
      <c r="BG240" s="5"/>
      <c r="BH240" s="5"/>
      <c r="BI240" s="5"/>
      <c r="BM240" s="5"/>
      <c r="BN240" s="5"/>
      <c r="BP240" s="5"/>
      <c r="BQ240" s="5"/>
      <c r="BR240" s="5"/>
      <c r="BS240" s="5"/>
      <c r="BU240" s="5"/>
      <c r="BV240" s="5"/>
      <c r="BW240" s="5"/>
      <c r="BX240" s="5"/>
      <c r="BZ240" s="5"/>
      <c r="CA240" s="5"/>
      <c r="CB240" s="5"/>
      <c r="CC240" s="5"/>
      <c r="CE240" s="5"/>
      <c r="CF240" s="5"/>
      <c r="CG240" s="5"/>
      <c r="CH240" s="5"/>
      <c r="CO240" s="13"/>
      <c r="CP240" s="5"/>
      <c r="CQ240" s="5"/>
      <c r="CR240" s="5"/>
      <c r="CT240" s="5"/>
      <c r="CU240" s="5"/>
      <c r="CV240" s="5"/>
      <c r="CW240" s="5"/>
      <c r="CY240" s="5"/>
      <c r="CZ240" s="5"/>
      <c r="DA240" s="5"/>
      <c r="DB240" s="5"/>
      <c r="DD240" s="5"/>
      <c r="DE240" s="5"/>
      <c r="DF240" s="5"/>
      <c r="DG240" s="5"/>
      <c r="DI240" s="5"/>
      <c r="DJ240" s="5"/>
      <c r="DK240" s="5"/>
      <c r="DL240" s="5"/>
      <c r="DN240" s="5"/>
      <c r="DO240" s="5"/>
      <c r="DP240" s="5"/>
      <c r="DQ240" s="5"/>
      <c r="DS240" s="5"/>
      <c r="DT240" s="5"/>
      <c r="DU240" s="5"/>
      <c r="DV240" s="5"/>
      <c r="DX240" s="5"/>
      <c r="DY240" s="5"/>
      <c r="DZ240" s="5"/>
      <c r="EA240" s="5"/>
      <c r="EC240" s="5"/>
      <c r="ED240" s="5"/>
      <c r="EE240" s="5"/>
      <c r="EF240" s="5"/>
      <c r="EH240" s="5"/>
      <c r="EI240" s="5"/>
      <c r="EJ240" s="5"/>
      <c r="EK240" s="5"/>
      <c r="EX240" s="659">
        <f t="shared" si="1"/>
        <v>0</v>
      </c>
    </row>
    <row r="241" spans="1:154" s="6" customFormat="1" ht="15" customHeight="1">
      <c r="A241" s="3" t="s">
        <v>45</v>
      </c>
      <c r="B241" s="210" t="s">
        <v>45</v>
      </c>
      <c r="C241" s="473" t="s">
        <v>515</v>
      </c>
      <c r="D241" s="138"/>
      <c r="E241" s="5"/>
      <c r="F241" s="5"/>
      <c r="G241" s="5"/>
      <c r="H241" s="5"/>
      <c r="I241" s="4"/>
      <c r="J241" s="4"/>
      <c r="K241" s="4"/>
      <c r="L241" s="4"/>
      <c r="M241" s="4"/>
      <c r="N241" s="4"/>
      <c r="O241" s="4"/>
      <c r="P241" s="4"/>
      <c r="Q241" s="4"/>
      <c r="R241" s="5"/>
      <c r="S241" s="5"/>
      <c r="U241" s="5"/>
      <c r="W241" s="5"/>
      <c r="X241" s="5"/>
      <c r="Y241" s="5"/>
      <c r="Z241" s="5"/>
      <c r="AB241" s="5"/>
      <c r="AC241" s="5"/>
      <c r="AD241" s="5"/>
      <c r="AE241" s="5"/>
      <c r="AG241" s="5"/>
      <c r="AH241" s="5"/>
      <c r="AI241" s="5"/>
      <c r="AJ241" s="5"/>
      <c r="AL241" s="5"/>
      <c r="AM241" s="5"/>
      <c r="AN241" s="5"/>
      <c r="AO241" s="5"/>
      <c r="AQ241" s="5"/>
      <c r="AR241" s="5"/>
      <c r="AS241" s="5"/>
      <c r="AT241" s="5"/>
      <c r="BD241" s="5"/>
      <c r="BF241" s="5"/>
      <c r="BG241" s="5"/>
      <c r="BH241" s="5"/>
      <c r="BI241" s="5"/>
      <c r="BM241" s="5"/>
      <c r="BN241" s="5"/>
      <c r="BP241" s="5"/>
      <c r="BQ241" s="5"/>
      <c r="BR241" s="5"/>
      <c r="BS241" s="5"/>
      <c r="BU241" s="5"/>
      <c r="BV241" s="5"/>
      <c r="BW241" s="5"/>
      <c r="BX241" s="5"/>
      <c r="BZ241" s="5"/>
      <c r="CA241" s="5"/>
      <c r="CB241" s="5"/>
      <c r="CC241" s="5"/>
      <c r="CE241" s="5"/>
      <c r="CF241" s="5"/>
      <c r="CG241" s="5"/>
      <c r="CH241" s="5"/>
      <c r="CO241" s="13"/>
      <c r="CP241" s="5"/>
      <c r="CQ241" s="5"/>
      <c r="CR241" s="5"/>
      <c r="CT241" s="5"/>
      <c r="CU241" s="5"/>
      <c r="CV241" s="5"/>
      <c r="CW241" s="5"/>
      <c r="CY241" s="5"/>
      <c r="CZ241" s="5"/>
      <c r="DA241" s="5"/>
      <c r="DB241" s="5"/>
      <c r="DD241" s="5"/>
      <c r="DE241" s="5"/>
      <c r="DF241" s="5"/>
      <c r="DG241" s="5"/>
      <c r="DI241" s="5"/>
      <c r="DJ241" s="5"/>
      <c r="DK241" s="5"/>
      <c r="DL241" s="5"/>
      <c r="DN241" s="5"/>
      <c r="DO241" s="5"/>
      <c r="DP241" s="5"/>
      <c r="DQ241" s="5"/>
      <c r="DS241" s="5"/>
      <c r="DT241" s="5"/>
      <c r="DU241" s="5"/>
      <c r="DV241" s="5"/>
      <c r="DX241" s="5"/>
      <c r="DY241" s="5"/>
      <c r="DZ241" s="5"/>
      <c r="EA241" s="5"/>
      <c r="EC241" s="5"/>
      <c r="ED241" s="5"/>
      <c r="EE241" s="5"/>
      <c r="EF241" s="5"/>
      <c r="EH241" s="5"/>
      <c r="EI241" s="5"/>
      <c r="EJ241" s="5"/>
      <c r="EK241" s="5"/>
      <c r="EN241" s="161"/>
      <c r="EX241" s="659">
        <f t="shared" si="1"/>
        <v>0</v>
      </c>
    </row>
    <row r="242" spans="1:154" s="6" customFormat="1" ht="15" customHeight="1">
      <c r="A242" s="3" t="s">
        <v>46</v>
      </c>
      <c r="B242" s="210" t="s">
        <v>46</v>
      </c>
      <c r="C242" s="473" t="s">
        <v>515</v>
      </c>
      <c r="D242" s="138"/>
      <c r="E242" s="5"/>
      <c r="F242" s="5"/>
      <c r="G242" s="5"/>
      <c r="H242" s="5"/>
      <c r="I242" s="4"/>
      <c r="J242" s="4"/>
      <c r="K242" s="4"/>
      <c r="L242" s="4"/>
      <c r="M242" s="4"/>
      <c r="N242" s="4"/>
      <c r="O242" s="4"/>
      <c r="P242" s="4"/>
      <c r="Q242" s="4"/>
      <c r="R242" s="5"/>
      <c r="S242" s="5"/>
      <c r="U242" s="5"/>
      <c r="W242" s="5"/>
      <c r="X242" s="5"/>
      <c r="Y242" s="5"/>
      <c r="Z242" s="5"/>
      <c r="AB242" s="5"/>
      <c r="AC242" s="5"/>
      <c r="AD242" s="5"/>
      <c r="AE242" s="5"/>
      <c r="AG242" s="5"/>
      <c r="AH242" s="5"/>
      <c r="AI242" s="5"/>
      <c r="AJ242" s="5"/>
      <c r="AL242" s="5"/>
      <c r="AM242" s="5"/>
      <c r="AN242" s="5"/>
      <c r="AO242" s="5"/>
      <c r="AQ242" s="5"/>
      <c r="AR242" s="5"/>
      <c r="AS242" s="5"/>
      <c r="AT242" s="5"/>
      <c r="BD242" s="5"/>
      <c r="BF242" s="5"/>
      <c r="BG242" s="5"/>
      <c r="BH242" s="5"/>
      <c r="BI242" s="5"/>
      <c r="BM242" s="5"/>
      <c r="BN242" s="5"/>
      <c r="BP242" s="5"/>
      <c r="BQ242" s="5"/>
      <c r="BR242" s="5"/>
      <c r="BS242" s="5"/>
      <c r="BU242" s="5"/>
      <c r="BV242" s="5"/>
      <c r="BW242" s="5"/>
      <c r="BX242" s="5"/>
      <c r="BZ242" s="5"/>
      <c r="CA242" s="5"/>
      <c r="CB242" s="5"/>
      <c r="CC242" s="5"/>
      <c r="CE242" s="5"/>
      <c r="CF242" s="5"/>
      <c r="CG242" s="5"/>
      <c r="CH242" s="5"/>
      <c r="CO242" s="13"/>
      <c r="CP242" s="5"/>
      <c r="CQ242" s="5"/>
      <c r="CR242" s="5"/>
      <c r="CT242" s="5"/>
      <c r="CU242" s="5"/>
      <c r="CV242" s="5"/>
      <c r="CW242" s="5"/>
      <c r="CY242" s="5"/>
      <c r="CZ242" s="5"/>
      <c r="DA242" s="5"/>
      <c r="DB242" s="5"/>
      <c r="DD242" s="5"/>
      <c r="DE242" s="5"/>
      <c r="DF242" s="5"/>
      <c r="DG242" s="5"/>
      <c r="DI242" s="5"/>
      <c r="DJ242" s="5"/>
      <c r="DK242" s="5"/>
      <c r="DL242" s="5"/>
      <c r="DN242" s="5"/>
      <c r="DO242" s="5"/>
      <c r="DP242" s="5"/>
      <c r="DQ242" s="5"/>
      <c r="DS242" s="1343">
        <f>SUM(DT5:DT26,DU5:DU26,DV5:DV26)</f>
        <v>0</v>
      </c>
      <c r="DT242" s="5"/>
      <c r="DU242" s="5"/>
      <c r="DV242" s="5"/>
      <c r="DX242" s="5"/>
      <c r="DY242" s="5"/>
      <c r="DZ242" s="5"/>
      <c r="EA242" s="5"/>
      <c r="EC242" s="5"/>
      <c r="ED242" s="5"/>
      <c r="EE242" s="5"/>
      <c r="EF242" s="5"/>
      <c r="EH242" s="5"/>
      <c r="EI242" s="5"/>
      <c r="EJ242" s="5"/>
      <c r="EK242" s="5"/>
      <c r="EM242" s="6">
        <v>3</v>
      </c>
      <c r="EN242" s="6">
        <f>SUM(EN5:EQ5)*EM242</f>
        <v>0</v>
      </c>
      <c r="EX242" s="659">
        <f t="shared" si="1"/>
        <v>0</v>
      </c>
    </row>
    <row r="243" spans="1:154" s="6" customFormat="1" ht="15" customHeight="1">
      <c r="A243" s="3" t="s">
        <v>47</v>
      </c>
      <c r="B243" s="210" t="s">
        <v>47</v>
      </c>
      <c r="C243" s="473" t="s">
        <v>515</v>
      </c>
      <c r="D243" s="138"/>
      <c r="E243" s="5"/>
      <c r="F243" s="5"/>
      <c r="G243" s="5"/>
      <c r="H243" s="5"/>
      <c r="I243" s="4"/>
      <c r="J243" s="4"/>
      <c r="K243" s="4"/>
      <c r="L243" s="4"/>
      <c r="M243" s="4"/>
      <c r="N243" s="4"/>
      <c r="O243" s="4"/>
      <c r="P243" s="4"/>
      <c r="Q243" s="4"/>
      <c r="R243" s="5"/>
      <c r="S243" s="5"/>
      <c r="U243" s="5"/>
      <c r="W243" s="5"/>
      <c r="X243" s="5"/>
      <c r="Y243" s="5"/>
      <c r="Z243" s="5"/>
      <c r="AB243" s="5"/>
      <c r="AC243" s="5"/>
      <c r="AD243" s="5"/>
      <c r="AE243" s="5"/>
      <c r="AG243" s="5"/>
      <c r="AH243" s="5"/>
      <c r="AI243" s="5"/>
      <c r="AJ243" s="5"/>
      <c r="AL243" s="5"/>
      <c r="AM243" s="5"/>
      <c r="AN243" s="5"/>
      <c r="AO243" s="5"/>
      <c r="AQ243" s="5"/>
      <c r="AR243" s="5"/>
      <c r="AS243" s="5"/>
      <c r="AT243" s="5"/>
      <c r="BD243" s="5"/>
      <c r="BF243" s="5"/>
      <c r="BG243" s="5"/>
      <c r="BH243" s="5"/>
      <c r="BI243" s="5"/>
      <c r="BM243" s="5"/>
      <c r="BN243" s="5"/>
      <c r="BP243" s="5"/>
      <c r="BQ243" s="5"/>
      <c r="BR243" s="5"/>
      <c r="BS243" s="5"/>
      <c r="BU243" s="5"/>
      <c r="BV243" s="5"/>
      <c r="BW243" s="5"/>
      <c r="BX243" s="5"/>
      <c r="BZ243" s="5"/>
      <c r="CA243" s="5"/>
      <c r="CB243" s="5"/>
      <c r="CC243" s="5"/>
      <c r="CE243" s="5"/>
      <c r="CF243" s="5"/>
      <c r="CG243" s="5"/>
      <c r="CH243" s="5"/>
      <c r="CO243" s="13"/>
      <c r="CP243" s="5"/>
      <c r="CQ243" s="5"/>
      <c r="CR243" s="5"/>
      <c r="CT243" s="5"/>
      <c r="CU243" s="5"/>
      <c r="CV243" s="5"/>
      <c r="CW243" s="5"/>
      <c r="CY243" s="5"/>
      <c r="CZ243" s="5"/>
      <c r="DA243" s="5"/>
      <c r="DB243" s="5"/>
      <c r="DD243" s="5"/>
      <c r="DE243" s="5"/>
      <c r="DF243" s="5"/>
      <c r="DG243" s="5"/>
      <c r="DI243" s="5"/>
      <c r="DJ243" s="5"/>
      <c r="DK243" s="5"/>
      <c r="DL243" s="5"/>
      <c r="DN243" s="5"/>
      <c r="DO243" s="5"/>
      <c r="DP243" s="5"/>
      <c r="DQ243" s="5"/>
      <c r="DS243" s="5"/>
      <c r="DT243" s="5"/>
      <c r="DU243" s="5"/>
      <c r="DV243" s="5"/>
      <c r="DX243" s="5"/>
      <c r="DY243" s="5"/>
      <c r="DZ243" s="5"/>
      <c r="EA243" s="5"/>
      <c r="EC243" s="5"/>
      <c r="ED243" s="5"/>
      <c r="EE243" s="5"/>
      <c r="EF243" s="5"/>
      <c r="EH243" s="5"/>
      <c r="EI243" s="5"/>
      <c r="EJ243" s="5"/>
      <c r="EK243" s="5"/>
      <c r="EX243" s="659">
        <f t="shared" si="1"/>
        <v>0</v>
      </c>
    </row>
    <row r="244" spans="1:154" s="6" customFormat="1" ht="15" customHeight="1">
      <c r="A244" s="3"/>
      <c r="B244" s="210" t="s">
        <v>489</v>
      </c>
      <c r="C244" s="473" t="s">
        <v>515</v>
      </c>
      <c r="D244" s="138"/>
      <c r="E244" s="5"/>
      <c r="F244" s="5"/>
      <c r="G244" s="5"/>
      <c r="H244" s="5"/>
      <c r="I244" s="4"/>
      <c r="J244" s="4"/>
      <c r="K244" s="4"/>
      <c r="L244" s="4"/>
      <c r="M244" s="4"/>
      <c r="N244" s="4"/>
      <c r="O244" s="4"/>
      <c r="P244" s="4"/>
      <c r="Q244" s="4"/>
      <c r="R244" s="5"/>
      <c r="S244" s="5"/>
      <c r="U244" s="5"/>
      <c r="W244" s="5"/>
      <c r="X244" s="5"/>
      <c r="Y244" s="5"/>
      <c r="Z244" s="5"/>
      <c r="AB244" s="5"/>
      <c r="AC244" s="5"/>
      <c r="AD244" s="5"/>
      <c r="AE244" s="5"/>
      <c r="AG244" s="5"/>
      <c r="AH244" s="5"/>
      <c r="AI244" s="5"/>
      <c r="AJ244" s="5"/>
      <c r="AL244" s="5"/>
      <c r="AM244" s="5"/>
      <c r="AN244" s="5"/>
      <c r="AO244" s="5"/>
      <c r="AQ244" s="5"/>
      <c r="AR244" s="5"/>
      <c r="AS244" s="5"/>
      <c r="AT244" s="5"/>
      <c r="BD244" s="5"/>
      <c r="BF244" s="5"/>
      <c r="BG244" s="5"/>
      <c r="BH244" s="5"/>
      <c r="BI244" s="5"/>
      <c r="BM244" s="5"/>
      <c r="BN244" s="5"/>
      <c r="BP244" s="5"/>
      <c r="BQ244" s="5"/>
      <c r="BR244" s="5"/>
      <c r="BS244" s="5"/>
      <c r="BU244" s="5"/>
      <c r="BV244" s="5"/>
      <c r="BW244" s="5"/>
      <c r="BX244" s="5"/>
      <c r="BZ244" s="5"/>
      <c r="CA244" s="5"/>
      <c r="CB244" s="5"/>
      <c r="CC244" s="5"/>
      <c r="CE244" s="5"/>
      <c r="CF244" s="5"/>
      <c r="CG244" s="5"/>
      <c r="CH244" s="5"/>
      <c r="CO244" s="13"/>
      <c r="CP244" s="5"/>
      <c r="CQ244" s="5"/>
      <c r="CR244" s="5"/>
      <c r="CT244" s="5"/>
      <c r="CU244" s="5"/>
      <c r="CV244" s="5"/>
      <c r="CW244" s="5"/>
      <c r="CY244" s="5"/>
      <c r="CZ244" s="5"/>
      <c r="DA244" s="5"/>
      <c r="DB244" s="5"/>
      <c r="DD244" s="5"/>
      <c r="DE244" s="5"/>
      <c r="DF244" s="5"/>
      <c r="DG244" s="5"/>
      <c r="DI244" s="5"/>
      <c r="DJ244" s="5"/>
      <c r="DK244" s="5"/>
      <c r="DL244" s="5"/>
      <c r="DN244" s="5"/>
      <c r="DO244" s="5"/>
      <c r="DP244" s="5"/>
      <c r="DQ244" s="5"/>
      <c r="DS244" s="5"/>
      <c r="DT244" s="5"/>
      <c r="DU244" s="5"/>
      <c r="DV244" s="5"/>
      <c r="DX244" s="5"/>
      <c r="DY244" s="5"/>
      <c r="DZ244" s="5"/>
      <c r="EA244" s="5"/>
      <c r="EC244" s="5"/>
      <c r="ED244" s="5"/>
      <c r="EE244" s="5"/>
      <c r="EF244" s="5"/>
      <c r="EH244" s="5"/>
      <c r="EI244" s="5"/>
      <c r="EJ244" s="5"/>
      <c r="EK244" s="5"/>
      <c r="EM244" s="6">
        <v>3</v>
      </c>
      <c r="EN244" s="6">
        <f>SUM(EN6:EQ6)*EM244</f>
        <v>0</v>
      </c>
      <c r="EX244" s="659">
        <f t="shared" si="1"/>
        <v>0</v>
      </c>
    </row>
    <row r="245" spans="1:154" s="6" customFormat="1" ht="15" customHeight="1">
      <c r="A245" s="3" t="s">
        <v>48</v>
      </c>
      <c r="B245" s="210" t="s">
        <v>48</v>
      </c>
      <c r="C245" s="473" t="s">
        <v>515</v>
      </c>
      <c r="D245" s="138"/>
      <c r="E245" s="5"/>
      <c r="F245" s="5"/>
      <c r="G245" s="5"/>
      <c r="H245" s="5"/>
      <c r="I245" s="4"/>
      <c r="J245" s="4"/>
      <c r="K245" s="4"/>
      <c r="L245" s="4"/>
      <c r="M245" s="4"/>
      <c r="N245" s="4"/>
      <c r="O245" s="4"/>
      <c r="P245" s="4"/>
      <c r="Q245" s="4"/>
      <c r="R245" s="5"/>
      <c r="S245" s="5"/>
      <c r="U245" s="5"/>
      <c r="W245" s="5"/>
      <c r="X245" s="5"/>
      <c r="Y245" s="5"/>
      <c r="Z245" s="5"/>
      <c r="AB245" s="5"/>
      <c r="AC245" s="5"/>
      <c r="AD245" s="5"/>
      <c r="AE245" s="5"/>
      <c r="AG245" s="5"/>
      <c r="AH245" s="5"/>
      <c r="AI245" s="5"/>
      <c r="AJ245" s="5"/>
      <c r="AL245" s="5"/>
      <c r="AM245" s="5"/>
      <c r="AN245" s="5"/>
      <c r="AO245" s="5"/>
      <c r="AQ245" s="5"/>
      <c r="AR245" s="5"/>
      <c r="AS245" s="5"/>
      <c r="AT245" s="5"/>
      <c r="BD245" s="5"/>
      <c r="BF245" s="5"/>
      <c r="BG245" s="5"/>
      <c r="BH245" s="5"/>
      <c r="BI245" s="5"/>
      <c r="BM245" s="5"/>
      <c r="BN245" s="5"/>
      <c r="BP245" s="5"/>
      <c r="BQ245" s="5"/>
      <c r="BR245" s="5"/>
      <c r="BS245" s="5"/>
      <c r="BU245" s="5"/>
      <c r="BV245" s="5"/>
      <c r="BW245" s="5"/>
      <c r="BX245" s="5"/>
      <c r="BZ245" s="5"/>
      <c r="CA245" s="5"/>
      <c r="CB245" s="5"/>
      <c r="CC245" s="5"/>
      <c r="CE245" s="5"/>
      <c r="CF245" s="5"/>
      <c r="CG245" s="5"/>
      <c r="CH245" s="5"/>
      <c r="CO245" s="13"/>
      <c r="CP245" s="5"/>
      <c r="CQ245" s="5"/>
      <c r="CR245" s="5"/>
      <c r="CT245" s="5"/>
      <c r="CU245" s="5"/>
      <c r="CV245" s="5"/>
      <c r="CW245" s="5"/>
      <c r="CY245" s="5"/>
      <c r="CZ245" s="5"/>
      <c r="DA245" s="5"/>
      <c r="DB245" s="5"/>
      <c r="DD245" s="5"/>
      <c r="DE245" s="5"/>
      <c r="DF245" s="5"/>
      <c r="DG245" s="5"/>
      <c r="DI245" s="5"/>
      <c r="DJ245" s="5"/>
      <c r="DK245" s="5"/>
      <c r="DL245" s="5"/>
      <c r="DN245" s="5"/>
      <c r="DO245" s="5"/>
      <c r="DP245" s="5"/>
      <c r="DQ245" s="5"/>
      <c r="DS245" s="5"/>
      <c r="DT245" s="5"/>
      <c r="DU245" s="5"/>
      <c r="DV245" s="5"/>
      <c r="DX245" s="5"/>
      <c r="DY245" s="5"/>
      <c r="DZ245" s="5"/>
      <c r="EA245" s="5"/>
      <c r="EC245" s="5"/>
      <c r="ED245" s="5"/>
      <c r="EE245" s="5"/>
      <c r="EF245" s="5"/>
      <c r="EH245" s="5"/>
      <c r="EI245" s="5"/>
      <c r="EJ245" s="5"/>
      <c r="EK245" s="5"/>
      <c r="EX245" s="659">
        <f t="shared" si="1"/>
        <v>0</v>
      </c>
    </row>
    <row r="246" spans="1:154" s="6" customFormat="1" ht="15" customHeight="1">
      <c r="A246" s="3" t="s">
        <v>49</v>
      </c>
      <c r="B246" s="210" t="s">
        <v>49</v>
      </c>
      <c r="C246" s="473" t="s">
        <v>515</v>
      </c>
      <c r="D246" s="138"/>
      <c r="E246" s="5"/>
      <c r="F246" s="5"/>
      <c r="G246" s="5"/>
      <c r="H246" s="5"/>
      <c r="I246" s="4"/>
      <c r="J246" s="4"/>
      <c r="K246" s="4"/>
      <c r="L246" s="4"/>
      <c r="M246" s="4"/>
      <c r="N246" s="4"/>
      <c r="O246" s="4"/>
      <c r="P246" s="4"/>
      <c r="Q246" s="4"/>
      <c r="R246" s="5"/>
      <c r="S246" s="5"/>
      <c r="U246" s="5"/>
      <c r="W246" s="5"/>
      <c r="X246" s="5"/>
      <c r="Y246" s="5"/>
      <c r="Z246" s="5"/>
      <c r="AB246" s="5"/>
      <c r="AC246" s="5"/>
      <c r="AD246" s="5"/>
      <c r="AE246" s="5"/>
      <c r="AG246" s="5"/>
      <c r="AH246" s="5"/>
      <c r="AI246" s="5"/>
      <c r="AJ246" s="5"/>
      <c r="AL246" s="5"/>
      <c r="AM246" s="5"/>
      <c r="AN246" s="5"/>
      <c r="AO246" s="5"/>
      <c r="AQ246" s="5"/>
      <c r="AR246" s="5"/>
      <c r="AS246" s="5"/>
      <c r="AT246" s="5"/>
      <c r="BD246" s="5"/>
      <c r="BF246" s="5"/>
      <c r="BG246" s="5"/>
      <c r="BH246" s="5"/>
      <c r="BI246" s="5"/>
      <c r="BM246" s="5"/>
      <c r="BN246" s="5"/>
      <c r="BP246" s="5"/>
      <c r="BQ246" s="5"/>
      <c r="BR246" s="5"/>
      <c r="BS246" s="5"/>
      <c r="BU246" s="5"/>
      <c r="BV246" s="5"/>
      <c r="BW246" s="5"/>
      <c r="BX246" s="5"/>
      <c r="BZ246" s="5"/>
      <c r="CA246" s="5"/>
      <c r="CB246" s="5"/>
      <c r="CC246" s="5"/>
      <c r="CE246" s="5"/>
      <c r="CF246" s="5"/>
      <c r="CG246" s="5"/>
      <c r="CH246" s="5"/>
      <c r="CO246" s="13"/>
      <c r="CP246" s="5"/>
      <c r="CQ246" s="5"/>
      <c r="CR246" s="5"/>
      <c r="CT246" s="5"/>
      <c r="CU246" s="5"/>
      <c r="CV246" s="5"/>
      <c r="CW246" s="5"/>
      <c r="CY246" s="5"/>
      <c r="CZ246" s="5"/>
      <c r="DA246" s="5"/>
      <c r="DB246" s="5"/>
      <c r="DD246" s="5"/>
      <c r="DE246" s="5"/>
      <c r="DF246" s="5"/>
      <c r="DG246" s="5"/>
      <c r="DI246" s="5"/>
      <c r="DJ246" s="5"/>
      <c r="DK246" s="5"/>
      <c r="DL246" s="5"/>
      <c r="DN246" s="5"/>
      <c r="DO246" s="5"/>
      <c r="DP246" s="5"/>
      <c r="DQ246" s="5"/>
      <c r="DS246" s="5"/>
      <c r="DT246" s="5"/>
      <c r="DU246" s="5"/>
      <c r="DV246" s="5"/>
      <c r="DX246" s="5"/>
      <c r="DY246" s="5"/>
      <c r="DZ246" s="5"/>
      <c r="EA246" s="5"/>
      <c r="EC246" s="5"/>
      <c r="ED246" s="5"/>
      <c r="EE246" s="5"/>
      <c r="EF246" s="5"/>
      <c r="EH246" s="5"/>
      <c r="EI246" s="5"/>
      <c r="EJ246" s="5"/>
      <c r="EK246" s="5"/>
      <c r="EX246" s="659">
        <f t="shared" si="1"/>
        <v>0</v>
      </c>
    </row>
    <row r="247" spans="1:154" s="6" customFormat="1" ht="15" customHeight="1">
      <c r="A247" s="3"/>
      <c r="B247" s="210" t="s">
        <v>488</v>
      </c>
      <c r="C247" s="473" t="s">
        <v>515</v>
      </c>
      <c r="D247" s="138"/>
      <c r="E247" s="5"/>
      <c r="F247" s="5"/>
      <c r="G247" s="5"/>
      <c r="H247" s="5"/>
      <c r="I247" s="4"/>
      <c r="J247" s="4"/>
      <c r="K247" s="4"/>
      <c r="L247" s="4"/>
      <c r="M247" s="4"/>
      <c r="N247" s="4"/>
      <c r="O247" s="4"/>
      <c r="P247" s="4"/>
      <c r="Q247" s="4"/>
      <c r="R247" s="5"/>
      <c r="S247" s="5"/>
      <c r="U247" s="5"/>
      <c r="W247" s="5"/>
      <c r="X247" s="5"/>
      <c r="Y247" s="5"/>
      <c r="Z247" s="5"/>
      <c r="AB247" s="5"/>
      <c r="AC247" s="5"/>
      <c r="AD247" s="5"/>
      <c r="AE247" s="5"/>
      <c r="AG247" s="5"/>
      <c r="AH247" s="5"/>
      <c r="AI247" s="5"/>
      <c r="AJ247" s="5"/>
      <c r="AL247" s="5"/>
      <c r="AM247" s="5"/>
      <c r="AN247" s="5"/>
      <c r="AO247" s="5"/>
      <c r="AQ247" s="5"/>
      <c r="AR247" s="5"/>
      <c r="AS247" s="5"/>
      <c r="AT247" s="5"/>
      <c r="BD247" s="5"/>
      <c r="BF247" s="5"/>
      <c r="BG247" s="5"/>
      <c r="BH247" s="5"/>
      <c r="BI247" s="5"/>
      <c r="BM247" s="5"/>
      <c r="BN247" s="5"/>
      <c r="BP247" s="5"/>
      <c r="BQ247" s="5"/>
      <c r="BR247" s="5"/>
      <c r="BS247" s="5"/>
      <c r="BU247" s="5"/>
      <c r="BV247" s="5"/>
      <c r="BW247" s="5"/>
      <c r="BX247" s="5"/>
      <c r="BZ247" s="5"/>
      <c r="CA247" s="5"/>
      <c r="CB247" s="5"/>
      <c r="CC247" s="5"/>
      <c r="CE247" s="5"/>
      <c r="CF247" s="5"/>
      <c r="CG247" s="5"/>
      <c r="CH247" s="5"/>
      <c r="CO247" s="13"/>
      <c r="CP247" s="5"/>
      <c r="CQ247" s="5"/>
      <c r="CR247" s="5"/>
      <c r="CT247" s="5"/>
      <c r="CU247" s="5"/>
      <c r="CV247" s="5"/>
      <c r="CW247" s="5"/>
      <c r="CY247" s="5"/>
      <c r="CZ247" s="5"/>
      <c r="DA247" s="5"/>
      <c r="DB247" s="5"/>
      <c r="DD247" s="5"/>
      <c r="DE247" s="5"/>
      <c r="DF247" s="5"/>
      <c r="DG247" s="5"/>
      <c r="DI247" s="5"/>
      <c r="DJ247" s="5"/>
      <c r="DK247" s="5"/>
      <c r="DL247" s="5"/>
      <c r="DN247" s="5"/>
      <c r="DO247" s="5"/>
      <c r="DP247" s="5"/>
      <c r="DQ247" s="5"/>
      <c r="DS247" s="5"/>
      <c r="DT247" s="5"/>
      <c r="DU247" s="5"/>
      <c r="DV247" s="5"/>
      <c r="DX247" s="5"/>
      <c r="DY247" s="5"/>
      <c r="DZ247" s="5"/>
      <c r="EA247" s="5"/>
      <c r="EC247" s="5"/>
      <c r="ED247" s="5"/>
      <c r="EE247" s="5"/>
      <c r="EF247" s="5"/>
      <c r="EH247" s="5"/>
      <c r="EI247" s="5"/>
      <c r="EJ247" s="5"/>
      <c r="EK247" s="5"/>
      <c r="EM247" s="6">
        <v>3</v>
      </c>
      <c r="EN247" s="6">
        <f>SUM(EN7:EQ7)*EM247</f>
        <v>0</v>
      </c>
      <c r="EX247" s="659">
        <f t="shared" si="1"/>
        <v>0</v>
      </c>
    </row>
    <row r="248" spans="1:154" s="6" customFormat="1" ht="15" customHeight="1">
      <c r="A248" s="3" t="s">
        <v>250</v>
      </c>
      <c r="B248" s="210" t="s">
        <v>250</v>
      </c>
      <c r="C248" s="473" t="s">
        <v>515</v>
      </c>
      <c r="D248" s="138"/>
      <c r="E248" s="5"/>
      <c r="F248" s="5"/>
      <c r="G248" s="5"/>
      <c r="H248" s="5"/>
      <c r="I248" s="4"/>
      <c r="J248" s="4"/>
      <c r="K248" s="4"/>
      <c r="L248" s="4"/>
      <c r="M248" s="4"/>
      <c r="N248" s="4"/>
      <c r="O248" s="4"/>
      <c r="P248" s="4"/>
      <c r="Q248" s="4"/>
      <c r="R248" s="5"/>
      <c r="S248" s="5"/>
      <c r="U248" s="5"/>
      <c r="W248" s="5"/>
      <c r="X248" s="5"/>
      <c r="Y248" s="5"/>
      <c r="Z248" s="5"/>
      <c r="AB248" s="5"/>
      <c r="AC248" s="5"/>
      <c r="AD248" s="5"/>
      <c r="AE248" s="5"/>
      <c r="AG248" s="5"/>
      <c r="AH248" s="5"/>
      <c r="AI248" s="5"/>
      <c r="AJ248" s="5"/>
      <c r="AL248" s="5"/>
      <c r="AM248" s="5"/>
      <c r="AN248" s="5"/>
      <c r="AO248" s="5"/>
      <c r="AQ248" s="5"/>
      <c r="AR248" s="5"/>
      <c r="AS248" s="5"/>
      <c r="AT248" s="5"/>
      <c r="BD248" s="5"/>
      <c r="BF248" s="5"/>
      <c r="BG248" s="5"/>
      <c r="BH248" s="5"/>
      <c r="BI248" s="5"/>
      <c r="BM248" s="5"/>
      <c r="BN248" s="5"/>
      <c r="BP248" s="5"/>
      <c r="BQ248" s="5"/>
      <c r="BR248" s="5"/>
      <c r="BS248" s="5"/>
      <c r="BU248" s="5"/>
      <c r="BV248" s="5"/>
      <c r="BW248" s="5"/>
      <c r="BX248" s="5"/>
      <c r="BZ248" s="5"/>
      <c r="CA248" s="5"/>
      <c r="CB248" s="5"/>
      <c r="CC248" s="5"/>
      <c r="CE248" s="5"/>
      <c r="CF248" s="5"/>
      <c r="CG248" s="5"/>
      <c r="CH248" s="5"/>
      <c r="CO248" s="13"/>
      <c r="CP248" s="5"/>
      <c r="CQ248" s="5"/>
      <c r="CR248" s="5"/>
      <c r="CT248" s="5"/>
      <c r="CU248" s="5"/>
      <c r="CV248" s="5"/>
      <c r="CW248" s="5"/>
      <c r="CY248" s="5"/>
      <c r="CZ248" s="5"/>
      <c r="DA248" s="5"/>
      <c r="DB248" s="5"/>
      <c r="DD248" s="5"/>
      <c r="DE248" s="5"/>
      <c r="DF248" s="5"/>
      <c r="DG248" s="5"/>
      <c r="DI248" s="5"/>
      <c r="DJ248" s="5"/>
      <c r="DK248" s="5"/>
      <c r="DL248" s="5"/>
      <c r="DN248" s="5"/>
      <c r="DO248" s="5"/>
      <c r="DP248" s="5"/>
      <c r="DQ248" s="5"/>
      <c r="DS248" s="5"/>
      <c r="DT248" s="5"/>
      <c r="DU248" s="5"/>
      <c r="DV248" s="5"/>
      <c r="DX248" s="5"/>
      <c r="DY248" s="5"/>
      <c r="DZ248" s="5"/>
      <c r="EA248" s="5"/>
      <c r="EC248" s="5"/>
      <c r="ED248" s="5"/>
      <c r="EE248" s="5"/>
      <c r="EF248" s="5"/>
      <c r="EH248" s="5"/>
      <c r="EI248" s="5"/>
      <c r="EJ248" s="5"/>
      <c r="EK248" s="5"/>
      <c r="EX248" s="659">
        <f t="shared" si="1"/>
        <v>0</v>
      </c>
    </row>
    <row r="249" spans="1:154" s="6" customFormat="1" ht="15" customHeight="1">
      <c r="A249" s="3" t="s">
        <v>50</v>
      </c>
      <c r="B249" s="210" t="s">
        <v>50</v>
      </c>
      <c r="C249" s="473" t="s">
        <v>515</v>
      </c>
      <c r="D249" s="138"/>
      <c r="E249" s="5"/>
      <c r="F249" s="5"/>
      <c r="G249" s="5"/>
      <c r="H249" s="5"/>
      <c r="I249" s="4"/>
      <c r="J249" s="4"/>
      <c r="K249" s="4"/>
      <c r="L249" s="4"/>
      <c r="M249" s="4"/>
      <c r="N249" s="4"/>
      <c r="O249" s="4"/>
      <c r="P249" s="4"/>
      <c r="Q249" s="4"/>
      <c r="R249" s="5"/>
      <c r="S249" s="5"/>
      <c r="U249" s="5"/>
      <c r="W249" s="5"/>
      <c r="X249" s="5"/>
      <c r="Y249" s="5"/>
      <c r="Z249" s="5"/>
      <c r="AB249" s="5"/>
      <c r="AC249" s="5"/>
      <c r="AD249" s="5"/>
      <c r="AE249" s="5"/>
      <c r="AG249" s="5"/>
      <c r="AH249" s="5"/>
      <c r="AI249" s="5"/>
      <c r="AJ249" s="5"/>
      <c r="AL249" s="5"/>
      <c r="AM249" s="5"/>
      <c r="AN249" s="5"/>
      <c r="AO249" s="5"/>
      <c r="AQ249" s="5"/>
      <c r="AR249" s="5"/>
      <c r="AS249" s="5"/>
      <c r="AT249" s="5"/>
      <c r="BD249" s="5"/>
      <c r="BF249" s="5"/>
      <c r="BG249" s="5"/>
      <c r="BH249" s="5"/>
      <c r="BI249" s="5"/>
      <c r="BM249" s="5"/>
      <c r="BN249" s="5"/>
      <c r="BP249" s="5"/>
      <c r="BQ249" s="5"/>
      <c r="BR249" s="5"/>
      <c r="BS249" s="5"/>
      <c r="BU249" s="5"/>
      <c r="BV249" s="5"/>
      <c r="BW249" s="5"/>
      <c r="BX249" s="5"/>
      <c r="BZ249" s="5"/>
      <c r="CA249" s="5"/>
      <c r="CB249" s="5"/>
      <c r="CC249" s="5"/>
      <c r="CE249" s="5"/>
      <c r="CF249" s="5"/>
      <c r="CG249" s="5"/>
      <c r="CH249" s="5"/>
      <c r="CO249" s="13"/>
      <c r="CP249" s="5"/>
      <c r="CQ249" s="5"/>
      <c r="CR249" s="5"/>
      <c r="CT249" s="5"/>
      <c r="CU249" s="5"/>
      <c r="CV249" s="5"/>
      <c r="CW249" s="5"/>
      <c r="CY249" s="5"/>
      <c r="CZ249" s="5"/>
      <c r="DA249" s="5"/>
      <c r="DB249" s="5"/>
      <c r="DD249" s="5"/>
      <c r="DE249" s="5"/>
      <c r="DF249" s="5"/>
      <c r="DG249" s="5"/>
      <c r="DI249" s="5"/>
      <c r="DJ249" s="5"/>
      <c r="DK249" s="5"/>
      <c r="DL249" s="5"/>
      <c r="DN249" s="5"/>
      <c r="DO249" s="5"/>
      <c r="DP249" s="5"/>
      <c r="DQ249" s="5"/>
      <c r="DS249" s="5"/>
      <c r="DT249" s="5"/>
      <c r="DU249" s="5"/>
      <c r="DV249" s="5"/>
      <c r="DX249" s="5"/>
      <c r="DY249" s="5"/>
      <c r="DZ249" s="5"/>
      <c r="EA249" s="5"/>
      <c r="EC249" s="5"/>
      <c r="ED249" s="5"/>
      <c r="EE249" s="5"/>
      <c r="EF249" s="5"/>
      <c r="EH249" s="5"/>
      <c r="EI249" s="5"/>
      <c r="EJ249" s="5"/>
      <c r="EK249" s="5"/>
      <c r="EM249" s="6">
        <v>3</v>
      </c>
      <c r="EN249" s="6">
        <f>SUM(EN8:EQ8)*EM249</f>
        <v>0</v>
      </c>
      <c r="EX249" s="659">
        <f t="shared" si="1"/>
        <v>0</v>
      </c>
    </row>
    <row r="250" spans="1:154" s="6" customFormat="1" ht="15" customHeight="1">
      <c r="A250" s="3" t="s">
        <v>249</v>
      </c>
      <c r="B250" s="210" t="s">
        <v>249</v>
      </c>
      <c r="C250" s="473" t="s">
        <v>515</v>
      </c>
      <c r="D250" s="138"/>
      <c r="E250" s="5"/>
      <c r="F250" s="5"/>
      <c r="G250" s="5"/>
      <c r="H250" s="5"/>
      <c r="I250" s="4"/>
      <c r="J250" s="4"/>
      <c r="K250" s="4"/>
      <c r="L250" s="4"/>
      <c r="M250" s="4"/>
      <c r="N250" s="4"/>
      <c r="O250" s="4"/>
      <c r="P250" s="4"/>
      <c r="Q250" s="4"/>
      <c r="R250" s="5"/>
      <c r="S250" s="5"/>
      <c r="U250" s="5"/>
      <c r="W250" s="5"/>
      <c r="X250" s="5"/>
      <c r="Y250" s="5"/>
      <c r="Z250" s="5"/>
      <c r="AB250" s="5"/>
      <c r="AC250" s="5"/>
      <c r="AD250" s="5"/>
      <c r="AE250" s="5"/>
      <c r="AG250" s="5"/>
      <c r="AH250" s="5"/>
      <c r="AI250" s="5"/>
      <c r="AJ250" s="5"/>
      <c r="AL250" s="5"/>
      <c r="AM250" s="5"/>
      <c r="AN250" s="5"/>
      <c r="AO250" s="5"/>
      <c r="AQ250" s="5"/>
      <c r="AR250" s="5"/>
      <c r="AS250" s="5"/>
      <c r="AT250" s="5"/>
      <c r="BD250" s="5"/>
      <c r="BF250" s="5"/>
      <c r="BG250" s="5"/>
      <c r="BH250" s="5"/>
      <c r="BI250" s="5"/>
      <c r="BM250" s="5"/>
      <c r="BN250" s="5"/>
      <c r="BP250" s="5"/>
      <c r="BQ250" s="5"/>
      <c r="BR250" s="5"/>
      <c r="BS250" s="5"/>
      <c r="BU250" s="5"/>
      <c r="BV250" s="5"/>
      <c r="BW250" s="5"/>
      <c r="BX250" s="5"/>
      <c r="BZ250" s="5"/>
      <c r="CA250" s="5"/>
      <c r="CB250" s="5"/>
      <c r="CC250" s="5"/>
      <c r="CE250" s="5"/>
      <c r="CF250" s="5"/>
      <c r="CG250" s="5"/>
      <c r="CH250" s="5"/>
      <c r="CO250" s="13"/>
      <c r="CP250" s="5"/>
      <c r="CQ250" s="5"/>
      <c r="CR250" s="5"/>
      <c r="CT250" s="5"/>
      <c r="CU250" s="5"/>
      <c r="CV250" s="5"/>
      <c r="CW250" s="5"/>
      <c r="CY250" s="5"/>
      <c r="CZ250" s="5"/>
      <c r="DA250" s="5"/>
      <c r="DB250" s="5"/>
      <c r="DD250" s="5"/>
      <c r="DE250" s="5"/>
      <c r="DF250" s="5"/>
      <c r="DG250" s="5"/>
      <c r="DI250" s="5"/>
      <c r="DJ250" s="5"/>
      <c r="DK250" s="5"/>
      <c r="DL250" s="5"/>
      <c r="DN250" s="5"/>
      <c r="DO250" s="5"/>
      <c r="DP250" s="5"/>
      <c r="DQ250" s="5"/>
      <c r="DS250" s="5"/>
      <c r="DT250" s="5"/>
      <c r="DU250" s="5"/>
      <c r="DV250" s="5"/>
      <c r="DX250" s="5"/>
      <c r="DY250" s="5"/>
      <c r="DZ250" s="5"/>
      <c r="EA250" s="5"/>
      <c r="EC250" s="5"/>
      <c r="ED250" s="5"/>
      <c r="EE250" s="5"/>
      <c r="EF250" s="5"/>
      <c r="EH250" s="5"/>
      <c r="EI250" s="5"/>
      <c r="EJ250" s="5"/>
      <c r="EK250" s="5"/>
      <c r="EX250" s="659">
        <f t="shared" si="1"/>
        <v>0</v>
      </c>
    </row>
    <row r="251" spans="1:154" s="6" customFormat="1" ht="15" customHeight="1">
      <c r="A251" s="3" t="s">
        <v>245</v>
      </c>
      <c r="B251" s="210" t="s">
        <v>245</v>
      </c>
      <c r="C251" s="473" t="s">
        <v>515</v>
      </c>
      <c r="D251" s="138"/>
      <c r="E251" s="5"/>
      <c r="F251" s="5"/>
      <c r="G251" s="5"/>
      <c r="H251" s="5"/>
      <c r="I251" s="4"/>
      <c r="J251" s="4"/>
      <c r="K251" s="4"/>
      <c r="L251" s="4"/>
      <c r="M251" s="4"/>
      <c r="N251" s="4"/>
      <c r="O251" s="4"/>
      <c r="P251" s="4"/>
      <c r="Q251" s="4"/>
      <c r="R251" s="5"/>
      <c r="S251" s="5"/>
      <c r="U251" s="5"/>
      <c r="W251" s="5"/>
      <c r="X251" s="5"/>
      <c r="Y251" s="5"/>
      <c r="Z251" s="5"/>
      <c r="AB251" s="5"/>
      <c r="AC251" s="5"/>
      <c r="AD251" s="5"/>
      <c r="AE251" s="5"/>
      <c r="AG251" s="5"/>
      <c r="AH251" s="5"/>
      <c r="AI251" s="5"/>
      <c r="AJ251" s="5"/>
      <c r="AL251" s="5"/>
      <c r="AM251" s="5"/>
      <c r="AN251" s="5"/>
      <c r="AO251" s="5"/>
      <c r="AQ251" s="5"/>
      <c r="AR251" s="5"/>
      <c r="AS251" s="5"/>
      <c r="AT251" s="5"/>
      <c r="BD251" s="5"/>
      <c r="BF251" s="5"/>
      <c r="BG251" s="5"/>
      <c r="BH251" s="5"/>
      <c r="BI251" s="5"/>
      <c r="BM251" s="5"/>
      <c r="BN251" s="5"/>
      <c r="BP251" s="5"/>
      <c r="BQ251" s="5"/>
      <c r="BR251" s="5"/>
      <c r="BS251" s="5"/>
      <c r="BU251" s="5"/>
      <c r="BV251" s="5"/>
      <c r="BW251" s="5"/>
      <c r="BX251" s="5"/>
      <c r="BZ251" s="5"/>
      <c r="CA251" s="5"/>
      <c r="CB251" s="5"/>
      <c r="CC251" s="5"/>
      <c r="CE251" s="5"/>
      <c r="CF251" s="5"/>
      <c r="CG251" s="5"/>
      <c r="CH251" s="5"/>
      <c r="CO251" s="13"/>
      <c r="CP251" s="5"/>
      <c r="CQ251" s="5"/>
      <c r="CR251" s="5"/>
      <c r="CT251" s="5"/>
      <c r="CU251" s="5"/>
      <c r="CV251" s="5"/>
      <c r="CW251" s="5"/>
      <c r="CY251" s="5"/>
      <c r="CZ251" s="5"/>
      <c r="DA251" s="5"/>
      <c r="DB251" s="5"/>
      <c r="DD251" s="5"/>
      <c r="DE251" s="5"/>
      <c r="DF251" s="5"/>
      <c r="DG251" s="5"/>
      <c r="DI251" s="5"/>
      <c r="DJ251" s="5"/>
      <c r="DK251" s="5"/>
      <c r="DL251" s="5"/>
      <c r="DN251" s="5"/>
      <c r="DO251" s="5"/>
      <c r="DP251" s="5"/>
      <c r="DQ251" s="5"/>
      <c r="DS251" s="5"/>
      <c r="DT251" s="5"/>
      <c r="DU251" s="5"/>
      <c r="DV251" s="5"/>
      <c r="DX251" s="5"/>
      <c r="DY251" s="5"/>
      <c r="DZ251" s="5"/>
      <c r="EA251" s="5"/>
      <c r="EC251" s="5"/>
      <c r="ED251" s="5"/>
      <c r="EE251" s="5"/>
      <c r="EF251" s="5"/>
      <c r="EH251" s="5"/>
      <c r="EI251" s="5"/>
      <c r="EJ251" s="5"/>
      <c r="EK251" s="5"/>
      <c r="EM251" s="6">
        <v>3</v>
      </c>
      <c r="EN251" s="6">
        <f>SUM(EN9:EQ9)*EM251</f>
        <v>0</v>
      </c>
      <c r="EX251" s="659">
        <f t="shared" si="1"/>
        <v>0</v>
      </c>
    </row>
    <row r="252" spans="1:154" s="6" customFormat="1" ht="15" customHeight="1">
      <c r="A252" s="3" t="s">
        <v>246</v>
      </c>
      <c r="B252" s="210" t="s">
        <v>246</v>
      </c>
      <c r="C252" s="473" t="s">
        <v>515</v>
      </c>
      <c r="D252" s="138"/>
      <c r="E252" s="5"/>
      <c r="F252" s="5"/>
      <c r="G252" s="5"/>
      <c r="H252" s="5"/>
      <c r="I252" s="4"/>
      <c r="J252" s="4"/>
      <c r="K252" s="4"/>
      <c r="L252" s="4"/>
      <c r="M252" s="4"/>
      <c r="N252" s="4"/>
      <c r="O252" s="4"/>
      <c r="P252" s="4"/>
      <c r="Q252" s="4"/>
      <c r="R252" s="5"/>
      <c r="S252" s="5"/>
      <c r="U252" s="5"/>
      <c r="W252" s="5"/>
      <c r="X252" s="5"/>
      <c r="Y252" s="5"/>
      <c r="Z252" s="5"/>
      <c r="AB252" s="5"/>
      <c r="AC252" s="5"/>
      <c r="AD252" s="5"/>
      <c r="AE252" s="5"/>
      <c r="AG252" s="5"/>
      <c r="AH252" s="5"/>
      <c r="AI252" s="5"/>
      <c r="AJ252" s="5"/>
      <c r="AL252" s="5"/>
      <c r="AM252" s="5"/>
      <c r="AN252" s="5"/>
      <c r="AO252" s="5"/>
      <c r="AQ252" s="5"/>
      <c r="AR252" s="5"/>
      <c r="AS252" s="5"/>
      <c r="AT252" s="5"/>
      <c r="BD252" s="5"/>
      <c r="BF252" s="5"/>
      <c r="BG252" s="5"/>
      <c r="BH252" s="5"/>
      <c r="BI252" s="5"/>
      <c r="BM252" s="5"/>
      <c r="BN252" s="5"/>
      <c r="BP252" s="5"/>
      <c r="BQ252" s="5"/>
      <c r="BR252" s="5"/>
      <c r="BS252" s="5"/>
      <c r="BU252" s="5"/>
      <c r="BV252" s="5"/>
      <c r="BW252" s="5"/>
      <c r="BX252" s="5"/>
      <c r="BZ252" s="5"/>
      <c r="CA252" s="5"/>
      <c r="CB252" s="5"/>
      <c r="CC252" s="5"/>
      <c r="CE252" s="5"/>
      <c r="CF252" s="5"/>
      <c r="CG252" s="5"/>
      <c r="CH252" s="5"/>
      <c r="CO252" s="13"/>
      <c r="CP252" s="5"/>
      <c r="CQ252" s="5"/>
      <c r="CR252" s="5"/>
      <c r="CT252" s="5"/>
      <c r="CU252" s="5">
        <f>CU25*CT252+CV25*CT252+CU26*CT252+CV26*CT252+CU5*CT252+CV5*CT252+CU6*CT252+CV6*CT252+CU7*CT252+CV7*CT252+CU8*CT252+CV8*CT252+CU9*CT252+CV9*CT252+CU10*CT252+CV10*CT252+CU11*CT252+CV11*CT252+CU12*CT252+CV12*CT252+CU13*CT252+CV13*CT252+CU14*CT252+CV14*CT252+CU15*CT252+CV15*CT252+CU16*CT252+CV16*CT252+CU17*CT252+CV17*CT252+CU18*CT252+CV18*CT252+CU19*CT252+CV19*CT252+CU20*CT252+CV20*CT252+CU21*CT252+CV21*CT252+CU22*CT252+CV22*CT252+CU23*CT252+CV23*CT252+CU24*CT252+CV24*CT252+CW25*CT252+CW26*CT252+CW5*CT252+CW6*CT252+CW7*CT252+CW8*CT252+CW9*CT252+CW10*CT252+CW11*CT252+CW12*CT252+CW13*CT252+CW14*CT252+CW15*CT252+CW16*CT252+CW17*CT252+CW18*CT252+CW19*CT252+CW20*CT252+CW21*CT252+CW22*CT252+CW23*CT252+CW24*CT252</f>
        <v>0</v>
      </c>
      <c r="CV252" s="5"/>
      <c r="CW252" s="5"/>
      <c r="CY252" s="5"/>
      <c r="CZ252" s="5"/>
      <c r="DA252" s="5"/>
      <c r="DB252" s="5"/>
      <c r="DD252" s="5"/>
      <c r="DE252" s="5"/>
      <c r="DF252" s="5"/>
      <c r="DG252" s="5"/>
      <c r="DI252" s="5"/>
      <c r="DJ252" s="5"/>
      <c r="DK252" s="5"/>
      <c r="DL252" s="5"/>
      <c r="DN252" s="5"/>
      <c r="DO252" s="5"/>
      <c r="DP252" s="5"/>
      <c r="DQ252" s="5"/>
      <c r="DS252" s="5"/>
      <c r="DT252" s="5"/>
      <c r="DU252" s="5"/>
      <c r="DV252" s="5"/>
      <c r="DX252" s="5"/>
      <c r="DY252" s="5"/>
      <c r="DZ252" s="5"/>
      <c r="EA252" s="5"/>
      <c r="EC252" s="5"/>
      <c r="ED252" s="5"/>
      <c r="EE252" s="5"/>
      <c r="EF252" s="5"/>
      <c r="EH252" s="5"/>
      <c r="EI252" s="5"/>
      <c r="EJ252" s="5"/>
      <c r="EK252" s="5"/>
      <c r="EM252" s="6">
        <v>3</v>
      </c>
      <c r="EN252" s="6">
        <f>SUM(EN10:EQ10)*EM252</f>
        <v>0</v>
      </c>
      <c r="EX252" s="659">
        <f t="shared" si="1"/>
        <v>0</v>
      </c>
    </row>
    <row r="253" spans="1:154" s="6" customFormat="1" ht="15" customHeight="1">
      <c r="A253" s="3" t="s">
        <v>361</v>
      </c>
      <c r="B253" s="210" t="s">
        <v>251</v>
      </c>
      <c r="C253" s="473" t="s">
        <v>515</v>
      </c>
      <c r="D253" s="138"/>
      <c r="E253" s="5"/>
      <c r="F253" s="5"/>
      <c r="G253" s="5"/>
      <c r="H253" s="5"/>
      <c r="I253" s="4"/>
      <c r="J253" s="4"/>
      <c r="K253" s="4"/>
      <c r="L253" s="4"/>
      <c r="M253" s="4"/>
      <c r="N253" s="4"/>
      <c r="O253" s="4"/>
      <c r="P253" s="4"/>
      <c r="Q253" s="4"/>
      <c r="R253" s="5"/>
      <c r="S253" s="5"/>
      <c r="U253" s="5"/>
      <c r="W253" s="5"/>
      <c r="X253" s="5"/>
      <c r="Y253" s="5"/>
      <c r="Z253" s="5"/>
      <c r="AB253" s="5"/>
      <c r="AC253" s="5"/>
      <c r="AD253" s="5"/>
      <c r="AE253" s="5"/>
      <c r="AG253" s="5"/>
      <c r="AH253" s="5"/>
      <c r="AI253" s="5"/>
      <c r="AJ253" s="5"/>
      <c r="AL253" s="5"/>
      <c r="AM253" s="5"/>
      <c r="AN253" s="5"/>
      <c r="AO253" s="5"/>
      <c r="AQ253" s="5"/>
      <c r="AR253" s="5"/>
      <c r="AS253" s="5"/>
      <c r="AT253" s="5"/>
      <c r="BD253" s="5"/>
      <c r="BF253" s="5"/>
      <c r="BG253" s="5"/>
      <c r="BH253" s="5"/>
      <c r="BI253" s="5"/>
      <c r="BM253" s="5"/>
      <c r="BN253" s="5"/>
      <c r="BP253" s="5"/>
      <c r="BQ253" s="5"/>
      <c r="BR253" s="5"/>
      <c r="BS253" s="5"/>
      <c r="BU253" s="5"/>
      <c r="BV253" s="5"/>
      <c r="BW253" s="5"/>
      <c r="BX253" s="5"/>
      <c r="BZ253" s="5"/>
      <c r="CA253" s="5"/>
      <c r="CB253" s="5"/>
      <c r="CC253" s="5"/>
      <c r="CE253" s="5"/>
      <c r="CF253" s="5"/>
      <c r="CG253" s="5"/>
      <c r="CH253" s="5"/>
      <c r="CO253" s="13"/>
      <c r="CP253" s="5"/>
      <c r="CQ253" s="5"/>
      <c r="CR253" s="5"/>
      <c r="CT253" s="5"/>
      <c r="CU253" s="5"/>
      <c r="CV253" s="5"/>
      <c r="CW253" s="5"/>
      <c r="CY253" s="5"/>
      <c r="CZ253" s="5"/>
      <c r="DA253" s="5"/>
      <c r="DB253" s="5"/>
      <c r="DD253" s="5"/>
      <c r="DE253" s="5"/>
      <c r="DF253" s="5"/>
      <c r="DG253" s="5"/>
      <c r="DI253" s="5"/>
      <c r="DJ253" s="5"/>
      <c r="DK253" s="5"/>
      <c r="DL253" s="5"/>
      <c r="DN253" s="5"/>
      <c r="DO253" s="5"/>
      <c r="DP253" s="5"/>
      <c r="DQ253" s="5"/>
      <c r="DS253" s="5"/>
      <c r="DT253" s="5"/>
      <c r="DU253" s="5"/>
      <c r="DV253" s="5"/>
      <c r="DX253" s="5"/>
      <c r="DY253" s="5"/>
      <c r="DZ253" s="5"/>
      <c r="EA253" s="5"/>
      <c r="EC253" s="5"/>
      <c r="ED253" s="5"/>
      <c r="EE253" s="5"/>
      <c r="EF253" s="5"/>
      <c r="EH253" s="5"/>
      <c r="EI253" s="5"/>
      <c r="EJ253" s="5"/>
      <c r="EK253" s="5"/>
      <c r="EM253" s="6">
        <v>3</v>
      </c>
      <c r="EN253" s="6">
        <f>SUM(EN12:EQ12)*EM253</f>
        <v>0</v>
      </c>
      <c r="EX253" s="659">
        <f t="shared" si="1"/>
        <v>0</v>
      </c>
    </row>
    <row r="254" spans="1:154" s="6" customFormat="1" ht="15" customHeight="1">
      <c r="A254" s="3" t="s">
        <v>247</v>
      </c>
      <c r="B254" s="210" t="s">
        <v>247</v>
      </c>
      <c r="C254" s="473" t="s">
        <v>515</v>
      </c>
      <c r="D254" s="138"/>
      <c r="E254" s="5">
        <f>SUM($ER$5:$ER$17)</f>
        <v>0</v>
      </c>
      <c r="F254" s="5">
        <f>IF(AND(E254&gt;=5,E254&lt;=150),SUM(F5:F26,G5:G26,H5:H26)*3,0)</f>
        <v>0</v>
      </c>
      <c r="G254" s="5"/>
      <c r="H254" s="5"/>
      <c r="I254" s="4" t="b">
        <f>IF(SUM(EN11:EQ11,EN12:EQ12)&gt;=1,0)</f>
        <v>0</v>
      </c>
      <c r="J254" s="658">
        <f>-IF(SUM(EN11:EQ11,EN12:EQ12)&gt;0,0,0)</f>
        <v>0</v>
      </c>
      <c r="K254" s="658"/>
      <c r="L254" s="4"/>
      <c r="M254" s="4"/>
      <c r="N254" s="4"/>
      <c r="O254" s="4"/>
      <c r="P254" s="4"/>
      <c r="Q254" s="4"/>
      <c r="R254" s="5"/>
      <c r="S254" s="5"/>
      <c r="U254" s="5"/>
      <c r="W254" s="5"/>
      <c r="X254" s="5"/>
      <c r="Y254" s="5"/>
      <c r="Z254" s="5"/>
      <c r="AB254" s="5"/>
      <c r="AC254" s="5"/>
      <c r="AD254" s="5"/>
      <c r="AE254" s="5"/>
      <c r="AG254" s="5"/>
      <c r="AH254" s="5"/>
      <c r="AI254" s="5"/>
      <c r="AJ254" s="5"/>
      <c r="AL254" s="5"/>
      <c r="AM254" s="5"/>
      <c r="AN254" s="5"/>
      <c r="AO254" s="5"/>
      <c r="AQ254" s="5"/>
      <c r="AR254" s="5"/>
      <c r="AS254" s="5"/>
      <c r="AT254" s="5"/>
      <c r="BD254" s="5"/>
      <c r="BF254" s="5"/>
      <c r="BG254" s="5"/>
      <c r="BH254" s="5"/>
      <c r="BI254" s="5"/>
      <c r="BM254" s="5"/>
      <c r="BN254" s="5"/>
      <c r="BP254" s="5">
        <f>SUM($ER$5:$ER$17)</f>
        <v>0</v>
      </c>
      <c r="BQ254" s="5">
        <f>IF(AND(BP254&gt;=5,BP254&lt;=150),SUM(BQ5:BQ26,BR5:BR26,BS5:BS26)*3,0)</f>
        <v>0</v>
      </c>
      <c r="BR254" s="5"/>
      <c r="BS254" s="5"/>
      <c r="BU254" s="5">
        <f>SUM($ER$5:$ER$17)</f>
        <v>0</v>
      </c>
      <c r="BV254" s="5">
        <f>IF(AND(BU254&gt;=5,BU254&lt;=150),SUM(BV5:BV26,BW5:BW26,BX5:BX26)*9,0)</f>
        <v>0</v>
      </c>
      <c r="BW254" s="5"/>
      <c r="BX254" s="5"/>
      <c r="BZ254" s="5"/>
      <c r="CA254" s="5"/>
      <c r="CB254" s="5"/>
      <c r="CC254" s="5"/>
      <c r="CE254" s="5">
        <f>SUM($ER$5:$ER$17)</f>
        <v>0</v>
      </c>
      <c r="CF254" s="5">
        <f>IF(AND(CE254&gt;=5,CE254&lt;=150),SUM(CF5:CF26,CG5:CG26,CH5:CH26)*3,0)</f>
        <v>0</v>
      </c>
      <c r="CG254" s="5"/>
      <c r="CH254" s="5"/>
      <c r="CO254" s="13"/>
      <c r="CP254" s="5"/>
      <c r="CQ254" s="5"/>
      <c r="CR254" s="5"/>
      <c r="CT254" s="5">
        <f>SUM($ER$5:$ER$17)</f>
        <v>0</v>
      </c>
      <c r="CU254" s="5">
        <f>IF(AND(CT254&gt;=5,CT254&lt;=150),SUM(CU5:CU26,CV5:CV26,CW5:CW26)*3,0)</f>
        <v>0</v>
      </c>
      <c r="CV254" s="5"/>
      <c r="CW254" s="5"/>
      <c r="CY254" s="5">
        <f>SUM($ER$5:$ER$17)</f>
        <v>0</v>
      </c>
      <c r="CZ254" s="5">
        <f>IF(AND(CY254&gt;=5,CY254&lt;=150),SUM(CZ5:CZ26,DA5:DA26,DB5:DB26)*9,0)</f>
        <v>0</v>
      </c>
      <c r="DA254" s="5"/>
      <c r="DB254" s="5"/>
      <c r="DD254" s="5"/>
      <c r="DE254" s="5"/>
      <c r="DF254" s="5"/>
      <c r="DG254" s="5"/>
      <c r="DI254" s="5"/>
      <c r="DJ254" s="5"/>
      <c r="DK254" s="5"/>
      <c r="DL254" s="5"/>
      <c r="DN254" s="5"/>
      <c r="DO254" s="5"/>
      <c r="DP254" s="5"/>
      <c r="DQ254" s="5"/>
      <c r="DS254" s="5"/>
      <c r="DT254" s="5"/>
      <c r="DU254" s="5"/>
      <c r="DV254" s="5"/>
      <c r="DX254" s="5"/>
      <c r="DY254" s="5"/>
      <c r="DZ254" s="5"/>
      <c r="EA254" s="5"/>
      <c r="EC254" s="5"/>
      <c r="ED254" s="5"/>
      <c r="EE254" s="5"/>
      <c r="EF254" s="5"/>
      <c r="EH254" s="5"/>
      <c r="EI254" s="5"/>
      <c r="EJ254" s="5"/>
      <c r="EK254" s="5"/>
      <c r="EM254" s="6">
        <v>3</v>
      </c>
      <c r="EN254" s="6">
        <f>SUM(EN11:EQ11)*EM254</f>
        <v>0</v>
      </c>
      <c r="EX254" s="659">
        <f t="shared" si="1"/>
        <v>0</v>
      </c>
    </row>
    <row r="255" spans="1:154" s="6" customFormat="1" ht="15" customHeight="1">
      <c r="A255" s="3" t="s">
        <v>251</v>
      </c>
      <c r="B255" s="210" t="s">
        <v>1481</v>
      </c>
      <c r="C255" s="473" t="s">
        <v>515</v>
      </c>
      <c r="D255" s="138"/>
      <c r="E255" s="5">
        <f>SUM($ER$5:$ER$17)</f>
        <v>0</v>
      </c>
      <c r="F255" s="5">
        <f>G255*SUM(F5:F26,G5:G26,H5:H26)</f>
        <v>0</v>
      </c>
      <c r="G255" s="5">
        <f>IF(SUM(F254,F256:F257,E255)&gt;=3,0,SUM(F5:F26,G5:G26,H5:H26)*3)</f>
        <v>0</v>
      </c>
      <c r="H255" s="5"/>
      <c r="I255" s="4">
        <v>3</v>
      </c>
      <c r="J255" s="4"/>
      <c r="K255" s="4"/>
      <c r="L255" s="4"/>
      <c r="M255" s="4"/>
      <c r="N255" s="4"/>
      <c r="O255" s="4"/>
      <c r="P255" s="4"/>
      <c r="Q255" s="4"/>
      <c r="R255" s="5"/>
      <c r="S255" s="5"/>
      <c r="U255" s="5"/>
      <c r="W255" s="5"/>
      <c r="X255" s="5"/>
      <c r="Y255" s="5"/>
      <c r="Z255" s="5"/>
      <c r="AB255" s="5"/>
      <c r="AC255" s="5"/>
      <c r="AD255" s="5"/>
      <c r="AE255" s="5"/>
      <c r="AG255" s="5"/>
      <c r="AH255" s="5"/>
      <c r="AI255" s="5"/>
      <c r="AJ255" s="5"/>
      <c r="AL255" s="5"/>
      <c r="AM255" s="5"/>
      <c r="AN255" s="5"/>
      <c r="AO255" s="5"/>
      <c r="AQ255" s="5"/>
      <c r="AR255" s="5"/>
      <c r="AS255" s="5"/>
      <c r="AT255" s="5"/>
      <c r="BD255" s="5"/>
      <c r="BF255" s="5"/>
      <c r="BG255" s="5"/>
      <c r="BH255" s="5"/>
      <c r="BI255" s="5"/>
      <c r="BM255" s="5"/>
      <c r="BN255" s="5"/>
      <c r="BP255" s="5">
        <f>SUM($ER$5:$ER$17)</f>
        <v>0</v>
      </c>
      <c r="BQ255" s="5">
        <f>BR255*SUM(BQ5:BQ26,BR5:BR26,BS5:BS26)</f>
        <v>0</v>
      </c>
      <c r="BR255" s="5">
        <f>IF(SUM(BQ254,BQ256:BQ257,BP255)&gt;=3,0,SUM(BQ5:BQ26,BR5:BR26,BS5:BS26)*3)</f>
        <v>0</v>
      </c>
      <c r="BS255" s="5"/>
      <c r="BU255" s="5">
        <f>SUM($ER$5:$ER$17)</f>
        <v>0</v>
      </c>
      <c r="BV255" s="5">
        <f>BW255*SUM(BV5:BV26,BW5:BW26,BX5:BX26)</f>
        <v>0</v>
      </c>
      <c r="BW255" s="5">
        <f>IF(SUM(BV254,BV256:BV257,BU255)&gt;=3,0,SUM(BV5:BV26,BW5:BW26,BX5:BX26)*9)</f>
        <v>0</v>
      </c>
      <c r="BX255" s="5"/>
      <c r="BZ255" s="5"/>
      <c r="CA255" s="5"/>
      <c r="CB255" s="5"/>
      <c r="CC255" s="5"/>
      <c r="CE255" s="5">
        <f>SUM($ER$5:$ER$17)</f>
        <v>0</v>
      </c>
      <c r="CF255" s="5">
        <f>CG255*SUM(CF5:CF26,CG5:CG26,CH5:CH26)</f>
        <v>0</v>
      </c>
      <c r="CG255" s="5">
        <f>IF(SUM(CF254,CF256:CF257,CE255)&gt;=3,0,SUM(CF5:CF26,CG5:CG26,CH5:CH26)*3)</f>
        <v>0</v>
      </c>
      <c r="CH255" s="5"/>
      <c r="CO255" s="13"/>
      <c r="CP255" s="5"/>
      <c r="CQ255" s="5"/>
      <c r="CR255" s="5"/>
      <c r="CT255" s="5">
        <f>SUM($ER$5:$ER$17)</f>
        <v>0</v>
      </c>
      <c r="CU255" s="5">
        <f>CV255*SUM(CU5:CU26,CV5:CV26,CW5:CW26)</f>
        <v>0</v>
      </c>
      <c r="CV255" s="5">
        <f>IF(SUM(CU254,CU256:CU257,CT255)&gt;=3,0,SUM(CU5:CU26,CV5:CV26,CW5:CW26)*3)</f>
        <v>0</v>
      </c>
      <c r="CW255" s="5"/>
      <c r="CY255" s="5">
        <f>SUM($ER$5:$ER$17)</f>
        <v>0</v>
      </c>
      <c r="CZ255" s="5">
        <f>DA255*SUM(CZ5:CZ26,DA5:DA26,DB5:DB26)</f>
        <v>0</v>
      </c>
      <c r="DA255" s="5">
        <f>IF(SUM(CZ254,CZ256:CZ257,CY255)&gt;=3,0,SUM(CZ5:CZ26,DA5:DA26,DB5:DB26)*9)</f>
        <v>0</v>
      </c>
      <c r="DB255" s="5"/>
      <c r="DD255" s="5"/>
      <c r="DE255" s="5"/>
      <c r="DF255" s="5"/>
      <c r="DG255" s="5"/>
      <c r="DI255" s="5"/>
      <c r="DJ255" s="5"/>
      <c r="DK255" s="5"/>
      <c r="DL255" s="5"/>
      <c r="DN255" s="5"/>
      <c r="DO255" s="5"/>
      <c r="DP255" s="5"/>
      <c r="DQ255" s="5"/>
      <c r="DS255" s="5"/>
      <c r="DT255" s="5"/>
      <c r="DU255" s="5"/>
      <c r="DV255" s="5"/>
      <c r="DX255" s="5"/>
      <c r="DY255" s="5"/>
      <c r="DZ255" s="5"/>
      <c r="EA255" s="5"/>
      <c r="EC255" s="5"/>
      <c r="ED255" s="5"/>
      <c r="EE255" s="5"/>
      <c r="EF255" s="5"/>
      <c r="EH255" s="5"/>
      <c r="EI255" s="5"/>
      <c r="EJ255" s="5"/>
      <c r="EK255" s="5"/>
      <c r="EX255" s="659">
        <f t="shared" si="1"/>
        <v>0</v>
      </c>
    </row>
    <row r="256" spans="1:154" s="6" customFormat="1" ht="15" customHeight="1">
      <c r="A256" s="3" t="s">
        <v>248</v>
      </c>
      <c r="B256" s="210" t="s">
        <v>248</v>
      </c>
      <c r="C256" s="473" t="s">
        <v>515</v>
      </c>
      <c r="D256" s="138"/>
      <c r="E256" s="5">
        <f>SUM($ER$5:$ER$17)</f>
        <v>0</v>
      </c>
      <c r="F256" s="5">
        <f>IF(AND(E256&gt;=151,E256&lt;=225),SUM(F5:F26,G5:G26,H5:H26)*3,(0))</f>
        <v>0</v>
      </c>
      <c r="G256" s="5"/>
      <c r="H256" s="5"/>
      <c r="I256" s="4"/>
      <c r="J256" s="4"/>
      <c r="K256" s="4"/>
      <c r="L256" s="4"/>
      <c r="M256" s="4"/>
      <c r="N256" s="4"/>
      <c r="O256" s="4"/>
      <c r="P256" s="4"/>
      <c r="Q256" s="4"/>
      <c r="R256" s="5"/>
      <c r="S256" s="5"/>
      <c r="U256" s="5"/>
      <c r="W256" s="5"/>
      <c r="X256" s="5"/>
      <c r="Y256" s="5"/>
      <c r="Z256" s="5"/>
      <c r="AB256" s="5"/>
      <c r="AC256" s="5"/>
      <c r="AD256" s="5"/>
      <c r="AE256" s="5"/>
      <c r="AG256" s="5"/>
      <c r="AH256" s="5"/>
      <c r="AI256" s="5"/>
      <c r="AJ256" s="5"/>
      <c r="AL256" s="5"/>
      <c r="AM256" s="5"/>
      <c r="AN256" s="5"/>
      <c r="AO256" s="5"/>
      <c r="AQ256" s="5"/>
      <c r="AR256" s="5"/>
      <c r="AS256" s="5"/>
      <c r="AT256" s="5"/>
      <c r="BD256" s="5"/>
      <c r="BF256" s="5"/>
      <c r="BG256" s="5"/>
      <c r="BH256" s="5"/>
      <c r="BI256" s="5"/>
      <c r="BM256" s="5"/>
      <c r="BN256" s="5"/>
      <c r="BP256" s="5">
        <f>SUM($ER$5:$ER$17)</f>
        <v>0</v>
      </c>
      <c r="BQ256" s="5">
        <f>IF(AND(BP256&gt;=151,BP256&lt;=225),SUM(BQ5:BQ26,BR5:BR26,BS5:BS26)*3,(0))</f>
        <v>0</v>
      </c>
      <c r="BR256" s="5"/>
      <c r="BS256" s="5"/>
      <c r="BU256" s="5">
        <f>SUM($ER$5:$ER$17)</f>
        <v>0</v>
      </c>
      <c r="BV256" s="5">
        <f>IF(AND(BU256&gt;=151,BU256&lt;=225),SUM(BV5:BV26,BW5:BW26,BX5:BX26)*9,(0))</f>
        <v>0</v>
      </c>
      <c r="BW256" s="5"/>
      <c r="BX256" s="5"/>
      <c r="BZ256" s="5"/>
      <c r="CA256" s="5"/>
      <c r="CB256" s="5"/>
      <c r="CC256" s="5"/>
      <c r="CE256" s="5">
        <f>SUM($ER$5:$ER$17)</f>
        <v>0</v>
      </c>
      <c r="CF256" s="5">
        <f>IF(AND(CE256&gt;=151,CE256&lt;=225),SUM(CF5:CF26,CG5:CG26,CH5:CH26)*3,(0))</f>
        <v>0</v>
      </c>
      <c r="CG256" s="5"/>
      <c r="CH256" s="5"/>
      <c r="CO256" s="13"/>
      <c r="CP256" s="5"/>
      <c r="CQ256" s="5"/>
      <c r="CR256" s="5"/>
      <c r="CT256" s="5">
        <f>SUM($ER$5:$ER$17)</f>
        <v>0</v>
      </c>
      <c r="CU256" s="5">
        <f>IF(AND(CT256&gt;=151,CT256&lt;=225),SUM(CU5:CU26,CV5:CV26,CW5:CW26)*3,(0))</f>
        <v>0</v>
      </c>
      <c r="CV256" s="5"/>
      <c r="CW256" s="5"/>
      <c r="CY256" s="5">
        <f>SUM($ER$5:$ER$17)</f>
        <v>0</v>
      </c>
      <c r="CZ256" s="5">
        <f>IF(AND(CY256&gt;=151,CY256&lt;=225),SUM(CZ5:CZ26,DA5:DA26,DB5:DB26)*9,(0))</f>
        <v>0</v>
      </c>
      <c r="DA256" s="5"/>
      <c r="DB256" s="5"/>
      <c r="DD256" s="5"/>
      <c r="DE256" s="5"/>
      <c r="DF256" s="5"/>
      <c r="DG256" s="5"/>
      <c r="DI256" s="5"/>
      <c r="DJ256" s="5"/>
      <c r="DK256" s="5"/>
      <c r="DL256" s="5"/>
      <c r="DN256" s="5"/>
      <c r="DO256" s="5"/>
      <c r="DP256" s="5"/>
      <c r="DQ256" s="5"/>
      <c r="DS256" s="5"/>
      <c r="DT256" s="5"/>
      <c r="DU256" s="5"/>
      <c r="DV256" s="5"/>
      <c r="DX256" s="5"/>
      <c r="DY256" s="5"/>
      <c r="DZ256" s="5"/>
      <c r="EA256" s="5"/>
      <c r="EC256" s="5"/>
      <c r="ED256" s="5"/>
      <c r="EE256" s="5"/>
      <c r="EF256" s="5"/>
      <c r="EH256" s="5"/>
      <c r="EI256" s="5"/>
      <c r="EJ256" s="5"/>
      <c r="EK256" s="5"/>
      <c r="EX256" s="659">
        <f t="shared" si="1"/>
        <v>0</v>
      </c>
    </row>
    <row r="257" spans="1:154" s="6" customFormat="1" ht="15" customHeight="1">
      <c r="A257" s="3" t="s">
        <v>253</v>
      </c>
      <c r="B257" s="210" t="s">
        <v>411</v>
      </c>
      <c r="C257" s="473" t="s">
        <v>515</v>
      </c>
      <c r="D257" s="138"/>
      <c r="E257" s="5">
        <f>SUM($ER$5:$ER$17)</f>
        <v>0</v>
      </c>
      <c r="F257" s="5">
        <f>IF(AND(E257&gt;=226,E257&lt;=750),SUM(F5:F26,G5:G26,H5:H26)*3,(0))</f>
        <v>0</v>
      </c>
      <c r="G257" s="5"/>
      <c r="H257" s="5"/>
      <c r="I257" s="4"/>
      <c r="J257" s="4"/>
      <c r="K257" s="4"/>
      <c r="L257" s="4"/>
      <c r="M257" s="4"/>
      <c r="N257" s="4"/>
      <c r="O257" s="4"/>
      <c r="P257" s="4"/>
      <c r="Q257" s="4"/>
      <c r="R257" s="5"/>
      <c r="S257" s="5"/>
      <c r="U257" s="5"/>
      <c r="W257" s="5"/>
      <c r="X257" s="5"/>
      <c r="Y257" s="5"/>
      <c r="Z257" s="5"/>
      <c r="AB257" s="5"/>
      <c r="AC257" s="5"/>
      <c r="AD257" s="5"/>
      <c r="AE257" s="5"/>
      <c r="AG257" s="5"/>
      <c r="AH257" s="5"/>
      <c r="AI257" s="5"/>
      <c r="AJ257" s="5"/>
      <c r="AL257" s="5"/>
      <c r="AM257" s="5"/>
      <c r="AN257" s="5"/>
      <c r="AO257" s="5"/>
      <c r="AQ257" s="5"/>
      <c r="AR257" s="5"/>
      <c r="AS257" s="5"/>
      <c r="AT257" s="5"/>
      <c r="BD257" s="5"/>
      <c r="BF257" s="5"/>
      <c r="BG257" s="5"/>
      <c r="BH257" s="5"/>
      <c r="BI257" s="5"/>
      <c r="BM257" s="5"/>
      <c r="BN257" s="5"/>
      <c r="BP257" s="5">
        <f>SUM($ER$5:$ER$17)</f>
        <v>0</v>
      </c>
      <c r="BQ257" s="5">
        <f>IF(AND(BP257&gt;=226,BP257&lt;=750),SUM(BQ5:BQ26,BR5:BR26,BS5:BS26)*3,(0))</f>
        <v>0</v>
      </c>
      <c r="BR257" s="5"/>
      <c r="BS257" s="5"/>
      <c r="BU257" s="5">
        <f>SUM($ER$5:$ER$17)</f>
        <v>0</v>
      </c>
      <c r="BV257" s="5">
        <f>IF(AND(BU257&gt;=226,BU257&lt;=750),SUM(BV5:BV26,BW5:BW26,BX5:BX26)*9,(0))</f>
        <v>0</v>
      </c>
      <c r="BW257" s="5"/>
      <c r="BX257" s="5"/>
      <c r="BZ257" s="5"/>
      <c r="CA257" s="5"/>
      <c r="CB257" s="5"/>
      <c r="CC257" s="5"/>
      <c r="CE257" s="5">
        <f>SUM($ER$5:$ER$17)</f>
        <v>0</v>
      </c>
      <c r="CF257" s="5">
        <f>IF(AND(CE257&gt;=226,CE257&lt;=750),SUM(CF5:CF26,CG5:CG26,CH5:CH26)*3,(0))</f>
        <v>0</v>
      </c>
      <c r="CG257" s="5"/>
      <c r="CH257" s="5"/>
      <c r="CO257" s="13"/>
      <c r="CP257" s="5"/>
      <c r="CQ257" s="5"/>
      <c r="CR257" s="5"/>
      <c r="CT257" s="5">
        <f>SUM($ER$5:$ER$17)</f>
        <v>0</v>
      </c>
      <c r="CU257" s="5">
        <f>IF(AND(CT257&gt;=226,CT257&lt;=750),SUM(CU5:CU26,CV5:CV26,CW5:CW26)*3,(0))</f>
        <v>0</v>
      </c>
      <c r="CV257" s="5"/>
      <c r="CW257" s="5"/>
      <c r="CY257" s="5">
        <f>SUM($ER$5:$ER$17)</f>
        <v>0</v>
      </c>
      <c r="CZ257" s="5">
        <f>IF(AND(CY257&gt;=226,CY257&lt;=750),SUM(CZ5:CZ26,DA5:DA26,DB5:DB26)*9,(0))</f>
        <v>0</v>
      </c>
      <c r="DA257" s="5"/>
      <c r="DB257" s="5"/>
      <c r="DD257" s="5"/>
      <c r="DE257" s="5"/>
      <c r="DF257" s="5"/>
      <c r="DG257" s="5"/>
      <c r="DI257" s="5"/>
      <c r="DJ257" s="5"/>
      <c r="DK257" s="5"/>
      <c r="DL257" s="5"/>
      <c r="DN257" s="5"/>
      <c r="DO257" s="5"/>
      <c r="DP257" s="5"/>
      <c r="DQ257" s="5"/>
      <c r="DS257" s="5"/>
      <c r="DT257" s="5"/>
      <c r="DU257" s="5"/>
      <c r="DV257" s="5"/>
      <c r="DX257" s="5"/>
      <c r="DY257" s="5"/>
      <c r="DZ257" s="5"/>
      <c r="EA257" s="5"/>
      <c r="EC257" s="5"/>
      <c r="ED257" s="5"/>
      <c r="EE257" s="5"/>
      <c r="EF257" s="5"/>
      <c r="EH257" s="5"/>
      <c r="EI257" s="5"/>
      <c r="EJ257" s="5"/>
      <c r="EK257" s="5"/>
      <c r="EX257" s="659">
        <f t="shared" si="1"/>
        <v>0</v>
      </c>
    </row>
    <row r="258" spans="1:154" s="6" customFormat="1" ht="15" customHeight="1">
      <c r="A258" s="3" t="s">
        <v>195</v>
      </c>
      <c r="B258" s="210" t="s">
        <v>195</v>
      </c>
      <c r="C258" s="473" t="s">
        <v>515</v>
      </c>
      <c r="D258" s="138"/>
      <c r="E258" s="5"/>
      <c r="F258" s="5"/>
      <c r="G258" s="5"/>
      <c r="H258" s="5"/>
      <c r="I258" s="4">
        <f>C8/(2500)</f>
        <v>0</v>
      </c>
      <c r="J258" s="4"/>
      <c r="K258" s="658">
        <f>ROUNDDOWN(I258,0)*3</f>
        <v>0</v>
      </c>
      <c r="L258" s="4"/>
      <c r="M258" s="4"/>
      <c r="N258" s="4"/>
      <c r="O258" s="4"/>
      <c r="P258" s="4"/>
      <c r="Q258" s="4"/>
      <c r="R258" s="5"/>
      <c r="S258" s="5"/>
      <c r="T258" s="6">
        <f>C16</f>
        <v>0</v>
      </c>
      <c r="U258" s="5"/>
      <c r="W258" s="5"/>
      <c r="X258" s="5"/>
      <c r="Y258" s="5"/>
      <c r="Z258" s="5"/>
      <c r="AB258" s="5"/>
      <c r="AC258" s="5"/>
      <c r="AD258" s="5"/>
      <c r="AE258" s="5"/>
      <c r="AG258" s="5"/>
      <c r="AH258" s="5"/>
      <c r="AI258" s="5"/>
      <c r="AJ258" s="5"/>
      <c r="AL258" s="5"/>
      <c r="AM258" s="5"/>
      <c r="AN258" s="5"/>
      <c r="AO258" s="5"/>
      <c r="AQ258" s="5"/>
      <c r="AR258" s="5"/>
      <c r="AS258" s="5"/>
      <c r="AT258" s="5"/>
      <c r="BD258" s="5"/>
      <c r="BF258" s="5"/>
      <c r="BG258" s="5"/>
      <c r="BH258" s="5"/>
      <c r="BI258" s="5"/>
      <c r="BM258" s="5"/>
      <c r="BN258" s="5"/>
      <c r="BP258" s="5"/>
      <c r="BQ258" s="5"/>
      <c r="BR258" s="5"/>
      <c r="BS258" s="5"/>
      <c r="BU258" s="5"/>
      <c r="BV258" s="5"/>
      <c r="BW258" s="5"/>
      <c r="BX258" s="5"/>
      <c r="BZ258" s="5"/>
      <c r="CA258" s="5"/>
      <c r="CB258" s="5"/>
      <c r="CC258" s="5"/>
      <c r="CE258" s="5"/>
      <c r="CF258" s="5"/>
      <c r="CG258" s="5"/>
      <c r="CH258" s="5"/>
      <c r="CO258" s="13"/>
      <c r="CP258" s="5"/>
      <c r="CQ258" s="5"/>
      <c r="CR258" s="5"/>
      <c r="CT258" s="5"/>
      <c r="CU258" s="5"/>
      <c r="CV258" s="5"/>
      <c r="CW258" s="5"/>
      <c r="CY258" s="5"/>
      <c r="CZ258" s="5"/>
      <c r="DA258" s="5"/>
      <c r="DB258" s="5"/>
      <c r="DD258" s="5"/>
      <c r="DE258" s="5"/>
      <c r="DF258" s="5"/>
      <c r="DG258" s="5"/>
      <c r="DI258" s="5"/>
      <c r="DJ258" s="5"/>
      <c r="DK258" s="5"/>
      <c r="DL258" s="5"/>
      <c r="DN258" s="5"/>
      <c r="DO258" s="5"/>
      <c r="DP258" s="5"/>
      <c r="DQ258" s="5"/>
      <c r="DS258" s="5"/>
      <c r="DT258" s="5"/>
      <c r="DU258" s="5"/>
      <c r="DV258" s="5"/>
      <c r="DX258" s="5"/>
      <c r="DY258" s="5"/>
      <c r="DZ258" s="5"/>
      <c r="EA258" s="5"/>
      <c r="EC258" s="5"/>
      <c r="ED258" s="5"/>
      <c r="EE258" s="5"/>
      <c r="EF258" s="5"/>
      <c r="EH258" s="5"/>
      <c r="EI258" s="5"/>
      <c r="EJ258" s="5"/>
      <c r="EK258" s="5"/>
      <c r="EX258" s="659">
        <f t="shared" si="1"/>
        <v>0</v>
      </c>
    </row>
    <row r="259" spans="1:154" s="6" customFormat="1" ht="15" customHeight="1">
      <c r="A259" s="3" t="s">
        <v>194</v>
      </c>
      <c r="B259" s="210" t="s">
        <v>194</v>
      </c>
      <c r="C259" s="473" t="s">
        <v>515</v>
      </c>
      <c r="D259" s="138"/>
      <c r="E259" s="5"/>
      <c r="F259" s="5"/>
      <c r="G259" s="5"/>
      <c r="H259" s="5"/>
      <c r="I259" s="4">
        <f>C9/(2000)</f>
        <v>0</v>
      </c>
      <c r="J259" s="4"/>
      <c r="K259" s="658">
        <f>ROUNDDOWN(I259,0)*3</f>
        <v>0</v>
      </c>
      <c r="L259" s="4"/>
      <c r="M259" s="4"/>
      <c r="N259" s="4"/>
      <c r="O259" s="4"/>
      <c r="P259" s="4"/>
      <c r="Q259" s="4"/>
      <c r="R259" s="5"/>
      <c r="S259" s="5"/>
      <c r="U259" s="5"/>
      <c r="W259" s="5"/>
      <c r="X259" s="5"/>
      <c r="Y259" s="5"/>
      <c r="Z259" s="5"/>
      <c r="AB259" s="5"/>
      <c r="AC259" s="5"/>
      <c r="AD259" s="5"/>
      <c r="AE259" s="5"/>
      <c r="AG259" s="5"/>
      <c r="AH259" s="5"/>
      <c r="AI259" s="5"/>
      <c r="AJ259" s="5"/>
      <c r="AL259" s="5"/>
      <c r="AM259" s="5"/>
      <c r="AN259" s="5"/>
      <c r="AO259" s="5"/>
      <c r="AQ259" s="5"/>
      <c r="AR259" s="5"/>
      <c r="AS259" s="5"/>
      <c r="AT259" s="5"/>
      <c r="BD259" s="5"/>
      <c r="BF259" s="5"/>
      <c r="BG259" s="5"/>
      <c r="BH259" s="5"/>
      <c r="BI259" s="5"/>
      <c r="BM259" s="5"/>
      <c r="BN259" s="5"/>
      <c r="BP259" s="5"/>
      <c r="BQ259" s="5"/>
      <c r="BR259" s="5"/>
      <c r="BS259" s="5"/>
      <c r="BU259" s="5"/>
      <c r="BV259" s="5"/>
      <c r="BW259" s="5"/>
      <c r="BX259" s="5"/>
      <c r="BZ259" s="5"/>
      <c r="CA259" s="5"/>
      <c r="CB259" s="5"/>
      <c r="CC259" s="5"/>
      <c r="CE259" s="5"/>
      <c r="CF259" s="5"/>
      <c r="CG259" s="5"/>
      <c r="CH259" s="5"/>
      <c r="CO259" s="13"/>
      <c r="CP259" s="5"/>
      <c r="CQ259" s="5"/>
      <c r="CR259" s="5"/>
      <c r="CT259" s="5"/>
      <c r="CU259" s="5"/>
      <c r="CV259" s="5"/>
      <c r="CW259" s="5"/>
      <c r="CY259" s="5"/>
      <c r="CZ259" s="5"/>
      <c r="DA259" s="5"/>
      <c r="DB259" s="5"/>
      <c r="DD259" s="5"/>
      <c r="DE259" s="5"/>
      <c r="DF259" s="5"/>
      <c r="DG259" s="5"/>
      <c r="DI259" s="5"/>
      <c r="DJ259" s="5"/>
      <c r="DK259" s="5"/>
      <c r="DL259" s="5"/>
      <c r="DN259" s="5"/>
      <c r="DO259" s="5"/>
      <c r="DP259" s="5"/>
      <c r="DQ259" s="5"/>
      <c r="DS259" s="5"/>
      <c r="DT259" s="5"/>
      <c r="DU259" s="5"/>
      <c r="DV259" s="5"/>
      <c r="DX259" s="5"/>
      <c r="DY259" s="5"/>
      <c r="DZ259" s="5"/>
      <c r="EA259" s="5"/>
      <c r="EC259" s="5"/>
      <c r="ED259" s="5"/>
      <c r="EE259" s="5"/>
      <c r="EF259" s="5"/>
      <c r="EH259" s="5"/>
      <c r="EI259" s="5"/>
      <c r="EJ259" s="5"/>
      <c r="EK259" s="5"/>
      <c r="EX259" s="659">
        <f t="shared" si="1"/>
        <v>0</v>
      </c>
    </row>
    <row r="260" spans="1:154" s="6" customFormat="1" ht="15" customHeight="1">
      <c r="A260" s="3" t="s">
        <v>196</v>
      </c>
      <c r="B260" s="210" t="s">
        <v>196</v>
      </c>
      <c r="C260" s="473" t="s">
        <v>515</v>
      </c>
      <c r="D260" s="138"/>
      <c r="E260" s="5"/>
      <c r="F260" s="5"/>
      <c r="G260" s="5"/>
      <c r="H260" s="5"/>
      <c r="I260" s="4">
        <f>C10/(1700)</f>
        <v>0</v>
      </c>
      <c r="J260" s="4"/>
      <c r="K260" s="658">
        <f>ROUNDDOWN(I260,0)*3</f>
        <v>0</v>
      </c>
      <c r="L260" s="4"/>
      <c r="M260" s="4"/>
      <c r="N260" s="4"/>
      <c r="O260" s="4"/>
      <c r="P260" s="4"/>
      <c r="Q260" s="4"/>
      <c r="R260" s="5"/>
      <c r="S260" s="5"/>
      <c r="U260" s="5"/>
      <c r="W260" s="5"/>
      <c r="X260" s="5"/>
      <c r="Y260" s="5"/>
      <c r="Z260" s="5"/>
      <c r="AB260" s="5"/>
      <c r="AC260" s="5"/>
      <c r="AD260" s="5"/>
      <c r="AE260" s="5"/>
      <c r="AG260" s="5"/>
      <c r="AH260" s="5"/>
      <c r="AI260" s="5"/>
      <c r="AJ260" s="5"/>
      <c r="AL260" s="5"/>
      <c r="AM260" s="5"/>
      <c r="AN260" s="5"/>
      <c r="AO260" s="5"/>
      <c r="AQ260" s="5"/>
      <c r="AR260" s="5"/>
      <c r="AS260" s="5"/>
      <c r="AT260" s="5"/>
      <c r="BD260" s="5"/>
      <c r="BF260" s="5"/>
      <c r="BG260" s="5"/>
      <c r="BH260" s="5"/>
      <c r="BI260" s="5"/>
      <c r="BM260" s="5"/>
      <c r="BN260" s="5"/>
      <c r="BP260" s="5"/>
      <c r="BQ260" s="5"/>
      <c r="BR260" s="5"/>
      <c r="BS260" s="5"/>
      <c r="BU260" s="5"/>
      <c r="BV260" s="5"/>
      <c r="BW260" s="5"/>
      <c r="BX260" s="5"/>
      <c r="BZ260" s="5"/>
      <c r="CA260" s="5"/>
      <c r="CB260" s="5"/>
      <c r="CC260" s="5"/>
      <c r="CE260" s="5"/>
      <c r="CF260" s="5"/>
      <c r="CG260" s="5"/>
      <c r="CH260" s="5"/>
      <c r="CO260" s="13"/>
      <c r="CP260" s="5"/>
      <c r="CQ260" s="5"/>
      <c r="CR260" s="5"/>
      <c r="CT260" s="5"/>
      <c r="CU260" s="5"/>
      <c r="CV260" s="5"/>
      <c r="CW260" s="5"/>
      <c r="CY260" s="5"/>
      <c r="CZ260" s="5"/>
      <c r="DA260" s="5"/>
      <c r="DB260" s="5"/>
      <c r="DD260" s="5"/>
      <c r="DE260" s="5"/>
      <c r="DF260" s="5"/>
      <c r="DG260" s="5"/>
      <c r="DI260" s="5"/>
      <c r="DJ260" s="5"/>
      <c r="DK260" s="5"/>
      <c r="DL260" s="5"/>
      <c r="DN260" s="5"/>
      <c r="DO260" s="5"/>
      <c r="DP260" s="5"/>
      <c r="DQ260" s="5"/>
      <c r="DS260" s="5"/>
      <c r="DT260" s="5"/>
      <c r="DU260" s="5"/>
      <c r="DV260" s="5"/>
      <c r="DX260" s="5"/>
      <c r="DY260" s="5"/>
      <c r="DZ260" s="5"/>
      <c r="EA260" s="5"/>
      <c r="EC260" s="5"/>
      <c r="ED260" s="5"/>
      <c r="EE260" s="5"/>
      <c r="EF260" s="5"/>
      <c r="EH260" s="5"/>
      <c r="EI260" s="5"/>
      <c r="EJ260" s="5"/>
      <c r="EK260" s="5"/>
      <c r="EX260" s="659">
        <f t="shared" si="1"/>
        <v>0</v>
      </c>
    </row>
    <row r="261" spans="1:154" s="6" customFormat="1" ht="15" customHeight="1">
      <c r="A261" s="3" t="s">
        <v>319</v>
      </c>
      <c r="B261" s="210" t="s">
        <v>319</v>
      </c>
      <c r="C261" s="473" t="s">
        <v>515</v>
      </c>
      <c r="D261" s="138"/>
      <c r="E261" s="5"/>
      <c r="F261" s="5"/>
      <c r="G261" s="5"/>
      <c r="H261" s="5"/>
      <c r="I261" s="4">
        <f>C11/(1300)</f>
        <v>0</v>
      </c>
      <c r="J261" s="4"/>
      <c r="K261" s="658">
        <f>ROUNDDOWN(I261,0)*3</f>
        <v>0</v>
      </c>
      <c r="L261" s="4"/>
      <c r="M261" s="4"/>
      <c r="N261" s="4"/>
      <c r="O261" s="4"/>
      <c r="P261" s="4"/>
      <c r="Q261" s="4"/>
      <c r="R261" s="5"/>
      <c r="S261" s="5"/>
      <c r="U261" s="5"/>
      <c r="W261" s="5"/>
      <c r="X261" s="5"/>
      <c r="Y261" s="5"/>
      <c r="Z261" s="5"/>
      <c r="AB261" s="5"/>
      <c r="AC261" s="5"/>
      <c r="AD261" s="5"/>
      <c r="AE261" s="5"/>
      <c r="AG261" s="5"/>
      <c r="AH261" s="5"/>
      <c r="AI261" s="5"/>
      <c r="AJ261" s="5"/>
      <c r="AL261" s="5"/>
      <c r="AM261" s="5"/>
      <c r="AN261" s="5"/>
      <c r="AO261" s="5"/>
      <c r="AQ261" s="5"/>
      <c r="AR261" s="5"/>
      <c r="AS261" s="5"/>
      <c r="AT261" s="5"/>
      <c r="BD261" s="5"/>
      <c r="BF261" s="5"/>
      <c r="BG261" s="5"/>
      <c r="BH261" s="5"/>
      <c r="BI261" s="5"/>
      <c r="BM261" s="5"/>
      <c r="BN261" s="5"/>
      <c r="BP261" s="5"/>
      <c r="BQ261" s="5"/>
      <c r="BR261" s="5"/>
      <c r="BS261" s="5"/>
      <c r="BU261" s="5"/>
      <c r="BV261" s="5"/>
      <c r="BW261" s="5"/>
      <c r="BX261" s="5"/>
      <c r="BZ261" s="5"/>
      <c r="CA261" s="5"/>
      <c r="CB261" s="5"/>
      <c r="CC261" s="5"/>
      <c r="CE261" s="5"/>
      <c r="CF261" s="5"/>
      <c r="CG261" s="5"/>
      <c r="CH261" s="5"/>
      <c r="CO261" s="13"/>
      <c r="CP261" s="5"/>
      <c r="CQ261" s="5"/>
      <c r="CR261" s="5"/>
      <c r="CT261" s="5"/>
      <c r="CU261" s="5"/>
      <c r="CV261" s="5"/>
      <c r="CW261" s="5"/>
      <c r="CY261" s="5"/>
      <c r="CZ261" s="5"/>
      <c r="DA261" s="5"/>
      <c r="DB261" s="5"/>
      <c r="DD261" s="5"/>
      <c r="DE261" s="5"/>
      <c r="DF261" s="5"/>
      <c r="DG261" s="5"/>
      <c r="DI261" s="5"/>
      <c r="DJ261" s="5"/>
      <c r="DK261" s="5"/>
      <c r="DL261" s="5"/>
      <c r="DN261" s="5"/>
      <c r="DO261" s="5"/>
      <c r="DP261" s="5"/>
      <c r="DQ261" s="5"/>
      <c r="DS261" s="5"/>
      <c r="DT261" s="5"/>
      <c r="DU261" s="5"/>
      <c r="DV261" s="5"/>
      <c r="DX261" s="5"/>
      <c r="DY261" s="5"/>
      <c r="DZ261" s="5"/>
      <c r="EA261" s="5"/>
      <c r="EC261" s="5"/>
      <c r="ED261" s="5"/>
      <c r="EE261" s="5"/>
      <c r="EF261" s="5"/>
      <c r="EH261" s="5"/>
      <c r="EI261" s="5"/>
      <c r="EJ261" s="5"/>
      <c r="EK261" s="5"/>
      <c r="EX261" s="659">
        <f t="shared" si="1"/>
        <v>0</v>
      </c>
    </row>
    <row r="262" spans="1:154" s="6" customFormat="1" ht="15" customHeight="1">
      <c r="A262" s="3" t="s">
        <v>43</v>
      </c>
      <c r="B262" s="210" t="s">
        <v>43</v>
      </c>
      <c r="C262" s="473" t="s">
        <v>515</v>
      </c>
      <c r="D262" s="138"/>
      <c r="E262" s="5"/>
      <c r="F262" s="5"/>
      <c r="G262" s="5"/>
      <c r="H262" s="5"/>
      <c r="I262" s="4"/>
      <c r="J262" s="4"/>
      <c r="K262" s="4"/>
      <c r="L262" s="4"/>
      <c r="M262" s="4"/>
      <c r="N262" s="4"/>
      <c r="O262" s="4"/>
      <c r="P262" s="4"/>
      <c r="Q262" s="4"/>
      <c r="R262" s="5"/>
      <c r="S262" s="5"/>
      <c r="T262" s="6">
        <f>C18</f>
        <v>0</v>
      </c>
      <c r="U262" s="5"/>
      <c r="W262" s="5"/>
      <c r="X262" s="5"/>
      <c r="Y262" s="5"/>
      <c r="Z262" s="5"/>
      <c r="AB262" s="5"/>
      <c r="AC262" s="5"/>
      <c r="AD262" s="5"/>
      <c r="AE262" s="5"/>
      <c r="AG262" s="5"/>
      <c r="AH262" s="5"/>
      <c r="AI262" s="5"/>
      <c r="AJ262" s="5"/>
      <c r="AL262" s="5"/>
      <c r="AM262" s="5"/>
      <c r="AN262" s="5"/>
      <c r="AO262" s="5"/>
      <c r="AQ262" s="5"/>
      <c r="AR262" s="5"/>
      <c r="AS262" s="5"/>
      <c r="AT262" s="5"/>
      <c r="BD262" s="5"/>
      <c r="BF262" s="5"/>
      <c r="BG262" s="5"/>
      <c r="BH262" s="5"/>
      <c r="BI262" s="5"/>
      <c r="BM262" s="5"/>
      <c r="BN262" s="5"/>
      <c r="BP262" s="5"/>
      <c r="BQ262" s="5"/>
      <c r="BR262" s="5"/>
      <c r="BS262" s="5"/>
      <c r="BU262" s="5"/>
      <c r="BV262" s="5"/>
      <c r="BW262" s="5"/>
      <c r="BX262" s="5"/>
      <c r="BZ262" s="5"/>
      <c r="CA262" s="5"/>
      <c r="CB262" s="5"/>
      <c r="CC262" s="5"/>
      <c r="CE262" s="5"/>
      <c r="CF262" s="5"/>
      <c r="CG262" s="5"/>
      <c r="CH262" s="5"/>
      <c r="CO262" s="13"/>
      <c r="CP262" s="5"/>
      <c r="CQ262" s="5"/>
      <c r="CR262" s="5"/>
      <c r="CT262" s="5"/>
      <c r="CU262" s="5"/>
      <c r="CV262" s="5"/>
      <c r="CW262" s="5"/>
      <c r="CY262" s="5"/>
      <c r="CZ262" s="5"/>
      <c r="DA262" s="5"/>
      <c r="DB262" s="5"/>
      <c r="DD262" s="5"/>
      <c r="DE262" s="5"/>
      <c r="DF262" s="5"/>
      <c r="DG262" s="5"/>
      <c r="DI262" s="5"/>
      <c r="DJ262" s="5"/>
      <c r="DK262" s="5"/>
      <c r="DL262" s="5"/>
      <c r="DN262" s="5"/>
      <c r="DO262" s="5"/>
      <c r="DP262" s="5"/>
      <c r="DQ262" s="5"/>
      <c r="DS262" s="5"/>
      <c r="DT262" s="5"/>
      <c r="DU262" s="5"/>
      <c r="DV262" s="5"/>
      <c r="DX262" s="5"/>
      <c r="DY262" s="5"/>
      <c r="DZ262" s="5"/>
      <c r="EA262" s="5"/>
      <c r="EC262" s="5"/>
      <c r="ED262" s="5"/>
      <c r="EE262" s="5"/>
      <c r="EF262" s="5"/>
      <c r="EH262" s="5"/>
      <c r="EI262" s="5"/>
      <c r="EJ262" s="5"/>
      <c r="EK262" s="5"/>
      <c r="EX262" s="659">
        <f t="shared" si="1"/>
        <v>0</v>
      </c>
    </row>
    <row r="263" spans="1:154" s="6" customFormat="1" ht="15" customHeight="1">
      <c r="A263" s="3"/>
      <c r="B263" s="210" t="s">
        <v>512</v>
      </c>
      <c r="C263" s="473" t="s">
        <v>515</v>
      </c>
      <c r="D263" s="138"/>
      <c r="E263" s="5"/>
      <c r="F263" s="5"/>
      <c r="G263" s="5"/>
      <c r="H263" s="5"/>
      <c r="I263" s="4"/>
      <c r="J263" s="4"/>
      <c r="K263" s="4"/>
      <c r="L263" s="4"/>
      <c r="M263" s="4"/>
      <c r="N263" s="4"/>
      <c r="O263" s="4"/>
      <c r="P263" s="4"/>
      <c r="Q263" s="4"/>
      <c r="R263" s="5"/>
      <c r="S263" s="5"/>
      <c r="U263" s="5"/>
      <c r="W263" s="5"/>
      <c r="X263" s="5"/>
      <c r="Y263" s="5"/>
      <c r="Z263" s="5"/>
      <c r="AB263" s="5"/>
      <c r="AC263" s="5"/>
      <c r="AD263" s="5"/>
      <c r="AE263" s="5"/>
      <c r="AG263" s="5"/>
      <c r="AH263" s="5"/>
      <c r="AI263" s="5"/>
      <c r="AJ263" s="5"/>
      <c r="AL263" s="5"/>
      <c r="AM263" s="5"/>
      <c r="AN263" s="5"/>
      <c r="AO263" s="5"/>
      <c r="AQ263" s="5"/>
      <c r="AR263" s="5"/>
      <c r="AS263" s="5"/>
      <c r="AT263" s="5"/>
      <c r="BD263" s="5"/>
      <c r="BF263" s="5"/>
      <c r="BG263" s="5"/>
      <c r="BH263" s="5"/>
      <c r="BI263" s="5"/>
      <c r="BM263" s="5"/>
      <c r="BN263" s="5"/>
      <c r="BP263" s="5"/>
      <c r="BQ263" s="5"/>
      <c r="BR263" s="5"/>
      <c r="BS263" s="5"/>
      <c r="BU263" s="5"/>
      <c r="BV263" s="5"/>
      <c r="BW263" s="5"/>
      <c r="BX263" s="5"/>
      <c r="BZ263" s="5"/>
      <c r="CA263" s="5"/>
      <c r="CB263" s="5"/>
      <c r="CC263" s="5"/>
      <c r="CE263" s="5"/>
      <c r="CF263" s="5"/>
      <c r="CG263" s="5"/>
      <c r="CH263" s="5"/>
      <c r="CO263" s="13"/>
      <c r="CP263" s="5"/>
      <c r="CQ263" s="5"/>
      <c r="CR263" s="5"/>
      <c r="CT263" s="5"/>
      <c r="CU263" s="5"/>
      <c r="CV263" s="5"/>
      <c r="CW263" s="5"/>
      <c r="CY263" s="5"/>
      <c r="CZ263" s="5"/>
      <c r="DA263" s="5"/>
      <c r="DB263" s="5"/>
      <c r="DD263" s="5"/>
      <c r="DE263" s="5"/>
      <c r="DF263" s="5"/>
      <c r="DG263" s="5"/>
      <c r="DI263" s="5"/>
      <c r="DJ263" s="5"/>
      <c r="DK263" s="5"/>
      <c r="DL263" s="5"/>
      <c r="DN263" s="5"/>
      <c r="DO263" s="5"/>
      <c r="DP263" s="5"/>
      <c r="DQ263" s="5"/>
      <c r="DS263" s="5"/>
      <c r="DT263" s="5"/>
      <c r="DU263" s="5"/>
      <c r="DV263" s="5"/>
      <c r="DX263" s="5"/>
      <c r="DY263" s="5"/>
      <c r="DZ263" s="5"/>
      <c r="EA263" s="5"/>
      <c r="EC263" s="5"/>
      <c r="ED263" s="5"/>
      <c r="EE263" s="5"/>
      <c r="EF263" s="5"/>
      <c r="EH263" s="5"/>
      <c r="EI263" s="5"/>
      <c r="EJ263" s="5"/>
      <c r="EK263" s="5"/>
      <c r="EX263" s="659">
        <f t="shared" si="1"/>
        <v>0</v>
      </c>
    </row>
    <row r="264" spans="1:154" s="6" customFormat="1" ht="15" customHeight="1">
      <c r="A264" s="3"/>
      <c r="B264" s="210" t="s">
        <v>1473</v>
      </c>
      <c r="C264" s="473" t="s">
        <v>0</v>
      </c>
      <c r="D264" s="138"/>
      <c r="E264" s="5"/>
      <c r="F264" s="5"/>
      <c r="G264" s="5"/>
      <c r="H264" s="5"/>
      <c r="I264" s="4"/>
      <c r="J264" s="4"/>
      <c r="K264" s="4"/>
      <c r="L264" s="4"/>
      <c r="M264" s="4"/>
      <c r="N264" s="4"/>
      <c r="O264" s="4"/>
      <c r="P264" s="4"/>
      <c r="Q264" s="4"/>
      <c r="R264" s="5"/>
      <c r="S264" s="5"/>
      <c r="U264" s="5"/>
      <c r="W264" s="5"/>
      <c r="X264" s="5"/>
      <c r="Y264" s="5"/>
      <c r="Z264" s="5"/>
      <c r="AB264" s="5"/>
      <c r="AC264" s="5"/>
      <c r="AD264" s="5"/>
      <c r="AE264" s="5"/>
      <c r="AG264" s="5"/>
      <c r="AH264" s="5"/>
      <c r="AI264" s="5"/>
      <c r="AJ264" s="5"/>
      <c r="AL264" s="5"/>
      <c r="AM264" s="5"/>
      <c r="AN264" s="5"/>
      <c r="AO264" s="5"/>
      <c r="AQ264" s="5"/>
      <c r="AR264" s="5"/>
      <c r="AS264" s="5"/>
      <c r="AT264" s="5"/>
      <c r="BD264" s="5"/>
      <c r="BF264" s="5"/>
      <c r="BG264" s="5"/>
      <c r="BH264" s="5"/>
      <c r="BI264" s="5"/>
      <c r="BM264" s="5"/>
      <c r="BN264" s="5"/>
      <c r="BP264" s="5"/>
      <c r="BQ264" s="5"/>
      <c r="BR264" s="5"/>
      <c r="BS264" s="5"/>
      <c r="BU264" s="5">
        <v>4</v>
      </c>
      <c r="BV264" s="5">
        <f>SUM(BV5:BV26,BW5:BW26,BX5:BX26)*BU264</f>
        <v>0</v>
      </c>
      <c r="BW264" s="5"/>
      <c r="BX264" s="5"/>
      <c r="BZ264" s="5"/>
      <c r="CA264" s="5"/>
      <c r="CB264" s="5"/>
      <c r="CC264" s="5"/>
      <c r="CE264" s="5"/>
      <c r="CF264" s="5"/>
      <c r="CG264" s="5"/>
      <c r="CH264" s="5"/>
      <c r="CO264" s="13"/>
      <c r="CP264" s="5"/>
      <c r="CQ264" s="5"/>
      <c r="CR264" s="5"/>
      <c r="CT264" s="5"/>
      <c r="CU264" s="5"/>
      <c r="CV264" s="5"/>
      <c r="CW264" s="5"/>
      <c r="CY264" s="5">
        <v>4</v>
      </c>
      <c r="CZ264" s="5">
        <f>SUM(CZ5:CZ26,DA5:DA26,DB5:DB26)*CY264</f>
        <v>0</v>
      </c>
      <c r="DA264" s="5"/>
      <c r="DB264" s="5"/>
      <c r="DD264" s="5"/>
      <c r="DE264" s="5"/>
      <c r="DF264" s="5"/>
      <c r="DG264" s="5"/>
      <c r="DI264" s="5"/>
      <c r="DJ264" s="5"/>
      <c r="DK264" s="5"/>
      <c r="DL264" s="5"/>
      <c r="DN264" s="5"/>
      <c r="DO264" s="5"/>
      <c r="DP264" s="5"/>
      <c r="DQ264" s="5"/>
      <c r="DS264" s="5"/>
      <c r="DT264" s="5"/>
      <c r="DU264" s="5"/>
      <c r="DV264" s="5"/>
      <c r="DX264" s="5"/>
      <c r="DY264" s="5"/>
      <c r="DZ264" s="5"/>
      <c r="EA264" s="5"/>
      <c r="EC264" s="5"/>
      <c r="ED264" s="5"/>
      <c r="EE264" s="5"/>
      <c r="EF264" s="5"/>
      <c r="EH264" s="5"/>
      <c r="EI264" s="5"/>
      <c r="EJ264" s="5"/>
      <c r="EK264" s="5"/>
      <c r="EX264" s="659">
        <f t="shared" si="1"/>
        <v>0</v>
      </c>
    </row>
    <row r="265" spans="1:154" s="6" customFormat="1" ht="15" customHeight="1">
      <c r="A265" s="3" t="s">
        <v>51</v>
      </c>
      <c r="B265" s="210" t="s">
        <v>51</v>
      </c>
      <c r="C265" s="473" t="s">
        <v>516</v>
      </c>
      <c r="D265" s="138"/>
      <c r="E265" s="5"/>
      <c r="F265" s="5"/>
      <c r="G265" s="5"/>
      <c r="H265" s="5"/>
      <c r="I265" s="4"/>
      <c r="J265" s="4"/>
      <c r="K265" s="4"/>
      <c r="L265" s="4"/>
      <c r="M265" s="4"/>
      <c r="N265" s="4"/>
      <c r="O265" s="4"/>
      <c r="P265" s="4"/>
      <c r="Q265" s="4"/>
      <c r="R265" s="5"/>
      <c r="S265" s="5"/>
      <c r="U265" s="5"/>
      <c r="W265" s="5"/>
      <c r="X265" s="5"/>
      <c r="Y265" s="5"/>
      <c r="Z265" s="5"/>
      <c r="AB265" s="5"/>
      <c r="AC265" s="5"/>
      <c r="AD265" s="5"/>
      <c r="AE265" s="5"/>
      <c r="AG265" s="5"/>
      <c r="AH265" s="5"/>
      <c r="AI265" s="5"/>
      <c r="AJ265" s="5"/>
      <c r="AL265" s="5"/>
      <c r="AM265" s="5"/>
      <c r="AN265" s="5"/>
      <c r="AO265" s="5"/>
      <c r="AQ265" s="5"/>
      <c r="AR265" s="5"/>
      <c r="AS265" s="5"/>
      <c r="AT265" s="5"/>
      <c r="BD265" s="5"/>
      <c r="BF265" s="5"/>
      <c r="BG265" s="5"/>
      <c r="BH265" s="5"/>
      <c r="BI265" s="5"/>
      <c r="BM265" s="5"/>
      <c r="BN265" s="5"/>
      <c r="BP265" s="5"/>
      <c r="BQ265" s="5"/>
      <c r="BR265" s="5"/>
      <c r="BS265" s="5"/>
      <c r="BU265" s="5"/>
      <c r="BV265" s="5"/>
      <c r="BW265" s="5"/>
      <c r="BX265" s="5"/>
      <c r="BZ265" s="5"/>
      <c r="CA265" s="5"/>
      <c r="CB265" s="5"/>
      <c r="CC265" s="5"/>
      <c r="CE265" s="5"/>
      <c r="CF265" s="5"/>
      <c r="CG265" s="5"/>
      <c r="CH265" s="5"/>
      <c r="CO265" s="13"/>
      <c r="CP265" s="5"/>
      <c r="CQ265" s="5"/>
      <c r="CR265" s="5"/>
      <c r="CT265" s="5"/>
      <c r="CU265" s="5"/>
      <c r="CV265" s="5"/>
      <c r="CW265" s="5"/>
      <c r="CY265" s="5"/>
      <c r="CZ265" s="5"/>
      <c r="DA265" s="5"/>
      <c r="DB265" s="5"/>
      <c r="DD265" s="5"/>
      <c r="DE265" s="5"/>
      <c r="DF265" s="5"/>
      <c r="DG265" s="5"/>
      <c r="DI265" s="5"/>
      <c r="DJ265" s="5"/>
      <c r="DK265" s="5"/>
      <c r="DL265" s="5"/>
      <c r="DN265" s="5"/>
      <c r="DO265" s="5"/>
      <c r="DP265" s="5"/>
      <c r="DQ265" s="5"/>
      <c r="DS265" s="5"/>
      <c r="DT265" s="5"/>
      <c r="DU265" s="5"/>
      <c r="DV265" s="5"/>
      <c r="DX265" s="5"/>
      <c r="DY265" s="5"/>
      <c r="DZ265" s="5"/>
      <c r="EA265" s="5"/>
      <c r="EC265" s="5"/>
      <c r="ED265" s="5"/>
      <c r="EE265" s="5"/>
      <c r="EF265" s="5"/>
      <c r="EH265" s="5"/>
      <c r="EI265" s="5"/>
      <c r="EJ265" s="5"/>
      <c r="EK265" s="5"/>
      <c r="EX265" s="659">
        <f t="shared" si="1"/>
        <v>0</v>
      </c>
    </row>
    <row r="266" spans="1:154" s="6" customFormat="1" ht="15" customHeight="1">
      <c r="A266" s="90"/>
      <c r="B266" s="210" t="s">
        <v>507</v>
      </c>
      <c r="C266" s="473" t="s">
        <v>386</v>
      </c>
      <c r="D266" s="138"/>
      <c r="I266" s="138"/>
      <c r="J266" s="4"/>
      <c r="K266" s="4"/>
      <c r="L266" s="138"/>
      <c r="M266" s="4"/>
      <c r="N266" s="4"/>
      <c r="O266" s="4"/>
      <c r="P266" s="4"/>
      <c r="Q266" s="138"/>
      <c r="BP266" s="6">
        <v>1</v>
      </c>
      <c r="BQ266" s="6">
        <f>SUM(BQ5:BQ26,BR5:BR26,BS5:BS26)*BP266</f>
        <v>0</v>
      </c>
      <c r="BU266" s="6">
        <v>1</v>
      </c>
      <c r="BV266" s="6">
        <f>SUM(BV5:BV26,BW5:BW26,BX5:BX26)*BU266-BQ182</f>
        <v>0</v>
      </c>
      <c r="CE266" s="6">
        <v>1</v>
      </c>
      <c r="CF266" s="6">
        <f>SUM(CF5:CF26,CG5:CG26,CH5:CH26)*CE266</f>
        <v>0</v>
      </c>
      <c r="CT266" s="6">
        <v>1</v>
      </c>
      <c r="CU266" s="6">
        <f>SUM(CU5:CU26,CV5:CV26,CW5:CW26)*CT266-CU182</f>
        <v>0</v>
      </c>
      <c r="CY266" s="6">
        <v>1</v>
      </c>
      <c r="CZ266" s="6">
        <f>SUM(CZ5:CZ26,DA5:DA26,DB5:DB26)*CY266-CU182</f>
        <v>0</v>
      </c>
      <c r="DI266" s="6">
        <v>1</v>
      </c>
      <c r="DJ266" s="6">
        <f>SUM(DJ5:DJ26,DK5:DK26,DL5:DL26)*DI266</f>
        <v>0</v>
      </c>
      <c r="DN266" s="6">
        <v>1</v>
      </c>
      <c r="DO266" s="6">
        <f>SUM(DO5:DO26,DP5:DP26,DQ5:DQ26)*DN266</f>
        <v>0</v>
      </c>
      <c r="DS266" s="6">
        <v>1</v>
      </c>
      <c r="DT266" s="6">
        <f>SUM(DT5:DT26,DU5:DU26,DV5:DV26)*DS266</f>
        <v>0</v>
      </c>
      <c r="DX266" s="6">
        <v>1</v>
      </c>
      <c r="DY266" s="6">
        <f>SUM(DY5:DY26,DZ5:DZ26,EA5:EA26)*DX266</f>
        <v>0</v>
      </c>
      <c r="EC266" s="6">
        <v>1</v>
      </c>
      <c r="ED266" s="6">
        <f>SUM(ED5:ED26,EE5:EE26,EF5:EF26)*EC266</f>
        <v>0</v>
      </c>
      <c r="EH266" s="6">
        <v>1</v>
      </c>
      <c r="EI266" s="6">
        <f>SUM(EI5:EI26,EJ5:EJ26,EK5:EK26)*EH266</f>
        <v>0</v>
      </c>
      <c r="EX266" s="659">
        <f t="shared" si="1"/>
        <v>0</v>
      </c>
    </row>
    <row r="267" spans="1:154" s="6" customFormat="1" ht="15" customHeight="1">
      <c r="A267" s="90"/>
      <c r="B267" s="210" t="s">
        <v>1510</v>
      </c>
      <c r="C267" s="473" t="s">
        <v>386</v>
      </c>
      <c r="D267" s="138"/>
      <c r="I267" s="138"/>
      <c r="J267" s="4"/>
      <c r="K267" s="4"/>
      <c r="L267" s="138"/>
      <c r="M267" s="4"/>
      <c r="N267" s="4"/>
      <c r="O267" s="4"/>
      <c r="P267" s="4"/>
      <c r="Q267" s="138"/>
      <c r="EX267" s="659">
        <f t="shared" si="1"/>
        <v>0</v>
      </c>
    </row>
    <row r="268" spans="1:154" s="6" customFormat="1" ht="15" customHeight="1">
      <c r="A268" s="3" t="s">
        <v>13</v>
      </c>
      <c r="B268" s="210" t="s">
        <v>13</v>
      </c>
      <c r="C268" s="473" t="s">
        <v>515</v>
      </c>
      <c r="D268" s="138"/>
      <c r="E268" s="5"/>
      <c r="F268" s="5"/>
      <c r="G268" s="5"/>
      <c r="H268" s="5"/>
      <c r="I268" s="4"/>
      <c r="J268" s="4"/>
      <c r="K268" s="4"/>
      <c r="L268" s="4"/>
      <c r="M268" s="4"/>
      <c r="N268" s="4"/>
      <c r="O268" s="4"/>
      <c r="P268" s="4"/>
      <c r="Q268" s="4"/>
      <c r="R268" s="5"/>
      <c r="S268" s="5"/>
      <c r="U268" s="5"/>
      <c r="W268" s="5"/>
      <c r="X268" s="5"/>
      <c r="Y268" s="5"/>
      <c r="Z268" s="5"/>
      <c r="AB268" s="5"/>
      <c r="AC268" s="5"/>
      <c r="AD268" s="5"/>
      <c r="AE268" s="5"/>
      <c r="AG268" s="5"/>
      <c r="AH268" s="5"/>
      <c r="AI268" s="5"/>
      <c r="AJ268" s="5"/>
      <c r="AL268" s="5"/>
      <c r="AM268" s="5"/>
      <c r="AN268" s="5"/>
      <c r="AO268" s="5"/>
      <c r="AQ268" s="5"/>
      <c r="AR268" s="5"/>
      <c r="AS268" s="5"/>
      <c r="AT268" s="5"/>
      <c r="BD268" s="5"/>
      <c r="BF268" s="5"/>
      <c r="BG268" s="5"/>
      <c r="BH268" s="5"/>
      <c r="BI268" s="5"/>
      <c r="BM268" s="5"/>
      <c r="BN268" s="5"/>
      <c r="BP268" s="5"/>
      <c r="BQ268" s="5"/>
      <c r="BR268" s="5"/>
      <c r="BS268" s="5"/>
      <c r="BU268" s="5"/>
      <c r="BV268" s="5"/>
      <c r="BW268" s="5"/>
      <c r="BX268" s="5"/>
      <c r="BZ268" s="5"/>
      <c r="CA268" s="5"/>
      <c r="CB268" s="5"/>
      <c r="CC268" s="5"/>
      <c r="CE268" s="5"/>
      <c r="CF268" s="5"/>
      <c r="CG268" s="5"/>
      <c r="CH268" s="5"/>
      <c r="CO268" s="13"/>
      <c r="CP268" s="5"/>
      <c r="CQ268" s="5"/>
      <c r="CR268" s="5"/>
      <c r="CT268" s="5"/>
      <c r="CU268" s="5"/>
      <c r="CV268" s="5"/>
      <c r="CW268" s="5"/>
      <c r="CY268" s="5"/>
      <c r="CZ268" s="5"/>
      <c r="DA268" s="5"/>
      <c r="DB268" s="5"/>
      <c r="DD268" s="5"/>
      <c r="DE268" s="5"/>
      <c r="DF268" s="5"/>
      <c r="DG268" s="5"/>
      <c r="DI268" s="5"/>
      <c r="DJ268" s="5"/>
      <c r="DK268" s="5"/>
      <c r="DL268" s="5"/>
      <c r="DN268" s="5"/>
      <c r="DO268" s="5"/>
      <c r="DP268" s="5"/>
      <c r="DQ268" s="5"/>
      <c r="DS268" s="5"/>
      <c r="DT268" s="5"/>
      <c r="DU268" s="5"/>
      <c r="DV268" s="5"/>
      <c r="DX268" s="5"/>
      <c r="DY268" s="5"/>
      <c r="DZ268" s="5"/>
      <c r="EA268" s="5"/>
      <c r="EC268" s="5"/>
      <c r="ED268" s="5"/>
      <c r="EE268" s="5"/>
      <c r="EF268" s="5"/>
      <c r="EH268" s="5"/>
      <c r="EI268" s="5"/>
      <c r="EJ268" s="5"/>
      <c r="EK268" s="5"/>
      <c r="EX268" s="659">
        <f t="shared" si="1"/>
        <v>0</v>
      </c>
    </row>
    <row r="269" spans="1:154" s="6" customFormat="1" ht="15" customHeight="1">
      <c r="A269" s="3" t="s">
        <v>14</v>
      </c>
      <c r="B269" s="210" t="s">
        <v>174</v>
      </c>
      <c r="C269" s="473" t="s">
        <v>515</v>
      </c>
      <c r="D269" s="138"/>
      <c r="E269" s="5"/>
      <c r="F269" s="5"/>
      <c r="G269" s="5"/>
      <c r="H269" s="5"/>
      <c r="I269" s="4"/>
      <c r="J269" s="4"/>
      <c r="K269" s="4"/>
      <c r="L269" s="4"/>
      <c r="M269" s="4"/>
      <c r="N269" s="4"/>
      <c r="O269" s="4"/>
      <c r="P269" s="4"/>
      <c r="Q269" s="4"/>
      <c r="R269" s="5"/>
      <c r="S269" s="5"/>
      <c r="U269" s="5"/>
      <c r="W269" s="5"/>
      <c r="X269" s="5"/>
      <c r="Y269" s="5"/>
      <c r="Z269" s="5"/>
      <c r="AB269" s="5"/>
      <c r="AC269" s="5"/>
      <c r="AD269" s="5"/>
      <c r="AE269" s="5"/>
      <c r="AG269" s="5"/>
      <c r="AH269" s="5"/>
      <c r="AI269" s="5"/>
      <c r="AJ269" s="5"/>
      <c r="AL269" s="5"/>
      <c r="AM269" s="5"/>
      <c r="AN269" s="5"/>
      <c r="AO269" s="5"/>
      <c r="AQ269" s="5"/>
      <c r="AR269" s="5"/>
      <c r="AS269" s="5"/>
      <c r="AT269" s="5"/>
      <c r="BD269" s="5"/>
      <c r="BF269" s="5"/>
      <c r="BG269" s="5"/>
      <c r="BH269" s="5"/>
      <c r="BI269" s="5"/>
      <c r="BM269" s="5"/>
      <c r="BN269" s="5"/>
      <c r="BP269" s="5"/>
      <c r="BQ269" s="5"/>
      <c r="BR269" s="5"/>
      <c r="BS269" s="5"/>
      <c r="BU269" s="5"/>
      <c r="BV269" s="5"/>
      <c r="BW269" s="5"/>
      <c r="BX269" s="5"/>
      <c r="BZ269" s="5"/>
      <c r="CA269" s="5"/>
      <c r="CB269" s="5"/>
      <c r="CC269" s="5"/>
      <c r="CE269" s="5"/>
      <c r="CF269" s="5"/>
      <c r="CG269" s="5"/>
      <c r="CH269" s="5"/>
      <c r="CO269" s="13"/>
      <c r="CP269" s="5"/>
      <c r="CQ269" s="5"/>
      <c r="CR269" s="5"/>
      <c r="CT269" s="5"/>
      <c r="CU269" s="5"/>
      <c r="CV269" s="5"/>
      <c r="CW269" s="5"/>
      <c r="CY269" s="5"/>
      <c r="CZ269" s="5"/>
      <c r="DA269" s="5"/>
      <c r="DB269" s="5"/>
      <c r="DD269" s="5"/>
      <c r="DE269" s="5"/>
      <c r="DF269" s="5"/>
      <c r="DG269" s="5"/>
      <c r="DI269" s="5"/>
      <c r="DJ269" s="5"/>
      <c r="DK269" s="5"/>
      <c r="DL269" s="5"/>
      <c r="DN269" s="5"/>
      <c r="DO269" s="5"/>
      <c r="DP269" s="5"/>
      <c r="DQ269" s="5"/>
      <c r="DS269" s="5"/>
      <c r="DT269" s="5"/>
      <c r="DU269" s="5"/>
      <c r="DV269" s="5"/>
      <c r="DX269" s="5"/>
      <c r="DY269" s="5"/>
      <c r="DZ269" s="5"/>
      <c r="EA269" s="5"/>
      <c r="EC269" s="5"/>
      <c r="ED269" s="5"/>
      <c r="EE269" s="5"/>
      <c r="EF269" s="5"/>
      <c r="EH269" s="5"/>
      <c r="EI269" s="5"/>
      <c r="EJ269" s="5"/>
      <c r="EK269" s="5"/>
      <c r="EX269" s="659">
        <f t="shared" si="1"/>
        <v>0</v>
      </c>
    </row>
    <row r="270" spans="1:154" s="6" customFormat="1" ht="15" customHeight="1">
      <c r="A270" s="3" t="s">
        <v>15</v>
      </c>
      <c r="B270" s="210" t="s">
        <v>15</v>
      </c>
      <c r="C270" s="473" t="s">
        <v>515</v>
      </c>
      <c r="D270" s="138"/>
      <c r="E270" s="5"/>
      <c r="F270" s="5"/>
      <c r="G270" s="5"/>
      <c r="H270" s="5"/>
      <c r="I270" s="4"/>
      <c r="J270" s="4"/>
      <c r="K270" s="4"/>
      <c r="L270" s="4"/>
      <c r="M270" s="658">
        <v>6</v>
      </c>
      <c r="N270" s="658">
        <f>SUM(N5:N26,O5:O26,P5:P26)*M270</f>
        <v>0</v>
      </c>
      <c r="O270" s="4"/>
      <c r="P270" s="4"/>
      <c r="Q270" s="4"/>
      <c r="R270" s="5"/>
      <c r="S270" s="5"/>
      <c r="U270" s="5"/>
      <c r="W270" s="5"/>
      <c r="X270" s="5"/>
      <c r="Y270" s="5"/>
      <c r="Z270" s="5"/>
      <c r="AB270" s="5"/>
      <c r="AC270" s="5"/>
      <c r="AD270" s="5"/>
      <c r="AE270" s="5"/>
      <c r="AG270" s="5">
        <v>3</v>
      </c>
      <c r="AH270" s="5">
        <f>AH5*AG270+AH6*AG270+AH7*AG270+AH8*AG270+AH9*AG270+AH10*AG270+AH11*AG270+AH12*AG270+AH13*AG270+AH14*AG270+AH15*AG270+AH16*AG270+AH17*AG270+AH18*AG270+AH19*AG270+AH20*AG270+AH21*AG270+AH22*AG270+AH23*AG270+AH24*AG270+AH25*AG270+AH26*AG270+AI5*AG270+AI6*AG270+AI7*AG270+AI8*AG270+AI9*AG270+AI10*AG270+AI11*AG270+AI12*AG270+AI13*AG270+AI14*AG270+AI15*AG270+AI16*AG270+AI17*AG270+AI18*AG270+AI19*AG270+AI20*AG270+AI21*AG270+AI22*AG270+AI23*AG270+AI24*AG270+AI25*AG270+AI26*AG270+AJ5*AG270+AJ6*AG270+AJ7*AG270+AJ8*AG270+AJ9*AG270+AJ10*AG270+AJ11*AG270+AJ12*AG270+AJ13*AG270+AJ14*AG270+AJ15*AG270+AJ16*AG270+AJ17*AG270+AJ18*AG270+AJ19*AG270+AJ20*AG270+AJ21*AG270+AJ22*AG270+AJ23*AG270+AJ24*AG270+AJ25*AG270+AJ26*AG270</f>
        <v>0</v>
      </c>
      <c r="AI270" s="5"/>
      <c r="AJ270" s="5"/>
      <c r="AL270" s="5">
        <v>6</v>
      </c>
      <c r="AM270" s="5">
        <f>AM5*AL270+AM6*AL270+AM7*AL270+AM8*AL270+AM9*AL270+AM10*AL270+AM11*AL270+AM12*AL270+AM13*AL270+AM14*AL270+AM15*AL270+AM16*AL270+AM17*AL270+AM18*AL270+AM19*AL270+AM20*AL270+AM21*AL270+AM22*AL270+AM23*AL270+AM24*AL270+AM25*AL270+AM26*AL270+AN5*AL270+AN6*AL270+AN7*AL270+AN8*AL270+AN9*AL270+AN10*AL270+AN11*AL270+AN12*AL270+AN13*AL270+AN14*AL270+AN15*AL270+AN16*AL270+AN17*AL270+AN18*AL270+AN19*AL270+AN20*AL270+AN21*AL270+AN22*AL270+AN23*AL270+AN24*AL270+AN25*AL270+AN26*AL270+AO5*AL270+AO6*AL270+AO7*AL270+AO8*AL270+AO9*AL270+AO10*AL270+AO11*AL270+AO12*AL270+AO13*AL270+AO14*AL270+AO15*AL270+AO16*AL270+AO17*AL270+AO18*AL270+AO19*AL270+AO20*AL270+AO21*AL270+AO22*AL270+AO23*AL270+AO24*AL270+AO25*AL270+AO26*AL270</f>
        <v>0</v>
      </c>
      <c r="AN270" s="5"/>
      <c r="AO270" s="5"/>
      <c r="AQ270" s="5">
        <v>6</v>
      </c>
      <c r="AR270" s="5">
        <f>SUM(AR5:AT26)*AQ270</f>
        <v>0</v>
      </c>
      <c r="AS270" s="5"/>
      <c r="AT270" s="5"/>
      <c r="BD270" s="5"/>
      <c r="BF270" s="5">
        <v>3</v>
      </c>
      <c r="BG270" s="5">
        <f>SUM(BG5:BG26,BH5:BH26,BI5:BI26)*BF270</f>
        <v>0</v>
      </c>
      <c r="BH270" s="5"/>
      <c r="BI270" s="5"/>
      <c r="BK270" s="6">
        <v>3</v>
      </c>
      <c r="BL270" s="6">
        <f>SUM(BL5:BL26,BM5:BM26,BN5:BN26)*BK270</f>
        <v>0</v>
      </c>
      <c r="BM270" s="5"/>
      <c r="BN270" s="5"/>
      <c r="BP270" s="5">
        <v>3</v>
      </c>
      <c r="BQ270" s="5">
        <f>SUM(BQ5:BQ26,BR5:BR26,BS5:BS26)*BP270</f>
        <v>0</v>
      </c>
      <c r="BR270" s="5"/>
      <c r="BS270" s="5"/>
      <c r="BU270" s="5">
        <v>6</v>
      </c>
      <c r="BV270" s="5">
        <f>SUM(BV5:BV26,BW5:BW26,BX5:BX26)*BU270</f>
        <v>0</v>
      </c>
      <c r="BW270" s="5"/>
      <c r="BX270" s="5"/>
      <c r="BZ270" s="5">
        <v>6</v>
      </c>
      <c r="CA270" s="5">
        <f>SUM(CA5:CA26,CB5:CB26,CC5:CC26)*BZ270</f>
        <v>0</v>
      </c>
      <c r="CB270" s="5"/>
      <c r="CC270" s="5"/>
      <c r="CE270" s="5">
        <v>6</v>
      </c>
      <c r="CF270" s="5">
        <f>SUM(CF5:CF26,CG5:CG26,CH5:CH26)*CE270</f>
        <v>0</v>
      </c>
      <c r="CG270" s="5"/>
      <c r="CH270" s="5"/>
      <c r="CJ270" s="6">
        <v>3</v>
      </c>
      <c r="CK270" s="6">
        <f>CK5*CJ270+CK6*CJ270+CK7*CJ270+CK8*CJ270+CK9*CJ270+CK10*CJ270+CK11*CJ270+CK12*CJ270+CK13*CJ270+CK14*CJ270+CK15*CJ270+CK16*CJ270+CK17*CJ270+CK18*CJ270+CK19*CJ270+CK20*CJ270+CK21*CJ270+CK22*CJ270+CK23*CJ270+CK24*CJ270+CK25*CJ270+CK26*CJ270+CL5*CJ270+CL6*CJ270+CL7*CJ270+CL8*CJ270+CL9*CJ270+CL10*CJ270+CL11*CJ270+CL12*CJ270+CL13*CJ270+CL14*CJ270+CL15*CJ270+CL16*CJ270+CL17*CJ270+CL18*CJ270+CL19*CJ270+CL20*CJ270+CL21*CJ270+CL22*CJ270+CL23*CJ270+CL24*CJ270+CL25*CJ270+CL26*CJ270+CM5*CJ270+CM6*CJ270+CM7*CJ270+CM8*CJ270+CM9*CJ270+CM10*CJ270+CM11*CJ270+CM12*CJ270+CM13*CJ270+CM14*CJ270+CM15*CJ270+CM16*CJ270+CM17*CJ270+CM18*CJ270+CM19*CJ270+CM20*CJ270+CM21*CJ270+CM22*CJ270+CM23*CJ270+CM24*CJ270+CM25*CJ270+CM26*CJ270</f>
        <v>0</v>
      </c>
      <c r="CO270" s="13">
        <v>6</v>
      </c>
      <c r="CP270" s="5">
        <f>CP5*CO270+CP6*CO270+CP7*CO270+CP8*CO270+CP9*CO270+CP10*CO270+CP11*CO270+CP12*CO270+CP13*CO270+CP14*CO270+CP15*CO270+CP16*CO270+CP17*CO270+CP18*CO270+CP19*CO270+CP20*CO270+CP21*CO270+CP22*CO270+CP23*CO270+CP24*CO270+CP25*CO270+CP26*CO270+CQ5*CO270+CQ6*CO270+CQ7*CO270+CQ8*CO270+CQ9*CO270+CQ10*CO270+CQ11*CO270+CQ12*CO270+CQ13*CO270+CQ14*CO270+CQ15*CO270+CQ16*CO270+CQ17*CO270+CQ18*CO270+CQ19*CO270+CQ20*CO270+CQ21*CO270+CQ22*CO270+CQ23*CO270+CQ24*CO270+CQ25*CO270+CQ26*CO270+CR5*CO270+CR6*CO270+CR7*CO270+CR8*CO270+CR9*CO270+CR10*CO270+CR11*CO270+CR12*CO270+CR13*CO270+CR14*CO270+CR15*CO270+CR16*CO270+CR17*CO270+CR18*CO270+CR19*CO270+CR20*CO270+CR21*CO270+CR22*CO270+CR23*CO270+CR24*CO270+CR25*CO270+CR26*CO270</f>
        <v>0</v>
      </c>
      <c r="CQ270" s="5"/>
      <c r="CR270" s="5"/>
      <c r="CT270" s="5">
        <v>6</v>
      </c>
      <c r="CU270" s="5">
        <f>SUM(CU5:CU26,CV5:CV26,CW5:CW26)*CT270</f>
        <v>0</v>
      </c>
      <c r="CV270" s="5"/>
      <c r="CW270" s="5"/>
      <c r="CY270" s="5">
        <v>6</v>
      </c>
      <c r="CZ270" s="5">
        <f>SUM(CZ5:CZ26,DA5:DA26,DB5:DB26)*CY270</f>
        <v>0</v>
      </c>
      <c r="DA270" s="5"/>
      <c r="DB270" s="5"/>
      <c r="DD270" s="5">
        <v>6</v>
      </c>
      <c r="DE270" s="5">
        <f>DE5*DD270+DE6*DD270+DE7*DD270+DE8*DD270+DE9*DD270+DE10*DD270+DE11*DD270+DE12*DD270+DE13*DD270+DE14*DD270+DE15*DD270+DE16*DD270+DE17*DD270+DE18*DD270+DE19*DD270+DE20*DD270+DE21*DD270+DE22*DD270+DE23*DD270+DE24*DD270+DE25*DD270+DE26*DD270+DF5*DD270+DF6*DD270+DF7*DD270+DF8*DD270+DF9*DD270+DF10*DD270+DF11*DD270+DF12*DD270+DF13*DD270+DF14*DD270+DF15*DD270+DF16*DD270+DF17*DD270+DF18*DD270+DF19*DD270+DF20*DD270+DF21*DD270+DF22*DD270+DF23*DD270+DF24*DD270+DF25*DD270+DF26*DD270+DG5*DD270+DG6*DD270+DG7*DD270+DG8*DD270+DG9*DD270+DG10*DD270+DG11*DD270+DG12*DD270+DG13*DD270+DG14*DD270+DG15*DD270+DG16*DD270+DG17*DD270+DG18*DD270+DG19*DD270+DG20*DD270+DG21*DD270+DG22*DD270+DG23*DD270+DG24*DD270+DG25*DD270+DG26*DD270</f>
        <v>0</v>
      </c>
      <c r="DF270" s="5"/>
      <c r="DG270" s="5"/>
      <c r="DI270" s="5"/>
      <c r="DJ270" s="5">
        <f>DJ5*DI270+DJ6*DI270+DJ7*DI270+DJ8*DI270+DJ9*DI270+DJ10*DI270+DJ11*DI270+DJ12*DI270+DJ13*DI270+DJ14*DI270+DJ15*DI270+DJ16*DI270+DJ17*DI270+DJ18*DI270+DJ19*DI270+DJ20*DI270+DJ21*DI270+DJ22*DI270+DJ23*DI270+DJ24*DI270+DJ25*DI270+DJ26*DI270+DK5*DI270+DK6*DI270+DK7*DI270+DK8*DI270+DK9*DI270+DK10*DI270+DK11*DI270+DK12*DI270+DK13*DI270+DK14*DI270+DK15*DI270+DK16*DI270+DK17*DI270+DK18*DI270+DK19*DI270+DK20*DI270+DK21*DI270+DK22*DI270+DK23*DI270+DK24*DI270+DK25*DI270+DK26*DI270+DL5*DI270+DL6*DI270+DL7*DI270+DL8*DI270+DL9*DI270+DL10*DI270+DL11*DI270+DL12*DI270+DL13*DI270+DL14*DI270+DL15*DI270+DL16*DI270+DL17*DI270+DL18*DI270+DL19*DI270+DL20*DI270+DL21*DI270+DL22*DI270+DL23*DI270+DL24*DI270+DL25*DI270+DL26*DI270</f>
        <v>0</v>
      </c>
      <c r="DK270" s="5"/>
      <c r="DL270" s="5"/>
      <c r="DN270" s="5"/>
      <c r="DO270" s="5">
        <f>DO5*DN270+DO6*DN270+DO7*DN270+DO8*DN270+DO9*DN270+DO10*DN270+DO11*DN270+DO12*DN270+DO13*DN270+DO14*DN270+DO15*DN270+DO16*DN270+DO17*DN270+DO18*DN270+DO19*DN270+DO20*DN270+DO21*DN270+DO22*DN270+DO23*DN270+DO24*DN270+DO25*DN270+DO26*DN270+DP5*DN270+DP6*DN270+DP7*DN270+DP8*DN270+DP9*DN270+DP10*DN270+DP11*DN270+DP12*DN270+DP13*DN270+DP14*DN270+DP15*DN270+DP16*DN270+DP17*DN270+DP18*DN270+DP19*DN270+DP20*DN270+DP21*DN270+DP22*DN270+DP23*DN270+DP24*DN270+DP25*DN270+DP26*DN270+DQ5*DN270+DQ6*DN270+DQ7*DN270+DQ8*DN270+DQ9*DN270+DQ10*DN270+DQ11*DN270+DQ12*DN270+DQ13*DN270+DQ14*DN270+DQ15*DN270+DQ16*DN270+DQ17*DN270+DQ18*DN270+DQ19*DN270+DQ20*DN270+DQ21*DN270+DQ22*DN270+DQ23*DN270+DQ24*DN270+DQ25*DN270+DQ26*DN270</f>
        <v>0</v>
      </c>
      <c r="DP270" s="5"/>
      <c r="DQ270" s="5"/>
      <c r="DS270" s="5">
        <v>3</v>
      </c>
      <c r="DT270" s="5">
        <f>DT5*DS270+DT6*DS270+DT7*DS270+DT8*DS270+DT9*DS270+DT10*DS270+DT11*DS270+DT12*DS270+DT13*DS270+DT14*DS270+DT15*DS270+DT16*DS270+DT17*DS270+DT18*DS270+DT19*DS270+DT20*DS270+DT21*DS270+DT22*DS270+DT23*DS270+DT24*DS270+DT25*DS270+DT26*DS270+DU5*DS270+DU6*DS270+DU7*DS270+DU8*DS270+DU9*DS270+DU10*DS270+DU11*DS270+DU12*DS270+DU13*DS270+DU14*DS270+DU15*DS270+DU16*DS270+DU17*DS270+DU18*DS270+DU19*DS270+DU20*DS270+DU21*DS270+DU22*DS270+DU23*DS270+DU24*DS270+DU25*DS270+DU26*DS270+DV5*DS270+DV6*DS270+DV7*DS270+DV8*DS270+DV9*DS270+DV10*DS270+DV11*DS270+DV12*DS270+DV13*DS270+DV14*DS270+DV15*DS270+DV16*DS270+DV17*DS270+DV18*DS270+DV19*DS270+DV20*DS270+DV21*DS270+DV22*DS270+DV23*DS270+DV24*DS270+DV25*DS270+DV26*DS270</f>
        <v>0</v>
      </c>
      <c r="DU270" s="5"/>
      <c r="DV270" s="5"/>
      <c r="DX270" s="5">
        <v>3</v>
      </c>
      <c r="DY270" s="5">
        <f>DY5*DX270+DY6*DX270+DY7*DX270+DY8*DX270+DY9*DX270+DY10*DX270+DY11*DX270+DY12*DX270+DY13*DX270+DY14*DX270+DY15*DX270+DY16*DX270+DY17*DX270+DY18*DX270+DY19*DX270+DY20*DX270+DY21*DX270+DY22*DX270+DY23*DX270+DY24*DX270+DY25*DX270+DY26*DX270+DZ5*DX270+DZ6*DX270+DZ7*DX270+DZ8*DX270+DZ9*DX270+DZ10*DX270+DZ11*DX270+DZ12*DX270+DZ13*DX270+DZ14*DX270+DZ15*DX270+DZ16*DX270+DZ17*DX270+DZ18*DX270+DZ19*DX270+DZ20*DX270+DZ21*DX270+DZ22*DX270+DZ23*DX270+DZ24*DX270+DZ25*DX270+DZ26*DX270+EA5*DX270+EA6*DX270+EA7*DX270+EA8*DX270+EA9*DX270+EA10*DX270+EA11*DX270+EA12*DX270+EA13*DX270+EA14*DX270+EA15*DX270+EA16*DX270+EA17*DX270+EA18*DX270+EA19*DX270+EA20*DX270+EA21*DX270+EA22*DX270+EA23*DX270+EA24*DX270+EA25*DX270+EA26*DX270</f>
        <v>0</v>
      </c>
      <c r="DZ270" s="5"/>
      <c r="EA270" s="5"/>
      <c r="EC270" s="5">
        <v>6</v>
      </c>
      <c r="ED270" s="5">
        <f>ED5*EC270+ED6*EC270+ED7*EC270+ED8*EC270+ED9*EC270+ED10*EC270+ED11*EC270+ED12*EC270+ED13*EC270+ED14*EC270+ED15*EC270+ED16*EC270+ED17*EC270+ED18*EC270+ED19*EC270+ED20*EC270+ED21*EC270+ED22*EC270+ED23*EC270+ED24*EC270+ED25*EC270+ED26*EC270+EE5*EC270+EE6*EC270+EE7*EC270+EE8*EC270+EE9*EC270+EE10*EC270+EE11*EC270+EE12*EC270+EE13*EC270+EE14*EC270+EE15*EC270+EE16*EC270+EE17*EC270+EE18*EC270+EE19*EC270+EE20*EC270+EE21*EC270+EE22*EC270+EE23*EC270+EE24*EC270+EE25*EC270+EE26*EC270+EF5*EC270+EF6*EC270+EF7*EC270+EF8*EC270+EF9*EC270+EF10*EC270+EF11*EC270+EF12*EC270+EF13*EC270+EF14*EC270+EF15*EC270+EF16*EC270+EF17*EC270+EF18*EC270+EF19*EC270+EF20*EC270+EF21*EC270+EF22*EC270+EF23*EC270+EF24*EC270+EF25*EC270+EF26*EC270</f>
        <v>0</v>
      </c>
      <c r="EE270" s="5"/>
      <c r="EF270" s="5"/>
      <c r="EH270" s="5">
        <v>6</v>
      </c>
      <c r="EI270" s="5">
        <f>EI5*EH270+EI6*EH270+EI7*EH270+EI8*EH270+EI9*EH270+EI10*EH270+EI11*EH270+EI12*EH270+EI13*EH270+EI14*EH270+EI15*EH270+EI16*EH270+EI17*EH270+EI18*EH270+EI19*EH270+EI20*EH270+EI21*EH270+EI22*EH270+EI23*EH270+EI24*EH270+EI25*EH270+EI26*EH270+EJ5*EH270+EJ6*EH270+EJ7*EH270+EJ8*EH270+EJ9*EH270+EJ10*EH270+EJ11*EH270+EJ12*EH270+EJ13*EH270+EJ14*EH270+EJ15*EH270+EJ16*EH270+EJ17*EH270+EJ18*EH270+EJ19*EH270+EJ20*EH270+EJ21*EH270+EJ22*EH270+EJ23*EH270+EJ24*EH270+EJ25*EH270+EJ26*EH270+EK5*EH270+EK6*EH270+EK7*EH270+EK8*EH270+EK9*EH270+EK10*EH270+EK11*EH270+EK12*EH270+EK13*EH270+EK14*EH270+EK15*EH270+EK16*EH270+EK17*EH270+EK18*EH270+EK19*EH270+EK20*EH270+EK21*EH270+EK22*EH270+EK23*EH270+EK24*EH270+EK25*EH270+EK26*EH270</f>
        <v>0</v>
      </c>
      <c r="EJ270" s="5"/>
      <c r="EK270" s="5"/>
      <c r="EX270" s="659">
        <f t="shared" si="1"/>
        <v>0</v>
      </c>
    </row>
    <row r="271" spans="1:154" s="6" customFormat="1" ht="15" customHeight="1">
      <c r="A271" s="3"/>
      <c r="B271" s="210" t="s">
        <v>408</v>
      </c>
      <c r="C271" s="473" t="s">
        <v>515</v>
      </c>
      <c r="D271" s="138"/>
      <c r="E271" s="5"/>
      <c r="F271" s="5"/>
      <c r="G271" s="5"/>
      <c r="H271" s="5"/>
      <c r="I271" s="4"/>
      <c r="J271" s="4">
        <v>1</v>
      </c>
      <c r="K271" s="658">
        <f>SUM(K5:K26)*J271</f>
        <v>0</v>
      </c>
      <c r="L271" s="4"/>
      <c r="M271" s="661"/>
      <c r="N271" s="661">
        <f>SUM(N5:N26,O5:O26,P5:P26)*M271</f>
        <v>0</v>
      </c>
      <c r="O271" s="4"/>
      <c r="P271" s="4"/>
      <c r="Q271" s="4"/>
      <c r="R271" s="5"/>
      <c r="S271" s="5"/>
      <c r="U271" s="5"/>
      <c r="W271" s="5"/>
      <c r="X271" s="5"/>
      <c r="Y271" s="5"/>
      <c r="Z271" s="5"/>
      <c r="AB271" s="5"/>
      <c r="AC271" s="5"/>
      <c r="AD271" s="5"/>
      <c r="AE271" s="5"/>
      <c r="AG271" s="5"/>
      <c r="AH271" s="5"/>
      <c r="AI271" s="5"/>
      <c r="AJ271" s="5"/>
      <c r="AL271" s="5"/>
      <c r="AM271" s="5"/>
      <c r="AN271" s="5"/>
      <c r="AO271" s="5"/>
      <c r="AQ271" s="5"/>
      <c r="AR271" s="5"/>
      <c r="AS271" s="5"/>
      <c r="AT271" s="5"/>
      <c r="BD271" s="5"/>
      <c r="BF271" s="5"/>
      <c r="BG271" s="5"/>
      <c r="BH271" s="5"/>
      <c r="BI271" s="5"/>
      <c r="BM271" s="5"/>
      <c r="BN271" s="5"/>
      <c r="BP271" s="5"/>
      <c r="BQ271" s="5"/>
      <c r="BR271" s="5"/>
      <c r="BS271" s="5"/>
      <c r="BU271" s="5"/>
      <c r="BV271" s="5"/>
      <c r="BW271" s="5"/>
      <c r="BX271" s="5"/>
      <c r="BZ271" s="5"/>
      <c r="CA271" s="5"/>
      <c r="CB271" s="5"/>
      <c r="CC271" s="5"/>
      <c r="CE271" s="5"/>
      <c r="CF271" s="5"/>
      <c r="CG271" s="5"/>
      <c r="CH271" s="5"/>
      <c r="CO271" s="13"/>
      <c r="CP271" s="5"/>
      <c r="CQ271" s="5"/>
      <c r="CR271" s="5"/>
      <c r="CT271" s="5"/>
      <c r="CU271" s="5"/>
      <c r="CV271" s="5"/>
      <c r="CW271" s="5"/>
      <c r="CY271" s="5"/>
      <c r="CZ271" s="5"/>
      <c r="DA271" s="5"/>
      <c r="DB271" s="5"/>
      <c r="DD271" s="5"/>
      <c r="DE271" s="5"/>
      <c r="DF271" s="5"/>
      <c r="DG271" s="5"/>
      <c r="DI271" s="5"/>
      <c r="DJ271" s="5"/>
      <c r="DK271" s="5"/>
      <c r="DL271" s="5"/>
      <c r="DN271" s="5"/>
      <c r="DO271" s="5"/>
      <c r="DP271" s="5"/>
      <c r="DQ271" s="5"/>
      <c r="DS271" s="5"/>
      <c r="DT271" s="5"/>
      <c r="DU271" s="5"/>
      <c r="DV271" s="5"/>
      <c r="DX271" s="5"/>
      <c r="DY271" s="5"/>
      <c r="DZ271" s="5"/>
      <c r="EA271" s="5"/>
      <c r="EC271" s="5"/>
      <c r="ED271" s="5"/>
      <c r="EE271" s="5"/>
      <c r="EF271" s="5"/>
      <c r="EH271" s="5"/>
      <c r="EI271" s="5"/>
      <c r="EJ271" s="5"/>
      <c r="EK271" s="5"/>
      <c r="EX271" s="659">
        <f t="shared" si="1"/>
        <v>0</v>
      </c>
    </row>
    <row r="272" spans="1:154" s="6" customFormat="1" ht="15" customHeight="1">
      <c r="A272" s="3" t="s">
        <v>165</v>
      </c>
      <c r="B272" s="210" t="s">
        <v>165</v>
      </c>
      <c r="C272" s="473" t="s">
        <v>515</v>
      </c>
      <c r="D272" s="138"/>
      <c r="E272" s="5"/>
      <c r="F272" s="5"/>
      <c r="G272" s="5"/>
      <c r="H272" s="5"/>
      <c r="I272" s="4"/>
      <c r="J272" s="4"/>
      <c r="K272" s="859">
        <f>C12</f>
        <v>0</v>
      </c>
      <c r="L272" s="4"/>
      <c r="M272" s="4"/>
      <c r="N272" s="4"/>
      <c r="O272" s="4"/>
      <c r="P272" s="4"/>
      <c r="Q272" s="4"/>
      <c r="R272" s="5"/>
      <c r="S272" s="5"/>
      <c r="U272" s="5"/>
      <c r="W272" s="5"/>
      <c r="X272" s="5"/>
      <c r="Y272" s="5"/>
      <c r="Z272" s="5"/>
      <c r="AB272" s="5"/>
      <c r="AC272" s="5"/>
      <c r="AD272" s="5"/>
      <c r="AE272" s="5"/>
      <c r="AG272" s="5"/>
      <c r="AH272" s="5"/>
      <c r="AI272" s="5"/>
      <c r="AJ272" s="5"/>
      <c r="AL272" s="5"/>
      <c r="AM272" s="5"/>
      <c r="AN272" s="5"/>
      <c r="AO272" s="5"/>
      <c r="AQ272" s="5"/>
      <c r="AR272" s="5"/>
      <c r="AS272" s="5"/>
      <c r="AT272" s="5"/>
      <c r="BD272" s="5"/>
      <c r="BF272" s="5"/>
      <c r="BG272" s="5"/>
      <c r="BH272" s="5"/>
      <c r="BI272" s="5"/>
      <c r="BM272" s="5"/>
      <c r="BN272" s="5"/>
      <c r="BP272" s="5"/>
      <c r="BQ272" s="5"/>
      <c r="BR272" s="5"/>
      <c r="BS272" s="5"/>
      <c r="BU272" s="5"/>
      <c r="BV272" s="5"/>
      <c r="BW272" s="5"/>
      <c r="BX272" s="5"/>
      <c r="BZ272" s="5"/>
      <c r="CA272" s="5"/>
      <c r="CB272" s="5"/>
      <c r="CC272" s="5"/>
      <c r="CE272" s="5"/>
      <c r="CF272" s="5"/>
      <c r="CG272" s="5"/>
      <c r="CH272" s="5"/>
      <c r="CO272" s="13"/>
      <c r="CP272" s="5"/>
      <c r="CQ272" s="5"/>
      <c r="CR272" s="5"/>
      <c r="CT272" s="5"/>
      <c r="CU272" s="5"/>
      <c r="CV272" s="5"/>
      <c r="CW272" s="5"/>
      <c r="CY272" s="5"/>
      <c r="CZ272" s="5"/>
      <c r="DA272" s="5"/>
      <c r="DB272" s="5"/>
      <c r="DD272" s="5"/>
      <c r="DE272" s="5"/>
      <c r="DF272" s="5"/>
      <c r="DG272" s="5"/>
      <c r="DI272" s="5" t="s">
        <v>1574</v>
      </c>
      <c r="DJ272" s="5"/>
      <c r="DK272" s="5"/>
      <c r="DL272" s="5"/>
      <c r="DN272" s="5" t="s">
        <v>1085</v>
      </c>
      <c r="DO272" s="5">
        <f>IF(SUM(ET5:ET12,EU5:EU12,EV5:EV12,EW5:EW12)&lt;1,SUM(EN5:EN12,EO5:EO12,EP5:EP12,EQ5:EQ12)*6,0)</f>
        <v>0</v>
      </c>
      <c r="DP272" s="5"/>
      <c r="DQ272" s="5"/>
      <c r="DS272" s="5" t="s">
        <v>1574</v>
      </c>
      <c r="DT272" s="5"/>
      <c r="DU272" s="5"/>
      <c r="DV272" s="5"/>
      <c r="DX272" s="5" t="s">
        <v>1574</v>
      </c>
      <c r="DY272" s="5"/>
      <c r="DZ272" s="5"/>
      <c r="EA272" s="5"/>
      <c r="EC272" s="5" t="s">
        <v>1574</v>
      </c>
      <c r="ED272" s="5"/>
      <c r="EE272" s="5"/>
      <c r="EF272" s="5"/>
      <c r="EH272" s="5" t="s">
        <v>1574</v>
      </c>
      <c r="EI272" s="5"/>
      <c r="EJ272" s="5"/>
      <c r="EK272" s="5"/>
      <c r="EX272" s="659">
        <f t="shared" si="1"/>
        <v>0</v>
      </c>
    </row>
    <row r="273" spans="1:155" s="6" customFormat="1" ht="15" customHeight="1">
      <c r="A273" s="3" t="s">
        <v>166</v>
      </c>
      <c r="B273" s="210" t="s">
        <v>166</v>
      </c>
      <c r="C273" s="473" t="s">
        <v>515</v>
      </c>
      <c r="D273" s="138"/>
      <c r="E273" s="5"/>
      <c r="F273" s="5"/>
      <c r="G273" s="5"/>
      <c r="H273" s="5"/>
      <c r="I273" s="4"/>
      <c r="J273" s="4"/>
      <c r="K273" s="4"/>
      <c r="L273" s="4"/>
      <c r="M273" s="4"/>
      <c r="N273" s="4"/>
      <c r="O273" s="4"/>
      <c r="P273" s="4"/>
      <c r="Q273" s="4"/>
      <c r="R273" s="5"/>
      <c r="S273" s="5"/>
      <c r="U273" s="5"/>
      <c r="W273" s="5"/>
      <c r="X273" s="5"/>
      <c r="Y273" s="5"/>
      <c r="Z273" s="5"/>
      <c r="AB273" s="5"/>
      <c r="AC273" s="5"/>
      <c r="AD273" s="5"/>
      <c r="AE273" s="5"/>
      <c r="AG273" s="5"/>
      <c r="AH273" s="5"/>
      <c r="AI273" s="5"/>
      <c r="AJ273" s="5"/>
      <c r="AL273" s="5"/>
      <c r="AM273" s="5"/>
      <c r="AN273" s="5"/>
      <c r="AO273" s="5"/>
      <c r="AQ273" s="5"/>
      <c r="AR273" s="5"/>
      <c r="AS273" s="5"/>
      <c r="AT273" s="5"/>
      <c r="BD273" s="5"/>
      <c r="BF273" s="5"/>
      <c r="BG273" s="5"/>
      <c r="BH273" s="5"/>
      <c r="BI273" s="5"/>
      <c r="BM273" s="5"/>
      <c r="BN273" s="5"/>
      <c r="BP273" s="5"/>
      <c r="BQ273" s="5"/>
      <c r="BR273" s="5"/>
      <c r="BS273" s="5"/>
      <c r="BU273" s="5"/>
      <c r="BV273" s="5"/>
      <c r="BW273" s="5"/>
      <c r="BX273" s="5"/>
      <c r="BZ273" s="5"/>
      <c r="CA273" s="5"/>
      <c r="CB273" s="5"/>
      <c r="CC273" s="5"/>
      <c r="CE273" s="5"/>
      <c r="CF273" s="5"/>
      <c r="CG273" s="5"/>
      <c r="CH273" s="5"/>
      <c r="CO273" s="13"/>
      <c r="CP273" s="5"/>
      <c r="CQ273" s="5"/>
      <c r="CR273" s="5"/>
      <c r="CT273" s="5"/>
      <c r="CU273" s="5"/>
      <c r="CV273" s="5"/>
      <c r="CW273" s="5"/>
      <c r="CY273" s="5"/>
      <c r="CZ273" s="5"/>
      <c r="DA273" s="5"/>
      <c r="DB273" s="5"/>
      <c r="DD273" s="5"/>
      <c r="DE273" s="5"/>
      <c r="DF273" s="5"/>
      <c r="DG273" s="5"/>
      <c r="DI273" s="5" t="s">
        <v>1575</v>
      </c>
      <c r="DJ273" s="5"/>
      <c r="DK273" s="5"/>
      <c r="DL273" s="5"/>
      <c r="DN273" s="5" t="s">
        <v>1085</v>
      </c>
      <c r="DO273" s="5">
        <f>IF(SUM(ET5:ET12,EU5:EU12,EV5:EV12,EW5:EW12)&gt;=1,SUM(EN5:EN12,EO5:EO12,EP5:EP12,EQ5:EQ12)*20,0)</f>
        <v>0</v>
      </c>
      <c r="DP273" s="5"/>
      <c r="DQ273" s="5"/>
      <c r="DS273" s="5" t="s">
        <v>1575</v>
      </c>
      <c r="DT273" s="5"/>
      <c r="DU273" s="5"/>
      <c r="DV273" s="5"/>
      <c r="DX273" s="5" t="s">
        <v>1575</v>
      </c>
      <c r="DY273" s="5"/>
      <c r="DZ273" s="5"/>
      <c r="EA273" s="5"/>
      <c r="EC273" s="5" t="s">
        <v>1575</v>
      </c>
      <c r="ED273" s="5"/>
      <c r="EE273" s="5"/>
      <c r="EF273" s="5"/>
      <c r="EH273" s="5" t="s">
        <v>1575</v>
      </c>
      <c r="EI273" s="5"/>
      <c r="EJ273" s="5"/>
      <c r="EK273" s="5"/>
      <c r="EX273" s="659">
        <f t="shared" ref="EX273:EX336" si="2">IF(EY273=34,0,F273+K273+N273+S273+T273+X273+AC273+AH273+AM273+CZ273+AR273+AW273+BB273+BG273+BL273+BQ273+BV273+CA273+CF273+CK273+CP273+CU273+DE273+DJ273+DO273+DT273+DY273+ED273+EI273+EN273+ET273+EU273)</f>
        <v>0</v>
      </c>
    </row>
    <row r="274" spans="1:155" s="6" customFormat="1" ht="15" customHeight="1">
      <c r="A274" s="167">
        <v>503034</v>
      </c>
      <c r="B274" s="167" t="s">
        <v>1801</v>
      </c>
      <c r="C274" s="473" t="s">
        <v>515</v>
      </c>
      <c r="D274" s="138"/>
      <c r="E274" s="5"/>
      <c r="F274" s="5"/>
      <c r="G274" s="5"/>
      <c r="H274" s="5"/>
      <c r="I274" s="4"/>
      <c r="J274" s="4"/>
      <c r="K274" s="859">
        <f>C13</f>
        <v>0</v>
      </c>
      <c r="L274" s="4"/>
      <c r="M274" s="4"/>
      <c r="N274" s="4"/>
      <c r="O274" s="4"/>
      <c r="P274" s="4"/>
      <c r="Q274" s="4"/>
      <c r="R274" s="5"/>
      <c r="S274" s="5"/>
      <c r="T274" s="6">
        <f>C12</f>
        <v>0</v>
      </c>
      <c r="U274" s="5"/>
      <c r="W274" s="5"/>
      <c r="X274" s="5"/>
      <c r="Y274" s="5"/>
      <c r="Z274" s="5"/>
      <c r="AB274" s="5"/>
      <c r="AC274" s="5"/>
      <c r="AD274" s="5"/>
      <c r="AE274" s="5"/>
      <c r="AG274" s="5"/>
      <c r="AH274" s="5"/>
      <c r="AI274" s="5"/>
      <c r="AJ274" s="5"/>
      <c r="AL274" s="5"/>
      <c r="AM274" s="5"/>
      <c r="AN274" s="5"/>
      <c r="AO274" s="5"/>
      <c r="AQ274" s="5"/>
      <c r="AR274" s="5"/>
      <c r="AS274" s="5"/>
      <c r="AT274" s="5"/>
      <c r="BD274" s="5"/>
      <c r="BF274" s="5"/>
      <c r="BG274" s="5"/>
      <c r="BH274" s="5"/>
      <c r="BI274" s="5"/>
      <c r="BM274" s="5"/>
      <c r="BN274" s="5"/>
      <c r="BP274" s="5"/>
      <c r="BQ274" s="5"/>
      <c r="BR274" s="5"/>
      <c r="BS274" s="5"/>
      <c r="BU274" s="5"/>
      <c r="BV274" s="5"/>
      <c r="BW274" s="5"/>
      <c r="BX274" s="5"/>
      <c r="BZ274" s="5"/>
      <c r="CA274" s="5"/>
      <c r="CB274" s="5"/>
      <c r="CC274" s="5"/>
      <c r="CE274" s="5"/>
      <c r="CF274" s="5"/>
      <c r="CG274" s="5"/>
      <c r="CH274" s="5"/>
      <c r="CO274" s="13"/>
      <c r="CP274" s="5"/>
      <c r="CQ274" s="5"/>
      <c r="CR274" s="5"/>
      <c r="CT274" s="5"/>
      <c r="CU274" s="5"/>
      <c r="CV274" s="5"/>
      <c r="CW274" s="5"/>
      <c r="CY274" s="5"/>
      <c r="CZ274" s="5"/>
      <c r="DA274" s="5"/>
      <c r="DB274" s="5"/>
      <c r="DD274" s="5"/>
      <c r="DE274" s="5"/>
      <c r="DF274" s="5"/>
      <c r="DG274" s="5"/>
      <c r="DI274" s="5"/>
      <c r="DJ274" s="5"/>
      <c r="DK274" s="5"/>
      <c r="DL274" s="5"/>
      <c r="DN274" s="5"/>
      <c r="DO274" s="5"/>
      <c r="DP274" s="5"/>
      <c r="DQ274" s="5"/>
      <c r="DS274" s="5"/>
      <c r="DT274" s="5"/>
      <c r="DU274" s="5"/>
      <c r="DV274" s="5"/>
      <c r="DX274" s="5"/>
      <c r="DY274" s="5"/>
      <c r="DZ274" s="5"/>
      <c r="EA274" s="5"/>
      <c r="EC274" s="5"/>
      <c r="ED274" s="5"/>
      <c r="EE274" s="5"/>
      <c r="EF274" s="5"/>
      <c r="EH274" s="5"/>
      <c r="EI274" s="5"/>
      <c r="EJ274" s="5"/>
      <c r="EK274" s="5"/>
      <c r="EX274" s="659">
        <f t="shared" si="2"/>
        <v>0</v>
      </c>
    </row>
    <row r="275" spans="1:155" s="6" customFormat="1" ht="15" customHeight="1">
      <c r="A275" s="3" t="s">
        <v>210</v>
      </c>
      <c r="B275" s="210" t="s">
        <v>210</v>
      </c>
      <c r="C275" s="473" t="s">
        <v>515</v>
      </c>
      <c r="D275" s="138"/>
      <c r="E275" s="5"/>
      <c r="I275" s="4"/>
      <c r="J275" s="4">
        <v>1</v>
      </c>
      <c r="K275" s="658">
        <f>SUM(K5:K26)*J275</f>
        <v>0</v>
      </c>
      <c r="L275" s="4"/>
      <c r="M275" s="658">
        <v>6</v>
      </c>
      <c r="N275" s="658">
        <f>SUM(N5:N26,O5:O26,P5:P26)*M275</f>
        <v>0</v>
      </c>
      <c r="O275" s="4"/>
      <c r="P275" s="4"/>
      <c r="Q275" s="4"/>
      <c r="R275" s="5"/>
      <c r="S275" s="5">
        <f>SUM(S5:U26)*R275</f>
        <v>0</v>
      </c>
      <c r="U275" s="5"/>
      <c r="W275" s="5"/>
      <c r="X275" s="5">
        <f>SUM(X5:Z26)*W275</f>
        <v>0</v>
      </c>
      <c r="Y275" s="5"/>
      <c r="Z275" s="5"/>
      <c r="AB275" s="5"/>
      <c r="AC275" s="5">
        <f>SUM(AC5:AE26)*AB275</f>
        <v>0</v>
      </c>
      <c r="AD275" s="5"/>
      <c r="AE275" s="5"/>
      <c r="AG275" s="5">
        <v>3</v>
      </c>
      <c r="AH275" s="5">
        <f>SUM(AH5:AJ26)*AG275</f>
        <v>0</v>
      </c>
      <c r="AI275" s="5"/>
      <c r="AJ275" s="5"/>
      <c r="AL275" s="5">
        <v>6</v>
      </c>
      <c r="AM275" s="5">
        <f>SUM(AM5:AO26)*AL275</f>
        <v>0</v>
      </c>
      <c r="AN275" s="5"/>
      <c r="AO275" s="5"/>
      <c r="AQ275" s="5">
        <v>6</v>
      </c>
      <c r="AR275" s="5">
        <f>SUM(AR5:AT26)*AQ275</f>
        <v>0</v>
      </c>
      <c r="AS275" s="5"/>
      <c r="AT275" s="5"/>
      <c r="AW275" s="5">
        <f>SUM(AW5:AY26)*AV275</f>
        <v>0</v>
      </c>
      <c r="BB275" s="5">
        <f>SUM(BB5:BD26)*BA275</f>
        <v>0</v>
      </c>
      <c r="BD275" s="5"/>
      <c r="BF275" s="5">
        <v>3</v>
      </c>
      <c r="BG275" s="5">
        <f>SUM(BG5:BI26)*BF275</f>
        <v>0</v>
      </c>
      <c r="BH275" s="5"/>
      <c r="BI275" s="5"/>
      <c r="BK275" s="6">
        <v>3</v>
      </c>
      <c r="BL275" s="5">
        <f>SUM(BL5:BN26)*BK275</f>
        <v>0</v>
      </c>
      <c r="BM275" s="5"/>
      <c r="BN275" s="5"/>
      <c r="BP275" s="5">
        <v>3</v>
      </c>
      <c r="BQ275" s="5">
        <f>SUM(BQ5:BS26)*BP275</f>
        <v>0</v>
      </c>
      <c r="BR275" s="5"/>
      <c r="BS275" s="5"/>
      <c r="BU275" s="5">
        <v>3</v>
      </c>
      <c r="BV275" s="5">
        <f>SUM(BV5:BX26)*BU275</f>
        <v>0</v>
      </c>
      <c r="BW275" s="5"/>
      <c r="BX275" s="5"/>
      <c r="BZ275" s="5">
        <v>6</v>
      </c>
      <c r="CA275" s="5">
        <f>SUM(CA5:CC26)*BZ275</f>
        <v>0</v>
      </c>
      <c r="CB275" s="5"/>
      <c r="CC275" s="5"/>
      <c r="CE275" s="5">
        <v>6</v>
      </c>
      <c r="CF275" s="5">
        <f>SUM(CF5:CH26)*CE275</f>
        <v>0</v>
      </c>
      <c r="CG275" s="5"/>
      <c r="CH275" s="5"/>
      <c r="CJ275" s="6">
        <v>3</v>
      </c>
      <c r="CK275" s="5">
        <f>SUM(CK5:CM26)*CJ275</f>
        <v>0</v>
      </c>
      <c r="CO275" s="13">
        <v>6</v>
      </c>
      <c r="CP275" s="5">
        <f>SUM(CP5:CR26)*CO275</f>
        <v>0</v>
      </c>
      <c r="CQ275" s="5"/>
      <c r="CR275" s="5"/>
      <c r="CT275" s="5">
        <v>6</v>
      </c>
      <c r="CU275" s="5">
        <f>SUM(CU5:CW26)*CT275</f>
        <v>0</v>
      </c>
      <c r="CV275" s="5"/>
      <c r="CW275" s="5"/>
      <c r="CY275" s="5">
        <v>6</v>
      </c>
      <c r="CZ275" s="5">
        <f>SUM(CZ5:DB26)*CY275</f>
        <v>0</v>
      </c>
      <c r="DA275" s="5"/>
      <c r="DB275" s="5"/>
      <c r="DD275" s="5">
        <v>6</v>
      </c>
      <c r="DE275" s="5">
        <f>SUM(DE5:DG26)*DD275</f>
        <v>0</v>
      </c>
      <c r="DF275" s="5"/>
      <c r="DG275" s="5"/>
      <c r="DI275" s="5"/>
      <c r="DJ275" s="5">
        <f>DJ26*DI275+DJ5*DI275+DJ6*DI275+DJ7*DI275+DJ8*DI275+DJ9*DI275+DJ10*DI275+DJ11*DI275+DJ12*DI275+DJ13*DI275+DJ14*DI275+DJ15*DI275+DJ16*DI275+DJ17*DI275+DJ18*DI275+DJ19*DI275+DJ20*DI275+DJ21*DI275+DJ22*DI275+DJ23*DI275+DJ24*DI275+DJ25*DI275+DK26*DI275+DK5*DI275+DK6*DI275+DK7*DI275+DK8*DI275+DK9*DI275+DK10*DI275+DK11*DI275+DK12*DI275+DK13*DI275+DK14*DI275+DK15*DI275+DK16*DI275+DK17*DI275+DK18*DI275+DK19*DI275+DK20*DI275+DK21*DI275+DK22*DI275+DK23*DI275+DK24*DI275+DK25*DI275+DL26*DI275+DL5*DI275+DL6*DI275+DL7*DI275+DL8*DI275+DL9*DI275+DL10*DI275+DL11*DI275+DL12*DI275+DL13*DI275+DL14*DI275+DL15*DI275+DL16*DI275+DL17*DI275+DL18*DI275+DL19*DI275+DL20*DI275+DL21*DI275+DL22*DI275+DL23*DI275+DL24*DI275+DL25*DI275</f>
        <v>0</v>
      </c>
      <c r="DK275" s="5"/>
      <c r="DL275" s="5"/>
      <c r="DN275" s="5"/>
      <c r="DO275" s="5">
        <f>SUM(DO5:DQ26)*DN275</f>
        <v>0</v>
      </c>
      <c r="DP275" s="5"/>
      <c r="DQ275" s="5"/>
      <c r="DS275" s="5">
        <v>3</v>
      </c>
      <c r="DT275" s="5">
        <f>SUM(DT5:DV26)*DS275</f>
        <v>0</v>
      </c>
      <c r="DU275" s="5"/>
      <c r="DV275" s="5"/>
      <c r="DX275" s="5">
        <v>3</v>
      </c>
      <c r="DY275" s="5">
        <f>SUM(DY5:EA26)*DX275</f>
        <v>0</v>
      </c>
      <c r="DZ275" s="5"/>
      <c r="EA275" s="5"/>
      <c r="EC275" s="5">
        <v>6</v>
      </c>
      <c r="ED275" s="5">
        <f>ED26*EC275+ED5*EC275+ED6*EC275+ED7*EC275+ED8*EC275+ED9*EC275+ED10*EC275+ED11*EC275+ED12*EC275+ED13*EC275+ED14*EC275+ED15*EC275+ED16*EC275+ED17*EC275+ED18*EC275+ED19*EC275+ED20*EC275+ED21*EC275+ED22*EC275+ED23*EC275+ED24*EC275+ED25*EC275+EE26*EC275+EE5*EC275+EE6*EC275+EE7*EC275+EE8*EC275+EE9*EC275+EE10*EC275+EE11*EC275+EE12*EC275+EE13*EC275+EE14*EC275+EE15*EC275+EE16*EC275+EE17*EC275+EE18*EC275+EE19*EC275+EE20*EC275+EE21*EC275+EE22*EC275+EE23*EC275+EE24*EC275+EE25*EC275+EF26*EC275+EF5*EC275+EF6*EC275+EF7*EC275+EF8*EC275+EF9*EC275+EF10*EC275+EF11*EC275+EF12*EC275+EF13*EC275+EF14*EC275+EF15*EC275+EF16*EC275+EF17*EC275+EF18*EC275+EF19*EC275+EF20*EC275+EF21*EC275+EF22*EC275+EF23*EC275+EF24*EC275+EF25*EC275</f>
        <v>0</v>
      </c>
      <c r="EE275" s="5"/>
      <c r="EF275" s="5"/>
      <c r="EH275" s="5">
        <v>6</v>
      </c>
      <c r="EI275" s="5">
        <f>SUM(EI5:EK26)*EH275</f>
        <v>0</v>
      </c>
      <c r="EJ275" s="5"/>
      <c r="EK275" s="5"/>
      <c r="EX275" s="659">
        <f t="shared" si="2"/>
        <v>0</v>
      </c>
      <c r="EY275" s="6">
        <v>13</v>
      </c>
    </row>
    <row r="276" spans="1:155" s="6" customFormat="1" ht="15" customHeight="1">
      <c r="A276" s="3" t="s">
        <v>67</v>
      </c>
      <c r="B276" s="210" t="s">
        <v>67</v>
      </c>
      <c r="C276" s="473" t="s">
        <v>515</v>
      </c>
      <c r="D276" s="138"/>
      <c r="E276" s="5"/>
      <c r="I276" s="4"/>
      <c r="J276" s="4">
        <v>1</v>
      </c>
      <c r="K276" s="658">
        <f>SUM(K5:K26)*J276</f>
        <v>0</v>
      </c>
      <c r="L276" s="4"/>
      <c r="M276" s="658">
        <v>6</v>
      </c>
      <c r="N276" s="658">
        <f>SUM(N5:N26,O5:O26,P5:P26)*M275</f>
        <v>0</v>
      </c>
      <c r="O276" s="4"/>
      <c r="P276" s="4"/>
      <c r="Q276" s="4"/>
      <c r="R276" s="5"/>
      <c r="S276" s="5">
        <f>SUM(S5:U26)*R276</f>
        <v>0</v>
      </c>
      <c r="U276" s="5"/>
      <c r="W276" s="5"/>
      <c r="X276" s="5">
        <f>SUM(X5:Z26)*W276</f>
        <v>0</v>
      </c>
      <c r="Y276" s="5"/>
      <c r="Z276" s="5"/>
      <c r="AB276" s="5"/>
      <c r="AC276" s="5">
        <f>SUM(AC5:AE26)*AB276</f>
        <v>0</v>
      </c>
      <c r="AD276" s="5"/>
      <c r="AE276" s="5"/>
      <c r="AG276" s="5">
        <v>3</v>
      </c>
      <c r="AH276" s="5">
        <f>SUM(AH5:AJ26)*AG276</f>
        <v>0</v>
      </c>
      <c r="AI276" s="5"/>
      <c r="AJ276" s="5"/>
      <c r="AL276" s="5">
        <v>6</v>
      </c>
      <c r="AM276" s="5">
        <f>SUM(AM5:AO26)*AL276</f>
        <v>0</v>
      </c>
      <c r="AN276" s="5"/>
      <c r="AO276" s="5"/>
      <c r="AQ276" s="5">
        <v>6</v>
      </c>
      <c r="AR276" s="5">
        <f>SUM(AR5:AT26)*AQ276</f>
        <v>0</v>
      </c>
      <c r="AS276" s="5"/>
      <c r="AT276" s="5"/>
      <c r="AW276" s="5">
        <f>SUM(AW5:AY26)*AV276</f>
        <v>0</v>
      </c>
      <c r="BB276" s="5">
        <f>SUM(BB5:BD26)*BA276</f>
        <v>0</v>
      </c>
      <c r="BD276" s="5"/>
      <c r="BF276" s="5">
        <v>3</v>
      </c>
      <c r="BG276" s="5">
        <f>SUM(BG5:BI26)*BF276</f>
        <v>0</v>
      </c>
      <c r="BH276" s="5"/>
      <c r="BI276" s="5"/>
      <c r="BK276" s="6">
        <v>3</v>
      </c>
      <c r="BL276" s="5">
        <f>SUM(BL5:BN26)*BK276</f>
        <v>0</v>
      </c>
      <c r="BM276" s="5"/>
      <c r="BN276" s="5"/>
      <c r="BP276" s="5">
        <v>3</v>
      </c>
      <c r="BQ276" s="5">
        <f>SUM(BQ5:BS26)*BP276</f>
        <v>0</v>
      </c>
      <c r="BR276" s="5"/>
      <c r="BS276" s="5"/>
      <c r="BU276" s="5">
        <v>3</v>
      </c>
      <c r="BV276" s="5">
        <f>SUM(BV5:BX26)*BU276</f>
        <v>0</v>
      </c>
      <c r="BW276" s="5"/>
      <c r="BX276" s="5"/>
      <c r="BZ276" s="5">
        <v>6</v>
      </c>
      <c r="CA276" s="5">
        <f>SUM(CA5:CC26)*BZ276</f>
        <v>0</v>
      </c>
      <c r="CB276" s="5"/>
      <c r="CC276" s="5"/>
      <c r="CE276" s="5">
        <v>6</v>
      </c>
      <c r="CF276" s="5">
        <f>SUM(CF5:CH26)*CE276</f>
        <v>0</v>
      </c>
      <c r="CG276" s="5"/>
      <c r="CH276" s="5"/>
      <c r="CJ276" s="6">
        <v>3</v>
      </c>
      <c r="CK276" s="5">
        <f>SUM(CK5:CM26)*CJ276</f>
        <v>0</v>
      </c>
      <c r="CO276" s="13">
        <v>6</v>
      </c>
      <c r="CP276" s="5">
        <f>SUM(CP5:CR26)*CO276</f>
        <v>0</v>
      </c>
      <c r="CQ276" s="5"/>
      <c r="CR276" s="5"/>
      <c r="CT276" s="5">
        <v>6</v>
      </c>
      <c r="CU276" s="5">
        <f>SUM(CU5:CW26)*CT276</f>
        <v>0</v>
      </c>
      <c r="CV276" s="5"/>
      <c r="CW276" s="5"/>
      <c r="CY276" s="5">
        <v>6</v>
      </c>
      <c r="CZ276" s="5">
        <f>SUM(CZ5:DB26)*CY276</f>
        <v>0</v>
      </c>
      <c r="DA276" s="5"/>
      <c r="DB276" s="5"/>
      <c r="DD276" s="5">
        <v>6</v>
      </c>
      <c r="DE276" s="5">
        <f>SUM(DE5:DG26)*DD276</f>
        <v>0</v>
      </c>
      <c r="DF276" s="5"/>
      <c r="DG276" s="5"/>
      <c r="DI276" s="5"/>
      <c r="DJ276" s="5">
        <f>DJ5*DI276+DJ6*DI276+DJ7*DI276+DJ8*DI276+DJ9*DI276+DJ10*DI276+DJ11*DI276+DJ12*DI276+DJ13*DI276+DJ14*DI276+DJ15*DI276+DJ16*DI276+DJ17*DI276+DJ18*DI276+DJ19*DI276+DJ20*DI276+DJ21*DI276+DJ22*DI276+DJ23*DI276+DJ24*DI276+DJ25*DI276+DJ26*DI276+DK5*DI276+DK6*DI276+DK7*DI276+DK8*DI276+DK9*DI276+DK10*DI276+DK11*DI276+DK12*DI276+DK13*DI276+DK14*DI276+DK15*DI276+DK16*DI276+DK17*DI276+DK18*DI276+DK19*DI276+DK20*DI276+DK21*DI276+DK22*DI276+DK23*DI276+DK24*DI276+DK25*DI276+DK26*DI276+DL5*DI276+DL6*DI276+DL7*DI276+DL8*DI276+DL9*DI276+DL10*DI276+DL11*DI276+DL12*DI276+DL13*DI276+DL14*DI276+DL15*DI276+DL16*DI276+DL17*DI276+DL18*DI276+DL19*DI276+DL20*DI276+DL21*DI276+DL22*DI276+DL23*DI276+DL24*DI276+DL25*DI276+DL26*DI276</f>
        <v>0</v>
      </c>
      <c r="DK276" s="5"/>
      <c r="DL276" s="5"/>
      <c r="DN276" s="5"/>
      <c r="DO276" s="5">
        <f>SUM(DO5:DQ26)*DN276</f>
        <v>0</v>
      </c>
      <c r="DP276" s="5"/>
      <c r="DQ276" s="5"/>
      <c r="DS276" s="5">
        <v>3</v>
      </c>
      <c r="DT276" s="5">
        <f>SUM(DT5:DV26)*DS276</f>
        <v>0</v>
      </c>
      <c r="DU276" s="5"/>
      <c r="DV276" s="5"/>
      <c r="DX276" s="5">
        <v>3</v>
      </c>
      <c r="DY276" s="5">
        <f>SUM(DY5:EA26)*DX276</f>
        <v>0</v>
      </c>
      <c r="DZ276" s="5"/>
      <c r="EA276" s="5"/>
      <c r="EC276" s="5">
        <v>6</v>
      </c>
      <c r="ED276" s="5">
        <f>ED5*EC276+ED6*EC276+ED7*EC276+ED8*EC276+ED9*EC276+ED10*EC276+ED11*EC276+ED12*EC276+ED13*EC276+ED14*EC276+ED15*EC276+ED16*EC276+ED17*EC276+ED18*EC276+ED19*EC276+ED20*EC276+ED21*EC276+ED22*EC276+ED23*EC276+ED24*EC276+ED25*EC276+ED26*EC276+EE5*EC276+EE6*EC276+EE7*EC276+EE8*EC276+EE9*EC276+EE10*EC276+EE11*EC276+EE12*EC276+EE13*EC276+EE14*EC276+EE15*EC276+EE16*EC276+EE17*EC276+EE18*EC276+EE19*EC276+EE20*EC276+EE21*EC276+EE22*EC276+EE23*EC276+EE24*EC276+EE25*EC276+EE26*EC276+EF5*EC276+EF6*EC276+EF7*EC276+EF8*EC276+EF9*EC276+EF10*EC276+EF11*EC276+EF12*EC276+EF13*EC276+EF14*EC276+EF15*EC276+EF16*EC276+EF17*EC276+EF18*EC276+EF19*EC276+EF20*EC276+EF21*EC276+EF22*EC276+EF23*EC276+EF24*EC276+EF25*EC276+EF26*EC276</f>
        <v>0</v>
      </c>
      <c r="EE276" s="5"/>
      <c r="EF276" s="5"/>
      <c r="EH276" s="5">
        <v>6</v>
      </c>
      <c r="EI276" s="5">
        <f>SUM(EI5:EK26)*EH276</f>
        <v>0</v>
      </c>
      <c r="EJ276" s="5"/>
      <c r="EK276" s="5"/>
      <c r="EX276" s="659">
        <f t="shared" si="2"/>
        <v>0</v>
      </c>
      <c r="EY276" s="1341">
        <v>34</v>
      </c>
    </row>
    <row r="277" spans="1:155" s="6" customFormat="1" ht="15" customHeight="1">
      <c r="A277" s="3" t="s">
        <v>176</v>
      </c>
      <c r="B277" s="210" t="s">
        <v>1289</v>
      </c>
      <c r="C277" s="473" t="s">
        <v>515</v>
      </c>
      <c r="D277" s="138"/>
      <c r="E277" s="5">
        <v>1</v>
      </c>
      <c r="F277" s="6">
        <f>SUM(F5:F26,G5:G26,H5:H26)*E277</f>
        <v>0</v>
      </c>
      <c r="I277" s="4"/>
      <c r="J277" s="4"/>
      <c r="K277" s="4"/>
      <c r="L277" s="4"/>
      <c r="M277" s="658">
        <v>3</v>
      </c>
      <c r="N277" s="658">
        <f>SUM(N5:N26,O5:O26,P5:P26)*M277</f>
        <v>0</v>
      </c>
      <c r="O277" s="4"/>
      <c r="P277" s="4"/>
      <c r="Q277" s="4"/>
      <c r="R277" s="5">
        <v>3</v>
      </c>
      <c r="S277" s="5">
        <f>SUM(S5:U26)*R277</f>
        <v>0</v>
      </c>
      <c r="U277" s="5"/>
      <c r="W277" s="5">
        <v>3</v>
      </c>
      <c r="X277" s="5">
        <f>SUM(X5:Z26)*W277</f>
        <v>0</v>
      </c>
      <c r="Y277" s="5"/>
      <c r="Z277" s="5"/>
      <c r="AB277" s="5">
        <v>3</v>
      </c>
      <c r="AC277" s="5">
        <f>SUM(AC5:AE26)*AB277</f>
        <v>0</v>
      </c>
      <c r="AD277" s="5"/>
      <c r="AE277" s="5"/>
      <c r="AG277" s="5"/>
      <c r="AH277" s="5">
        <f>SUM(AH5:AJ26)*AG277</f>
        <v>0</v>
      </c>
      <c r="AI277" s="5"/>
      <c r="AJ277" s="5"/>
      <c r="AL277" s="5"/>
      <c r="AM277" s="5">
        <f>SUM(AM5:AO26)*AL277</f>
        <v>0</v>
      </c>
      <c r="AN277" s="5"/>
      <c r="AO277" s="5"/>
      <c r="AQ277" s="5">
        <v>3</v>
      </c>
      <c r="AR277" s="5">
        <f>SUM(AR5:AT26)*AQ277</f>
        <v>0</v>
      </c>
      <c r="AS277" s="5"/>
      <c r="AT277" s="5"/>
      <c r="AV277" s="6">
        <v>3</v>
      </c>
      <c r="AW277" s="5">
        <f>SUM(AW5:AY26)*AV277</f>
        <v>0</v>
      </c>
      <c r="BA277" s="6">
        <v>3</v>
      </c>
      <c r="BB277" s="5">
        <f>SUM(BB5:BD26)*BA277</f>
        <v>0</v>
      </c>
      <c r="BD277" s="5"/>
      <c r="BF277" s="5"/>
      <c r="BG277" s="5">
        <f>SUM(BG5:BI26)*BF277</f>
        <v>0</v>
      </c>
      <c r="BH277" s="5"/>
      <c r="BI277" s="5"/>
      <c r="BK277" s="6">
        <v>1</v>
      </c>
      <c r="BL277" s="5">
        <f>SUM(BL5:BN26)*BK277</f>
        <v>0</v>
      </c>
      <c r="BM277" s="5"/>
      <c r="BN277" s="5"/>
      <c r="BP277" s="5">
        <v>1</v>
      </c>
      <c r="BQ277" s="5">
        <f>SUM(BQ5:BS26)*BP277</f>
        <v>0</v>
      </c>
      <c r="BR277" s="5"/>
      <c r="BS277" s="5"/>
      <c r="BU277" s="5">
        <v>1</v>
      </c>
      <c r="BV277" s="5">
        <f>SUM(BV5:BX26)*BU277</f>
        <v>0</v>
      </c>
      <c r="BW277" s="5"/>
      <c r="BX277" s="5"/>
      <c r="BZ277" s="5">
        <v>2</v>
      </c>
      <c r="CA277" s="5">
        <f>SUM(CA5:CC26)*BZ277</f>
        <v>0</v>
      </c>
      <c r="CB277" s="5"/>
      <c r="CC277" s="5"/>
      <c r="CE277" s="5">
        <v>2</v>
      </c>
      <c r="CF277" s="5">
        <f>SUM(CF5:CH26)*CE277</f>
        <v>0</v>
      </c>
      <c r="CG277" s="5"/>
      <c r="CH277" s="5"/>
      <c r="CJ277" s="6">
        <v>3</v>
      </c>
      <c r="CK277" s="5">
        <f>SUM(CK5:CM26)*CJ277</f>
        <v>0</v>
      </c>
      <c r="CO277" s="13">
        <v>3</v>
      </c>
      <c r="CP277" s="5">
        <f>SUM(CP5:CR26)*CO277</f>
        <v>0</v>
      </c>
      <c r="CQ277" s="5"/>
      <c r="CR277" s="5"/>
      <c r="CT277" s="5">
        <v>3</v>
      </c>
      <c r="CU277" s="5">
        <f>SUM(CU5:CW26)*CT277</f>
        <v>0</v>
      </c>
      <c r="CV277" s="5"/>
      <c r="CW277" s="5"/>
      <c r="CY277" s="5">
        <v>1</v>
      </c>
      <c r="CZ277" s="5">
        <f>SUM(CZ5:DB26)*CY277</f>
        <v>0</v>
      </c>
      <c r="DA277" s="5"/>
      <c r="DB277" s="5"/>
      <c r="DD277" s="5"/>
      <c r="DE277" s="5">
        <f>SUM(DE5:DG26)*DD277</f>
        <v>0</v>
      </c>
      <c r="DF277" s="5"/>
      <c r="DG277" s="5"/>
      <c r="DI277" s="5">
        <v>4</v>
      </c>
      <c r="DJ277" s="5">
        <f>DJ26*DI277+DK26*DI277+DJ5*DI277+DK5*DI277+DJ6*DI277+DK6*DI277+DJ7*DI277+DK7*DI277+DJ8*DI277+DJ9*DI277+DJ10*DI277+DJ11*DI277+DJ12*DI277+DJ13*DI277+DJ14*DI277+DJ15*DI277+DJ16*DI277+DJ17*DI277+DJ18*DI277+DJ19*DI277+DJ20*DI277+DJ21*DI277+DJ22*DI277+DJ23*DI277+DJ24*DI277+DJ25*DI277+DK8*DI277+DK9*DI277+DK10*DI277+DK11*DI277+DK12*DI277+DK13*DI277+DK14*DI277+DK15*DI277+DK16*DI277+DK17*DI277+DK18*DI277+DK19*DI277+DK20*DI277+DK21*DI277+DK22*DI277+DK23*DI277+DK24*DI277+DK25*DI277+DL5*DI277+DL6*DI277+DL7*DI277+DL8*DI277+DL9*DI277+DL10*DI277+DL11*DI277+DL12*DI277+DL13*DI277+DL14*DI277+DL15*DI277+DL16*DI277+DL17*DI277+DL18*DI277+DL19*DI277+DL20*DI277+DL21*DI277+DL22*DI277+DL23*DI277+DL24*DI277+DL25*DI277+DL26*DI277</f>
        <v>0</v>
      </c>
      <c r="DK277" s="5"/>
      <c r="DL277" s="5"/>
      <c r="DN277" s="5">
        <v>4</v>
      </c>
      <c r="DO277" s="5">
        <f>SUM(DO5:DQ26)*DN277</f>
        <v>0</v>
      </c>
      <c r="DP277" s="5"/>
      <c r="DQ277" s="5"/>
      <c r="DS277" s="5">
        <v>3</v>
      </c>
      <c r="DT277" s="5">
        <f>SUM(DT5:DV26)*DS277</f>
        <v>0</v>
      </c>
      <c r="DU277" s="5"/>
      <c r="DV277" s="5"/>
      <c r="DX277" s="5">
        <v>1</v>
      </c>
      <c r="DY277" s="5">
        <f>SUM(DY5:EA26)*DX277</f>
        <v>0</v>
      </c>
      <c r="DZ277" s="5"/>
      <c r="EA277" s="5"/>
      <c r="EC277" s="5">
        <v>4</v>
      </c>
      <c r="ED277" s="5">
        <f>ED26*EC277+EE26*EC277+ED5*EC277+EE5*EC277+ED6*EC277+EE6*EC277+ED7*EC277+EE7*EC277+ED8*EC277+ED9*EC277+ED10*EC277+ED11*EC277+ED12*EC277+ED13*EC277+ED14*EC277+ED15*EC277+ED16*EC277+ED17*EC277+ED18*EC277+ED19*EC277+ED20*EC277+ED21*EC277+ED22*EC277+ED23*EC277+ED24*EC277+ED25*EC277+EE8*EC277+EE9*EC277+EE10*EC277+EE11*EC277+EE12*EC277+EE13*EC277+EE14*EC277+EE15*EC277+EE16*EC277+EE17*EC277+EE18*EC277+EE19*EC277+EE20*EC277+EE21*EC277+EE22*EC277+EE23*EC277+EE24*EC277+EE25*EC277+EF5*EC277+EF6*EC277+EF7*EC277+EF8*EC277+EF9*EC277+EF10*EC277+EF11*EC277+EF12*EC277+EF13*EC277+EF14*EC277+EF15*EC277+EF16*EC277+EF17*EC277+EF18*EC277+EF19*EC277+EF20*EC277+EF21*EC277+EF22*EC277+EF23*EC277+EF24*EC277+EF25*EC277+EF26*EC277</f>
        <v>0</v>
      </c>
      <c r="EE277" s="5"/>
      <c r="EF277" s="5"/>
      <c r="EH277" s="5">
        <v>4</v>
      </c>
      <c r="EI277" s="5">
        <f>SUM(EI5:EK26)*EH277</f>
        <v>0</v>
      </c>
      <c r="EJ277" s="5"/>
      <c r="EK277" s="5"/>
      <c r="EX277" s="659">
        <f t="shared" si="2"/>
        <v>0</v>
      </c>
      <c r="EY277" s="6">
        <v>13</v>
      </c>
    </row>
    <row r="278" spans="1:155" s="6" customFormat="1" ht="15" customHeight="1">
      <c r="A278" s="3" t="s">
        <v>68</v>
      </c>
      <c r="B278" s="210" t="s">
        <v>1290</v>
      </c>
      <c r="C278" s="473" t="s">
        <v>515</v>
      </c>
      <c r="D278" s="138"/>
      <c r="E278" s="5">
        <v>1</v>
      </c>
      <c r="F278" s="6">
        <f>SUM(F5:F26,G5:G26,H5:H26)*E278</f>
        <v>0</v>
      </c>
      <c r="I278" s="4"/>
      <c r="J278" s="4"/>
      <c r="K278" s="4"/>
      <c r="L278" s="4"/>
      <c r="M278" s="658">
        <v>3</v>
      </c>
      <c r="N278" s="658">
        <f>SUM(N5:N26,O5:O26,P5:P26)*M278</f>
        <v>0</v>
      </c>
      <c r="O278" s="4"/>
      <c r="P278" s="4"/>
      <c r="Q278" s="4"/>
      <c r="R278" s="5">
        <v>3</v>
      </c>
      <c r="S278" s="5">
        <f>SUM(S5:U26)*R278</f>
        <v>0</v>
      </c>
      <c r="U278" s="5"/>
      <c r="W278" s="5">
        <v>3</v>
      </c>
      <c r="X278" s="5">
        <f>SUM(X5:Z26)*W278</f>
        <v>0</v>
      </c>
      <c r="Y278" s="5"/>
      <c r="Z278" s="5"/>
      <c r="AB278" s="5">
        <v>3</v>
      </c>
      <c r="AC278" s="5">
        <f>SUM(AC5:AE26)*AB278</f>
        <v>0</v>
      </c>
      <c r="AD278" s="5"/>
      <c r="AE278" s="5"/>
      <c r="AG278" s="5"/>
      <c r="AH278" s="5">
        <f>SUM(AH5:AJ26)*AG278</f>
        <v>0</v>
      </c>
      <c r="AI278" s="5"/>
      <c r="AJ278" s="5"/>
      <c r="AL278" s="5"/>
      <c r="AM278" s="5">
        <f>SUM(AM5:AO26)*AL278</f>
        <v>0</v>
      </c>
      <c r="AN278" s="5"/>
      <c r="AO278" s="5"/>
      <c r="AQ278" s="5">
        <v>3</v>
      </c>
      <c r="AR278" s="5">
        <f>SUM(AR5:AT26)*AQ278</f>
        <v>0</v>
      </c>
      <c r="AS278" s="5"/>
      <c r="AT278" s="5"/>
      <c r="AV278" s="6">
        <v>3</v>
      </c>
      <c r="AW278" s="5">
        <f>SUM(AW5:AY26)*AV278</f>
        <v>0</v>
      </c>
      <c r="BA278" s="6">
        <v>3</v>
      </c>
      <c r="BB278" s="5">
        <f>SUM(BB5:BD26)*BA278</f>
        <v>0</v>
      </c>
      <c r="BD278" s="5"/>
      <c r="BF278" s="5"/>
      <c r="BG278" s="5">
        <f>SUM(BG5:BI26)*BF278</f>
        <v>0</v>
      </c>
      <c r="BH278" s="5"/>
      <c r="BI278" s="5"/>
      <c r="BK278" s="6">
        <v>1</v>
      </c>
      <c r="BL278" s="5">
        <f>SUM(BL5:BN26)*BK278</f>
        <v>0</v>
      </c>
      <c r="BM278" s="5"/>
      <c r="BN278" s="5"/>
      <c r="BP278" s="5">
        <v>1</v>
      </c>
      <c r="BQ278" s="5">
        <f>SUM(BQ5:BS26)*BP278</f>
        <v>0</v>
      </c>
      <c r="BR278" s="5"/>
      <c r="BS278" s="5"/>
      <c r="BU278" s="5">
        <v>1</v>
      </c>
      <c r="BV278" s="5">
        <f>SUM(BV5:BX26)*BU278</f>
        <v>0</v>
      </c>
      <c r="BW278" s="5"/>
      <c r="BX278" s="5"/>
      <c r="BZ278" s="5">
        <v>2</v>
      </c>
      <c r="CA278" s="5">
        <f>SUM(CA5:CC26)*BZ278</f>
        <v>0</v>
      </c>
      <c r="CB278" s="5"/>
      <c r="CC278" s="5"/>
      <c r="CE278" s="5">
        <v>2</v>
      </c>
      <c r="CF278" s="5">
        <f>SUM(CF5:CH26)*CE278</f>
        <v>0</v>
      </c>
      <c r="CG278" s="5"/>
      <c r="CH278" s="5"/>
      <c r="CJ278" s="6">
        <v>3</v>
      </c>
      <c r="CK278" s="5">
        <f>SUM(CK5:CM26)*CJ278</f>
        <v>0</v>
      </c>
      <c r="CO278" s="13">
        <v>3</v>
      </c>
      <c r="CP278" s="5">
        <f>SUM(CP5:CR26)*CO278</f>
        <v>0</v>
      </c>
      <c r="CQ278" s="5"/>
      <c r="CR278" s="5"/>
      <c r="CT278" s="5">
        <v>3</v>
      </c>
      <c r="CU278" s="5">
        <f>SUM(CU5:CW26)*CT278</f>
        <v>0</v>
      </c>
      <c r="CV278" s="5"/>
      <c r="CW278" s="5"/>
      <c r="CY278" s="5">
        <v>1</v>
      </c>
      <c r="CZ278" s="5">
        <f>SUM(CZ5:DB26)*CY278</f>
        <v>0</v>
      </c>
      <c r="DA278" s="5"/>
      <c r="DB278" s="5"/>
      <c r="DD278" s="5"/>
      <c r="DE278" s="5">
        <f>SUM(DE5:DG26)*DD278</f>
        <v>0</v>
      </c>
      <c r="DF278" s="5"/>
      <c r="DG278" s="5"/>
      <c r="DI278" s="5">
        <v>4</v>
      </c>
      <c r="DJ278" s="5">
        <f>DJ5*DI278+DK5*DI278+DJ6*DI278+DK6*DI278+DJ7*DI278+DK7*DI278+DJ8*DI278+DK8*DI278+DJ9*DI278+DJ10*DI278+DJ11*DI278+DJ12*DI278+DJ13*DI278+DJ14*DI278+DJ15*DI278+DJ16*DI278+DJ17*DI278+DJ18*DI278+DJ19*DI278+DJ20*DI278+DJ21*DI278+DJ22*DI278+DJ23*DI278+DJ24*DI278+DJ25*DI278+DJ26*DI278+DK9*DI278+DK10*DI278+DK11*DI278+DK12*DI278+DK13*DI278+DK14*DI278+DK15*DI278+DK16*DI278+DK17*DI278+DK18*DI278+DK19*DI278+DK20*DI278+DK21*DI278+DK22*DI278+DK23*DI278+DK24*DI278+DK25*DI278+DK26*DI278+DL6*DI278+DL7*DI278+DL8*DI278+DL9*DI278+DL10*DI278+DL11*DI278+DL12*DI278+DL13*DI278+DL14*DI278+DL15*DI278+DL16*DI278+DL17*DI278+DL18*DI278+DL19*DI278+DL20*DI278+DL21*DI278+DL22*DI278+DL23*DI278+DL24*DI278+DL25*DI278+DL26*DI278+DL5*DI278</f>
        <v>0</v>
      </c>
      <c r="DK278" s="5"/>
      <c r="DL278" s="5"/>
      <c r="DN278" s="5">
        <v>4</v>
      </c>
      <c r="DO278" s="5">
        <f>SUM(DO5:DQ26)*DN278</f>
        <v>0</v>
      </c>
      <c r="DP278" s="5"/>
      <c r="DQ278" s="5"/>
      <c r="DS278" s="5">
        <v>3</v>
      </c>
      <c r="DT278" s="5">
        <f>SUM(DT5:DV26)*DS278</f>
        <v>0</v>
      </c>
      <c r="DU278" s="5"/>
      <c r="DV278" s="5"/>
      <c r="DX278" s="5">
        <v>1</v>
      </c>
      <c r="DY278" s="5">
        <f>SUM(DY5:EA26)*DX278</f>
        <v>0</v>
      </c>
      <c r="DZ278" s="5"/>
      <c r="EA278" s="5"/>
      <c r="EC278" s="5">
        <v>4</v>
      </c>
      <c r="ED278" s="5">
        <f>ED5*EC278+EE5*EC278+ED6*EC278+EE6*EC278+ED7*EC278+EE7*EC278+ED8*EC278+EE8*EC278+ED9*EC278+ED10*EC278+ED11*EC278+ED12*EC278+ED13*EC278+ED14*EC278+ED15*EC278+ED16*EC278+ED17*EC278+ED18*EC278+ED19*EC278+ED20*EC278+ED21*EC278+ED22*EC278+ED23*EC278+ED24*EC278+ED25*EC278+ED26*EC278+EE9*EC278+EE10*EC278+EE11*EC278+EE12*EC278+EE13*EC278+EE14*EC278+EE15*EC278+EE16*EC278+EE17*EC278+EE18*EC278+EE19*EC278+EE20*EC278+EE21*EC278+EE22*EC278+EE23*EC278+EE24*EC278+EE25*EC278+EE26*EC278+EF6*EC278+EF7*EC278+EF8*EC278+EF9*EC278+EF10*EC278+EF11*EC278+EF12*EC278+EF13*EC278+EF14*EC278+EF15*EC278+EF16*EC278+EF17*EC278+EF18*EC278+EF19*EC278+EF20*EC278+EF21*EC278+EF22*EC278+EF23*EC278+EF24*EC278+EF25*EC278+EF26*EC278+EF5*EC278</f>
        <v>0</v>
      </c>
      <c r="EE278" s="5"/>
      <c r="EF278" s="5"/>
      <c r="EH278" s="5">
        <v>4</v>
      </c>
      <c r="EI278" s="5">
        <f>SUM(EI5:EK26)*EH278</f>
        <v>0</v>
      </c>
      <c r="EJ278" s="5"/>
      <c r="EK278" s="5"/>
      <c r="EX278" s="659">
        <f t="shared" si="2"/>
        <v>0</v>
      </c>
      <c r="EY278" s="1341">
        <v>34</v>
      </c>
    </row>
    <row r="279" spans="1:155" s="6" customFormat="1" ht="15" customHeight="1">
      <c r="A279" s="3" t="s">
        <v>16</v>
      </c>
      <c r="B279" s="210" t="s">
        <v>16</v>
      </c>
      <c r="C279" s="473" t="s">
        <v>515</v>
      </c>
      <c r="D279" s="138"/>
      <c r="E279" s="5"/>
      <c r="F279" s="5"/>
      <c r="G279" s="5"/>
      <c r="H279" s="5"/>
      <c r="I279" s="4"/>
      <c r="J279" s="4"/>
      <c r="K279" s="4"/>
      <c r="L279" s="4"/>
      <c r="M279" s="4"/>
      <c r="N279" s="4"/>
      <c r="O279" s="4"/>
      <c r="P279" s="4"/>
      <c r="Q279" s="4"/>
      <c r="R279" s="5"/>
      <c r="S279" s="5"/>
      <c r="U279" s="5"/>
      <c r="W279" s="5"/>
      <c r="X279" s="5"/>
      <c r="Y279" s="5"/>
      <c r="Z279" s="5"/>
      <c r="AB279" s="5"/>
      <c r="AC279" s="5"/>
      <c r="AD279" s="5"/>
      <c r="AE279" s="5"/>
      <c r="AG279" s="5"/>
      <c r="AH279" s="5"/>
      <c r="AI279" s="5"/>
      <c r="AJ279" s="5"/>
      <c r="AL279" s="5"/>
      <c r="AM279" s="5"/>
      <c r="AN279" s="5"/>
      <c r="AO279" s="5"/>
      <c r="AQ279" s="5"/>
      <c r="AR279" s="5"/>
      <c r="AS279" s="5"/>
      <c r="AT279" s="5"/>
      <c r="AW279" s="5"/>
      <c r="BB279" s="5"/>
      <c r="BD279" s="5"/>
      <c r="BF279" s="5"/>
      <c r="BG279" s="5"/>
      <c r="BH279" s="5"/>
      <c r="BI279" s="5"/>
      <c r="BL279" s="5"/>
      <c r="BM279" s="5"/>
      <c r="BN279" s="5"/>
      <c r="BP279" s="5"/>
      <c r="BQ279" s="5"/>
      <c r="BR279" s="5"/>
      <c r="BS279" s="5"/>
      <c r="BU279" s="5"/>
      <c r="BV279" s="5"/>
      <c r="BW279" s="5"/>
      <c r="BX279" s="5"/>
      <c r="BZ279" s="5"/>
      <c r="CA279" s="5"/>
      <c r="CB279" s="5"/>
      <c r="CC279" s="5"/>
      <c r="CE279" s="5"/>
      <c r="CF279" s="5"/>
      <c r="CG279" s="5"/>
      <c r="CH279" s="5"/>
      <c r="CK279" s="5"/>
      <c r="CO279" s="13"/>
      <c r="CP279" s="5"/>
      <c r="CQ279" s="5"/>
      <c r="CR279" s="5"/>
      <c r="CT279" s="5"/>
      <c r="CU279" s="5"/>
      <c r="CV279" s="5"/>
      <c r="CW279" s="5"/>
      <c r="CY279" s="5"/>
      <c r="CZ279" s="5"/>
      <c r="DA279" s="5"/>
      <c r="DB279" s="5"/>
      <c r="DD279" s="5"/>
      <c r="DE279" s="5"/>
      <c r="DF279" s="5"/>
      <c r="DG279" s="5"/>
      <c r="DI279" s="5"/>
      <c r="DJ279" s="5"/>
      <c r="DK279" s="5"/>
      <c r="DL279" s="5"/>
      <c r="DN279" s="5"/>
      <c r="DO279" s="5"/>
      <c r="DP279" s="5"/>
      <c r="DQ279" s="5"/>
      <c r="DS279" s="5"/>
      <c r="DT279" s="5"/>
      <c r="DU279" s="5"/>
      <c r="DV279" s="5"/>
      <c r="DX279" s="5"/>
      <c r="DY279" s="5"/>
      <c r="DZ279" s="5"/>
      <c r="EA279" s="5"/>
      <c r="EC279" s="5"/>
      <c r="ED279" s="5"/>
      <c r="EE279" s="5"/>
      <c r="EF279" s="5"/>
      <c r="EH279" s="5"/>
      <c r="EI279" s="5"/>
      <c r="EJ279" s="5"/>
      <c r="EK279" s="5"/>
      <c r="EN279" s="6">
        <f>IF(SUM(EN5:EQ5,EN6:EQ6)-SUM(ET7:EW7)+SUM(ET6:EW6)&lt;=0,0,SUM(ET6:EW6))</f>
        <v>0</v>
      </c>
      <c r="EX279" s="659">
        <f t="shared" si="2"/>
        <v>0</v>
      </c>
    </row>
    <row r="280" spans="1:155" s="6" customFormat="1" ht="15" customHeight="1">
      <c r="A280" s="3" t="s">
        <v>17</v>
      </c>
      <c r="B280" s="210" t="s">
        <v>17</v>
      </c>
      <c r="C280" s="473" t="s">
        <v>515</v>
      </c>
      <c r="D280" s="138"/>
      <c r="E280" s="5"/>
      <c r="F280" s="5"/>
      <c r="G280" s="5"/>
      <c r="H280" s="5"/>
      <c r="I280" s="4"/>
      <c r="J280" s="4"/>
      <c r="K280" s="4"/>
      <c r="L280" s="4"/>
      <c r="M280" s="4"/>
      <c r="N280" s="4"/>
      <c r="O280" s="4"/>
      <c r="P280" s="4"/>
      <c r="Q280" s="4"/>
      <c r="R280" s="5"/>
      <c r="S280" s="5"/>
      <c r="U280" s="5"/>
      <c r="W280" s="5"/>
      <c r="X280" s="5"/>
      <c r="Y280" s="5"/>
      <c r="Z280" s="5"/>
      <c r="AB280" s="5"/>
      <c r="AC280" s="5"/>
      <c r="AD280" s="5"/>
      <c r="AE280" s="5"/>
      <c r="AG280" s="5"/>
      <c r="AH280" s="5"/>
      <c r="AI280" s="5"/>
      <c r="AJ280" s="5"/>
      <c r="AL280" s="5"/>
      <c r="AM280" s="5"/>
      <c r="AN280" s="5"/>
      <c r="AO280" s="5"/>
      <c r="AQ280" s="5"/>
      <c r="AR280" s="5"/>
      <c r="AS280" s="5"/>
      <c r="AT280" s="5"/>
      <c r="AW280" s="5"/>
      <c r="BB280" s="5"/>
      <c r="BD280" s="5"/>
      <c r="BF280" s="5"/>
      <c r="BG280" s="5"/>
      <c r="BH280" s="5"/>
      <c r="BI280" s="5"/>
      <c r="BL280" s="5"/>
      <c r="BM280" s="5"/>
      <c r="BN280" s="5"/>
      <c r="BP280" s="5"/>
      <c r="BQ280" s="5"/>
      <c r="BR280" s="5"/>
      <c r="BS280" s="5"/>
      <c r="BU280" s="5"/>
      <c r="BV280" s="5"/>
      <c r="BW280" s="5"/>
      <c r="BX280" s="5"/>
      <c r="BZ280" s="5"/>
      <c r="CA280" s="5"/>
      <c r="CB280" s="5"/>
      <c r="CC280" s="5"/>
      <c r="CE280" s="5"/>
      <c r="CF280" s="5"/>
      <c r="CG280" s="5"/>
      <c r="CH280" s="5"/>
      <c r="CK280" s="5"/>
      <c r="CO280" s="13"/>
      <c r="CP280" s="5"/>
      <c r="CQ280" s="5"/>
      <c r="CR280" s="5"/>
      <c r="CT280" s="5"/>
      <c r="CU280" s="5"/>
      <c r="CV280" s="5"/>
      <c r="CW280" s="5"/>
      <c r="CY280" s="5"/>
      <c r="CZ280" s="5"/>
      <c r="DA280" s="5"/>
      <c r="DB280" s="5"/>
      <c r="DD280" s="5"/>
      <c r="DE280" s="5"/>
      <c r="DF280" s="5"/>
      <c r="DG280" s="5"/>
      <c r="DI280" s="5"/>
      <c r="DJ280" s="5"/>
      <c r="DK280" s="5"/>
      <c r="DL280" s="5"/>
      <c r="DN280" s="5"/>
      <c r="DO280" s="5"/>
      <c r="DP280" s="5"/>
      <c r="DQ280" s="5"/>
      <c r="DS280" s="5"/>
      <c r="DT280" s="5"/>
      <c r="DU280" s="5"/>
      <c r="DV280" s="5"/>
      <c r="DX280" s="5"/>
      <c r="DY280" s="5"/>
      <c r="DZ280" s="5"/>
      <c r="EA280" s="5"/>
      <c r="EC280" s="5"/>
      <c r="ED280" s="5"/>
      <c r="EE280" s="5"/>
      <c r="EF280" s="5"/>
      <c r="EH280" s="5"/>
      <c r="EI280" s="5"/>
      <c r="EJ280" s="5"/>
      <c r="EK280" s="5"/>
      <c r="EN280" s="6">
        <f>IF(SUM(EN5:EQ5,EN6:EQ6)-SUM(ET7:EW7)+SUM(ET6:EW6)&lt;=0,0,SUM(ET6:EW6))</f>
        <v>0</v>
      </c>
      <c r="EX280" s="659">
        <f t="shared" si="2"/>
        <v>0</v>
      </c>
    </row>
    <row r="281" spans="1:155" s="6" customFormat="1" ht="15" customHeight="1">
      <c r="A281" s="3" t="s">
        <v>199</v>
      </c>
      <c r="B281" s="210" t="s">
        <v>199</v>
      </c>
      <c r="C281" s="473" t="s">
        <v>515</v>
      </c>
      <c r="D281" s="138"/>
      <c r="E281" s="6">
        <v>1</v>
      </c>
      <c r="F281" s="6">
        <f>SUM(F5:F26)*E281</f>
        <v>0</v>
      </c>
      <c r="I281" s="4"/>
      <c r="J281" s="4"/>
      <c r="K281" s="4"/>
      <c r="L281" s="4"/>
      <c r="M281" s="658">
        <v>3</v>
      </c>
      <c r="N281" s="658">
        <f>SUM(N5:N26)*M281</f>
        <v>0</v>
      </c>
      <c r="O281" s="4"/>
      <c r="P281" s="4"/>
      <c r="Q281" s="4"/>
      <c r="R281" s="5"/>
      <c r="S281" s="5">
        <f>SUM(S5:U26)*R281</f>
        <v>0</v>
      </c>
      <c r="U281" s="5"/>
      <c r="W281" s="5">
        <v>1</v>
      </c>
      <c r="X281" s="5">
        <f>SUM(X5:X26)*W281</f>
        <v>0</v>
      </c>
      <c r="Y281" s="5"/>
      <c r="Z281" s="5"/>
      <c r="AB281" s="5">
        <v>1</v>
      </c>
      <c r="AC281" s="5">
        <f>SUM(AC5:AC26)*AB281</f>
        <v>0</v>
      </c>
      <c r="AD281" s="5"/>
      <c r="AE281" s="5"/>
      <c r="AG281" s="13"/>
      <c r="AH281" s="5">
        <f>SUM(AH5:AJ26)*AG281</f>
        <v>0</v>
      </c>
      <c r="AI281" s="5"/>
      <c r="AJ281" s="5"/>
      <c r="AL281" s="5"/>
      <c r="AM281" s="5">
        <f>SUM(AM5:AO26)*AL281</f>
        <v>0</v>
      </c>
      <c r="AN281" s="5"/>
      <c r="AO281" s="5"/>
      <c r="AQ281" s="5">
        <v>3</v>
      </c>
      <c r="AR281" s="5">
        <f>SUM(AR5:AR26)*AQ281</f>
        <v>0</v>
      </c>
      <c r="AS281" s="5"/>
      <c r="AT281" s="5"/>
      <c r="AV281" s="6">
        <v>3</v>
      </c>
      <c r="AW281" s="5">
        <f>SUM(AW5:AW26)*AV281</f>
        <v>0</v>
      </c>
      <c r="BA281" s="6">
        <v>3</v>
      </c>
      <c r="BB281" s="5">
        <f>SUM(BB5:BB26)*BA281</f>
        <v>0</v>
      </c>
      <c r="BD281" s="5"/>
      <c r="BF281" s="5"/>
      <c r="BG281" s="5">
        <f>SUM(BG5:BI26)*BF281</f>
        <v>0</v>
      </c>
      <c r="BH281" s="5"/>
      <c r="BI281" s="5"/>
      <c r="BK281" s="6">
        <v>1</v>
      </c>
      <c r="BL281" s="5">
        <f>SUM(BL5:BL26)*BK281</f>
        <v>0</v>
      </c>
      <c r="BM281" s="5"/>
      <c r="BN281" s="5"/>
      <c r="BP281" s="6">
        <v>1</v>
      </c>
      <c r="BQ281" s="5">
        <f>SUM(BQ5:BQ26)*BP281</f>
        <v>0</v>
      </c>
      <c r="BR281" s="5"/>
      <c r="BS281" s="5"/>
      <c r="BU281" s="5">
        <v>1</v>
      </c>
      <c r="BV281" s="5">
        <f>SUM(BV5:BV26)*BU281</f>
        <v>0</v>
      </c>
      <c r="BW281" s="5"/>
      <c r="BX281" s="5"/>
      <c r="BZ281" s="5">
        <v>2</v>
      </c>
      <c r="CA281" s="5">
        <f>SUM(CA5:CA26)*BZ281</f>
        <v>0</v>
      </c>
      <c r="CB281" s="5"/>
      <c r="CC281" s="5"/>
      <c r="CE281" s="5">
        <v>2</v>
      </c>
      <c r="CF281" s="5">
        <f>SUM(CF5:CF26)*CE281</f>
        <v>0</v>
      </c>
      <c r="CG281" s="5"/>
      <c r="CH281" s="5"/>
      <c r="CJ281" s="6">
        <v>3</v>
      </c>
      <c r="CK281" s="5">
        <f>SUM(CK5:CK26)*CJ281</f>
        <v>0</v>
      </c>
      <c r="CO281" s="13">
        <v>3</v>
      </c>
      <c r="CP281" s="5">
        <f>SUM(CP5:CP26)*CO281</f>
        <v>0</v>
      </c>
      <c r="CQ281" s="5"/>
      <c r="CR281" s="5"/>
      <c r="CT281" s="5">
        <v>2</v>
      </c>
      <c r="CU281" s="5">
        <f>SUM(CU5:CU26)*CT281</f>
        <v>0</v>
      </c>
      <c r="CV281" s="5"/>
      <c r="CW281" s="5"/>
      <c r="CY281" s="5">
        <v>1</v>
      </c>
      <c r="CZ281" s="5">
        <f>SUM(CZ5:CZ26)*CY281</f>
        <v>0</v>
      </c>
      <c r="DA281" s="5"/>
      <c r="DB281" s="5"/>
      <c r="DD281" s="5"/>
      <c r="DE281" s="5">
        <f>SUM(DE5:DG26)*DD281</f>
        <v>0</v>
      </c>
      <c r="DF281" s="5"/>
      <c r="DG281" s="5"/>
      <c r="DI281" s="5">
        <v>3</v>
      </c>
      <c r="DJ281" s="5">
        <f>DJ26*DI281+DJ25*DI281+DJ24*DI281+DJ23*DI281+DJ5*DI281+DJ6*DI281+DJ7*DI281+DJ8*DI281+DJ9*DI281+DJ10*DI281+DJ11*DI281+DJ12*DI281+DJ13*DI281+DJ14*DI281+DJ15*DI281+DJ16*DI281+DJ17*DI281+DJ18*DI281+DJ19*DI281+DJ20*DI281+DJ21*DI281+DJ22*DI281</f>
        <v>0</v>
      </c>
      <c r="DK281" s="5"/>
      <c r="DL281" s="5"/>
      <c r="DN281" s="5">
        <v>3</v>
      </c>
      <c r="DO281" s="5">
        <f>SUM(DO5:DO26)*DN281</f>
        <v>0</v>
      </c>
      <c r="DP281" s="5"/>
      <c r="DQ281" s="5"/>
      <c r="DS281" s="5"/>
      <c r="DT281" s="5">
        <f>SUM(DT5:DV26)*DS281</f>
        <v>0</v>
      </c>
      <c r="DU281" s="5"/>
      <c r="DV281" s="5"/>
      <c r="DX281" s="5"/>
      <c r="DY281" s="5">
        <f>SUM(DY5:EA26)*DX281</f>
        <v>0</v>
      </c>
      <c r="DZ281" s="5"/>
      <c r="EA281" s="5"/>
      <c r="EC281" s="5">
        <v>3</v>
      </c>
      <c r="ED281" s="5">
        <f>ED26*EC281+ED25*EC281+ED24*EC281+ED23*EC281+ED5*EC281+ED6*EC281+ED7*EC281+ED8*EC281+ED9*EC281+ED10*EC281+ED11*EC281+ED12*EC281+ED13*EC281+ED14*EC281+ED15*EC281+ED16*EC281+ED17*EC281+ED18*EC281+ED19*EC281+ED20*EC281+ED21*EC281+ED22*EC281</f>
        <v>0</v>
      </c>
      <c r="EE281" s="5"/>
      <c r="EF281" s="5"/>
      <c r="EH281" s="5">
        <v>3</v>
      </c>
      <c r="EI281" s="5">
        <f>SUM(EI5:EI26)*EH281</f>
        <v>0</v>
      </c>
      <c r="EJ281" s="5"/>
      <c r="EK281" s="5"/>
      <c r="EX281" s="659">
        <f t="shared" si="2"/>
        <v>0</v>
      </c>
    </row>
    <row r="282" spans="1:155" s="6" customFormat="1" ht="15" customHeight="1">
      <c r="A282" s="3" t="s">
        <v>197</v>
      </c>
      <c r="B282" s="210" t="s">
        <v>197</v>
      </c>
      <c r="C282" s="473" t="s">
        <v>515</v>
      </c>
      <c r="D282" s="138"/>
      <c r="E282" s="6">
        <v>1</v>
      </c>
      <c r="F282" s="6">
        <f>SUM(G5:G26)*E282</f>
        <v>0</v>
      </c>
      <c r="I282" s="4"/>
      <c r="J282" s="4"/>
      <c r="K282" s="4"/>
      <c r="L282" s="4"/>
      <c r="M282" s="658">
        <v>3</v>
      </c>
      <c r="N282" s="658">
        <f>SUM(O5:O26)*M282</f>
        <v>0</v>
      </c>
      <c r="O282" s="4"/>
      <c r="P282" s="4"/>
      <c r="Q282" s="4"/>
      <c r="R282" s="5"/>
      <c r="S282" s="5">
        <f>SUM(S5:U26)*R282</f>
        <v>0</v>
      </c>
      <c r="U282" s="5"/>
      <c r="W282" s="5">
        <v>1</v>
      </c>
      <c r="X282" s="5">
        <f>SUM(Y5:Y26)*W282</f>
        <v>0</v>
      </c>
      <c r="Y282" s="5"/>
      <c r="Z282" s="5"/>
      <c r="AB282" s="5">
        <v>1</v>
      </c>
      <c r="AC282" s="5">
        <f>SUM(AD5:AD26)*AB282</f>
        <v>0</v>
      </c>
      <c r="AD282" s="5"/>
      <c r="AE282" s="5"/>
      <c r="AG282" s="13"/>
      <c r="AH282" s="5">
        <f>SUM(AH5:AJ26)*AG282</f>
        <v>0</v>
      </c>
      <c r="AI282" s="5"/>
      <c r="AJ282" s="5"/>
      <c r="AL282" s="5"/>
      <c r="AM282" s="5">
        <f>SUM(AM5:AO26)*AL282</f>
        <v>0</v>
      </c>
      <c r="AN282" s="5"/>
      <c r="AO282" s="5"/>
      <c r="AQ282" s="5">
        <v>3</v>
      </c>
      <c r="AR282" s="5">
        <f>SUM(AS5:AS26)*AQ282</f>
        <v>0</v>
      </c>
      <c r="AS282" s="5"/>
      <c r="AT282" s="5"/>
      <c r="AV282" s="6">
        <v>3</v>
      </c>
      <c r="AW282" s="5">
        <f>SUM(AX5:AX26)*AV282</f>
        <v>0</v>
      </c>
      <c r="BA282" s="6">
        <v>3</v>
      </c>
      <c r="BB282" s="5">
        <f>SUM(BC5:BC26)*BA282</f>
        <v>0</v>
      </c>
      <c r="BD282" s="5"/>
      <c r="BF282" s="5"/>
      <c r="BG282" s="5">
        <f>SUM(BG5:BI26)*BF282</f>
        <v>0</v>
      </c>
      <c r="BH282" s="5"/>
      <c r="BI282" s="5"/>
      <c r="BK282" s="6">
        <v>1</v>
      </c>
      <c r="BL282" s="5">
        <f>SUM(BM5:BM26)*BK282</f>
        <v>0</v>
      </c>
      <c r="BM282" s="5"/>
      <c r="BN282" s="5"/>
      <c r="BP282" s="6">
        <v>1</v>
      </c>
      <c r="BQ282" s="5">
        <f>SUM(BR5:BR26)*BP282</f>
        <v>0</v>
      </c>
      <c r="BR282" s="5"/>
      <c r="BS282" s="5"/>
      <c r="BU282" s="5">
        <v>1</v>
      </c>
      <c r="BV282" s="5">
        <f>SUM(BW5:BW26)*BU282</f>
        <v>0</v>
      </c>
      <c r="BW282" s="5"/>
      <c r="BX282" s="5"/>
      <c r="BZ282" s="5">
        <v>2</v>
      </c>
      <c r="CA282" s="5">
        <f>SUM(CB5:CB26)*BZ282</f>
        <v>0</v>
      </c>
      <c r="CB282" s="5"/>
      <c r="CC282" s="5"/>
      <c r="CE282" s="5">
        <v>2</v>
      </c>
      <c r="CF282" s="5">
        <f>SUM(CG5:CG26)*CE282</f>
        <v>0</v>
      </c>
      <c r="CG282" s="5"/>
      <c r="CH282" s="5"/>
      <c r="CJ282" s="6">
        <v>3</v>
      </c>
      <c r="CK282" s="5">
        <f>SUM(CL5:CL26)*CJ282</f>
        <v>0</v>
      </c>
      <c r="CO282" s="13">
        <v>3</v>
      </c>
      <c r="CP282" s="5">
        <f>SUM(CQ5:CQ26)*CO282</f>
        <v>0</v>
      </c>
      <c r="CQ282" s="5"/>
      <c r="CR282" s="5"/>
      <c r="CT282" s="5">
        <v>2</v>
      </c>
      <c r="CU282" s="5">
        <f>SUM(CV5:CV26)*CT282</f>
        <v>0</v>
      </c>
      <c r="CV282" s="5"/>
      <c r="CW282" s="5"/>
      <c r="CY282" s="5">
        <v>1</v>
      </c>
      <c r="CZ282" s="5">
        <f>SUM(DA5:DA26)*CY282</f>
        <v>0</v>
      </c>
      <c r="DA282" s="5"/>
      <c r="DB282" s="5"/>
      <c r="DD282" s="5"/>
      <c r="DE282" s="5">
        <f>SUM(DE5:DG26)*DD282</f>
        <v>0</v>
      </c>
      <c r="DF282" s="5"/>
      <c r="DG282" s="5"/>
      <c r="DI282" s="5">
        <v>3</v>
      </c>
      <c r="DJ282" s="5">
        <f>DK26*DI282+DK23*DI282+DK24*DI282+DK5*DI282+DK6*DI282+DK7*DI282+DK8*DI282+DK9*DI282+DK10*DI282+DK11*DI282+DK12*DI282+DK13*DI282+DK14*DI282+DK15*DI282+DK16*DI282+DK17*DI282+DK18*DI282+DK19*DI282+DK20*DI282+DK21*DI282+DK22*DI282+DK1*DI282</f>
        <v>0</v>
      </c>
      <c r="DK282" s="5"/>
      <c r="DL282" s="5"/>
      <c r="DN282" s="5">
        <v>3</v>
      </c>
      <c r="DO282" s="5">
        <f>SUM(DP5:DP26)*DN282</f>
        <v>0</v>
      </c>
      <c r="DP282" s="5"/>
      <c r="DQ282" s="5"/>
      <c r="DS282" s="5"/>
      <c r="DT282" s="5">
        <f>SUM(DT5:DV26)*DS282</f>
        <v>0</v>
      </c>
      <c r="DU282" s="5"/>
      <c r="DV282" s="5"/>
      <c r="DX282" s="5"/>
      <c r="DY282" s="5">
        <f>SUM(DY5:EA26)*DX282</f>
        <v>0</v>
      </c>
      <c r="DZ282" s="5"/>
      <c r="EA282" s="5"/>
      <c r="EC282" s="5">
        <v>3</v>
      </c>
      <c r="ED282" s="5">
        <f>EE26*EC282+EE23*EC282+EE24*EC282+EE5*EC282+EE6*EC282+EE7*EC282+EE8*EC282+EE9*EC282+EE10*EC282+EE11*EC282+EE12*EC282+EE13*EC282+EE14*EC282+EE15*EC282+EE16*EC282+EE17*EC282+EE18*EC282+EE19*EC282+EE20*EC282+EE21*EC282+EE22*EC282+EE1*EC282</f>
        <v>0</v>
      </c>
      <c r="EE282" s="5"/>
      <c r="EF282" s="5"/>
      <c r="EH282" s="5">
        <v>3</v>
      </c>
      <c r="EI282" s="5">
        <f>SUM(EJ5:EJ26)*EH282</f>
        <v>0</v>
      </c>
      <c r="EJ282" s="5"/>
      <c r="EK282" s="5"/>
      <c r="ES282" s="44"/>
      <c r="ET282" s="44"/>
      <c r="EU282" s="44"/>
      <c r="EV282" s="44"/>
      <c r="EW282" s="44"/>
      <c r="EX282" s="659">
        <f t="shared" si="2"/>
        <v>0</v>
      </c>
    </row>
    <row r="283" spans="1:155" s="6" customFormat="1" ht="15" customHeight="1">
      <c r="A283" s="3" t="s">
        <v>198</v>
      </c>
      <c r="B283" s="210" t="s">
        <v>198</v>
      </c>
      <c r="C283" s="473" t="s">
        <v>515</v>
      </c>
      <c r="D283" s="138"/>
      <c r="E283" s="6">
        <v>1</v>
      </c>
      <c r="F283" s="6">
        <f>SUM(H5:H26)*E283</f>
        <v>0</v>
      </c>
      <c r="I283" s="4"/>
      <c r="J283" s="4"/>
      <c r="K283" s="4"/>
      <c r="L283" s="4"/>
      <c r="M283" s="658">
        <v>3</v>
      </c>
      <c r="N283" s="658">
        <f>SUM(P5:P26)*M283</f>
        <v>0</v>
      </c>
      <c r="O283" s="4"/>
      <c r="P283" s="4"/>
      <c r="Q283" s="4"/>
      <c r="R283" s="5"/>
      <c r="S283" s="5">
        <f>SUM(S5:U26)*R283</f>
        <v>0</v>
      </c>
      <c r="U283" s="5"/>
      <c r="W283" s="5">
        <v>1</v>
      </c>
      <c r="X283" s="5">
        <f>SUM(Z5:Z26)*W283</f>
        <v>0</v>
      </c>
      <c r="Y283" s="5"/>
      <c r="Z283" s="5"/>
      <c r="AB283" s="5">
        <v>1</v>
      </c>
      <c r="AC283" s="5">
        <f>SUM(AE5:AE26)*AB283</f>
        <v>0</v>
      </c>
      <c r="AD283" s="5"/>
      <c r="AE283" s="5"/>
      <c r="AG283" s="13"/>
      <c r="AH283" s="5">
        <f>SUM(AH5:AJ26)*AG283</f>
        <v>0</v>
      </c>
      <c r="AI283" s="5"/>
      <c r="AJ283" s="5"/>
      <c r="AL283" s="5"/>
      <c r="AM283" s="5">
        <f>SUM(AM5:AO26)*AL283</f>
        <v>0</v>
      </c>
      <c r="AN283" s="5"/>
      <c r="AO283" s="5"/>
      <c r="AQ283" s="5">
        <v>3</v>
      </c>
      <c r="AR283" s="5">
        <f>SUM(AT5:AT26)*AQ283</f>
        <v>0</v>
      </c>
      <c r="AS283" s="5"/>
      <c r="AT283" s="5"/>
      <c r="AV283" s="6">
        <v>3</v>
      </c>
      <c r="AW283" s="5">
        <f>SUM(AY5:AY26)*AV283</f>
        <v>0</v>
      </c>
      <c r="BA283" s="6">
        <v>3</v>
      </c>
      <c r="BB283" s="5">
        <f>SUM(BD5:BD26)*BA283</f>
        <v>0</v>
      </c>
      <c r="BD283" s="5"/>
      <c r="BF283" s="5"/>
      <c r="BG283" s="5">
        <f>SUM(BG5:BI26)*BF283</f>
        <v>0</v>
      </c>
      <c r="BH283" s="5"/>
      <c r="BI283" s="5"/>
      <c r="BK283" s="6">
        <v>1</v>
      </c>
      <c r="BL283" s="5">
        <f>SUM(BN5:BN26)*BK283</f>
        <v>0</v>
      </c>
      <c r="BM283" s="5"/>
      <c r="BN283" s="5"/>
      <c r="BP283" s="6">
        <v>1</v>
      </c>
      <c r="BQ283" s="5">
        <f>SUM(BS5:BS26)*BP283</f>
        <v>0</v>
      </c>
      <c r="BR283" s="5"/>
      <c r="BS283" s="5"/>
      <c r="BU283" s="5">
        <v>1</v>
      </c>
      <c r="BV283" s="5">
        <f>SUM(BX5:BX26)*BU283</f>
        <v>0</v>
      </c>
      <c r="BW283" s="5"/>
      <c r="BX283" s="5"/>
      <c r="BZ283" s="5">
        <v>2</v>
      </c>
      <c r="CA283" s="5">
        <f>SUM(CC5:CC26)*BZ283</f>
        <v>0</v>
      </c>
      <c r="CB283" s="5"/>
      <c r="CC283" s="5"/>
      <c r="CE283" s="5">
        <v>2</v>
      </c>
      <c r="CF283" s="5">
        <f>SUM(CH5:CH26)*CE283</f>
        <v>0</v>
      </c>
      <c r="CG283" s="5"/>
      <c r="CH283" s="5"/>
      <c r="CJ283" s="6">
        <v>3</v>
      </c>
      <c r="CK283" s="5">
        <f>SUM(CM5:CM26)*CJ283</f>
        <v>0</v>
      </c>
      <c r="CO283" s="13">
        <v>3</v>
      </c>
      <c r="CP283" s="5">
        <f>SUM(CR5:CR26)*CO283</f>
        <v>0</v>
      </c>
      <c r="CQ283" s="5"/>
      <c r="CR283" s="5"/>
      <c r="CT283" s="5">
        <v>2</v>
      </c>
      <c r="CU283" s="5">
        <f>SUM(CW5:CW26)*CT283</f>
        <v>0</v>
      </c>
      <c r="CV283" s="5"/>
      <c r="CW283" s="5"/>
      <c r="CY283" s="5">
        <v>1</v>
      </c>
      <c r="CZ283" s="5">
        <f>SUM(DB5:DB26)*CY283</f>
        <v>0</v>
      </c>
      <c r="DA283" s="5"/>
      <c r="DB283" s="5"/>
      <c r="DD283" s="5"/>
      <c r="DE283" s="5">
        <f>SUM(DE5:DG26)*DD283</f>
        <v>0</v>
      </c>
      <c r="DF283" s="5"/>
      <c r="DG283" s="5"/>
      <c r="DI283" s="5">
        <v>3</v>
      </c>
      <c r="DJ283" s="5">
        <f>DL26*DI283+DL25*DI283+DL5*DI283+DL6*DI283+DL7*DI283+DL8*DI283+DL9*DI283+DL10*DI283+DL11*DI283+DL12*DI283+DL13*DI283+DL14*DI283+DL15*DI283+DL16*DI283+DL17*DI283+DL18*DI283+DL19*DI283+DL20*DI283+DL21*DI283+DL22*DI283+DL1*DI283+DL2*DI283+DL23*DI283+DL24*DI283</f>
        <v>0</v>
      </c>
      <c r="DK283" s="5"/>
      <c r="DL283" s="5"/>
      <c r="DN283" s="5">
        <v>3</v>
      </c>
      <c r="DO283" s="5">
        <f>SUM(DQ5:DQ26)*DN283</f>
        <v>0</v>
      </c>
      <c r="DP283" s="5"/>
      <c r="DQ283" s="5"/>
      <c r="DS283" s="5"/>
      <c r="DT283" s="5">
        <f>SUM(DT5:DV26)*DS283</f>
        <v>0</v>
      </c>
      <c r="DU283" s="5"/>
      <c r="DV283" s="5"/>
      <c r="DX283" s="5"/>
      <c r="DY283" s="5">
        <f>SUM(DY5:EA26)*DX283</f>
        <v>0</v>
      </c>
      <c r="DZ283" s="5"/>
      <c r="EA283" s="5"/>
      <c r="EC283" s="5">
        <v>3</v>
      </c>
      <c r="ED283" s="5">
        <f>EF26*EC283+EF25*EC283+EF5*EC283+EF6*EC283+EF7*EC283+EF8*EC283+EF9*EC283+EF10*EC283+EF11*EC283+EF12*EC283+EF13*EC283+EF14*EC283+EF15*EC283+EF16*EC283+EF17*EC283+EF18*EC283+EF19*EC283+EF20*EC283+EF21*EC283+EF22*EC283+EF1*EC283+EF2*EC283+EF23*EC283+EF24*EC283</f>
        <v>0</v>
      </c>
      <c r="EE283" s="5"/>
      <c r="EF283" s="5"/>
      <c r="EH283" s="5">
        <v>3</v>
      </c>
      <c r="EI283" s="5">
        <f>SUM(EK5:EK26)*EH283</f>
        <v>0</v>
      </c>
      <c r="EJ283" s="5"/>
      <c r="EK283" s="5"/>
      <c r="ES283" s="44"/>
      <c r="ET283" s="44"/>
      <c r="EU283" s="44"/>
      <c r="EV283" s="44"/>
      <c r="EW283" s="44"/>
      <c r="EX283" s="659">
        <f t="shared" si="2"/>
        <v>0</v>
      </c>
    </row>
    <row r="284" spans="1:155" s="6" customFormat="1" ht="15" customHeight="1">
      <c r="A284" s="3" t="s">
        <v>318</v>
      </c>
      <c r="B284" s="210" t="s">
        <v>318</v>
      </c>
      <c r="C284" s="473" t="s">
        <v>515</v>
      </c>
      <c r="D284" s="138"/>
      <c r="E284" s="5"/>
      <c r="F284" s="5"/>
      <c r="G284" s="5"/>
      <c r="H284" s="5"/>
      <c r="I284" s="4"/>
      <c r="J284" s="4"/>
      <c r="K284" s="4"/>
      <c r="L284" s="4"/>
      <c r="M284" s="4"/>
      <c r="N284" s="4"/>
      <c r="O284" s="4"/>
      <c r="P284" s="4"/>
      <c r="Q284" s="4"/>
      <c r="R284" s="5"/>
      <c r="S284" s="5"/>
      <c r="U284" s="5"/>
      <c r="W284" s="5"/>
      <c r="X284" s="5"/>
      <c r="Y284" s="5"/>
      <c r="Z284" s="5"/>
      <c r="AB284" s="5"/>
      <c r="AC284" s="5"/>
      <c r="AD284" s="5"/>
      <c r="AE284" s="5"/>
      <c r="AG284" s="13"/>
      <c r="AH284" s="5"/>
      <c r="AI284" s="5"/>
      <c r="AJ284" s="5"/>
      <c r="AL284" s="5"/>
      <c r="AM284" s="5"/>
      <c r="AN284" s="5"/>
      <c r="AO284" s="5"/>
      <c r="AQ284" s="5"/>
      <c r="AR284" s="5"/>
      <c r="AS284" s="5"/>
      <c r="AT284" s="5"/>
      <c r="BD284" s="5"/>
      <c r="BF284" s="5"/>
      <c r="BG284" s="5"/>
      <c r="BH284" s="5"/>
      <c r="BI284" s="5"/>
      <c r="BM284" s="5"/>
      <c r="BN284" s="5"/>
      <c r="BP284" s="5"/>
      <c r="BQ284" s="5"/>
      <c r="BR284" s="5"/>
      <c r="BS284" s="5"/>
      <c r="BU284" s="5"/>
      <c r="BV284" s="5"/>
      <c r="BW284" s="5"/>
      <c r="BX284" s="5"/>
      <c r="BZ284" s="5"/>
      <c r="CA284" s="5"/>
      <c r="CB284" s="5"/>
      <c r="CC284" s="5"/>
      <c r="CE284" s="5"/>
      <c r="CF284" s="5"/>
      <c r="CG284" s="5"/>
      <c r="CH284" s="5"/>
      <c r="CO284" s="13"/>
      <c r="CP284" s="5"/>
      <c r="CQ284" s="5"/>
      <c r="CR284" s="5"/>
      <c r="CT284" s="5"/>
      <c r="CU284" s="5"/>
      <c r="CV284" s="5"/>
      <c r="CW284" s="5"/>
      <c r="CY284" s="5"/>
      <c r="CZ284" s="5"/>
      <c r="DA284" s="5"/>
      <c r="DB284" s="5"/>
      <c r="DD284" s="5"/>
      <c r="DE284" s="5"/>
      <c r="DF284" s="5"/>
      <c r="DG284" s="5"/>
      <c r="DI284" s="5"/>
      <c r="DJ284" s="5"/>
      <c r="DK284" s="5"/>
      <c r="DL284" s="5"/>
      <c r="DN284" s="5"/>
      <c r="DO284" s="5"/>
      <c r="DP284" s="5"/>
      <c r="DQ284" s="5"/>
      <c r="DS284" s="5"/>
      <c r="DT284" s="5"/>
      <c r="DU284" s="5"/>
      <c r="DV284" s="5"/>
      <c r="DX284" s="5"/>
      <c r="DY284" s="5"/>
      <c r="DZ284" s="5"/>
      <c r="EA284" s="5"/>
      <c r="EC284" s="5"/>
      <c r="ED284" s="5"/>
      <c r="EE284" s="5"/>
      <c r="EF284" s="5"/>
      <c r="EH284" s="5"/>
      <c r="EI284" s="5"/>
      <c r="EJ284" s="5"/>
      <c r="EK284" s="5"/>
      <c r="ES284" s="44"/>
      <c r="ET284" s="44"/>
      <c r="EU284" s="44"/>
      <c r="EV284" s="44"/>
      <c r="EW284" s="44"/>
      <c r="EX284" s="659">
        <f t="shared" si="2"/>
        <v>0</v>
      </c>
    </row>
    <row r="285" spans="1:155" s="6" customFormat="1" ht="15" customHeight="1">
      <c r="A285" s="3" t="s">
        <v>53</v>
      </c>
      <c r="B285" s="210" t="s">
        <v>53</v>
      </c>
      <c r="C285" s="473" t="s">
        <v>515</v>
      </c>
      <c r="D285" s="138"/>
      <c r="E285" s="5"/>
      <c r="F285" s="5"/>
      <c r="G285" s="5"/>
      <c r="H285" s="5"/>
      <c r="I285" s="4"/>
      <c r="J285" s="4"/>
      <c r="K285" s="4"/>
      <c r="L285" s="4"/>
      <c r="M285" s="4"/>
      <c r="N285" s="4"/>
      <c r="O285" s="4"/>
      <c r="P285" s="4"/>
      <c r="Q285" s="4"/>
      <c r="R285" s="5"/>
      <c r="S285" s="5"/>
      <c r="U285" s="5"/>
      <c r="W285" s="5"/>
      <c r="X285" s="5"/>
      <c r="Y285" s="5"/>
      <c r="Z285" s="5"/>
      <c r="AB285" s="5"/>
      <c r="AC285" s="5"/>
      <c r="AD285" s="5"/>
      <c r="AE285" s="5"/>
      <c r="AG285" s="5"/>
      <c r="AH285" s="5"/>
      <c r="AI285" s="5"/>
      <c r="AJ285" s="5"/>
      <c r="AL285" s="5"/>
      <c r="AM285" s="5"/>
      <c r="AN285" s="5"/>
      <c r="AO285" s="5"/>
      <c r="AQ285" s="5"/>
      <c r="AR285" s="5"/>
      <c r="AS285" s="5"/>
      <c r="AT285" s="5"/>
      <c r="BD285" s="5"/>
      <c r="BF285" s="5"/>
      <c r="BG285" s="5"/>
      <c r="BH285" s="5"/>
      <c r="BI285" s="5"/>
      <c r="BM285" s="5"/>
      <c r="BN285" s="5"/>
      <c r="BP285" s="5"/>
      <c r="BQ285" s="5"/>
      <c r="BR285" s="5"/>
      <c r="BS285" s="5"/>
      <c r="BU285" s="5"/>
      <c r="BV285" s="5"/>
      <c r="BW285" s="5"/>
      <c r="BX285" s="5"/>
      <c r="BZ285" s="5"/>
      <c r="CA285" s="5"/>
      <c r="CB285" s="5"/>
      <c r="CC285" s="5"/>
      <c r="CE285" s="5"/>
      <c r="CF285" s="5"/>
      <c r="CG285" s="5"/>
      <c r="CH285" s="5"/>
      <c r="CO285" s="13"/>
      <c r="CP285" s="5"/>
      <c r="CQ285" s="5"/>
      <c r="CR285" s="5"/>
      <c r="CT285" s="5"/>
      <c r="CU285" s="5"/>
      <c r="CV285" s="5"/>
      <c r="CW285" s="5"/>
      <c r="CY285" s="5"/>
      <c r="CZ285" s="5"/>
      <c r="DA285" s="5"/>
      <c r="DB285" s="5"/>
      <c r="DD285" s="5"/>
      <c r="DE285" s="5"/>
      <c r="DF285" s="5"/>
      <c r="DG285" s="5"/>
      <c r="DI285" s="5"/>
      <c r="DJ285" s="5"/>
      <c r="DK285" s="5"/>
      <c r="DL285" s="5"/>
      <c r="DN285" s="5"/>
      <c r="DO285" s="5"/>
      <c r="DP285" s="5"/>
      <c r="DQ285" s="5"/>
      <c r="DS285" s="5"/>
      <c r="DT285" s="5"/>
      <c r="DU285" s="5"/>
      <c r="DV285" s="5"/>
      <c r="DX285" s="5"/>
      <c r="DY285" s="5"/>
      <c r="DZ285" s="5"/>
      <c r="EA285" s="5"/>
      <c r="EC285" s="5"/>
      <c r="ED285" s="5"/>
      <c r="EE285" s="5"/>
      <c r="EF285" s="5"/>
      <c r="EH285" s="5"/>
      <c r="EI285" s="5"/>
      <c r="EJ285" s="5"/>
      <c r="EK285" s="5"/>
      <c r="EX285" s="659">
        <f t="shared" si="2"/>
        <v>0</v>
      </c>
    </row>
    <row r="286" spans="1:155" s="6" customFormat="1" ht="15" customHeight="1">
      <c r="A286" s="3" t="s">
        <v>202</v>
      </c>
      <c r="B286" s="210" t="s">
        <v>202</v>
      </c>
      <c r="C286" s="473" t="s">
        <v>515</v>
      </c>
      <c r="D286" s="138"/>
      <c r="E286" s="5"/>
      <c r="F286" s="5"/>
      <c r="G286" s="5"/>
      <c r="H286" s="5"/>
      <c r="I286" s="4"/>
      <c r="J286" s="4"/>
      <c r="K286" s="4"/>
      <c r="L286" s="4"/>
      <c r="M286" s="4"/>
      <c r="N286" s="4"/>
      <c r="O286" s="4"/>
      <c r="P286" s="4"/>
      <c r="Q286" s="4"/>
      <c r="R286" s="5">
        <v>3</v>
      </c>
      <c r="S286" s="5">
        <f>SUM(S5:S26)*R286</f>
        <v>0</v>
      </c>
      <c r="U286" s="5"/>
      <c r="W286" s="5">
        <v>2</v>
      </c>
      <c r="X286" s="5">
        <f>SUM(X5:X26)*W286</f>
        <v>0</v>
      </c>
      <c r="Y286" s="5"/>
      <c r="Z286" s="5"/>
      <c r="AB286" s="5">
        <v>2</v>
      </c>
      <c r="AC286" s="5">
        <f>SUM(AC5:AC26)*AB286</f>
        <v>0</v>
      </c>
      <c r="AD286" s="5"/>
      <c r="AE286" s="5"/>
      <c r="AG286" s="5"/>
      <c r="AH286" s="5"/>
      <c r="AI286" s="5"/>
      <c r="AJ286" s="5"/>
      <c r="AL286" s="5"/>
      <c r="AM286" s="5"/>
      <c r="AN286" s="5"/>
      <c r="AO286" s="5"/>
      <c r="AQ286" s="5"/>
      <c r="AR286" s="5"/>
      <c r="AS286" s="5"/>
      <c r="AT286" s="5"/>
      <c r="BD286" s="5"/>
      <c r="BF286" s="5"/>
      <c r="BG286" s="5"/>
      <c r="BH286" s="5"/>
      <c r="BI286" s="5"/>
      <c r="BM286" s="5"/>
      <c r="BN286" s="5"/>
      <c r="BP286" s="5"/>
      <c r="BQ286" s="5"/>
      <c r="BR286" s="5"/>
      <c r="BS286" s="5"/>
      <c r="BU286" s="5"/>
      <c r="BV286" s="5"/>
      <c r="BW286" s="5"/>
      <c r="BX286" s="5"/>
      <c r="BZ286" s="5"/>
      <c r="CA286" s="5"/>
      <c r="CB286" s="5"/>
      <c r="CC286" s="5"/>
      <c r="CE286" s="5"/>
      <c r="CF286" s="5"/>
      <c r="CG286" s="5"/>
      <c r="CH286" s="5"/>
      <c r="CK286" s="5">
        <f>SUM(CK5:CK26)*CJ286</f>
        <v>0</v>
      </c>
      <c r="CO286" s="13"/>
      <c r="CP286" s="5">
        <f>SUM(CP5:CP26)*CO286</f>
        <v>0</v>
      </c>
      <c r="CQ286" s="5"/>
      <c r="CR286" s="5"/>
      <c r="CT286" s="5"/>
      <c r="CU286" s="5"/>
      <c r="CV286" s="5"/>
      <c r="CW286" s="5"/>
      <c r="CY286" s="5"/>
      <c r="CZ286" s="5"/>
      <c r="DA286" s="5"/>
      <c r="DB286" s="5"/>
      <c r="DD286" s="5"/>
      <c r="DE286" s="5"/>
      <c r="DF286" s="5"/>
      <c r="DG286" s="5"/>
      <c r="DI286" s="5"/>
      <c r="DJ286" s="5">
        <f>DJ5*DI286+DJ6*DI286+DJ7*DI286+DJ8*DI286+DJ9*DI286+DJ10*DI286+DJ11*DI286+DJ12*DI286+DJ13*DI286+DJ14*DI286+DJ15*DI286+DJ16*DI286+DJ17*DI286+DJ18*DI286+DJ19*DI286+DJ20*DI286+DJ21*DI286+DJ22*DI286+DJ23*DI286+DJ24*DI286+DJ25*DI286+DJ26*DI286</f>
        <v>0</v>
      </c>
      <c r="DK286" s="5"/>
      <c r="DL286" s="5"/>
      <c r="DN286" s="5"/>
      <c r="DO286" s="5">
        <f>SUM(DO5:DO26)*DN286</f>
        <v>0</v>
      </c>
      <c r="DP286" s="5"/>
      <c r="DQ286" s="5"/>
      <c r="DS286" s="5"/>
      <c r="DT286" s="5">
        <f>SUM(DT5:DT26)*DS286</f>
        <v>0</v>
      </c>
      <c r="DU286" s="5"/>
      <c r="DV286" s="5"/>
      <c r="DX286" s="5"/>
      <c r="DY286" s="5">
        <f>SUM(DY5:DY26)*DX286</f>
        <v>0</v>
      </c>
      <c r="DZ286" s="5"/>
      <c r="EA286" s="5"/>
      <c r="EC286" s="5"/>
      <c r="ED286" s="5"/>
      <c r="EE286" s="5"/>
      <c r="EF286" s="5"/>
      <c r="EH286" s="5"/>
      <c r="EI286" s="5"/>
      <c r="EJ286" s="5"/>
      <c r="EK286" s="5"/>
      <c r="EX286" s="659">
        <f t="shared" si="2"/>
        <v>0</v>
      </c>
    </row>
    <row r="287" spans="1:155" s="6" customFormat="1" ht="15" customHeight="1">
      <c r="A287" s="3" t="s">
        <v>200</v>
      </c>
      <c r="B287" s="210" t="s">
        <v>200</v>
      </c>
      <c r="C287" s="473" t="s">
        <v>515</v>
      </c>
      <c r="D287" s="138"/>
      <c r="E287" s="5"/>
      <c r="F287" s="5"/>
      <c r="G287" s="5"/>
      <c r="H287" s="5"/>
      <c r="I287" s="4"/>
      <c r="J287" s="4"/>
      <c r="K287" s="4"/>
      <c r="L287" s="4"/>
      <c r="M287" s="4"/>
      <c r="N287" s="4"/>
      <c r="O287" s="4"/>
      <c r="P287" s="4"/>
      <c r="Q287" s="4"/>
      <c r="R287" s="5">
        <v>3</v>
      </c>
      <c r="S287" s="5">
        <f>SUM(T5:T26)*R287</f>
        <v>0</v>
      </c>
      <c r="U287" s="5"/>
      <c r="W287" s="5">
        <v>2</v>
      </c>
      <c r="X287" s="5">
        <f>SUM(Y5:Y26)*W287</f>
        <v>0</v>
      </c>
      <c r="Y287" s="5"/>
      <c r="Z287" s="5"/>
      <c r="AB287" s="5">
        <v>2</v>
      </c>
      <c r="AC287" s="5">
        <f>SUM(AD5:AD26)*AB287</f>
        <v>0</v>
      </c>
      <c r="AD287" s="5"/>
      <c r="AE287" s="5"/>
      <c r="AG287" s="5"/>
      <c r="AH287" s="5"/>
      <c r="AI287" s="5"/>
      <c r="AJ287" s="5"/>
      <c r="AL287" s="5"/>
      <c r="AM287" s="5"/>
      <c r="AN287" s="5"/>
      <c r="AO287" s="5"/>
      <c r="AQ287" s="5"/>
      <c r="AR287" s="5"/>
      <c r="AS287" s="5"/>
      <c r="AT287" s="5"/>
      <c r="BD287" s="5"/>
      <c r="BF287" s="5"/>
      <c r="BG287" s="5"/>
      <c r="BH287" s="5"/>
      <c r="BI287" s="5"/>
      <c r="BM287" s="5"/>
      <c r="BN287" s="5"/>
      <c r="BP287" s="5"/>
      <c r="BQ287" s="5"/>
      <c r="BR287" s="5"/>
      <c r="BS287" s="5"/>
      <c r="BU287" s="5"/>
      <c r="BV287" s="5"/>
      <c r="BW287" s="5"/>
      <c r="BX287" s="5"/>
      <c r="BZ287" s="5"/>
      <c r="CA287" s="5"/>
      <c r="CB287" s="5"/>
      <c r="CC287" s="5"/>
      <c r="CE287" s="5"/>
      <c r="CF287" s="5"/>
      <c r="CG287" s="5"/>
      <c r="CH287" s="5"/>
      <c r="CK287" s="5">
        <f>SUM(CL5:CL26)*CJ287</f>
        <v>0</v>
      </c>
      <c r="CO287" s="13"/>
      <c r="CP287" s="5">
        <f>SUM(CQ5:CQ26)*CO287</f>
        <v>0</v>
      </c>
      <c r="CQ287" s="5"/>
      <c r="CR287" s="5"/>
      <c r="CT287" s="5"/>
      <c r="CU287" s="5"/>
      <c r="CV287" s="5"/>
      <c r="CW287" s="5"/>
      <c r="CY287" s="5"/>
      <c r="CZ287" s="5"/>
      <c r="DA287" s="5"/>
      <c r="DB287" s="5"/>
      <c r="DD287" s="5"/>
      <c r="DE287" s="5"/>
      <c r="DF287" s="5"/>
      <c r="DG287" s="5"/>
      <c r="DI287" s="5"/>
      <c r="DJ287" s="5">
        <f>DK6*DI287+DK7*DI287+DK8*DI287+DK9*DI287+DK10*DI287+DK11*DI287+DK12*DI287+DK13*DI287+DK14*DI287+DK15*DI287+DK16*DI287+DK17*DI287+DK18*DI287+DK19*DI287+DK20*DI287+DK21*DI287+DK22*DI287+DK23*DI287+DK24*DI287+DK25*DI287+DK26*DI287+DK5*DI287</f>
        <v>0</v>
      </c>
      <c r="DK287" s="5"/>
      <c r="DL287" s="5"/>
      <c r="DN287" s="5"/>
      <c r="DO287" s="5">
        <f>SUM(DP5:DP26)*DN287</f>
        <v>0</v>
      </c>
      <c r="DP287" s="5"/>
      <c r="DQ287" s="5"/>
      <c r="DS287" s="5"/>
      <c r="DT287" s="5">
        <f>SUM(DU5:DU26)*DS287</f>
        <v>0</v>
      </c>
      <c r="DU287" s="5"/>
      <c r="DV287" s="5"/>
      <c r="DX287" s="5"/>
      <c r="DY287" s="5">
        <f>SUM(DZ5:DZ26)*DX287</f>
        <v>0</v>
      </c>
      <c r="DZ287" s="5"/>
      <c r="EA287" s="5"/>
      <c r="EC287" s="5"/>
      <c r="ED287" s="5"/>
      <c r="EE287" s="5"/>
      <c r="EF287" s="5"/>
      <c r="EH287" s="5"/>
      <c r="EI287" s="5"/>
      <c r="EJ287" s="5"/>
      <c r="EK287" s="5"/>
      <c r="ES287" s="44"/>
      <c r="ET287" s="44"/>
      <c r="EU287" s="44"/>
      <c r="EV287" s="44"/>
      <c r="EW287" s="44"/>
      <c r="EX287" s="659">
        <f t="shared" si="2"/>
        <v>0</v>
      </c>
    </row>
    <row r="288" spans="1:155" s="6" customFormat="1" ht="15" customHeight="1">
      <c r="A288" s="3" t="s">
        <v>201</v>
      </c>
      <c r="B288" s="210" t="s">
        <v>201</v>
      </c>
      <c r="C288" s="473" t="s">
        <v>515</v>
      </c>
      <c r="D288" s="138"/>
      <c r="E288" s="5"/>
      <c r="F288" s="5"/>
      <c r="G288" s="5"/>
      <c r="H288" s="5"/>
      <c r="I288" s="4"/>
      <c r="J288" s="4"/>
      <c r="K288" s="4"/>
      <c r="L288" s="4"/>
      <c r="M288" s="4"/>
      <c r="N288" s="4"/>
      <c r="O288" s="4"/>
      <c r="P288" s="4"/>
      <c r="Q288" s="4"/>
      <c r="R288" s="5">
        <v>3</v>
      </c>
      <c r="S288" s="5">
        <f>SUM(U5:U26)*R288</f>
        <v>0</v>
      </c>
      <c r="U288" s="5"/>
      <c r="W288" s="5">
        <v>2</v>
      </c>
      <c r="X288" s="5">
        <f>SUM(Z5:Z26)*W288</f>
        <v>0</v>
      </c>
      <c r="Y288" s="5"/>
      <c r="Z288" s="5"/>
      <c r="AB288" s="5">
        <v>2</v>
      </c>
      <c r="AC288" s="5">
        <f>SUM(AE5:AE26)*AB288</f>
        <v>0</v>
      </c>
      <c r="AD288" s="5"/>
      <c r="AE288" s="5"/>
      <c r="AG288" s="5"/>
      <c r="AH288" s="5"/>
      <c r="AI288" s="5"/>
      <c r="AJ288" s="5"/>
      <c r="AL288" s="5"/>
      <c r="AM288" s="5"/>
      <c r="AN288" s="5"/>
      <c r="AO288" s="5"/>
      <c r="AQ288" s="5"/>
      <c r="AR288" s="5"/>
      <c r="AS288" s="5"/>
      <c r="AT288" s="5"/>
      <c r="BD288" s="5"/>
      <c r="BF288" s="5"/>
      <c r="BG288" s="5"/>
      <c r="BH288" s="5"/>
      <c r="BI288" s="5"/>
      <c r="BM288" s="5"/>
      <c r="BN288" s="5"/>
      <c r="BP288" s="5"/>
      <c r="BQ288" s="5"/>
      <c r="BR288" s="5"/>
      <c r="BS288" s="5"/>
      <c r="BU288" s="5"/>
      <c r="BV288" s="5"/>
      <c r="BW288" s="5"/>
      <c r="BX288" s="5"/>
      <c r="BZ288" s="5"/>
      <c r="CA288" s="5"/>
      <c r="CB288" s="5"/>
      <c r="CC288" s="5"/>
      <c r="CE288" s="5"/>
      <c r="CF288" s="5"/>
      <c r="CG288" s="5"/>
      <c r="CH288" s="5"/>
      <c r="CK288" s="5">
        <f>SUM(CM5:CM26)*CJ288</f>
        <v>0</v>
      </c>
      <c r="CO288" s="13"/>
      <c r="CP288" s="5">
        <f>SUM(CR5:CR26)*CO288</f>
        <v>0</v>
      </c>
      <c r="CQ288" s="5"/>
      <c r="CR288" s="5"/>
      <c r="CT288" s="5"/>
      <c r="CU288" s="5"/>
      <c r="CV288" s="5"/>
      <c r="CW288" s="5"/>
      <c r="CY288" s="5"/>
      <c r="CZ288" s="5"/>
      <c r="DA288" s="5"/>
      <c r="DB288" s="5"/>
      <c r="DD288" s="5"/>
      <c r="DE288" s="5"/>
      <c r="DF288" s="5"/>
      <c r="DG288" s="5"/>
      <c r="DI288" s="5"/>
      <c r="DJ288" s="5">
        <f>DL7*DI288+DL8*DI288+DL9*DI288+DL10*DI288+DL11*DI288+DL12*DI288+DL13*DI288+DL14*DI288+DL15*DI288+DL16*DI288+DL17*DI288+DL18*DI288+DL19*DI288+DL20*DI288+DL21*DI288+DL22*DI288+DL23*DI288+DL24*DI288+DL25*DI288+DL26*DI288+DL5*DI288+DL6*DI288</f>
        <v>0</v>
      </c>
      <c r="DK288" s="5"/>
      <c r="DL288" s="5"/>
      <c r="DN288" s="5"/>
      <c r="DO288" s="5">
        <f>SUM(DQ5:DQ26)*DN288</f>
        <v>0</v>
      </c>
      <c r="DP288" s="5"/>
      <c r="DQ288" s="5"/>
      <c r="DS288" s="5"/>
      <c r="DT288" s="5">
        <f>SUM(DV5:DV26)*DS288</f>
        <v>0</v>
      </c>
      <c r="DU288" s="5"/>
      <c r="DV288" s="5"/>
      <c r="DX288" s="5"/>
      <c r="DY288" s="5">
        <f>SUM(EA5:EA26)*DX288</f>
        <v>0</v>
      </c>
      <c r="DZ288" s="5"/>
      <c r="EA288" s="5"/>
      <c r="EC288" s="5"/>
      <c r="ED288" s="5"/>
      <c r="EE288" s="5"/>
      <c r="EF288" s="5"/>
      <c r="EH288" s="5"/>
      <c r="EI288" s="5"/>
      <c r="EJ288" s="5"/>
      <c r="EK288" s="5"/>
      <c r="ES288" s="44"/>
      <c r="ET288" s="44"/>
      <c r="EU288" s="44"/>
      <c r="EV288" s="44"/>
      <c r="EW288" s="44"/>
      <c r="EX288" s="659">
        <f t="shared" si="2"/>
        <v>0</v>
      </c>
    </row>
    <row r="289" spans="1:154" s="6" customFormat="1" ht="15" customHeight="1">
      <c r="A289" s="3" t="s">
        <v>317</v>
      </c>
      <c r="B289" s="210" t="s">
        <v>317</v>
      </c>
      <c r="C289" s="473" t="s">
        <v>515</v>
      </c>
      <c r="D289" s="138"/>
      <c r="E289" s="5"/>
      <c r="F289" s="5"/>
      <c r="G289" s="5"/>
      <c r="H289" s="5"/>
      <c r="I289" s="4"/>
      <c r="J289" s="4"/>
      <c r="K289" s="4"/>
      <c r="L289" s="4"/>
      <c r="M289" s="4"/>
      <c r="N289" s="4"/>
      <c r="O289" s="4"/>
      <c r="P289" s="4"/>
      <c r="Q289" s="4"/>
      <c r="R289" s="5"/>
      <c r="S289" s="5"/>
      <c r="U289" s="5"/>
      <c r="W289" s="5"/>
      <c r="X289" s="5"/>
      <c r="Y289" s="5"/>
      <c r="Z289" s="5"/>
      <c r="AB289" s="5"/>
      <c r="AC289" s="5"/>
      <c r="AD289" s="5"/>
      <c r="AE289" s="5"/>
      <c r="AG289" s="5"/>
      <c r="AH289" s="5"/>
      <c r="AI289" s="5"/>
      <c r="AJ289" s="5"/>
      <c r="AL289" s="5"/>
      <c r="AM289" s="5"/>
      <c r="AN289" s="5"/>
      <c r="AO289" s="5"/>
      <c r="AQ289" s="5"/>
      <c r="AR289" s="5"/>
      <c r="AS289" s="5"/>
      <c r="AT289" s="5"/>
      <c r="BD289" s="5"/>
      <c r="BF289" s="5"/>
      <c r="BG289" s="5"/>
      <c r="BH289" s="5"/>
      <c r="BI289" s="5"/>
      <c r="BM289" s="5"/>
      <c r="BN289" s="5"/>
      <c r="BP289" s="5"/>
      <c r="BQ289" s="5"/>
      <c r="BR289" s="5"/>
      <c r="BS289" s="5"/>
      <c r="BU289" s="5"/>
      <c r="BV289" s="5"/>
      <c r="BW289" s="5"/>
      <c r="BX289" s="5"/>
      <c r="BZ289" s="5"/>
      <c r="CA289" s="5"/>
      <c r="CB289" s="5"/>
      <c r="CC289" s="5"/>
      <c r="CE289" s="5"/>
      <c r="CF289" s="5"/>
      <c r="CG289" s="5"/>
      <c r="CH289" s="5"/>
      <c r="CO289" s="13"/>
      <c r="CP289" s="5"/>
      <c r="CQ289" s="5"/>
      <c r="CR289" s="5"/>
      <c r="CT289" s="5"/>
      <c r="CU289" s="5"/>
      <c r="CV289" s="5"/>
      <c r="CW289" s="5"/>
      <c r="CY289" s="5"/>
      <c r="CZ289" s="5"/>
      <c r="DA289" s="5"/>
      <c r="DB289" s="5"/>
      <c r="DD289" s="5"/>
      <c r="DE289" s="5"/>
      <c r="DF289" s="5"/>
      <c r="DG289" s="5"/>
      <c r="DI289" s="5"/>
      <c r="DJ289" s="5"/>
      <c r="DK289" s="5"/>
      <c r="DL289" s="5"/>
      <c r="DN289" s="5"/>
      <c r="DO289" s="5"/>
      <c r="DP289" s="5"/>
      <c r="DQ289" s="5"/>
      <c r="DS289" s="5"/>
      <c r="DT289" s="5"/>
      <c r="DU289" s="5"/>
      <c r="DV289" s="5"/>
      <c r="DX289" s="5"/>
      <c r="DY289" s="5"/>
      <c r="DZ289" s="5"/>
      <c r="EA289" s="5"/>
      <c r="EC289" s="5"/>
      <c r="ED289" s="5"/>
      <c r="EE289" s="5"/>
      <c r="EF289" s="5"/>
      <c r="EH289" s="5"/>
      <c r="EI289" s="5"/>
      <c r="EJ289" s="5"/>
      <c r="EK289" s="5"/>
      <c r="ES289" s="44"/>
      <c r="ET289" s="44"/>
      <c r="EU289" s="44"/>
      <c r="EV289" s="44"/>
      <c r="EW289" s="44"/>
      <c r="EX289" s="659">
        <f t="shared" si="2"/>
        <v>0</v>
      </c>
    </row>
    <row r="290" spans="1:154" s="6" customFormat="1" ht="15" customHeight="1">
      <c r="A290" s="3" t="s">
        <v>54</v>
      </c>
      <c r="B290" s="210" t="s">
        <v>54</v>
      </c>
      <c r="C290" s="473" t="s">
        <v>515</v>
      </c>
      <c r="D290" s="138"/>
      <c r="E290" s="5"/>
      <c r="F290" s="5"/>
      <c r="G290" s="5"/>
      <c r="H290" s="5"/>
      <c r="I290" s="4"/>
      <c r="J290" s="4"/>
      <c r="K290" s="4"/>
      <c r="L290" s="4"/>
      <c r="M290" s="4"/>
      <c r="N290" s="4"/>
      <c r="O290" s="4"/>
      <c r="P290" s="4"/>
      <c r="Q290" s="4"/>
      <c r="R290" s="5"/>
      <c r="S290" s="5"/>
      <c r="U290" s="5"/>
      <c r="W290" s="5"/>
      <c r="X290" s="5"/>
      <c r="Y290" s="5"/>
      <c r="Z290" s="5"/>
      <c r="AB290" s="5"/>
      <c r="AC290" s="5"/>
      <c r="AD290" s="5"/>
      <c r="AE290" s="5"/>
      <c r="AG290" s="5"/>
      <c r="AH290" s="5"/>
      <c r="AI290" s="5"/>
      <c r="AJ290" s="5"/>
      <c r="AL290" s="5"/>
      <c r="AM290" s="5"/>
      <c r="AN290" s="5"/>
      <c r="AO290" s="5"/>
      <c r="AQ290" s="5"/>
      <c r="AR290" s="5"/>
      <c r="AS290" s="5"/>
      <c r="AT290" s="5"/>
      <c r="BD290" s="5"/>
      <c r="BF290" s="5"/>
      <c r="BG290" s="5"/>
      <c r="BH290" s="5"/>
      <c r="BI290" s="5"/>
      <c r="BM290" s="5"/>
      <c r="BN290" s="5"/>
      <c r="BP290" s="5"/>
      <c r="BQ290" s="5"/>
      <c r="BR290" s="5"/>
      <c r="BS290" s="5"/>
      <c r="BU290" s="5"/>
      <c r="BV290" s="5"/>
      <c r="BW290" s="5"/>
      <c r="BX290" s="5"/>
      <c r="BZ290" s="5"/>
      <c r="CA290" s="5"/>
      <c r="CB290" s="5"/>
      <c r="CC290" s="5"/>
      <c r="CE290" s="5"/>
      <c r="CF290" s="5"/>
      <c r="CG290" s="5"/>
      <c r="CH290" s="5"/>
      <c r="CO290" s="13"/>
      <c r="CP290" s="5"/>
      <c r="CQ290" s="5"/>
      <c r="CR290" s="5"/>
      <c r="CT290" s="5"/>
      <c r="CU290" s="5"/>
      <c r="CV290" s="5"/>
      <c r="CW290" s="5"/>
      <c r="CY290" s="5"/>
      <c r="CZ290" s="5"/>
      <c r="DA290" s="5"/>
      <c r="DB290" s="5"/>
      <c r="DD290" s="5"/>
      <c r="DE290" s="5"/>
      <c r="DF290" s="5"/>
      <c r="DG290" s="5"/>
      <c r="DI290" s="5"/>
      <c r="DJ290" s="5"/>
      <c r="DK290" s="5"/>
      <c r="DL290" s="5"/>
      <c r="DN290" s="5"/>
      <c r="DO290" s="5"/>
      <c r="DP290" s="5"/>
      <c r="DQ290" s="5"/>
      <c r="DS290" s="5"/>
      <c r="DT290" s="5"/>
      <c r="DU290" s="5"/>
      <c r="DV290" s="5"/>
      <c r="DX290" s="5"/>
      <c r="DY290" s="5"/>
      <c r="DZ290" s="5"/>
      <c r="EA290" s="5"/>
      <c r="EC290" s="5"/>
      <c r="ED290" s="5"/>
      <c r="EE290" s="5"/>
      <c r="EF290" s="5"/>
      <c r="EH290" s="5"/>
      <c r="EI290" s="5"/>
      <c r="EJ290" s="5"/>
      <c r="EK290" s="5"/>
      <c r="EX290" s="659">
        <f t="shared" si="2"/>
        <v>0</v>
      </c>
    </row>
    <row r="291" spans="1:154" s="6" customFormat="1" ht="15" customHeight="1">
      <c r="A291" s="3" t="s">
        <v>18</v>
      </c>
      <c r="B291" s="210" t="s">
        <v>480</v>
      </c>
      <c r="C291" s="473" t="s">
        <v>515</v>
      </c>
      <c r="D291" s="138"/>
      <c r="E291" s="5"/>
      <c r="F291" s="5"/>
      <c r="G291" s="5"/>
      <c r="H291" s="5"/>
      <c r="I291" s="4"/>
      <c r="J291" s="4"/>
      <c r="K291" s="4"/>
      <c r="L291" s="4"/>
      <c r="M291" s="4"/>
      <c r="N291" s="4"/>
      <c r="O291" s="4"/>
      <c r="P291" s="4"/>
      <c r="Q291" s="4"/>
      <c r="R291" s="5"/>
      <c r="S291" s="5"/>
      <c r="U291" s="5"/>
      <c r="W291" s="5"/>
      <c r="X291" s="5"/>
      <c r="Y291" s="5"/>
      <c r="Z291" s="5"/>
      <c r="AB291" s="5"/>
      <c r="AC291" s="5"/>
      <c r="AD291" s="5"/>
      <c r="AE291" s="5"/>
      <c r="AG291" s="5"/>
      <c r="AH291" s="5"/>
      <c r="AI291" s="5"/>
      <c r="AJ291" s="5"/>
      <c r="AL291" s="5"/>
      <c r="AM291" s="5"/>
      <c r="AN291" s="5"/>
      <c r="AO291" s="5"/>
      <c r="AQ291" s="5"/>
      <c r="AR291" s="5"/>
      <c r="AS291" s="5"/>
      <c r="AT291" s="5"/>
      <c r="BD291" s="5"/>
      <c r="BF291" s="5"/>
      <c r="BG291" s="5"/>
      <c r="BH291" s="5"/>
      <c r="BI291" s="5"/>
      <c r="BM291" s="5"/>
      <c r="BN291" s="5"/>
      <c r="BP291" s="5"/>
      <c r="BQ291" s="5"/>
      <c r="BR291" s="5"/>
      <c r="BS291" s="5"/>
      <c r="BU291" s="5"/>
      <c r="BV291" s="5"/>
      <c r="BW291" s="5"/>
      <c r="BX291" s="5"/>
      <c r="BZ291" s="5"/>
      <c r="CA291" s="5"/>
      <c r="CB291" s="5"/>
      <c r="CC291" s="5"/>
      <c r="CE291" s="5"/>
      <c r="CF291" s="5"/>
      <c r="CG291" s="5"/>
      <c r="CH291" s="5"/>
      <c r="CO291" s="13"/>
      <c r="CP291" s="5"/>
      <c r="CQ291" s="5"/>
      <c r="CR291" s="5"/>
      <c r="CT291" s="5"/>
      <c r="CU291" s="5"/>
      <c r="CV291" s="5"/>
      <c r="CW291" s="5"/>
      <c r="CY291" s="5"/>
      <c r="CZ291" s="5"/>
      <c r="DA291" s="5"/>
      <c r="DB291" s="5"/>
      <c r="DD291" s="5"/>
      <c r="DE291" s="5"/>
      <c r="DF291" s="5"/>
      <c r="DG291" s="5"/>
      <c r="DI291" s="5"/>
      <c r="DJ291" s="5"/>
      <c r="DK291" s="5"/>
      <c r="DL291" s="5"/>
      <c r="DN291" s="5"/>
      <c r="DO291" s="5">
        <f>IF(SUM(EN5:EN12,EO5:EO12,EP5:EP12,EQ5:EQ12)&gt;=1,SUM(ET7:ET12,EU7:EU12,EV7:EV12,EW7:EW12,EN295:EN300)*15,SUM(EN5:EN12,EO5:EO12,EP5:EP12,EQ5:EQ12)*0)</f>
        <v>0</v>
      </c>
      <c r="DP291" s="5"/>
      <c r="DQ291" s="5"/>
      <c r="DS291" s="5" t="s">
        <v>1568</v>
      </c>
      <c r="DT291" s="5"/>
      <c r="DU291" s="5"/>
      <c r="DV291" s="5"/>
      <c r="DX291" s="5" t="s">
        <v>1568</v>
      </c>
      <c r="DY291" s="5"/>
      <c r="DZ291" s="5"/>
      <c r="EA291" s="5"/>
      <c r="EC291" s="5" t="s">
        <v>1568</v>
      </c>
      <c r="ED291" s="5"/>
      <c r="EE291" s="5"/>
      <c r="EF291" s="5"/>
      <c r="EH291" s="5" t="s">
        <v>1568</v>
      </c>
      <c r="EI291" s="5"/>
      <c r="EJ291" s="5"/>
      <c r="EK291" s="5"/>
      <c r="EX291" s="659">
        <f t="shared" si="2"/>
        <v>0</v>
      </c>
    </row>
    <row r="292" spans="1:154" s="6" customFormat="1" ht="15" customHeight="1">
      <c r="A292" s="3" t="s">
        <v>226</v>
      </c>
      <c r="B292" s="210" t="s">
        <v>508</v>
      </c>
      <c r="C292" s="473" t="s">
        <v>515</v>
      </c>
      <c r="D292" s="138"/>
      <c r="E292" s="5"/>
      <c r="F292" s="5"/>
      <c r="G292" s="5"/>
      <c r="H292" s="5"/>
      <c r="I292" s="4"/>
      <c r="J292" s="4"/>
      <c r="K292" s="4"/>
      <c r="L292" s="4"/>
      <c r="M292" s="4"/>
      <c r="N292" s="4"/>
      <c r="O292" s="4"/>
      <c r="P292" s="4"/>
      <c r="Q292" s="4"/>
      <c r="R292" s="5"/>
      <c r="S292" s="5"/>
      <c r="U292" s="5"/>
      <c r="W292" s="5"/>
      <c r="X292" s="5"/>
      <c r="Y292" s="5"/>
      <c r="Z292" s="5"/>
      <c r="AB292" s="5"/>
      <c r="AC292" s="5"/>
      <c r="AD292" s="5"/>
      <c r="AE292" s="5"/>
      <c r="AG292" s="5"/>
      <c r="AH292" s="5"/>
      <c r="AI292" s="5"/>
      <c r="AJ292" s="5"/>
      <c r="AL292" s="5"/>
      <c r="AM292" s="5"/>
      <c r="AN292" s="5"/>
      <c r="AO292" s="5"/>
      <c r="AQ292" s="5"/>
      <c r="AR292" s="5"/>
      <c r="AS292" s="5"/>
      <c r="AT292" s="5"/>
      <c r="BD292" s="5"/>
      <c r="BF292" s="5"/>
      <c r="BG292" s="5"/>
      <c r="BH292" s="5"/>
      <c r="BI292" s="5"/>
      <c r="BM292" s="5"/>
      <c r="BN292" s="5"/>
      <c r="BP292" s="5"/>
      <c r="BQ292" s="5"/>
      <c r="BR292" s="5"/>
      <c r="BS292" s="5"/>
      <c r="BU292" s="5"/>
      <c r="BV292" s="5"/>
      <c r="BW292" s="5"/>
      <c r="BX292" s="5"/>
      <c r="BZ292" s="5"/>
      <c r="CA292" s="5"/>
      <c r="CB292" s="5"/>
      <c r="CC292" s="5"/>
      <c r="CE292" s="5"/>
      <c r="CF292" s="5"/>
      <c r="CG292" s="5"/>
      <c r="CH292" s="5"/>
      <c r="CO292" s="13"/>
      <c r="CP292" s="5"/>
      <c r="CQ292" s="5"/>
      <c r="CR292" s="5"/>
      <c r="CT292" s="5"/>
      <c r="CU292" s="5"/>
      <c r="CV292" s="5"/>
      <c r="CW292" s="5"/>
      <c r="CY292" s="5"/>
      <c r="CZ292" s="5"/>
      <c r="DA292" s="5"/>
      <c r="DB292" s="5"/>
      <c r="DD292" s="5"/>
      <c r="DE292" s="5"/>
      <c r="DF292" s="5"/>
      <c r="DG292" s="5"/>
      <c r="DI292" s="5"/>
      <c r="DJ292" s="5"/>
      <c r="DK292" s="5"/>
      <c r="DL292" s="5"/>
      <c r="DN292" s="5"/>
      <c r="DO292" s="5"/>
      <c r="DP292" s="5"/>
      <c r="DQ292" s="5"/>
      <c r="DS292" s="5"/>
      <c r="DT292" s="5"/>
      <c r="DU292" s="5"/>
      <c r="DV292" s="5"/>
      <c r="DX292" s="5"/>
      <c r="DY292" s="5"/>
      <c r="DZ292" s="5"/>
      <c r="EA292" s="5"/>
      <c r="EC292" s="5"/>
      <c r="ED292" s="5"/>
      <c r="EE292" s="5"/>
      <c r="EF292" s="5"/>
      <c r="EH292" s="5"/>
      <c r="EI292" s="5"/>
      <c r="EJ292" s="5"/>
      <c r="EK292" s="5"/>
      <c r="EX292" s="659">
        <f t="shared" si="2"/>
        <v>0</v>
      </c>
    </row>
    <row r="293" spans="1:154" s="6" customFormat="1" ht="15" customHeight="1">
      <c r="A293" s="3" t="s">
        <v>150</v>
      </c>
      <c r="B293" s="210" t="s">
        <v>150</v>
      </c>
      <c r="C293" s="473" t="s">
        <v>515</v>
      </c>
      <c r="D293" s="138"/>
      <c r="E293" s="5"/>
      <c r="F293" s="6">
        <f>SUM(F5:F26,G5:G26,H5:H26)*E293</f>
        <v>0</v>
      </c>
      <c r="I293" s="4"/>
      <c r="J293" s="4"/>
      <c r="K293" s="4"/>
      <c r="L293" s="4"/>
      <c r="M293" s="4"/>
      <c r="N293" s="4"/>
      <c r="O293" s="4"/>
      <c r="P293" s="4"/>
      <c r="Q293" s="4"/>
      <c r="R293" s="5"/>
      <c r="S293" s="5"/>
      <c r="U293" s="5"/>
      <c r="W293" s="5"/>
      <c r="X293" s="5"/>
      <c r="Y293" s="5"/>
      <c r="Z293" s="5"/>
      <c r="AB293" s="5"/>
      <c r="AC293" s="5"/>
      <c r="AD293" s="5"/>
      <c r="AE293" s="5"/>
      <c r="AG293" s="5"/>
      <c r="AH293" s="5"/>
      <c r="AI293" s="5"/>
      <c r="AJ293" s="5"/>
      <c r="AL293" s="5"/>
      <c r="AM293" s="5"/>
      <c r="AN293" s="5"/>
      <c r="AO293" s="5"/>
      <c r="AQ293" s="5"/>
      <c r="AR293" s="5"/>
      <c r="AS293" s="5"/>
      <c r="AT293" s="5"/>
      <c r="AV293" s="6">
        <v>2</v>
      </c>
      <c r="AW293" s="6">
        <f>AW5*AV293+AW6*AV293+AW7*AV293+AW8*AV293+AW9*AV293+AW10*AV293+AW11*AV293+AW12*AV293+AW13*AV293+AW14*AV293+AW15*AV293+AW16*AV293+AW17*AV293+AW18*AV293+AW19*AV293+AW20*AV293+AW21*AV293+AW22*AV293+AW23*AV293+AW24*AV293+AW25*AV293+AW26*AV293+AX5*AV293+AX6*AV293+AX7*AV293+AX8*AV293+AX9*AV293+AX10*AV293+AX11*AV293+AX12*AV293+AX13*AV293+AX14*AV293+AX15*AV293+AX16*AV293+AX17*AV293+AX18*AV293+AX19*AV293+AX20*AV293+AX21*AV293+AX22*AV293+AX23*AV293+AX24*AV293+AX25*AV293+AX26*AV293+AY5*AV293+AY6*AV293+AY7*AV293+AY8*AV293+AY9*AV293+AY10*AY11+AV293*AY12*AV293+AY13*AV293+AY14*AV293+AY15*AV293+AY16*AV293+AY17*AV293+AY18*AV293+AY19*AV293+AY20*AV293+AY21*AV293+AY22*AV293+AY23*AV293+AY24*AV293+AY25*AV293+AY26*AV293</f>
        <v>0</v>
      </c>
      <c r="BA293" s="6">
        <v>2</v>
      </c>
      <c r="BB293" s="6">
        <f>BB5*BA293+BB6*BA293+BB7*BA293+BB8*BA293+BB9*BA293+BB10*BA293+BB11*BA293+BB12*BA293+BB13*BA293+BB14*BA293+BB15*BA293+BB16*BA293+BB17*BA293+BB18*BA293+BB19*BA293+BB20*BA293+BB21*BA293+BB22*BA293+BB23*BA293+BB24*BA293+BB25*BA293+BB26*BA293+BC5*BA293+BC6*BA293+BC7*BA293+BC8*BA293+BC9*BA293+BC10*BA293+BC11*BA293+BC12*BA293+BC13*BA293+BC14*BA293+BC15*BA293+BC16*BA293+BC17*BA293+BC18*BA293+BC19*BA293+BC20*BA293+BC21*BA293+BC22*BA293+BC23*BA293+BC24*BA293+BC25*BA293+BC26*BA293+BD5*BA293+BD6*BA293+BD7*BA293+BD8*BA293+BD9*BA293+BD10*BD11+BA293*BD12*BA293+BD13*BA293+BD14*BA293+BD15*BA293+BD16*BA293+BD17*BA293+BD18*BA293+BD19*BA293+BD20*BA293+BD21*BA293+BD22*BA293+BD23*BA293+BD24*BA293+BD25*BA293+BD26*BA293</f>
        <v>0</v>
      </c>
      <c r="BD293" s="5"/>
      <c r="BF293" s="5">
        <v>4</v>
      </c>
      <c r="BG293" s="5">
        <f>SUM(BG5:BG26,BH5:BH26,BI5:BI26)*BF293</f>
        <v>0</v>
      </c>
      <c r="BH293" s="5"/>
      <c r="BI293" s="5"/>
      <c r="BK293" s="6">
        <v>4</v>
      </c>
      <c r="BL293" s="6">
        <f>SUM(BL5:BL26,BM5:BM26,BN5:BN26)*BK293</f>
        <v>0</v>
      </c>
      <c r="BM293" s="5"/>
      <c r="BN293" s="5"/>
      <c r="BP293" s="5">
        <v>4</v>
      </c>
      <c r="BQ293" s="6">
        <f>SUM(BQ5:BQ26,BR5:BR26,BS5:BS26)*BP293</f>
        <v>0</v>
      </c>
      <c r="BR293" s="5"/>
      <c r="BS293" s="5"/>
      <c r="BU293" s="5">
        <v>4</v>
      </c>
      <c r="BV293" s="6">
        <f>SUM(BV5:BV26,BW5:BW26,BX5:BX26)*BU293-(BV182/2)*3</f>
        <v>0</v>
      </c>
      <c r="BW293" s="5"/>
      <c r="BX293" s="5"/>
      <c r="BZ293" s="5">
        <v>8</v>
      </c>
      <c r="CA293" s="5">
        <f>SUM(CA5:CA26,CB5:CB26,CC5:CC26)*BZ293</f>
        <v>0</v>
      </c>
      <c r="CB293" s="5"/>
      <c r="CC293" s="5"/>
      <c r="CE293" s="5">
        <v>8</v>
      </c>
      <c r="CF293" s="6">
        <f>SUM(CF5:CF26,CG5:CG26,CH5:CH26)*CE293</f>
        <v>0</v>
      </c>
      <c r="CG293" s="5"/>
      <c r="CH293" s="5"/>
      <c r="CK293" s="6">
        <f>CK5*CJ293+CK6*CJ293+CK7*CJ293+CK8*CJ293+CK9*CJ293+CK10*CJ293+CK11*CJ293+CK12*CJ293+CK13*CJ293+CK14*CJ293+CK15*CJ293+CK16*CJ293+CK17*CJ293+CK18*CJ293+CK19*CJ293+CK20*CJ293+CK21*CJ293+CK22*CJ293+CK23*CJ293+CK24*CJ293+CK25*CJ293+CK26*CJ293+CL5*CJ293+CL6*CJ293+CL7*CJ293+CL8*CJ293+CL9*CJ293+CL10*CJ293+CL11*CJ293+CL12*CJ293+CL13*CJ293+CL14*CJ293+CL15*CJ293+CL16*CJ293+CL17*CJ293+CL18*CJ293+CL19*CJ293+CL20*CJ293+CL21*CJ293+CL22*CJ293+CL23*CJ293+CL24*CJ293+CL25*CJ293+CL26*CJ293+CM5*CJ293+CM6*CJ293+CM7*CJ293+CM8*CJ293+CM9*CJ293+CM10*CM11+CJ293*CM12*CJ293+CM13*CJ293+CM14*CJ293+CM15*CJ293+CM16*CJ293+CM17*CJ293+CM18*CJ293+CM19*CJ293+CM20*CJ293+CM21*CJ293+CM22*CJ293+CM23*CJ293+CM24*CJ293+CM25*CJ293+CM26*CJ293</f>
        <v>0</v>
      </c>
      <c r="CO293" s="13">
        <v>4</v>
      </c>
      <c r="CP293" s="5">
        <f>SUM(CP5:CR26)*CO293</f>
        <v>0</v>
      </c>
      <c r="CQ293" s="5"/>
      <c r="CR293" s="5"/>
      <c r="CT293" s="5">
        <v>6</v>
      </c>
      <c r="CU293" s="6">
        <f>SUM(CU5:CU26,CV5:CV26,CW5:CW26)*CT293-(CU182/2)*3</f>
        <v>0</v>
      </c>
      <c r="CV293" s="5"/>
      <c r="CW293" s="5"/>
      <c r="CY293" s="5">
        <v>8</v>
      </c>
      <c r="CZ293" s="6">
        <f>SUM(CZ5:CZ26,DA5:DA26,DB5:DB26)*CY293-(CZ182/2)*3</f>
        <v>0</v>
      </c>
      <c r="DA293" s="5"/>
      <c r="DB293" s="5"/>
      <c r="DD293" s="5">
        <v>4</v>
      </c>
      <c r="DE293" s="6">
        <f>SUM(DE5:DE26,DF5:DF26,DG5:DG26)*DD293</f>
        <v>0</v>
      </c>
      <c r="DF293" s="5"/>
      <c r="DG293" s="5"/>
      <c r="DI293" s="5">
        <v>4</v>
      </c>
      <c r="DJ293" s="5">
        <f>DJ5*DI293+DJ6*DI293+DJ7*DI293+DJ8*DI293+DJ9*DI293+DJ10*DI293+DJ11*DI293+DJ12*DI293+DJ13*DI293+DJ14*DI293+DJ15*DI293+DJ16*DI293+DJ17*DI293+DJ18*DI293+DJ19*DI293+DJ20*DI293+DJ21*DI293+DJ22*DI293+DJ23*DI293+DJ24*DI293+DJ25*DI293+DJ26*DI293+DK5*DI293+DK6*DI293+DK7*DI293+DK8*DI293+DK9*DI293+DK10*DI293+DK11*DI293+DK12*DI293+DK13*DI293+DK14*DI293+DK15*DI293+DK16*DI293+DK17*DI293+DK18*DI293+DK19*DI293+DK20*DI293+DK21*DI293+DK22*DI293+DK23*DI293+DK24*DI293+DK25*DI293+DK26*DI293+DL5*DI293+DL6*DI293+DL7*DI293+DL8*DI293+DL9*DI293+DL10*DL11+DI293*DL12*DI293+DL13*DI293+DL14*DI293+DL15*DI293+DL16*DI293+DL17*DI293+DL18*DI293+DL19*DI293+DL20*DI293+DL21*DI293+DL22*DI293+DL23*DI293+DL24*DI293+DL25*DI293+DL26*DI293</f>
        <v>0</v>
      </c>
      <c r="DK293" s="5"/>
      <c r="DL293" s="5"/>
      <c r="DN293" s="5">
        <v>4</v>
      </c>
      <c r="DO293" s="5">
        <f>DO5*DN293+DO6*DN293+DO7*DN293+DO8*DN293+DO9*DN293+DO10*DN293+DO11*DN293+DO12*DN293+DO13*DN293+DO14*DN293+DO15*DN293+DO16*DN293+DO17*DN293+DO18*DN293+DO19*DN293+DO20*DN293+DO21*DN293+DO22*DN293+DO23*DN293+DO24*DN293+DO25*DN293+DO26*DN293+DP5*DN293+DP6*DN293+DP7*DN293+DP8*DN293+DP9*DN293+DP10*DN293+DP11*DN293+DP12*DN293+DP13*DN293+DP14*DN293+DP15*DN293+DP16*DN293+DP17*DN293+DP18*DN293+DP19*DN293+DP20*DN293+DP21*DN293+DP22*DN293+DP23*DN293+DP24*DN293+DP25*DN293+DP26*DN293+DQ5*DN293+DQ6*DN293+DQ7*DN293+DQ8*DN293+DQ9*DN293+DQ10*DQ11+DN293*DQ12*DN293+DQ13*DN293+DQ14*DN293+DQ15*DN293+DQ16*DN293+DQ17*DN293+DQ18*DN293+DQ19*DN293+DQ20*DN293+DQ21*DN293+DQ22*DN293+DQ23*DN293+DQ24*DN293+DQ25*DN293+DQ26*DN293</f>
        <v>0</v>
      </c>
      <c r="DP293" s="5"/>
      <c r="DQ293" s="5"/>
      <c r="DS293" s="5">
        <v>5</v>
      </c>
      <c r="DT293" s="5">
        <f>DT5*DS293+DT6*DS293+DT7*DS293+DT8*DS293+DT9*DS293+DT10*DS293+DT11*DS293+DT12*DS293+DT13*DS293+DT14*DS293+DT15*DS293+DT16*DS293+DT17*DS293+DT18*DS293+DT19*DS293+DT20*DS293+DT21*DS293+DT22*DS293+DT23*DS293+DT24*DS293+DT25*DS293+DT26*DS293+DU5*DS293+DU6*DS293+DU7*DS293+DU8*DS293+DU9*DS293+DU10*DS293+DU11*DS293+DU12*DS293+DU13*DS293+DU14*DS293+DU15*DS293+DU16*DS293+DU17*DS293+DU18*DS293+DU19*DS293+DU20*DS293+DU21*DS293+DU22*DS293+DU23*DS293+DU24*DS293+DU25*DS293+DU26*DS293+DV5*DS293+DV6*DS293+DV7*DS293+DV8*DS293+DV9*DS293+DV10*DV11+DS293*DV12*DS293+DV13*DS293+DV14*DS293+DV15*DS293+DV16*DS293+DV17*DS293+DV18*DS293+DV19*DS293+DV20*DS293+DV21*DS293+DV22*DS293+DV23*DS293+DV24*DS293+DV25*DS293+DV26*DS293</f>
        <v>0</v>
      </c>
      <c r="DU293" s="5"/>
      <c r="DV293" s="5"/>
      <c r="DX293" s="5">
        <v>5</v>
      </c>
      <c r="DY293" s="5">
        <f>DY5*DX293+DY6*DX293+DY7*DX293+DY8*DX293+DY9*DX293+DY10*DX293+DY11*DX293+DY12*DX293+DY13*DX293+DY14*DX293+DY15*DX293+DY16*DX293+DY17*DX293+DY18*DX293+DY19*DX293+DY20*DX293+DY21*DX293+DY22*DX293+DY23*DX293+DY24*DX293+DY25*DX293+DY26*DX293+DZ5*DX293+DZ6*DX293+DZ7*DX293+DZ8*DX293+DZ9*DX293+DZ10*DX293+DZ11*DX293+DZ12*DX293+DZ13*DX293+DZ14*DX293+DZ15*DX293+DZ16*DX293+DZ17*DX293+DZ18*DX293+DZ19*DX293+DZ20*DX293+DZ21*DX293+DZ22*DX293+DZ23*DX293+DZ24*DX293+DZ25*DX293+DZ26*DX293+EA5*DX293+EA6*DX293+EA7*DX293+EA8*DX293+EA9*DX293+EA10*EA11+DX293*EA12*DX293+EA13*DX293+EA14*DX293+EA15*DX293+EA16*DX293+EA17*DX293+EA18*DX293+EA19*DX293+EA20*DX293+EA21*DX293+EA22*DX293+EA23*DX293+EA24*DX293+EA25*DX293+EA26*DX293</f>
        <v>0</v>
      </c>
      <c r="DZ293" s="5"/>
      <c r="EA293" s="5"/>
      <c r="EC293" s="5">
        <v>5</v>
      </c>
      <c r="ED293" s="5">
        <f>ED5*EC293+ED6*EC293+ED7*EC293+ED8*EC293+ED9*EC293+ED10*EC293+ED11*EC293+ED12*EC293+ED13*EC293+ED14*EC293+ED15*EC293+ED16*EC293+ED17*EC293+ED18*EC293+ED19*EC293+ED20*EC293+ED21*EC293+ED22*EC293+ED23*EC293+ED24*EC293+ED25*EC293+ED26*EC293+EE5*EC293+EE6*EC293+EE7*EC293+EE8*EC293+EE9*EC293+EE10*EC293+EE11*EC293+EE12*EC293+EE13*EC293+EE14*EC293+EE15*EC293+EE16*EC293+EE17*EC293+EE18*EC293+EE19*EC293+EE20*EC293+EE21*EC293+EE22*EC293+EE23*EC293+EE24*EC293+EE25*EC293+EE26*EC293+EF5*EC293+EF6*EC293+EF7*EC293+EF8*EC293+EF9*EC293+EF10*EF11+EC293*EF12*EC293+EF13*EC293+EF14*EC293+EF15*EC293+EF16*EC293+EF17*EC293+EF18*EC293+EF19*EC293+EF20*EC293+EF21*EC293+EF22*EC293+EF23*EC293+EF24*EC293+EF25*EC293+EF26*EC293</f>
        <v>0</v>
      </c>
      <c r="EE293" s="5"/>
      <c r="EF293" s="5"/>
      <c r="EH293" s="5">
        <v>5</v>
      </c>
      <c r="EI293" s="5">
        <f>EI5*EH293+EI6*EH293+EI7*EH293+EI8*EH293+EI9*EH293+EI10*EH293+EI11*EH293+EI12*EH293+EI13*EH293+EI14*EH293+EI15*EH293+EI16*EH293+EI17*EH293+EI18*EH293+EI19*EH293+EI20*EH293+EI21*EH293+EI22*EH293+EI23*EH293+EI24*EH293+EI25*EH293+EI26*EH293+EJ5*EH293+EJ6*EH293+EJ7*EH293+EJ8*EH293+EJ9*EH293+EJ10*EH293+EJ11*EH293+EJ12*EH293+EJ13*EH293+EJ14*EH293+EJ15*EH293+EJ16*EH293+EJ17*EH293+EJ18*EH293+EJ19*EH293+EJ20*EH293+EJ21*EH293+EJ22*EH293+EJ23*EH293+EJ24*EH293+EJ25*EH293+EJ26*EH293+EK5*EH293+EK6*EH293+EK7*EH293+EK8*EH293+EK9*EH293+EK10*EK11+EH293*EK12*EH293+EK13*EH293+EK14*EH293+EK15*EH293+EK16*EH293+EK17*EH293+EK18*EH293+EK19*EH293+EK20*EH293+EK21*EH293+EK22*EH293+EK23*EH293+EK24*EH293+EK25*EH293+EK26*EH293</f>
        <v>0</v>
      </c>
      <c r="EJ293" s="5"/>
      <c r="EK293" s="5"/>
      <c r="EX293" s="659">
        <f t="shared" si="2"/>
        <v>0</v>
      </c>
    </row>
    <row r="294" spans="1:154" s="6" customFormat="1" ht="15" customHeight="1">
      <c r="A294" s="3" t="s">
        <v>19</v>
      </c>
      <c r="B294" s="210" t="s">
        <v>19</v>
      </c>
      <c r="C294" s="473" t="s">
        <v>515</v>
      </c>
      <c r="D294" s="138"/>
      <c r="E294" s="5"/>
      <c r="I294" s="4"/>
      <c r="J294" s="4"/>
      <c r="K294" s="4"/>
      <c r="L294" s="4"/>
      <c r="M294" s="658">
        <v>6</v>
      </c>
      <c r="N294" s="658">
        <f>SUM(N5:N26,O5:O26,P5:P26)*M294</f>
        <v>0</v>
      </c>
      <c r="O294" s="4"/>
      <c r="P294" s="4"/>
      <c r="Q294" s="4"/>
      <c r="R294" s="5"/>
      <c r="S294" s="5"/>
      <c r="U294" s="5"/>
      <c r="W294" s="5"/>
      <c r="X294" s="5"/>
      <c r="Y294" s="5"/>
      <c r="Z294" s="5"/>
      <c r="AB294" s="5"/>
      <c r="AC294" s="5"/>
      <c r="AD294" s="5"/>
      <c r="AE294" s="5"/>
      <c r="AG294" s="5">
        <v>3</v>
      </c>
      <c r="AH294" s="5">
        <f>AI5*AG294+AI6*AG294+AI7*AG294+AI8*AG294+AI9*AG294+AI10*AG294+AI11*AG294+AI12*AG294+AI13*AG294+AI14*AG294+AI15*AG294+AI16*AG294+AI17*AG294+AI18*AG294+AI19*AG294+AI20*AG294+AI21*AG294+AI22*AG294+AI23*AG294+AI24*AG294+AI25*AG294+AI26*AG294+AJ5*AG294+AJ6*AG294+AJ7*AG294+AJ8*AG294+AJ9*AG294+AJ10*AG294+AJ11*AG294+AJ12*AG294+AJ13*AG294+AJ14*AG294+AJ15*AG294+AJ16*AG294+AJ17*AG294+AJ18*AG294+AJ19*AG294+AJ20*AG294+AJ21*AG294+AJ22*AG294+AJ23*AG294+AJ24*AG294+AJ25*AG294+AJ26*AG294+AH5*AG294+AH6*AG294+AH7*AG294+AH8*AG294+AH9*AG294+AH10*AG294+AH11*AG294+AH12*AG294+AH13*AG294+AH14*AG294+AH15*AG294+AH16*AG294+AH17*AG294+AH18*AG294+AH19*AG294+AH20*AG294+AH21*AG294+AH22*AG294+AH23*AG294+AH24*AG294+AH25*AG294+AH26*AG294</f>
        <v>0</v>
      </c>
      <c r="AI294" s="5"/>
      <c r="AJ294" s="5"/>
      <c r="AL294" s="5">
        <v>6</v>
      </c>
      <c r="AM294" s="5">
        <f>AN5*AL294+AN6*AL294+AN7*AL294+AN8*AL294+AN9*AL294+AN10*AL294+AN11*AL294+AN12*AL294+AN13*AL294+AN14*AL294+AN15*AL294+AN16*AL294+AN17*AL294+AN18*AL294+AN19*AL294+AN20*AL294+AN21*AL294+AN22*AL294+AN23*AL294+AN24*AL294+AN25*AL294+AN26*AL294+AO5*AL294+AO6*AL294+AO7*AL294+AO8*AL294+AO9*AL294+AO10*AL294+AO11*AL294+AO12*AL294+AO13*AL294+AO14*AL294+AO15*AL294+AO16*AL294+AO17*AL294+AO18*AL294+AO19*AL294+AO20*AL294+AO21*AL294+AO22*AL294+AO23*AL294+AO24*AL294+AO25*AL294+AO26*AL294+AM5*AL294+AM6*AL294+AM7*AL294+AM8*AL294+AM9*AL294+AM10*AL294+AM11*AL294+AM12*AL294+AM13*AL294+AM14*AL294+AM15*AL294+AM16*AL294+AM17*AL294+AM18*AL294+AM19*AL294+AM20*AL294+AM21*AL294+AM22*AL294+AM23*AL294+AM24*AL294+AM25*AL294+AM26*AL294</f>
        <v>0</v>
      </c>
      <c r="AN294" s="5"/>
      <c r="AO294" s="5"/>
      <c r="AQ294" s="5">
        <v>6</v>
      </c>
      <c r="AR294" s="5">
        <f>SUM(AR5:AT26)*AQ294</f>
        <v>0</v>
      </c>
      <c r="AS294" s="5"/>
      <c r="AT294" s="5"/>
      <c r="BD294" s="5"/>
      <c r="BF294" s="5">
        <v>3</v>
      </c>
      <c r="BG294" s="5">
        <f>SUM(BG5:BG26,BH5:BH26,BI5:BI26)*BF294</f>
        <v>0</v>
      </c>
      <c r="BH294" s="5"/>
      <c r="BI294" s="5"/>
      <c r="BK294" s="6">
        <v>3</v>
      </c>
      <c r="BL294" s="6">
        <f>SUM(BL5:BL26,BM5:BM26,BN5:BN26)*BK294</f>
        <v>0</v>
      </c>
      <c r="BM294" s="5"/>
      <c r="BN294" s="5"/>
      <c r="BP294" s="5">
        <v>3</v>
      </c>
      <c r="BQ294" s="6">
        <f>SUM(BQ5:BQ26,BR5:BR26,BS5:BS26)*BP294</f>
        <v>0</v>
      </c>
      <c r="BR294" s="5"/>
      <c r="BS294" s="5"/>
      <c r="BU294" s="5">
        <v>3</v>
      </c>
      <c r="BV294" s="5">
        <f>SUM(BV5:BV26,BW5:BW26,BX5:BX26)*BU294</f>
        <v>0</v>
      </c>
      <c r="BW294" s="5"/>
      <c r="BX294" s="5"/>
      <c r="BZ294" s="5">
        <v>6</v>
      </c>
      <c r="CA294" s="5">
        <f>SUM(CA5:CA26,CB5:CB26,CC5:CC26)*BZ294</f>
        <v>0</v>
      </c>
      <c r="CB294" s="5"/>
      <c r="CC294" s="5"/>
      <c r="CE294" s="5">
        <v>6</v>
      </c>
      <c r="CF294" s="5">
        <f>SUM(CF5:CF26,CG5:CG26,CH5:CH26)*CE294</f>
        <v>0</v>
      </c>
      <c r="CG294" s="5"/>
      <c r="CH294" s="5"/>
      <c r="CJ294" s="6">
        <v>3</v>
      </c>
      <c r="CK294" s="6">
        <f>CL5*CJ294+CL6*CJ294+CL7*CJ294+CL8*CJ294+CL9*CJ294+CL10*CJ294+CL11*CJ294+CL12*CJ294+CL13*CJ294+CL14*CJ294+CL15*CJ294+CL16*CJ294+CL17*CJ294+CL18*CJ294+CL19*CJ294+CL20*CJ294+CL21*CJ294+CL22*CJ294+CL23*CJ294+CL24*CJ294+CL25*CJ294+CL26*CJ294+CM5*CJ294+CM6*CJ294+CM7*CJ294+CM8*CJ294+CM9*CJ294+CM10*CJ294+CM11*CJ294+CM12*CJ294+CM13*CJ294+CM14*CJ294+CM15*CJ294+CM16*CJ294+CM17*CJ294+CM18*CJ294+CM19*CJ294+CM20*CJ294+CM21*CJ294+CM22*CJ294+CM23*CJ294+CM24*CJ294+CM25*CJ294+CM26*CJ294+CK5*CJ294+CK6*CJ294+CK7*CJ294+CK8*CJ294+CK9*CJ294+CK10*CJ294+CK11*CJ294+CK12*CJ294+CK13*CJ294+CK14*CJ294+CK15*CJ294+CK16*CJ294+CK17*CJ294+CK18*CJ294+CK19*CJ294+CK20*CJ294+CK21*CJ294+CK22*CJ294+CK23*CJ294+CK24*CJ294+CK25*CJ294+CK26*CJ294</f>
        <v>0</v>
      </c>
      <c r="CO294" s="13">
        <v>6</v>
      </c>
      <c r="CP294" s="5">
        <f>SUM(CP5:CR26)*CO294</f>
        <v>0</v>
      </c>
      <c r="CQ294" s="5"/>
      <c r="CR294" s="5"/>
      <c r="CT294" s="5">
        <v>6</v>
      </c>
      <c r="CU294" s="5">
        <f>SUM(CU5:CU26,CV5:CV26,CW5:CW26)*CT294</f>
        <v>0</v>
      </c>
      <c r="CV294" s="5"/>
      <c r="CW294" s="5"/>
      <c r="CY294" s="5">
        <v>6</v>
      </c>
      <c r="CZ294" s="5">
        <f>SUM(CZ5:CZ26,DA5:DA26,DB5:DB26)*CY294</f>
        <v>0</v>
      </c>
      <c r="DA294" s="5"/>
      <c r="DB294" s="5"/>
      <c r="DD294" s="5">
        <v>6</v>
      </c>
      <c r="DE294" s="5">
        <f>SUM(DE5:DE26,DF5:DF26,DG5:DG26)*DD294</f>
        <v>0</v>
      </c>
      <c r="DF294" s="5"/>
      <c r="DG294" s="5"/>
      <c r="DI294" s="5"/>
      <c r="DJ294" s="5">
        <f>DK5*DI294+DK6*DI294+DK7*DI294+DK8*DI294+DK9*DI294+DK10*DI294+DK11*DI294+DK12*DI294+DK13*DI294+DK14*DI294+DK15*DI294+DK16*DI294+DK17*DI294+DK18*DI294+DK19*DI294+DK20*DI294+DK21*DI294+DK22*DI294+DK23*DI294+DK24*DI294+DK25*DI294+DK26*DI294+DL5*DI294+DL6*DI294+DL7*DI294+DL8*DI294+DL9*DI294+DL10*DI294+DL11*DI294+DL12*DI294+DL13*DI294+DL14*DI294+DL15*DI294+DL16*DI294+DL17*DI294+DL18*DI294+DL19*DI294+DL20*DI294+DL21*DI294+DL22*DI294+DL23*DI294+DL24*DI294+DL25*DI294+DL26*DI294+DJ5*DI294+DJ6*DI294+DJ7*DI294+DJ8*DI294+DJ9*DI294+DJ10*DI294+DJ11*DI294+DJ12*DI294+DJ13*DI294+DJ14*DI294+DJ15*DI294+DJ16*DI294+DJ17*DI294+DJ18*DI294+DJ19*DI294+DJ20*DI294+DJ21*DI294+DJ22*DI294+DJ23*DI294+DJ24*DI294+DJ25*DI294+DJ26*DI294</f>
        <v>0</v>
      </c>
      <c r="DK294" s="5"/>
      <c r="DL294" s="5"/>
      <c r="DN294" s="5"/>
      <c r="DO294" s="5">
        <f>DP5*DN294+DP6*DN294+DP7*DN294+DP8*DN294+DP9*DN294+DP10*DN294+DP11*DN294+DP12*DN294+DP13*DN294+DP14*DN294+DP15*DN294+DP16*DN294+DP17*DN294+DP18*DN294+DP19*DN294+DP20*DN294+DP21*DN294+DP22*DN294+DP23*DN294+DP24*DN294+DP25*DN294+DP26*DN294+DQ5*DN294+DQ6*DN294+DQ7*DN294+DQ8*DN294+DQ9*DN294+DQ10*DN294+DQ11*DN294+DQ12*DN294+DQ13*DN294+DQ14*DN294+DQ15*DN294+DQ16*DN294+DQ17*DN294+DQ18*DN294+DQ19*DN294+DQ20*DN294+DQ21*DN294+DQ22*DN294+DQ23*DN294+DQ24*DN294+DQ25*DN294+DQ26*DN294+DO5*DN294+DO6*DN294+DO7*DN294+DO8*DN294+DO9*DN294+DO10*DN294+DO11*DN294+DO12*DN294+DO13*DN294+DO14*DN294+DO15*DN294+DO16*DN294+DO17*DN294+DO18*DN294+DO19*DN294+DO20*DN294+DO21*DN294+DO22*DN294+DO23*DN294+DO24*DN294+DO25*DN294+DO26*DN294</f>
        <v>0</v>
      </c>
      <c r="DP294" s="5"/>
      <c r="DQ294" s="5"/>
      <c r="DS294" s="5">
        <v>3</v>
      </c>
      <c r="DT294" s="5">
        <f>DU5*DS294+DU6*DS294+DU7*DS294+DU8*DS294+DU9*DS294+DU10*DS294+DU11*DS294+DU12*DS294+DU13*DS294+DU14*DS294+DU15*DS294+DU16*DS294+DU17*DS294+DU18*DS294+DU19*DS294+DU20*DS294+DU21*DS294+DU22*DS294+DU23*DS294+DU24*DS294+DU25*DS294+DU26*DS294+DV5*DS294+DV6*DS294+DV7*DS294+DV8*DS294+DV9*DS294+DV10*DS294+DV11*DS294+DV12*DS294+DV13*DS294+DV14*DS294+DV15*DS294+DV16*DS294+DV17*DS294+DV18*DS294+DV19*DS294+DV20*DS294+DV21*DS294+DV22*DS294+DV23*DS294+DV24*DS294+DV25*DS294+DV26*DS294+DT5*DS294+DT6*DS294+DT7*DS294+DT8*DS294+DT9*DS294+DT10*DS294+DT11*DS294+DT12*DS294+DT13*DS294+DT14*DS294+DT15*DS294+DT16*DS294+DT17*DS294+DT18*DS294+DT19*DS294+DT20*DS294+DT21*DS294+DT22*DS294+DT23*DS294+DT24*DS294+DT25*DS294+DT26*DS294</f>
        <v>0</v>
      </c>
      <c r="DU294" s="5"/>
      <c r="DV294" s="5"/>
      <c r="DX294" s="5">
        <v>3</v>
      </c>
      <c r="DY294" s="5">
        <f>DZ5*DX294+DZ6*DX294+DZ7*DX294+DZ8*DX294+DZ9*DX294+DZ10*DX294+DZ11*DX294+DZ12*DX294+DZ13*DX294+DZ14*DX294+DZ15*DX294+DZ16*DX294+DZ17*DX294+DZ18*DX294+DZ19*DX294+DZ20*DX294+DZ21*DX294+DZ22*DX294+DZ23*DX294+DZ24*DX294+DZ25*DX294+DZ26*DX294+EA5*DX294+EA6*DX294+EA7*DX294+EA8*DX294+EA9*DX294+EA10*DX294+EA11*DX294+EA12*DX294+EA13*DX294+EA14*DX294+EA15*DX294+EA16*DX294+EA17*DX294+EA18*DX294+EA19*DX294+EA20*DX294+EA21*DX294+EA22*DX294+EA23*DX294+EA24*DX294+EA25*DX294+EA26*DX294+DY5*DX294+DY6*DX294+DY7*DX294+DY8*DX294+DY9*DX294+DY10*DX294+DY11*DX294+DY12*DX294+DY13*DX294+DY14*DX294+DY15*DX294+DY16*DX294+DY17*DX294+DY18*DX294+DY19*DX294+DY20*DX294+DY21*DX294+DY22*DX294+DY23*DX294+DY24*DX294+DY25*DX294+DY26*DX294</f>
        <v>0</v>
      </c>
      <c r="DZ294" s="5"/>
      <c r="EA294" s="5"/>
      <c r="EC294" s="5">
        <v>6</v>
      </c>
      <c r="ED294" s="5">
        <f>EE5*EC294+EE6*EC294+EE7*EC294+EE8*EC294+EE9*EC294+EE10*EC294+EE11*EC294+EE12*EC294+EE13*EC294+EE14*EC294+EE15*EC294+EE16*EC294+EE17*EC294+EE18*EC294+EE19*EC294+EE20*EC294+EE21*EC294+EE22*EC294+EE23*EC294+EE24*EC294+EE25*EC294+EE26*EC294+EF5*EC294+EF6*EC294+EF7*EC294+EF8*EC294+EF9*EC294+EF10*EC294+EF11*EC294+EF12*EC294+EF13*EC294+EF14*EC294+EF15*EC294+EF16*EC294+EF17*EC294+EF18*EC294+EF19*EC294+EF20*EC294+EF21*EC294+EF22*EC294+EF23*EC294+EF24*EC294+EF25*EC294+EF26*EC294+ED5*EC294+ED6*EC294+ED7*EC294+ED8*EC294+ED9*EC294+ED10*EC294+ED11*EC294+ED12*EC294+ED13*EC294+ED14*EC294+ED15*EC294+ED16*EC294+ED17*EC294+ED18*EC294+ED19*EC294+ED20*EC294+ED21*EC294+ED22*EC294+ED23*EC294+ED24*EC294+ED25*EC294+ED26*EC294</f>
        <v>0</v>
      </c>
      <c r="EE294" s="5"/>
      <c r="EF294" s="5"/>
      <c r="EH294" s="5">
        <v>6</v>
      </c>
      <c r="EI294" s="5">
        <f>EJ5*EH294+EJ6*EH294+EJ7*EH294+EJ8*EH294+EJ9*EH294+EJ10*EH294+EJ11*EH294+EJ12*EH294+EJ13*EH294+EJ14*EH294+EJ15*EH294+EJ16*EH294+EJ17*EH294+EJ18*EH294+EJ19*EH294+EJ20*EH294+EJ21*EH294+EJ22*EH294+EJ23*EH294+EJ24*EH294+EJ25*EH294+EJ26*EH294+EK5*EH294+EK6*EH294+EK7*EH294+EK8*EH294+EK9*EH294+EK10*EH294+EK11*EH294+EK12*EH294+EK13*EH294+EK14*EH294+EK15*EH294+EK16*EH294+EK17*EH294+EK18*EH294+EK19*EH294+EK20*EH294+EK21*EH294+EK22*EH294+EK23*EH294+EK24*EH294+EK25*EH294+EK26*EH294+EI5*EH294+EI6*EH294+EI7*EH294+EI8*EH294+EI9*EH294+EI10*EH294+EI11*EH294+EI12*EH294+EI13*EH294+EI14*EH294+EI15*EH294+EI16*EH294+EI17*EH294+EI18*EH294+EI19*EH294+EI20*EH294+EI21*EH294+EI22*EH294+EI23*EH294+EI24*EH294+EI25*EH294+EI26*EH294</f>
        <v>0</v>
      </c>
      <c r="EJ294" s="5"/>
      <c r="EK294" s="5"/>
      <c r="EX294" s="659">
        <f t="shared" si="2"/>
        <v>0</v>
      </c>
    </row>
    <row r="295" spans="1:154" s="6" customFormat="1" ht="15" customHeight="1">
      <c r="A295" s="3" t="s">
        <v>342</v>
      </c>
      <c r="B295" s="210" t="s">
        <v>1204</v>
      </c>
      <c r="C295" s="473" t="s">
        <v>515</v>
      </c>
      <c r="D295" s="138"/>
      <c r="E295" s="5"/>
      <c r="F295" s="5"/>
      <c r="G295" s="5"/>
      <c r="H295" s="5"/>
      <c r="I295" s="4"/>
      <c r="J295" s="4"/>
      <c r="K295" s="4"/>
      <c r="L295" s="4"/>
      <c r="M295" s="4"/>
      <c r="N295" s="4"/>
      <c r="O295" s="4"/>
      <c r="P295" s="4"/>
      <c r="Q295" s="4"/>
      <c r="R295" s="5"/>
      <c r="S295" s="5"/>
      <c r="U295" s="5"/>
      <c r="W295" s="5"/>
      <c r="X295" s="5"/>
      <c r="Y295" s="5"/>
      <c r="Z295" s="5"/>
      <c r="AB295" s="5"/>
      <c r="AC295" s="5"/>
      <c r="AD295" s="5"/>
      <c r="AE295" s="5"/>
      <c r="AG295" s="5"/>
      <c r="AH295" s="5"/>
      <c r="AI295" s="5"/>
      <c r="AJ295" s="5"/>
      <c r="AL295" s="5"/>
      <c r="AM295" s="5"/>
      <c r="AN295" s="5"/>
      <c r="AO295" s="5"/>
      <c r="AQ295" s="5"/>
      <c r="AR295" s="5"/>
      <c r="AS295" s="5"/>
      <c r="AT295" s="5"/>
      <c r="BD295" s="5"/>
      <c r="BF295" s="5"/>
      <c r="BG295" s="5"/>
      <c r="BH295" s="5"/>
      <c r="BI295" s="5"/>
      <c r="BM295" s="5"/>
      <c r="BN295" s="5"/>
      <c r="BP295" s="5"/>
      <c r="BQ295" s="5"/>
      <c r="BR295" s="5"/>
      <c r="BS295" s="5"/>
      <c r="BU295" s="5"/>
      <c r="BV295" s="5"/>
      <c r="BW295" s="5"/>
      <c r="BX295" s="5"/>
      <c r="BZ295" s="5"/>
      <c r="CA295" s="5"/>
      <c r="CB295" s="5"/>
      <c r="CC295" s="5"/>
      <c r="CE295" s="5"/>
      <c r="CF295" s="5"/>
      <c r="CG295" s="5"/>
      <c r="CH295" s="5"/>
      <c r="CO295" s="13"/>
      <c r="CP295" s="5"/>
      <c r="CQ295" s="5"/>
      <c r="CR295" s="5"/>
      <c r="CT295" s="5"/>
      <c r="CU295" s="5"/>
      <c r="CV295" s="5"/>
      <c r="CW295" s="5"/>
      <c r="CY295" s="5"/>
      <c r="CZ295" s="5"/>
      <c r="DA295" s="5"/>
      <c r="DB295" s="5"/>
      <c r="DD295" s="5"/>
      <c r="DE295" s="5"/>
      <c r="DF295" s="5"/>
      <c r="DG295" s="5"/>
      <c r="DI295" s="5"/>
      <c r="DJ295" s="5"/>
      <c r="DK295" s="5"/>
      <c r="DL295" s="5"/>
      <c r="DN295" s="5"/>
      <c r="DO295" s="5"/>
      <c r="DP295" s="5"/>
      <c r="DQ295" s="5"/>
      <c r="DS295" s="5"/>
      <c r="DT295" s="5"/>
      <c r="DU295" s="5"/>
      <c r="DV295" s="5"/>
      <c r="DX295" s="5"/>
      <c r="DY295" s="5"/>
      <c r="DZ295" s="5"/>
      <c r="EA295" s="5"/>
      <c r="EC295" s="5"/>
      <c r="ED295" s="5"/>
      <c r="EE295" s="5"/>
      <c r="EF295" s="5"/>
      <c r="EH295" s="5"/>
      <c r="EI295" s="5"/>
      <c r="EJ295" s="5"/>
      <c r="EK295" s="5"/>
      <c r="EN295" s="6">
        <f>IF(SUM('BT-SI'!BA5:BA26,'BT-SI'!BB5:BB26,'BT-SI'!BC5:BC26,'BT-SI'!BF5:BF26,'BT-SI'!BG5:BG26,'BT-SI'!BH5:BH26,'BT-SI'!BI5:BI26)&gt;=1,0,SUM(EN5:EO5)*1)</f>
        <v>0</v>
      </c>
      <c r="EX295" s="659">
        <f t="shared" si="2"/>
        <v>0</v>
      </c>
    </row>
    <row r="296" spans="1:154" s="6" customFormat="1" ht="15" customHeight="1">
      <c r="A296" s="3" t="s">
        <v>343</v>
      </c>
      <c r="B296" s="210" t="s">
        <v>1205</v>
      </c>
      <c r="C296" s="473" t="s">
        <v>515</v>
      </c>
      <c r="D296" s="138"/>
      <c r="E296" s="5"/>
      <c r="F296" s="5"/>
      <c r="G296" s="5"/>
      <c r="H296" s="5"/>
      <c r="I296" s="4"/>
      <c r="J296" s="4"/>
      <c r="K296" s="4"/>
      <c r="L296" s="4"/>
      <c r="M296" s="4"/>
      <c r="N296" s="4"/>
      <c r="O296" s="4"/>
      <c r="P296" s="4"/>
      <c r="Q296" s="4"/>
      <c r="R296" s="5"/>
      <c r="S296" s="5"/>
      <c r="U296" s="5"/>
      <c r="W296" s="5"/>
      <c r="X296" s="5"/>
      <c r="Y296" s="5"/>
      <c r="Z296" s="5"/>
      <c r="AB296" s="5"/>
      <c r="AC296" s="5"/>
      <c r="AD296" s="5"/>
      <c r="AE296" s="5"/>
      <c r="AG296" s="5"/>
      <c r="AH296" s="5"/>
      <c r="AI296" s="5"/>
      <c r="AJ296" s="5"/>
      <c r="AL296" s="5"/>
      <c r="AM296" s="5"/>
      <c r="AN296" s="5"/>
      <c r="AO296" s="5"/>
      <c r="AQ296" s="5"/>
      <c r="AR296" s="5"/>
      <c r="AS296" s="5"/>
      <c r="AT296" s="5"/>
      <c r="BD296" s="5"/>
      <c r="BF296" s="5"/>
      <c r="BG296" s="5"/>
      <c r="BH296" s="5"/>
      <c r="BI296" s="5"/>
      <c r="BM296" s="5"/>
      <c r="BN296" s="5"/>
      <c r="BP296" s="5"/>
      <c r="BQ296" s="5"/>
      <c r="BR296" s="5"/>
      <c r="BS296" s="5"/>
      <c r="BU296" s="5"/>
      <c r="BV296" s="5"/>
      <c r="BW296" s="5"/>
      <c r="BX296" s="5"/>
      <c r="BZ296" s="5"/>
      <c r="CA296" s="5"/>
      <c r="CB296" s="5"/>
      <c r="CC296" s="5"/>
      <c r="CE296" s="5"/>
      <c r="CF296" s="5"/>
      <c r="CG296" s="5"/>
      <c r="CH296" s="5"/>
      <c r="CO296" s="13"/>
      <c r="CP296" s="5"/>
      <c r="CQ296" s="5"/>
      <c r="CR296" s="5"/>
      <c r="CT296" s="5"/>
      <c r="CU296" s="5"/>
      <c r="CV296" s="5"/>
      <c r="CW296" s="5"/>
      <c r="CY296" s="5"/>
      <c r="CZ296" s="5"/>
      <c r="DA296" s="5"/>
      <c r="DB296" s="5"/>
      <c r="DD296" s="5"/>
      <c r="DE296" s="5"/>
      <c r="DF296" s="5"/>
      <c r="DG296" s="5"/>
      <c r="DI296" s="5"/>
      <c r="DJ296" s="5"/>
      <c r="DK296" s="5"/>
      <c r="DL296" s="5"/>
      <c r="DN296" s="5"/>
      <c r="DO296" s="5"/>
      <c r="DP296" s="5"/>
      <c r="DQ296" s="5"/>
      <c r="DS296" s="5"/>
      <c r="DT296" s="5"/>
      <c r="DU296" s="5"/>
      <c r="DV296" s="5"/>
      <c r="DX296" s="5"/>
      <c r="DY296" s="5"/>
      <c r="DZ296" s="5"/>
      <c r="EA296" s="5"/>
      <c r="EC296" s="5"/>
      <c r="ED296" s="5"/>
      <c r="EE296" s="5"/>
      <c r="EF296" s="5"/>
      <c r="EH296" s="5"/>
      <c r="EI296" s="5"/>
      <c r="EJ296" s="5"/>
      <c r="EK296" s="5"/>
      <c r="EN296" s="6">
        <f>IF(SUM('BT-SI'!BA5:BA26,'BT-SI'!BB5:BB26,'BT-SI'!BC5:BC26,'BT-SI'!BF5:BF26,'BT-SI'!BG5:BG26,'BT-SI'!BH5:BH26,'BT-SI'!BI5:BI26)&gt;=1,0,SUM(EN6:EO6)*1)</f>
        <v>0</v>
      </c>
      <c r="EX296" s="659">
        <f t="shared" si="2"/>
        <v>0</v>
      </c>
    </row>
    <row r="297" spans="1:154" s="6" customFormat="1" ht="15" customHeight="1">
      <c r="A297" s="3"/>
      <c r="B297" s="210" t="s">
        <v>1206</v>
      </c>
      <c r="C297" s="473" t="s">
        <v>515</v>
      </c>
      <c r="D297" s="138"/>
      <c r="E297" s="5"/>
      <c r="F297" s="5"/>
      <c r="G297" s="5"/>
      <c r="H297" s="5"/>
      <c r="I297" s="4"/>
      <c r="J297" s="4"/>
      <c r="K297" s="4"/>
      <c r="L297" s="4"/>
      <c r="M297" s="4"/>
      <c r="N297" s="4"/>
      <c r="O297" s="4"/>
      <c r="P297" s="4"/>
      <c r="Q297" s="4"/>
      <c r="R297" s="5"/>
      <c r="S297" s="5"/>
      <c r="U297" s="5"/>
      <c r="W297" s="5"/>
      <c r="X297" s="5"/>
      <c r="Y297" s="5"/>
      <c r="Z297" s="5"/>
      <c r="AB297" s="5"/>
      <c r="AC297" s="5"/>
      <c r="AD297" s="5"/>
      <c r="AE297" s="5"/>
      <c r="AG297" s="5"/>
      <c r="AH297" s="5"/>
      <c r="AI297" s="5"/>
      <c r="AJ297" s="5"/>
      <c r="AL297" s="5"/>
      <c r="AM297" s="5"/>
      <c r="AN297" s="5"/>
      <c r="AO297" s="5"/>
      <c r="AQ297" s="5"/>
      <c r="AR297" s="5"/>
      <c r="AS297" s="5"/>
      <c r="AT297" s="5"/>
      <c r="BD297" s="5"/>
      <c r="BF297" s="5"/>
      <c r="BG297" s="5"/>
      <c r="BH297" s="5"/>
      <c r="BI297" s="5"/>
      <c r="BM297" s="5"/>
      <c r="BN297" s="5"/>
      <c r="BP297" s="5"/>
      <c r="BQ297" s="5"/>
      <c r="BR297" s="5"/>
      <c r="BS297" s="5"/>
      <c r="BU297" s="5"/>
      <c r="BV297" s="5"/>
      <c r="BW297" s="5"/>
      <c r="BX297" s="5"/>
      <c r="BZ297" s="5"/>
      <c r="CA297" s="5"/>
      <c r="CB297" s="5"/>
      <c r="CC297" s="5"/>
      <c r="CE297" s="5"/>
      <c r="CF297" s="5"/>
      <c r="CG297" s="5"/>
      <c r="CH297" s="5"/>
      <c r="CO297" s="13"/>
      <c r="CP297" s="5"/>
      <c r="CQ297" s="5"/>
      <c r="CR297" s="5"/>
      <c r="CT297" s="5"/>
      <c r="CU297" s="5"/>
      <c r="CV297" s="5"/>
      <c r="CW297" s="5"/>
      <c r="CY297" s="5"/>
      <c r="CZ297" s="5"/>
      <c r="DA297" s="5"/>
      <c r="DB297" s="5"/>
      <c r="DD297" s="5"/>
      <c r="DE297" s="5"/>
      <c r="DF297" s="5"/>
      <c r="DG297" s="5"/>
      <c r="DI297" s="5"/>
      <c r="DJ297" s="5"/>
      <c r="DK297" s="5"/>
      <c r="DL297" s="5"/>
      <c r="DN297" s="5"/>
      <c r="DO297" s="5"/>
      <c r="DP297" s="5"/>
      <c r="DQ297" s="5"/>
      <c r="DS297" s="5"/>
      <c r="DT297" s="5"/>
      <c r="DU297" s="5"/>
      <c r="DV297" s="5"/>
      <c r="DX297" s="5"/>
      <c r="DY297" s="5"/>
      <c r="DZ297" s="5"/>
      <c r="EA297" s="5"/>
      <c r="EC297" s="5"/>
      <c r="ED297" s="5"/>
      <c r="EE297" s="5"/>
      <c r="EF297" s="5"/>
      <c r="EH297" s="5"/>
      <c r="EI297" s="5"/>
      <c r="EJ297" s="5"/>
      <c r="EK297" s="5"/>
      <c r="EN297" s="6">
        <f>IF(SUM('BT-SI'!BA5:BA26,'BT-SI'!BB5:BB26,'BT-SI'!BC5:BC26,'BT-SI'!BF5:BF26,'BT-SI'!BG5:BG26,'BT-SI'!BH5:BH26,'BT-SI'!BI5:BI26)&gt;=1,0,SUM(EP5:EQ5)*1)</f>
        <v>0</v>
      </c>
      <c r="EX297" s="659">
        <f t="shared" si="2"/>
        <v>0</v>
      </c>
    </row>
    <row r="298" spans="1:154" s="6" customFormat="1" ht="15" customHeight="1">
      <c r="A298" s="3"/>
      <c r="B298" s="210" t="s">
        <v>1207</v>
      </c>
      <c r="C298" s="473" t="s">
        <v>515</v>
      </c>
      <c r="D298" s="138"/>
      <c r="E298" s="5"/>
      <c r="F298" s="5"/>
      <c r="G298" s="5"/>
      <c r="H298" s="5"/>
      <c r="I298" s="4"/>
      <c r="J298" s="4"/>
      <c r="K298" s="4"/>
      <c r="L298" s="4"/>
      <c r="M298" s="4"/>
      <c r="N298" s="4"/>
      <c r="O298" s="4"/>
      <c r="P298" s="4"/>
      <c r="Q298" s="4"/>
      <c r="R298" s="5"/>
      <c r="S298" s="5"/>
      <c r="U298" s="5"/>
      <c r="W298" s="5"/>
      <c r="X298" s="5"/>
      <c r="Y298" s="5"/>
      <c r="Z298" s="5"/>
      <c r="AB298" s="5"/>
      <c r="AC298" s="5"/>
      <c r="AD298" s="5"/>
      <c r="AE298" s="5"/>
      <c r="AG298" s="5"/>
      <c r="AH298" s="5"/>
      <c r="AI298" s="5"/>
      <c r="AJ298" s="5"/>
      <c r="AL298" s="5"/>
      <c r="AM298" s="5"/>
      <c r="AN298" s="5"/>
      <c r="AO298" s="5"/>
      <c r="AQ298" s="5"/>
      <c r="AR298" s="5"/>
      <c r="AS298" s="5"/>
      <c r="AT298" s="5"/>
      <c r="BD298" s="5"/>
      <c r="BF298" s="5"/>
      <c r="BG298" s="5"/>
      <c r="BH298" s="5"/>
      <c r="BI298" s="5"/>
      <c r="BM298" s="5"/>
      <c r="BN298" s="5"/>
      <c r="BP298" s="5"/>
      <c r="BQ298" s="5"/>
      <c r="BR298" s="5"/>
      <c r="BS298" s="5"/>
      <c r="BU298" s="5"/>
      <c r="BV298" s="5"/>
      <c r="BW298" s="5"/>
      <c r="BX298" s="5"/>
      <c r="BZ298" s="5"/>
      <c r="CA298" s="5"/>
      <c r="CB298" s="5"/>
      <c r="CC298" s="5"/>
      <c r="CE298" s="5"/>
      <c r="CF298" s="5"/>
      <c r="CG298" s="5"/>
      <c r="CH298" s="5"/>
      <c r="CO298" s="13"/>
      <c r="CP298" s="5"/>
      <c r="CQ298" s="5"/>
      <c r="CR298" s="5"/>
      <c r="CT298" s="5"/>
      <c r="CU298" s="5"/>
      <c r="CV298" s="5"/>
      <c r="CW298" s="5"/>
      <c r="CY298" s="5"/>
      <c r="CZ298" s="5"/>
      <c r="DA298" s="5"/>
      <c r="DB298" s="5"/>
      <c r="DD298" s="5"/>
      <c r="DE298" s="5"/>
      <c r="DF298" s="5"/>
      <c r="DG298" s="5"/>
      <c r="DI298" s="5"/>
      <c r="DJ298" s="5"/>
      <c r="DK298" s="5"/>
      <c r="DL298" s="5"/>
      <c r="DN298" s="5"/>
      <c r="DO298" s="5"/>
      <c r="DP298" s="5"/>
      <c r="DQ298" s="5"/>
      <c r="DS298" s="5"/>
      <c r="DT298" s="5"/>
      <c r="DU298" s="5"/>
      <c r="DV298" s="5"/>
      <c r="DX298" s="5"/>
      <c r="DY298" s="5"/>
      <c r="DZ298" s="5"/>
      <c r="EA298" s="5"/>
      <c r="EC298" s="5"/>
      <c r="ED298" s="5"/>
      <c r="EE298" s="5"/>
      <c r="EF298" s="5"/>
      <c r="EH298" s="5"/>
      <c r="EI298" s="5"/>
      <c r="EJ298" s="5"/>
      <c r="EK298" s="5"/>
      <c r="EN298" s="6">
        <f>IF(SUM('BT-SI'!BA5:BA26,'BT-SI'!BB5:BB26,'BT-SI'!BC5:BC26,'BT-SI'!BF5:BF26,'BT-SI'!BG5:BG26,'BT-SI'!BH5:BH26,'BT-SI'!BI5:BI26)&gt;=1,0,SUM(EP6:EQ6)*1)</f>
        <v>0</v>
      </c>
      <c r="EX298" s="659">
        <f t="shared" si="2"/>
        <v>0</v>
      </c>
    </row>
    <row r="299" spans="1:154" s="6" customFormat="1" ht="15" customHeight="1">
      <c r="A299" s="3"/>
      <c r="B299" s="210" t="s">
        <v>1209</v>
      </c>
      <c r="C299" s="473" t="s">
        <v>515</v>
      </c>
      <c r="D299" s="138"/>
      <c r="E299" s="5"/>
      <c r="F299" s="5"/>
      <c r="G299" s="5"/>
      <c r="H299" s="5"/>
      <c r="I299" s="4"/>
      <c r="J299" s="473"/>
      <c r="K299" s="473"/>
      <c r="L299" s="4"/>
      <c r="M299" s="4"/>
      <c r="N299" s="4"/>
      <c r="O299" s="4"/>
      <c r="P299" s="4"/>
      <c r="Q299" s="4"/>
      <c r="R299" s="5"/>
      <c r="S299" s="5"/>
      <c r="U299" s="5"/>
      <c r="W299" s="5"/>
      <c r="X299" s="5"/>
      <c r="Y299" s="5"/>
      <c r="Z299" s="5"/>
      <c r="AB299" s="5"/>
      <c r="AC299" s="5"/>
      <c r="AD299" s="5"/>
      <c r="AE299" s="5"/>
      <c r="AG299" s="5"/>
      <c r="AH299" s="5"/>
      <c r="AI299" s="5"/>
      <c r="AJ299" s="5"/>
      <c r="AL299" s="5"/>
      <c r="AM299" s="5"/>
      <c r="AN299" s="5"/>
      <c r="AO299" s="5"/>
      <c r="AQ299" s="5"/>
      <c r="AR299" s="5"/>
      <c r="AS299" s="5"/>
      <c r="AT299" s="5"/>
      <c r="BD299" s="5"/>
      <c r="BF299" s="5"/>
      <c r="BG299" s="5"/>
      <c r="BH299" s="5"/>
      <c r="BI299" s="5"/>
      <c r="BM299" s="5"/>
      <c r="BN299" s="5"/>
      <c r="BP299" s="5"/>
      <c r="BQ299" s="5"/>
      <c r="BR299" s="5"/>
      <c r="BS299" s="5"/>
      <c r="BU299" s="5"/>
      <c r="BV299" s="5"/>
      <c r="BW299" s="5"/>
      <c r="BX299" s="5"/>
      <c r="BZ299" s="5"/>
      <c r="CA299" s="5"/>
      <c r="CB299" s="5"/>
      <c r="CC299" s="5"/>
      <c r="CE299" s="5"/>
      <c r="CF299" s="5"/>
      <c r="CG299" s="5"/>
      <c r="CH299" s="5"/>
      <c r="CO299" s="13"/>
      <c r="CP299" s="5"/>
      <c r="CQ299" s="5"/>
      <c r="CR299" s="5"/>
      <c r="CT299" s="5"/>
      <c r="CU299" s="5"/>
      <c r="CV299" s="5"/>
      <c r="CW299" s="5"/>
      <c r="CY299" s="5"/>
      <c r="CZ299" s="5"/>
      <c r="DA299" s="5"/>
      <c r="DB299" s="5"/>
      <c r="DD299" s="5"/>
      <c r="DE299" s="5"/>
      <c r="DF299" s="5"/>
      <c r="DG299" s="5"/>
      <c r="DI299" s="5"/>
      <c r="DJ299" s="5"/>
      <c r="DK299" s="5"/>
      <c r="DL299" s="5"/>
      <c r="DN299" s="5"/>
      <c r="DO299" s="5"/>
      <c r="DP299" s="5"/>
      <c r="DQ299" s="5"/>
      <c r="DS299" s="5"/>
      <c r="DT299" s="5"/>
      <c r="DU299" s="5"/>
      <c r="DV299" s="5"/>
      <c r="DX299" s="5"/>
      <c r="DY299" s="5"/>
      <c r="DZ299" s="5"/>
      <c r="EA299" s="5"/>
      <c r="EC299" s="5"/>
      <c r="ED299" s="5"/>
      <c r="EE299" s="5"/>
      <c r="EF299" s="5"/>
      <c r="EH299" s="5"/>
      <c r="EI299" s="5"/>
      <c r="EJ299" s="5"/>
      <c r="EK299" s="5"/>
      <c r="EN299" s="6">
        <f>IF(SUM(EV7:EW7,'BT-SI'!BA5:BA26,'BT-SI'!BB5:BB26,'BT-SI'!BC5:BC26,'BT-SI'!BF5:BF26,'BT-SI'!BG5:BG26,'BT-SI'!BH5:BH26,'BT-SI'!BI5:BI26)&gt;=1,0,SUM(EV6:EW6)*1)</f>
        <v>0</v>
      </c>
      <c r="EX299" s="659">
        <f t="shared" si="2"/>
        <v>0</v>
      </c>
    </row>
    <row r="300" spans="1:154" s="6" customFormat="1" ht="15" customHeight="1">
      <c r="A300" s="3"/>
      <c r="B300" s="210" t="s">
        <v>1208</v>
      </c>
      <c r="C300" s="473" t="s">
        <v>515</v>
      </c>
      <c r="D300" s="138"/>
      <c r="E300" s="5"/>
      <c r="F300" s="5"/>
      <c r="G300" s="5"/>
      <c r="H300" s="5"/>
      <c r="I300" s="4"/>
      <c r="J300" s="473"/>
      <c r="K300" s="473"/>
      <c r="L300" s="4"/>
      <c r="M300" s="4"/>
      <c r="N300" s="4"/>
      <c r="O300" s="4"/>
      <c r="P300" s="4"/>
      <c r="Q300" s="4"/>
      <c r="R300" s="5"/>
      <c r="S300" s="5"/>
      <c r="U300" s="5"/>
      <c r="W300" s="5"/>
      <c r="X300" s="5"/>
      <c r="Y300" s="5"/>
      <c r="Z300" s="5"/>
      <c r="AB300" s="5"/>
      <c r="AC300" s="5"/>
      <c r="AD300" s="5"/>
      <c r="AE300" s="5"/>
      <c r="AG300" s="5"/>
      <c r="AH300" s="5"/>
      <c r="AI300" s="5"/>
      <c r="AJ300" s="5"/>
      <c r="AL300" s="5"/>
      <c r="AM300" s="5"/>
      <c r="AN300" s="5"/>
      <c r="AO300" s="5"/>
      <c r="AQ300" s="5"/>
      <c r="AR300" s="5"/>
      <c r="AS300" s="5"/>
      <c r="AT300" s="5"/>
      <c r="BD300" s="5"/>
      <c r="BF300" s="5"/>
      <c r="BG300" s="5"/>
      <c r="BH300" s="5"/>
      <c r="BI300" s="5"/>
      <c r="BM300" s="5"/>
      <c r="BN300" s="5"/>
      <c r="BP300" s="5"/>
      <c r="BQ300" s="5"/>
      <c r="BR300" s="5"/>
      <c r="BS300" s="5"/>
      <c r="BU300" s="5"/>
      <c r="BV300" s="5"/>
      <c r="BW300" s="5"/>
      <c r="BX300" s="5"/>
      <c r="BZ300" s="5"/>
      <c r="CA300" s="5"/>
      <c r="CB300" s="5"/>
      <c r="CC300" s="5"/>
      <c r="CE300" s="5"/>
      <c r="CF300" s="5"/>
      <c r="CG300" s="5"/>
      <c r="CH300" s="5"/>
      <c r="CO300" s="13"/>
      <c r="CP300" s="5"/>
      <c r="CQ300" s="5"/>
      <c r="CR300" s="5"/>
      <c r="CT300" s="5"/>
      <c r="CU300" s="5"/>
      <c r="CV300" s="5"/>
      <c r="CW300" s="5"/>
      <c r="CY300" s="5"/>
      <c r="CZ300" s="5"/>
      <c r="DA300" s="5"/>
      <c r="DB300" s="5"/>
      <c r="DD300" s="5"/>
      <c r="DE300" s="5"/>
      <c r="DF300" s="5"/>
      <c r="DG300" s="5"/>
      <c r="DI300" s="5"/>
      <c r="DJ300" s="5"/>
      <c r="DK300" s="5"/>
      <c r="DL300" s="5"/>
      <c r="DN300" s="5"/>
      <c r="DO300" s="5"/>
      <c r="DP300" s="5"/>
      <c r="DQ300" s="5"/>
      <c r="DS300" s="5"/>
      <c r="DT300" s="5"/>
      <c r="DU300" s="5"/>
      <c r="DV300" s="5"/>
      <c r="DX300" s="5"/>
      <c r="DY300" s="5"/>
      <c r="DZ300" s="5"/>
      <c r="EA300" s="5"/>
      <c r="EC300" s="5"/>
      <c r="ED300" s="5"/>
      <c r="EE300" s="5"/>
      <c r="EF300" s="5"/>
      <c r="EH300" s="5"/>
      <c r="EI300" s="5"/>
      <c r="EJ300" s="5"/>
      <c r="EK300" s="5"/>
      <c r="EN300" s="6">
        <f>IF(SUM(ET7:EU7,'BT-SI'!BA5:BA26,'BT-SI'!BB5:BB26,'BT-SI'!BC5:BC26,'BT-SI'!BF5:BF26,'BT-SI'!BG5:BG26,'BT-SI'!BH5:BH26,'BT-SI'!BI5:BI26)&gt;=1,0,SUM(ET6:EU6)*1)</f>
        <v>0</v>
      </c>
      <c r="EX300" s="659">
        <f t="shared" si="2"/>
        <v>0</v>
      </c>
    </row>
    <row r="301" spans="1:154" s="6" customFormat="1" ht="15" customHeight="1">
      <c r="A301" s="3" t="s">
        <v>20</v>
      </c>
      <c r="B301" s="210" t="s">
        <v>20</v>
      </c>
      <c r="C301" s="473" t="s">
        <v>515</v>
      </c>
      <c r="D301" s="138"/>
      <c r="E301" s="5"/>
      <c r="I301" s="4"/>
      <c r="J301" s="4"/>
      <c r="K301" s="4"/>
      <c r="L301" s="4"/>
      <c r="M301" s="658">
        <v>10</v>
      </c>
      <c r="N301" s="658">
        <f>SUM(N5:N26,O5:O26,P5:P26)*M301</f>
        <v>0</v>
      </c>
      <c r="O301" s="4"/>
      <c r="P301" s="4"/>
      <c r="Q301" s="4"/>
      <c r="R301" s="5"/>
      <c r="S301" s="5"/>
      <c r="U301" s="5"/>
      <c r="W301" s="5"/>
      <c r="X301" s="5"/>
      <c r="Y301" s="5"/>
      <c r="Z301" s="5"/>
      <c r="AB301" s="5"/>
      <c r="AC301" s="5"/>
      <c r="AD301" s="5"/>
      <c r="AE301" s="5"/>
      <c r="AG301" s="5">
        <v>3</v>
      </c>
      <c r="AH301" s="5">
        <f>AH6*AG301+AH7*AG301+AH8*AG301+AH9*AG301+AH10*AG301+AH11*AG301+AH12*AG301+AH13*AG301+AH14*AG301+AH15*AG301+AH16*AG301+AH17*AG301+AH18*AG301+AH19*AG301+AH20*AG301+AH21*AG301+AH22*AG301+AH23*AG301+AH24*AG301+AH25*AG301+AH26*AG301+AH5*AG301+AI6*AG301+AI7*AG301+AI8*AG301+AI9*AG301+AI10*AG301+AI11*AG301+AI12*AG301+AI13*AG301+AI14*AG301+AI15*AG301+AI16*AG301+AI17*AG301+AI18*AG301+AI19*AG301+AI20*AG301+AI21*AG301+AI22*AG301+AI23*AG301+AI24*AG301+AI26*AG301+AI25*AG301+AI5*AG301+AJ6*AG301+AJ7*AG301+AJ8*AG301+AJ9*AG301+AJ10*AG301+AJ11*AG301+AJ12*AG301+AJ13*AG301+AJ14*AG301+AJ15*AG301+AJ16*AG301+AJ17*AG301+AJ18*AG301+AJ19*AG301+AJ20*AG301+AJ21*AG301+AJ22*AG301+AJ23*AG301+AJ24*AG301+AJ26*AG301+AJ25*AG301+AJ5*AG301</f>
        <v>0</v>
      </c>
      <c r="AI301" s="5"/>
      <c r="AJ301" s="5"/>
      <c r="AL301" s="5">
        <v>6</v>
      </c>
      <c r="AM301" s="5">
        <f>AM6*AL301+AM7*AL301+AM8*AL301+AM9*AL301+AM10*AL301+AM11*AL301+AM12*AL301+AM13*AL301+AM14*AL301+AM15*AL301+AM16*AL301+AM17*AL301+AM18*AL301+AM19*AL301+AM20*AL301+AM21*AL301+AM22*AL301+AM23*AL301+AM24*AL301+AM25*AL301+AM26*AL301+AM5*AL301+AN6*AL301+AN7*AL301+AN8*AL301+AN9*AL301+AN10*AL301+AN11*AL301+AN12*AL301+AN13*AL301+AN14*AL301+AN15*AL301+AN16*AL301+AN17*AL301+AN18*AL301+AN19*AL301+AN20*AL301+AN21*AL301+AN22*AL301+AN23*AL301+AN24*AL301+AN26*AL301+AN25*AL301+AN5*AL301+AO6*AL301+AO7*AL301+AO8*AL301+AO9*AL301+AO10*AL301+AO11*AL301+AO12*AL301+AO13*AL301+AO14*AL301+AO15*AL301+AO16*AL301+AO17*AL301+AO18*AL301+AO19*AL301+AO20*AL301+AO21*AL301+AO22*AL301+AO23*AL301+AO24*AL301+AO26*AL301+AO25*AL301+AO5*AL301</f>
        <v>0</v>
      </c>
      <c r="AN301" s="5"/>
      <c r="AO301" s="5"/>
      <c r="AQ301" s="5">
        <v>6</v>
      </c>
      <c r="AR301" s="5">
        <f>SUM(AR5:AT26)*AQ301</f>
        <v>0</v>
      </c>
      <c r="AS301" s="5"/>
      <c r="AT301" s="5"/>
      <c r="BD301" s="5"/>
      <c r="BF301" s="5">
        <v>3</v>
      </c>
      <c r="BG301" s="5">
        <f>SUM(BG5:BG26,BH5:BH26,BI5:BI26)*BF301</f>
        <v>0</v>
      </c>
      <c r="BH301" s="5"/>
      <c r="BI301" s="5"/>
      <c r="BK301" s="6">
        <v>3</v>
      </c>
      <c r="BL301" s="6">
        <f>SUM(BL5:BL26,BM5:BM26,BN5:BN26)*BK301</f>
        <v>0</v>
      </c>
      <c r="BM301" s="5"/>
      <c r="BN301" s="5"/>
      <c r="BP301" s="5">
        <v>3</v>
      </c>
      <c r="BQ301" s="6">
        <f>SUM(BQ5:BQ26,BR5:BR26,BS5:BS26)*BP301</f>
        <v>0</v>
      </c>
      <c r="BR301" s="5"/>
      <c r="BS301" s="5"/>
      <c r="BU301" s="5"/>
      <c r="BV301" s="5"/>
      <c r="BW301" s="5"/>
      <c r="BX301" s="5"/>
      <c r="BZ301" s="5">
        <v>6</v>
      </c>
      <c r="CA301" s="5">
        <f>SUM(CA5:CA26,CB5:CB26,CC5:CC26)*BZ301</f>
        <v>0</v>
      </c>
      <c r="CB301" s="5"/>
      <c r="CC301" s="5"/>
      <c r="CE301" s="5">
        <v>6</v>
      </c>
      <c r="CF301" s="5">
        <f>SUM(CF5:CF26,CG5:CG26,CH5:CH26)*CE301</f>
        <v>0</v>
      </c>
      <c r="CG301" s="5"/>
      <c r="CH301" s="5"/>
      <c r="CJ301" s="6">
        <v>3</v>
      </c>
      <c r="CK301" s="6">
        <f>CK6*CJ301+CK7*CJ301+CK8*CJ301+CK9*CJ301+CK10*CJ301+CK11*CJ301+CK12*CJ301+CK13*CJ301+CK14*CJ301+CK15*CJ301+CK16*CJ301+CK17*CJ301+CK18*CJ301+CK19*CJ301+CK20*CJ301+CK21*CJ301+CK22*CJ301+CK23*CJ301+CK24*CJ301+CK25*CJ301+CK26*CJ301+CK5*CJ301+CL6*CJ301+CL7*CJ301+CL8*CJ301+CL9*CJ301+CL10*CJ301+CL11*CJ301+CL12*CJ301+CL13*CJ301+CL14*CJ301+CL15*CJ301+CL16*CJ301+CL17*CJ301+CL18*CJ301+CL19*CJ301+CL20*CJ301+CL21*CJ301+CL22*CJ301+CL23*CJ301+CL24*CJ301+CL26*CJ301+CL25*CJ301+CL5*CJ301+CM6*CJ301+CM7*CJ301+CM8*CJ301+CM9*CJ301+CM10*CJ301+CM11*CJ301+CM12*CJ301+CM13*CJ301+CM14*CJ301+CM15*CJ301+CM16*CJ301+CM17*CJ301+CM18*CJ301+CM19*CJ301+CM20*CJ301+CM21*CJ301+CM22*CJ301+CM23*CJ301+CM24*CJ301+CM26*CJ301+CM25*CJ301+CM5*CJ301</f>
        <v>0</v>
      </c>
      <c r="CO301" s="13">
        <v>6</v>
      </c>
      <c r="CP301" s="5">
        <f>CP6*CO301+CP7*CO301+CP8*CO301+CP9*CO301+CP10*CO301+CP11*CO301+CP12*CO301+CP13*CO301+CP14*CO301+CP15*CO301+CP16*CO301+CP17*CO301+CP18*CO301+CP19*CO301+CP20*CO301+CP21*CO301+CP22*CO301+CP23*CO301+CP24*CO301+CP25*CO301+CP26*CO301+CP5*CO301+CQ6*CO301+CQ7*CO301+CQ8*CO301+CQ9*CO301+CQ10*CO301+CQ11*CO301+CQ12*CO301+CQ13*CO301+CQ14*CO301+CQ15*CO301+CQ16*CO301+CQ17*CO301+CQ18*CO301+CQ19*CO301+CQ20*CO301+CQ21*CO301+CQ22*CO301+CQ23*CO301+CQ24*CO301+CQ26*CO301+CQ25*CO301+CQ5*CO301+CR6*CO301+CR7*CO301+CR8*CO301+CR9*CO301+CR10*CO301+CR11*CO301+CR12*CO301+CR13*CO301+CR14*CO301+CR15*CO301+CR16*CO301+CR17*CO301+CR18*CO301+CR19*CO301+CR20*CO301+CR21*CO301+CR22*CO301+CR23*CO301+CR24*CO301+CR26*CO301+CR25*CO301+CR5*CO301</f>
        <v>0</v>
      </c>
      <c r="CQ301" s="5"/>
      <c r="CR301" s="5"/>
      <c r="CT301" s="5">
        <v>6</v>
      </c>
      <c r="CU301" s="5">
        <f>CU6*CT301+CU7*CT301+CU8*CT301+CU9*CT301+CU10*CT301+CU11*CT301+CU12*CT301+CU13*CT301+CU14*CT301+CU15*CT301+CU16*CT301+CU17*CT301+CU18*CT301+CU19*CT301+CU20*CT301+CU21*CT301+CU22*CT301+CU23*CT301+CU24*CT301+CU25*CT301+CU26*CT301+CU5*CT301+CV6*CT301+CV7*CT301+CV8*CT301+CV9*CT301+CV10*CT301+CV11*CT301+CV12*CT301+CV13*CT301+CV14*CT301+CV15*CT301+CV16*CT301+CV17*CT301+CV18*CT301+CV19*CT301+CV20*CT301+CV21*CT301+CV22*CT301+CV23*CT301+CV24*CT301+CV26*CT301+CV25*CT301+CV5*CT301+CW6*CT301+CW7*CT301+CW8*CT301+CW9*CT301+CW10*CT301+CW11*CT301+CW12*CT301+CW13*CT301+CW14*CT301+CW15*CT301+CW16*CT301+CW17*CT301+CW18*CT301+CW19*CT301+CW20*CT301+CW21*CT301+CW22*CT301+CW23*CT301+CW24*CT301+CW26*CT301+CW25*CT301+CW5*CT301</f>
        <v>0</v>
      </c>
      <c r="CV301" s="5"/>
      <c r="CW301" s="5"/>
      <c r="CY301" s="5"/>
      <c r="CZ301" s="5"/>
      <c r="DA301" s="5"/>
      <c r="DB301" s="5"/>
      <c r="DD301" s="5">
        <v>6</v>
      </c>
      <c r="DE301" s="5">
        <f>DE6*DD301+DE7*DD301+DE8*DD301+DE9*DD301+DE10*DD301+DE11*DD301+DE12*DD301+DE13*DD301+DE14*DD301+DE15*DD301+DE16*DD301+DE17*DD301+DE18*DD301+DE19*DD301+DE20*DD301+DE21*DD301+DE22*DD301+DE23*DD301+DE24*DD301+DE25*DD301+DE26*DD301+DE5*DD301+DF6*DD301+DF7*DD301+DF8*DD301+DF9*DD301+DF10*DD301+DF11*DD301+DF12*DD301+DF13*DD301+DF14*DD301+DF15*DD301+DF16*DD301+DF17*DD301+DF18*DD301+DF19*DD301+DF20*DD301+DF21*DD301+DF22*DD301+DF23*DD301+DF24*DD301+DF26*DD301+DF25*DD301+DF5*DD301+DG6*DD301+DG7*DD301+DG8*DD301+DG9*DD301+DG10*DD301+DG11*DD301+DG12*DD301+DG13*DD301+DG14*DD301+DG15*DD301+DG16*DD301+DG17*DD301+DG18*DD301+DG19*DD301+DG20*DD301+DG21*DD301+DG22*DD301+DG23*DD301+DG24*DD301+DG26*DD301+DG25*DD301+DG5*DD301</f>
        <v>0</v>
      </c>
      <c r="DF301" s="5"/>
      <c r="DG301" s="5"/>
      <c r="DI301" s="5"/>
      <c r="DJ301" s="5">
        <f>DJ6*DI301+DJ7*DI301+DJ8*DI301+DJ9*DI301+DJ10*DI301+DJ11*DI301+DJ12*DI301+DJ13*DI301+DJ14*DI301+DJ15*DI301+DJ16*DI301+DJ17*DI301+DJ18*DI301+DJ19*DI301+DJ20*DI301+DJ21*DI301+DJ22*DI301+DJ23*DI301+DJ24*DI301+DJ25*DI301+DJ26*DI301+DJ5*DI301+DK6*DI301+DK7*DI301+DK8*DI301+DK9*DI301+DK10*DI301+DK11*DI301+DK12*DI301+DK13*DI301+DK14*DI301+DK15*DI301+DK16*DI301+DK17*DI301+DK18*DI301+DK19*DI301+DK20*DI301+DK21*DI301+DK22*DI301+DK23*DI301+DK24*DI301+DK26*DI301+DK25*DI301+DK5*DI301+DL6*DI301+DL7*DI301+DL8*DI301+DL9*DI301+DL10*DI301+DL11*DI301+DL12*DI301+DL13*DI301+DL14*DI301+DL15*DI301+DL16*DI301+DL17*DI301+DL18*DI301+DL19*DI301+DL20*DI301+DL21*DI301+DL22*DI301+DL23*DI301+DL24*DI301+DL26*DI301+DL25*DI301+DL5*DI301</f>
        <v>0</v>
      </c>
      <c r="DK301" s="5"/>
      <c r="DL301" s="5"/>
      <c r="DN301" s="5"/>
      <c r="DO301" s="5">
        <f>DO6*DN301+DO7*DN301+DO8*DN301+DO9*DN301+DO10*DN301+DO11*DN301+DO12*DN301+DO13*DN301+DO14*DN301+DO15*DN301+DO16*DN301+DO17*DN301+DO18*DN301+DO19*DN301+DO20*DN301+DO21*DN301+DO22*DN301+DO23*DN301+DO24*DN301+DO25*DN301+DO26*DN301+DO5*DN301+DP6*DN301+DP7*DN301+DP8*DN301+DP9*DN301+DP10*DN301+DP11*DN301+DP12*DN301+DP13*DN301+DP14*DN301+DP15*DN301+DP16*DN301+DP17*DN301+DP18*DN301+DP19*DN301+DP20*DN301+DP21*DN301+DP22*DN301+DP23*DN301+DP24*DN301+DP26*DN301+DP25*DN301+DP5*DN301+DQ6*DN301+DQ7*DN301+DQ8*DN301+DQ9*DN301+DQ10*DN301+DQ11*DN301+DQ12*DN301+DQ13*DN301+DQ14*DN301+DQ15*DN301+DQ16*DN301+DQ17*DN301+DQ18*DN301+DQ19*DN301+DQ20*DN301+DQ21*DN301+DQ22*DN301+DQ23*DN301+DQ24*DN301+DQ26*DN301+DQ25*DN301+DQ5*DN301</f>
        <v>0</v>
      </c>
      <c r="DP301" s="5"/>
      <c r="DQ301" s="5"/>
      <c r="DS301" s="5">
        <v>3</v>
      </c>
      <c r="DT301" s="5">
        <f>DT6*DS301+DT7*DS301+DT8*DS301+DT9*DS301+DT10*DS301+DT11*DS301+DT12*DS301+DT13*DS301+DT14*DS301+DT15*DS301+DT16*DS301+DT17*DS301+DT18*DS301+DT19*DS301+DT20*DS301+DT21*DS301+DT22*DS301+DT23*DS301+DT24*DS301+DT25*DS301+DT26*DS301+DT5*DS301+DU6*DS301+DU7*DS301+DU8*DS301+DU9*DS301+DU10*DS301+DU11*DS301+DU12*DS301+DU13*DS301+DU14*DS301+DU15*DS301+DU16*DS301+DU17*DS301+DU18*DS301+DU19*DS301+DU20*DS301+DU21*DS301+DU22*DS301+DU23*DS301+DU24*DS301+DU26*DS301+DU25*DS301+DU5*DS301+DV6*DS301+DV7*DS301+DV8*DS301+DV9*DS301+DV10*DS301+DV11*DS301+DV12*DS301+DV13*DS301+DV14*DS301+DV15*DS301+DV16*DS301+DV17*DS301+DV18*DS301+DV19*DS301+DV20*DS301+DV21*DS301+DV22*DS301+DV23*DS301+DV24*DS301+DV26*DS301+DV25*DS301+DV5*DS301</f>
        <v>0</v>
      </c>
      <c r="DU301" s="5"/>
      <c r="DV301" s="5"/>
      <c r="DX301" s="5">
        <v>3</v>
      </c>
      <c r="DY301" s="5">
        <f>DY6*DX301+DY7*DX301+DY8*DX301+DY9*DX301+DY10*DX301+DY11*DX301+DY12*DX301+DY13*DX301+DY14*DX301+DY15*DX301+DY16*DX301+DY17*DX301+DY18*DX301+DY19*DX301+DY20*DX301+DY21*DX301+DY22*DX301+DY23*DX301+DY24*DX301+DY25*DX301+DY26*DX301+DY5*DX301+DZ6*DX301+DZ7*DX301+DZ8*DX301+DZ9*DX301+DZ10*DX301+DZ11*DX301+DZ12*DX301+DZ13*DX301+DZ14*DX301+DZ15*DX301+DZ16*DX301+DZ17*DX301+DZ18*DX301+DZ19*DX301+DZ20*DX301+DZ21*DX301+DZ22*DX301+DZ23*DX301+DZ24*DX301+DZ26*DX301+DZ25*DX301+DZ5*DX301+EA6*DX301+EA7*DX301+EA8*DX301+EA9*DX301+EA10*DX301+EA11*DX301+EA12*DX301+EA13*DX301+EA14*DX301+EA15*DX301+EA16*DX301+EA17*DX301+EA18*DX301+EA19*DX301+EA20*DX301+EA21*DX301+EA22*DX301+EA23*DX301+EA24*DX301+EA26*DX301+EA25*DX301+EA5*DX301</f>
        <v>0</v>
      </c>
      <c r="DZ301" s="5"/>
      <c r="EA301" s="5"/>
      <c r="EC301" s="5">
        <v>6</v>
      </c>
      <c r="ED301" s="5">
        <f>ED6*EC301+ED7*EC301+ED8*EC301+ED9*EC301+ED10*EC301+ED11*EC301+ED12*EC301+ED13*EC301+ED14*EC301+ED15*EC301+ED16*EC301+ED17*EC301+ED18*EC301+ED19*EC301+ED20*EC301+ED21*EC301+ED22*EC301+ED23*EC301+ED24*EC301+ED25*EC301+ED26*EC301+ED5*EC301+EE6*EC301+EE7*EC301+EE8*EC301+EE9*EC301+EE10*EC301+EE11*EC301+EE12*EC301+EE13*EC301+EE14*EC301+EE15*EC301+EE16*EC301+EE17*EC301+EE18*EC301+EE19*EC301+EE20*EC301+EE21*EC301+EE22*EC301+EE23*EC301+EE24*EC301+EE26*EC301+EE25*EC301+EE5*EC301+EF6*EC301+EF7*EC301+EF8*EC301+EF9*EC301+EF10*EC301+EF11*EC301+EF12*EC301+EF13*EC301+EF14*EC301+EF15*EC301+EF16*EC301+EF17*EC301+EF18*EC301+EF19*EC301+EF20*EC301+EF21*EC301+EF22*EC301+EF23*EC301+EF24*EC301+EF26*EC301+EF25*EC301+EF5*EC301</f>
        <v>0</v>
      </c>
      <c r="EE301" s="5"/>
      <c r="EF301" s="5"/>
      <c r="EH301" s="5">
        <v>6</v>
      </c>
      <c r="EI301" s="5">
        <f>EI6*EH301+EI7*EH301+EI8*EH301+EI9*EH301+EI10*EH301+EI11*EH301+EI12*EH301+EI13*EH301+EI14*EH301+EI15*EH301+EI16*EH301+EI17*EH301+EI18*EH301+EI19*EH301+EI20*EH301+EI21*EH301+EI22*EH301+EI23*EH301+EI24*EH301+EI25*EH301+EI26*EH301+EI5*EH301+EJ6*EH301+EJ7*EH301+EJ8*EH301+EJ9*EH301+EJ10*EH301+EJ11*EH301+EJ12*EH301+EJ13*EH301+EJ14*EH301+EJ15*EH301+EJ16*EH301+EJ17*EH301+EJ18*EH301+EJ19*EH301+EJ20*EH301+EJ21*EH301+EJ22*EH301+EJ23*EH301+EJ24*EH301+EJ26*EH301+EJ25*EH301+EJ5*EH301+EK6*EH301+EK7*EH301+EK8*EH301+EK9*EH301+EK10*EH301+EK11*EH301+EK12*EH301+EK13*EH301+EK14*EH301+EK15*EH301+EK16*EH301+EK17*EH301+EK18*EH301+EK19*EH301+EK20*EH301+EK21*EH301+EK22*EH301+EK23*EH301+EK24*EH301+EK26*EH301+EK25*EH301+EK5*EH301</f>
        <v>0</v>
      </c>
      <c r="EJ301" s="5"/>
      <c r="EK301" s="5"/>
      <c r="EX301" s="659">
        <f t="shared" si="2"/>
        <v>0</v>
      </c>
    </row>
    <row r="302" spans="1:154" s="6" customFormat="1" ht="15.75" customHeight="1">
      <c r="A302" s="1" t="s">
        <v>21</v>
      </c>
      <c r="B302" s="118" t="s">
        <v>1497</v>
      </c>
      <c r="C302" s="4" t="s">
        <v>0</v>
      </c>
      <c r="D302" s="154"/>
      <c r="E302" s="5"/>
      <c r="F302" s="5"/>
      <c r="G302" s="5"/>
      <c r="H302" s="5"/>
      <c r="I302" s="2"/>
      <c r="J302" s="4"/>
      <c r="K302" s="4"/>
      <c r="L302" s="2"/>
      <c r="M302" s="2"/>
      <c r="N302" s="2"/>
      <c r="O302" s="2"/>
      <c r="P302" s="2"/>
      <c r="Q302" s="2"/>
      <c r="R302" s="5"/>
      <c r="S302" s="5"/>
      <c r="U302" s="5"/>
      <c r="W302" s="5"/>
      <c r="X302" s="5"/>
      <c r="Y302" s="5"/>
      <c r="Z302" s="5"/>
      <c r="AB302" s="5"/>
      <c r="AC302" s="5"/>
      <c r="AD302" s="5"/>
      <c r="AE302" s="5"/>
      <c r="AG302" s="5"/>
      <c r="AH302" s="5"/>
      <c r="AI302" s="5"/>
      <c r="AJ302" s="5"/>
      <c r="AL302" s="5"/>
      <c r="AM302" s="5"/>
      <c r="AN302" s="5"/>
      <c r="AO302" s="5"/>
      <c r="AQ302" s="5"/>
      <c r="AR302" s="5"/>
      <c r="AS302" s="5"/>
      <c r="AT302" s="5"/>
      <c r="BD302" s="5"/>
      <c r="BF302" s="5"/>
      <c r="BG302" s="5"/>
      <c r="BH302" s="5"/>
      <c r="BI302" s="5"/>
      <c r="BM302" s="5"/>
      <c r="BN302" s="5"/>
      <c r="BP302" s="5"/>
      <c r="BQ302" s="5"/>
      <c r="BR302" s="5"/>
      <c r="BS302" s="5"/>
      <c r="BU302" s="5"/>
      <c r="BV302" s="5"/>
      <c r="BW302" s="5"/>
      <c r="BX302" s="5"/>
      <c r="BZ302" s="5"/>
      <c r="CA302" s="5"/>
      <c r="CB302" s="5"/>
      <c r="CC302" s="5"/>
      <c r="CE302" s="5"/>
      <c r="CF302" s="5"/>
      <c r="CG302" s="5"/>
      <c r="CH302" s="5"/>
      <c r="CO302" s="13"/>
      <c r="CP302" s="5"/>
      <c r="CQ302" s="5"/>
      <c r="CR302" s="5"/>
      <c r="CT302" s="5"/>
      <c r="CU302" s="5"/>
      <c r="CV302" s="5"/>
      <c r="CW302" s="5"/>
      <c r="CY302" s="5"/>
      <c r="CZ302" s="5"/>
      <c r="DA302" s="5"/>
      <c r="DB302" s="5"/>
      <c r="DD302" s="5"/>
      <c r="DE302" s="5"/>
      <c r="DF302" s="5"/>
      <c r="DG302" s="5"/>
      <c r="DI302" s="5"/>
      <c r="DJ302" s="5"/>
      <c r="DK302" s="5"/>
      <c r="DL302" s="5"/>
      <c r="DN302" s="5"/>
      <c r="DO302" s="5"/>
      <c r="DP302" s="5"/>
      <c r="DQ302" s="5"/>
      <c r="DS302" s="5"/>
      <c r="DT302" s="5"/>
      <c r="DU302" s="5"/>
      <c r="DV302" s="5"/>
      <c r="DX302" s="5"/>
      <c r="DY302" s="5"/>
      <c r="DZ302" s="5"/>
      <c r="EA302" s="5"/>
      <c r="EC302" s="5"/>
      <c r="ED302" s="5"/>
      <c r="EE302" s="5"/>
      <c r="EF302" s="5"/>
      <c r="EH302" s="5"/>
      <c r="EI302" s="5"/>
      <c r="EJ302" s="5"/>
      <c r="EK302" s="5"/>
      <c r="EX302" s="659">
        <f t="shared" si="2"/>
        <v>0</v>
      </c>
    </row>
    <row r="303" spans="1:154" s="6" customFormat="1" ht="15.75" customHeight="1">
      <c r="A303" s="1" t="s">
        <v>22</v>
      </c>
      <c r="B303" s="118" t="s">
        <v>1498</v>
      </c>
      <c r="C303" s="4" t="s">
        <v>0</v>
      </c>
      <c r="D303" s="154"/>
      <c r="E303" s="5"/>
      <c r="F303" s="5"/>
      <c r="G303" s="5"/>
      <c r="H303" s="5"/>
      <c r="I303" s="2"/>
      <c r="J303" s="4"/>
      <c r="K303" s="4"/>
      <c r="L303" s="2"/>
      <c r="M303" s="2"/>
      <c r="N303" s="2"/>
      <c r="O303" s="2"/>
      <c r="P303" s="2"/>
      <c r="Q303" s="2"/>
      <c r="R303" s="5"/>
      <c r="S303" s="5"/>
      <c r="U303" s="5"/>
      <c r="W303" s="5"/>
      <c r="X303" s="5"/>
      <c r="Y303" s="5"/>
      <c r="Z303" s="5"/>
      <c r="AB303" s="5"/>
      <c r="AC303" s="5"/>
      <c r="AD303" s="5"/>
      <c r="AE303" s="5"/>
      <c r="AG303" s="5"/>
      <c r="AH303" s="5"/>
      <c r="AI303" s="5"/>
      <c r="AJ303" s="5"/>
      <c r="AL303" s="5"/>
      <c r="AM303" s="5"/>
      <c r="AN303" s="5"/>
      <c r="AO303" s="5"/>
      <c r="AQ303" s="5"/>
      <c r="AR303" s="5"/>
      <c r="AS303" s="5"/>
      <c r="AT303" s="5"/>
      <c r="BD303" s="5"/>
      <c r="BF303" s="5"/>
      <c r="BG303" s="5"/>
      <c r="BH303" s="5"/>
      <c r="BI303" s="5"/>
      <c r="BM303" s="5"/>
      <c r="BN303" s="5"/>
      <c r="BP303" s="5"/>
      <c r="BQ303" s="5"/>
      <c r="BR303" s="5"/>
      <c r="BS303" s="5"/>
      <c r="BU303" s="5"/>
      <c r="BV303" s="5"/>
      <c r="BW303" s="5"/>
      <c r="BX303" s="5"/>
      <c r="BZ303" s="5"/>
      <c r="CA303" s="5"/>
      <c r="CB303" s="5"/>
      <c r="CC303" s="5"/>
      <c r="CE303" s="5"/>
      <c r="CF303" s="5"/>
      <c r="CG303" s="5"/>
      <c r="CH303" s="5"/>
      <c r="CO303" s="13"/>
      <c r="CP303" s="5"/>
      <c r="CQ303" s="5"/>
      <c r="CR303" s="5"/>
      <c r="CT303" s="5"/>
      <c r="CU303" s="5"/>
      <c r="CV303" s="5"/>
      <c r="CW303" s="5"/>
      <c r="CY303" s="5"/>
      <c r="CZ303" s="5"/>
      <c r="DA303" s="5"/>
      <c r="DB303" s="5"/>
      <c r="DD303" s="5"/>
      <c r="DE303" s="5"/>
      <c r="DF303" s="5"/>
      <c r="DG303" s="5"/>
      <c r="DI303" s="5"/>
      <c r="DJ303" s="5"/>
      <c r="DK303" s="5"/>
      <c r="DL303" s="5"/>
      <c r="DN303" s="5"/>
      <c r="DO303" s="5"/>
      <c r="DP303" s="5"/>
      <c r="DQ303" s="5"/>
      <c r="DS303" s="5"/>
      <c r="DT303" s="5"/>
      <c r="DU303" s="5"/>
      <c r="DV303" s="5"/>
      <c r="DX303" s="5"/>
      <c r="DY303" s="5"/>
      <c r="DZ303" s="5"/>
      <c r="EA303" s="5"/>
      <c r="EC303" s="5"/>
      <c r="ED303" s="5"/>
      <c r="EE303" s="5"/>
      <c r="EF303" s="5"/>
      <c r="EH303" s="5"/>
      <c r="EI303" s="5"/>
      <c r="EJ303" s="5"/>
      <c r="EK303" s="5"/>
      <c r="EX303" s="659">
        <f t="shared" si="2"/>
        <v>0</v>
      </c>
    </row>
    <row r="304" spans="1:154" s="6" customFormat="1" ht="15.75" customHeight="1">
      <c r="A304" s="1" t="s">
        <v>23</v>
      </c>
      <c r="B304" s="118" t="s">
        <v>1499</v>
      </c>
      <c r="C304" s="4" t="s">
        <v>0</v>
      </c>
      <c r="D304" s="154"/>
      <c r="E304" s="5"/>
      <c r="F304" s="5"/>
      <c r="G304" s="5"/>
      <c r="H304" s="5"/>
      <c r="I304" s="2"/>
      <c r="J304" s="4"/>
      <c r="K304" s="4"/>
      <c r="L304" s="2"/>
      <c r="M304" s="2"/>
      <c r="N304" s="2"/>
      <c r="O304" s="2"/>
      <c r="P304" s="2"/>
      <c r="Q304" s="2"/>
      <c r="R304" s="5"/>
      <c r="S304" s="5"/>
      <c r="U304" s="5"/>
      <c r="W304" s="5"/>
      <c r="X304" s="5"/>
      <c r="Y304" s="5"/>
      <c r="Z304" s="5"/>
      <c r="AB304" s="5"/>
      <c r="AC304" s="5"/>
      <c r="AD304" s="5"/>
      <c r="AE304" s="5"/>
      <c r="AG304" s="5"/>
      <c r="AH304" s="5"/>
      <c r="AI304" s="5"/>
      <c r="AJ304" s="5"/>
      <c r="AL304" s="5"/>
      <c r="AM304" s="5"/>
      <c r="AN304" s="5"/>
      <c r="AO304" s="5"/>
      <c r="AQ304" s="5"/>
      <c r="AR304" s="5"/>
      <c r="AS304" s="5"/>
      <c r="AT304" s="5"/>
      <c r="BD304" s="5"/>
      <c r="BF304" s="5"/>
      <c r="BG304" s="5"/>
      <c r="BH304" s="5"/>
      <c r="BI304" s="5"/>
      <c r="BM304" s="5"/>
      <c r="BN304" s="5"/>
      <c r="BP304" s="5"/>
      <c r="BQ304" s="5"/>
      <c r="BR304" s="5"/>
      <c r="BS304" s="5"/>
      <c r="BU304" s="5"/>
      <c r="BV304" s="5"/>
      <c r="BW304" s="5"/>
      <c r="BX304" s="5"/>
      <c r="BZ304" s="5"/>
      <c r="CA304" s="5"/>
      <c r="CB304" s="5"/>
      <c r="CC304" s="5"/>
      <c r="CE304" s="5"/>
      <c r="CF304" s="5"/>
      <c r="CG304" s="5"/>
      <c r="CH304" s="5"/>
      <c r="CO304" s="13"/>
      <c r="CP304" s="5"/>
      <c r="CQ304" s="5"/>
      <c r="CR304" s="5"/>
      <c r="CT304" s="5"/>
      <c r="CU304" s="5"/>
      <c r="CV304" s="5"/>
      <c r="CW304" s="5"/>
      <c r="CY304" s="5"/>
      <c r="CZ304" s="5"/>
      <c r="DA304" s="5"/>
      <c r="DB304" s="5"/>
      <c r="DD304" s="5"/>
      <c r="DE304" s="5"/>
      <c r="DF304" s="5"/>
      <c r="DG304" s="5"/>
      <c r="DI304" s="5"/>
      <c r="DJ304" s="5"/>
      <c r="DK304" s="5"/>
      <c r="DL304" s="5"/>
      <c r="DN304" s="5"/>
      <c r="DO304" s="5"/>
      <c r="DP304" s="5"/>
      <c r="DQ304" s="5"/>
      <c r="DS304" s="5"/>
      <c r="DT304" s="5"/>
      <c r="DU304" s="5"/>
      <c r="DV304" s="5"/>
      <c r="DX304" s="5"/>
      <c r="DY304" s="5"/>
      <c r="DZ304" s="5"/>
      <c r="EA304" s="5"/>
      <c r="EC304" s="5"/>
      <c r="ED304" s="5"/>
      <c r="EE304" s="5"/>
      <c r="EF304" s="5"/>
      <c r="EH304" s="5"/>
      <c r="EI304" s="5"/>
      <c r="EJ304" s="5"/>
      <c r="EK304" s="5"/>
      <c r="EX304" s="659">
        <f t="shared" si="2"/>
        <v>0</v>
      </c>
    </row>
    <row r="305" spans="1:154" s="6" customFormat="1" ht="15.75" customHeight="1">
      <c r="A305" s="1" t="s">
        <v>24</v>
      </c>
      <c r="B305" s="118" t="s">
        <v>1501</v>
      </c>
      <c r="C305" s="4" t="s">
        <v>0</v>
      </c>
      <c r="D305" s="154"/>
      <c r="E305" s="5"/>
      <c r="F305" s="5"/>
      <c r="G305" s="5"/>
      <c r="H305" s="5"/>
      <c r="I305" s="2"/>
      <c r="J305" s="4"/>
      <c r="K305" s="4"/>
      <c r="L305" s="2"/>
      <c r="M305" s="2"/>
      <c r="N305" s="2"/>
      <c r="O305" s="2"/>
      <c r="P305" s="2"/>
      <c r="Q305" s="2"/>
      <c r="R305" s="5"/>
      <c r="S305" s="5"/>
      <c r="U305" s="5"/>
      <c r="W305" s="5"/>
      <c r="X305" s="5"/>
      <c r="Y305" s="5"/>
      <c r="Z305" s="5"/>
      <c r="AB305" s="5"/>
      <c r="AC305" s="5"/>
      <c r="AD305" s="5"/>
      <c r="AE305" s="5"/>
      <c r="AG305" s="5"/>
      <c r="AH305" s="5"/>
      <c r="AI305" s="5"/>
      <c r="AJ305" s="5"/>
      <c r="AL305" s="5"/>
      <c r="AM305" s="5"/>
      <c r="AN305" s="5"/>
      <c r="AO305" s="5"/>
      <c r="AQ305" s="5"/>
      <c r="AR305" s="5"/>
      <c r="AS305" s="5"/>
      <c r="AT305" s="5"/>
      <c r="BD305" s="5"/>
      <c r="BF305" s="5"/>
      <c r="BG305" s="5"/>
      <c r="BH305" s="5"/>
      <c r="BI305" s="5"/>
      <c r="BM305" s="5"/>
      <c r="BN305" s="5"/>
      <c r="BP305" s="5"/>
      <c r="BQ305" s="5"/>
      <c r="BR305" s="5"/>
      <c r="BS305" s="5"/>
      <c r="BU305" s="5"/>
      <c r="BV305" s="5"/>
      <c r="BW305" s="5"/>
      <c r="BX305" s="5"/>
      <c r="BZ305" s="5"/>
      <c r="CA305" s="5"/>
      <c r="CB305" s="5"/>
      <c r="CC305" s="5"/>
      <c r="CE305" s="5"/>
      <c r="CF305" s="5"/>
      <c r="CG305" s="5"/>
      <c r="CH305" s="5"/>
      <c r="CO305" s="13"/>
      <c r="CP305" s="5"/>
      <c r="CQ305" s="5"/>
      <c r="CR305" s="5"/>
      <c r="CT305" s="5"/>
      <c r="CU305" s="5"/>
      <c r="CV305" s="5"/>
      <c r="CW305" s="5"/>
      <c r="CY305" s="5"/>
      <c r="CZ305" s="5"/>
      <c r="DA305" s="5"/>
      <c r="DB305" s="5"/>
      <c r="DD305" s="5"/>
      <c r="DE305" s="5"/>
      <c r="DF305" s="5"/>
      <c r="DG305" s="5"/>
      <c r="DI305" s="5"/>
      <c r="DJ305" s="5"/>
      <c r="DK305" s="5"/>
      <c r="DL305" s="5"/>
      <c r="DN305" s="5"/>
      <c r="DO305" s="5"/>
      <c r="DP305" s="5"/>
      <c r="DQ305" s="5"/>
      <c r="DS305" s="5"/>
      <c r="DT305" s="5"/>
      <c r="DU305" s="5"/>
      <c r="DV305" s="5"/>
      <c r="DX305" s="5"/>
      <c r="DY305" s="5"/>
      <c r="DZ305" s="5"/>
      <c r="EA305" s="5"/>
      <c r="EC305" s="5"/>
      <c r="ED305" s="5"/>
      <c r="EE305" s="5"/>
      <c r="EF305" s="5"/>
      <c r="EH305" s="5"/>
      <c r="EI305" s="5"/>
      <c r="EJ305" s="5"/>
      <c r="EK305" s="5"/>
      <c r="EX305" s="659">
        <f t="shared" si="2"/>
        <v>0</v>
      </c>
    </row>
    <row r="306" spans="1:154" s="6" customFormat="1" ht="15.75" customHeight="1">
      <c r="A306" s="1"/>
      <c r="B306" s="118" t="s">
        <v>1494</v>
      </c>
      <c r="C306" s="4" t="s">
        <v>0</v>
      </c>
      <c r="D306" s="154"/>
      <c r="E306" s="5"/>
      <c r="F306" s="5"/>
      <c r="G306" s="5"/>
      <c r="H306" s="5"/>
      <c r="I306" s="2"/>
      <c r="J306" s="4"/>
      <c r="K306" s="4"/>
      <c r="L306" s="2"/>
      <c r="M306" s="2"/>
      <c r="N306" s="2"/>
      <c r="O306" s="2"/>
      <c r="P306" s="2"/>
      <c r="Q306" s="2"/>
      <c r="R306" s="5"/>
      <c r="S306" s="5"/>
      <c r="U306" s="5"/>
      <c r="W306" s="5"/>
      <c r="X306" s="5"/>
      <c r="Y306" s="5"/>
      <c r="Z306" s="5"/>
      <c r="AB306" s="5"/>
      <c r="AC306" s="5"/>
      <c r="AD306" s="5"/>
      <c r="AE306" s="5"/>
      <c r="AG306" s="5"/>
      <c r="AH306" s="5"/>
      <c r="AI306" s="5"/>
      <c r="AJ306" s="5"/>
      <c r="AL306" s="5"/>
      <c r="AM306" s="5"/>
      <c r="AN306" s="5"/>
      <c r="AO306" s="5"/>
      <c r="AQ306" s="5"/>
      <c r="AR306" s="5"/>
      <c r="AS306" s="5"/>
      <c r="AT306" s="5"/>
      <c r="BD306" s="5"/>
      <c r="BF306" s="5"/>
      <c r="BG306" s="5"/>
      <c r="BH306" s="5"/>
      <c r="BI306" s="5"/>
      <c r="BM306" s="5"/>
      <c r="BN306" s="5"/>
      <c r="BP306" s="5"/>
      <c r="BQ306" s="5"/>
      <c r="BR306" s="5"/>
      <c r="BS306" s="5"/>
      <c r="BU306" s="5"/>
      <c r="BV306" s="5"/>
      <c r="BW306" s="5"/>
      <c r="BX306" s="5"/>
      <c r="BZ306" s="5"/>
      <c r="CA306" s="5"/>
      <c r="CB306" s="5"/>
      <c r="CC306" s="5"/>
      <c r="CE306" s="5"/>
      <c r="CF306" s="5"/>
      <c r="CG306" s="5"/>
      <c r="CH306" s="5"/>
      <c r="CO306" s="13"/>
      <c r="CP306" s="5"/>
      <c r="CQ306" s="5"/>
      <c r="CR306" s="5"/>
      <c r="CT306" s="5"/>
      <c r="CU306" s="5"/>
      <c r="CV306" s="5"/>
      <c r="CW306" s="5"/>
      <c r="CY306" s="5"/>
      <c r="CZ306" s="5"/>
      <c r="DA306" s="5"/>
      <c r="DB306" s="5"/>
      <c r="DD306" s="5"/>
      <c r="DE306" s="5"/>
      <c r="DF306" s="5"/>
      <c r="DG306" s="5"/>
      <c r="DI306" s="5"/>
      <c r="DJ306" s="5"/>
      <c r="DK306" s="5"/>
      <c r="DL306" s="5"/>
      <c r="DN306" s="5"/>
      <c r="DO306" s="5"/>
      <c r="DP306" s="5"/>
      <c r="DQ306" s="5"/>
      <c r="DS306" s="5"/>
      <c r="DT306" s="5"/>
      <c r="DU306" s="5"/>
      <c r="DV306" s="5"/>
      <c r="DX306" s="5"/>
      <c r="DY306" s="5"/>
      <c r="DZ306" s="5"/>
      <c r="EA306" s="5"/>
      <c r="EC306" s="5"/>
      <c r="ED306" s="5"/>
      <c r="EE306" s="5"/>
      <c r="EF306" s="5"/>
      <c r="EH306" s="5"/>
      <c r="EI306" s="5"/>
      <c r="EJ306" s="5"/>
      <c r="EK306" s="5"/>
      <c r="EX306" s="659">
        <f t="shared" si="2"/>
        <v>0</v>
      </c>
    </row>
    <row r="307" spans="1:154" s="6" customFormat="1" ht="15.75" customHeight="1">
      <c r="A307" s="1"/>
      <c r="B307" s="118" t="s">
        <v>1495</v>
      </c>
      <c r="C307" s="4" t="s">
        <v>0</v>
      </c>
      <c r="D307" s="154"/>
      <c r="E307" s="5"/>
      <c r="F307" s="5"/>
      <c r="G307" s="5"/>
      <c r="H307" s="5"/>
      <c r="I307" s="2"/>
      <c r="J307" s="4"/>
      <c r="K307" s="4"/>
      <c r="L307" s="2"/>
      <c r="M307" s="2"/>
      <c r="N307" s="2"/>
      <c r="O307" s="2"/>
      <c r="P307" s="2"/>
      <c r="Q307" s="2"/>
      <c r="R307" s="5"/>
      <c r="S307" s="5"/>
      <c r="U307" s="5"/>
      <c r="W307" s="5"/>
      <c r="X307" s="5"/>
      <c r="Y307" s="5"/>
      <c r="Z307" s="5"/>
      <c r="AB307" s="5"/>
      <c r="AC307" s="5"/>
      <c r="AD307" s="5"/>
      <c r="AE307" s="5"/>
      <c r="AG307" s="5"/>
      <c r="AH307" s="5"/>
      <c r="AI307" s="5"/>
      <c r="AJ307" s="5"/>
      <c r="AL307" s="5"/>
      <c r="AM307" s="5"/>
      <c r="AN307" s="5"/>
      <c r="AO307" s="5"/>
      <c r="AQ307" s="5"/>
      <c r="AR307" s="5"/>
      <c r="AS307" s="5"/>
      <c r="AT307" s="5"/>
      <c r="BD307" s="5"/>
      <c r="BF307" s="5"/>
      <c r="BG307" s="5"/>
      <c r="BH307" s="5"/>
      <c r="BI307" s="5"/>
      <c r="BM307" s="5"/>
      <c r="BN307" s="5"/>
      <c r="BP307" s="5"/>
      <c r="BQ307" s="5"/>
      <c r="BR307" s="5"/>
      <c r="BS307" s="5"/>
      <c r="BU307" s="5"/>
      <c r="BV307" s="5"/>
      <c r="BW307" s="5"/>
      <c r="BX307" s="5"/>
      <c r="BZ307" s="5"/>
      <c r="CA307" s="5"/>
      <c r="CB307" s="5"/>
      <c r="CC307" s="5"/>
      <c r="CE307" s="5"/>
      <c r="CF307" s="5"/>
      <c r="CG307" s="5"/>
      <c r="CH307" s="5"/>
      <c r="CO307" s="13"/>
      <c r="CP307" s="5"/>
      <c r="CQ307" s="5"/>
      <c r="CR307" s="5"/>
      <c r="CT307" s="5"/>
      <c r="CU307" s="5"/>
      <c r="CV307" s="5"/>
      <c r="CW307" s="5"/>
      <c r="CY307" s="5"/>
      <c r="CZ307" s="5"/>
      <c r="DA307" s="5"/>
      <c r="DB307" s="5"/>
      <c r="DD307" s="5"/>
      <c r="DE307" s="5"/>
      <c r="DF307" s="5"/>
      <c r="DG307" s="5"/>
      <c r="DI307" s="5"/>
      <c r="DJ307" s="5"/>
      <c r="DK307" s="5"/>
      <c r="DL307" s="5"/>
      <c r="DN307" s="5"/>
      <c r="DO307" s="5"/>
      <c r="DP307" s="5"/>
      <c r="DQ307" s="5"/>
      <c r="DS307" s="5"/>
      <c r="DT307" s="5"/>
      <c r="DU307" s="5"/>
      <c r="DV307" s="5"/>
      <c r="DX307" s="5"/>
      <c r="DY307" s="5"/>
      <c r="DZ307" s="5"/>
      <c r="EA307" s="5"/>
      <c r="EC307" s="5"/>
      <c r="ED307" s="5"/>
      <c r="EE307" s="5"/>
      <c r="EF307" s="5"/>
      <c r="EH307" s="5"/>
      <c r="EI307" s="5"/>
      <c r="EJ307" s="5"/>
      <c r="EK307" s="5"/>
      <c r="EX307" s="659">
        <f t="shared" si="2"/>
        <v>0</v>
      </c>
    </row>
    <row r="308" spans="1:154" s="6" customFormat="1" ht="15.75" customHeight="1">
      <c r="A308" s="1"/>
      <c r="B308" s="118" t="s">
        <v>1496</v>
      </c>
      <c r="C308" s="4" t="s">
        <v>0</v>
      </c>
      <c r="D308" s="154"/>
      <c r="E308" s="5"/>
      <c r="F308" s="5"/>
      <c r="G308" s="5"/>
      <c r="H308" s="5"/>
      <c r="I308" s="2"/>
      <c r="J308" s="4"/>
      <c r="K308" s="4"/>
      <c r="L308" s="2"/>
      <c r="M308" s="2"/>
      <c r="N308" s="2"/>
      <c r="O308" s="2"/>
      <c r="P308" s="2"/>
      <c r="Q308" s="2"/>
      <c r="R308" s="5"/>
      <c r="S308" s="5"/>
      <c r="U308" s="5"/>
      <c r="W308" s="5"/>
      <c r="X308" s="5"/>
      <c r="Y308" s="5"/>
      <c r="Z308" s="5"/>
      <c r="AB308" s="5"/>
      <c r="AC308" s="5"/>
      <c r="AD308" s="5"/>
      <c r="AE308" s="5"/>
      <c r="AG308" s="5"/>
      <c r="AH308" s="5"/>
      <c r="AI308" s="5"/>
      <c r="AJ308" s="5"/>
      <c r="AL308" s="5"/>
      <c r="AM308" s="5"/>
      <c r="AN308" s="5"/>
      <c r="AO308" s="5"/>
      <c r="AQ308" s="5"/>
      <c r="AR308" s="5"/>
      <c r="AS308" s="5"/>
      <c r="AT308" s="5"/>
      <c r="BD308" s="5"/>
      <c r="BF308" s="5"/>
      <c r="BG308" s="5"/>
      <c r="BH308" s="5"/>
      <c r="BI308" s="5"/>
      <c r="BM308" s="5"/>
      <c r="BN308" s="5"/>
      <c r="BP308" s="5"/>
      <c r="BQ308" s="5"/>
      <c r="BR308" s="5"/>
      <c r="BS308" s="5"/>
      <c r="BU308" s="5"/>
      <c r="BV308" s="5"/>
      <c r="BW308" s="5"/>
      <c r="BX308" s="5"/>
      <c r="BZ308" s="5"/>
      <c r="CA308" s="5"/>
      <c r="CB308" s="5"/>
      <c r="CC308" s="5"/>
      <c r="CE308" s="5"/>
      <c r="CF308" s="5"/>
      <c r="CG308" s="5"/>
      <c r="CH308" s="5"/>
      <c r="CO308" s="13"/>
      <c r="CP308" s="5"/>
      <c r="CQ308" s="5"/>
      <c r="CR308" s="5"/>
      <c r="CT308" s="5"/>
      <c r="CU308" s="5"/>
      <c r="CV308" s="5"/>
      <c r="CW308" s="5"/>
      <c r="CY308" s="5"/>
      <c r="CZ308" s="5"/>
      <c r="DA308" s="5"/>
      <c r="DB308" s="5"/>
      <c r="DD308" s="5"/>
      <c r="DE308" s="5"/>
      <c r="DF308" s="5"/>
      <c r="DG308" s="5"/>
      <c r="DI308" s="5"/>
      <c r="DJ308" s="5"/>
      <c r="DK308" s="5"/>
      <c r="DL308" s="5"/>
      <c r="DN308" s="5"/>
      <c r="DO308" s="5"/>
      <c r="DP308" s="5"/>
      <c r="DQ308" s="5"/>
      <c r="DS308" s="5"/>
      <c r="DT308" s="5"/>
      <c r="DU308" s="5"/>
      <c r="DV308" s="5"/>
      <c r="DX308" s="5"/>
      <c r="DY308" s="5"/>
      <c r="DZ308" s="5"/>
      <c r="EA308" s="5"/>
      <c r="EC308" s="5"/>
      <c r="ED308" s="5"/>
      <c r="EE308" s="5"/>
      <c r="EF308" s="5"/>
      <c r="EH308" s="5"/>
      <c r="EI308" s="5"/>
      <c r="EJ308" s="5"/>
      <c r="EK308" s="5"/>
      <c r="EX308" s="659">
        <f t="shared" si="2"/>
        <v>0</v>
      </c>
    </row>
    <row r="309" spans="1:154" s="6" customFormat="1" ht="15.75" customHeight="1">
      <c r="A309" s="1"/>
      <c r="B309" s="118" t="s">
        <v>1500</v>
      </c>
      <c r="C309" s="4" t="s">
        <v>0</v>
      </c>
      <c r="D309" s="154"/>
      <c r="E309" s="5"/>
      <c r="F309" s="5"/>
      <c r="G309" s="5"/>
      <c r="H309" s="5"/>
      <c r="I309" s="2"/>
      <c r="J309" s="4"/>
      <c r="K309" s="4"/>
      <c r="L309" s="2"/>
      <c r="M309" s="2"/>
      <c r="N309" s="2"/>
      <c r="O309" s="2"/>
      <c r="P309" s="2"/>
      <c r="Q309" s="2"/>
      <c r="R309" s="5"/>
      <c r="S309" s="5"/>
      <c r="U309" s="5"/>
      <c r="W309" s="5"/>
      <c r="X309" s="5"/>
      <c r="Y309" s="5"/>
      <c r="Z309" s="5"/>
      <c r="AB309" s="5"/>
      <c r="AC309" s="5"/>
      <c r="AD309" s="5"/>
      <c r="AE309" s="5"/>
      <c r="AG309" s="5"/>
      <c r="AH309" s="5"/>
      <c r="AI309" s="5"/>
      <c r="AJ309" s="5"/>
      <c r="AL309" s="5"/>
      <c r="AM309" s="5"/>
      <c r="AN309" s="5"/>
      <c r="AO309" s="5"/>
      <c r="AQ309" s="5"/>
      <c r="AR309" s="5"/>
      <c r="AS309" s="5"/>
      <c r="AT309" s="5"/>
      <c r="BD309" s="5"/>
      <c r="BF309" s="5"/>
      <c r="BG309" s="5"/>
      <c r="BH309" s="5"/>
      <c r="BI309" s="5"/>
      <c r="BM309" s="5"/>
      <c r="BN309" s="5"/>
      <c r="BP309" s="5"/>
      <c r="BQ309" s="5"/>
      <c r="BR309" s="5"/>
      <c r="BS309" s="5"/>
      <c r="BU309" s="5"/>
      <c r="BV309" s="5"/>
      <c r="BW309" s="5"/>
      <c r="BX309" s="5"/>
      <c r="BZ309" s="5"/>
      <c r="CA309" s="5"/>
      <c r="CB309" s="5"/>
      <c r="CC309" s="5"/>
      <c r="CE309" s="5"/>
      <c r="CF309" s="5"/>
      <c r="CG309" s="5"/>
      <c r="CH309" s="5"/>
      <c r="CO309" s="13"/>
      <c r="CP309" s="5"/>
      <c r="CQ309" s="5"/>
      <c r="CR309" s="5"/>
      <c r="CT309" s="5"/>
      <c r="CU309" s="5"/>
      <c r="CV309" s="5"/>
      <c r="CW309" s="5"/>
      <c r="CY309" s="5"/>
      <c r="CZ309" s="5"/>
      <c r="DA309" s="5"/>
      <c r="DB309" s="5"/>
      <c r="DD309" s="5"/>
      <c r="DE309" s="5"/>
      <c r="DF309" s="5"/>
      <c r="DG309" s="5"/>
      <c r="DI309" s="5"/>
      <c r="DJ309" s="5"/>
      <c r="DK309" s="5"/>
      <c r="DL309" s="5"/>
      <c r="DN309" s="5"/>
      <c r="DO309" s="5"/>
      <c r="DP309" s="5"/>
      <c r="DQ309" s="5"/>
      <c r="DS309" s="5"/>
      <c r="DT309" s="5"/>
      <c r="DU309" s="5"/>
      <c r="DV309" s="5"/>
      <c r="DX309" s="5"/>
      <c r="DY309" s="5"/>
      <c r="DZ309" s="5"/>
      <c r="EA309" s="5"/>
      <c r="EC309" s="5"/>
      <c r="ED309" s="5"/>
      <c r="EE309" s="5"/>
      <c r="EF309" s="5"/>
      <c r="EH309" s="5"/>
      <c r="EI309" s="5"/>
      <c r="EJ309" s="5"/>
      <c r="EK309" s="5"/>
      <c r="EX309" s="659">
        <f t="shared" si="2"/>
        <v>0</v>
      </c>
    </row>
    <row r="310" spans="1:154" s="6" customFormat="1" ht="15.75" customHeight="1">
      <c r="A310" s="1"/>
      <c r="B310" s="118" t="s">
        <v>1562</v>
      </c>
      <c r="C310" s="4"/>
      <c r="D310" s="154"/>
      <c r="E310" s="5"/>
      <c r="F310" s="5"/>
      <c r="G310" s="5"/>
      <c r="H310" s="5"/>
      <c r="I310" s="2"/>
      <c r="J310" s="4"/>
      <c r="K310" s="4"/>
      <c r="L310" s="2"/>
      <c r="M310" s="2"/>
      <c r="N310" s="2"/>
      <c r="O310" s="2"/>
      <c r="P310" s="2"/>
      <c r="Q310" s="2"/>
      <c r="R310" s="5"/>
      <c r="S310" s="5"/>
      <c r="U310" s="5"/>
      <c r="W310" s="5"/>
      <c r="X310" s="5"/>
      <c r="Y310" s="5"/>
      <c r="Z310" s="5"/>
      <c r="AB310" s="5"/>
      <c r="AC310" s="5"/>
      <c r="AD310" s="5"/>
      <c r="AE310" s="5"/>
      <c r="AG310" s="5"/>
      <c r="AH310" s="5"/>
      <c r="AI310" s="5"/>
      <c r="AJ310" s="5"/>
      <c r="AL310" s="5"/>
      <c r="AM310" s="5"/>
      <c r="AN310" s="5"/>
      <c r="AO310" s="5"/>
      <c r="AQ310" s="5"/>
      <c r="AR310" s="5"/>
      <c r="AS310" s="5"/>
      <c r="AT310" s="5"/>
      <c r="BD310" s="5"/>
      <c r="BF310" s="5"/>
      <c r="BG310" s="5"/>
      <c r="BH310" s="5"/>
      <c r="BI310" s="5"/>
      <c r="BM310" s="5"/>
      <c r="BN310" s="5"/>
      <c r="BP310" s="5"/>
      <c r="BQ310" s="5"/>
      <c r="BR310" s="5"/>
      <c r="BS310" s="5"/>
      <c r="BU310" s="5"/>
      <c r="BV310" s="5"/>
      <c r="BW310" s="5"/>
      <c r="BX310" s="5"/>
      <c r="BZ310" s="5"/>
      <c r="CA310" s="5"/>
      <c r="CB310" s="5"/>
      <c r="CC310" s="5"/>
      <c r="CE310" s="5"/>
      <c r="CF310" s="5"/>
      <c r="CG310" s="5"/>
      <c r="CH310" s="5"/>
      <c r="CO310" s="13"/>
      <c r="CP310" s="5"/>
      <c r="CQ310" s="5"/>
      <c r="CR310" s="5"/>
      <c r="CT310" s="5"/>
      <c r="CU310" s="5"/>
      <c r="CV310" s="5"/>
      <c r="CW310" s="5"/>
      <c r="CY310" s="5"/>
      <c r="CZ310" s="5"/>
      <c r="DA310" s="5"/>
      <c r="DB310" s="5"/>
      <c r="DD310" s="5"/>
      <c r="DE310" s="5"/>
      <c r="DF310" s="5"/>
      <c r="DG310" s="5"/>
      <c r="DI310" s="5"/>
      <c r="DJ310" s="5"/>
      <c r="DK310" s="5"/>
      <c r="DL310" s="5"/>
      <c r="DN310" s="5"/>
      <c r="DO310" s="5"/>
      <c r="DP310" s="5"/>
      <c r="DQ310" s="5"/>
      <c r="DS310" s="5"/>
      <c r="DT310" s="5"/>
      <c r="DU310" s="5"/>
      <c r="DV310" s="5"/>
      <c r="DX310" s="5"/>
      <c r="DY310" s="5"/>
      <c r="DZ310" s="5"/>
      <c r="EA310" s="5"/>
      <c r="EC310" s="5"/>
      <c r="ED310" s="5"/>
      <c r="EE310" s="5"/>
      <c r="EF310" s="5"/>
      <c r="EH310" s="5"/>
      <c r="EI310" s="5"/>
      <c r="EJ310" s="5"/>
      <c r="EK310" s="5"/>
      <c r="EX310" s="659">
        <f t="shared" si="2"/>
        <v>0</v>
      </c>
    </row>
    <row r="311" spans="1:154" s="6" customFormat="1" ht="15.75" customHeight="1">
      <c r="A311" s="23" t="s">
        <v>305</v>
      </c>
      <c r="B311" s="214" t="s">
        <v>305</v>
      </c>
      <c r="C311" s="473" t="s">
        <v>515</v>
      </c>
      <c r="D311" s="154"/>
      <c r="E311" s="5"/>
      <c r="F311" s="5"/>
      <c r="G311" s="5"/>
      <c r="H311" s="5"/>
      <c r="I311" s="2"/>
      <c r="J311" s="4"/>
      <c r="K311" s="4"/>
      <c r="L311" s="2"/>
      <c r="M311" s="2"/>
      <c r="N311" s="2"/>
      <c r="O311" s="2"/>
      <c r="P311" s="2"/>
      <c r="Q311" s="2"/>
      <c r="R311" s="5"/>
      <c r="S311" s="5"/>
      <c r="U311" s="5"/>
      <c r="W311" s="5"/>
      <c r="X311" s="5"/>
      <c r="Y311" s="5"/>
      <c r="Z311" s="5"/>
      <c r="AB311" s="5"/>
      <c r="AC311" s="5"/>
      <c r="AD311" s="5"/>
      <c r="AE311" s="5"/>
      <c r="AG311" s="5"/>
      <c r="AH311" s="5"/>
      <c r="AI311" s="5"/>
      <c r="AJ311" s="5"/>
      <c r="AL311" s="5"/>
      <c r="AM311" s="5"/>
      <c r="AN311" s="5"/>
      <c r="AO311" s="5"/>
      <c r="AQ311" s="5"/>
      <c r="AR311" s="5"/>
      <c r="AS311" s="5"/>
      <c r="AT311" s="5"/>
      <c r="BD311" s="5"/>
      <c r="BF311" s="5"/>
      <c r="BG311" s="5"/>
      <c r="BH311" s="5"/>
      <c r="BI311" s="5"/>
      <c r="BM311" s="5"/>
      <c r="BN311" s="5"/>
      <c r="BP311" s="5"/>
      <c r="BQ311" s="5"/>
      <c r="BR311" s="5"/>
      <c r="BS311" s="5"/>
      <c r="BU311" s="5"/>
      <c r="BV311" s="5"/>
      <c r="BW311" s="5"/>
      <c r="BX311" s="5"/>
      <c r="BZ311" s="5"/>
      <c r="CA311" s="5"/>
      <c r="CB311" s="5"/>
      <c r="CC311" s="5"/>
      <c r="CE311" s="5"/>
      <c r="CF311" s="5"/>
      <c r="CG311" s="5"/>
      <c r="CH311" s="5"/>
      <c r="CO311" s="13"/>
      <c r="CP311" s="5"/>
      <c r="CQ311" s="5"/>
      <c r="CR311" s="5"/>
      <c r="CT311" s="5"/>
      <c r="CU311" s="5"/>
      <c r="CV311" s="5"/>
      <c r="CW311" s="5"/>
      <c r="CY311" s="5"/>
      <c r="CZ311" s="5"/>
      <c r="DA311" s="5"/>
      <c r="DB311" s="5"/>
      <c r="DD311" s="5"/>
      <c r="DE311" s="5"/>
      <c r="DF311" s="5"/>
      <c r="DG311" s="5"/>
      <c r="DI311" s="5"/>
      <c r="DJ311" s="5"/>
      <c r="DK311" s="5"/>
      <c r="DL311" s="5"/>
      <c r="DN311" s="5"/>
      <c r="DO311" s="5"/>
      <c r="DP311" s="5"/>
      <c r="DQ311" s="5"/>
      <c r="DS311" s="5"/>
      <c r="DT311" s="5"/>
      <c r="DU311" s="5"/>
      <c r="DV311" s="5"/>
      <c r="DX311" s="5"/>
      <c r="DY311" s="5"/>
      <c r="DZ311" s="5"/>
      <c r="EA311" s="5"/>
      <c r="EC311" s="5"/>
      <c r="ED311" s="5"/>
      <c r="EE311" s="5"/>
      <c r="EF311" s="5"/>
      <c r="EH311" s="5"/>
      <c r="EI311" s="5"/>
      <c r="EJ311" s="5"/>
      <c r="EK311" s="5"/>
      <c r="EX311" s="659">
        <f t="shared" si="2"/>
        <v>0</v>
      </c>
    </row>
    <row r="312" spans="1:154" s="6" customFormat="1" ht="15.75" customHeight="1">
      <c r="A312" s="23" t="s">
        <v>306</v>
      </c>
      <c r="B312" s="214" t="s">
        <v>306</v>
      </c>
      <c r="C312" s="473" t="s">
        <v>515</v>
      </c>
      <c r="D312" s="154"/>
      <c r="E312" s="5"/>
      <c r="F312" s="5"/>
      <c r="G312" s="5"/>
      <c r="H312" s="5"/>
      <c r="I312" s="2"/>
      <c r="J312" s="4"/>
      <c r="K312" s="4"/>
      <c r="L312" s="2"/>
      <c r="M312" s="2"/>
      <c r="N312" s="2"/>
      <c r="O312" s="2"/>
      <c r="P312" s="2"/>
      <c r="Q312" s="2"/>
      <c r="R312" s="5"/>
      <c r="S312" s="5"/>
      <c r="U312" s="5"/>
      <c r="W312" s="5"/>
      <c r="X312" s="5"/>
      <c r="Y312" s="5"/>
      <c r="Z312" s="5"/>
      <c r="AB312" s="5"/>
      <c r="AC312" s="5"/>
      <c r="AD312" s="5"/>
      <c r="AE312" s="5"/>
      <c r="AG312" s="5"/>
      <c r="AH312" s="5"/>
      <c r="AI312" s="5"/>
      <c r="AJ312" s="5"/>
      <c r="AL312" s="5"/>
      <c r="AM312" s="5"/>
      <c r="AN312" s="5"/>
      <c r="AO312" s="5"/>
      <c r="AQ312" s="5"/>
      <c r="AR312" s="5"/>
      <c r="AS312" s="5"/>
      <c r="AT312" s="5"/>
      <c r="BD312" s="5"/>
      <c r="BF312" s="5"/>
      <c r="BG312" s="5"/>
      <c r="BH312" s="5"/>
      <c r="BI312" s="5"/>
      <c r="BM312" s="5"/>
      <c r="BN312" s="5"/>
      <c r="BP312" s="5"/>
      <c r="BQ312" s="5"/>
      <c r="BR312" s="5"/>
      <c r="BS312" s="5"/>
      <c r="BU312" s="5"/>
      <c r="BV312" s="5"/>
      <c r="BW312" s="5"/>
      <c r="BX312" s="5"/>
      <c r="BZ312" s="5"/>
      <c r="CA312" s="5"/>
      <c r="CB312" s="5"/>
      <c r="CC312" s="5"/>
      <c r="CE312" s="5"/>
      <c r="CF312" s="5"/>
      <c r="CG312" s="5"/>
      <c r="CH312" s="5"/>
      <c r="CO312" s="13"/>
      <c r="CP312" s="5"/>
      <c r="CQ312" s="5"/>
      <c r="CR312" s="5"/>
      <c r="CT312" s="5"/>
      <c r="CU312" s="5"/>
      <c r="CV312" s="5"/>
      <c r="CW312" s="5"/>
      <c r="CY312" s="5"/>
      <c r="CZ312" s="5"/>
      <c r="DA312" s="5"/>
      <c r="DB312" s="5"/>
      <c r="DD312" s="5"/>
      <c r="DE312" s="5"/>
      <c r="DF312" s="5"/>
      <c r="DG312" s="5"/>
      <c r="DI312" s="5"/>
      <c r="DJ312" s="5"/>
      <c r="DK312" s="5"/>
      <c r="DL312" s="5"/>
      <c r="DN312" s="5"/>
      <c r="DO312" s="5"/>
      <c r="DP312" s="5"/>
      <c r="DQ312" s="5"/>
      <c r="DS312" s="5"/>
      <c r="DT312" s="5"/>
      <c r="DU312" s="5"/>
      <c r="DV312" s="5"/>
      <c r="DX312" s="5"/>
      <c r="DY312" s="5"/>
      <c r="DZ312" s="5"/>
      <c r="EA312" s="5"/>
      <c r="EC312" s="5"/>
      <c r="ED312" s="5"/>
      <c r="EE312" s="5"/>
      <c r="EF312" s="5"/>
      <c r="EH312" s="5"/>
      <c r="EI312" s="5"/>
      <c r="EJ312" s="5"/>
      <c r="EK312" s="5"/>
      <c r="EX312" s="659">
        <f t="shared" si="2"/>
        <v>0</v>
      </c>
    </row>
    <row r="313" spans="1:154" s="6" customFormat="1" ht="15.75" customHeight="1">
      <c r="A313" s="23" t="s">
        <v>307</v>
      </c>
      <c r="B313" s="214" t="s">
        <v>399</v>
      </c>
      <c r="C313" s="473" t="s">
        <v>515</v>
      </c>
      <c r="D313" s="154"/>
      <c r="E313" s="5"/>
      <c r="F313" s="5"/>
      <c r="G313" s="5"/>
      <c r="H313" s="5"/>
      <c r="I313" s="2"/>
      <c r="J313" s="4"/>
      <c r="K313" s="4"/>
      <c r="L313" s="2"/>
      <c r="M313" s="2"/>
      <c r="N313" s="2"/>
      <c r="O313" s="2"/>
      <c r="P313" s="2"/>
      <c r="Q313" s="2"/>
      <c r="R313" s="5"/>
      <c r="S313" s="5"/>
      <c r="U313" s="5"/>
      <c r="W313" s="5"/>
      <c r="X313" s="5"/>
      <c r="Y313" s="5"/>
      <c r="Z313" s="5"/>
      <c r="AB313" s="5"/>
      <c r="AC313" s="5"/>
      <c r="AD313" s="5"/>
      <c r="AE313" s="5"/>
      <c r="AG313" s="5"/>
      <c r="AH313" s="5"/>
      <c r="AI313" s="5"/>
      <c r="AJ313" s="5"/>
      <c r="AL313" s="5"/>
      <c r="AM313" s="5"/>
      <c r="AN313" s="5"/>
      <c r="AO313" s="5"/>
      <c r="AQ313" s="5"/>
      <c r="AR313" s="5"/>
      <c r="AS313" s="5"/>
      <c r="AT313" s="5"/>
      <c r="BD313" s="5"/>
      <c r="BF313" s="5"/>
      <c r="BG313" s="5"/>
      <c r="BH313" s="5"/>
      <c r="BI313" s="5"/>
      <c r="BM313" s="5"/>
      <c r="BN313" s="5"/>
      <c r="BP313" s="5"/>
      <c r="BQ313" s="5"/>
      <c r="BR313" s="5"/>
      <c r="BS313" s="5"/>
      <c r="BU313" s="5"/>
      <c r="BV313" s="5"/>
      <c r="BW313" s="5"/>
      <c r="BX313" s="5"/>
      <c r="BZ313" s="5"/>
      <c r="CA313" s="5"/>
      <c r="CB313" s="5"/>
      <c r="CC313" s="5"/>
      <c r="CE313" s="5"/>
      <c r="CF313" s="5"/>
      <c r="CG313" s="5"/>
      <c r="CH313" s="5"/>
      <c r="CO313" s="13"/>
      <c r="CP313" s="5"/>
      <c r="CQ313" s="5"/>
      <c r="CR313" s="5"/>
      <c r="CT313" s="5"/>
      <c r="CU313" s="5"/>
      <c r="CV313" s="5"/>
      <c r="CW313" s="5"/>
      <c r="CY313" s="5"/>
      <c r="CZ313" s="5"/>
      <c r="DA313" s="5"/>
      <c r="DB313" s="5"/>
      <c r="DD313" s="5"/>
      <c r="DE313" s="5"/>
      <c r="DF313" s="5"/>
      <c r="DG313" s="5"/>
      <c r="DI313" s="5"/>
      <c r="DJ313" s="5"/>
      <c r="DK313" s="5"/>
      <c r="DL313" s="5"/>
      <c r="DN313" s="5"/>
      <c r="DO313" s="5"/>
      <c r="DP313" s="5"/>
      <c r="DQ313" s="5"/>
      <c r="DS313" s="5"/>
      <c r="DT313" s="5"/>
      <c r="DU313" s="5"/>
      <c r="DV313" s="5"/>
      <c r="DX313" s="5"/>
      <c r="DY313" s="5"/>
      <c r="DZ313" s="5"/>
      <c r="EA313" s="5"/>
      <c r="EC313" s="5"/>
      <c r="ED313" s="5"/>
      <c r="EE313" s="5"/>
      <c r="EF313" s="5"/>
      <c r="EH313" s="5"/>
      <c r="EI313" s="5"/>
      <c r="EJ313" s="5"/>
      <c r="EK313" s="5"/>
      <c r="EX313" s="659">
        <f t="shared" si="2"/>
        <v>0</v>
      </c>
    </row>
    <row r="314" spans="1:154" s="6" customFormat="1" ht="15.75" customHeight="1">
      <c r="A314" s="23"/>
      <c r="B314" s="210" t="s">
        <v>1511</v>
      </c>
      <c r="C314" s="473" t="s">
        <v>515</v>
      </c>
      <c r="D314" s="154"/>
      <c r="E314" s="5"/>
      <c r="I314" s="2"/>
      <c r="J314" s="4"/>
      <c r="K314" s="4"/>
      <c r="L314" s="2"/>
      <c r="M314" s="2"/>
      <c r="N314" s="2"/>
      <c r="O314" s="2"/>
      <c r="P314" s="2"/>
      <c r="Q314" s="2"/>
      <c r="R314" s="5"/>
      <c r="S314" s="5"/>
      <c r="U314" s="5"/>
      <c r="W314" s="5"/>
      <c r="X314" s="5"/>
      <c r="Y314" s="5"/>
      <c r="Z314" s="5"/>
      <c r="AB314" s="5"/>
      <c r="AC314" s="5"/>
      <c r="AD314" s="5"/>
      <c r="AE314" s="5"/>
      <c r="AG314" s="5"/>
      <c r="AH314" s="5"/>
      <c r="AI314" s="5"/>
      <c r="AJ314" s="5"/>
      <c r="AL314" s="5"/>
      <c r="AM314" s="5"/>
      <c r="AN314" s="5"/>
      <c r="AO314" s="5"/>
      <c r="AQ314" s="5"/>
      <c r="AR314" s="5"/>
      <c r="AS314" s="5"/>
      <c r="AT314" s="5"/>
      <c r="BD314" s="5"/>
      <c r="BF314" s="5"/>
      <c r="BG314" s="5"/>
      <c r="BH314" s="5"/>
      <c r="BI314" s="5"/>
      <c r="BM314" s="5"/>
      <c r="BN314" s="5"/>
      <c r="BP314" s="5"/>
      <c r="BR314" s="5"/>
      <c r="BS314" s="5"/>
      <c r="BU314" s="5"/>
      <c r="BV314" s="5"/>
      <c r="BW314" s="5"/>
      <c r="BX314" s="5"/>
      <c r="BZ314" s="5"/>
      <c r="CA314" s="5"/>
      <c r="CB314" s="5"/>
      <c r="CC314" s="5"/>
      <c r="CE314" s="5"/>
      <c r="CF314" s="5"/>
      <c r="CG314" s="5"/>
      <c r="CH314" s="5"/>
      <c r="CO314" s="13"/>
      <c r="CP314" s="5"/>
      <c r="CQ314" s="5"/>
      <c r="CR314" s="5"/>
      <c r="CT314" s="5"/>
      <c r="CU314" s="5"/>
      <c r="CV314" s="5"/>
      <c r="CW314" s="5"/>
      <c r="CY314" s="5"/>
      <c r="CZ314" s="5"/>
      <c r="DA314" s="5"/>
      <c r="DB314" s="5"/>
      <c r="DD314" s="5"/>
      <c r="DE314" s="5"/>
      <c r="DF314" s="5"/>
      <c r="DG314" s="5"/>
      <c r="DI314" s="5"/>
      <c r="DJ314" s="5"/>
      <c r="DK314" s="5"/>
      <c r="DL314" s="5"/>
      <c r="DN314" s="5"/>
      <c r="DO314" s="5"/>
      <c r="DP314" s="5"/>
      <c r="DQ314" s="5"/>
      <c r="DS314" s="5"/>
      <c r="DT314" s="5"/>
      <c r="DU314" s="5"/>
      <c r="DV314" s="5"/>
      <c r="DX314" s="5"/>
      <c r="DY314" s="5"/>
      <c r="DZ314" s="5"/>
      <c r="EA314" s="5"/>
      <c r="EC314" s="5"/>
      <c r="ED314" s="5"/>
      <c r="EE314" s="5"/>
      <c r="EF314" s="5"/>
      <c r="EH314" s="5"/>
      <c r="EI314" s="5"/>
      <c r="EJ314" s="5"/>
      <c r="EK314" s="5"/>
      <c r="EX314" s="659">
        <f t="shared" si="2"/>
        <v>0</v>
      </c>
    </row>
    <row r="315" spans="1:154" s="6" customFormat="1" ht="15.75" customHeight="1">
      <c r="A315" s="23"/>
      <c r="B315" s="210" t="s">
        <v>952</v>
      </c>
      <c r="C315" s="473" t="s">
        <v>515</v>
      </c>
      <c r="D315" s="154"/>
      <c r="E315" s="5"/>
      <c r="I315" s="2"/>
      <c r="J315" s="4"/>
      <c r="K315" s="4"/>
      <c r="L315" s="2"/>
      <c r="M315" s="2"/>
      <c r="N315" s="2"/>
      <c r="O315" s="2"/>
      <c r="P315" s="2"/>
      <c r="Q315" s="2"/>
      <c r="R315" s="5"/>
      <c r="S315" s="5"/>
      <c r="U315" s="5"/>
      <c r="W315" s="5"/>
      <c r="X315" s="5"/>
      <c r="Y315" s="5"/>
      <c r="Z315" s="5"/>
      <c r="AB315" s="5"/>
      <c r="AC315" s="5"/>
      <c r="AD315" s="5"/>
      <c r="AE315" s="5"/>
      <c r="AG315" s="5"/>
      <c r="AH315" s="5"/>
      <c r="AI315" s="5"/>
      <c r="AJ315" s="5"/>
      <c r="AL315" s="5"/>
      <c r="AM315" s="5"/>
      <c r="AN315" s="5"/>
      <c r="AO315" s="5"/>
      <c r="AQ315" s="5"/>
      <c r="AR315" s="5"/>
      <c r="AS315" s="5"/>
      <c r="AT315" s="5"/>
      <c r="BD315" s="5"/>
      <c r="BF315" s="5"/>
      <c r="BG315" s="5"/>
      <c r="BH315" s="5"/>
      <c r="BI315" s="5"/>
      <c r="BM315" s="5"/>
      <c r="BN315" s="5"/>
      <c r="BP315" s="5"/>
      <c r="BR315" s="5"/>
      <c r="BS315" s="5"/>
      <c r="BU315" s="5"/>
      <c r="BV315" s="5"/>
      <c r="BW315" s="5"/>
      <c r="BX315" s="5"/>
      <c r="BZ315" s="5"/>
      <c r="CA315" s="5"/>
      <c r="CB315" s="5"/>
      <c r="CC315" s="5"/>
      <c r="CE315" s="5"/>
      <c r="CF315" s="5"/>
      <c r="CG315" s="5"/>
      <c r="CH315" s="5"/>
      <c r="CO315" s="13"/>
      <c r="CP315" s="5"/>
      <c r="CQ315" s="5"/>
      <c r="CR315" s="5"/>
      <c r="CT315" s="5"/>
      <c r="CU315" s="5"/>
      <c r="CV315" s="5"/>
      <c r="CW315" s="5"/>
      <c r="CY315" s="5"/>
      <c r="CZ315" s="5"/>
      <c r="DA315" s="5"/>
      <c r="DB315" s="5"/>
      <c r="DD315" s="5"/>
      <c r="DE315" s="5"/>
      <c r="DF315" s="5"/>
      <c r="DG315" s="5"/>
      <c r="DI315" s="5"/>
      <c r="DJ315" s="5"/>
      <c r="DK315" s="5"/>
      <c r="DL315" s="5"/>
      <c r="DN315" s="5"/>
      <c r="DO315" s="5"/>
      <c r="DP315" s="5"/>
      <c r="DQ315" s="5"/>
      <c r="DS315" s="5"/>
      <c r="DT315" s="5"/>
      <c r="DU315" s="5"/>
      <c r="DV315" s="5"/>
      <c r="DX315" s="5"/>
      <c r="DY315" s="5"/>
      <c r="DZ315" s="5"/>
      <c r="EA315" s="5"/>
      <c r="EC315" s="5"/>
      <c r="ED315" s="5"/>
      <c r="EE315" s="5"/>
      <c r="EF315" s="5"/>
      <c r="EH315" s="5"/>
      <c r="EI315" s="5"/>
      <c r="EJ315" s="5"/>
      <c r="EK315" s="5"/>
      <c r="EX315" s="659">
        <f t="shared" si="2"/>
        <v>0</v>
      </c>
    </row>
    <row r="316" spans="1:154" s="6" customFormat="1" ht="15" customHeight="1">
      <c r="A316" s="3" t="s">
        <v>151</v>
      </c>
      <c r="B316" s="210" t="s">
        <v>151</v>
      </c>
      <c r="C316" s="473" t="s">
        <v>515</v>
      </c>
      <c r="D316" s="154"/>
      <c r="E316" s="5"/>
      <c r="F316" s="6">
        <f>SUM(F5:F26,G5:G26,H5:H26)*E316</f>
        <v>0</v>
      </c>
      <c r="I316" s="2"/>
      <c r="J316" s="4"/>
      <c r="K316" s="4"/>
      <c r="L316" s="2"/>
      <c r="M316" s="2"/>
      <c r="N316" s="2"/>
      <c r="O316" s="2"/>
      <c r="P316" s="2"/>
      <c r="Q316" s="2"/>
      <c r="R316" s="5"/>
      <c r="S316" s="5"/>
      <c r="U316" s="5"/>
      <c r="W316" s="5"/>
      <c r="X316" s="5"/>
      <c r="Y316" s="5"/>
      <c r="Z316" s="5"/>
      <c r="AB316" s="5"/>
      <c r="AC316" s="5"/>
      <c r="AD316" s="5"/>
      <c r="AE316" s="5"/>
      <c r="AG316" s="5"/>
      <c r="AH316" s="5"/>
      <c r="AI316" s="5"/>
      <c r="AJ316" s="5"/>
      <c r="AL316" s="5"/>
      <c r="AM316" s="5"/>
      <c r="AN316" s="5"/>
      <c r="AO316" s="5"/>
      <c r="AQ316" s="5"/>
      <c r="AR316" s="5"/>
      <c r="AS316" s="5"/>
      <c r="AT316" s="5"/>
      <c r="AV316" s="6">
        <v>2</v>
      </c>
      <c r="AW316" s="140">
        <f>SUM(AW5:AW26,AX5:AX26,AY5:AY26)*AV316</f>
        <v>0</v>
      </c>
      <c r="BA316" s="6">
        <v>2</v>
      </c>
      <c r="BB316" s="6">
        <f>SUM(BB5:BB26,BC5:BC26,BD5:BD26)*BA316</f>
        <v>0</v>
      </c>
      <c r="BD316" s="5"/>
      <c r="BF316" s="5">
        <v>4</v>
      </c>
      <c r="BG316" s="5">
        <f>SUM(BG5:BG26,BH5:BH26,BI5:BI26)*BF316</f>
        <v>0</v>
      </c>
      <c r="BH316" s="5"/>
      <c r="BI316" s="5"/>
      <c r="BK316" s="6">
        <v>4</v>
      </c>
      <c r="BL316" s="6">
        <f>SUM(BL5:BL26,BM5:BM26,BN5:BN26)*BK316</f>
        <v>0</v>
      </c>
      <c r="BM316" s="5"/>
      <c r="BN316" s="5"/>
      <c r="BP316" s="5">
        <v>4</v>
      </c>
      <c r="BQ316" s="6">
        <f>SUM(BQ5:BQ26,BR5:BR26,BS5:BS26)*BP316</f>
        <v>0</v>
      </c>
      <c r="BR316" s="5"/>
      <c r="BS316" s="5"/>
      <c r="BU316" s="5">
        <v>4</v>
      </c>
      <c r="BV316" s="5">
        <f>SUM(BV5:BV26,BW5:BW26,BX5:BX26)*BU316</f>
        <v>0</v>
      </c>
      <c r="BW316" s="5"/>
      <c r="BX316" s="5"/>
      <c r="BZ316" s="5">
        <v>8</v>
      </c>
      <c r="CA316" s="5">
        <f>SUM(CA5:CA26,CB5:CB26,CC5:CC26)*BZ316</f>
        <v>0</v>
      </c>
      <c r="CB316" s="5"/>
      <c r="CC316" s="5"/>
      <c r="CE316" s="5">
        <v>8</v>
      </c>
      <c r="CF316" s="5">
        <f>SUM(CF5:CF26,CG5:CG26,CH5:CH26)*CE316</f>
        <v>0</v>
      </c>
      <c r="CG316" s="5"/>
      <c r="CH316" s="5"/>
      <c r="CJ316" s="6">
        <v>0</v>
      </c>
      <c r="CK316" s="6">
        <f>CK5*CJ316+CK6*CJ316+CK7*CJ316+CK8*CJ316+CK9*CJ316+CK10*CJ316+CK11*CJ316+CK12*CJ316+CK13*CJ316+CK14*CJ316+CK15*CJ316+CK16*CJ316+CK17*CJ316+CK18*CJ316+CK19*CJ316+CK20*CJ316+CK21*CJ316+CK22*CJ316+CK23*CJ316+CK24*CJ316+CK25*CJ316+CK26*CJ316+CL5*CJ316+CL6*CJ316+CL7*CJ316+CL8*CJ316+CL9*CJ316+CL10*CJ316+CL11*CJ316+CL12*CJ316+CL13*CJ316+CL14*CJ316+CL15*CJ316+CL16*CJ316+CL17*CJ316+CL18*CJ316+CL19*CJ316+CL20*CJ316+CL21*CJ316+CL22*CJ316+CL23*CJ316+CL24*CJ316+CL25*CJ316+CL26*CJ316+CM5*CJ316+CM6*CJ316+CM7*CJ316+CM8*CJ316+CM9*CJ316+CM10*CJ316+CM11*CJ316+CM12*CJ316+CM13*CJ316+CM14*CJ316+CM15*CJ316+CM16*CJ316+CM17*CJ316+CM18*CJ316+CM19*CJ316+CM20*CJ316+CM21*CJ316+CM22*CJ316+CM23*CJ316+CM24*CJ316+CM25*CJ316+CM26*CJ316</f>
        <v>0</v>
      </c>
      <c r="CO316" s="13">
        <v>4</v>
      </c>
      <c r="CP316" s="5">
        <f>CP5*CO316+CP6*CO316+CP7*CO316+CP8*CO316+CP9*CO316+CP10*CO316+CP11*CO316+CP12*CO316+CP13*CO316+CP14*CO316+CP15*CO316+CP16*CO316+CP17*CO316+CP18*CO316+CP19*CO316+CP20*CO316+CP21*CO316+CP22*CO316+CP23*CO316+CP24*CO316+CP25*CO316+CP26*CO316+CQ5*CO316+CQ6*CO316+CQ7*CO316+CQ8*CO316+CQ9*CO316+CQ10*CO316+CQ11*CO316+CQ12*CO316+CQ13*CO316+CQ14*CO316+CQ15*CO316+CQ16*CO316+CQ17*CO316+CQ18*CO316+CQ19*CO316+CQ20*CO316+CQ21*CO316+CQ22*CO316+CQ23*CO316+CQ24*CO316+CQ25*CO316+CQ26*CO316+CR5*CO316+CR6*CO316+CR7*CO316+CR8*CO316+CR9*CO316+CR10*CO316+CR11*CO316+CR12*CO316+CR13*CO316+CR14*CO316+CR15*CO316+CR16*CO316+CR17*CO316+CR18*CO316+CR19*CO316+CR20*CO316+CR21*CO316+CR22*CO316+CR23*CO316+CR24*CO316+CR25*CO316+CR26*CO316</f>
        <v>0</v>
      </c>
      <c r="CQ316" s="5"/>
      <c r="CR316" s="5"/>
      <c r="CT316" s="5">
        <v>6</v>
      </c>
      <c r="CU316" s="5">
        <f>SUM(CU5:CU26,CV5:CV26,CW5:CW26)*CT316</f>
        <v>0</v>
      </c>
      <c r="CV316" s="5"/>
      <c r="CW316" s="5"/>
      <c r="CY316" s="5">
        <v>7</v>
      </c>
      <c r="CZ316" s="5">
        <f>SUM(CZ5:CZ26,DA5:DA26,DB5:DB26)*CY316</f>
        <v>0</v>
      </c>
      <c r="DA316" s="5"/>
      <c r="DB316" s="5"/>
      <c r="DD316" s="5">
        <v>2</v>
      </c>
      <c r="DE316" s="5">
        <f>DE5*DD316+DE6*DD316+DE7*DD316+DE8*DD316+DE9*DD316+DE10*DD316+DE11*DD316+DE12*DD316+DE13*DD316+DE14*DD316+DE15*DD316+DE16*DD316+DE17*DD316+DE18*DD316+DE19*DD316+DE20*DD316+DE21*DD316+DE22*DD316+DE23*DD316+DE24*DD316+DE25*DD316+DE26*DD316+DF5*DD316+DF6*DD316+DF7*DD316+DF8*DD316+DF9*DD316+DF10*DD316+DF11*DD316+DF12*DD316+DF13*DD316+DF14*DD316+DF15*DD316+DF16*DD316+DF17*DD316+DF18*DD316+DF19*DD316+DF20*DD316+DF21*DD316+DF22*DD316+DF23*DD316+DF24*DD316+DF25*DD316+DF26*DD316+DG5*DD316+DG6*DD316+DG7*DD316+DG8*DD316+DG9*DD316+DG10*DD316+DG11*DD316+DG12*DD316+DG13*DD316+DG14*DD316+DG15*DD316+DG16*DD316+DG17*DD316+DG18*DD316+DG19*DD316+DG20*DD316+DG21*DD316+DG22*DD316+DG23*DD316+DG24*DD316+DG25*DD316+DG26*DD316</f>
        <v>0</v>
      </c>
      <c r="DF316" s="5"/>
      <c r="DG316" s="5"/>
      <c r="DI316" s="5">
        <v>3</v>
      </c>
      <c r="DJ316" s="5">
        <f>DJ5*DI316+DJ6*DI316+DJ7*DI316+DJ8*DI316+DJ9*DI316+DJ10*DI316+DJ11*DI316+DJ12*DI316+DJ13*DI316+DJ14*DI316+DJ15*DI316+DJ16*DI316+DJ17*DI316+DJ18*DI316+DJ19*DI316+DJ20*DI316+DJ21*DI316+DJ22*DI316+DJ23*DI316+DJ24*DI316+DJ25*DI316+DJ26*DI316+DK5*DI316+DK6*DI316+DK7*DI316+DK8*DI316+DK9*DI316+DK10*DI316+DK11*DI316+DK12*DI316+DK13*DI316+DK14*DI316+DK15*DI316+DK16*DI316+DK17*DI316+DK18*DI316+DK19*DI316+DK20*DI316+DK21*DI316+DK22*DI316+DK23*DI316+DK24*DI316+DK25*DI316+DK26*DI316+DL5*DI316+DL6*DI316+DL7*DI316+DL8*DI316+DL9*DI316+DL10*DI316+DL11*DI316+DL12*DI316+DL13*DI316+DL14*DI316+DL15*DI316+DL16*DI316+DL17*DI316+DL18*DI316+DL19*DI316+DL20*DI316+DL21*DI316+DL22*DI316+DL23*DI316+DL24*DI316+DL25*DI316+DL26*DI316</f>
        <v>0</v>
      </c>
      <c r="DK316" s="5"/>
      <c r="DL316" s="5"/>
      <c r="DN316" s="5">
        <v>3</v>
      </c>
      <c r="DO316" s="5">
        <f>DO5*DN316+DO6*DN316+DO7*DN316+DO8*DN316+DO9*DN316+DO10*DN316+DO11*DN316+DO12*DN316+DO13*DN316+DO14*DN316+DO15*DN316+DO16*DN316+DO17*DN316+DO18*DN316+DO19*DN316+DO20*DN316+DO21*DN316+DO22*DN316+DO23*DN316+DO24*DN316+DO25*DN316+DO26*DN316+DP5*DN316+DP6*DN316+DP7*DN316+DP8*DN316+DP9*DN316+DP10*DN316+DP11*DN316+DP12*DN316+DP13*DN316+DP14*DN316+DP15*DN316+DP16*DN316+DP17*DN316+DP18*DN316+DP19*DN316+DP20*DN316+DP21*DN316+DP22*DN316+DP23*DN316+DP24*DN316+DP25*DN316+DP26*DN316+DQ5*DN316+DQ6*DN316+DQ7*DN316+DQ8*DN316+DQ9*DN316+DQ10*DN316+DQ11*DN316+DQ12*DN316+DQ13*DN316+DQ14*DN316+DQ15*DN316+DQ16*DN316+DQ17*DN316+DQ18*DN316+DQ19*DN316+DQ20*DN316+DQ21*DN316+DQ22*DN316+DQ23*DN316+DQ24*DN316+DQ25*DN316+DQ26*DN316</f>
        <v>0</v>
      </c>
      <c r="DP316" s="5"/>
      <c r="DQ316" s="5"/>
      <c r="DS316" s="5">
        <v>6</v>
      </c>
      <c r="DT316" s="5">
        <f>DT5*DS316+DT6*DS316+DT7*DS316+DT8*DS316+DT9*DS316+DT10*DS316+DT11*DS316+DT12*DS316+DT13*DS316+DT14*DS316+DT15*DS316+DT16*DS316+DT17*DS316+DT18*DS316+DT19*DS316+DT20*DS316+DT21*DS316+DT22*DS316+DT23*DS316+DT24*DS316+DT25*DS316+DT26*DS316+DU5*DS316+DU6*DS316+DU7*DS316+DU8*DS316+DU9*DS316+DU10*DS316+DU11*DS316+DU12*DS316+DU13*DS316+DU14*DS316+DU15*DS316+DU16*DS316+DU17*DS316+DU18*DS316+DU19*DS316+DU20*DS316+DU21*DS316+DU22*DS316+DU23*DS316+DU24*DS316+DU25*DS316+DU26*DS316+DV5*DS316+DV6*DS316+DV7*DS316+DV8*DS316+DV9*DS316+DV10*DS316+DV11*DS316+DV12*DS316+DV13*DS316+DV14*DS316+DV15*DS316+DV16*DS316+DV17*DS316+DV18*DS316+DV19*DS316+DV20*DS316+DV21*DS316+DV22*DS316+DV23*DS316+DV24*DS316+DV25*DS316+DV26*DS316</f>
        <v>0</v>
      </c>
      <c r="DU316" s="5"/>
      <c r="DV316" s="5"/>
      <c r="DX316" s="5">
        <v>6</v>
      </c>
      <c r="DY316" s="5">
        <f>DY5*DX316+DY6*DX316+DY7*DX316+DY8*DX316+DY9*DX316+DY10*DX316+DY11*DX316+DY12*DX316+DY13*DX316+DY14*DX316+DY15*DX316+DY16*DX316+DY17*DX316+DY18*DX316+DY19*DX316+DY20*DX316+DY21*DX316+DY22*DX316+DY23*DX316+DY24*DX316+DY25*DX316+DY26*DX316+DZ5*DX316+DZ6*DX316+DZ7*DX316+DZ8*DX316+DZ9*DX316+DZ10*DX316+DZ11*DX316+DZ12*DX316+DZ13*DX316+DZ14*DX316+DZ15*DX316+DZ16*DX316+DZ17*DX316+DZ18*DX316+DZ19*DX316+DZ20*DX316+DZ21*DX316+DZ22*DX316+DZ23*DX316+DZ24*DX316+DZ25*DX316+DZ26*DX316+EA5*DX316+EA6*DX316+EA7*DX316+EA8*DX316+EA9*DX316+EA10*DX316+EA11*DX316+EA12*DX316+EA13*DX316+EA14*DX316+EA15*DX316+EA16*DX316+EA17*DX316+EA18*DX316+EA19*DX316+EA20*DX316+EA21*DX316+EA22*DX316+EA23*DX316+EA24*DX316+EA25*DX316+EA26*DX316</f>
        <v>0</v>
      </c>
      <c r="DZ316" s="5"/>
      <c r="EA316" s="5"/>
      <c r="EC316" s="5">
        <v>6</v>
      </c>
      <c r="ED316" s="5">
        <f>ED5*EC316+ED6*EC316+ED7*EC316+ED8*EC316+ED9*EC316+ED10*EC316+ED11*EC316+ED12*EC316+ED13*EC316+ED14*EC316+ED15*EC316+ED16*EC316+ED17*EC316+ED18*EC316+ED19*EC316+ED20*EC316+ED21*EC316+ED22*EC316+ED23*EC316+ED24*EC316+ED25*EC316+ED26*EC316+EE5*EC316+EE6*EC316+EE7*EC316+EE8*EC316+EE9*EC316+EE10*EC316+EE11*EC316+EE12*EC316+EE13*EC316+EE14*EC316+EE15*EC316+EE16*EC316+EE17*EC316+EE18*EC316+EE19*EC316+EE20*EC316+EE21*EC316+EE22*EC316+EE23*EC316+EE24*EC316+EE25*EC316+EE26*EC316+EF5*EC316+EF6*EC316+EF7*EC316+EF8*EC316+EF9*EC316+EF10*EC316+EF11*EC316+EF12*EC316+EF13*EC316+EF14*EC316+EF15*EC316+EF16*EC316+EF17*EC316+EF18*EC316+EF19*EC316+EF20*EC316+EF21*EC316+EF22*EC316+EF23*EC316+EF24*EC316+EF25*EC316+EF26*EC316</f>
        <v>0</v>
      </c>
      <c r="EE316" s="5"/>
      <c r="EF316" s="5"/>
      <c r="EH316" s="5">
        <v>6</v>
      </c>
      <c r="EI316" s="5">
        <f>EI5*EH316+EI6*EH316+EI7*EH316+EI8*EH316+EI9*EH316+EI10*EH316+EI11*EH316+EI12*EH316+EI13*EH316+EI14*EH316+EI15*EH316+EI16*EH316+EI17*EH316+EI18*EH316+EI19*EH316+EI20*EH316+EI21*EH316+EI22*EH316+EI23*EH316+EI24*EH316+EI25*EH316+EI26*EH316+EJ5*EH316+EJ6*EH316+EJ7*EH316+EJ8*EH316+EJ9*EH316+EJ10*EH316+EJ11*EH316+EJ12*EH316+EJ13*EH316+EJ14*EH316+EJ15*EH316+EJ16*EH316+EJ17*EH316+EJ18*EH316+EJ19*EH316+EJ20*EH316+EJ21*EH316+EJ22*EH316+EJ23*EH316+EJ24*EH316+EJ25*EH316+EJ26*EH316+EK5*EH316+EK6*EH316+EK7*EH316+EK8*EH316+EK9*EH316+EK10*EH316+EK11*EH316+EK12*EH316+EK13*EH316+EK14*EH316+EK15*EH316+EK16*EH316+EK17*EH316+EK18*EH316+EK19*EH316+EK20*EH316+EK21*EH316+EK22*EH316+EK23*EH316+EK24*EH316+EK25*EH316+EK26*EH316</f>
        <v>0</v>
      </c>
      <c r="EJ316" s="5"/>
      <c r="EK316" s="5"/>
      <c r="EX316" s="659">
        <f t="shared" si="2"/>
        <v>0</v>
      </c>
    </row>
    <row r="317" spans="1:154" s="6" customFormat="1" ht="15" customHeight="1">
      <c r="A317" s="3" t="s">
        <v>219</v>
      </c>
      <c r="B317" s="210" t="s">
        <v>219</v>
      </c>
      <c r="C317" s="473" t="s">
        <v>515</v>
      </c>
      <c r="D317" s="154"/>
      <c r="E317" s="5"/>
      <c r="F317" s="5">
        <f>F5*E317+G5*E317+H5*E317</f>
        <v>0</v>
      </c>
      <c r="G317" s="5"/>
      <c r="H317" s="5"/>
      <c r="I317" s="2"/>
      <c r="J317" s="4"/>
      <c r="K317" s="4"/>
      <c r="L317" s="2"/>
      <c r="M317" s="2"/>
      <c r="N317" s="2"/>
      <c r="O317" s="2"/>
      <c r="P317" s="2"/>
      <c r="Q317" s="2"/>
      <c r="R317" s="5"/>
      <c r="S317" s="5"/>
      <c r="U317" s="5"/>
      <c r="W317" s="5"/>
      <c r="X317" s="5"/>
      <c r="Y317" s="5"/>
      <c r="Z317" s="5"/>
      <c r="AB317" s="5"/>
      <c r="AC317" s="5"/>
      <c r="AD317" s="5"/>
      <c r="AE317" s="5"/>
      <c r="AG317" s="5"/>
      <c r="AH317" s="5"/>
      <c r="AI317" s="5"/>
      <c r="AJ317" s="5"/>
      <c r="AL317" s="5"/>
      <c r="AM317" s="5"/>
      <c r="AN317" s="5"/>
      <c r="AO317" s="5"/>
      <c r="AQ317" s="5"/>
      <c r="AR317" s="5"/>
      <c r="AS317" s="5"/>
      <c r="AT317" s="5"/>
      <c r="AV317" s="6">
        <v>1</v>
      </c>
      <c r="AW317" s="140">
        <f>SUM(AW5:AY5)*AV317</f>
        <v>0</v>
      </c>
      <c r="BD317" s="5"/>
      <c r="BF317" s="5"/>
      <c r="BG317" s="5"/>
      <c r="BH317" s="5"/>
      <c r="BI317" s="5"/>
      <c r="BL317" s="6">
        <f>BL5*BK317+BM5*BK317+BN5*BK317</f>
        <v>0</v>
      </c>
      <c r="BM317" s="5"/>
      <c r="BN317" s="5"/>
      <c r="BP317" s="5"/>
      <c r="BQ317" s="5">
        <f>BQ5*BP317+BR5*BP317+BS5*BP317</f>
        <v>0</v>
      </c>
      <c r="BR317" s="5"/>
      <c r="BS317" s="5"/>
      <c r="BU317" s="5"/>
      <c r="BV317" s="5"/>
      <c r="BW317" s="5"/>
      <c r="BX317" s="5"/>
      <c r="BZ317" s="5"/>
      <c r="CA317" s="5"/>
      <c r="CB317" s="5"/>
      <c r="CC317" s="5"/>
      <c r="CE317" s="5"/>
      <c r="CF317" s="5"/>
      <c r="CG317" s="5"/>
      <c r="CH317" s="5"/>
      <c r="CO317" s="13"/>
      <c r="CP317" s="5"/>
      <c r="CQ317" s="5"/>
      <c r="CR317" s="5"/>
      <c r="CT317" s="5">
        <v>1</v>
      </c>
      <c r="CU317" s="5">
        <f>SUM(CU5:CW5)*CT317</f>
        <v>0</v>
      </c>
      <c r="CV317" s="5"/>
      <c r="CW317" s="5"/>
      <c r="CY317" s="5"/>
      <c r="CZ317" s="5"/>
      <c r="DA317" s="5"/>
      <c r="DB317" s="5"/>
      <c r="DD317" s="5"/>
      <c r="DE317" s="5"/>
      <c r="DF317" s="5"/>
      <c r="DG317" s="5"/>
      <c r="DI317" s="5">
        <v>1</v>
      </c>
      <c r="DJ317" s="5">
        <f>DJ5*DI317+DK5*DI317+DL5*DI317</f>
        <v>0</v>
      </c>
      <c r="DK317" s="5"/>
      <c r="DL317" s="5"/>
      <c r="DN317" s="5">
        <v>1</v>
      </c>
      <c r="DO317" s="5">
        <f>DO5*DN317+DP5*DN317+DQ5*DN317</f>
        <v>0</v>
      </c>
      <c r="DP317" s="5"/>
      <c r="DQ317" s="5"/>
      <c r="DS317" s="5"/>
      <c r="DT317" s="5">
        <f>DT5*DS317+DU5*DS317+DV5*DS317</f>
        <v>0</v>
      </c>
      <c r="DU317" s="5"/>
      <c r="DV317" s="5"/>
      <c r="DX317" s="5"/>
      <c r="DY317" s="5">
        <f>DY5*DX317+DZ5*DX317+EA5*DX317</f>
        <v>0</v>
      </c>
      <c r="DZ317" s="5"/>
      <c r="EA317" s="5"/>
      <c r="EC317" s="5"/>
      <c r="ED317" s="5">
        <f>ED5*EC317+EE5*EC317+EF5*EC317</f>
        <v>0</v>
      </c>
      <c r="EE317" s="5"/>
      <c r="EF317" s="5"/>
      <c r="EH317" s="5"/>
      <c r="EI317" s="5">
        <f>EI5*EH317+EJ5*EH317+EK5*EH317</f>
        <v>0</v>
      </c>
      <c r="EJ317" s="5"/>
      <c r="EK317" s="5"/>
      <c r="EX317" s="659">
        <f t="shared" si="2"/>
        <v>0</v>
      </c>
    </row>
    <row r="318" spans="1:154" s="6" customFormat="1" ht="15" customHeight="1">
      <c r="A318" s="3"/>
      <c r="B318" s="210" t="s">
        <v>509</v>
      </c>
      <c r="C318" s="473" t="s">
        <v>515</v>
      </c>
      <c r="D318" s="154"/>
      <c r="E318" s="5"/>
      <c r="F318" s="5"/>
      <c r="G318" s="5"/>
      <c r="H318" s="5"/>
      <c r="I318" s="2"/>
      <c r="J318" s="4"/>
      <c r="K318" s="4"/>
      <c r="L318" s="2"/>
      <c r="M318" s="2"/>
      <c r="N318" s="2"/>
      <c r="O318" s="2"/>
      <c r="P318" s="2"/>
      <c r="Q318" s="2"/>
      <c r="R318" s="5"/>
      <c r="S318" s="5"/>
      <c r="U318" s="5"/>
      <c r="W318" s="5"/>
      <c r="X318" s="5"/>
      <c r="Y318" s="5"/>
      <c r="Z318" s="5"/>
      <c r="AB318" s="5"/>
      <c r="AC318" s="5"/>
      <c r="AD318" s="5"/>
      <c r="AE318" s="5"/>
      <c r="AG318" s="5"/>
      <c r="AH318" s="5"/>
      <c r="AI318" s="5"/>
      <c r="AJ318" s="5"/>
      <c r="AL318" s="5"/>
      <c r="AM318" s="5"/>
      <c r="AN318" s="5"/>
      <c r="AO318" s="5"/>
      <c r="AQ318" s="5"/>
      <c r="AR318" s="5"/>
      <c r="AS318" s="5"/>
      <c r="AT318" s="5"/>
      <c r="AW318" s="140"/>
      <c r="BD318" s="5"/>
      <c r="BF318" s="5"/>
      <c r="BG318" s="5"/>
      <c r="BH318" s="5"/>
      <c r="BI318" s="5"/>
      <c r="BM318" s="5"/>
      <c r="BN318" s="5"/>
      <c r="BP318" s="5"/>
      <c r="BQ318" s="5"/>
      <c r="BR318" s="5"/>
      <c r="BS318" s="5"/>
      <c r="BU318" s="5"/>
      <c r="BV318" s="5"/>
      <c r="BW318" s="5"/>
      <c r="BX318" s="5"/>
      <c r="BZ318" s="5"/>
      <c r="CA318" s="5"/>
      <c r="CB318" s="5"/>
      <c r="CC318" s="5"/>
      <c r="CE318" s="5"/>
      <c r="CF318" s="5"/>
      <c r="CG318" s="5"/>
      <c r="CH318" s="5"/>
      <c r="CO318" s="13"/>
      <c r="CP318" s="5"/>
      <c r="CQ318" s="5"/>
      <c r="CR318" s="5"/>
      <c r="CT318" s="5"/>
      <c r="CU318" s="5"/>
      <c r="CV318" s="5"/>
      <c r="CW318" s="5"/>
      <c r="CY318" s="5"/>
      <c r="CZ318" s="5"/>
      <c r="DA318" s="5"/>
      <c r="DB318" s="5"/>
      <c r="DD318" s="5"/>
      <c r="DE318" s="5"/>
      <c r="DF318" s="5"/>
      <c r="DG318" s="5"/>
      <c r="DI318" s="5"/>
      <c r="DJ318" s="5"/>
      <c r="DK318" s="5"/>
      <c r="DL318" s="5"/>
      <c r="DN318" s="5"/>
      <c r="DO318" s="5"/>
      <c r="DP318" s="5"/>
      <c r="DQ318" s="5"/>
      <c r="DS318" s="5"/>
      <c r="DT318" s="5"/>
      <c r="DU318" s="5"/>
      <c r="DV318" s="5"/>
      <c r="DX318" s="5"/>
      <c r="DY318" s="5"/>
      <c r="DZ318" s="5"/>
      <c r="EA318" s="5"/>
      <c r="EC318" s="5"/>
      <c r="ED318" s="5"/>
      <c r="EE318" s="5"/>
      <c r="EF318" s="5"/>
      <c r="EH318" s="5"/>
      <c r="EI318" s="5"/>
      <c r="EJ318" s="5"/>
      <c r="EK318" s="5"/>
      <c r="EX318" s="659">
        <f t="shared" si="2"/>
        <v>0</v>
      </c>
    </row>
    <row r="319" spans="1:154" s="6" customFormat="1" ht="15" customHeight="1">
      <c r="A319" s="3" t="s">
        <v>25</v>
      </c>
      <c r="B319" s="210" t="s">
        <v>25</v>
      </c>
      <c r="C319" s="473" t="s">
        <v>515</v>
      </c>
      <c r="D319" s="138"/>
      <c r="E319" s="5"/>
      <c r="F319" s="5">
        <f>F5*E319+F6*E319+F7*E319+F9*E319+F10*E319+F11*E319+F13*E319+F14*E319+G5*E319+G6*E319+G7*E319+G9*E319+G10*E319+G11*E319+G13*E319+G14*E319+H5*E319+H6*E319+H7*E319+H9*E319+H10*E319+H11*E319+H13*E319+H14*E319</f>
        <v>0</v>
      </c>
      <c r="G319" s="5"/>
      <c r="H319" s="5"/>
      <c r="I319" s="4"/>
      <c r="J319" s="4">
        <v>1</v>
      </c>
      <c r="K319" s="658">
        <f>SUM(K5:K6,K9:K10,K13)*J319</f>
        <v>0</v>
      </c>
      <c r="L319" s="138"/>
      <c r="M319" s="4">
        <v>9</v>
      </c>
      <c r="N319" s="661">
        <f>SUM(N5:N6,O5:O6,P5:P6,N9:N10,O9:O10,P9:P10,N13,O13,P13)*M319</f>
        <v>0</v>
      </c>
      <c r="O319" s="4"/>
      <c r="P319" s="4"/>
      <c r="Q319" s="4"/>
      <c r="R319" s="5"/>
      <c r="S319" s="5"/>
      <c r="U319" s="5"/>
      <c r="W319" s="5">
        <v>2</v>
      </c>
      <c r="X319" s="5">
        <f>SUM(X5:Z5,X9:Z9)*W319</f>
        <v>0</v>
      </c>
      <c r="Y319" s="5"/>
      <c r="Z319" s="5"/>
      <c r="AB319" s="5">
        <v>2</v>
      </c>
      <c r="AC319" s="5">
        <f>SUM(AC5:AE5,AC9:AE9)*AB319</f>
        <v>0</v>
      </c>
      <c r="AD319" s="5"/>
      <c r="AE319" s="5"/>
      <c r="AG319" s="5">
        <v>2</v>
      </c>
      <c r="AH319" s="5">
        <f>AH5*3+AI5*3+AH7*AG319+AI7*AG319+AH9*3+AI9*3+AH6*AG319+AI6*AG319+AH10*AG319+AI10*AG319+AH11*AG319+AI11*AG319+AH13*AG319+AI13*AG319+AH14*AG319+AI14*AG319+AJ9*3+AJ6*AG319+AJ5*3+AJ7*AG319+AJ10*AG319+AJ11*AG319+AJ13*AG319+AJ14*AG319</f>
        <v>0</v>
      </c>
      <c r="AI319" s="5"/>
      <c r="AJ319" s="5"/>
      <c r="AL319" s="5">
        <v>4</v>
      </c>
      <c r="AM319" s="5">
        <f>AM5*6+AN5*6+AM7*AL319+AN7*AL319+AM9*6+AN9*6+AM6*AL319+AN6*AL319+AM10*AL319+AN10*AL319+AM11*AL319+AN11*AL319+AM13*AL319+AN13*AL319+AM14*AL319+AN14*AL319+AO9*6+AO6*AL319+AO5*6+AO7*AL319+AO10*AL319+AO11*AL319+AO13*AL319+AO14*AL319</f>
        <v>0</v>
      </c>
      <c r="AN319" s="5"/>
      <c r="AO319" s="5"/>
      <c r="AQ319" s="5">
        <v>2</v>
      </c>
      <c r="AR319" s="5">
        <f>AR5*3+AS5*3+AR7*AQ319+AS7*AQ319+AR9*3+AS9*3+AR6*AQ319+AS6*AQ319+AR10*AQ319+AS10*AQ319+AR11*AQ319+AS11*AQ319+AR13*AQ319+AS13*AQ319+AR14*AQ319+AS14*AQ319+AT9*3+AT6*AQ319+AT5*3+AT7*AQ319+AT10*AQ319+AT11*AQ319+AT13*AQ319+AT14*AQ319</f>
        <v>0</v>
      </c>
      <c r="AS319" s="5"/>
      <c r="AT319" s="5"/>
      <c r="AV319" s="6">
        <v>1</v>
      </c>
      <c r="AW319" s="140">
        <f>SUM(AW6:AY15)*AV319</f>
        <v>0</v>
      </c>
      <c r="BA319" s="6">
        <v>1</v>
      </c>
      <c r="BB319" s="6">
        <f>BB5*BA319+BC5*BA319+BD5*BA319</f>
        <v>0</v>
      </c>
      <c r="BD319" s="5"/>
      <c r="BF319" s="5">
        <v>1</v>
      </c>
      <c r="BG319" s="5">
        <f>SUM(BG5:BI5,BG9:BI9)*BF319</f>
        <v>0</v>
      </c>
      <c r="BH319" s="5"/>
      <c r="BI319" s="5"/>
      <c r="BM319" s="5"/>
      <c r="BN319" s="5"/>
      <c r="BP319" s="5">
        <v>1</v>
      </c>
      <c r="BQ319" s="5">
        <f>BQ5*BP319+BQ6*BP319+BQ7*BP319+BQ9*BP319+BQ10*BP319+BQ11*BP319+BQ13*BP319+BQ14*BP319+BR5*BP319+BR6*BP319+BR7*BP319+BR9*BP319+BR10*BP319+BR11*BP319+BR13*BP319+BR14*BP319+BS5*BP319+BS6*BP319+BS7*BP319+BS9*BP319+BS10*BP319+BS11*BP319+BS13*BP319+BS14*BP319</f>
        <v>0</v>
      </c>
      <c r="BR319" s="5"/>
      <c r="BS319" s="5"/>
      <c r="BU319" s="5"/>
      <c r="BV319" s="5"/>
      <c r="BW319" s="5"/>
      <c r="BX319" s="5"/>
      <c r="BZ319" s="5">
        <v>1</v>
      </c>
      <c r="CA319" s="5">
        <f>SUM(CA5:CC5,CA9:CC9)*BZ319</f>
        <v>0</v>
      </c>
      <c r="CB319" s="5"/>
      <c r="CC319" s="5"/>
      <c r="CE319" s="5">
        <v>1</v>
      </c>
      <c r="CF319" s="5">
        <f>SUM(CF5:CH5,CF9:CH9)*CE319</f>
        <v>0</v>
      </c>
      <c r="CG319" s="5"/>
      <c r="CH319" s="5"/>
      <c r="CJ319" s="6">
        <v>0</v>
      </c>
      <c r="CK319" s="6">
        <f>CK5*CJ319+CL5*CJ319+CK9*CJ319+CL9*CJ319+CM5*CJ319+CM9*CJ319</f>
        <v>0</v>
      </c>
      <c r="CO319" s="13">
        <v>1</v>
      </c>
      <c r="CP319" s="5">
        <f>CP5*CO319+CQ5*CO319+CP9*CO319+CQ9*CO319+CR5*CO319+CR9*CO319</f>
        <v>0</v>
      </c>
      <c r="CQ319" s="5"/>
      <c r="CR319" s="5"/>
      <c r="CT319" s="5">
        <v>1</v>
      </c>
      <c r="CU319" s="5">
        <f>CU5*CT319+CV5*CT319+CU9*CT319+CV9*CT319+CW5*CT319+CW9*CT319</f>
        <v>0</v>
      </c>
      <c r="CV319" s="5"/>
      <c r="CW319" s="5"/>
      <c r="CY319" s="5"/>
      <c r="CZ319" s="5"/>
      <c r="DA319" s="5"/>
      <c r="DB319" s="5"/>
      <c r="DD319" s="5">
        <v>1</v>
      </c>
      <c r="DE319" s="5">
        <f>DE5*DD319+DF5*DD319+DE9*DD319+DF9*DD319+DG5*DD319+DG9*DD319</f>
        <v>0</v>
      </c>
      <c r="DF319" s="5"/>
      <c r="DG319" s="5"/>
      <c r="DI319" s="5">
        <v>1</v>
      </c>
      <c r="DJ319" s="5">
        <f>DJ5*DI319+DK5*DI319+DJ9*2+DK9*2+DL5*DI319+DL9*2+DJ6*DI319+DK6*DI319+DL6*DI319+DJ7*DI319+DK7*DI319+DL7*DI319+DJ10*DI319+DJ11*DI319+DJ13*DI319+DJ14*DI319+DK10*DI319+DK11*DI319+DK13*DI319+DK14*DI319+DL10*DI319+DL11*DI319+DL13*DI319+DL14*DI319</f>
        <v>0</v>
      </c>
      <c r="DK319" s="5"/>
      <c r="DL319" s="5"/>
      <c r="DN319" s="5">
        <v>1</v>
      </c>
      <c r="DO319" s="5">
        <f>DO5*DN319+DP5*DN319+DO9*2+DP9*2+DQ5*DN319+DQ9*2+DO6*DN319+DP6*DN319+DQ6*DN319+DO7*DN319+DP7*DN319+DQ7*DN319+DO10*DN319+DO11*DN319+DO13*DN319+DO14*DN319+DP10*DN319+DP11*DN319+DP13*DN319+DP14*DN319+DQ10*DN319+DQ11*DN319+DQ13*DN319+DQ14*DN319</f>
        <v>0</v>
      </c>
      <c r="DP319" s="5"/>
      <c r="DQ319" s="5"/>
      <c r="DS319" s="5">
        <v>2</v>
      </c>
      <c r="DT319" s="5">
        <f>DT5*DS319+DU5*DS319+DT9*DS319+DU9*DS319+DV5*DS319+DV9*DS319</f>
        <v>0</v>
      </c>
      <c r="DU319" s="5"/>
      <c r="DV319" s="5"/>
      <c r="DX319" s="5">
        <v>2</v>
      </c>
      <c r="DY319" s="5">
        <f>DY5*DX319+DZ5*DX319+DY9*DX319+DZ9*DX319+EA5*DX319+EA9*DX319</f>
        <v>0</v>
      </c>
      <c r="DZ319" s="5"/>
      <c r="EA319" s="5"/>
      <c r="EC319" s="5">
        <v>2</v>
      </c>
      <c r="ED319" s="5">
        <f>ED5*EC319+EE5*EC319+ED9*EC319+EE9*EC319+EF5*EC319+EF9*EC319</f>
        <v>0</v>
      </c>
      <c r="EE319" s="5"/>
      <c r="EF319" s="5"/>
      <c r="EH319" s="5">
        <v>2</v>
      </c>
      <c r="EI319" s="5">
        <f>EI5*EH319+EJ5*EH319+EI9*EH319+EJ9*EH319+EK5*EH319+EK9*EH319</f>
        <v>0</v>
      </c>
      <c r="EJ319" s="5"/>
      <c r="EK319" s="5"/>
      <c r="EX319" s="659">
        <f t="shared" si="2"/>
        <v>0</v>
      </c>
    </row>
    <row r="320" spans="1:154" s="6" customFormat="1" ht="15" customHeight="1">
      <c r="A320" s="3" t="s">
        <v>26</v>
      </c>
      <c r="B320" s="210" t="s">
        <v>26</v>
      </c>
      <c r="C320" s="473" t="s">
        <v>515</v>
      </c>
      <c r="D320" s="138"/>
      <c r="E320" s="5"/>
      <c r="F320" s="5">
        <f>SUM(F5:H5,F9:H9)*E320</f>
        <v>0</v>
      </c>
      <c r="G320" s="5"/>
      <c r="H320" s="5"/>
      <c r="I320" s="4"/>
      <c r="J320" s="4">
        <v>1</v>
      </c>
      <c r="K320" s="658">
        <f>SUM(K7,K11,K14)*J320</f>
        <v>0</v>
      </c>
      <c r="L320" s="138"/>
      <c r="M320" s="4">
        <v>9</v>
      </c>
      <c r="N320" s="661">
        <f>SUM(N7:P7,N11:P11,N14:P14)*M320</f>
        <v>0</v>
      </c>
      <c r="O320" s="4"/>
      <c r="P320" s="4"/>
      <c r="Q320" s="4"/>
      <c r="R320" s="5"/>
      <c r="S320" s="5"/>
      <c r="U320" s="5"/>
      <c r="W320" s="5">
        <v>2</v>
      </c>
      <c r="X320" s="5">
        <f>SUM(X6:Z8,X10:Z15)*W320</f>
        <v>0</v>
      </c>
      <c r="Y320" s="5"/>
      <c r="Z320" s="5"/>
      <c r="AB320" s="5">
        <v>2</v>
      </c>
      <c r="AC320" s="5">
        <f>SUM(AC5:AE5,AC9:AE9,AC8:AE8,AC12:AE12,AC15:AE15)*AB320</f>
        <v>0</v>
      </c>
      <c r="AD320" s="5"/>
      <c r="AE320" s="5"/>
      <c r="AG320" s="5">
        <v>1</v>
      </c>
      <c r="AH320" s="5">
        <f>AH6*AG320+AI6*AG320+AH8*2+AI8*AG320+AH10*AG320+AI10*AG320+AH7*AG320+AI7*AG320+AH11*AG320+AI11*AG320+AH12*2+AI12*AG320+AH14*AG320+AI14*AG320+AH15*2+AI15*2+AJ10*AG320+AJ7*AG320+AJ6*AG320+AJ8*2+AJ11*AG320+AJ12*AG320+AJ14*AG320+AJ15*2+AH13*AG320+AI13*AG320+AJ13*AG320</f>
        <v>0</v>
      </c>
      <c r="AI320" s="5"/>
      <c r="AJ320" s="5"/>
      <c r="AL320" s="5">
        <v>2</v>
      </c>
      <c r="AM320" s="5">
        <f>AM6*AL320+AN6*AL320+AM8*4+AN8*AL320+AM10*AL320+AN10*AL320+AM7*AL320+AN7*AL320+AM11*AL320+AN11*AL320+AM12*4+AN12*AL320+AM14*AL320+AN14*AL320+AM15*4+AN15*4+AO10*AL320+AO7*AL320+AO6*AL320+AO8*4+AO11*AL320+AO12*AL320+AO14*AL320+AO15*4+AM13*AL320+AN13*AL320+AO13*AL320</f>
        <v>0</v>
      </c>
      <c r="AN320" s="5"/>
      <c r="AO320" s="5"/>
      <c r="AQ320" s="5">
        <v>1</v>
      </c>
      <c r="AR320" s="5">
        <f>AR6*AQ320+AS6*AQ320+AR8*2+AS8*AQ320+AR10*AQ320+AS10*AQ320+AR7*AQ320+AS7*AQ320+AR11*AQ320+AS11*AQ320+AR12*2+AS12*AQ320+AR14*AQ320+AS14*AQ320+AR15*2+AS15*2+AT10*AQ320+AT7*AQ320+AT6*AQ320+AT8*2+AT11*AQ320+AT12*AQ320+AT14*AQ320+AT15*2+AR13*AQ320+AS13*AQ320+AT13*AQ320</f>
        <v>0</v>
      </c>
      <c r="AS320" s="5"/>
      <c r="AT320" s="5"/>
      <c r="AV320" s="6">
        <v>1</v>
      </c>
      <c r="AW320" s="140">
        <f>SUM(AW5:AY5,AW6:AY6,AW7:AY7,AW9:AY9,AW10:AY10,AW11:AY11,AW13:AY13,AW14:AY14)*AV320</f>
        <v>0</v>
      </c>
      <c r="BA320" s="6">
        <v>1</v>
      </c>
      <c r="BB320" s="6">
        <f>SUM(BB6:BB8,BC6:BC8,BD6:BD8,BB10:BB15,BC10:BC15,BD10:BD15)*BA320</f>
        <v>0</v>
      </c>
      <c r="BD320" s="5"/>
      <c r="BF320" s="5">
        <v>1</v>
      </c>
      <c r="BG320" s="5">
        <f>SUM(BG6:BG8,BH6:BH8,BI6:BI8,BG10:BG15,BH10:BH15,BI10:BI15)*BF320</f>
        <v>0</v>
      </c>
      <c r="BH320" s="5"/>
      <c r="BI320" s="5"/>
      <c r="BK320" s="6">
        <v>1</v>
      </c>
      <c r="BL320" s="5">
        <f>SUM(BL5:BN5,BL9:BN9)*BK320</f>
        <v>0</v>
      </c>
      <c r="BM320" s="5"/>
      <c r="BN320" s="5"/>
      <c r="BP320" s="5">
        <v>1</v>
      </c>
      <c r="BQ320" s="5">
        <f>SUM(BQ5:BS5,BQ9:BS9)*BP320</f>
        <v>0</v>
      </c>
      <c r="BR320" s="5"/>
      <c r="BS320" s="5"/>
      <c r="BU320" s="5"/>
      <c r="BV320" s="5"/>
      <c r="BW320" s="5"/>
      <c r="BX320" s="5"/>
      <c r="BZ320" s="5" t="s">
        <v>155</v>
      </c>
      <c r="CA320" s="5">
        <f>SUM(CA5:CC5,CA8:CC8,CA9:CC9,CA12:CC12,CA15:CC15)*1+SUM(CA6:CC6,CA7:CC7,CA10:CC10,CA11:CC11,CA13:CC13,CA14:CC14)*2</f>
        <v>0</v>
      </c>
      <c r="CB320" s="5"/>
      <c r="CC320" s="5"/>
      <c r="CE320" s="5" t="s">
        <v>155</v>
      </c>
      <c r="CF320" s="5">
        <f>SUM(CF5:CH5,CF8:CH8,CF9:CH9,CF12:CH12,CF15:CH15)*1+SUM(CF6:CH6,CF7:CH7,CF10:CH10,CF11:CH11,CF13:CH13,CF14:CH14)*2</f>
        <v>0</v>
      </c>
      <c r="CG320" s="5"/>
      <c r="CH320" s="5"/>
      <c r="CJ320" s="6">
        <v>0</v>
      </c>
      <c r="CK320" s="6">
        <f>CK6*CJ320+CL6*CJ320+CK7*CJ320+CL7*CJ320+CK8*CJ320+CL8*CJ320+CK10*CJ320+CL10*CJ320+CK11*CJ320+CL11*CJ320+CK12*CJ320+CK13*CJ320+CL13*CJ320+CL12*CJ320+CK14*CJ320+CL14*CJ320+CK15*CJ320+CL15*CJ320+CM6*CJ320+CM7*CJ320+CM8*CJ320+CM10*CJ320+CM11*CJ320+CM12*CJ320+CM13*CJ320+CM14*CJ320+CM15*CJ320</f>
        <v>0</v>
      </c>
      <c r="CO320" s="13">
        <v>1</v>
      </c>
      <c r="CP320" s="5">
        <f>CP6*CO320+CQ6*CO320+CP7*CO320+CQ7*CO320+CP8*CO320+CQ8*CO320+CP10*CO320+CQ10*CO320+CP11*CO320+CQ11*CO320+CP12*CO320+CP13*CO320+CQ13*CO320+CQ12*CO320+CP14*CO320+CQ14*CO320+CP15*CO320+CQ15*CO320+CR6*CO320+CR7*CO320+CR8*CO320+CR10*CO320+CR11*CO320+CR12*CO320+CR13*CO320+CR14*CO320+CR15*CO320</f>
        <v>0</v>
      </c>
      <c r="CQ320" s="5"/>
      <c r="CR320" s="5"/>
      <c r="CT320" s="5">
        <v>2</v>
      </c>
      <c r="CU320" s="5">
        <f>SUM(CU5:CU26,CV5:CV26,CW5:CW26)*CT320</f>
        <v>0</v>
      </c>
      <c r="CV320" s="5"/>
      <c r="CW320" s="5"/>
      <c r="CY320" s="5">
        <v>1</v>
      </c>
      <c r="CZ320" s="5">
        <f>SUM(CZ5:CZ7,CZ9:CZ11,CZ13:CZ14,DA5:DA7,DA9:DA11,DA13:DA14,DB5:DB7,DB9:DB11,DB13:DB14)*CY320</f>
        <v>0</v>
      </c>
      <c r="DA320" s="5"/>
      <c r="DB320" s="5"/>
      <c r="DD320" s="5">
        <v>1</v>
      </c>
      <c r="DE320" s="5">
        <f>DE6*DD320+DF6*DD320+DE7*DD320+DF7*DD320+DE8*DD320+DF8*DD320+DE10*DD320+DF10*DD320+DE11*DD320+DF11*DD320+DE12*DD320+DE13*DD320+DF13*DD320+DF12*DD320+DE14*DD320+DF14*DD320+DE15*DD320+DF15*DD320+DG6*DD320+DG7*DD320+DG8*DD320+DG10*DD320+DG11*DD320+DG12*DD320+DG13*DD320+DG14*DD320+DG15*DD320</f>
        <v>0</v>
      </c>
      <c r="DF320" s="5"/>
      <c r="DG320" s="5"/>
      <c r="DI320" s="5">
        <v>2</v>
      </c>
      <c r="DJ320" s="5">
        <f>DJ5*6+DK5*6+DL5*6+DJ6*DI320+DJ7*DI320+DJ10*DI320+DJ11*DI320+DJ13*DI320+DJ14*DI320+DK6*DI320+DK7*DI320+DK10*DI320+DK11*DI320+DK13*DI320+DK14*DI320+DL6*DI320+DL7*DI320+DL10*DI320+DL11*DI320+DL13*DI320+DL14*DI320+DJ9*5+DK9*5+DL9*9+DJ8*1+DJ15*1+DJ12*1+DK8*1+DK15*1+DK12*1+DL8*1+DL15*1+DL12*1</f>
        <v>0</v>
      </c>
      <c r="DK320" s="5"/>
      <c r="DL320" s="5"/>
      <c r="DN320" s="5">
        <v>2</v>
      </c>
      <c r="DO320" s="5">
        <f>DO5*6+DP5*6+DQ5*6+DO6*DN320+DO7*DN320+DO10*DN320+DO11*DN320+DO13*DN320+DO14*DN320+DP6*DN320+DP7*DN320+DP10*DN320+DP11*DN320+DP13*DN320+DP14*DN320+DQ6*DN320+DQ7*DN320+DQ10*DN320+DQ11*DN320+DQ13*DN320+DQ14*DN320+DO9*5+DP9*5+DQ9*9+DO8*1+DO15*1+DO12*1+DP8*1+DP15*1+DP12*1+DQ8*1+DQ15*1+DQ12*1</f>
        <v>0</v>
      </c>
      <c r="DP320" s="5"/>
      <c r="DQ320" s="5"/>
      <c r="DS320" s="5">
        <v>5</v>
      </c>
      <c r="DT320" s="5">
        <f>DT5*5+DU5*5+DV5*5+DT9*5+DU9*5+DV9*5+DT6*DS320+DU6*DS320+DV6*DS320+DT7*DS320+DU7*DS320+DV7*DS320+DT10*DS320+DU10*DS320+DV10*DS320+DT11*DS320+DU11*DS320+DV11*DS320+DT13*DS320+DU13*DS320+DV13*DS320+DT14*DS320+DU14*DS320+DV14*DS320+DT12*1+DU12*1+DV12*1+DT15*1+DU15*1+DV15*1+DT8*1+DU8*1+DV8*1</f>
        <v>0</v>
      </c>
      <c r="DU320" s="5"/>
      <c r="DV320" s="5"/>
      <c r="DX320" s="5">
        <v>5</v>
      </c>
      <c r="DY320" s="5">
        <f>DY5*5+DZ5*5+EA5*5+DY9*5+DZ9*5+EA9*5+DY6*DX320+DZ6*DX320+EA6*DX320+DY7*DX320+DZ7*DX320+EA7*DX320+DY10*DX320+DZ10*DX320+EA10*DX320+DY11*DX320+DZ11*DX320+EA11*DX320+DY13*DX320+DZ13*DX320+EA13*DX320+DY14*DX320+DZ14*DX320+EA14*DX320+DY12*1+DZ12*1+EA12*1+DY15*1+DZ15*1+EA15*1+DY8*1+DZ8*1+EA8*1</f>
        <v>0</v>
      </c>
      <c r="DZ320" s="5"/>
      <c r="EA320" s="5"/>
      <c r="EC320" s="5">
        <v>5</v>
      </c>
      <c r="ED320" s="5">
        <f>ED5*5+EE5*5+EF5*5+ED9*5+EE9*5+EF9*5+ED6*EC320+EE6*EC320+EF6*EC320+ED7*EC320+EE7*EC320+EF7*EC320+ED10*EC320+EE10*EC320+EF10*EC320+ED11*EC320+EE11*EC320+EF11*EC320+ED13*EC320+EE13*EC320+EF13*EC320+ED14*EC320+EE14*EC320+EF14*EC320+ED12*1+EE12*1+EF12*1+ED15*1+EE15*1+EF15*1+ED8*1+EE8*1+EF8*1</f>
        <v>0</v>
      </c>
      <c r="EE320" s="5"/>
      <c r="EF320" s="5"/>
      <c r="EH320" s="5">
        <v>5</v>
      </c>
      <c r="EI320" s="5">
        <f>EI5*5+EJ5*5+EK5*5+EI9*5+EJ9*5+EK9*5+EI6*EH320+EJ6*EH320+EK6*EH320+EI7*EH320+EJ7*EH320+EK7*EH320+EI10*EH320+EJ10*EH320+EK10*EH320+EI11*EH320+EJ11*EH320+EK11*EH320+EI13*EH320+EJ13*EH320+EK13*EH320+EI14*EH320+EJ14*EH320+EK14*EH320+EI12*1+EJ12*1+EK12*1+EI15*1+EJ15*1+EK15*1+EI8*1+EJ8*1+EK8*1</f>
        <v>0</v>
      </c>
      <c r="EJ320" s="5"/>
      <c r="EK320" s="5"/>
      <c r="EX320" s="659">
        <f t="shared" si="2"/>
        <v>0</v>
      </c>
    </row>
    <row r="321" spans="1:155" s="6" customFormat="1" ht="15" customHeight="1">
      <c r="A321" s="3" t="s">
        <v>27</v>
      </c>
      <c r="B321" s="210" t="s">
        <v>27</v>
      </c>
      <c r="C321" s="473" t="s">
        <v>515</v>
      </c>
      <c r="D321" s="138"/>
      <c r="E321" s="5"/>
      <c r="F321" s="5">
        <f>SUM(F6:F8,G6:G8,H6:H8,F10:F15,G10:G15,H10:H15)*E321</f>
        <v>0</v>
      </c>
      <c r="G321" s="5"/>
      <c r="H321" s="5"/>
      <c r="I321" s="4"/>
      <c r="J321" s="4">
        <v>1</v>
      </c>
      <c r="K321" s="661">
        <f>SUM(K8,K12,K15)*J321</f>
        <v>0</v>
      </c>
      <c r="L321" s="138"/>
      <c r="M321" s="4">
        <v>9</v>
      </c>
      <c r="N321" s="661">
        <f>SUM(N8:P8,N12:P12,N15:P15)*M321</f>
        <v>0</v>
      </c>
      <c r="O321" s="4"/>
      <c r="P321" s="4"/>
      <c r="Q321" s="4"/>
      <c r="R321" s="5"/>
      <c r="S321" s="5"/>
      <c r="U321" s="5"/>
      <c r="W321" s="5"/>
      <c r="X321" s="5"/>
      <c r="Y321" s="5"/>
      <c r="Z321" s="5"/>
      <c r="AB321" s="5">
        <v>2</v>
      </c>
      <c r="AC321" s="5">
        <f>SUM(AC6:AE7,AC10:AE11,AC13:AE14)*AB321</f>
        <v>0</v>
      </c>
      <c r="AD321" s="5"/>
      <c r="AE321" s="5"/>
      <c r="AG321" s="5">
        <v>1</v>
      </c>
      <c r="AH321" s="5">
        <f>AH8*AG321+AI8*AG321+AJ8*AG321+AH12*AG321+AI12*AG321+AH15*AG321+AI15*AG321+AJ12*AG321+AI12*AG321+AJ15*AG321</f>
        <v>0</v>
      </c>
      <c r="AI321" s="5"/>
      <c r="AJ321" s="5"/>
      <c r="AL321" s="5">
        <v>2</v>
      </c>
      <c r="AM321" s="5">
        <f>AM8*AL321+AN8*AL321+AO8*AL321+AM12*AL321+AN12*AL321+AM15*AL321+AN15*AL321+AO12*AL321+AN12*AL321+AO15*AL321</f>
        <v>0</v>
      </c>
      <c r="AN321" s="5"/>
      <c r="AO321" s="5"/>
      <c r="AQ321" s="5">
        <v>1</v>
      </c>
      <c r="AR321" s="5">
        <f>AR8*AQ321+AS8*AQ321+AT8*AQ321+AR12*AQ321+AS12*AQ321+AR15*AQ321+AS15*AQ321+AT12*AQ321+AS12*AQ321+AT15*AQ321</f>
        <v>0</v>
      </c>
      <c r="AS321" s="5"/>
      <c r="AT321" s="5"/>
      <c r="AV321" s="6">
        <v>1</v>
      </c>
      <c r="AW321" s="140">
        <f>SUM(AW12:AY12,AW15:AY15,AW8:AY8)*AV321</f>
        <v>0</v>
      </c>
      <c r="BA321" s="6">
        <v>1</v>
      </c>
      <c r="BB321" s="6">
        <f>SUM(BB5:BB7,BC5:BC7,BD5:BD7,BB9:BB11,BC9:BC11,BD9:BD11,BB13:BB14,BC13:BC14,BD13:BD14)*BA322</f>
        <v>0</v>
      </c>
      <c r="BD321" s="5"/>
      <c r="BF321" s="5"/>
      <c r="BG321" s="5"/>
      <c r="BH321" s="5"/>
      <c r="BI321" s="5"/>
      <c r="BK321" s="6">
        <v>1</v>
      </c>
      <c r="BL321" s="5">
        <f>SUM(BL6:BL8,BM6:BM8,BN6:BN8,BL10:BL15,BM10:BM15,BN10:BN15)*BK321</f>
        <v>0</v>
      </c>
      <c r="BM321" s="5"/>
      <c r="BN321" s="5"/>
      <c r="BP321" s="5"/>
      <c r="BQ321" s="5">
        <f>SUM(BQ6:BQ8,BR6:BR8,BS6:BS8,BQ10:BQ15,BR10:BR15,BS10:BS15)*BP321</f>
        <v>0</v>
      </c>
      <c r="BR321" s="5"/>
      <c r="BS321" s="5"/>
      <c r="BU321" s="5"/>
      <c r="BV321" s="5"/>
      <c r="BW321" s="5"/>
      <c r="BX321" s="5"/>
      <c r="BZ321" s="5">
        <v>1</v>
      </c>
      <c r="CA321" s="5">
        <f>SUM(CA8:CC8,CA12:CC12,CA15:CC15)*1</f>
        <v>0</v>
      </c>
      <c r="CB321" s="5"/>
      <c r="CC321" s="5"/>
      <c r="CE321" s="5">
        <v>1</v>
      </c>
      <c r="CF321" s="5">
        <f>SUM(CF8:CH8,CF12:CH12,CF15:CH15)*1</f>
        <v>0</v>
      </c>
      <c r="CG321" s="5"/>
      <c r="CH321" s="5"/>
      <c r="CO321" s="13"/>
      <c r="CP321" s="5"/>
      <c r="CQ321" s="5"/>
      <c r="CR321" s="5"/>
      <c r="CT321" s="5">
        <v>1</v>
      </c>
      <c r="CU321" s="5">
        <f>SUM(CU5:CU26,CV5:CV26,CW5:CW26)*CT321</f>
        <v>0</v>
      </c>
      <c r="CV321" s="5"/>
      <c r="CW321" s="5"/>
      <c r="CY321" s="5">
        <v>1</v>
      </c>
      <c r="CZ321" s="5">
        <f>SUM(CZ8:DB8,CZ12:DB12,CZ15:DB15)*CY321</f>
        <v>0</v>
      </c>
      <c r="DA321" s="5"/>
      <c r="DB321" s="5"/>
      <c r="DD321" s="5"/>
      <c r="DE321" s="5"/>
      <c r="DF321" s="5"/>
      <c r="DG321" s="5"/>
      <c r="DI321" s="5">
        <v>5</v>
      </c>
      <c r="DJ321" s="5">
        <f>DJ8*2+DK8*2+DL8*2+DJ12*2+DJ9*1+DK9*1+DL9*1+DJ15*2+DK15*2+DL12*2+DK12*2+DL15*2+DJ6*DI321+DK6*DI321+DL6*DI321+DJ7*DI321+DK7*DI321+DL7*DI321+DJ10*DI321+DK10*DI321+DL10*DI321+DJ11*DI321+DK11*DI321+DL11*DI321+DJ13*DI321+DK13*DI321+DL13*DI321+DJ14*DI321+DK14*DI321+DL14*DI321</f>
        <v>0</v>
      </c>
      <c r="DK321" s="5"/>
      <c r="DL321" s="5"/>
      <c r="DN321" s="5">
        <v>5</v>
      </c>
      <c r="DO321" s="5">
        <f>DO8*2+DP8*2+DQ8*2+DO12*2+DO9*1+DP9*1+DQ9*1+DO15*2+DP15*2+DQ12*2+DP12*2+DQ15*2+DO6*DN321+DP6*DN321+DQ6*DN321+DO7*DN321+DP7*DN321+DQ7*DN321+DO10*DN321+DP10*DN321+DQ10*DN321+DO11*DN321+DP11*DN321+DQ11*DN321+DO13*DN321+DP13*DN321+DQ13*DN321+DO14*DN321+DP14*DN321+DQ14*DN321</f>
        <v>0</v>
      </c>
      <c r="DP321" s="5"/>
      <c r="DQ321" s="5"/>
      <c r="DS321" s="5">
        <v>5</v>
      </c>
      <c r="DT321" s="5">
        <f>DT8*1+DU8*1+DV8*1+DT12*1+DT15*1+DU15*1+DV12*1+DU12*1+DV15*1+DT6*DS321+DU6*DS321+DV6*DS321+DT7*DS321+DU7*DS321+DV7*DS321+DT10*DS321+DU10*DS321+DV10*DS321+DT11*DS321+DU11*DS321+DV11*DS321+DT13*DS321+DU13*DS321+DV13*DS321+DT14*DS321+DU14*DS321+DV14*DS321</f>
        <v>0</v>
      </c>
      <c r="DU321" s="5"/>
      <c r="DV321" s="5"/>
      <c r="DX321" s="5">
        <v>5</v>
      </c>
      <c r="DY321" s="5">
        <f>DY8*1+DZ8*1+EA8*1+DY12*1+DY15*1+DZ15*1+EA12*1+DZ12*1+EA15*1+DY6*DX321+DZ6*DX321+EA6*DX321+DY7*DX321+DZ7*DX321+EA7*DX321+DY10*DX321+DZ10*DX321+EA10*DX321+DY11*DX321+DZ11*DX321+EA11*DX321+DY13*DX321+DZ13*DX321+EA13*DX321+DY14*DX321+DZ14*DX321+EA14*DX321</f>
        <v>0</v>
      </c>
      <c r="DZ321" s="5"/>
      <c r="EA321" s="5"/>
      <c r="EC321" s="5">
        <v>5</v>
      </c>
      <c r="ED321" s="5">
        <f>ED8*1+EE8*1+EF8*1+ED12*1+ED15*1+EE15*1+EF12*1+EE12*1+EF15*1+ED6*EC321+EE6*EC321+EF6*EC321+ED7*EC321+EE7*EC321+EF7*EC321+ED10*EC321+EE10*EC321+EF10*EC321+ED11*EC321+EE11*EC321+EF11*EC321+ED13*EC321+EE13*EC321+EF13*EC321+ED14*EC321+EE14*EC321+EF14*EC321</f>
        <v>0</v>
      </c>
      <c r="EE321" s="5"/>
      <c r="EF321" s="5"/>
      <c r="EH321" s="5">
        <v>5</v>
      </c>
      <c r="EI321" s="5">
        <f>EI8*1+EJ8*1+EK8*1+EI12*1+EI15*1+EJ15*1+EK12*1+EJ12*1+EK15*1+EI6*EH321+EJ6*EH321+EK6*EH321+EI7*EH321+EJ7*EH321+EK7*EH321+EI10*EH321+EJ10*EH321+EK10*EH321+EI11*EH321+EJ11*EH321+EK11*EH321+EI13*EH321+EJ13*EH321+EK13*EH321+EI14*EH321+EJ14*EH321+EK14*EH321</f>
        <v>0</v>
      </c>
      <c r="EJ321" s="5"/>
      <c r="EK321" s="5"/>
      <c r="EX321" s="659">
        <f t="shared" si="2"/>
        <v>0</v>
      </c>
    </row>
    <row r="322" spans="1:155" s="6" customFormat="1" ht="15" customHeight="1">
      <c r="A322" s="3" t="s">
        <v>152</v>
      </c>
      <c r="B322" s="210" t="s">
        <v>152</v>
      </c>
      <c r="C322" s="473" t="s">
        <v>515</v>
      </c>
      <c r="D322" s="138"/>
      <c r="E322" s="5"/>
      <c r="I322" s="4"/>
      <c r="J322" s="4"/>
      <c r="K322" s="4"/>
      <c r="L322" s="4"/>
      <c r="M322" s="4"/>
      <c r="N322" s="4"/>
      <c r="O322" s="4"/>
      <c r="P322" s="4"/>
      <c r="Q322" s="4"/>
      <c r="R322" s="5"/>
      <c r="S322" s="5"/>
      <c r="U322" s="5"/>
      <c r="W322" s="5"/>
      <c r="X322" s="5"/>
      <c r="Y322" s="5"/>
      <c r="Z322" s="5"/>
      <c r="AB322" s="5">
        <v>2</v>
      </c>
      <c r="AC322" s="5">
        <f>SUM(AC12:AE12,AC8:AE8,AC15:AE15)*AB322</f>
        <v>0</v>
      </c>
      <c r="AD322" s="5"/>
      <c r="AE322" s="5"/>
      <c r="AG322" s="5"/>
      <c r="AH322" s="5"/>
      <c r="AI322" s="5"/>
      <c r="AJ322" s="5"/>
      <c r="AL322" s="5"/>
      <c r="AM322" s="5"/>
      <c r="AN322" s="5"/>
      <c r="AO322" s="5"/>
      <c r="AQ322" s="5"/>
      <c r="AR322" s="5"/>
      <c r="AS322" s="5"/>
      <c r="AT322" s="5"/>
      <c r="BA322" s="6">
        <v>1</v>
      </c>
      <c r="BB322" s="6">
        <f>BB8*BA322+BC8*BA322+BD8*BA322+BB12*BA322+BB15*BA322+BC15*BA322+BD12*BA322+BC12*BA322+BD15*BA322</f>
        <v>0</v>
      </c>
      <c r="BD322" s="5"/>
      <c r="BF322" s="5"/>
      <c r="BG322" s="5"/>
      <c r="BH322" s="5"/>
      <c r="BI322" s="5"/>
      <c r="BM322" s="5"/>
      <c r="BN322" s="5"/>
      <c r="BP322" s="5"/>
      <c r="BR322" s="5"/>
      <c r="BS322" s="5"/>
      <c r="BU322" s="5">
        <v>1</v>
      </c>
      <c r="BV322" s="5">
        <f>SUM(BV5:BV7,BV9:BV11,BV13:BV14,BW5:BW7,BW9:BW11,BW13:BW14,BX5:BX7,BX9:BX11,BX13:BX14)*BU322</f>
        <v>0</v>
      </c>
      <c r="BW322" s="5"/>
      <c r="BX322" s="5"/>
      <c r="BZ322" s="5"/>
      <c r="CA322" s="5"/>
      <c r="CB322" s="5"/>
      <c r="CC322" s="5"/>
      <c r="CE322" s="5"/>
      <c r="CF322" s="5"/>
      <c r="CG322" s="5"/>
      <c r="CH322" s="5"/>
      <c r="CO322" s="13"/>
      <c r="CP322" s="5"/>
      <c r="CQ322" s="5"/>
      <c r="CR322" s="5"/>
      <c r="CT322" s="5"/>
      <c r="CU322" s="5"/>
      <c r="CV322" s="5"/>
      <c r="CW322" s="5"/>
      <c r="CY322" s="5"/>
      <c r="CZ322" s="5"/>
      <c r="DA322" s="5"/>
      <c r="DB322" s="5"/>
      <c r="DD322" s="5"/>
      <c r="DE322" s="5"/>
      <c r="DF322" s="5"/>
      <c r="DG322" s="5"/>
      <c r="DI322" s="5">
        <v>5</v>
      </c>
      <c r="DJ322" s="5">
        <f>DJ8*DI322+DK8*DI322+DL8*DI322+DJ12*DI322+DK12*DI322+DL12*DI322+DJ15*DI322+DK15*DI322+DL15*DI322</f>
        <v>0</v>
      </c>
      <c r="DK322" s="5"/>
      <c r="DL322" s="5"/>
      <c r="DN322" s="5">
        <v>5</v>
      </c>
      <c r="DO322" s="5">
        <f>DO8*DN322+DP8*DN322+DQ8*DN322+DO12*DN322+DP12*DN322+DQ12*DN322+DO15*DN322+DP15*DN322+DQ15*DN322</f>
        <v>0</v>
      </c>
      <c r="DP322" s="5"/>
      <c r="DQ322" s="5"/>
      <c r="DS322" s="5"/>
      <c r="DT322" s="5"/>
      <c r="DU322" s="5"/>
      <c r="DV322" s="5"/>
      <c r="DX322" s="5"/>
      <c r="DY322" s="5"/>
      <c r="DZ322" s="5"/>
      <c r="EA322" s="5"/>
      <c r="EC322" s="5"/>
      <c r="ED322" s="5"/>
      <c r="EE322" s="5"/>
      <c r="EF322" s="5"/>
      <c r="EH322" s="5"/>
      <c r="EI322" s="5"/>
      <c r="EJ322" s="5"/>
      <c r="EK322" s="5"/>
      <c r="EX322" s="659">
        <f t="shared" si="2"/>
        <v>0</v>
      </c>
    </row>
    <row r="323" spans="1:155" s="6" customFormat="1" ht="15" customHeight="1">
      <c r="A323" s="3"/>
      <c r="B323" s="210" t="s">
        <v>1019</v>
      </c>
      <c r="C323" s="473" t="s">
        <v>515</v>
      </c>
      <c r="D323" s="138"/>
      <c r="E323" s="5"/>
      <c r="I323" s="4"/>
      <c r="J323" s="4"/>
      <c r="K323" s="4"/>
      <c r="L323" s="4"/>
      <c r="M323" s="4"/>
      <c r="N323" s="4"/>
      <c r="O323" s="4"/>
      <c r="P323" s="4"/>
      <c r="Q323" s="4"/>
      <c r="R323" s="5"/>
      <c r="S323" s="5"/>
      <c r="U323" s="5"/>
      <c r="W323" s="5"/>
      <c r="X323" s="5"/>
      <c r="Y323" s="5"/>
      <c r="Z323" s="5"/>
      <c r="AB323" s="5"/>
      <c r="AC323" s="5"/>
      <c r="AD323" s="5"/>
      <c r="AE323" s="5"/>
      <c r="AG323" s="5"/>
      <c r="AH323" s="5"/>
      <c r="AI323" s="5"/>
      <c r="AJ323" s="5"/>
      <c r="AL323" s="5"/>
      <c r="AM323" s="5"/>
      <c r="AN323" s="5"/>
      <c r="AO323" s="5"/>
      <c r="AQ323" s="5"/>
      <c r="AR323" s="5"/>
      <c r="AS323" s="5"/>
      <c r="AT323" s="5"/>
      <c r="BD323" s="5"/>
      <c r="BF323" s="5"/>
      <c r="BH323" s="5"/>
      <c r="BI323" s="5"/>
      <c r="BM323" s="5"/>
      <c r="BN323" s="5"/>
      <c r="BP323" s="5"/>
      <c r="BR323" s="5"/>
      <c r="BS323" s="5"/>
      <c r="BU323" s="5">
        <v>1</v>
      </c>
      <c r="BV323" s="5">
        <f>SUM(BV8:BX8,BV12:BX12,BV15:BX15)*BU323</f>
        <v>0</v>
      </c>
      <c r="BW323" s="5"/>
      <c r="BX323" s="5"/>
      <c r="BZ323" s="5"/>
      <c r="CA323" s="5"/>
      <c r="CB323" s="5"/>
      <c r="CC323" s="5"/>
      <c r="CE323" s="5"/>
      <c r="CF323" s="5"/>
      <c r="CG323" s="5"/>
      <c r="CH323" s="5"/>
      <c r="CO323" s="13"/>
      <c r="CP323" s="5"/>
      <c r="CQ323" s="5"/>
      <c r="CR323" s="5"/>
      <c r="CT323" s="5"/>
      <c r="CU323" s="5"/>
      <c r="CV323" s="5"/>
      <c r="CW323" s="5"/>
      <c r="CY323" s="5"/>
      <c r="CZ323" s="5"/>
      <c r="DA323" s="5"/>
      <c r="DB323" s="5"/>
      <c r="DD323" s="5"/>
      <c r="DE323" s="5"/>
      <c r="DF323" s="5"/>
      <c r="DG323" s="5"/>
      <c r="DI323" s="5"/>
      <c r="DJ323" s="5"/>
      <c r="DK323" s="5"/>
      <c r="DL323" s="5"/>
      <c r="DN323" s="5"/>
      <c r="DO323" s="5"/>
      <c r="DP323" s="5"/>
      <c r="DQ323" s="5"/>
      <c r="DS323" s="5"/>
      <c r="DT323" s="5"/>
      <c r="DU323" s="5"/>
      <c r="DV323" s="5"/>
      <c r="DX323" s="5"/>
      <c r="DY323" s="5"/>
      <c r="DZ323" s="5"/>
      <c r="EA323" s="5"/>
      <c r="EC323" s="5"/>
      <c r="ED323" s="5"/>
      <c r="EE323" s="5"/>
      <c r="EF323" s="5"/>
      <c r="EH323" s="5"/>
      <c r="EI323" s="5"/>
      <c r="EJ323" s="5"/>
      <c r="EK323" s="5"/>
      <c r="EX323" s="659">
        <f t="shared" si="2"/>
        <v>0</v>
      </c>
    </row>
    <row r="324" spans="1:155" s="6" customFormat="1" ht="15" customHeight="1">
      <c r="A324" s="3" t="s">
        <v>132</v>
      </c>
      <c r="B324" s="210" t="s">
        <v>132</v>
      </c>
      <c r="C324" s="473" t="s">
        <v>515</v>
      </c>
      <c r="D324" s="138"/>
      <c r="E324" s="5"/>
      <c r="F324" s="5">
        <f>SUM(F16:F26,G16:G26,H16:H26)*E324</f>
        <v>0</v>
      </c>
      <c r="G324" s="5"/>
      <c r="H324" s="5"/>
      <c r="I324" s="4"/>
      <c r="J324" s="4">
        <v>1</v>
      </c>
      <c r="K324" s="658">
        <f>SUM(K16:K26)*J324</f>
        <v>0</v>
      </c>
      <c r="L324" s="4"/>
      <c r="M324" s="4">
        <v>9</v>
      </c>
      <c r="N324" s="661">
        <f>SUM(N16:N26,O16:O26,P16:P26)*M324</f>
        <v>0</v>
      </c>
      <c r="O324" s="4"/>
      <c r="P324" s="4"/>
      <c r="Q324" s="4"/>
      <c r="R324" s="5">
        <v>6</v>
      </c>
      <c r="S324" s="661">
        <f>SUM(S16:S26,T16:T26,U16:U26)*R324</f>
        <v>0</v>
      </c>
      <c r="U324" s="5"/>
      <c r="W324" s="5">
        <v>6</v>
      </c>
      <c r="X324" s="661">
        <f>SUM(X16:X26,Y16:Y26,Z16:Z26)*W324</f>
        <v>0</v>
      </c>
      <c r="Y324" s="5"/>
      <c r="Z324" s="5"/>
      <c r="AB324" s="5">
        <v>6</v>
      </c>
      <c r="AC324" s="661">
        <f>SUM(AC16:AC26,AD16:AD26,AE16:AE26)*AB324</f>
        <v>0</v>
      </c>
      <c r="AD324" s="5"/>
      <c r="AE324" s="5"/>
      <c r="AG324" s="5">
        <v>3</v>
      </c>
      <c r="AH324" s="661">
        <f>SUM(AH16:AH26,AI16:AI26,AJ16:AJ26)*AG324</f>
        <v>0</v>
      </c>
      <c r="AI324" s="5"/>
      <c r="AJ324" s="5"/>
      <c r="AL324" s="5">
        <v>6</v>
      </c>
      <c r="AM324" s="661">
        <f>SUM(AM16:AM26,AN16:AN26,AO16:AO26)*AL324</f>
        <v>0</v>
      </c>
      <c r="AN324" s="5"/>
      <c r="AO324" s="5"/>
      <c r="AQ324" s="5">
        <v>12</v>
      </c>
      <c r="AR324" s="661">
        <f>SUM(AR16:AR26,AS16:AS26,AT16:AT26)*AQ324</f>
        <v>0</v>
      </c>
      <c r="AS324" s="5"/>
      <c r="AT324" s="5"/>
      <c r="AV324" s="6">
        <v>1</v>
      </c>
      <c r="AW324" s="661">
        <f>SUM(AW16:AW26,AX16:AX26,AY16:AY26)*AV324</f>
        <v>0</v>
      </c>
      <c r="BA324" s="6">
        <v>1</v>
      </c>
      <c r="BB324" s="661">
        <f>SUM(BB16:BB26,BC16:BC26,BD16:BD26)*BA324</f>
        <v>0</v>
      </c>
      <c r="BD324" s="5"/>
      <c r="BF324" s="5">
        <v>2</v>
      </c>
      <c r="BG324" s="661">
        <f>SUM(BG16:BG26,BH16:BH26,BI16:BI26)*BF324</f>
        <v>0</v>
      </c>
      <c r="BH324" s="5"/>
      <c r="BI324" s="5"/>
      <c r="BK324" s="6">
        <v>3</v>
      </c>
      <c r="BL324" s="661">
        <f>SUM(BL16:BL26,BM16:BM26,BN16:BN26)*BK324</f>
        <v>0</v>
      </c>
      <c r="BM324" s="5"/>
      <c r="BN324" s="5"/>
      <c r="BP324" s="5">
        <v>3</v>
      </c>
      <c r="BQ324" s="661">
        <f>SUM(BQ16:BQ26,BR16:BR26,BS16:BS26)*BP324</f>
        <v>0</v>
      </c>
      <c r="BR324" s="5"/>
      <c r="BS324" s="5"/>
      <c r="BU324" s="5">
        <v>2</v>
      </c>
      <c r="BV324" s="661">
        <f>SUM(BV16:BV26,BW16:BW26,BX16:BX26)*BU324</f>
        <v>0</v>
      </c>
      <c r="BW324" s="5"/>
      <c r="BX324" s="5"/>
      <c r="BZ324" s="5">
        <v>4</v>
      </c>
      <c r="CA324" s="661">
        <f>SUM(CA16:CA26,CB16:CB26,CC16:CC26)*BZ324</f>
        <v>0</v>
      </c>
      <c r="CB324" s="5"/>
      <c r="CC324" s="5"/>
      <c r="CE324" s="5">
        <v>4</v>
      </c>
      <c r="CF324" s="661">
        <f>SUM(CF16:CF26,CG16:CG26,CH16:CH26)*CE324</f>
        <v>0</v>
      </c>
      <c r="CG324" s="5"/>
      <c r="CH324" s="5"/>
      <c r="CJ324" s="6">
        <v>0</v>
      </c>
      <c r="CK324" s="661">
        <f>SUM(CK16:CK26,CL16:CL26,CM16:CM26)*CJ324</f>
        <v>0</v>
      </c>
      <c r="CO324" s="13">
        <v>2</v>
      </c>
      <c r="CP324" s="661">
        <f>SUM(CP16:CP26,CQ16:CQ26,CR16:CR26)*CO324</f>
        <v>0</v>
      </c>
      <c r="CQ324" s="5"/>
      <c r="CR324" s="5"/>
      <c r="CT324" s="5">
        <v>3</v>
      </c>
      <c r="CU324" s="661">
        <f>SUM(CU16:CU26,CV16:CV26,CW16:CW26)*CT324</f>
        <v>0</v>
      </c>
      <c r="CV324" s="5"/>
      <c r="CW324" s="5"/>
      <c r="CY324" s="5">
        <v>2</v>
      </c>
      <c r="CZ324" s="661">
        <f>SUM(CZ16:CZ26,DA16:DA26,DB16:DB26)*CY324</f>
        <v>0</v>
      </c>
      <c r="DA324" s="5"/>
      <c r="DB324" s="5"/>
      <c r="DD324" s="5">
        <v>2</v>
      </c>
      <c r="DE324" s="661">
        <f>SUM(DE16:DE26,DF16:DF26,DG16:DG26)*DD324</f>
        <v>0</v>
      </c>
      <c r="DF324" s="5"/>
      <c r="DG324" s="5"/>
      <c r="DI324" s="5">
        <v>6</v>
      </c>
      <c r="DJ324" s="5">
        <f>DJ16*DI324+DK16*DI324+DJ17*DI324+DK17*DI324+DJ18*DI324+DK18*DI324+DJ19*DI324+DK19*DI324+DJ20*DI324+DK20*DI324+DJ21*DI324+DK21*DI324+DJ22*DI324+DK22*DI324+DJ23*DI324+DK23*DI324+DJ24*DI324+DK24*DI324+DJ25*DI324+DK25*DI324+DJ26*DI324+DK26*DI324+DL16*DI324+DL17*DI324+DL18*DI324+DL19*DI324+DL20*DI324+DL21*DI324+DL22*DI324+DL23*DI324+DL24*DI324+DL25*DI324+DL26*DI324</f>
        <v>0</v>
      </c>
      <c r="DK324" s="5"/>
      <c r="DL324" s="5"/>
      <c r="DN324" s="5">
        <v>6</v>
      </c>
      <c r="DO324" s="661">
        <f>SUM(DO16:DO26,DP16:DP26,DQ16:DQ26)*DN324</f>
        <v>0</v>
      </c>
      <c r="DP324" s="5"/>
      <c r="DQ324" s="5"/>
      <c r="DS324" s="5">
        <v>7</v>
      </c>
      <c r="DT324" s="661">
        <f>SUM(DT16:DT26,DU16:DU26,DV16:DV26)*DS324</f>
        <v>0</v>
      </c>
      <c r="DU324" s="5"/>
      <c r="DV324" s="5"/>
      <c r="DX324" s="5">
        <v>7</v>
      </c>
      <c r="DY324" s="661">
        <f>SUM(DY16:DY26,DZ16:DZ26,EA16:EA26)*DX324</f>
        <v>0</v>
      </c>
      <c r="DZ324" s="5"/>
      <c r="EA324" s="5"/>
      <c r="EC324" s="5">
        <v>7</v>
      </c>
      <c r="ED324" s="5">
        <f>ED16*EC324+EE16*EC324+ED17*EC324+EE17*EC324+ED18*EC324+EE18*EC324+ED19*EC324+EE19*EC324+ED20*EC324+EE20*EC324+ED21*EC324+EE21*EC324+ED22*EC324+EE22*EC324+ED23*EC324+EE23*EC324+ED24*EC324+EE24*EC324+ED25*EC324+EE25*EC324+ED26*EC324+EE26*EC324+EF16*EC324+EF17*EC324+EF18*EC324+EF19*EC324+EF20*EC324+EF21*EC324+EF22*EC324+EF23*EC324+EF24*EC324+EF25*EC324+EF26*EC324</f>
        <v>0</v>
      </c>
      <c r="EE324" s="5"/>
      <c r="EF324" s="5"/>
      <c r="EH324" s="5">
        <v>7</v>
      </c>
      <c r="EI324" s="661">
        <f>SUM(EI16:EI26,EJ16:EJ26,EK16:EK26)*EH324</f>
        <v>0</v>
      </c>
      <c r="EJ324" s="5"/>
      <c r="EK324" s="5"/>
      <c r="EX324" s="659">
        <f t="shared" si="2"/>
        <v>0</v>
      </c>
    </row>
    <row r="325" spans="1:155" s="6" customFormat="1" ht="15" customHeight="1">
      <c r="A325" s="3" t="s">
        <v>153</v>
      </c>
      <c r="B325" s="210" t="s">
        <v>153</v>
      </c>
      <c r="C325" s="473" t="s">
        <v>515</v>
      </c>
      <c r="D325" s="138"/>
      <c r="E325" s="5"/>
      <c r="F325" s="5">
        <f>SUM(F16:F26,G16:G26,H16:H26)*E325</f>
        <v>0</v>
      </c>
      <c r="G325" s="5"/>
      <c r="H325" s="5"/>
      <c r="I325" s="4"/>
      <c r="J325" s="4"/>
      <c r="K325" s="4"/>
      <c r="L325" s="4"/>
      <c r="M325" s="4">
        <v>4</v>
      </c>
      <c r="N325" s="661">
        <f>SUM(N16:N26,O16:O26,P16:P26)*M325</f>
        <v>0</v>
      </c>
      <c r="O325" s="4"/>
      <c r="P325" s="4"/>
      <c r="Q325" s="4"/>
      <c r="R325" s="5"/>
      <c r="S325" s="5"/>
      <c r="U325" s="5"/>
      <c r="W325" s="5"/>
      <c r="X325" s="5"/>
      <c r="Y325" s="5"/>
      <c r="Z325" s="5"/>
      <c r="AB325" s="5"/>
      <c r="AC325" s="5"/>
      <c r="AD325" s="5"/>
      <c r="AE325" s="5"/>
      <c r="AG325" s="5"/>
      <c r="AH325" s="5"/>
      <c r="AI325" s="5"/>
      <c r="AJ325" s="5"/>
      <c r="AL325" s="5"/>
      <c r="AM325" s="5"/>
      <c r="AN325" s="5"/>
      <c r="AO325" s="5"/>
      <c r="AQ325" s="5"/>
      <c r="AR325" s="5"/>
      <c r="AS325" s="5"/>
      <c r="AT325" s="5"/>
      <c r="AV325" s="6">
        <v>1</v>
      </c>
      <c r="AW325" s="6">
        <f>SUM(AW16:AW26,AX16:AX26,AY16:AY26)*AV325</f>
        <v>0</v>
      </c>
      <c r="BA325" s="6">
        <v>1</v>
      </c>
      <c r="BB325" s="6">
        <f>SUM(BB16:BB26,BC16:BC26,BD16:BD26)*BA325</f>
        <v>0</v>
      </c>
      <c r="BD325" s="5"/>
      <c r="BF325" s="5">
        <v>2</v>
      </c>
      <c r="BG325" s="6">
        <f>SUM(BG16:BG26,BH16:BH26,BI16:BI26)*BF325</f>
        <v>0</v>
      </c>
      <c r="BH325" s="5"/>
      <c r="BI325" s="5"/>
      <c r="BK325" s="6">
        <v>3</v>
      </c>
      <c r="BL325" s="5">
        <f>SUM(BL16:BL26,BM16:BM26,BN16:BN26)*BK325</f>
        <v>0</v>
      </c>
      <c r="BM325" s="5"/>
      <c r="BN325" s="5"/>
      <c r="BP325" s="5">
        <v>3</v>
      </c>
      <c r="BQ325" s="5">
        <f>SUM(BQ16:BQ26,BR16:BR26,BS16:BS26)*BP325</f>
        <v>0</v>
      </c>
      <c r="BR325" s="5"/>
      <c r="BS325" s="5"/>
      <c r="BU325" s="5">
        <v>3</v>
      </c>
      <c r="BV325" s="5">
        <f>SUM(BV16:BV26,BW16:BW26,BX16:BX26)*BU325</f>
        <v>0</v>
      </c>
      <c r="BW325" s="5"/>
      <c r="BX325" s="5"/>
      <c r="BZ325" s="5">
        <v>4</v>
      </c>
      <c r="CA325" s="5">
        <f>SUM(CA16:CA26,CB16:CB26,CC16:CC26)*BZ325</f>
        <v>0</v>
      </c>
      <c r="CB325" s="5"/>
      <c r="CC325" s="5"/>
      <c r="CE325" s="5">
        <v>4</v>
      </c>
      <c r="CF325" s="5">
        <f>SUM(CF16:CF26,CG16:CG26,CH16:CH26)*CE325</f>
        <v>0</v>
      </c>
      <c r="CG325" s="5"/>
      <c r="CH325" s="5"/>
      <c r="CJ325" s="6">
        <v>0</v>
      </c>
      <c r="CK325" s="6">
        <f>CK16*CJ325+CL16*CJ325+CK18*CJ325+CL18*CJ325+CK19*CJ325+CL19*CJ325+CK20*CJ325+CL20*CJ325+CK21*CJ325+CL21*CJ325+CK22*CJ325+CL22*CJ325+CK23*CJ325+CL23*CJ325+CK24*CJ325+CL24*CJ325+CK25*CJ325+CL25*CJ325+CK26*CJ325+CL26*CJ325+CK26*CJ325+CL26*CJ325+CM16*CJ325+CM18*CJ325+CM19*CJ325+CM20*CJ325+CM21*CJ325+CM22*CJ325+CM23*CJ325+CM24*CJ325+CM25*CJ325+CM26*CJ325+CM26*CJ325</f>
        <v>0</v>
      </c>
      <c r="CO325" s="13">
        <v>2</v>
      </c>
      <c r="CP325" s="5">
        <f>CP16*CO325+CQ16*CO325+CP18*CO325+CQ18*CO325+CP19*CO325+CQ19*CO325+CP20*CO325+CQ20*CO325+CP21*CO325+CQ21*CO325+CP22*CO325+CQ22*CO325+CP23*CO325+CQ23*CO325+CP24*CO325+CQ24*CO325+CP25*CO325+CQ25*CO325+CP26*CO325+CQ26*CO325+CP26*CO325+CQ26*CO325+CR16*CO325+CR18*CO325+CR19*CO325+CR20*CO325+CR21*CO325+CR22*CO325+CR23*CO325+CR24*CO325+CR25*CO325+CR26*CO325+CR26*CO325</f>
        <v>0</v>
      </c>
      <c r="CQ325" s="5"/>
      <c r="CR325" s="5"/>
      <c r="CT325" s="5">
        <v>3</v>
      </c>
      <c r="CU325" s="5">
        <f>CU16*CT325+CV16*CT325+CU18*CT325+CV18*CT325+CU19*CT325+CV19*CT325+CU20*CT325+CV20*CT325+CU21*CT325+CV21*CT325+CU22*CT325+CV22*CT325+CU23*CT325+CV23*CT325+CU24*CT325+CV24*CT325+CU25*CT325+CV25*CT325+CU26*CT325+CV26*CT325+CU26*CT325+CV26*CT325+CW16*CT325+CW18*CT325+CW19*CT325+CW20*CT325+CW21*CT325+CW22*CT325+CW23*CT325+CW24*CT325+CW25*CT325+CW26*CT325+CW26*CT325</f>
        <v>0</v>
      </c>
      <c r="CV325" s="5"/>
      <c r="CW325" s="5"/>
      <c r="CY325" s="5">
        <v>3</v>
      </c>
      <c r="CZ325" s="5">
        <f>SUM(CZ16:CZ26,DA16:DA26,DB16:DB26)*CY325</f>
        <v>0</v>
      </c>
      <c r="DA325" s="5"/>
      <c r="DB325" s="5"/>
      <c r="DD325" s="5">
        <v>2</v>
      </c>
      <c r="DE325" s="5">
        <f>DE16*DD325+DF16*DD325+DE18*DD325+DF18*DD325+DE19*DD325+DF19*DD325+DE20*DD325+DF20*DD325+DE21*DD325+DF21*DD325+DE22*DD325+DF22*DD325+DE23*DD325+DF23*DD325+DE24*DD325+DF24*DD325+DE25*DD325+DF25*DD325+DE26*DD325+DF26*DD325+DE26*DD325+DF26*DD325+DG16*DD325+DG18*DD325+DG19*DD325+DG20*DD325+DG21*DD325+DG22*DD325+DG23*DD325+DG24*DD325+DG25*DD325+DG26*DD325+DG26*DD325</f>
        <v>0</v>
      </c>
      <c r="DF325" s="5"/>
      <c r="DG325" s="5"/>
      <c r="DI325" s="5">
        <v>2</v>
      </c>
      <c r="DJ325" s="5">
        <f>DJ16*DI325+DK16*DI325+DJ18*DI325+DK18*DI325+DJ19*DI325+DK19*DI325+DJ20*DI325+DK20*DI325+DJ21*DI325+DK21*DI325+DJ22*DI325+DK22*DI325+DJ23*DI325+DK23*DI325+DJ24*DI325+DK24*DI325+DJ25*DI325+DK25*DI325+DJ26*DI325+DK26*DI325+DJ26*DI325+DK26*DI325+DL16*DI325+DL18*DI325+DL19*DI325+DL20*DI325+DL21*DI325+DL22*DI325+DL23*DI325+DL24*DI325+DL25*DI325+DL26*DI325+DL26*DI325</f>
        <v>0</v>
      </c>
      <c r="DK325" s="5"/>
      <c r="DL325" s="5"/>
      <c r="DN325" s="5">
        <v>2</v>
      </c>
      <c r="DO325" s="5">
        <f>DO16*DN325+DP16*DN325+DO18*DN325+DP18*DN325+DO19*DN325+DP19*DN325+DO20*DN325+DP20*DN325+DO21*DN325+DP21*DN325+DO22*DN325+DP22*DN325+DO23*DN325+DP23*DN325+DO24*DN325+DP24*DN325+DO25*DN325+DP25*DN325+DO26*DN325+DP26*DN325+DO26*DN325+DP26*DN325+DQ16*DN325+DQ18*DN325+DQ19*DN325+DQ20*DN325+DQ21*DN325+DQ22*DN325+DQ23*DN325+DQ24*DN325+DQ25*DN325+DQ26*DN325+DQ26*DN325</f>
        <v>0</v>
      </c>
      <c r="DP325" s="5"/>
      <c r="DQ325" s="5"/>
      <c r="DS325" s="5">
        <v>3</v>
      </c>
      <c r="DT325" s="5">
        <f>DT16*DS325+DU16*DS325+DT18*DS325+DU18*DS325+DT19*DS325+DU19*DS325+DT20*DS325+DU20*DS325+DT21*DS325+DU21*DS325+DT22*DS325+DU22*DS325+DT23*DS325+DU23*DS325+DT24*DS325+DU24*DS325+DT25*DS325+DU25*DS325+DT26*DS325+DU26*DS325+DT26*DS325+DU26*DS325+DV16*DS325+DV18*DS325+DV19*DS325+DV20*DS325+DV21*DS325+DV22*DS325+DV23*DS325+DV24*DS325+DV25*DS325+DV26*DS325+DV26*DS325</f>
        <v>0</v>
      </c>
      <c r="DU325" s="5"/>
      <c r="DV325" s="5"/>
      <c r="DX325" s="5">
        <v>3</v>
      </c>
      <c r="DY325" s="5">
        <f>DY16*DX325+DZ16*DX325+DY18*DX325+DZ18*DX325+DY19*DX325+DZ19*DX325+DY20*DX325+DZ20*DX325+DY21*DX325+DZ21*DX325+DY22*DX325+DZ22*DX325+DY23*DX325+DZ23*DX325+DY24*DX325+DZ24*DX325+DY25*DX325+DZ25*DX325+DY26*DX325+DZ26*DX325+DY26*DX325+DZ26*DX325+EA16*DX325+EA18*DX325+EA19*DX325+EA20*DX325+EA21*DX325+EA22*DX325+EA23*DX325+EA24*DX325+EA25*DX325+EA26*DX325+EA26*DX325</f>
        <v>0</v>
      </c>
      <c r="DZ325" s="5"/>
      <c r="EA325" s="5"/>
      <c r="EC325" s="5">
        <v>3</v>
      </c>
      <c r="ED325" s="5">
        <f>ED16*EC325+EE16*EC325+ED18*EC325+EE18*EC325+ED19*EC325+EE19*EC325+ED20*EC325+EE20*EC325+ED21*EC325+EE21*EC325+ED22*EC325+EE22*EC325+ED23*EC325+EE23*EC325+ED24*EC325+EE24*EC325+ED25*EC325+EE25*EC325+ED26*EC325+EE26*EC325+ED26*EC325+EE26*EC325+EF16*EC325+EF18*EC325+EF19*EC325+EF20*EC325+EF21*EC325+EF22*EC325+EF23*EC325+EF24*EC325+EF25*EC325+EF26*EC325+EF26*EC325</f>
        <v>0</v>
      </c>
      <c r="EE325" s="5"/>
      <c r="EF325" s="5"/>
      <c r="EH325" s="5">
        <v>3</v>
      </c>
      <c r="EI325" s="5">
        <f>EI16*EH325+EJ16*EH325+EI18*EH325+EJ18*EH325+EI19*EH325+EJ19*EH325+EI20*EH325+EJ20*EH325+EI21*EH325+EJ21*EH325+EI22*EH325+EJ22*EH325+EI23*EH325+EJ23*EH325+EI24*EH325+EJ24*EH325+EI25*EH325+EJ25*EH325+EI26*EH325+EJ26*EH325+EI26*EH325+EJ26*EH325+EK16*EH325+EK18*EH325+EK19*EH325+EK20*EH325+EK21*EH325+EK22*EH325+EK23*EH325+EK24*EH325+EK25*EH325+EK26*EH325+EK26*EH325</f>
        <v>0</v>
      </c>
      <c r="EJ325" s="5"/>
      <c r="EK325" s="5"/>
      <c r="EX325" s="659">
        <f t="shared" si="2"/>
        <v>0</v>
      </c>
    </row>
    <row r="326" spans="1:155" s="6" customFormat="1" ht="15" customHeight="1">
      <c r="A326" s="3"/>
      <c r="B326" s="210" t="s">
        <v>1474</v>
      </c>
      <c r="C326" s="473" t="s">
        <v>0</v>
      </c>
      <c r="D326" s="138"/>
      <c r="E326" s="5"/>
      <c r="I326" s="4"/>
      <c r="J326" s="4"/>
      <c r="K326" s="4"/>
      <c r="L326" s="4"/>
      <c r="M326" s="4"/>
      <c r="N326" s="661"/>
      <c r="O326" s="4"/>
      <c r="P326" s="4"/>
      <c r="Q326" s="4"/>
      <c r="R326" s="5"/>
      <c r="S326" s="5"/>
      <c r="U326" s="5"/>
      <c r="W326" s="5"/>
      <c r="X326" s="5"/>
      <c r="Y326" s="5"/>
      <c r="Z326" s="5"/>
      <c r="AB326" s="5"/>
      <c r="AC326" s="5"/>
      <c r="AD326" s="5"/>
      <c r="AE326" s="5"/>
      <c r="AG326" s="5"/>
      <c r="AH326" s="5"/>
      <c r="AI326" s="5"/>
      <c r="AJ326" s="5"/>
      <c r="AL326" s="5"/>
      <c r="AM326" s="5"/>
      <c r="AN326" s="5"/>
      <c r="AO326" s="5"/>
      <c r="AQ326" s="5"/>
      <c r="AR326" s="5"/>
      <c r="AS326" s="5"/>
      <c r="AT326" s="5"/>
      <c r="BD326" s="5"/>
      <c r="BF326" s="5"/>
      <c r="BH326" s="5"/>
      <c r="BI326" s="5"/>
      <c r="BM326" s="5"/>
      <c r="BN326" s="5"/>
      <c r="BP326" s="5"/>
      <c r="BR326" s="5"/>
      <c r="BS326" s="5"/>
      <c r="BU326" s="5">
        <v>1</v>
      </c>
      <c r="BV326" s="5">
        <f>SUM(BV16:BV26,BW16:BW26,BX16:BX26)*BU326</f>
        <v>0</v>
      </c>
      <c r="BW326" s="5"/>
      <c r="BX326" s="5"/>
      <c r="BZ326" s="5"/>
      <c r="CA326" s="5"/>
      <c r="CB326" s="5"/>
      <c r="CC326" s="5"/>
      <c r="CE326" s="5"/>
      <c r="CF326" s="5"/>
      <c r="CG326" s="5"/>
      <c r="CH326" s="5"/>
      <c r="CO326" s="13"/>
      <c r="CP326" s="5"/>
      <c r="CQ326" s="5"/>
      <c r="CR326" s="5"/>
      <c r="CT326" s="5"/>
      <c r="CU326" s="5"/>
      <c r="CV326" s="5"/>
      <c r="CW326" s="5"/>
      <c r="CY326" s="5">
        <v>1</v>
      </c>
      <c r="CZ326" s="5">
        <f>SUM(CZ16:CZ26,DA16:DA26,DB16:DB26)*CY326</f>
        <v>0</v>
      </c>
      <c r="DA326" s="5"/>
      <c r="DB326" s="5"/>
      <c r="DD326" s="5"/>
      <c r="DE326" s="5"/>
      <c r="DF326" s="5"/>
      <c r="DG326" s="5"/>
      <c r="DI326" s="5"/>
      <c r="DJ326" s="5"/>
      <c r="DK326" s="5"/>
      <c r="DL326" s="5"/>
      <c r="DN326" s="5"/>
      <c r="DO326" s="5"/>
      <c r="DP326" s="5"/>
      <c r="DQ326" s="5"/>
      <c r="DU326" s="5"/>
      <c r="DV326" s="5"/>
      <c r="DZ326" s="5"/>
      <c r="EA326" s="5"/>
      <c r="EE326" s="5"/>
      <c r="EF326" s="5"/>
      <c r="EJ326" s="5"/>
      <c r="EK326" s="5"/>
      <c r="EX326" s="659">
        <f t="shared" si="2"/>
        <v>0</v>
      </c>
    </row>
    <row r="327" spans="1:155" s="6" customFormat="1" ht="15" customHeight="1">
      <c r="A327" s="56" t="s">
        <v>236</v>
      </c>
      <c r="B327" s="210" t="s">
        <v>236</v>
      </c>
      <c r="C327" s="473" t="s">
        <v>515</v>
      </c>
      <c r="D327" s="138"/>
      <c r="E327" s="5"/>
      <c r="I327" s="4"/>
      <c r="J327" s="4"/>
      <c r="K327" s="4"/>
      <c r="L327" s="4"/>
      <c r="M327" s="4"/>
      <c r="N327" s="4"/>
      <c r="O327" s="4"/>
      <c r="P327" s="4"/>
      <c r="Q327" s="4"/>
      <c r="R327" s="5"/>
      <c r="S327" s="5"/>
      <c r="U327" s="5"/>
      <c r="W327" s="5"/>
      <c r="X327" s="5"/>
      <c r="Y327" s="5"/>
      <c r="Z327" s="5"/>
      <c r="AB327" s="5"/>
      <c r="AC327" s="5"/>
      <c r="AD327" s="5"/>
      <c r="AE327" s="5"/>
      <c r="AG327" s="5"/>
      <c r="AH327" s="5"/>
      <c r="AI327" s="5"/>
      <c r="AJ327" s="5"/>
      <c r="AL327" s="5"/>
      <c r="AM327" s="5"/>
      <c r="AN327" s="5"/>
      <c r="AO327" s="5"/>
      <c r="AQ327" s="5"/>
      <c r="AR327" s="5"/>
      <c r="AS327" s="5"/>
      <c r="AT327" s="5"/>
      <c r="BD327" s="5"/>
      <c r="BF327" s="5"/>
      <c r="BG327" s="5"/>
      <c r="BH327" s="5"/>
      <c r="BI327" s="5"/>
      <c r="BM327" s="5"/>
      <c r="BN327" s="5"/>
      <c r="BP327" s="5"/>
      <c r="BR327" s="5"/>
      <c r="BS327" s="5"/>
      <c r="BU327" s="5"/>
      <c r="BV327" s="5"/>
      <c r="BW327" s="5"/>
      <c r="BX327" s="5"/>
      <c r="BZ327" s="5"/>
      <c r="CA327" s="5"/>
      <c r="CB327" s="5"/>
      <c r="CC327" s="5"/>
      <c r="CE327" s="5"/>
      <c r="CF327" s="5"/>
      <c r="CG327" s="5"/>
      <c r="CH327" s="5"/>
      <c r="CO327" s="13"/>
      <c r="CP327" s="5"/>
      <c r="CQ327" s="5"/>
      <c r="CR327" s="5"/>
      <c r="CT327" s="5"/>
      <c r="CU327" s="5"/>
      <c r="CV327" s="5"/>
      <c r="CW327" s="5"/>
      <c r="CY327" s="5"/>
      <c r="CZ327" s="5"/>
      <c r="DA327" s="5"/>
      <c r="DB327" s="5"/>
      <c r="DD327" s="5"/>
      <c r="DE327" s="5"/>
      <c r="DF327" s="5"/>
      <c r="DG327" s="5"/>
      <c r="DI327" s="5">
        <v>5</v>
      </c>
      <c r="DJ327" s="5">
        <f>DJ8*DI327+DK8*DI327+DL8*DI327+DJ12*DI327+DK12*DI327+DL12*DI327+DJ15*DI327+DK15*DI327+DL15*DI327</f>
        <v>0</v>
      </c>
      <c r="DK327" s="5"/>
      <c r="DL327" s="5"/>
      <c r="DN327" s="5">
        <v>5</v>
      </c>
      <c r="DO327" s="5">
        <f>DO8*DN327+DP8*DN327+DQ8*DN327+DO12*DN327+DP12*DN327+DQ12*DN327+DO15*DN327+DP15*DN327+DQ15*DN327</f>
        <v>0</v>
      </c>
      <c r="DP327" s="5"/>
      <c r="DQ327" s="5"/>
      <c r="DS327" s="6">
        <v>3</v>
      </c>
      <c r="DT327" s="6">
        <f>DT5*DS328+DT6*DS328+DT9*DS328+DT10*DS328+DT13*DS328+DU5*DS328+DU6*DS328+DU9*DS328+DU10*DS328+DU13*DS328+DV5*DS328+DV6*DS328+DV9*DS328+DV10*DS328+DV13*DS328</f>
        <v>0</v>
      </c>
      <c r="DU327" s="5"/>
      <c r="DV327" s="5"/>
      <c r="DX327" s="6">
        <v>3</v>
      </c>
      <c r="DY327" s="6">
        <f>DY5*DX328+DY6*DX328+DY9*DX328+DY10*DX328+DY13*DX328+DZ5*DX328+DZ6*DX328+DZ9*DX328+DZ10*DX328+DZ13*DX328+EA5*DX328+EA6*DX328+EA9*DX328+EA10*DX328+EA13*DX328</f>
        <v>0</v>
      </c>
      <c r="DZ327" s="5"/>
      <c r="EA327" s="5"/>
      <c r="EC327" s="6">
        <v>3</v>
      </c>
      <c r="ED327" s="6">
        <f>ED5*EC328+ED6*EC328+ED9*EC328+ED10*EC328+ED13*EC328+EE5*EC328+EE6*EC328+EE9*EC328+EE10*EC328+EE13*EC328+EF5*EC328+EF6*EC328+EF9*EC328+EF10*EC328+EF13*EC328</f>
        <v>0</v>
      </c>
      <c r="EE327" s="5"/>
      <c r="EF327" s="5"/>
      <c r="EH327" s="6">
        <v>3</v>
      </c>
      <c r="EI327" s="6">
        <f>EI5*EH328+EI6*EH328+EI9*EH328+EI10*EH328+EI13*EH328+EJ5*EH328+EJ6*EH328+EJ9*EH328+EJ10*EH328+EJ13*EH328+EK5*EH328+EK6*EH328+EK9*EH328+EK10*EH328+EK13*EH328</f>
        <v>0</v>
      </c>
      <c r="EJ327" s="5"/>
      <c r="EK327" s="5"/>
      <c r="EX327" s="659">
        <f t="shared" si="2"/>
        <v>0</v>
      </c>
    </row>
    <row r="328" spans="1:155" s="6" customFormat="1" ht="15" customHeight="1">
      <c r="A328" s="56" t="s">
        <v>221</v>
      </c>
      <c r="B328" s="210" t="s">
        <v>221</v>
      </c>
      <c r="C328" s="473" t="s">
        <v>515</v>
      </c>
      <c r="D328" s="138"/>
      <c r="E328" s="5"/>
      <c r="F328" s="6">
        <f>SUM(F5:F15,G5:G15,H5:H15)*E328</f>
        <v>0</v>
      </c>
      <c r="I328" s="4"/>
      <c r="J328" s="4"/>
      <c r="K328" s="4"/>
      <c r="L328" s="4"/>
      <c r="M328" s="4"/>
      <c r="N328" s="4"/>
      <c r="O328" s="4"/>
      <c r="P328" s="4"/>
      <c r="Q328" s="4"/>
      <c r="R328" s="5"/>
      <c r="S328" s="5"/>
      <c r="U328" s="5"/>
      <c r="W328" s="5"/>
      <c r="X328" s="5"/>
      <c r="Y328" s="5"/>
      <c r="Z328" s="5"/>
      <c r="AB328" s="5"/>
      <c r="AC328" s="5"/>
      <c r="AD328" s="5"/>
      <c r="AE328" s="5"/>
      <c r="AG328" s="5"/>
      <c r="AH328" s="5"/>
      <c r="AI328" s="5"/>
      <c r="AJ328" s="5"/>
      <c r="AL328" s="5"/>
      <c r="AM328" s="5"/>
      <c r="AN328" s="5"/>
      <c r="AO328" s="5"/>
      <c r="AQ328" s="5"/>
      <c r="AR328" s="5"/>
      <c r="AS328" s="5"/>
      <c r="AT328" s="5"/>
      <c r="BD328" s="5"/>
      <c r="BF328" s="5">
        <v>3</v>
      </c>
      <c r="BG328" s="5">
        <f>SUM(BG5:BG7,BH5:BH7,BI5:BI7,BG9:BG11,BH9:BH11,BI9:BI11,BG13:BG15,BH13:BH15,BI13:BI15)*BF328</f>
        <v>0</v>
      </c>
      <c r="BH328" s="5"/>
      <c r="BI328" s="5"/>
      <c r="BK328" s="6">
        <v>3</v>
      </c>
      <c r="BL328" s="6">
        <f>SUM(BL5:BL15,BM5:BM15,BN5:BN15)*BK328</f>
        <v>0</v>
      </c>
      <c r="BM328" s="5"/>
      <c r="BN328" s="5"/>
      <c r="BP328" s="5">
        <v>3</v>
      </c>
      <c r="BQ328" s="6">
        <f>SUM(BQ5:BQ15,BR5:BR15,BS5:BS15)*BP328</f>
        <v>0</v>
      </c>
      <c r="BR328" s="5"/>
      <c r="BS328" s="5"/>
      <c r="BU328" s="5"/>
      <c r="BV328" s="5"/>
      <c r="BW328" s="5"/>
      <c r="BX328" s="5"/>
      <c r="BZ328" s="5">
        <v>3</v>
      </c>
      <c r="CA328" s="5">
        <f>SUM(CA5:CC5,CA6:CC6,CA7:CC7,CA9:CA11,CB9:CB11,CC9:CC11,CA13:CC13,CA14:CC14)*BZ328</f>
        <v>0</v>
      </c>
      <c r="CB328" s="5"/>
      <c r="CC328" s="5"/>
      <c r="CE328" s="5">
        <v>3</v>
      </c>
      <c r="CF328" s="5">
        <f>SUM(CF5:CH5,CF6:CH6,CF7:CH7,CF9:CF11,CG9:CG11,CH9:CH11,CF13:CH13,CF14:CH14)*CE328</f>
        <v>0</v>
      </c>
      <c r="CG328" s="5"/>
      <c r="CH328" s="5"/>
      <c r="CJ328" s="6">
        <v>0</v>
      </c>
      <c r="CK328" s="6">
        <f>CK5*CJ328+CK6*CJ328+CK7*CJ328+CK9*CJ328+CK10*CJ328+CK11*CJ328+CK13*CJ328+CK14*CJ328+CL5*CJ328+CL6*CJ328+CL7*CJ328+CL9*CJ328+CL10*CJ328+CL11*CJ328+CL13*CJ328+CL14*CJ328+CM5*CJ328+CM6*CJ328+CM7*CJ328+CM9*CJ328+CM10*CJ328+CM11*CJ328+CM13*CJ328+CM14*CJ328</f>
        <v>0</v>
      </c>
      <c r="CO328" s="13">
        <v>3</v>
      </c>
      <c r="CP328" s="5">
        <f>CP5*CO328+CP6*CO328+CP7*CO328+CP9*CO328+CP10*CO328+CP11*CO328+CP13*CO328+CP14*CO328+CQ5*CO328+CQ6*CO328+CQ7*CO328+CQ9*CO328+CQ10*CO328+CQ11*CO328+CQ13*CO328+CQ14*CO328+CR5*CO328+CR6*CO328+CR7*CO328+CR9*CO328+CR10*CO328+CR11*CO328+CR13*CO328+CR14*CO328</f>
        <v>0</v>
      </c>
      <c r="CQ328" s="5"/>
      <c r="CR328" s="5"/>
      <c r="CT328" s="5">
        <v>3</v>
      </c>
      <c r="CU328" s="5">
        <f>CU5*CT328+CU9*CT328+CU13*CT328+CU14*CT328+CV5*CT328+CV9*CT328+CV13*CT328+CV14*CT328+CW5*CT328+CW9*CT328+CW13*CT328+CW14*CT328</f>
        <v>0</v>
      </c>
      <c r="CV328" s="5"/>
      <c r="CW328" s="5"/>
      <c r="CY328" s="5" t="s">
        <v>1018</v>
      </c>
      <c r="CZ328" s="5">
        <f>SUM(CZ5:CZ7,CZ9:CZ11,CZ13:CZ14,DA5:DA7,DA9:DA11,DA13:DA14,DB5:DB7,DB9:DB11,DB13:DB14)*3+SUM(CZ16:DB16,CZ20:DB20)*2</f>
        <v>0</v>
      </c>
      <c r="DA328" s="5"/>
      <c r="DB328" s="5"/>
      <c r="DD328" s="5">
        <v>3</v>
      </c>
      <c r="DE328" s="5">
        <f>DE5*DD328+DE6*DD328+DE7*DD328+DE9*DD328+DE10*DD328+DE11*DD328+DE13*DD328+DE14*DD328+DF5*DD328+DF6*DD328+DF7*DD328+DF9*DD328+DF10*DD328+DF11*DD328+DF13*DD328+DF14*DD328+DG5*DD328+DG6*DD328+DG7*DD328+DG9*DD328+DG10*DD328+DG11*DD328+DG13*DD328+DG14*DD328</f>
        <v>0</v>
      </c>
      <c r="DF328" s="5"/>
      <c r="DG328" s="5"/>
      <c r="DI328" s="5">
        <v>3</v>
      </c>
      <c r="DJ328" s="5">
        <f>DJ5*DI328+DJ6*DI328+DJ7*DI328+DJ9*DI328+DJ10*DI328+DJ11*DI328+DJ13*DI328+DJ14*DI328+DK5*DI328+DK6*DI328+DK7*DI328+DK9*DI328+DK10*DI328+DK11*DI328+DK13*DI328+DK14*DI328+DL5*DI328+DL6*DI328+DL7*DI328+DL9*DI328+DL10*DI328+DL11*DI328+DL13*DI328+DL14*DI328</f>
        <v>0</v>
      </c>
      <c r="DK328" s="5"/>
      <c r="DL328" s="5"/>
      <c r="DN328" s="5">
        <v>3</v>
      </c>
      <c r="DO328" s="5">
        <f>DO5*DN328+DO6*DN328+DO7*DN328+DO9*DN328+DO10*DN328+DO11*DN328+DO13*DN328+DO14*DN328+DP5*DN328+DP6*DN328+DP7*DN328+DP9*DN328+DP10*DN328+DP11*DN328+DP13*DN328+DP14*DN328+DQ5*DN328+DQ6*DN328+DQ7*DN328+DQ9*DN328+DQ10*DN328+DQ11*DN328+DQ13*DN328+DQ14*DN328</f>
        <v>0</v>
      </c>
      <c r="DP328" s="5"/>
      <c r="DQ328" s="5"/>
      <c r="DS328" s="6">
        <v>3</v>
      </c>
      <c r="DT328" s="6">
        <f>DT7*DS328+DT11*DS328+DT14*DS328+DU7*DS328+DU11*DS328+DU14*DS328+DV7*DS328+DV11*DS328+DV14*DS328</f>
        <v>0</v>
      </c>
      <c r="DU328" s="5"/>
      <c r="DV328" s="5"/>
      <c r="DX328" s="6">
        <v>3</v>
      </c>
      <c r="DY328" s="6">
        <f>DY7*DX328+DY11*DX328+DY14*DX328+DZ7*DX328+DZ11*DX328+DZ14*DX328+EA7*DX328+EA11*DX328+EA14*DX328</f>
        <v>0</v>
      </c>
      <c r="DZ328" s="5"/>
      <c r="EA328" s="5"/>
      <c r="EC328" s="6">
        <v>3</v>
      </c>
      <c r="ED328" s="6">
        <f>ED7*EC328+ED11*EC328+ED14*EC328+EE7*EC328+EE11*EC328+EE14*EC328+EF7*EC328+EF11*EC328+EF14*EC328</f>
        <v>0</v>
      </c>
      <c r="EE328" s="5"/>
      <c r="EF328" s="5"/>
      <c r="EH328" s="6">
        <v>3</v>
      </c>
      <c r="EI328" s="6">
        <f>EI7*EH328+EI11*EH328+EI14*EH328+EJ7*EH328+EJ11*EH328+EJ14*EH328+EK7*EH328+EK11*EH328+EK14*EH328</f>
        <v>0</v>
      </c>
      <c r="EJ328" s="5"/>
      <c r="EK328" s="5"/>
      <c r="EX328" s="659">
        <f t="shared" si="2"/>
        <v>0</v>
      </c>
    </row>
    <row r="329" spans="1:155" s="6" customFormat="1" ht="15" customHeight="1">
      <c r="A329" s="56" t="s">
        <v>222</v>
      </c>
      <c r="B329" s="210" t="s">
        <v>222</v>
      </c>
      <c r="C329" s="473" t="s">
        <v>515</v>
      </c>
      <c r="D329" s="138"/>
      <c r="E329" s="5"/>
      <c r="F329" s="6">
        <f>SUM(F8:H8,F12:H12,F15:H15)*3+SUM(F16:H16,F20:H20,F17:H17,F21:H21,F24:H24)*2</f>
        <v>0</v>
      </c>
      <c r="I329" s="4"/>
      <c r="J329" s="4"/>
      <c r="K329" s="4"/>
      <c r="L329" s="4"/>
      <c r="M329" s="4"/>
      <c r="N329" s="4"/>
      <c r="O329" s="4"/>
      <c r="P329" s="4"/>
      <c r="Q329" s="4"/>
      <c r="R329" s="5"/>
      <c r="S329" s="5"/>
      <c r="U329" s="5"/>
      <c r="W329" s="5"/>
      <c r="X329" s="5"/>
      <c r="Y329" s="5"/>
      <c r="Z329" s="5"/>
      <c r="AB329" s="5"/>
      <c r="AC329" s="5"/>
      <c r="AD329" s="5"/>
      <c r="AE329" s="5"/>
      <c r="AG329" s="5"/>
      <c r="AH329" s="5"/>
      <c r="AI329" s="5"/>
      <c r="AJ329" s="5"/>
      <c r="AL329" s="5"/>
      <c r="AM329" s="5"/>
      <c r="AN329" s="5"/>
      <c r="AO329" s="5"/>
      <c r="AQ329" s="5"/>
      <c r="AR329" s="5"/>
      <c r="AS329" s="5"/>
      <c r="AT329" s="5"/>
      <c r="BD329" s="5"/>
      <c r="BF329" s="5" t="s">
        <v>155</v>
      </c>
      <c r="BG329" s="5">
        <f>SUM(BG8:BI8,BG12:BI12,BG15:BI15)*3+SUM(BG16:BG18,BH16:BH18,BI16:BI18,BG20:BG22,BH20:BH22,BI20:BI22,BG24:BG26,BH24:BH26,BI24:BI26)*2</f>
        <v>0</v>
      </c>
      <c r="BH329" s="5"/>
      <c r="BI329" s="5"/>
      <c r="BK329" s="5" t="s">
        <v>155</v>
      </c>
      <c r="BL329" s="6">
        <f>SUM(BL8:BN8,BL12:BN12,BL15:BN15)*3+SUM(BL16:BN16,BL20:BN20,BL17:BN17,BL21:BN21,BL24:BN24)*2</f>
        <v>0</v>
      </c>
      <c r="BM329" s="5"/>
      <c r="BN329" s="5"/>
      <c r="BP329" s="5" t="s">
        <v>155</v>
      </c>
      <c r="BQ329" s="6">
        <f>SUM(BQ8:BS8,BQ12:BS12,BQ15:BS15)*3+SUM(BQ16:BS16,BQ20:BS20,BQ17:BS17,BQ21:BS21,BQ24:BS24)*2</f>
        <v>0</v>
      </c>
      <c r="BR329" s="5"/>
      <c r="BS329" s="5"/>
      <c r="BU329" s="5"/>
      <c r="BV329" s="5"/>
      <c r="BW329" s="5"/>
      <c r="BX329" s="5"/>
      <c r="BZ329" s="5" t="s">
        <v>155</v>
      </c>
      <c r="CA329" s="5">
        <f>SUM(CA5:CA15,CB5:CB15,CC5:CC15)*3+SUM(CA16:CC16,CA17:CC17)*2+SUM(CA18:CA26,CB18:CB26,CC18:CC26)*2</f>
        <v>0</v>
      </c>
      <c r="CB329" s="5"/>
      <c r="CC329" s="5"/>
      <c r="CE329" s="5" t="s">
        <v>155</v>
      </c>
      <c r="CF329" s="5">
        <f>SUM(CF5:CF15,CG5:CG15,CH5:CH15)*3+SUM(CF16:CH16,CF17:CH17)*2+SUM(CF18:CF26,CG18:CG26,CH18:CH26)*2</f>
        <v>0</v>
      </c>
      <c r="CG329" s="5"/>
      <c r="CH329" s="5"/>
      <c r="CJ329" s="6">
        <v>0</v>
      </c>
      <c r="CK329" s="6">
        <f>CK12*CJ329+CK15*CJ329+CK8*CJ329+CL12*CJ329+CL15*CJ329+CL8*CJ329+CM12*CJ329+CM15*CJ329+CM8*CJ329+CK16*2+CK17*2+CK18*2+CK20*2+CK21*2+CK22*2+CK24*2+CK25*2+CL16*2+CL17*2+CL18*2+CL20*2+CL21*2+CL22*2+CL24*2+CL25*2+CM16*2+CM17*2+CM18*2+CM20*2+CM21*2+CM22*2+CM24*2+CM25*2</f>
        <v>0</v>
      </c>
      <c r="CO329" s="13">
        <v>3</v>
      </c>
      <c r="CP329" s="5">
        <f>CP12*CO329+CP15*CO329+CP8*CO329+CQ12*CO329+CQ15*CO329+CQ8*CO329+CR12*CO329+CR15*CO329+CR8*CO329+CP16*2+CP17*2+CP18*2+CP20*2+CP21*2+CP22*2+CP24*2+CP25*2+CQ16*2+CQ17*2+CQ18*2+CQ20*2+CQ21*2+CQ22*2+CQ24*2+CQ25*2+CR16*2+CR17*2+CR18*2+CR20*2+CR21*2+CR22*2+CR24*2+CR25*2</f>
        <v>0</v>
      </c>
      <c r="CQ329" s="5"/>
      <c r="CR329" s="5"/>
      <c r="CT329" s="5">
        <v>3</v>
      </c>
      <c r="CU329" s="5">
        <f>CU11*CT329+CU14*CT329+CU7*CT329+CV11*CT329+CV14*CT329+CV7*CT329+CW11*CT329+CW14*CT329+CW7*CT329+CU10*CT329+CU13*CT329+CU6*CT329+CV10*CT329+CV13*CT329+CV6*CT329+CW10*CT329+CW13*CT329+CW6*CT329+CU16*2+CV16*2+CW16*2</f>
        <v>0</v>
      </c>
      <c r="CV329" s="5"/>
      <c r="CW329" s="5"/>
      <c r="CY329" s="5" t="s">
        <v>1018</v>
      </c>
      <c r="CZ329" s="5">
        <f>SUM(CZ5:DB5,CZ9:DB9,CZ8:DB8,CZ12:DB12,CZ15:DB15)*3+SUM(CZ17:DB17,CZ18:DB18,CZ21:DB21,CZ22:DB22,CZ24:DB24,CZ25:DB25)*2</f>
        <v>0</v>
      </c>
      <c r="DA329" s="5"/>
      <c r="DB329" s="5"/>
      <c r="DD329" s="5">
        <v>3</v>
      </c>
      <c r="DE329" s="5">
        <f>DE12*DD329+DE15*DD329+DE8*DD329+DF12*DD329+DF15*DD329+DF8*DD329+DG12*DD329+DG15*DD329+DG8*DD329</f>
        <v>0</v>
      </c>
      <c r="DF329" s="5"/>
      <c r="DG329" s="5"/>
      <c r="DI329" s="5">
        <v>3</v>
      </c>
      <c r="DJ329" s="5">
        <f>DJ12*DI329+DJ15*DI329+DJ8*DI329+DK12*DI329+DK15*DI329+DK8*DI329+DL12*DI329+DL15*DI329+DL8*DI329+DJ16*2+DJ17*2+DJ18*2+DJ20*2+DJ21*2+DJ22*2+DJ24*2+DJ25*2+DK16*2+DK17*2+DK18*2+DK20*2+DK21*2+DK22*2+DK24*2+DK25*2+DL16*2+DL17*2+DL18*2+DL20*2+DL21*2+DL22*2+DL24*2+DL25*2</f>
        <v>0</v>
      </c>
      <c r="DK329" s="5"/>
      <c r="DL329" s="5"/>
      <c r="DN329" s="5">
        <v>3</v>
      </c>
      <c r="DO329" s="5">
        <f>DO12*DN329+DO15*DN329+DO8*DN329+DP12*DN329+DP15*DN329+DP8*DN329+DQ12*DN329+DQ15*DN329+DQ8*DN329+DO16*2+DO17*2+DO18*2+DO20*2+DO21*2+DO22*2+DO24*2+DO25*2+DP16*2+DP17*2+DP18*2+DP20*2+DP21*2+DP22*2+DP24*2+DP25*2+DQ16*2+DQ17*2+DQ18*2+DQ20*2+DQ21*2+DQ22*2+DQ24*2+DQ25*2</f>
        <v>0</v>
      </c>
      <c r="DP329" s="5"/>
      <c r="DQ329" s="5"/>
      <c r="DS329" s="6" t="s">
        <v>514</v>
      </c>
      <c r="DT329" s="6">
        <f>DT8*5+DU8*5+DV8*5+DT12*5+DU12*5+DV12*5+DT15*5+DU15*5+DV15*5</f>
        <v>0</v>
      </c>
      <c r="DU329" s="5"/>
      <c r="DV329" s="5"/>
      <c r="DX329" s="6" t="s">
        <v>514</v>
      </c>
      <c r="DY329" s="6">
        <f>DY8*5+DZ8*5+EA8*5+DY12*5+DZ12*5+EA12*5+DY15*5+DZ15*5+EA15*5</f>
        <v>0</v>
      </c>
      <c r="DZ329" s="5"/>
      <c r="EA329" s="5"/>
      <c r="EC329" s="6" t="s">
        <v>514</v>
      </c>
      <c r="ED329" s="6">
        <f>ED8*5+EE8*5+EF8*5+ED12*5+EE12*5+EF12*5+ED15*5+EE15*5+EF15*5</f>
        <v>0</v>
      </c>
      <c r="EE329" s="5"/>
      <c r="EF329" s="5"/>
      <c r="EH329" s="6" t="s">
        <v>514</v>
      </c>
      <c r="EI329" s="6">
        <f>EI8*5+EJ8*5+EK8*5+EI12*5+EJ12*5+EK12*5+EI15*5+EJ15*5+EK15*5</f>
        <v>0</v>
      </c>
      <c r="EJ329" s="5"/>
      <c r="EK329" s="5"/>
      <c r="EX329" s="659">
        <f t="shared" si="2"/>
        <v>0</v>
      </c>
    </row>
    <row r="330" spans="1:155" s="6" customFormat="1" ht="15" customHeight="1">
      <c r="A330" s="56" t="s">
        <v>223</v>
      </c>
      <c r="B330" s="210" t="s">
        <v>223</v>
      </c>
      <c r="C330" s="473" t="s">
        <v>515</v>
      </c>
      <c r="D330" s="138"/>
      <c r="E330" s="5"/>
      <c r="F330" s="6">
        <f>SUM(F18:H18,F22:H22,F25:H25)*E330</f>
        <v>0</v>
      </c>
      <c r="I330" s="4"/>
      <c r="J330" s="4"/>
      <c r="K330" s="4"/>
      <c r="L330" s="4"/>
      <c r="M330" s="4"/>
      <c r="N330" s="4"/>
      <c r="O330" s="4"/>
      <c r="P330" s="4"/>
      <c r="Q330" s="4"/>
      <c r="R330" s="5"/>
      <c r="S330" s="5"/>
      <c r="U330" s="5"/>
      <c r="W330" s="5"/>
      <c r="X330" s="5"/>
      <c r="Y330" s="5"/>
      <c r="Z330" s="5"/>
      <c r="AB330" s="5"/>
      <c r="AC330" s="5"/>
      <c r="AD330" s="5"/>
      <c r="AE330" s="5"/>
      <c r="AG330" s="5"/>
      <c r="AH330" s="5"/>
      <c r="AI330" s="5"/>
      <c r="AJ330" s="5"/>
      <c r="AL330" s="5"/>
      <c r="AM330" s="5"/>
      <c r="AN330" s="5"/>
      <c r="AO330" s="5"/>
      <c r="AQ330" s="5"/>
      <c r="AR330" s="5"/>
      <c r="AS330" s="5"/>
      <c r="AT330" s="5"/>
      <c r="BD330" s="5"/>
      <c r="BF330" s="5">
        <v>2</v>
      </c>
      <c r="BG330" s="5">
        <f>SUM(BG19:BI19,BG23:BI23,BG26:BI26)*BF330</f>
        <v>0</v>
      </c>
      <c r="BH330" s="5"/>
      <c r="BI330" s="5"/>
      <c r="BK330" s="6">
        <v>2</v>
      </c>
      <c r="BL330" s="6">
        <f>SUM(BL18:BN18,BL22:BN22,BL25:BN25)*BK330</f>
        <v>0</v>
      </c>
      <c r="BM330" s="5"/>
      <c r="BN330" s="5"/>
      <c r="BP330" s="5">
        <v>2</v>
      </c>
      <c r="BQ330" s="6">
        <f>SUM(BQ18:BS18,BQ22:BS22,BQ25:BS25)*BP330</f>
        <v>0</v>
      </c>
      <c r="BR330" s="5"/>
      <c r="BS330" s="5"/>
      <c r="BU330" s="5" t="s">
        <v>1018</v>
      </c>
      <c r="BV330" s="5">
        <f>SUM(BV5:BV7,BV9:BV11,BV13:BV14,BW5:BW7,BW9:BW11,BW13:BW14,BX5:BX7,BX9:BX11,BX13:BX14)*2+SUM(BV16:BX16,BV20:BX20)*2</f>
        <v>0</v>
      </c>
      <c r="BW330" s="5"/>
      <c r="BX330" s="5"/>
      <c r="BZ330" s="5" t="s">
        <v>155</v>
      </c>
      <c r="CA330" s="5">
        <f>SUM(CA8:CC8,CA12:CC12,CA15:CC15)*3+SUM(CA16:CA26,CB16:CB26,CC16:CC26)*2</f>
        <v>0</v>
      </c>
      <c r="CB330" s="5"/>
      <c r="CC330" s="5"/>
      <c r="CE330" s="5" t="s">
        <v>155</v>
      </c>
      <c r="CF330" s="5">
        <f>SUM(CF8:CH8,CF12:CH12,CF15:CH15)*3+SUM(CF16:CF26,CG16:CG26,CH16:CH26)*2</f>
        <v>0</v>
      </c>
      <c r="CG330" s="5"/>
      <c r="CH330" s="5"/>
      <c r="CJ330" s="6">
        <v>0</v>
      </c>
      <c r="CK330" s="6">
        <f>CK19*CJ330+CK23*CJ330+CK26*CJ330+CL19*CJ330+CL23*CJ330+CL26*CJ330+CM19*CJ330+CM23*CJ330+CM26*CJ330</f>
        <v>0</v>
      </c>
      <c r="CO330" s="13">
        <v>2</v>
      </c>
      <c r="CP330" s="5">
        <f>CP19*CO330+CP23*CO330+CP26*CO330+CQ19*CO330+CQ23*CO330+CQ26*CO330+CR19*CO330+CR23*CO330+CR26*CO330</f>
        <v>0</v>
      </c>
      <c r="CQ330" s="5"/>
      <c r="CR330" s="5"/>
      <c r="CT330" s="5">
        <v>3</v>
      </c>
      <c r="CU330" s="5">
        <f>CU12*CT330+CU15*CT330+CU8*CT330+CV12*CT330+CV15*CT330+CV8*CT330+CW12*CT330+CW15*CT330+CW8*CT330+CU17*2+CU21*2+CU24*2+CV17*2+CV21*2+CV24*2+CW17*2+CW21*2+CW24*2+CU18*2+CU22*2+CU25*2+CV18*2+CV22*2+CV25*2+CW18*2+CW22*2+CW25*2</f>
        <v>0</v>
      </c>
      <c r="CV330" s="5"/>
      <c r="CW330" s="5"/>
      <c r="CY330" s="5" t="s">
        <v>1018</v>
      </c>
      <c r="CZ330" s="5">
        <f>SUM(CZ6:DB6,CZ7:DB7,CZ10:DB10,CZ11:DB11,CZ13:DB13,CZ14:DB14)*3+SUM(CZ16:DB16,CZ17:DB17,CZ21:DB21,CZ20:DB20,CZ24:DB24,CZ23:DB23)*2</f>
        <v>0</v>
      </c>
      <c r="DA330" s="5"/>
      <c r="DB330" s="5"/>
      <c r="DD330" s="5">
        <v>2</v>
      </c>
      <c r="DE330" s="5">
        <f>DE5*DD330+DE6*DD330+DE7*DD330+DE9*DD330+DE10*DD330+DE11*DD330+DE13*DD330+DE14*DD330+DF5*DD330+DF6*DD330+DF7*DD330+DF9*DD330+DF10*DD330+DF11*DD330+DF13*DD330+DF14*DD330+DG5*DD330+DG6*DD330+DG7*DD330+DG9*DD330+DG10*DD330+DG11*DD330+DG13*DD330+DG14*DD330</f>
        <v>0</v>
      </c>
      <c r="DF330" s="5"/>
      <c r="DG330" s="5"/>
      <c r="DI330" s="5">
        <v>3</v>
      </c>
      <c r="DJ330" s="5">
        <f>DJ12*DI330+DJ15*DI330+DJ8*DI330+DK12*DI330+DK15*DI330+DK8*DI330+DL12*DI330+DL15*DI330+DL8*DI330+DJ16*2+DJ17*2+DJ18*2+DJ20*2+DJ21*2+DJ22*2+DJ24*2+DJ25*2+DK16*2+DK17*2+DK18*2+DK20*2+DK21*2+DK22*2+DK24*2+DK25*2+DL16*2+DL17*2+DL18*2+DL20*2+DL21*2+DL22*2+DL24*2+DL25*2</f>
        <v>0</v>
      </c>
      <c r="DK330" s="5"/>
      <c r="DL330" s="5"/>
      <c r="DN330" s="5">
        <v>3</v>
      </c>
      <c r="DO330" s="5">
        <f>DO12*DN330+DO15*DN330+DO8*DN330+DP12*DN330+DP15*DN330+DP8*DN330+DQ12*DN330+DQ15*DN330+DQ8*DN330+DO16*2+DO17*2+DO18*2+DO20*2+DO21*2+DO22*2+DO24*2+DO25*2+DP16*2+DP17*2+DP18*2+DP20*2+DP21*2+DP22*2+DP24*2+DP25*2+DQ16*2+DQ17*2+DQ18*2+DQ20*2+DQ21*2+DQ22*2+DQ24*2+DQ25*2</f>
        <v>0</v>
      </c>
      <c r="DP330" s="5"/>
      <c r="DQ330" s="5"/>
      <c r="DS330" s="6">
        <v>3</v>
      </c>
      <c r="DT330" s="5">
        <f>DT12*DS330+DT15*DS330+DT8*DS330+DU12*DS330+DU15*DS330+DU8*DS330+DV12*DS330+DV15*DS330+DV8*DS330+DT16*2+DT17*2+DT18*2+DT20*2+DT21*2+DT22*2+DT24*2+DT25*2+DU16*2+DU17*2+DU18*2+DU20*2+DU21*2+DU22*2+DU24*2+DU25*2+DV16*2+DV17*2+DV18*2+DV20*2+DV21*2+DV22*2+DV24*2+DV25*2</f>
        <v>0</v>
      </c>
      <c r="DU330" s="5"/>
      <c r="DV330" s="5"/>
      <c r="DX330" s="6">
        <v>3</v>
      </c>
      <c r="DY330" s="5">
        <f>DY12*DX330+DY15*DX330+DY8*DX330+DZ12*DX330+DZ15*DX330+DZ8*DX330+EA12*DX330+EA15*DX330+EA8*DX330+DY16*2+DY17*2+DY18*2+DY20*2+DY21*2+DY22*2+DY24*2+DY25*2+DZ16*2+DZ17*2+DZ18*2+DZ20*2+DZ21*2+DZ22*2+DZ24*2+DZ25*2+EA16*2+EA17*2+EA18*2+EA20*2+EA21*2+EA22*2+EA24*2+EA25*2</f>
        <v>0</v>
      </c>
      <c r="DZ330" s="5"/>
      <c r="EA330" s="5"/>
      <c r="EC330" s="6">
        <v>3</v>
      </c>
      <c r="ED330" s="5">
        <f>ED12*EC330+ED15*EC330+ED8*EC330+EE12*EC330+EE15*EC330+EE8*EC330+EF12*EC330+EF15*EC330+EF8*EC330+ED16*2+ED17*2+ED18*2+ED20*2+ED21*2+ED22*2+ED24*2+ED25*2+EE16*2+EE17*2+EE18*2+EE20*2+EE21*2+EE22*2+EE24*2+EE25*2+EF16*2+EF17*2+EF18*2+EF20*2+EF21*2+EF22*2+EF24*2+EF25*2</f>
        <v>0</v>
      </c>
      <c r="EE330" s="5"/>
      <c r="EF330" s="5"/>
      <c r="EH330" s="6">
        <v>3</v>
      </c>
      <c r="EI330" s="5">
        <f>EI12*EH330+EI15*EH330+EI8*EH330+EJ12*EH330+EJ15*EH330+EJ8*EH330+EK12*EH330+EK15*EH330+EK8*EH330+EI16*2+EI17*2+EI18*2+EI20*2+EI21*2+EI22*2+EI24*2+EI25*2+EJ16*2+EJ17*2+EJ18*2+EJ20*2+EJ21*2+EJ22*2+EJ24*2+EJ25*2+EK16*2+EK17*2+EK18*2+EK20*2+EK21*2+EK22*2+EK24*2+EK25*2</f>
        <v>0</v>
      </c>
      <c r="EJ330" s="5"/>
      <c r="EK330" s="5"/>
      <c r="EX330" s="659">
        <f t="shared" si="2"/>
        <v>0</v>
      </c>
    </row>
    <row r="331" spans="1:155" s="6" customFormat="1" ht="15" customHeight="1">
      <c r="A331" s="56" t="s">
        <v>228</v>
      </c>
      <c r="B331" s="210" t="s">
        <v>228</v>
      </c>
      <c r="C331" s="473" t="s">
        <v>515</v>
      </c>
      <c r="D331" s="138"/>
      <c r="E331" s="5"/>
      <c r="F331" s="6">
        <f>SUM(F19:H19,F23:H23,F25:H25)*E331</f>
        <v>0</v>
      </c>
      <c r="I331" s="4"/>
      <c r="J331" s="4"/>
      <c r="K331" s="4"/>
      <c r="L331" s="4"/>
      <c r="M331" s="4"/>
      <c r="N331" s="4"/>
      <c r="O331" s="4"/>
      <c r="P331" s="4"/>
      <c r="Q331" s="4"/>
      <c r="R331" s="5"/>
      <c r="S331" s="5"/>
      <c r="U331" s="5"/>
      <c r="W331" s="5"/>
      <c r="X331" s="5"/>
      <c r="Y331" s="5"/>
      <c r="Z331" s="5"/>
      <c r="AB331" s="5"/>
      <c r="AC331" s="5"/>
      <c r="AD331" s="5"/>
      <c r="AE331" s="5"/>
      <c r="AG331" s="5"/>
      <c r="AH331" s="5"/>
      <c r="AI331" s="5"/>
      <c r="AJ331" s="5"/>
      <c r="AL331" s="5"/>
      <c r="AM331" s="5"/>
      <c r="AN331" s="5"/>
      <c r="AO331" s="5"/>
      <c r="AQ331" s="5"/>
      <c r="AR331" s="5"/>
      <c r="AS331" s="5"/>
      <c r="AT331" s="5"/>
      <c r="BD331" s="5"/>
      <c r="BF331" s="5"/>
      <c r="BG331" s="5"/>
      <c r="BH331" s="5"/>
      <c r="BI331" s="5"/>
      <c r="BK331" s="6">
        <v>2</v>
      </c>
      <c r="BL331" s="6">
        <f>SUM(BL19:BN19,BL23:BN23,BL25:BN25)*BK331</f>
        <v>0</v>
      </c>
      <c r="BM331" s="5"/>
      <c r="BN331" s="5"/>
      <c r="BP331" s="5">
        <v>2</v>
      </c>
      <c r="BQ331" s="6">
        <f>SUM(BQ19:BS19,BQ23:BS23,BQ25:BS25)*BP331</f>
        <v>0</v>
      </c>
      <c r="BR331" s="5"/>
      <c r="BS331" s="5"/>
      <c r="BU331" s="5" t="s">
        <v>1018</v>
      </c>
      <c r="BV331" s="5">
        <f>SUM(BV5:BX5,BV9:BX9,BV8:BX8,BV12:BX12,BV15:BX15)*2+SUM(BV17:BX17,BV18:BX18,BV21:BX21,BV22:BX22,BV24:BX24,BV25:BX25)*2</f>
        <v>0</v>
      </c>
      <c r="BW331" s="5"/>
      <c r="BX331" s="5"/>
      <c r="BZ331" s="5" t="s">
        <v>155</v>
      </c>
      <c r="CA331" s="5">
        <f>SUM(CA18:CA26,CB18:CB26,CC18:CC26)*2</f>
        <v>0</v>
      </c>
      <c r="CB331" s="5"/>
      <c r="CC331" s="5"/>
      <c r="CE331" s="5" t="s">
        <v>155</v>
      </c>
      <c r="CF331" s="5">
        <f>SUM(CF18:CF26,CG18:CG26,CH18:CH26)*2</f>
        <v>0</v>
      </c>
      <c r="CG331" s="5"/>
      <c r="CH331" s="5"/>
      <c r="CO331" s="13"/>
      <c r="CP331" s="5"/>
      <c r="CQ331" s="5"/>
      <c r="CR331" s="5"/>
      <c r="CT331" s="5">
        <v>2</v>
      </c>
      <c r="CU331" s="5">
        <f>CU19*CT331+CU23*CT331+CU26*CT331+CV19*CT331+CV23*CT331+CV26*CT331+CW19*CT331+CW23*CT331+CW26*CT331</f>
        <v>0</v>
      </c>
      <c r="CV331" s="5"/>
      <c r="CW331" s="5"/>
      <c r="CY331" s="5" t="s">
        <v>1018</v>
      </c>
      <c r="CZ331" s="5">
        <f>SUM(CZ8:DB8,CZ12:DB12,CZ15:DB15)*3+SUM(CZ18:DB18,CZ19:DB19,CZ23:DB23,CZ22:DB22,CZ26:DB26,CZ25:DB25)*2</f>
        <v>0</v>
      </c>
      <c r="DA331" s="5"/>
      <c r="DB331" s="5"/>
      <c r="DD331" s="5">
        <v>2</v>
      </c>
      <c r="DE331" s="5">
        <f>DE19*DD331+DE23*DD331+DE26*DD331+DF19*DD331+DF23*DD331+DF26*DD331+DG19*DD331+DG23*DD331+DG26*DD331</f>
        <v>0</v>
      </c>
      <c r="DF331" s="5"/>
      <c r="DG331" s="5"/>
      <c r="DI331" s="5">
        <v>2</v>
      </c>
      <c r="DJ331" s="5">
        <f>DJ19*DI331+DJ23*DI331+DJ26*DI331+DK19*DI331+DK23*DI331+DK26*DI331+DL19*DI331+DL23*DI331+DL26*DI331</f>
        <v>0</v>
      </c>
      <c r="DK331" s="5"/>
      <c r="DL331" s="5"/>
      <c r="DN331" s="5">
        <v>2</v>
      </c>
      <c r="DO331" s="5">
        <f>DO19*DN331+DO23*DN331+DO26*DN331+DP19*DN331+DP23*DN331+DP26*DN331+DQ19*DN331+DQ23*DN331+DQ26*DN331</f>
        <v>0</v>
      </c>
      <c r="DP331" s="5"/>
      <c r="DQ331" s="5"/>
      <c r="DS331" s="6">
        <v>2</v>
      </c>
      <c r="DT331" s="6">
        <f>DT19*DS331+DT23*DS331+DT26*DS331+DU19*DS331+DU23*DS331+DU26*DS331+DV19*DS331+DV23*DS331+DV26*DS331</f>
        <v>0</v>
      </c>
      <c r="DU331" s="5"/>
      <c r="DV331" s="5"/>
      <c r="DX331" s="6">
        <v>2</v>
      </c>
      <c r="DY331" s="6">
        <f>DY19*DX331+DY23*DX331+DY26*DX331+DZ19*DX331+DZ23*DX331+DZ26*DX331+EA19*DX331+EA23*DX331+EA26*DX331</f>
        <v>0</v>
      </c>
      <c r="DZ331" s="5"/>
      <c r="EA331" s="5"/>
      <c r="EC331" s="6">
        <v>2</v>
      </c>
      <c r="ED331" s="6">
        <f>ED19*EC331+ED23*EC331+ED26*EC331+EE19*EC331+EE23*EC331+EE26*EC331+EF19*EC331+EF23*EC331+EF26*EC331</f>
        <v>0</v>
      </c>
      <c r="EE331" s="5"/>
      <c r="EF331" s="5"/>
      <c r="EH331" s="6">
        <v>2</v>
      </c>
      <c r="EI331" s="6">
        <f>EI19*EH331+EI23*EH331+EI26*EH331+EJ19*EH331+EJ23*EH331+EJ26*EH331+EK19*EH331+EK23*EH331+EK26*EH331</f>
        <v>0</v>
      </c>
      <c r="EJ331" s="5"/>
      <c r="EK331" s="5"/>
      <c r="EX331" s="659">
        <f t="shared" si="2"/>
        <v>0</v>
      </c>
    </row>
    <row r="332" spans="1:155" s="6" customFormat="1" ht="15" customHeight="1">
      <c r="A332" s="56"/>
      <c r="B332" s="210" t="s">
        <v>1476</v>
      </c>
      <c r="C332" s="473" t="s">
        <v>515</v>
      </c>
      <c r="D332" s="138"/>
      <c r="E332" s="5"/>
      <c r="I332" s="4"/>
      <c r="J332" s="4"/>
      <c r="K332" s="4"/>
      <c r="L332" s="4"/>
      <c r="M332" s="4"/>
      <c r="N332" s="4"/>
      <c r="O332" s="4"/>
      <c r="P332" s="4"/>
      <c r="Q332" s="4"/>
      <c r="R332" s="5"/>
      <c r="S332" s="5"/>
      <c r="U332" s="5"/>
      <c r="W332" s="5"/>
      <c r="X332" s="5"/>
      <c r="Y332" s="5"/>
      <c r="Z332" s="5"/>
      <c r="AB332" s="5"/>
      <c r="AC332" s="5"/>
      <c r="AD332" s="5"/>
      <c r="AE332" s="5"/>
      <c r="AG332" s="5"/>
      <c r="AH332" s="5"/>
      <c r="AI332" s="5"/>
      <c r="AJ332" s="5"/>
      <c r="AL332" s="5"/>
      <c r="AM332" s="5"/>
      <c r="AN332" s="5"/>
      <c r="AO332" s="5"/>
      <c r="AQ332" s="5"/>
      <c r="AR332" s="5"/>
      <c r="AS332" s="5"/>
      <c r="AT332" s="5"/>
      <c r="BD332" s="5"/>
      <c r="BF332" s="5"/>
      <c r="BG332" s="5"/>
      <c r="BH332" s="5"/>
      <c r="BI332" s="5"/>
      <c r="BM332" s="5"/>
      <c r="BN332" s="5"/>
      <c r="BP332" s="5"/>
      <c r="BR332" s="5"/>
      <c r="BS332" s="5"/>
      <c r="BU332" s="5" t="s">
        <v>1018</v>
      </c>
      <c r="BV332" s="5">
        <f>SUM(BV6:BX6,BV7:BX7,BV10:BX10,BV11:BX11,BV13:BX13,BV14:BX14)*2+SUM(BV16:BX16,BV17:BX17,BV21:BX21,BV20:BX20,BV24:BX24,BV23:BX23)*2</f>
        <v>0</v>
      </c>
      <c r="BW332" s="5"/>
      <c r="BX332" s="5"/>
      <c r="BZ332" s="5"/>
      <c r="CA332" s="5"/>
      <c r="CB332" s="5"/>
      <c r="CC332" s="5"/>
      <c r="CE332" s="5"/>
      <c r="CF332" s="5"/>
      <c r="CG332" s="5"/>
      <c r="CH332" s="5"/>
      <c r="CO332" s="13"/>
      <c r="CP332" s="5"/>
      <c r="CQ332" s="5"/>
      <c r="CR332" s="5"/>
      <c r="CT332" s="5"/>
      <c r="CU332" s="5"/>
      <c r="CV332" s="5"/>
      <c r="CW332" s="5"/>
      <c r="CY332" s="5"/>
      <c r="CZ332" s="5"/>
      <c r="DA332" s="5"/>
      <c r="DB332" s="5"/>
      <c r="DD332" s="5"/>
      <c r="DE332" s="5"/>
      <c r="DF332" s="5"/>
      <c r="DG332" s="5"/>
      <c r="EJ332" s="5"/>
      <c r="EK332" s="5"/>
      <c r="EX332" s="659">
        <f t="shared" si="2"/>
        <v>0</v>
      </c>
    </row>
    <row r="333" spans="1:155" s="6" customFormat="1" ht="15" customHeight="1">
      <c r="A333" s="56"/>
      <c r="B333" s="210" t="s">
        <v>1477</v>
      </c>
      <c r="C333" s="473" t="s">
        <v>515</v>
      </c>
      <c r="D333" s="138"/>
      <c r="E333" s="5"/>
      <c r="I333" s="4"/>
      <c r="J333" s="4"/>
      <c r="K333" s="4"/>
      <c r="L333" s="4"/>
      <c r="M333" s="4"/>
      <c r="N333" s="4"/>
      <c r="O333" s="4"/>
      <c r="P333" s="4"/>
      <c r="Q333" s="4"/>
      <c r="R333" s="5"/>
      <c r="S333" s="5"/>
      <c r="U333" s="5"/>
      <c r="W333" s="5"/>
      <c r="X333" s="5"/>
      <c r="Y333" s="5"/>
      <c r="Z333" s="5"/>
      <c r="AB333" s="5"/>
      <c r="AC333" s="5"/>
      <c r="AD333" s="5"/>
      <c r="AE333" s="5"/>
      <c r="AG333" s="5"/>
      <c r="AH333" s="5"/>
      <c r="AI333" s="5"/>
      <c r="AJ333" s="5"/>
      <c r="AL333" s="5"/>
      <c r="AM333" s="5"/>
      <c r="AN333" s="5"/>
      <c r="AO333" s="5"/>
      <c r="AQ333" s="5"/>
      <c r="AR333" s="5"/>
      <c r="AS333" s="5"/>
      <c r="AT333" s="5"/>
      <c r="BD333" s="5"/>
      <c r="BF333" s="5"/>
      <c r="BG333" s="5"/>
      <c r="BH333" s="5"/>
      <c r="BI333" s="5"/>
      <c r="BM333" s="5"/>
      <c r="BN333" s="5"/>
      <c r="BP333" s="5"/>
      <c r="BR333" s="5"/>
      <c r="BS333" s="5"/>
      <c r="BU333" s="5" t="s">
        <v>1018</v>
      </c>
      <c r="BV333" s="5">
        <f>SUM(BV8:BX8,BV12:BX12,BV15:BX15)*2+SUM(BV18:BX18,BV19:BX19,BV23:BX23,BV22:BX22,BV26:BX26,BV25:BX25)*2</f>
        <v>0</v>
      </c>
      <c r="BW333" s="5"/>
      <c r="BX333" s="5"/>
      <c r="BZ333" s="5"/>
      <c r="CA333" s="5"/>
      <c r="CB333" s="5"/>
      <c r="CC333" s="5"/>
      <c r="CE333" s="5"/>
      <c r="CF333" s="5"/>
      <c r="CG333" s="5"/>
      <c r="CH333" s="5"/>
      <c r="CO333" s="13"/>
      <c r="CP333" s="5"/>
      <c r="CQ333" s="5"/>
      <c r="CR333" s="5"/>
      <c r="CT333" s="5"/>
      <c r="CU333" s="5"/>
      <c r="CV333" s="5"/>
      <c r="CW333" s="5"/>
      <c r="CY333" s="5"/>
      <c r="CZ333" s="5"/>
      <c r="DA333" s="5"/>
      <c r="DB333" s="5"/>
      <c r="DD333" s="5"/>
      <c r="DE333" s="5"/>
      <c r="DF333" s="5"/>
      <c r="DG333" s="5"/>
      <c r="EJ333" s="5"/>
      <c r="EK333" s="5"/>
      <c r="EX333" s="659">
        <f t="shared" si="2"/>
        <v>0</v>
      </c>
    </row>
    <row r="334" spans="1:155" s="6" customFormat="1" ht="15" customHeight="1">
      <c r="A334" s="3" t="s">
        <v>162</v>
      </c>
      <c r="B334" s="210" t="s">
        <v>162</v>
      </c>
      <c r="C334" s="473" t="s">
        <v>515</v>
      </c>
      <c r="D334" s="138"/>
      <c r="E334" s="5"/>
      <c r="F334" s="5"/>
      <c r="G334" s="5"/>
      <c r="H334" s="5"/>
      <c r="I334" s="4"/>
      <c r="J334" s="4"/>
      <c r="K334" s="4"/>
      <c r="L334" s="4"/>
      <c r="M334" s="4"/>
      <c r="N334" s="4"/>
      <c r="O334" s="4"/>
      <c r="P334" s="4"/>
      <c r="Q334" s="4"/>
      <c r="R334" s="5"/>
      <c r="S334" s="5"/>
      <c r="U334" s="5"/>
      <c r="W334" s="5"/>
      <c r="X334" s="5"/>
      <c r="Y334" s="5"/>
      <c r="Z334" s="5"/>
      <c r="AB334" s="5"/>
      <c r="AC334" s="5"/>
      <c r="AD334" s="5"/>
      <c r="AE334" s="5"/>
      <c r="AG334" s="5"/>
      <c r="AH334" s="5"/>
      <c r="AI334" s="5"/>
      <c r="AJ334" s="5"/>
      <c r="AL334" s="5"/>
      <c r="AM334" s="5"/>
      <c r="AN334" s="5"/>
      <c r="AO334" s="5"/>
      <c r="AQ334" s="5"/>
      <c r="AR334" s="5"/>
      <c r="AS334" s="5"/>
      <c r="AT334" s="5"/>
      <c r="BD334" s="5"/>
      <c r="BF334" s="5"/>
      <c r="BG334" s="5"/>
      <c r="BH334" s="5"/>
      <c r="BI334" s="5"/>
      <c r="BM334" s="5"/>
      <c r="BN334" s="5"/>
      <c r="BP334" s="5"/>
      <c r="BQ334" s="5"/>
      <c r="BR334" s="5"/>
      <c r="BS334" s="5"/>
      <c r="BU334" s="5"/>
      <c r="BV334" s="5"/>
      <c r="BW334" s="5"/>
      <c r="BX334" s="5"/>
      <c r="BZ334" s="5"/>
      <c r="CA334" s="5"/>
      <c r="CB334" s="5"/>
      <c r="CC334" s="5"/>
      <c r="CE334" s="5"/>
      <c r="CF334" s="5"/>
      <c r="CG334" s="5"/>
      <c r="CH334" s="5"/>
      <c r="CO334" s="13"/>
      <c r="CP334" s="5"/>
      <c r="CQ334" s="5"/>
      <c r="CR334" s="5"/>
      <c r="CT334" s="5"/>
      <c r="CU334" s="5"/>
      <c r="CV334" s="5"/>
      <c r="CW334" s="5"/>
      <c r="CY334" s="5"/>
      <c r="CZ334" s="5"/>
      <c r="DA334" s="5"/>
      <c r="DB334" s="5"/>
      <c r="DD334" s="5"/>
      <c r="DE334" s="5"/>
      <c r="DF334" s="5"/>
      <c r="DG334" s="5"/>
      <c r="DI334" s="6">
        <v>3</v>
      </c>
      <c r="DJ334" s="6">
        <f>DJ26*DI334+DJ5*DI334+DJ6*DI334+DJ7*DI334+DJ8*DI334+DJ9*DI334+DJ10*DI334+DJ11*DI334+DJ12*DI334+DJ13*DI334+DJ14*DI334+DJ15*DI334+DJ16*DI334+DJ17*DI334+DJ18*DI334+DJ19*DI334+DJ20*DI334+DJ21*DI334+DJ22*DI334+DJ23*DI334+DK24*DI334+DK25*DI334+DK26*DI334+DK5*DI334+DK6*DI334+DK7*DI334+DK8*DI334+DK9*DI334+DK10*DI334+DK11*DI334+DK12*DI334+DK13*DI334+DK14*DI334+DK15*DI334+DK16*DI334+DK17*DI334+DK18*DI334+DK19*DI334+DK20*DI334+DK21*DI334+DK22*DI334+DK23*DI334+DJ24*DI334+DJ25*DI334+DL26*DI334+DL5*DI334+DL6*DI334+DL7*DI334+DL8*DI334+DL9*DI334+DL10*DI334+DL11*DI334+DL12*DI334+DL13*DI334+DL14*DI334+DL15*DI334+DL16*DI334+DL17*DI334+DL18*DI334+DL19*DI334+DL20*DI334+DL21*DI334+DL22*DI334+DL23*DI334+DL24*DI334+DL25*DI334</f>
        <v>0</v>
      </c>
      <c r="DN334" s="6">
        <v>3</v>
      </c>
      <c r="DO334" s="6">
        <f>DO26*DN334+DO5*DN334+DO6*DN334+DO7*DN334+DO8*DN334+DO9*DN334+DO10*DN334+DO11*DN334+DO12*DN334+DO13*DN334+DO14*DN334+DO15*DN334+DO16*DN334+DO17*DN334+DO18*DN334+DO19*DN334+DO20*DN334+DO21*DN334+DO22*DN334+DO23*DN334+DP24*DN334+DP25*DN334+DP26*DN334+DP5*DN334+DP6*DN334+DP7*DN334+DP8*DN334+DP9*DN334+DP10*DN334+DP11*DN334+DP12*DN334+DP13*DN334+DP14*DN334+DP15*DN334+DP16*DN334+DP17*DN334+DP18*DN334+DP19*DN334+DP20*DN334+DP21*DN334+DP22*DN334+DP23*DN334+DO24*DN334+DO25*DN334+DQ26*DN334+DQ5*DN334+DQ6*DN334+DQ7*DN334+DQ8*DN334+DQ9*DN334+DQ10*DN334+DQ11*DN334+DQ12*DN334+DQ13*DN334+DQ14*DN334+DQ15*DN334+DQ16*DN334+DQ17*DN334+DQ18*DN334+DQ19*DN334+DQ20*DN334+DQ21*DN334+DQ22*DN334+DQ23*DN334+DQ24*DN334+DQ25*DN334</f>
        <v>0</v>
      </c>
      <c r="DS334" s="6">
        <v>3</v>
      </c>
      <c r="DT334" s="6">
        <f>DT26*DS334+DT5*DS334+DT6*DS334+DT7*DS334+DT8*DS334+DT9*DS334+DT10*DS334+DT11*DS334+DT12*DS334+DT13*DS334+DT14*DS334+DT15*DS334+DT16*DS334+DT17*DS334+DT18*DS334+DT19*DS334+DT20*DS334+DT21*DS334+DT22*DS334+DT23*DS334+DU24*DS334+DU25*DS334+DU26*DS334+DU5*DS334+DU6*DS334+DU7*DS334+DU8*DS334+DU9*DS334+DU10*DS334+DU11*DS334+DU12*DS334+DU13*DS334+DU14*DS334+DU15*DS334+DU16*DS334+DU17*DS334+DU18*DS334+DU19*DS334+DU20*DS334+DU21*DS334+DU22*DS334+DU23*DS334+DT24*DS334+DT25*DS334+DV26*DS334+DV5*DS334+DV6*DS334+DV7*DS334+DV8*DS334+DV9*DS334+DV10*DS334+DV11*DS334+DV12*DS334+DV13*DS334+DV14*DS334+DV15*DS334+DV16*DS334+DV17*DS334+DV18*DS334+DV19*DS334+DV20*DS334+DV21*DS334+DV22*DS334+DV23*DS334+DV24*DS334+DV25*DS334</f>
        <v>0</v>
      </c>
      <c r="DX334" s="6">
        <v>3</v>
      </c>
      <c r="DY334" s="6">
        <f>DY26*DX334+DY5*DX334+DY6*DX334+DY7*DX334+DY8*DX334+DY9*DX334+DY10*DX334+DY11*DX334+DY12*DX334+DY13*DX334+DY14*DX334+DY15*DX334+DY16*DX334+DY17*DX334+DY18*DX334+DY19*DX334+DY20*DX334+DY21*DX334+DY22*DX334+DY23*DX334+DZ24*DX334+DZ25*DX334+DZ26*DX334+DZ5*DX334+DZ6*DX334+DZ7*DX334+DZ8*DX334+DZ9*DX334+DZ10*DX334+DZ11*DX334+DZ12*DX334+DZ13*DX334+DZ14*DX334+DZ15*DX334+DZ16*DX334+DZ17*DX334+DZ18*DX334+DZ19*DX334+DZ20*DX334+DZ21*DX334+DZ22*DX334+DZ23*DX334+DY24*DX334+DY25*DX334+EA26*DX334+EA5*DX334+EA6*DX334+EA7*DX334+EA8*DX334+EA9*DX334+EA10*DX334+EA11*DX334+EA12*DX334+EA13*DX334+EA14*DX334+EA15*DX334+EA16*DX334+EA17*DX334+EA18*DX334+EA19*DX334+EA20*DX334+EA21*DX334+EA22*DX334+EA23*DX334+EA24*DX334+EA25*DX334</f>
        <v>0</v>
      </c>
      <c r="EC334" s="6">
        <v>3</v>
      </c>
      <c r="ED334" s="6">
        <f>ED26*EC334+ED5*EC334+ED6*EC334+ED7*EC334+ED8*EC334+ED9*EC334+ED10*EC334+ED11*EC334+ED12*EC334+ED13*EC334+ED14*EC334+ED15*EC334+ED16*EC334+ED17*EC334+ED18*EC334+ED19*EC334+ED20*EC334+ED21*EC334+ED22*EC334+ED23*EC334+EE24*EC334+EE25*EC334+EE26*EC334+EE5*EC334+EE6*EC334+EE7*EC334+EE8*EC334+EE9*EC334+EE10*EC334+EE11*EC334+EE12*EC334+EE13*EC334+EE14*EC334+EE15*EC334+EE16*EC334+EE17*EC334+EE18*EC334+EE19*EC334+EE20*EC334+EE21*EC334+EE22*EC334+EE23*EC334+ED24*EC334+ED25*EC334+EF26*EC334+EF5*EC334+EF6*EC334+EF7*EC334+EF8*EC334+EF9*EC334+EF10*EC334+EF11*EC334+EF12*EC334+EF13*EC334+EF14*EC334+EF15*EC334+EF16*EC334+EF17*EC334+EF18*EC334+EF19*EC334+EF20*EC334+EF21*EC334+EF22*EC334+EF23*EC334+EF24*EC334+EF25*EC334</f>
        <v>0</v>
      </c>
      <c r="EH334" s="6">
        <v>3</v>
      </c>
      <c r="EI334" s="6">
        <f>EI26*EH334+EI5*EH334+EI6*EH334+EI7*EH334+EI8*EH334+EI9*EH334+EI10*EH334+EI11*EH334+EI12*EH334+EI13*EH334+EI14*EH334+EI15*EH334+EI16*EH334+EI17*EH334+EI18*EH334+EI19*EH334+EI20*EH334+EI21*EH334+EI22*EH334+EI23*EH334+EJ24*EH334+EJ25*EH334+EJ26*EH334+EJ5*EH334+EJ6*EH334+EJ7*EH334+EJ8*EH334+EJ9*EH334+EJ10*EH334+EJ11*EH334+EJ12*EH334+EJ13*EH334+EJ14*EH334+EJ15*EH334+EJ16*EH334+EJ17*EH334+EJ18*EH334+EJ19*EH334+EJ20*EH334+EJ21*EH334+EJ22*EH334+EJ23*EH334+EI24*EH334+EI25*EH334+EK26*EH334+EK5*EH334+EK6*EH334+EK7*EH334+EK8*EH334+EK9*EH334+EK10*EH334+EK11*EH334+EK12*EH334+EK13*EH334+EK14*EH334+EK15*EH334+EK16*EH334+EK17*EH334+EK18*EH334+EK19*EH334+EK20*EH334+EK21*EH334+EK22*EH334+EK23*EH334+EK24*EH334+EK25*EH334</f>
        <v>0</v>
      </c>
      <c r="EJ334" s="5"/>
      <c r="EK334" s="5"/>
      <c r="EX334" s="659">
        <f t="shared" si="2"/>
        <v>0</v>
      </c>
      <c r="EY334" s="6">
        <v>13</v>
      </c>
    </row>
    <row r="335" spans="1:155" s="6" customFormat="1" ht="15" customHeight="1">
      <c r="A335" s="3" t="s">
        <v>69</v>
      </c>
      <c r="B335" s="210" t="s">
        <v>69</v>
      </c>
      <c r="C335" s="473" t="s">
        <v>515</v>
      </c>
      <c r="D335" s="138"/>
      <c r="E335" s="5"/>
      <c r="F335" s="5"/>
      <c r="G335" s="5"/>
      <c r="H335" s="5"/>
      <c r="I335" s="4"/>
      <c r="J335" s="4"/>
      <c r="K335" s="4"/>
      <c r="L335" s="4"/>
      <c r="M335" s="4"/>
      <c r="N335" s="4"/>
      <c r="O335" s="4"/>
      <c r="P335" s="4"/>
      <c r="Q335" s="4"/>
      <c r="R335" s="5"/>
      <c r="S335" s="5"/>
      <c r="U335" s="5"/>
      <c r="W335" s="5"/>
      <c r="X335" s="5"/>
      <c r="Y335" s="5"/>
      <c r="Z335" s="5"/>
      <c r="AB335" s="5"/>
      <c r="AC335" s="5"/>
      <c r="AD335" s="5"/>
      <c r="AE335" s="5"/>
      <c r="AG335" s="5"/>
      <c r="AH335" s="5"/>
      <c r="AI335" s="5"/>
      <c r="AJ335" s="5"/>
      <c r="AL335" s="5"/>
      <c r="AM335" s="5"/>
      <c r="AN335" s="5"/>
      <c r="AO335" s="5"/>
      <c r="AQ335" s="5"/>
      <c r="AR335" s="5"/>
      <c r="AS335" s="5"/>
      <c r="AT335" s="5"/>
      <c r="BD335" s="5"/>
      <c r="BF335" s="5"/>
      <c r="BG335" s="5"/>
      <c r="BH335" s="5"/>
      <c r="BI335" s="5"/>
      <c r="BM335" s="5"/>
      <c r="BN335" s="5"/>
      <c r="BP335" s="5"/>
      <c r="BQ335" s="5"/>
      <c r="BR335" s="5"/>
      <c r="BS335" s="5"/>
      <c r="BU335" s="5"/>
      <c r="BV335" s="5"/>
      <c r="BW335" s="5"/>
      <c r="BX335" s="5"/>
      <c r="BZ335" s="5"/>
      <c r="CA335" s="5"/>
      <c r="CB335" s="5"/>
      <c r="CC335" s="5"/>
      <c r="CE335" s="5"/>
      <c r="CF335" s="5"/>
      <c r="CG335" s="5"/>
      <c r="CH335" s="5"/>
      <c r="CO335" s="13"/>
      <c r="CP335" s="5"/>
      <c r="CQ335" s="5"/>
      <c r="CR335" s="5"/>
      <c r="CT335" s="5"/>
      <c r="CU335" s="5"/>
      <c r="CV335" s="5"/>
      <c r="CW335" s="5"/>
      <c r="CY335" s="5"/>
      <c r="CZ335" s="5"/>
      <c r="DA335" s="5"/>
      <c r="DB335" s="5"/>
      <c r="DD335" s="5"/>
      <c r="DE335" s="5"/>
      <c r="DF335" s="5"/>
      <c r="DG335" s="5"/>
      <c r="DI335" s="6">
        <v>3</v>
      </c>
      <c r="DJ335" s="6">
        <f>DJ5*DI335+DJ6*DI335+DJ7*DI335+DJ8*DI335+DJ9*DI335+DJ10*DI335+DJ11*DI335+DJ12*DI335+DJ13*DI335+DJ14*DI335+DJ15*DI335+DJ16*DI335+DJ17*DI335+DJ18*DI335+DJ19*DI335+DJ20*DI335+DJ21*DI335+DJ22*DI335+DJ23*DI335+DJ24*DI335+DK25*DI335+DK26*DI335+DK5*DI335+DK6*DI335+DK7*DI335+DK8*DI335+DK9*DI335+DK10*DI335+DK11*DI335+DK12*DI335+DK13*DI335+DK14*DI335+DK15*DI335+DK16*DI335+DK17*DI335+DK18*DI335+DK19*DI335+DK20*DI335+DK21*DI335+DK22*DI335+DK23*DI335+DK24*DI335+DJ25*DI335+DJ26*DI335+DL5*DI335+DL6*DI335+DL7*DI335+DL8*DI335+DL9*DI335+DL10*DI335+DL11*DI335+DL12*DI335+DL13*DI335+DL14*DI335+DL15*DI335+DL16*DI335+DL17*DI335+DL18*DI335+DL19*DI335+DL20*DI335+DL21*DI335+DL22*DI335+DL23*DI335+DL24*DI335+DL25*DI335+DL26*DI335</f>
        <v>0</v>
      </c>
      <c r="DN335" s="6">
        <v>3</v>
      </c>
      <c r="DO335" s="6">
        <f>DO5*DN335+DO6*DN335+DO7*DN335+DO8*DN335+DO9*DN335+DO10*DN335+DO11*DN335+DO12*DN335+DO13*DN335+DO14*DN335+DO15*DN335+DO16*DN335+DO17*DN335+DO18*DN335+DO19*DN335+DO20*DN335+DO21*DN335+DO22*DN335+DO23*DN335+DO24*DN335+DP25*DN335+DP26*DN335+DP5*DN335+DP6*DN335+DP7*DN335+DP8*DN335+DP9*DN335+DP10*DN335+DP11*DN335+DP12*DN335+DP13*DN335+DP14*DN335+DP15*DN335+DP16*DN335+DP17*DN335+DP18*DN335+DP19*DN335+DP20*DN335+DP21*DN335+DP22*DN335+DP23*DN335+DP24*DN335+DO25*DN335+DO26*DN335+DQ5*DN335+DQ6*DN335+DQ7*DN335+DQ8*DN335+DQ9*DN335+DQ10*DN335+DQ11*DN335+DQ12*DN335+DQ13*DN335+DQ14*DN335+DQ15*DN335+DQ16*DN335+DQ17*DN335+DQ18*DN335+DQ19*DN335+DQ20*DN335+DQ21*DN335+DQ22*DN335+DQ23*DN335+DQ24*DN335+DQ25*DN335+DQ26*DN335</f>
        <v>0</v>
      </c>
      <c r="DS335" s="6">
        <v>3</v>
      </c>
      <c r="DT335" s="6">
        <f>DT5*DS335+DT6*DS335+DT7*DS335+DT8*DS335+DT9*DS335+DT10*DS335+DT11*DS335+DT12*DS335+DT13*DS335+DT14*DS335+DT15*DS335+DT16*DS335+DT17*DS335+DT18*DS335+DT19*DS335+DT20*DS335+DT21*DS335+DT22*DS335+DT23*DS335+DT24*DS335+DU25*DS335+DU26*DS335+DU5*DS335+DU6*DS335+DU7*DS335+DU8*DS335+DU9*DS335+DU10*DS335+DU11*DS335+DU12*DS335+DU13*DS335+DU14*DS335+DU15*DS335+DU16*DS335+DU17*DS335+DU18*DS335+DU19*DS335+DU20*DS335+DU21*DS335+DU22*DS335+DU23*DS335+DU24*DS335+DT25*DS335+DT26*DS335+DV5*DS335+DV6*DS335+DV7*DS335+DV8*DS335+DV9*DS335+DV10*DS335+DV11*DS335+DV12*DS335+DV13*DS335+DV14*DS335+DV15*DS335+DV16*DS335+DV17*DS335+DV18*DS335+DV19*DS335+DV20*DS335+DV21*DS335+DV22*DS335+DV23*DS335+DV24*DS335+DV25*DS335+DV26*DS335</f>
        <v>0</v>
      </c>
      <c r="DX335" s="6">
        <v>3</v>
      </c>
      <c r="DY335" s="6">
        <f>DY5*DX335+DY6*DX335+DY7*DX335+DY8*DX335+DY9*DX335+DY10*DX335+DY11*DX335+DY12*DX335+DY13*DX335+DY14*DX335+DY15*DX335+DY16*DX335+DY17*DX335+DY18*DX335+DY19*DX335+DY20*DX335+DY21*DX335+DY22*DX335+DY23*DX335+DY24*DX335+DZ25*DX335+DZ26*DX335+DZ5*DX335+DZ6*DX335+DZ7*DX335+DZ8*DX335+DZ9*DX335+DZ10*DX335+DZ11*DX335+DZ12*DX335+DZ13*DX335+DZ14*DX335+DZ15*DX335+DZ16*DX335+DZ17*DX335+DZ18*DX335+DZ19*DX335+DZ20*DX335+DZ21*DX335+DZ22*DX335+DZ23*DX335+DZ24*DX335+DY25*DX335+DY26*DX335+EA5*DX335+EA6*DX335+EA7*DX335+EA8*DX335+EA9*DX335+EA10*DX335+EA11*DX335+EA12*DX335+EA13*DX335+EA14*DX335+EA15*DX335+EA16*DX335+EA17*DX335+EA18*DX335+EA19*DX335+EA20*DX335+EA21*DX335+EA22*DX335+EA23*DX335+EA24*DX335+EA25*DX335+EA26*DX335</f>
        <v>0</v>
      </c>
      <c r="EC335" s="6">
        <v>3</v>
      </c>
      <c r="ED335" s="6">
        <f>ED5*EC335+ED6*EC335+ED7*EC335+ED8*EC335+ED9*EC335+ED10*EC335+ED11*EC335+ED12*EC335+ED13*EC335+ED14*EC335+ED15*EC335+ED16*EC335+ED17*EC335+ED18*EC335+ED19*EC335+ED20*EC335+ED21*EC335+ED22*EC335+ED23*EC335+ED24*EC335+EE25*EC335+EE26*EC335+EE5*EC335+EE6*EC335+EE7*EC335+EE8*EC335+EE9*EC335+EE10*EC335+EE11*EC335+EE12*EC335+EE13*EC335+EE14*EC335+EE15*EC335+EE16*EC335+EE17*EC335+EE18*EC335+EE19*EC335+EE20*EC335+EE21*EC335+EE22*EC335+EE23*EC335+EE24*EC335+ED25*EC335+ED26*EC335+EF5*EC335+EF6*EC335+EF7*EC335+EF8*EC335+EF9*EC335+EF10*EC335+EF11*EC335+EF12*EC335+EF13*EC335+EF14*EC335+EF15*EC335+EF16*EC335+EF17*EC335+EF18*EC335+EF19*EC335+EF20*EC335+EF21*EC335+EF22*EC335+EF23*EC335+EF24*EC335+EF25*EC335+EF26*EC335</f>
        <v>0</v>
      </c>
      <c r="EH335" s="6">
        <v>3</v>
      </c>
      <c r="EI335" s="6">
        <f>EI5*EH335+EI6*EH335+EI7*EH335+EI8*EH335+EI9*EH335+EI10*EH335+EI11*EH335+EI12*EH335+EI13*EH335+EI14*EH335+EI15*EH335+EI16*EH335+EI17*EH335+EI18*EH335+EI19*EH335+EI20*EH335+EI21*EH335+EI22*EH335+EI23*EH335+EI24*EH335+EJ25*EH335+EJ26*EH335+EJ5*EH335+EJ6*EH335+EJ7*EH335+EJ8*EH335+EJ9*EH335+EJ10*EH335+EJ11*EH335+EJ12*EH335+EJ13*EH335+EJ14*EH335+EJ15*EH335+EJ16*EH335+EJ17*EH335+EJ18*EH335+EJ19*EH335+EJ20*EH335+EJ21*EH335+EJ22*EH335+EJ23*EH335+EJ24*EH335+EI25*EH335+EI26*EH335+EK5*EH335+EK6*EH335+EK7*EH335+EK8*EH335+EK9*EH335+EK10*EH335+EK11*EH335+EK12*EH335+EK13*EH335+EK14*EH335+EK15*EH335+EK16*EH335+EK17*EH335+EK18*EH335+EK19*EH335+EK20*EH335+EK21*EH335+EK22*EH335+EK23*EH335+EK24*EH335+EK25*EH335+EK26*EH335</f>
        <v>0</v>
      </c>
      <c r="EJ335" s="5"/>
      <c r="EK335" s="5"/>
      <c r="EX335" s="659">
        <f t="shared" si="2"/>
        <v>0</v>
      </c>
      <c r="EY335" s="1341">
        <v>34</v>
      </c>
    </row>
    <row r="336" spans="1:155" s="6" customFormat="1" ht="15" customHeight="1">
      <c r="A336" s="3" t="s">
        <v>28</v>
      </c>
      <c r="B336" s="210" t="s">
        <v>1706</v>
      </c>
      <c r="C336" s="473" t="s">
        <v>515</v>
      </c>
      <c r="D336" s="138"/>
      <c r="E336" s="5"/>
      <c r="F336" s="5"/>
      <c r="G336" s="5"/>
      <c r="H336" s="5"/>
      <c r="I336" s="4"/>
      <c r="J336" s="4"/>
      <c r="K336" s="4"/>
      <c r="L336" s="4"/>
      <c r="M336" s="4">
        <v>3</v>
      </c>
      <c r="N336" s="661">
        <f>SUM(N5:N26,O5:O26,P5:P26)*M336</f>
        <v>0</v>
      </c>
      <c r="O336" s="4"/>
      <c r="P336" s="4"/>
      <c r="Q336" s="4"/>
      <c r="R336" s="5">
        <v>3</v>
      </c>
      <c r="S336" s="5">
        <f>SUM(S16:U26)*R336</f>
        <v>0</v>
      </c>
      <c r="U336" s="5"/>
      <c r="W336" s="5" t="s">
        <v>1018</v>
      </c>
      <c r="X336" s="5">
        <f>SUM(X5:Z15)*1+SUM(X16:Z26)*3</f>
        <v>0</v>
      </c>
      <c r="Y336" s="5"/>
      <c r="Z336" s="5"/>
      <c r="AB336" s="5">
        <v>3</v>
      </c>
      <c r="AC336" s="5">
        <f>SUM(AC5:AE26)*AB336</f>
        <v>0</v>
      </c>
      <c r="AD336" s="5"/>
      <c r="AE336" s="5"/>
      <c r="AG336" s="5"/>
      <c r="AH336" s="5"/>
      <c r="AI336" s="5"/>
      <c r="AJ336" s="5"/>
      <c r="AL336" s="5"/>
      <c r="AM336" s="5"/>
      <c r="AN336" s="5"/>
      <c r="AO336" s="5"/>
      <c r="AQ336" s="5">
        <v>3</v>
      </c>
      <c r="AR336" s="5">
        <f>SUM(AR16:AT26)*AQ336</f>
        <v>0</v>
      </c>
      <c r="AS336" s="5"/>
      <c r="AT336" s="5"/>
      <c r="BD336" s="5"/>
      <c r="BF336" s="5"/>
      <c r="BG336" s="5"/>
      <c r="BH336" s="5"/>
      <c r="BI336" s="5"/>
      <c r="BM336" s="5"/>
      <c r="BN336" s="5"/>
      <c r="BP336" s="5"/>
      <c r="BQ336" s="5"/>
      <c r="BR336" s="5"/>
      <c r="BS336" s="5"/>
      <c r="BU336" s="5"/>
      <c r="BV336" s="5"/>
      <c r="BW336" s="5"/>
      <c r="BX336" s="5"/>
      <c r="BZ336" s="5"/>
      <c r="CA336" s="5"/>
      <c r="CB336" s="5"/>
      <c r="CC336" s="5"/>
      <c r="CE336" s="5"/>
      <c r="CF336" s="5"/>
      <c r="CG336" s="5"/>
      <c r="CH336" s="5"/>
      <c r="CO336" s="13"/>
      <c r="CP336" s="5"/>
      <c r="CQ336" s="5"/>
      <c r="CR336" s="5"/>
      <c r="CT336" s="5"/>
      <c r="CU336" s="5"/>
      <c r="CV336" s="5"/>
      <c r="CW336" s="5"/>
      <c r="CY336" s="5"/>
      <c r="CZ336" s="5"/>
      <c r="DA336" s="5"/>
      <c r="DB336" s="5"/>
      <c r="DD336" s="5"/>
      <c r="DE336" s="5"/>
      <c r="DF336" s="5"/>
      <c r="DG336" s="5"/>
      <c r="DI336" s="5"/>
      <c r="DJ336" s="5"/>
      <c r="DK336" s="5"/>
      <c r="DL336" s="5"/>
      <c r="DN336" s="5"/>
      <c r="DO336" s="5"/>
      <c r="DP336" s="5"/>
      <c r="DQ336" s="5"/>
      <c r="DS336" s="5"/>
      <c r="DT336" s="5"/>
      <c r="DU336" s="5"/>
      <c r="DV336" s="5"/>
      <c r="DX336" s="5"/>
      <c r="DY336" s="5"/>
      <c r="DZ336" s="5"/>
      <c r="EA336" s="5"/>
      <c r="EC336" s="5"/>
      <c r="ED336" s="5"/>
      <c r="EE336" s="5"/>
      <c r="EF336" s="5"/>
      <c r="EH336" s="5"/>
      <c r="EI336" s="5"/>
      <c r="EJ336" s="5"/>
      <c r="EK336" s="5"/>
      <c r="EX336" s="659">
        <f t="shared" si="2"/>
        <v>0</v>
      </c>
    </row>
    <row r="337" spans="1:154" s="6" customFormat="1" ht="15" customHeight="1">
      <c r="A337" s="3" t="s">
        <v>148</v>
      </c>
      <c r="B337" s="210" t="s">
        <v>1707</v>
      </c>
      <c r="C337" s="473" t="s">
        <v>515</v>
      </c>
      <c r="D337" s="138"/>
      <c r="E337" s="5">
        <v>1</v>
      </c>
      <c r="F337" s="1361">
        <f>SUM(F5:H26)*E337</f>
        <v>0</v>
      </c>
      <c r="I337" s="4"/>
      <c r="J337" s="4"/>
      <c r="K337" s="4"/>
      <c r="L337" s="4"/>
      <c r="M337" s="4"/>
      <c r="N337" s="661"/>
      <c r="O337" s="4"/>
      <c r="P337" s="4"/>
      <c r="Q337" s="4"/>
      <c r="R337" s="5"/>
      <c r="S337" s="5"/>
      <c r="U337" s="5"/>
      <c r="W337" s="5"/>
      <c r="X337" s="5"/>
      <c r="Y337" s="5"/>
      <c r="Z337" s="5"/>
      <c r="AB337" s="5"/>
      <c r="AC337" s="5"/>
      <c r="AD337" s="5"/>
      <c r="AE337" s="5"/>
      <c r="AG337" s="5"/>
      <c r="AH337" s="5"/>
      <c r="AI337" s="5"/>
      <c r="AJ337" s="5"/>
      <c r="AL337" s="5"/>
      <c r="AM337" s="5"/>
      <c r="AN337" s="5"/>
      <c r="AO337" s="5"/>
      <c r="AQ337" s="5"/>
      <c r="AR337" s="5"/>
      <c r="AS337" s="5"/>
      <c r="AT337" s="5"/>
      <c r="AV337" s="6">
        <v>3</v>
      </c>
      <c r="AW337" s="6">
        <f>SUM(AW5:AW26,AX5:AX26,AY5:AY26)*AV337</f>
        <v>0</v>
      </c>
      <c r="BA337" s="6">
        <v>3</v>
      </c>
      <c r="BB337" s="6">
        <f>SUM(BB5:BB26,BC5:BC26,BD5:BD26)*BA337</f>
        <v>0</v>
      </c>
      <c r="BD337" s="5"/>
      <c r="BF337" s="5"/>
      <c r="BG337" s="5"/>
      <c r="BH337" s="5"/>
      <c r="BI337" s="5"/>
      <c r="BK337" s="6">
        <v>1</v>
      </c>
      <c r="BL337" s="6">
        <f>SUM(BL5:BL26,BM5:BM26,BN5:BN26)*BK337</f>
        <v>0</v>
      </c>
      <c r="BM337" s="5"/>
      <c r="BN337" s="5"/>
      <c r="BP337" s="5">
        <v>1</v>
      </c>
      <c r="BQ337" s="6">
        <f>SUM(BQ5:BQ26,BR5:BR26,BS5:BS26)*BP337</f>
        <v>0</v>
      </c>
      <c r="BR337" s="5"/>
      <c r="BS337" s="5"/>
      <c r="BU337" s="5">
        <v>1</v>
      </c>
      <c r="BV337" s="5">
        <f>SUM(BV5:BV26,BW5:BW26,BX5:BX26)*BU337-BV182</f>
        <v>0</v>
      </c>
      <c r="BW337" s="5"/>
      <c r="BX337" s="5"/>
      <c r="BZ337" s="5">
        <v>2</v>
      </c>
      <c r="CA337" s="5">
        <f>SUM(CA5:CA26,CB5:CB26,CC5:CC26)*BZ337</f>
        <v>0</v>
      </c>
      <c r="CB337" s="5"/>
      <c r="CC337" s="5"/>
      <c r="CE337" s="5">
        <v>2</v>
      </c>
      <c r="CF337" s="5">
        <f>SUM(CF5:CF26,CG5:CG26,CH5:CH26)*CE337</f>
        <v>0</v>
      </c>
      <c r="CG337" s="5"/>
      <c r="CH337" s="5"/>
      <c r="CJ337" s="6">
        <v>3</v>
      </c>
      <c r="CK337" s="5">
        <f>SUM(CK5:CK26,CL5:CL26,CM5:CM26)*CJ337</f>
        <v>0</v>
      </c>
      <c r="CO337" s="13">
        <v>3</v>
      </c>
      <c r="CP337" s="5">
        <f>SUM(CP5:CP26,CQ5:CQ26,CR5:CR26)*CO337</f>
        <v>0</v>
      </c>
      <c r="CQ337" s="5"/>
      <c r="CR337" s="5"/>
      <c r="CT337" s="5">
        <v>3</v>
      </c>
      <c r="CU337" s="5">
        <f>SUM(CU5:CU26,CV5:CV26,CW5:CW26)*CT337</f>
        <v>0</v>
      </c>
      <c r="CV337" s="5"/>
      <c r="CW337" s="5"/>
      <c r="CY337" s="5">
        <v>1</v>
      </c>
      <c r="CZ337" s="5">
        <f>SUM(CZ5:CZ26,DA5:DA26,DB5:DB26)*CY337</f>
        <v>0</v>
      </c>
      <c r="DA337" s="5"/>
      <c r="DB337" s="5"/>
      <c r="DD337" s="5"/>
      <c r="DE337" s="5"/>
      <c r="DF337" s="5"/>
      <c r="DG337" s="5"/>
      <c r="DI337" s="5">
        <v>4</v>
      </c>
      <c r="DJ337" s="5">
        <f>DJ5*DI337+DJ6*DI337+DJ7*DI337+DJ8*DI337+DJ9*DI337+DJ10*DI337+DJ11*DI337+DJ12*DI337+DJ13*DI337+DJ14*DI337+DJ15*DI337+DJ16*DI337+DJ17*DI337+DJ18*DI337+DJ19*DI337+DJ20*DI337+DJ21*DI337+DJ22*DI337+DJ23*DI337+DJ24*DI337+DJ25*DI293+DJ26*DI293+DK5*DI293+DK6*DI293+DK7*DI293+DK8*DI293+DK9*DI337+DK10*DI337+DK11*DI337+DK12*DI337+DK13*DI337+DK14*DI337+DK15*DI337+DK16*DI337+DK17*DI337+DK18*DI337+DK19*DI337+DK20*DI337+DK21*DI337+DK22*DI337+DK23*DI337+DK24*DI337+DK25*DI337+DK26*DI337+DL5*DI337+DL6*DI337+DL7*DI337+DL8*DI337+DL9*DI337+DL10*DL11+DI337*DL12*DI337+DL13*DI337+DL14*DI337+DL15*DI337+DL16*DI337+DL17*DI337+DL18*DI337+DL19*DI337+DL20*DI337+DL21*DI337+DL22*DI337+DL23*DI337+DL24*DI337+DL25*DI337+DL26*DI337</f>
        <v>0</v>
      </c>
      <c r="DK337" s="5"/>
      <c r="DL337" s="5"/>
      <c r="DN337" s="5">
        <v>4</v>
      </c>
      <c r="DO337" s="5">
        <f>SUM(DO5:DO26,DP5:DP26,DQ5:DQ26)*DN337</f>
        <v>0</v>
      </c>
      <c r="DP337" s="5"/>
      <c r="DQ337" s="5"/>
      <c r="DS337" s="5">
        <v>3</v>
      </c>
      <c r="DT337" s="5">
        <f>SUM(DT5:DT26,DU5:DU26,DV5:DV26)*DS337</f>
        <v>0</v>
      </c>
      <c r="DU337" s="5"/>
      <c r="DV337" s="5"/>
      <c r="DX337" s="5">
        <v>1</v>
      </c>
      <c r="DY337" s="5">
        <f>SUM(DY5:DY26,DZ5:DZ26,EA5:EA26)*DX337</f>
        <v>0</v>
      </c>
      <c r="DZ337" s="5"/>
      <c r="EA337" s="5"/>
      <c r="EC337" s="5">
        <v>4</v>
      </c>
      <c r="ED337" s="5">
        <f>ED5*EC337+ED6*EC337+ED7*EC337+ED8*EC337+ED9*EC337+ED10*EC337+ED11*EC337+ED12*EC337+ED13*EC337+ED14*EC337+ED15*EC337+ED16*EC337+ED17*EC337+ED18*EC337+ED19*EC337+ED20*EC337+ED21*EC337+ED22*EC337+ED23*EC337+ED24*EC337+ED25*EC293+ED26*EC293+EE5*EC293+EE6*EC293+EE7*EC293+EE8*EC293+EE9*EC337+EE10*EC337+EE11*EC337+EE12*EC337+EE13*EC337+EE14*EC337+EE15*EC337+EE16*EC337+EE17*EC337+EE18*EC337+EE19*EC337+EE20*EC337+EE21*EC337+EE22*EC337+EE23*EC337+EE24*EC337+EE25*EC337+EE26*EC337+EF5*EC337+EF6*EC337+EF7*EC337+EF8*EC337+EF9*EC337+EF10*EF11+EC337*EF12*EC337+EF13*EC337+EF14*EC337+EF15*EC337+EF16*EC337+EF17*EC337+EF18*EC337+EF19*EC337+EF20*EC337+EF21*EC337+EF22*EC337+EF23*EC337+EF24*EC337+EF25*EC337+EF26*EC337</f>
        <v>0</v>
      </c>
      <c r="EE337" s="5"/>
      <c r="EF337" s="5"/>
      <c r="EH337" s="5">
        <v>4</v>
      </c>
      <c r="EI337" s="5">
        <f>SUM(EI5:EI26,EJ5:EJ26,EK5:EK26)*EH337</f>
        <v>0</v>
      </c>
      <c r="EJ337" s="5"/>
      <c r="EK337" s="5"/>
      <c r="EX337" s="659">
        <f t="shared" ref="EX337:EX400" si="3">IF(EY337=34,0,F337+K337+N337+S337+T337+X337+AC337+AH337+AM337+CZ337+AR337+AW337+BB337+BG337+BL337+BQ337+BV337+CA337+CF337+CK337+CP337+CU337+DE337+DJ337+DO337+DT337+DY337+ED337+EI337+EN337+ET337+EU337)</f>
        <v>0</v>
      </c>
    </row>
    <row r="338" spans="1:154" s="6" customFormat="1" ht="15" customHeight="1">
      <c r="A338" s="3" t="s">
        <v>29</v>
      </c>
      <c r="B338" s="210" t="s">
        <v>1708</v>
      </c>
      <c r="C338" s="473" t="s">
        <v>515</v>
      </c>
      <c r="D338" s="138"/>
      <c r="E338" s="5"/>
      <c r="F338" s="5"/>
      <c r="G338" s="5"/>
      <c r="H338" s="5"/>
      <c r="I338" s="4"/>
      <c r="J338" s="4"/>
      <c r="K338" s="4"/>
      <c r="L338" s="4"/>
      <c r="M338" s="4"/>
      <c r="N338" s="661"/>
      <c r="O338" s="4"/>
      <c r="P338" s="4"/>
      <c r="Q338" s="4"/>
      <c r="R338" s="5">
        <v>3</v>
      </c>
      <c r="S338" s="5">
        <f>SUM(S5:U7,S9:U11,S13:U14)*R338</f>
        <v>0</v>
      </c>
      <c r="U338" s="5"/>
      <c r="W338" s="5">
        <v>2</v>
      </c>
      <c r="X338" s="5">
        <f>SUM(X5:Z7,X9:Z11,X13:Z14)*W338</f>
        <v>0</v>
      </c>
      <c r="Y338" s="5"/>
      <c r="Z338" s="5"/>
      <c r="AB338" s="5"/>
      <c r="AC338" s="5"/>
      <c r="AD338" s="5"/>
      <c r="AE338" s="5"/>
      <c r="AG338" s="5"/>
      <c r="AH338" s="5"/>
      <c r="AI338" s="5"/>
      <c r="AJ338" s="5"/>
      <c r="AL338" s="5"/>
      <c r="AM338" s="5"/>
      <c r="AN338" s="5"/>
      <c r="AO338" s="5"/>
      <c r="AQ338" s="5">
        <v>3</v>
      </c>
      <c r="AR338" s="5">
        <f>AR5*AQ338+AS5*AQ338+AR6*AQ338+AS6*AQ338+AR7*AQ338+AS7*AQ338+AR9*AQ338+AS9*AQ338+AR10*AQ338+AS10*AQ338+AR11*AQ338+AS11*AQ338+AR13*AQ338+AS13*AQ338+AR14*AQ338+AS14*AQ338+AT5*AQ338+AT6*AQ338+AT7*AQ338+AT8*AQ338+AT10*AQ338+AT11*AQ338+AT13*AQ338+AT9*AQ338+AT14*AQ338</f>
        <v>0</v>
      </c>
      <c r="AS338" s="5"/>
      <c r="AT338" s="5"/>
      <c r="BD338" s="5"/>
      <c r="BF338" s="5"/>
      <c r="BG338" s="5"/>
      <c r="BH338" s="5"/>
      <c r="BI338" s="5"/>
      <c r="BM338" s="5"/>
      <c r="BN338" s="5"/>
      <c r="BP338" s="5"/>
      <c r="BQ338" s="5"/>
      <c r="BR338" s="5"/>
      <c r="BS338" s="5"/>
      <c r="BU338" s="5"/>
      <c r="BV338" s="5"/>
      <c r="BW338" s="5"/>
      <c r="BX338" s="5"/>
      <c r="BZ338" s="5"/>
      <c r="CA338" s="5"/>
      <c r="CB338" s="5"/>
      <c r="CC338" s="5"/>
      <c r="CE338" s="5"/>
      <c r="CF338" s="5"/>
      <c r="CG338" s="5"/>
      <c r="CH338" s="5"/>
      <c r="CO338" s="13"/>
      <c r="CP338" s="5"/>
      <c r="CQ338" s="5"/>
      <c r="CR338" s="5"/>
      <c r="CT338" s="5"/>
      <c r="CU338" s="5"/>
      <c r="CV338" s="5"/>
      <c r="CW338" s="5"/>
      <c r="CY338" s="5"/>
      <c r="CZ338" s="5"/>
      <c r="DA338" s="5"/>
      <c r="DB338" s="5"/>
      <c r="DD338" s="5"/>
      <c r="DE338" s="5"/>
      <c r="DF338" s="5"/>
      <c r="DG338" s="5"/>
      <c r="DI338" s="5"/>
      <c r="DJ338" s="5"/>
      <c r="DK338" s="5"/>
      <c r="DL338" s="5"/>
      <c r="DN338" s="5"/>
      <c r="DO338" s="5"/>
      <c r="DP338" s="5"/>
      <c r="DQ338" s="5"/>
      <c r="DS338" s="5"/>
      <c r="DT338" s="5"/>
      <c r="DU338" s="5"/>
      <c r="DV338" s="5"/>
      <c r="DX338" s="5"/>
      <c r="DY338" s="5"/>
      <c r="DZ338" s="5"/>
      <c r="EA338" s="5"/>
      <c r="EC338" s="5"/>
      <c r="ED338" s="5"/>
      <c r="EE338" s="5"/>
      <c r="EF338" s="5"/>
      <c r="EH338" s="5"/>
      <c r="EI338" s="5"/>
      <c r="EJ338" s="5"/>
      <c r="EK338" s="5"/>
      <c r="EX338" s="659">
        <f t="shared" si="3"/>
        <v>0</v>
      </c>
    </row>
    <row r="339" spans="1:154" s="6" customFormat="1" ht="15" customHeight="1">
      <c r="A339" s="3" t="s">
        <v>133</v>
      </c>
      <c r="B339" s="210" t="s">
        <v>1709</v>
      </c>
      <c r="C339" s="473" t="s">
        <v>515</v>
      </c>
      <c r="D339" s="138"/>
      <c r="E339" s="5"/>
      <c r="F339" s="5"/>
      <c r="G339" s="5"/>
      <c r="H339" s="5"/>
      <c r="I339" s="4"/>
      <c r="J339" s="4"/>
      <c r="K339" s="4"/>
      <c r="L339" s="4"/>
      <c r="M339" s="4"/>
      <c r="N339" s="661"/>
      <c r="O339" s="4"/>
      <c r="P339" s="4"/>
      <c r="Q339" s="4"/>
      <c r="R339" s="5">
        <v>3</v>
      </c>
      <c r="S339" s="5">
        <f>SUM(S8:U8,S12:U12,S15:U15)</f>
        <v>0</v>
      </c>
      <c r="U339" s="5"/>
      <c r="W339" s="5">
        <v>2</v>
      </c>
      <c r="X339" s="5">
        <f>SUM(X8:Z8,X12:Z12,X15:Z15)</f>
        <v>0</v>
      </c>
      <c r="Y339" s="5"/>
      <c r="Z339" s="5"/>
      <c r="AB339" s="5"/>
      <c r="AC339" s="5"/>
      <c r="AD339" s="5"/>
      <c r="AE339" s="5"/>
      <c r="AG339" s="5"/>
      <c r="AH339" s="5"/>
      <c r="AI339" s="5"/>
      <c r="AJ339" s="5"/>
      <c r="AL339" s="5"/>
      <c r="AM339" s="5"/>
      <c r="AN339" s="5"/>
      <c r="AO339" s="5"/>
      <c r="AQ339" s="5">
        <v>3</v>
      </c>
      <c r="AR339" s="5">
        <f>AR8*AQ339+AS8*AQ339+AR12*AQ339+AS12*AQ339+AR15*AQ339+AS15*AQ339+AT8*AQ339+AT12*AQ339+AT15*AQ339</f>
        <v>0</v>
      </c>
      <c r="AS339" s="5"/>
      <c r="AT339" s="5"/>
      <c r="BD339" s="5"/>
      <c r="BF339" s="5"/>
      <c r="BG339" s="5"/>
      <c r="BH339" s="5"/>
      <c r="BI339" s="5"/>
      <c r="BM339" s="5"/>
      <c r="BN339" s="5"/>
      <c r="BP339" s="5"/>
      <c r="BQ339" s="5"/>
      <c r="BR339" s="5"/>
      <c r="BS339" s="5"/>
      <c r="BU339" s="5"/>
      <c r="BV339" s="5"/>
      <c r="BW339" s="5"/>
      <c r="BX339" s="5"/>
      <c r="BZ339" s="5"/>
      <c r="CA339" s="5"/>
      <c r="CB339" s="5"/>
      <c r="CC339" s="5"/>
      <c r="CE339" s="5"/>
      <c r="CF339" s="5"/>
      <c r="CG339" s="5"/>
      <c r="CH339" s="5"/>
      <c r="CO339" s="13"/>
      <c r="CP339" s="5"/>
      <c r="CQ339" s="5"/>
      <c r="CR339" s="5"/>
      <c r="CT339" s="5"/>
      <c r="CU339" s="5"/>
      <c r="CV339" s="5"/>
      <c r="CW339" s="5"/>
      <c r="CY339" s="5"/>
      <c r="CZ339" s="5"/>
      <c r="DA339" s="5"/>
      <c r="DB339" s="5"/>
      <c r="DD339" s="5"/>
      <c r="DE339" s="5"/>
      <c r="DF339" s="5"/>
      <c r="DG339" s="5"/>
      <c r="DI339" s="5"/>
      <c r="DJ339" s="5"/>
      <c r="DK339" s="5"/>
      <c r="DL339" s="5"/>
      <c r="DN339" s="5"/>
      <c r="DO339" s="5"/>
      <c r="DP339" s="5"/>
      <c r="DQ339" s="5"/>
      <c r="DS339" s="5"/>
      <c r="DT339" s="5"/>
      <c r="DU339" s="5"/>
      <c r="DV339" s="5"/>
      <c r="DX339" s="5"/>
      <c r="DY339" s="5"/>
      <c r="DZ339" s="5"/>
      <c r="EA339" s="5"/>
      <c r="EC339" s="5"/>
      <c r="ED339" s="5"/>
      <c r="EE339" s="5"/>
      <c r="EF339" s="5"/>
      <c r="EH339" s="5"/>
      <c r="EI339" s="5"/>
      <c r="EJ339" s="5"/>
      <c r="EK339" s="5"/>
      <c r="EX339" s="659">
        <f t="shared" si="3"/>
        <v>0</v>
      </c>
    </row>
    <row r="340" spans="1:154" s="6" customFormat="1" ht="15" customHeight="1">
      <c r="A340" s="3" t="s">
        <v>39</v>
      </c>
      <c r="B340" s="210" t="s">
        <v>39</v>
      </c>
      <c r="C340" s="473" t="s">
        <v>515</v>
      </c>
      <c r="D340" s="138"/>
      <c r="E340" s="5"/>
      <c r="F340" s="5"/>
      <c r="G340" s="5"/>
      <c r="H340" s="5"/>
      <c r="I340" s="4"/>
      <c r="J340" s="4">
        <v>1</v>
      </c>
      <c r="K340" s="658">
        <f>SUM(K5:K26)*J340</f>
        <v>0</v>
      </c>
      <c r="L340" s="4"/>
      <c r="M340" s="4">
        <v>2</v>
      </c>
      <c r="N340" s="661">
        <f>SUM(N5:N26,O5:O26,P5:P26)*(2)+SUM(N6:P6,N10:P10,N13:P13,N13:P13,N17:P17,N21:P21,N24:P24)*(2)</f>
        <v>0</v>
      </c>
      <c r="O340" s="4"/>
      <c r="P340" s="4"/>
      <c r="Q340" s="4"/>
      <c r="R340" s="5">
        <v>2</v>
      </c>
      <c r="S340" s="5">
        <f>SUM(S6:U6,S10:U10,S13:U13,S17:U17,S21:U21,S24:U24)*R340</f>
        <v>0</v>
      </c>
      <c r="U340" s="5"/>
      <c r="W340" s="5">
        <v>2</v>
      </c>
      <c r="X340" s="5">
        <f>SUM(X6:Z6,X10:Z10,X13:Z13,X17:Z17,X21:Z21,X24:Z24)*W340</f>
        <v>0</v>
      </c>
      <c r="Y340" s="5"/>
      <c r="Z340" s="5"/>
      <c r="AB340" s="5">
        <v>2</v>
      </c>
      <c r="AC340" s="5">
        <f>SUM(AC6:AE6,AC10:AE10,AC13:AE13,AC17:AE17,AC21:AE21,AC24:AE24)*AB340</f>
        <v>0</v>
      </c>
      <c r="AD340" s="5"/>
      <c r="AE340" s="5"/>
      <c r="AG340" s="5"/>
      <c r="AH340" s="5"/>
      <c r="AI340" s="5"/>
      <c r="AJ340" s="5"/>
      <c r="AL340" s="5">
        <v>2</v>
      </c>
      <c r="AM340" s="5">
        <f>SUM(AM6:AO6,AM10:AO10,AM13:AO13,AM17:AO17,AM21:AO21,AM24:AO24)*AL340</f>
        <v>0</v>
      </c>
      <c r="AN340" s="5"/>
      <c r="AO340" s="5"/>
      <c r="AQ340" s="5">
        <v>2</v>
      </c>
      <c r="AR340" s="5">
        <f>SUM(AR6:AT6,AR10:AT10,AR13:AT13,AR17:AT17,AR21:AT21,AR24:AT24)*AQ340</f>
        <v>0</v>
      </c>
      <c r="AS340" s="5"/>
      <c r="AT340" s="5"/>
      <c r="AV340" s="6">
        <v>2</v>
      </c>
      <c r="AW340" s="5">
        <f>SUM(AW6:AY6,AW10:AY10,AW13:AY13,AW17:AY17,AW21:AY21,AW24:AY24)*AV340</f>
        <v>0</v>
      </c>
      <c r="BA340" s="6">
        <v>2</v>
      </c>
      <c r="BB340" s="5">
        <f>SUM(BB6:BD6,BB10:BD10,BB13:BD13,BB17:BD17,BB21:BD21,BB24:BD24)*BA340</f>
        <v>0</v>
      </c>
      <c r="BD340" s="5"/>
      <c r="BF340" s="5">
        <v>2</v>
      </c>
      <c r="BG340" s="5">
        <f>SUM(BG6:BI6,BG10:BI10,BG13:BI13,BG17:BI17,BG21:BI21,BG24:BI24)*BF340</f>
        <v>0</v>
      </c>
      <c r="BH340" s="5"/>
      <c r="BI340" s="5"/>
      <c r="BM340" s="5"/>
      <c r="BN340" s="5"/>
      <c r="BP340" s="5"/>
      <c r="BQ340" s="5"/>
      <c r="BR340" s="5"/>
      <c r="BS340" s="5"/>
      <c r="BU340" s="5"/>
      <c r="BV340" s="5">
        <f>SUM(BV6:BX6,BV10:BX10,BV13:BX13,BV17:BX17,BV21:BX21,BV24:BX24)*BU340</f>
        <v>0</v>
      </c>
      <c r="BW340" s="5"/>
      <c r="BX340" s="5"/>
      <c r="BZ340" s="5">
        <v>2</v>
      </c>
      <c r="CA340" s="5">
        <f>SUM(CA6:CC6,CA10:CC10,CA13:CC13,CA17:CC17,CA21:CC21,CA24:CC24)*BZ340</f>
        <v>0</v>
      </c>
      <c r="CB340" s="5"/>
      <c r="CC340" s="5"/>
      <c r="CE340" s="5">
        <v>2</v>
      </c>
      <c r="CF340" s="5">
        <f>SUM(CF6:CH6,CF10:CH10,CF13:CH13,CF17:CH17,CF21:CH21,CF24:CH24)*CE340</f>
        <v>0</v>
      </c>
      <c r="CG340" s="5"/>
      <c r="CH340" s="5"/>
      <c r="CK340" s="5"/>
      <c r="CO340" s="13">
        <v>2</v>
      </c>
      <c r="CP340" s="5">
        <f>SUM(CP6:CR6,CP10:CR10,CP13:CR13,CP17:CR17,CP21:CR21,CP24:CR24)*CO340</f>
        <v>0</v>
      </c>
      <c r="CQ340" s="5"/>
      <c r="CR340" s="5"/>
      <c r="CT340" s="5">
        <v>2</v>
      </c>
      <c r="CU340" s="5">
        <f>SUM(CU6:CW6,CU10:CW10,CU13:CW13,CU17:CW17,CU21:CW21,CU24:CW24)*CT340</f>
        <v>0</v>
      </c>
      <c r="CV340" s="5"/>
      <c r="CW340" s="5"/>
      <c r="CY340" s="5">
        <v>2</v>
      </c>
      <c r="CZ340" s="5">
        <f>SUM(CZ6:DB6,CZ10:DB10,CZ13:DB13,CZ17:DB17,CZ21:DB21,CZ24:DB24)*CY340</f>
        <v>0</v>
      </c>
      <c r="DA340" s="5"/>
      <c r="DB340" s="5"/>
      <c r="DD340" s="5">
        <v>2</v>
      </c>
      <c r="DE340" s="5">
        <f>SUM(DE6:DG6,DE10:DG10,DE13:DG13,DE17:DG17,DE21:DG21,DE24:DG24)*DD340</f>
        <v>0</v>
      </c>
      <c r="DF340" s="5"/>
      <c r="DG340" s="5"/>
      <c r="DI340" s="5">
        <v>2</v>
      </c>
      <c r="DJ340" s="5">
        <f>SUM(DJ6:DL6,DJ10:DL10,DJ13:DL13,DJ17:DL17,DJ21:DL21,DJ24:DL24)*DI340</f>
        <v>0</v>
      </c>
      <c r="DK340" s="5"/>
      <c r="DL340" s="5"/>
      <c r="DN340" s="5">
        <v>2</v>
      </c>
      <c r="DO340" s="5">
        <f>SUM(DO6:DQ6,DO10:DQ10,DO13:DQ13,DO17:DQ17,DO21:DQ21,DO24:DQ24)*DN340</f>
        <v>0</v>
      </c>
      <c r="DP340" s="5"/>
      <c r="DQ340" s="5"/>
      <c r="DS340" s="5">
        <v>2</v>
      </c>
      <c r="DT340" s="5">
        <f>SUM(DT6:DV6,DT10:DV10,DT13:DV13,DT17:DV17,DT21:DV21,DT24:DV24)*DS340</f>
        <v>0</v>
      </c>
      <c r="DU340" s="5"/>
      <c r="DV340" s="5"/>
      <c r="DX340" s="5">
        <v>2</v>
      </c>
      <c r="DY340" s="5">
        <f>SUM(DY6:EA6,DY10:EA10,DY13:EA13,DY17:EA17,DY21:EA21,DY24:EA24)*DX340</f>
        <v>0</v>
      </c>
      <c r="DZ340" s="5"/>
      <c r="EA340" s="5"/>
      <c r="EC340" s="5">
        <v>2</v>
      </c>
      <c r="ED340" s="5">
        <f>SUM(ED6:EF6,ED10:EF10,ED13:EF13,ED17:EF17,ED21:EF21,ED24:EF24)*EC340</f>
        <v>0</v>
      </c>
      <c r="EE340" s="5"/>
      <c r="EF340" s="5"/>
      <c r="EH340" s="5">
        <v>2</v>
      </c>
      <c r="EI340" s="5">
        <f>SUM(EI6:EK6,EI10:EK10,EI13:EK13,EI17:EK17,EI21:EK21,EI24:EK24)*EH340</f>
        <v>0</v>
      </c>
      <c r="EJ340" s="5"/>
      <c r="EK340" s="5"/>
      <c r="EX340" s="659">
        <f t="shared" si="3"/>
        <v>0</v>
      </c>
    </row>
    <row r="341" spans="1:154" s="6" customFormat="1" ht="15" customHeight="1">
      <c r="A341" s="3" t="s">
        <v>30</v>
      </c>
      <c r="B341" s="210" t="s">
        <v>30</v>
      </c>
      <c r="C341" s="473" t="s">
        <v>515</v>
      </c>
      <c r="D341" s="138"/>
      <c r="E341" s="5"/>
      <c r="F341" s="5"/>
      <c r="G341" s="5"/>
      <c r="H341" s="5"/>
      <c r="I341" s="4"/>
      <c r="J341" s="4"/>
      <c r="K341" s="4"/>
      <c r="L341" s="4"/>
      <c r="M341" s="4">
        <v>3</v>
      </c>
      <c r="N341" s="661">
        <f t="shared" ref="N341:N351" si="4">SUM(N5:P5)*M341</f>
        <v>0</v>
      </c>
      <c r="O341" s="4"/>
      <c r="P341" s="4"/>
      <c r="Q341" s="4"/>
      <c r="R341" s="5">
        <v>1</v>
      </c>
      <c r="S341" s="5">
        <f t="shared" ref="S341:S351" si="5">S5+T5+U5</f>
        <v>0</v>
      </c>
      <c r="U341" s="5"/>
      <c r="W341" s="5">
        <v>1</v>
      </c>
      <c r="X341" s="5">
        <f t="shared" ref="X341:X351" si="6">X5+Y5+Z5</f>
        <v>0</v>
      </c>
      <c r="Y341" s="5"/>
      <c r="Z341" s="5"/>
      <c r="AB341" s="5">
        <v>1</v>
      </c>
      <c r="AC341" s="5">
        <f t="shared" ref="AC341:AC351" si="7">AC5+AD5+AE5</f>
        <v>0</v>
      </c>
      <c r="AD341" s="5"/>
      <c r="AE341" s="5"/>
      <c r="AG341" s="5"/>
      <c r="AH341" s="5"/>
      <c r="AI341" s="5"/>
      <c r="AJ341" s="5"/>
      <c r="AL341" s="5">
        <v>1</v>
      </c>
      <c r="AM341" s="5">
        <f t="shared" ref="AM341:AM351" si="8">AM5+AN5+AO5</f>
        <v>0</v>
      </c>
      <c r="AN341" s="5"/>
      <c r="AO341" s="5"/>
      <c r="AQ341" s="5">
        <v>1</v>
      </c>
      <c r="AR341" s="5">
        <f t="shared" ref="AR341:AR351" si="9">AR5+AS5+AT5</f>
        <v>0</v>
      </c>
      <c r="AS341" s="5"/>
      <c r="AT341" s="5"/>
      <c r="AV341" s="6">
        <v>1</v>
      </c>
      <c r="AW341" s="6">
        <f t="shared" ref="AW341:AW351" si="10">SUM(AW5:AY5)</f>
        <v>0</v>
      </c>
      <c r="BA341" s="6">
        <v>1</v>
      </c>
      <c r="BB341" s="6">
        <f t="shared" ref="BB341:BB351" si="11">SUM(BB5:BD5)</f>
        <v>0</v>
      </c>
      <c r="BD341" s="5"/>
      <c r="BF341" s="5">
        <v>1</v>
      </c>
      <c r="BG341" s="6">
        <f t="shared" ref="BG341:BG351" si="12">SUM(BG5:BI5)</f>
        <v>0</v>
      </c>
      <c r="BH341" s="5"/>
      <c r="BI341" s="5"/>
      <c r="BM341" s="5"/>
      <c r="BN341" s="5"/>
      <c r="BP341" s="5"/>
      <c r="BQ341" s="5"/>
      <c r="BR341" s="5"/>
      <c r="BS341" s="5"/>
      <c r="BU341" s="5"/>
      <c r="BV341" s="5">
        <f t="shared" ref="BV341:BV351" si="13">BV5+BW5+BX5</f>
        <v>0</v>
      </c>
      <c r="BW341" s="5"/>
      <c r="BX341" s="5"/>
      <c r="BZ341" s="5">
        <v>1</v>
      </c>
      <c r="CA341" s="5">
        <f t="shared" ref="CA341:CA351" si="14">SUM(CA5:CC5)*BZ341</f>
        <v>0</v>
      </c>
      <c r="CB341" s="5"/>
      <c r="CC341" s="5"/>
      <c r="CE341" s="5">
        <v>1</v>
      </c>
      <c r="CF341" s="5">
        <f t="shared" ref="CF341:CF351" si="15">SUM(CF5:CH5)*CE341</f>
        <v>0</v>
      </c>
      <c r="CG341" s="5"/>
      <c r="CH341" s="5"/>
      <c r="CO341" s="13">
        <v>1</v>
      </c>
      <c r="CP341" s="5">
        <f t="shared" ref="CP341:CP351" si="16">CP5+CQ5+CR5</f>
        <v>0</v>
      </c>
      <c r="CQ341" s="5"/>
      <c r="CR341" s="5"/>
      <c r="CT341" s="5">
        <v>1</v>
      </c>
      <c r="CU341" s="5">
        <f t="shared" ref="CU341:CU351" si="17">CU5+CV5+CW5</f>
        <v>0</v>
      </c>
      <c r="CV341" s="5"/>
      <c r="CW341" s="5"/>
      <c r="CY341" s="5">
        <v>1</v>
      </c>
      <c r="CZ341" s="5">
        <f t="shared" ref="CZ341:CZ351" si="18">CZ5+DA5+DB5</f>
        <v>0</v>
      </c>
      <c r="DA341" s="5"/>
      <c r="DB341" s="5"/>
      <c r="DD341" s="5">
        <v>1</v>
      </c>
      <c r="DE341" s="5">
        <f t="shared" ref="DE341:DE351" si="19">DE5+DF5+DG5</f>
        <v>0</v>
      </c>
      <c r="DF341" s="5"/>
      <c r="DG341" s="5"/>
      <c r="DI341" s="5">
        <v>1</v>
      </c>
      <c r="DJ341" s="5">
        <f t="shared" ref="DJ341:DJ351" si="20">DJ5+DK5+DL5</f>
        <v>0</v>
      </c>
      <c r="DK341" s="5"/>
      <c r="DL341" s="5"/>
      <c r="DN341" s="5">
        <v>1</v>
      </c>
      <c r="DO341" s="5">
        <f t="shared" ref="DO341:DO351" si="21">DO5+DP5+DQ5</f>
        <v>0</v>
      </c>
      <c r="DP341" s="5"/>
      <c r="DQ341" s="5"/>
      <c r="DS341" s="5">
        <v>1</v>
      </c>
      <c r="DT341" s="5">
        <f t="shared" ref="DT341:DT351" si="22">DT5+DU5+DV5</f>
        <v>0</v>
      </c>
      <c r="DU341" s="5"/>
      <c r="DV341" s="5"/>
      <c r="DX341" s="5">
        <v>1</v>
      </c>
      <c r="DY341" s="5">
        <f t="shared" ref="DY341:DY351" si="23">DY5+DZ5+EA5</f>
        <v>0</v>
      </c>
      <c r="DZ341" s="5"/>
      <c r="EA341" s="5"/>
      <c r="EC341" s="5">
        <v>1</v>
      </c>
      <c r="ED341" s="5">
        <f t="shared" ref="ED341:ED351" si="24">ED5+EE5+EF5</f>
        <v>0</v>
      </c>
      <c r="EE341" s="5"/>
      <c r="EF341" s="5"/>
      <c r="EH341" s="5">
        <v>1</v>
      </c>
      <c r="EI341" s="5">
        <f t="shared" ref="EI341:EI351" si="25">EI5+EJ5+EK5</f>
        <v>0</v>
      </c>
      <c r="EJ341" s="5"/>
      <c r="EK341" s="5"/>
      <c r="EX341" s="659">
        <f t="shared" si="3"/>
        <v>0</v>
      </c>
    </row>
    <row r="342" spans="1:154" s="6" customFormat="1" ht="15" customHeight="1">
      <c r="A342" s="3" t="s">
        <v>31</v>
      </c>
      <c r="B342" s="210" t="s">
        <v>31</v>
      </c>
      <c r="C342" s="473" t="s">
        <v>515</v>
      </c>
      <c r="D342" s="138"/>
      <c r="E342" s="5"/>
      <c r="F342" s="5"/>
      <c r="G342" s="5"/>
      <c r="H342" s="5"/>
      <c r="I342" s="4"/>
      <c r="J342" s="4"/>
      <c r="K342" s="4"/>
      <c r="L342" s="4"/>
      <c r="M342" s="4">
        <v>3</v>
      </c>
      <c r="N342" s="661">
        <f t="shared" si="4"/>
        <v>0</v>
      </c>
      <c r="O342" s="4"/>
      <c r="P342" s="4"/>
      <c r="Q342" s="4"/>
      <c r="R342" s="5">
        <v>1</v>
      </c>
      <c r="S342" s="5">
        <f t="shared" si="5"/>
        <v>0</v>
      </c>
      <c r="U342" s="5"/>
      <c r="W342" s="5">
        <v>1</v>
      </c>
      <c r="X342" s="5">
        <f t="shared" si="6"/>
        <v>0</v>
      </c>
      <c r="Y342" s="5"/>
      <c r="Z342" s="5"/>
      <c r="AB342" s="5">
        <v>1</v>
      </c>
      <c r="AC342" s="5">
        <f t="shared" si="7"/>
        <v>0</v>
      </c>
      <c r="AD342" s="5"/>
      <c r="AE342" s="5"/>
      <c r="AG342" s="5"/>
      <c r="AH342" s="5"/>
      <c r="AI342" s="5"/>
      <c r="AJ342" s="5"/>
      <c r="AL342" s="5">
        <v>1</v>
      </c>
      <c r="AM342" s="5">
        <f t="shared" si="8"/>
        <v>0</v>
      </c>
      <c r="AN342" s="5"/>
      <c r="AO342" s="5"/>
      <c r="AQ342" s="5">
        <v>1</v>
      </c>
      <c r="AR342" s="5">
        <f t="shared" si="9"/>
        <v>0</v>
      </c>
      <c r="AS342" s="5"/>
      <c r="AT342" s="5"/>
      <c r="AV342" s="6">
        <v>1</v>
      </c>
      <c r="AW342" s="6">
        <f t="shared" si="10"/>
        <v>0</v>
      </c>
      <c r="BA342" s="6">
        <v>1</v>
      </c>
      <c r="BB342" s="6">
        <f t="shared" si="11"/>
        <v>0</v>
      </c>
      <c r="BD342" s="5"/>
      <c r="BF342" s="5">
        <v>1</v>
      </c>
      <c r="BG342" s="6">
        <f t="shared" si="12"/>
        <v>0</v>
      </c>
      <c r="BH342" s="5"/>
      <c r="BI342" s="5"/>
      <c r="BM342" s="5"/>
      <c r="BN342" s="5"/>
      <c r="BP342" s="5"/>
      <c r="BQ342" s="5"/>
      <c r="BR342" s="5"/>
      <c r="BS342" s="5"/>
      <c r="BU342" s="5"/>
      <c r="BV342" s="5">
        <f t="shared" si="13"/>
        <v>0</v>
      </c>
      <c r="BW342" s="5"/>
      <c r="BX342" s="5"/>
      <c r="BZ342" s="5">
        <v>1</v>
      </c>
      <c r="CA342" s="5">
        <f t="shared" si="14"/>
        <v>0</v>
      </c>
      <c r="CB342" s="5"/>
      <c r="CC342" s="5"/>
      <c r="CE342" s="5">
        <v>1</v>
      </c>
      <c r="CF342" s="5">
        <f t="shared" si="15"/>
        <v>0</v>
      </c>
      <c r="CG342" s="5"/>
      <c r="CH342" s="5"/>
      <c r="CO342" s="13">
        <v>1</v>
      </c>
      <c r="CP342" s="5">
        <f t="shared" si="16"/>
        <v>0</v>
      </c>
      <c r="CQ342" s="5"/>
      <c r="CR342" s="5"/>
      <c r="CT342" s="5">
        <v>1</v>
      </c>
      <c r="CU342" s="5">
        <f t="shared" si="17"/>
        <v>0</v>
      </c>
      <c r="CV342" s="5"/>
      <c r="CW342" s="5"/>
      <c r="CY342" s="5">
        <v>1</v>
      </c>
      <c r="CZ342" s="5">
        <f t="shared" si="18"/>
        <v>0</v>
      </c>
      <c r="DA342" s="5"/>
      <c r="DB342" s="5"/>
      <c r="DD342" s="5">
        <v>1</v>
      </c>
      <c r="DE342" s="5">
        <f t="shared" si="19"/>
        <v>0</v>
      </c>
      <c r="DF342" s="5"/>
      <c r="DG342" s="5"/>
      <c r="DI342" s="5">
        <v>1</v>
      </c>
      <c r="DJ342" s="5">
        <f t="shared" si="20"/>
        <v>0</v>
      </c>
      <c r="DK342" s="5"/>
      <c r="DL342" s="5"/>
      <c r="DN342" s="5">
        <v>1</v>
      </c>
      <c r="DO342" s="5">
        <f t="shared" si="21"/>
        <v>0</v>
      </c>
      <c r="DP342" s="5"/>
      <c r="DQ342" s="5"/>
      <c r="DS342" s="5">
        <v>1</v>
      </c>
      <c r="DT342" s="5">
        <f t="shared" si="22"/>
        <v>0</v>
      </c>
      <c r="DU342" s="5"/>
      <c r="DV342" s="5"/>
      <c r="DX342" s="5">
        <v>1</v>
      </c>
      <c r="DY342" s="5">
        <f t="shared" si="23"/>
        <v>0</v>
      </c>
      <c r="DZ342" s="5"/>
      <c r="EA342" s="5"/>
      <c r="EC342" s="5">
        <v>1</v>
      </c>
      <c r="ED342" s="5">
        <f t="shared" si="24"/>
        <v>0</v>
      </c>
      <c r="EE342" s="5"/>
      <c r="EF342" s="5"/>
      <c r="EH342" s="5">
        <v>1</v>
      </c>
      <c r="EI342" s="5">
        <f t="shared" si="25"/>
        <v>0</v>
      </c>
      <c r="EJ342" s="5"/>
      <c r="EK342" s="5"/>
      <c r="EX342" s="659">
        <f t="shared" si="3"/>
        <v>0</v>
      </c>
    </row>
    <row r="343" spans="1:154" s="6" customFormat="1" ht="15" customHeight="1">
      <c r="A343" s="3" t="s">
        <v>41</v>
      </c>
      <c r="B343" s="210" t="s">
        <v>41</v>
      </c>
      <c r="C343" s="473" t="s">
        <v>515</v>
      </c>
      <c r="D343" s="138"/>
      <c r="E343" s="5"/>
      <c r="F343" s="5"/>
      <c r="G343" s="5"/>
      <c r="H343" s="5"/>
      <c r="I343" s="4"/>
      <c r="J343" s="4"/>
      <c r="K343" s="4"/>
      <c r="L343" s="4"/>
      <c r="M343" s="4">
        <v>3</v>
      </c>
      <c r="N343" s="661">
        <f t="shared" si="4"/>
        <v>0</v>
      </c>
      <c r="O343" s="4"/>
      <c r="P343" s="4"/>
      <c r="Q343" s="4"/>
      <c r="R343" s="5">
        <v>1</v>
      </c>
      <c r="S343" s="5">
        <f t="shared" si="5"/>
        <v>0</v>
      </c>
      <c r="U343" s="5"/>
      <c r="W343" s="5">
        <v>1</v>
      </c>
      <c r="X343" s="5">
        <f t="shared" si="6"/>
        <v>0</v>
      </c>
      <c r="Y343" s="5"/>
      <c r="Z343" s="5"/>
      <c r="AB343" s="5">
        <v>1</v>
      </c>
      <c r="AC343" s="5">
        <f t="shared" si="7"/>
        <v>0</v>
      </c>
      <c r="AD343" s="5"/>
      <c r="AE343" s="5"/>
      <c r="AG343" s="5"/>
      <c r="AH343" s="5"/>
      <c r="AI343" s="5"/>
      <c r="AJ343" s="5"/>
      <c r="AL343" s="5">
        <v>1</v>
      </c>
      <c r="AM343" s="5">
        <f t="shared" si="8"/>
        <v>0</v>
      </c>
      <c r="AN343" s="5"/>
      <c r="AO343" s="5"/>
      <c r="AQ343" s="5">
        <v>1</v>
      </c>
      <c r="AR343" s="5">
        <f t="shared" si="9"/>
        <v>0</v>
      </c>
      <c r="AS343" s="5"/>
      <c r="AT343" s="5"/>
      <c r="AV343" s="6">
        <v>1</v>
      </c>
      <c r="AW343" s="6">
        <f t="shared" si="10"/>
        <v>0</v>
      </c>
      <c r="BA343" s="6">
        <v>1</v>
      </c>
      <c r="BB343" s="6">
        <f t="shared" si="11"/>
        <v>0</v>
      </c>
      <c r="BD343" s="5"/>
      <c r="BF343" s="5">
        <v>1</v>
      </c>
      <c r="BG343" s="6">
        <f t="shared" si="12"/>
        <v>0</v>
      </c>
      <c r="BH343" s="5"/>
      <c r="BI343" s="5"/>
      <c r="BM343" s="5"/>
      <c r="BN343" s="5"/>
      <c r="BP343" s="5"/>
      <c r="BQ343" s="5"/>
      <c r="BR343" s="5"/>
      <c r="BS343" s="5"/>
      <c r="BU343" s="5"/>
      <c r="BV343" s="5">
        <f t="shared" si="13"/>
        <v>0</v>
      </c>
      <c r="BW343" s="5"/>
      <c r="BX343" s="5"/>
      <c r="BZ343" s="5">
        <v>1</v>
      </c>
      <c r="CA343" s="5">
        <f t="shared" si="14"/>
        <v>0</v>
      </c>
      <c r="CB343" s="5"/>
      <c r="CC343" s="5"/>
      <c r="CE343" s="5">
        <v>1</v>
      </c>
      <c r="CF343" s="5">
        <f t="shared" si="15"/>
        <v>0</v>
      </c>
      <c r="CG343" s="5"/>
      <c r="CH343" s="5"/>
      <c r="CO343" s="13">
        <v>1</v>
      </c>
      <c r="CP343" s="5">
        <f t="shared" si="16"/>
        <v>0</v>
      </c>
      <c r="CQ343" s="5"/>
      <c r="CR343" s="5"/>
      <c r="CT343" s="5">
        <v>1</v>
      </c>
      <c r="CU343" s="5">
        <f t="shared" si="17"/>
        <v>0</v>
      </c>
      <c r="CV343" s="5"/>
      <c r="CW343" s="5"/>
      <c r="CY343" s="5">
        <v>1</v>
      </c>
      <c r="CZ343" s="5">
        <f t="shared" si="18"/>
        <v>0</v>
      </c>
      <c r="DA343" s="5"/>
      <c r="DB343" s="5"/>
      <c r="DD343" s="5">
        <v>1</v>
      </c>
      <c r="DE343" s="5">
        <f t="shared" si="19"/>
        <v>0</v>
      </c>
      <c r="DF343" s="5"/>
      <c r="DG343" s="5"/>
      <c r="DI343" s="5">
        <v>1</v>
      </c>
      <c r="DJ343" s="5">
        <f t="shared" si="20"/>
        <v>0</v>
      </c>
      <c r="DK343" s="5"/>
      <c r="DL343" s="5"/>
      <c r="DN343" s="5">
        <v>1</v>
      </c>
      <c r="DO343" s="5">
        <f t="shared" si="21"/>
        <v>0</v>
      </c>
      <c r="DP343" s="5"/>
      <c r="DQ343" s="5"/>
      <c r="DS343" s="5">
        <v>1</v>
      </c>
      <c r="DT343" s="5">
        <f t="shared" si="22"/>
        <v>0</v>
      </c>
      <c r="DU343" s="5"/>
      <c r="DV343" s="5"/>
      <c r="DX343" s="5">
        <v>1</v>
      </c>
      <c r="DY343" s="5">
        <f t="shared" si="23"/>
        <v>0</v>
      </c>
      <c r="DZ343" s="5"/>
      <c r="EA343" s="5"/>
      <c r="EC343" s="5">
        <v>1</v>
      </c>
      <c r="ED343" s="5">
        <f t="shared" si="24"/>
        <v>0</v>
      </c>
      <c r="EE343" s="5"/>
      <c r="EF343" s="5"/>
      <c r="EH343" s="5">
        <v>1</v>
      </c>
      <c r="EI343" s="5">
        <f t="shared" si="25"/>
        <v>0</v>
      </c>
      <c r="EJ343" s="5"/>
      <c r="EK343" s="5"/>
      <c r="EX343" s="659">
        <f t="shared" si="3"/>
        <v>0</v>
      </c>
    </row>
    <row r="344" spans="1:154" s="6" customFormat="1" ht="15" customHeight="1">
      <c r="A344" s="3" t="s">
        <v>98</v>
      </c>
      <c r="B344" s="210" t="s">
        <v>98</v>
      </c>
      <c r="C344" s="473" t="s">
        <v>515</v>
      </c>
      <c r="D344" s="138"/>
      <c r="E344" s="5"/>
      <c r="F344" s="5"/>
      <c r="G344" s="5"/>
      <c r="H344" s="5"/>
      <c r="I344" s="4"/>
      <c r="J344" s="4"/>
      <c r="K344" s="4"/>
      <c r="L344" s="4"/>
      <c r="M344" s="4">
        <v>3</v>
      </c>
      <c r="N344" s="661">
        <f t="shared" si="4"/>
        <v>0</v>
      </c>
      <c r="O344" s="4"/>
      <c r="P344" s="4"/>
      <c r="Q344" s="4"/>
      <c r="R344" s="5">
        <v>1</v>
      </c>
      <c r="S344" s="5">
        <f t="shared" si="5"/>
        <v>0</v>
      </c>
      <c r="U344" s="5"/>
      <c r="W344" s="5">
        <v>1</v>
      </c>
      <c r="X344" s="5">
        <f t="shared" si="6"/>
        <v>0</v>
      </c>
      <c r="Y344" s="5"/>
      <c r="Z344" s="5"/>
      <c r="AB344" s="5">
        <v>1</v>
      </c>
      <c r="AC344" s="5">
        <f t="shared" si="7"/>
        <v>0</v>
      </c>
      <c r="AD344" s="5"/>
      <c r="AE344" s="5"/>
      <c r="AG344" s="5"/>
      <c r="AH344" s="5"/>
      <c r="AI344" s="5"/>
      <c r="AJ344" s="5"/>
      <c r="AL344" s="5">
        <v>1</v>
      </c>
      <c r="AM344" s="5">
        <f t="shared" si="8"/>
        <v>0</v>
      </c>
      <c r="AN344" s="5"/>
      <c r="AO344" s="5"/>
      <c r="AQ344" s="5">
        <v>1</v>
      </c>
      <c r="AR344" s="5">
        <f t="shared" si="9"/>
        <v>0</v>
      </c>
      <c r="AS344" s="5"/>
      <c r="AT344" s="5"/>
      <c r="AV344" s="6">
        <v>1</v>
      </c>
      <c r="AW344" s="6">
        <f t="shared" si="10"/>
        <v>0</v>
      </c>
      <c r="BA344" s="6">
        <v>1</v>
      </c>
      <c r="BB344" s="6">
        <f t="shared" si="11"/>
        <v>0</v>
      </c>
      <c r="BD344" s="5"/>
      <c r="BF344" s="5">
        <v>1</v>
      </c>
      <c r="BG344" s="6">
        <f t="shared" si="12"/>
        <v>0</v>
      </c>
      <c r="BH344" s="5"/>
      <c r="BI344" s="5"/>
      <c r="BM344" s="5"/>
      <c r="BN344" s="5"/>
      <c r="BP344" s="5"/>
      <c r="BQ344" s="5"/>
      <c r="BR344" s="5"/>
      <c r="BS344" s="5"/>
      <c r="BU344" s="5"/>
      <c r="BV344" s="5">
        <f t="shared" si="13"/>
        <v>0</v>
      </c>
      <c r="BW344" s="5"/>
      <c r="BX344" s="5"/>
      <c r="BZ344" s="5">
        <v>1</v>
      </c>
      <c r="CA344" s="5">
        <f t="shared" si="14"/>
        <v>0</v>
      </c>
      <c r="CB344" s="5"/>
      <c r="CC344" s="5"/>
      <c r="CE344" s="5">
        <v>1</v>
      </c>
      <c r="CF344" s="5">
        <f t="shared" si="15"/>
        <v>0</v>
      </c>
      <c r="CG344" s="5"/>
      <c r="CH344" s="5"/>
      <c r="CO344" s="13">
        <v>1</v>
      </c>
      <c r="CP344" s="5">
        <f t="shared" si="16"/>
        <v>0</v>
      </c>
      <c r="CQ344" s="5"/>
      <c r="CR344" s="5"/>
      <c r="CT344" s="5">
        <v>1</v>
      </c>
      <c r="CU344" s="5">
        <f t="shared" si="17"/>
        <v>0</v>
      </c>
      <c r="CV344" s="5"/>
      <c r="CW344" s="5"/>
      <c r="CY344" s="5">
        <v>1</v>
      </c>
      <c r="CZ344" s="5">
        <f t="shared" si="18"/>
        <v>0</v>
      </c>
      <c r="DA344" s="5"/>
      <c r="DB344" s="5"/>
      <c r="DD344" s="5">
        <v>1</v>
      </c>
      <c r="DE344" s="5">
        <f t="shared" si="19"/>
        <v>0</v>
      </c>
      <c r="DF344" s="5"/>
      <c r="DG344" s="5"/>
      <c r="DI344" s="5">
        <v>1</v>
      </c>
      <c r="DJ344" s="5">
        <f t="shared" si="20"/>
        <v>0</v>
      </c>
      <c r="DK344" s="5"/>
      <c r="DL344" s="5"/>
      <c r="DN344" s="5">
        <v>1</v>
      </c>
      <c r="DO344" s="5">
        <f t="shared" si="21"/>
        <v>0</v>
      </c>
      <c r="DP344" s="5"/>
      <c r="DQ344" s="5"/>
      <c r="DS344" s="5">
        <v>1</v>
      </c>
      <c r="DT344" s="5">
        <f t="shared" si="22"/>
        <v>0</v>
      </c>
      <c r="DU344" s="5"/>
      <c r="DV344" s="5"/>
      <c r="DX344" s="5">
        <v>1</v>
      </c>
      <c r="DY344" s="5">
        <f t="shared" si="23"/>
        <v>0</v>
      </c>
      <c r="DZ344" s="5"/>
      <c r="EA344" s="5"/>
      <c r="EC344" s="5">
        <v>1</v>
      </c>
      <c r="ED344" s="5">
        <f t="shared" si="24"/>
        <v>0</v>
      </c>
      <c r="EE344" s="5"/>
      <c r="EF344" s="5"/>
      <c r="EH344" s="5">
        <v>1</v>
      </c>
      <c r="EI344" s="5">
        <f t="shared" si="25"/>
        <v>0</v>
      </c>
      <c r="EJ344" s="5"/>
      <c r="EK344" s="5"/>
      <c r="EX344" s="659">
        <f t="shared" si="3"/>
        <v>0</v>
      </c>
    </row>
    <row r="345" spans="1:154" s="6" customFormat="1" ht="15" customHeight="1">
      <c r="A345" s="3" t="s">
        <v>99</v>
      </c>
      <c r="B345" s="210" t="s">
        <v>99</v>
      </c>
      <c r="C345" s="473" t="s">
        <v>515</v>
      </c>
      <c r="D345" s="138"/>
      <c r="E345" s="5"/>
      <c r="F345" s="5"/>
      <c r="G345" s="5"/>
      <c r="H345" s="5"/>
      <c r="I345" s="4"/>
      <c r="J345" s="4"/>
      <c r="K345" s="4"/>
      <c r="L345" s="4"/>
      <c r="M345" s="4">
        <v>3</v>
      </c>
      <c r="N345" s="661">
        <f t="shared" si="4"/>
        <v>0</v>
      </c>
      <c r="O345" s="4"/>
      <c r="P345" s="4"/>
      <c r="Q345" s="4"/>
      <c r="R345" s="5">
        <v>1</v>
      </c>
      <c r="S345" s="5">
        <f t="shared" si="5"/>
        <v>0</v>
      </c>
      <c r="U345" s="5"/>
      <c r="W345" s="5">
        <v>1</v>
      </c>
      <c r="X345" s="5">
        <f t="shared" si="6"/>
        <v>0</v>
      </c>
      <c r="Y345" s="5"/>
      <c r="Z345" s="5"/>
      <c r="AB345" s="5">
        <v>1</v>
      </c>
      <c r="AC345" s="5">
        <f t="shared" si="7"/>
        <v>0</v>
      </c>
      <c r="AD345" s="5"/>
      <c r="AE345" s="5"/>
      <c r="AG345" s="5"/>
      <c r="AH345" s="5"/>
      <c r="AI345" s="5"/>
      <c r="AJ345" s="5"/>
      <c r="AL345" s="5">
        <v>1</v>
      </c>
      <c r="AM345" s="5">
        <f t="shared" si="8"/>
        <v>0</v>
      </c>
      <c r="AN345" s="5"/>
      <c r="AO345" s="5"/>
      <c r="AQ345" s="5">
        <v>1</v>
      </c>
      <c r="AR345" s="5">
        <f t="shared" si="9"/>
        <v>0</v>
      </c>
      <c r="AS345" s="5"/>
      <c r="AT345" s="5"/>
      <c r="AV345" s="6">
        <v>1</v>
      </c>
      <c r="AW345" s="6">
        <f t="shared" si="10"/>
        <v>0</v>
      </c>
      <c r="BA345" s="6">
        <v>1</v>
      </c>
      <c r="BB345" s="6">
        <f t="shared" si="11"/>
        <v>0</v>
      </c>
      <c r="BD345" s="5"/>
      <c r="BF345" s="5">
        <v>1</v>
      </c>
      <c r="BG345" s="6">
        <f t="shared" si="12"/>
        <v>0</v>
      </c>
      <c r="BH345" s="5"/>
      <c r="BI345" s="5"/>
      <c r="BM345" s="5"/>
      <c r="BN345" s="5"/>
      <c r="BP345" s="5"/>
      <c r="BQ345" s="5"/>
      <c r="BR345" s="5"/>
      <c r="BS345" s="5"/>
      <c r="BU345" s="5"/>
      <c r="BV345" s="5">
        <f t="shared" si="13"/>
        <v>0</v>
      </c>
      <c r="BW345" s="5"/>
      <c r="BX345" s="5"/>
      <c r="BZ345" s="5">
        <v>1</v>
      </c>
      <c r="CA345" s="5">
        <f t="shared" si="14"/>
        <v>0</v>
      </c>
      <c r="CB345" s="5"/>
      <c r="CC345" s="5"/>
      <c r="CE345" s="5">
        <v>1</v>
      </c>
      <c r="CF345" s="5">
        <f t="shared" si="15"/>
        <v>0</v>
      </c>
      <c r="CG345" s="5"/>
      <c r="CH345" s="5"/>
      <c r="CO345" s="13">
        <v>1</v>
      </c>
      <c r="CP345" s="5">
        <f t="shared" si="16"/>
        <v>0</v>
      </c>
      <c r="CQ345" s="5"/>
      <c r="CR345" s="5"/>
      <c r="CT345" s="5">
        <v>1</v>
      </c>
      <c r="CU345" s="5">
        <f t="shared" si="17"/>
        <v>0</v>
      </c>
      <c r="CV345" s="5"/>
      <c r="CW345" s="5"/>
      <c r="CY345" s="5">
        <v>1</v>
      </c>
      <c r="CZ345" s="5">
        <f t="shared" si="18"/>
        <v>0</v>
      </c>
      <c r="DA345" s="5"/>
      <c r="DB345" s="5"/>
      <c r="DD345" s="5">
        <v>1</v>
      </c>
      <c r="DE345" s="5">
        <f t="shared" si="19"/>
        <v>0</v>
      </c>
      <c r="DF345" s="5"/>
      <c r="DG345" s="5"/>
      <c r="DI345" s="5">
        <v>1</v>
      </c>
      <c r="DJ345" s="5">
        <f t="shared" si="20"/>
        <v>0</v>
      </c>
      <c r="DK345" s="5"/>
      <c r="DL345" s="5"/>
      <c r="DN345" s="5">
        <v>1</v>
      </c>
      <c r="DO345" s="5">
        <f t="shared" si="21"/>
        <v>0</v>
      </c>
      <c r="DP345" s="5"/>
      <c r="DQ345" s="5"/>
      <c r="DS345" s="5">
        <v>1</v>
      </c>
      <c r="DT345" s="5">
        <f t="shared" si="22"/>
        <v>0</v>
      </c>
      <c r="DU345" s="5"/>
      <c r="DV345" s="5"/>
      <c r="DX345" s="5">
        <v>1</v>
      </c>
      <c r="DY345" s="5">
        <f t="shared" si="23"/>
        <v>0</v>
      </c>
      <c r="DZ345" s="5"/>
      <c r="EA345" s="5"/>
      <c r="EC345" s="5">
        <v>1</v>
      </c>
      <c r="ED345" s="5">
        <f t="shared" si="24"/>
        <v>0</v>
      </c>
      <c r="EE345" s="5"/>
      <c r="EF345" s="5"/>
      <c r="EH345" s="5">
        <v>1</v>
      </c>
      <c r="EI345" s="5">
        <f t="shared" si="25"/>
        <v>0</v>
      </c>
      <c r="EJ345" s="5"/>
      <c r="EK345" s="5"/>
      <c r="EX345" s="659">
        <f t="shared" si="3"/>
        <v>0</v>
      </c>
    </row>
    <row r="346" spans="1:154" s="6" customFormat="1" ht="15" customHeight="1">
      <c r="A346" s="3" t="s">
        <v>102</v>
      </c>
      <c r="B346" s="210" t="s">
        <v>102</v>
      </c>
      <c r="C346" s="473" t="s">
        <v>515</v>
      </c>
      <c r="D346" s="138"/>
      <c r="E346" s="5"/>
      <c r="F346" s="5"/>
      <c r="G346" s="5"/>
      <c r="H346" s="5"/>
      <c r="I346" s="4"/>
      <c r="J346" s="4"/>
      <c r="K346" s="4"/>
      <c r="L346" s="4"/>
      <c r="M346" s="4">
        <v>3</v>
      </c>
      <c r="N346" s="661">
        <f t="shared" si="4"/>
        <v>0</v>
      </c>
      <c r="O346" s="4"/>
      <c r="P346" s="4"/>
      <c r="Q346" s="4"/>
      <c r="R346" s="5">
        <v>1</v>
      </c>
      <c r="S346" s="5">
        <f t="shared" si="5"/>
        <v>0</v>
      </c>
      <c r="U346" s="5"/>
      <c r="W346" s="5">
        <v>1</v>
      </c>
      <c r="X346" s="5">
        <f t="shared" si="6"/>
        <v>0</v>
      </c>
      <c r="Y346" s="5"/>
      <c r="Z346" s="5"/>
      <c r="AB346" s="5">
        <v>1</v>
      </c>
      <c r="AC346" s="5">
        <f t="shared" si="7"/>
        <v>0</v>
      </c>
      <c r="AD346" s="5"/>
      <c r="AE346" s="5"/>
      <c r="AG346" s="5"/>
      <c r="AH346" s="5"/>
      <c r="AI346" s="5"/>
      <c r="AJ346" s="5"/>
      <c r="AL346" s="5">
        <v>1</v>
      </c>
      <c r="AM346" s="5">
        <f t="shared" si="8"/>
        <v>0</v>
      </c>
      <c r="AN346" s="5"/>
      <c r="AO346" s="5"/>
      <c r="AQ346" s="5">
        <v>1</v>
      </c>
      <c r="AR346" s="5">
        <f t="shared" si="9"/>
        <v>0</v>
      </c>
      <c r="AS346" s="5"/>
      <c r="AT346" s="5"/>
      <c r="AV346" s="6">
        <v>1</v>
      </c>
      <c r="AW346" s="6">
        <f t="shared" si="10"/>
        <v>0</v>
      </c>
      <c r="BA346" s="6">
        <v>1</v>
      </c>
      <c r="BB346" s="6">
        <f t="shared" si="11"/>
        <v>0</v>
      </c>
      <c r="BD346" s="5"/>
      <c r="BF346" s="5">
        <v>1</v>
      </c>
      <c r="BG346" s="6">
        <f t="shared" si="12"/>
        <v>0</v>
      </c>
      <c r="BH346" s="5"/>
      <c r="BI346" s="5"/>
      <c r="BM346" s="5"/>
      <c r="BN346" s="5"/>
      <c r="BP346" s="5"/>
      <c r="BQ346" s="5"/>
      <c r="BR346" s="5"/>
      <c r="BS346" s="5"/>
      <c r="BU346" s="5"/>
      <c r="BV346" s="5">
        <f t="shared" si="13"/>
        <v>0</v>
      </c>
      <c r="BW346" s="5"/>
      <c r="BX346" s="5"/>
      <c r="BZ346" s="5">
        <v>1</v>
      </c>
      <c r="CA346" s="5">
        <f t="shared" si="14"/>
        <v>0</v>
      </c>
      <c r="CB346" s="5"/>
      <c r="CC346" s="5"/>
      <c r="CE346" s="5">
        <v>1</v>
      </c>
      <c r="CF346" s="5">
        <f t="shared" si="15"/>
        <v>0</v>
      </c>
      <c r="CG346" s="5"/>
      <c r="CH346" s="5"/>
      <c r="CO346" s="13">
        <v>1</v>
      </c>
      <c r="CP346" s="5">
        <f t="shared" si="16"/>
        <v>0</v>
      </c>
      <c r="CQ346" s="5"/>
      <c r="CR346" s="5"/>
      <c r="CT346" s="5">
        <v>1</v>
      </c>
      <c r="CU346" s="5">
        <f t="shared" si="17"/>
        <v>0</v>
      </c>
      <c r="CV346" s="5"/>
      <c r="CW346" s="5"/>
      <c r="CY346" s="5">
        <v>1</v>
      </c>
      <c r="CZ346" s="5">
        <f t="shared" si="18"/>
        <v>0</v>
      </c>
      <c r="DA346" s="5"/>
      <c r="DB346" s="5"/>
      <c r="DD346" s="5">
        <v>1</v>
      </c>
      <c r="DE346" s="5">
        <f t="shared" si="19"/>
        <v>0</v>
      </c>
      <c r="DF346" s="5"/>
      <c r="DG346" s="5"/>
      <c r="DI346" s="5">
        <v>1</v>
      </c>
      <c r="DJ346" s="5">
        <f t="shared" si="20"/>
        <v>0</v>
      </c>
      <c r="DK346" s="5"/>
      <c r="DL346" s="5"/>
      <c r="DN346" s="5">
        <v>1</v>
      </c>
      <c r="DO346" s="5">
        <f t="shared" si="21"/>
        <v>0</v>
      </c>
      <c r="DP346" s="5"/>
      <c r="DQ346" s="5"/>
      <c r="DS346" s="5">
        <v>1</v>
      </c>
      <c r="DT346" s="5">
        <f t="shared" si="22"/>
        <v>0</v>
      </c>
      <c r="DU346" s="5"/>
      <c r="DV346" s="5"/>
      <c r="DX346" s="5">
        <v>1</v>
      </c>
      <c r="DY346" s="5">
        <f t="shared" si="23"/>
        <v>0</v>
      </c>
      <c r="DZ346" s="5"/>
      <c r="EA346" s="5"/>
      <c r="EC346" s="5">
        <v>1</v>
      </c>
      <c r="ED346" s="5">
        <f t="shared" si="24"/>
        <v>0</v>
      </c>
      <c r="EE346" s="5"/>
      <c r="EF346" s="5"/>
      <c r="EH346" s="5">
        <v>1</v>
      </c>
      <c r="EI346" s="5">
        <f t="shared" si="25"/>
        <v>0</v>
      </c>
      <c r="EJ346" s="5"/>
      <c r="EK346" s="5"/>
      <c r="EX346" s="659">
        <f t="shared" si="3"/>
        <v>0</v>
      </c>
    </row>
    <row r="347" spans="1:154" s="6" customFormat="1" ht="15" customHeight="1">
      <c r="A347" s="3" t="s">
        <v>103</v>
      </c>
      <c r="B347" s="210" t="s">
        <v>103</v>
      </c>
      <c r="C347" s="473" t="s">
        <v>515</v>
      </c>
      <c r="D347" s="138"/>
      <c r="E347" s="5"/>
      <c r="F347" s="5"/>
      <c r="G347" s="5"/>
      <c r="H347" s="5"/>
      <c r="I347" s="4"/>
      <c r="J347" s="4"/>
      <c r="K347" s="4"/>
      <c r="L347" s="4"/>
      <c r="M347" s="4">
        <v>3</v>
      </c>
      <c r="N347" s="661">
        <f t="shared" si="4"/>
        <v>0</v>
      </c>
      <c r="O347" s="4"/>
      <c r="P347" s="4"/>
      <c r="Q347" s="4"/>
      <c r="R347" s="5">
        <v>1</v>
      </c>
      <c r="S347" s="5">
        <f t="shared" si="5"/>
        <v>0</v>
      </c>
      <c r="U347" s="5"/>
      <c r="W347" s="5">
        <v>1</v>
      </c>
      <c r="X347" s="5">
        <f t="shared" si="6"/>
        <v>0</v>
      </c>
      <c r="Y347" s="5"/>
      <c r="Z347" s="5"/>
      <c r="AB347" s="5">
        <v>1</v>
      </c>
      <c r="AC347" s="5">
        <f t="shared" si="7"/>
        <v>0</v>
      </c>
      <c r="AD347" s="5"/>
      <c r="AE347" s="5"/>
      <c r="AG347" s="5"/>
      <c r="AH347" s="5"/>
      <c r="AI347" s="5"/>
      <c r="AJ347" s="5"/>
      <c r="AL347" s="5">
        <v>1</v>
      </c>
      <c r="AM347" s="5">
        <f t="shared" si="8"/>
        <v>0</v>
      </c>
      <c r="AN347" s="5"/>
      <c r="AO347" s="5"/>
      <c r="AQ347" s="5">
        <v>1</v>
      </c>
      <c r="AR347" s="5">
        <f t="shared" si="9"/>
        <v>0</v>
      </c>
      <c r="AS347" s="5"/>
      <c r="AT347" s="5"/>
      <c r="AV347" s="6">
        <v>1</v>
      </c>
      <c r="AW347" s="6">
        <f t="shared" si="10"/>
        <v>0</v>
      </c>
      <c r="BA347" s="6">
        <v>1</v>
      </c>
      <c r="BB347" s="6">
        <f t="shared" si="11"/>
        <v>0</v>
      </c>
      <c r="BD347" s="5"/>
      <c r="BF347" s="5">
        <v>1</v>
      </c>
      <c r="BG347" s="6">
        <f t="shared" si="12"/>
        <v>0</v>
      </c>
      <c r="BH347" s="5"/>
      <c r="BI347" s="5"/>
      <c r="BM347" s="5"/>
      <c r="BN347" s="5"/>
      <c r="BP347" s="5"/>
      <c r="BQ347" s="5"/>
      <c r="BR347" s="5"/>
      <c r="BS347" s="5"/>
      <c r="BU347" s="5"/>
      <c r="BV347" s="5">
        <f t="shared" si="13"/>
        <v>0</v>
      </c>
      <c r="BW347" s="5"/>
      <c r="BX347" s="5"/>
      <c r="BZ347" s="5">
        <v>1</v>
      </c>
      <c r="CA347" s="5">
        <f t="shared" si="14"/>
        <v>0</v>
      </c>
      <c r="CB347" s="5"/>
      <c r="CC347" s="5"/>
      <c r="CE347" s="5">
        <v>1</v>
      </c>
      <c r="CF347" s="5">
        <f t="shared" si="15"/>
        <v>0</v>
      </c>
      <c r="CG347" s="5"/>
      <c r="CH347" s="5"/>
      <c r="CO347" s="13">
        <v>1</v>
      </c>
      <c r="CP347" s="5">
        <f t="shared" si="16"/>
        <v>0</v>
      </c>
      <c r="CQ347" s="5"/>
      <c r="CR347" s="5"/>
      <c r="CT347" s="5">
        <v>1</v>
      </c>
      <c r="CU347" s="5">
        <f t="shared" si="17"/>
        <v>0</v>
      </c>
      <c r="CV347" s="5"/>
      <c r="CW347" s="5"/>
      <c r="CY347" s="5">
        <v>1</v>
      </c>
      <c r="CZ347" s="5">
        <f t="shared" si="18"/>
        <v>0</v>
      </c>
      <c r="DA347" s="5"/>
      <c r="DB347" s="5"/>
      <c r="DD347" s="5">
        <v>1</v>
      </c>
      <c r="DE347" s="5">
        <f t="shared" si="19"/>
        <v>0</v>
      </c>
      <c r="DF347" s="5"/>
      <c r="DG347" s="5"/>
      <c r="DI347" s="5">
        <v>1</v>
      </c>
      <c r="DJ347" s="5">
        <f t="shared" si="20"/>
        <v>0</v>
      </c>
      <c r="DK347" s="5"/>
      <c r="DL347" s="5"/>
      <c r="DN347" s="5">
        <v>1</v>
      </c>
      <c r="DO347" s="5">
        <f t="shared" si="21"/>
        <v>0</v>
      </c>
      <c r="DP347" s="5"/>
      <c r="DQ347" s="5"/>
      <c r="DS347" s="5">
        <v>1</v>
      </c>
      <c r="DT347" s="5">
        <f t="shared" si="22"/>
        <v>0</v>
      </c>
      <c r="DU347" s="5"/>
      <c r="DV347" s="5"/>
      <c r="DX347" s="5">
        <v>1</v>
      </c>
      <c r="DY347" s="5">
        <f t="shared" si="23"/>
        <v>0</v>
      </c>
      <c r="DZ347" s="5"/>
      <c r="EA347" s="5"/>
      <c r="EC347" s="5">
        <v>1</v>
      </c>
      <c r="ED347" s="5">
        <f t="shared" si="24"/>
        <v>0</v>
      </c>
      <c r="EE347" s="5"/>
      <c r="EF347" s="5"/>
      <c r="EH347" s="5">
        <v>1</v>
      </c>
      <c r="EI347" s="5">
        <f t="shared" si="25"/>
        <v>0</v>
      </c>
      <c r="EJ347" s="5"/>
      <c r="EK347" s="5"/>
      <c r="EX347" s="659">
        <f t="shared" si="3"/>
        <v>0</v>
      </c>
    </row>
    <row r="348" spans="1:154" s="6" customFormat="1" ht="15" customHeight="1">
      <c r="A348" s="3" t="s">
        <v>104</v>
      </c>
      <c r="B348" s="210" t="s">
        <v>104</v>
      </c>
      <c r="C348" s="473" t="s">
        <v>515</v>
      </c>
      <c r="D348" s="138"/>
      <c r="E348" s="5"/>
      <c r="F348" s="5"/>
      <c r="G348" s="5"/>
      <c r="H348" s="5"/>
      <c r="I348" s="4"/>
      <c r="J348" s="4"/>
      <c r="K348" s="4"/>
      <c r="L348" s="4"/>
      <c r="M348" s="4">
        <v>3</v>
      </c>
      <c r="N348" s="661">
        <f t="shared" si="4"/>
        <v>0</v>
      </c>
      <c r="O348" s="4"/>
      <c r="P348" s="4"/>
      <c r="Q348" s="4"/>
      <c r="R348" s="5">
        <v>1</v>
      </c>
      <c r="S348" s="5">
        <f t="shared" si="5"/>
        <v>0</v>
      </c>
      <c r="U348" s="5"/>
      <c r="W348" s="5">
        <v>1</v>
      </c>
      <c r="X348" s="5">
        <f t="shared" si="6"/>
        <v>0</v>
      </c>
      <c r="Y348" s="5"/>
      <c r="Z348" s="5"/>
      <c r="AB348" s="5">
        <v>1</v>
      </c>
      <c r="AC348" s="5">
        <f t="shared" si="7"/>
        <v>0</v>
      </c>
      <c r="AD348" s="5"/>
      <c r="AE348" s="5"/>
      <c r="AG348" s="5"/>
      <c r="AH348" s="5"/>
      <c r="AI348" s="5"/>
      <c r="AJ348" s="5"/>
      <c r="AL348" s="5">
        <v>1</v>
      </c>
      <c r="AM348" s="5">
        <f t="shared" si="8"/>
        <v>0</v>
      </c>
      <c r="AN348" s="5"/>
      <c r="AO348" s="5"/>
      <c r="AQ348" s="5">
        <v>1</v>
      </c>
      <c r="AR348" s="5">
        <f t="shared" si="9"/>
        <v>0</v>
      </c>
      <c r="AS348" s="5"/>
      <c r="AT348" s="5"/>
      <c r="AV348" s="6">
        <v>1</v>
      </c>
      <c r="AW348" s="6">
        <f t="shared" si="10"/>
        <v>0</v>
      </c>
      <c r="BA348" s="6">
        <v>1</v>
      </c>
      <c r="BB348" s="6">
        <f t="shared" si="11"/>
        <v>0</v>
      </c>
      <c r="BD348" s="5"/>
      <c r="BF348" s="5">
        <v>1</v>
      </c>
      <c r="BG348" s="6">
        <f t="shared" si="12"/>
        <v>0</v>
      </c>
      <c r="BH348" s="5"/>
      <c r="BI348" s="5"/>
      <c r="BM348" s="5"/>
      <c r="BN348" s="5"/>
      <c r="BP348" s="5"/>
      <c r="BQ348" s="5"/>
      <c r="BR348" s="5"/>
      <c r="BS348" s="5"/>
      <c r="BU348" s="5"/>
      <c r="BV348" s="5">
        <f t="shared" si="13"/>
        <v>0</v>
      </c>
      <c r="BW348" s="5"/>
      <c r="BX348" s="5"/>
      <c r="BZ348" s="5">
        <v>1</v>
      </c>
      <c r="CA348" s="5">
        <f t="shared" si="14"/>
        <v>0</v>
      </c>
      <c r="CB348" s="5"/>
      <c r="CC348" s="5"/>
      <c r="CE348" s="5">
        <v>1</v>
      </c>
      <c r="CF348" s="5">
        <f t="shared" si="15"/>
        <v>0</v>
      </c>
      <c r="CG348" s="5"/>
      <c r="CH348" s="5"/>
      <c r="CO348" s="13">
        <v>1</v>
      </c>
      <c r="CP348" s="5">
        <f t="shared" si="16"/>
        <v>0</v>
      </c>
      <c r="CQ348" s="5"/>
      <c r="CR348" s="5"/>
      <c r="CT348" s="5">
        <v>1</v>
      </c>
      <c r="CU348" s="5">
        <f t="shared" si="17"/>
        <v>0</v>
      </c>
      <c r="CV348" s="5"/>
      <c r="CW348" s="5"/>
      <c r="CY348" s="5">
        <v>1</v>
      </c>
      <c r="CZ348" s="5">
        <f t="shared" si="18"/>
        <v>0</v>
      </c>
      <c r="DA348" s="5"/>
      <c r="DB348" s="5"/>
      <c r="DD348" s="5">
        <v>1</v>
      </c>
      <c r="DE348" s="5">
        <f t="shared" si="19"/>
        <v>0</v>
      </c>
      <c r="DF348" s="5"/>
      <c r="DG348" s="5"/>
      <c r="DI348" s="5">
        <v>1</v>
      </c>
      <c r="DJ348" s="5">
        <f t="shared" si="20"/>
        <v>0</v>
      </c>
      <c r="DK348" s="5"/>
      <c r="DL348" s="5"/>
      <c r="DN348" s="5">
        <v>1</v>
      </c>
      <c r="DO348" s="5">
        <f t="shared" si="21"/>
        <v>0</v>
      </c>
      <c r="DP348" s="5"/>
      <c r="DQ348" s="5"/>
      <c r="DS348" s="5">
        <v>1</v>
      </c>
      <c r="DT348" s="5">
        <f t="shared" si="22"/>
        <v>0</v>
      </c>
      <c r="DU348" s="5"/>
      <c r="DV348" s="5"/>
      <c r="DX348" s="5">
        <v>1</v>
      </c>
      <c r="DY348" s="5">
        <f t="shared" si="23"/>
        <v>0</v>
      </c>
      <c r="DZ348" s="5"/>
      <c r="EA348" s="5"/>
      <c r="EC348" s="5">
        <v>1</v>
      </c>
      <c r="ED348" s="5">
        <f t="shared" si="24"/>
        <v>0</v>
      </c>
      <c r="EE348" s="5"/>
      <c r="EF348" s="5"/>
      <c r="EH348" s="5">
        <v>1</v>
      </c>
      <c r="EI348" s="5">
        <f t="shared" si="25"/>
        <v>0</v>
      </c>
      <c r="EJ348" s="5"/>
      <c r="EK348" s="5"/>
      <c r="EX348" s="659">
        <f t="shared" si="3"/>
        <v>0</v>
      </c>
    </row>
    <row r="349" spans="1:154" s="6" customFormat="1" ht="15" customHeight="1">
      <c r="A349" s="3" t="s">
        <v>105</v>
      </c>
      <c r="B349" s="210" t="s">
        <v>105</v>
      </c>
      <c r="C349" s="473" t="s">
        <v>515</v>
      </c>
      <c r="D349" s="138"/>
      <c r="E349" s="5"/>
      <c r="F349" s="5"/>
      <c r="G349" s="5"/>
      <c r="H349" s="5"/>
      <c r="I349" s="4"/>
      <c r="J349" s="4"/>
      <c r="K349" s="4"/>
      <c r="L349" s="4"/>
      <c r="M349" s="4">
        <v>3</v>
      </c>
      <c r="N349" s="661">
        <f t="shared" si="4"/>
        <v>0</v>
      </c>
      <c r="O349" s="4"/>
      <c r="P349" s="4"/>
      <c r="Q349" s="4"/>
      <c r="R349" s="5">
        <v>1</v>
      </c>
      <c r="S349" s="5">
        <f t="shared" si="5"/>
        <v>0</v>
      </c>
      <c r="U349" s="5"/>
      <c r="W349" s="5">
        <v>1</v>
      </c>
      <c r="X349" s="5">
        <f t="shared" si="6"/>
        <v>0</v>
      </c>
      <c r="Y349" s="5"/>
      <c r="Z349" s="5"/>
      <c r="AB349" s="5">
        <v>1</v>
      </c>
      <c r="AC349" s="5">
        <f t="shared" si="7"/>
        <v>0</v>
      </c>
      <c r="AD349" s="5"/>
      <c r="AE349" s="5"/>
      <c r="AG349" s="5"/>
      <c r="AH349" s="5"/>
      <c r="AI349" s="5"/>
      <c r="AJ349" s="5"/>
      <c r="AL349" s="5">
        <v>1</v>
      </c>
      <c r="AM349" s="5">
        <f t="shared" si="8"/>
        <v>0</v>
      </c>
      <c r="AN349" s="5"/>
      <c r="AO349" s="5"/>
      <c r="AQ349" s="5">
        <v>1</v>
      </c>
      <c r="AR349" s="5">
        <f t="shared" si="9"/>
        <v>0</v>
      </c>
      <c r="AS349" s="5"/>
      <c r="AT349" s="5"/>
      <c r="AV349" s="6">
        <v>1</v>
      </c>
      <c r="AW349" s="6">
        <f t="shared" si="10"/>
        <v>0</v>
      </c>
      <c r="BA349" s="6">
        <v>1</v>
      </c>
      <c r="BB349" s="6">
        <f t="shared" si="11"/>
        <v>0</v>
      </c>
      <c r="BD349" s="5"/>
      <c r="BF349" s="5">
        <v>1</v>
      </c>
      <c r="BG349" s="6">
        <f t="shared" si="12"/>
        <v>0</v>
      </c>
      <c r="BH349" s="5"/>
      <c r="BI349" s="5"/>
      <c r="BM349" s="5"/>
      <c r="BN349" s="5"/>
      <c r="BP349" s="5"/>
      <c r="BQ349" s="5"/>
      <c r="BR349" s="5"/>
      <c r="BS349" s="5"/>
      <c r="BU349" s="5"/>
      <c r="BV349" s="5">
        <f t="shared" si="13"/>
        <v>0</v>
      </c>
      <c r="BW349" s="5"/>
      <c r="BX349" s="5"/>
      <c r="BZ349" s="5">
        <v>1</v>
      </c>
      <c r="CA349" s="5">
        <f t="shared" si="14"/>
        <v>0</v>
      </c>
      <c r="CB349" s="5"/>
      <c r="CC349" s="5"/>
      <c r="CE349" s="5">
        <v>1</v>
      </c>
      <c r="CF349" s="5">
        <f t="shared" si="15"/>
        <v>0</v>
      </c>
      <c r="CG349" s="5"/>
      <c r="CH349" s="5"/>
      <c r="CO349" s="13">
        <v>1</v>
      </c>
      <c r="CP349" s="5">
        <f t="shared" si="16"/>
        <v>0</v>
      </c>
      <c r="CQ349" s="5"/>
      <c r="CR349" s="5"/>
      <c r="CT349" s="5">
        <v>1</v>
      </c>
      <c r="CU349" s="5">
        <f t="shared" si="17"/>
        <v>0</v>
      </c>
      <c r="CV349" s="5"/>
      <c r="CW349" s="5"/>
      <c r="CY349" s="5">
        <v>1</v>
      </c>
      <c r="CZ349" s="5">
        <f t="shared" si="18"/>
        <v>0</v>
      </c>
      <c r="DA349" s="5"/>
      <c r="DB349" s="5"/>
      <c r="DD349" s="5">
        <v>1</v>
      </c>
      <c r="DE349" s="5">
        <f t="shared" si="19"/>
        <v>0</v>
      </c>
      <c r="DF349" s="5"/>
      <c r="DG349" s="5"/>
      <c r="DI349" s="5">
        <v>1</v>
      </c>
      <c r="DJ349" s="5">
        <f t="shared" si="20"/>
        <v>0</v>
      </c>
      <c r="DK349" s="5"/>
      <c r="DL349" s="5"/>
      <c r="DN349" s="5">
        <v>1</v>
      </c>
      <c r="DO349" s="5">
        <f t="shared" si="21"/>
        <v>0</v>
      </c>
      <c r="DP349" s="5"/>
      <c r="DQ349" s="5"/>
      <c r="DS349" s="5">
        <v>1</v>
      </c>
      <c r="DT349" s="5">
        <f t="shared" si="22"/>
        <v>0</v>
      </c>
      <c r="DU349" s="5"/>
      <c r="DV349" s="5"/>
      <c r="DX349" s="5">
        <v>1</v>
      </c>
      <c r="DY349" s="5">
        <f t="shared" si="23"/>
        <v>0</v>
      </c>
      <c r="DZ349" s="5"/>
      <c r="EA349" s="5"/>
      <c r="EC349" s="5">
        <v>1</v>
      </c>
      <c r="ED349" s="5">
        <f t="shared" si="24"/>
        <v>0</v>
      </c>
      <c r="EE349" s="5"/>
      <c r="EF349" s="5"/>
      <c r="EH349" s="5">
        <v>1</v>
      </c>
      <c r="EI349" s="5">
        <f t="shared" si="25"/>
        <v>0</v>
      </c>
      <c r="EJ349" s="5"/>
      <c r="EK349" s="5"/>
      <c r="EX349" s="659">
        <f t="shared" si="3"/>
        <v>0</v>
      </c>
    </row>
    <row r="350" spans="1:154" s="6" customFormat="1" ht="15" customHeight="1">
      <c r="A350" s="3" t="s">
        <v>106</v>
      </c>
      <c r="B350" s="210" t="s">
        <v>106</v>
      </c>
      <c r="C350" s="473" t="s">
        <v>515</v>
      </c>
      <c r="D350" s="138"/>
      <c r="E350" s="5"/>
      <c r="F350" s="5"/>
      <c r="G350" s="5"/>
      <c r="H350" s="5"/>
      <c r="I350" s="4"/>
      <c r="J350" s="4"/>
      <c r="K350" s="4"/>
      <c r="L350" s="4"/>
      <c r="M350" s="4">
        <v>3</v>
      </c>
      <c r="N350" s="661">
        <f t="shared" si="4"/>
        <v>0</v>
      </c>
      <c r="O350" s="4"/>
      <c r="P350" s="4"/>
      <c r="Q350" s="4"/>
      <c r="R350" s="5">
        <v>1</v>
      </c>
      <c r="S350" s="5">
        <f t="shared" si="5"/>
        <v>0</v>
      </c>
      <c r="U350" s="5"/>
      <c r="W350" s="5">
        <v>1</v>
      </c>
      <c r="X350" s="5">
        <f t="shared" si="6"/>
        <v>0</v>
      </c>
      <c r="Y350" s="5"/>
      <c r="Z350" s="5"/>
      <c r="AB350" s="5">
        <v>1</v>
      </c>
      <c r="AC350" s="5">
        <f t="shared" si="7"/>
        <v>0</v>
      </c>
      <c r="AD350" s="5"/>
      <c r="AE350" s="5"/>
      <c r="AG350" s="5"/>
      <c r="AH350" s="5"/>
      <c r="AI350" s="5"/>
      <c r="AJ350" s="5"/>
      <c r="AL350" s="5">
        <v>1</v>
      </c>
      <c r="AM350" s="5">
        <f t="shared" si="8"/>
        <v>0</v>
      </c>
      <c r="AN350" s="5"/>
      <c r="AO350" s="5"/>
      <c r="AQ350" s="5">
        <v>1</v>
      </c>
      <c r="AR350" s="5">
        <f t="shared" si="9"/>
        <v>0</v>
      </c>
      <c r="AS350" s="5"/>
      <c r="AT350" s="5"/>
      <c r="AV350" s="6">
        <v>1</v>
      </c>
      <c r="AW350" s="6">
        <f t="shared" si="10"/>
        <v>0</v>
      </c>
      <c r="BA350" s="6">
        <v>1</v>
      </c>
      <c r="BB350" s="6">
        <f t="shared" si="11"/>
        <v>0</v>
      </c>
      <c r="BD350" s="5"/>
      <c r="BF350" s="5">
        <v>1</v>
      </c>
      <c r="BG350" s="6">
        <f t="shared" si="12"/>
        <v>0</v>
      </c>
      <c r="BH350" s="5"/>
      <c r="BI350" s="5"/>
      <c r="BM350" s="5"/>
      <c r="BN350" s="5"/>
      <c r="BP350" s="5"/>
      <c r="BQ350" s="5"/>
      <c r="BR350" s="5"/>
      <c r="BS350" s="5"/>
      <c r="BU350" s="5"/>
      <c r="BV350" s="5">
        <f t="shared" si="13"/>
        <v>0</v>
      </c>
      <c r="BW350" s="5"/>
      <c r="BX350" s="5"/>
      <c r="BZ350" s="5">
        <v>1</v>
      </c>
      <c r="CA350" s="5">
        <f t="shared" si="14"/>
        <v>0</v>
      </c>
      <c r="CB350" s="5"/>
      <c r="CC350" s="5"/>
      <c r="CE350" s="5">
        <v>1</v>
      </c>
      <c r="CF350" s="5">
        <f t="shared" si="15"/>
        <v>0</v>
      </c>
      <c r="CG350" s="5"/>
      <c r="CH350" s="5"/>
      <c r="CO350" s="13">
        <v>1</v>
      </c>
      <c r="CP350" s="5">
        <f t="shared" si="16"/>
        <v>0</v>
      </c>
      <c r="CQ350" s="5"/>
      <c r="CR350" s="5"/>
      <c r="CT350" s="5">
        <v>1</v>
      </c>
      <c r="CU350" s="5">
        <f t="shared" si="17"/>
        <v>0</v>
      </c>
      <c r="CV350" s="5"/>
      <c r="CW350" s="5"/>
      <c r="CY350" s="5">
        <v>1</v>
      </c>
      <c r="CZ350" s="5">
        <f t="shared" si="18"/>
        <v>0</v>
      </c>
      <c r="DA350" s="5"/>
      <c r="DB350" s="5"/>
      <c r="DD350" s="5">
        <v>1</v>
      </c>
      <c r="DE350" s="5">
        <f t="shared" si="19"/>
        <v>0</v>
      </c>
      <c r="DF350" s="5"/>
      <c r="DG350" s="5"/>
      <c r="DI350" s="5">
        <v>1</v>
      </c>
      <c r="DJ350" s="5">
        <f t="shared" si="20"/>
        <v>0</v>
      </c>
      <c r="DK350" s="5"/>
      <c r="DL350" s="5"/>
      <c r="DN350" s="5">
        <v>1</v>
      </c>
      <c r="DO350" s="5">
        <f t="shared" si="21"/>
        <v>0</v>
      </c>
      <c r="DP350" s="5"/>
      <c r="DQ350" s="5"/>
      <c r="DS350" s="5">
        <v>1</v>
      </c>
      <c r="DT350" s="5">
        <f t="shared" si="22"/>
        <v>0</v>
      </c>
      <c r="DU350" s="5"/>
      <c r="DV350" s="5"/>
      <c r="DX350" s="5">
        <v>1</v>
      </c>
      <c r="DY350" s="5">
        <f t="shared" si="23"/>
        <v>0</v>
      </c>
      <c r="DZ350" s="5"/>
      <c r="EA350" s="5"/>
      <c r="EC350" s="5">
        <v>1</v>
      </c>
      <c r="ED350" s="5">
        <f t="shared" si="24"/>
        <v>0</v>
      </c>
      <c r="EE350" s="5"/>
      <c r="EF350" s="5"/>
      <c r="EH350" s="5">
        <v>1</v>
      </c>
      <c r="EI350" s="5">
        <f t="shared" si="25"/>
        <v>0</v>
      </c>
      <c r="EJ350" s="5"/>
      <c r="EK350" s="5"/>
      <c r="EX350" s="659">
        <f t="shared" si="3"/>
        <v>0</v>
      </c>
    </row>
    <row r="351" spans="1:154" s="6" customFormat="1" ht="15" customHeight="1">
      <c r="A351" s="3" t="s">
        <v>107</v>
      </c>
      <c r="B351" s="210" t="s">
        <v>107</v>
      </c>
      <c r="C351" s="473" t="s">
        <v>515</v>
      </c>
      <c r="D351" s="138"/>
      <c r="E351" s="5"/>
      <c r="F351" s="5"/>
      <c r="G351" s="5"/>
      <c r="H351" s="5"/>
      <c r="I351" s="4"/>
      <c r="J351" s="4"/>
      <c r="K351" s="4"/>
      <c r="L351" s="4"/>
      <c r="M351" s="4">
        <v>3</v>
      </c>
      <c r="N351" s="661">
        <f t="shared" si="4"/>
        <v>0</v>
      </c>
      <c r="O351" s="4"/>
      <c r="P351" s="4"/>
      <c r="Q351" s="4"/>
      <c r="R351" s="5">
        <v>1</v>
      </c>
      <c r="S351" s="5">
        <f t="shared" si="5"/>
        <v>0</v>
      </c>
      <c r="U351" s="5"/>
      <c r="W351" s="5">
        <v>1</v>
      </c>
      <c r="X351" s="5">
        <f t="shared" si="6"/>
        <v>0</v>
      </c>
      <c r="Y351" s="5"/>
      <c r="Z351" s="5"/>
      <c r="AB351" s="5">
        <v>1</v>
      </c>
      <c r="AC351" s="5">
        <f t="shared" si="7"/>
        <v>0</v>
      </c>
      <c r="AD351" s="5"/>
      <c r="AE351" s="5"/>
      <c r="AG351" s="5"/>
      <c r="AH351" s="5"/>
      <c r="AI351" s="5"/>
      <c r="AJ351" s="5"/>
      <c r="AL351" s="5">
        <v>1</v>
      </c>
      <c r="AM351" s="5">
        <f t="shared" si="8"/>
        <v>0</v>
      </c>
      <c r="AN351" s="5"/>
      <c r="AO351" s="5"/>
      <c r="AQ351" s="5">
        <v>1</v>
      </c>
      <c r="AR351" s="5">
        <f t="shared" si="9"/>
        <v>0</v>
      </c>
      <c r="AS351" s="5"/>
      <c r="AT351" s="5"/>
      <c r="AV351" s="6">
        <v>1</v>
      </c>
      <c r="AW351" s="6">
        <f t="shared" si="10"/>
        <v>0</v>
      </c>
      <c r="BA351" s="6">
        <v>1</v>
      </c>
      <c r="BB351" s="6">
        <f t="shared" si="11"/>
        <v>0</v>
      </c>
      <c r="BD351" s="5"/>
      <c r="BF351" s="5">
        <v>1</v>
      </c>
      <c r="BG351" s="6">
        <f t="shared" si="12"/>
        <v>0</v>
      </c>
      <c r="BH351" s="5"/>
      <c r="BI351" s="5"/>
      <c r="BM351" s="5"/>
      <c r="BN351" s="5"/>
      <c r="BP351" s="5"/>
      <c r="BQ351" s="5"/>
      <c r="BR351" s="5"/>
      <c r="BS351" s="5"/>
      <c r="BU351" s="5"/>
      <c r="BV351" s="5">
        <f t="shared" si="13"/>
        <v>0</v>
      </c>
      <c r="BW351" s="5"/>
      <c r="BX351" s="5"/>
      <c r="BZ351" s="5">
        <v>1</v>
      </c>
      <c r="CA351" s="5">
        <f t="shared" si="14"/>
        <v>0</v>
      </c>
      <c r="CB351" s="5"/>
      <c r="CC351" s="5"/>
      <c r="CE351" s="5">
        <v>1</v>
      </c>
      <c r="CF351" s="5">
        <f t="shared" si="15"/>
        <v>0</v>
      </c>
      <c r="CG351" s="5"/>
      <c r="CH351" s="5"/>
      <c r="CO351" s="13">
        <v>1</v>
      </c>
      <c r="CP351" s="5">
        <f t="shared" si="16"/>
        <v>0</v>
      </c>
      <c r="CQ351" s="5"/>
      <c r="CR351" s="5"/>
      <c r="CT351" s="5">
        <v>1</v>
      </c>
      <c r="CU351" s="5">
        <f t="shared" si="17"/>
        <v>0</v>
      </c>
      <c r="CV351" s="5"/>
      <c r="CW351" s="5"/>
      <c r="CY351" s="5">
        <v>1</v>
      </c>
      <c r="CZ351" s="5">
        <f t="shared" si="18"/>
        <v>0</v>
      </c>
      <c r="DA351" s="5"/>
      <c r="DB351" s="5"/>
      <c r="DD351" s="5">
        <v>1</v>
      </c>
      <c r="DE351" s="5">
        <f t="shared" si="19"/>
        <v>0</v>
      </c>
      <c r="DF351" s="5"/>
      <c r="DG351" s="5"/>
      <c r="DI351" s="5">
        <v>1</v>
      </c>
      <c r="DJ351" s="5">
        <f t="shared" si="20"/>
        <v>0</v>
      </c>
      <c r="DK351" s="5"/>
      <c r="DL351" s="5"/>
      <c r="DN351" s="5">
        <v>1</v>
      </c>
      <c r="DO351" s="5">
        <f t="shared" si="21"/>
        <v>0</v>
      </c>
      <c r="DP351" s="5"/>
      <c r="DQ351" s="5"/>
      <c r="DS351" s="5">
        <v>1</v>
      </c>
      <c r="DT351" s="5">
        <f t="shared" si="22"/>
        <v>0</v>
      </c>
      <c r="DU351" s="5"/>
      <c r="DV351" s="5"/>
      <c r="DX351" s="5">
        <v>1</v>
      </c>
      <c r="DY351" s="5">
        <f t="shared" si="23"/>
        <v>0</v>
      </c>
      <c r="DZ351" s="5"/>
      <c r="EA351" s="5"/>
      <c r="EC351" s="5">
        <v>1</v>
      </c>
      <c r="ED351" s="5">
        <f t="shared" si="24"/>
        <v>0</v>
      </c>
      <c r="EE351" s="5"/>
      <c r="EF351" s="5"/>
      <c r="EH351" s="5">
        <v>1</v>
      </c>
      <c r="EI351" s="5">
        <f t="shared" si="25"/>
        <v>0</v>
      </c>
      <c r="EJ351" s="5"/>
      <c r="EK351" s="5"/>
      <c r="EX351" s="659">
        <f t="shared" si="3"/>
        <v>0</v>
      </c>
    </row>
    <row r="352" spans="1:154" s="6" customFormat="1" ht="15" customHeight="1">
      <c r="A352" s="3"/>
      <c r="B352" s="210" t="s">
        <v>401</v>
      </c>
      <c r="C352" s="473" t="s">
        <v>515</v>
      </c>
      <c r="D352" s="138"/>
      <c r="E352" s="5"/>
      <c r="F352" s="5"/>
      <c r="G352" s="5"/>
      <c r="H352" s="5"/>
      <c r="I352" s="4"/>
      <c r="J352" s="4"/>
      <c r="K352" s="4"/>
      <c r="L352" s="4"/>
      <c r="M352" s="4"/>
      <c r="N352" s="661"/>
      <c r="O352" s="4"/>
      <c r="P352" s="4"/>
      <c r="Q352" s="4"/>
      <c r="R352" s="5"/>
      <c r="S352" s="5"/>
      <c r="U352" s="5"/>
      <c r="W352" s="5"/>
      <c r="X352" s="5"/>
      <c r="Y352" s="5"/>
      <c r="Z352" s="5"/>
      <c r="AB352" s="5"/>
      <c r="AC352" s="5"/>
      <c r="AD352" s="5"/>
      <c r="AE352" s="5"/>
      <c r="AG352" s="5"/>
      <c r="AH352" s="5"/>
      <c r="AI352" s="5"/>
      <c r="AJ352" s="5"/>
      <c r="AL352" s="5"/>
      <c r="AM352" s="5"/>
      <c r="AN352" s="5"/>
      <c r="AO352" s="5"/>
      <c r="AQ352" s="5"/>
      <c r="AR352" s="5"/>
      <c r="AS352" s="5"/>
      <c r="AT352" s="5"/>
      <c r="BD352" s="5"/>
      <c r="BF352" s="5"/>
      <c r="BH352" s="5"/>
      <c r="BI352" s="5"/>
      <c r="BM352" s="5"/>
      <c r="BN352" s="5"/>
      <c r="BP352" s="5"/>
      <c r="BQ352" s="5"/>
      <c r="BR352" s="5"/>
      <c r="BS352" s="5"/>
      <c r="BU352" s="5"/>
      <c r="BV352" s="5"/>
      <c r="BW352" s="5"/>
      <c r="BX352" s="5"/>
      <c r="BZ352" s="5"/>
      <c r="CA352" s="5"/>
      <c r="CB352" s="5"/>
      <c r="CC352" s="5"/>
      <c r="CE352" s="5"/>
      <c r="CF352" s="5"/>
      <c r="CG352" s="5"/>
      <c r="CH352" s="5"/>
      <c r="CO352" s="13"/>
      <c r="CP352" s="5"/>
      <c r="CQ352" s="5"/>
      <c r="CR352" s="5"/>
      <c r="CT352" s="5"/>
      <c r="CU352" s="5"/>
      <c r="CV352" s="5"/>
      <c r="CW352" s="5"/>
      <c r="CY352" s="5"/>
      <c r="CZ352" s="5"/>
      <c r="DA352" s="5"/>
      <c r="DB352" s="5"/>
      <c r="DD352" s="5"/>
      <c r="DE352" s="5"/>
      <c r="DF352" s="5"/>
      <c r="DG352" s="5"/>
      <c r="DI352" s="5"/>
      <c r="DJ352" s="5"/>
      <c r="DK352" s="5"/>
      <c r="DL352" s="5"/>
      <c r="DN352" s="5"/>
      <c r="DO352" s="5"/>
      <c r="DP352" s="5"/>
      <c r="DQ352" s="5"/>
      <c r="DS352" s="5"/>
      <c r="DT352" s="5"/>
      <c r="DU352" s="5"/>
      <c r="DV352" s="5"/>
      <c r="DX352" s="5"/>
      <c r="DY352" s="5"/>
      <c r="DZ352" s="5"/>
      <c r="EA352" s="5"/>
      <c r="EC352" s="5"/>
      <c r="ED352" s="5"/>
      <c r="EE352" s="5"/>
      <c r="EF352" s="5"/>
      <c r="EH352" s="5"/>
      <c r="EI352" s="5"/>
      <c r="EJ352" s="5"/>
      <c r="EK352" s="5"/>
      <c r="EX352" s="659">
        <f t="shared" si="3"/>
        <v>0</v>
      </c>
    </row>
    <row r="353" spans="1:154" s="6" customFormat="1" ht="15" customHeight="1">
      <c r="A353" s="3"/>
      <c r="B353" s="210" t="s">
        <v>402</v>
      </c>
      <c r="C353" s="473" t="s">
        <v>515</v>
      </c>
      <c r="D353" s="138"/>
      <c r="E353" s="5"/>
      <c r="F353" s="5"/>
      <c r="G353" s="5"/>
      <c r="H353" s="5"/>
      <c r="I353" s="4"/>
      <c r="J353" s="4"/>
      <c r="K353" s="4"/>
      <c r="L353" s="4"/>
      <c r="M353" s="4"/>
      <c r="N353" s="661"/>
      <c r="O353" s="4"/>
      <c r="P353" s="4"/>
      <c r="Q353" s="4"/>
      <c r="R353" s="5"/>
      <c r="S353" s="5"/>
      <c r="U353" s="5"/>
      <c r="W353" s="5"/>
      <c r="X353" s="5"/>
      <c r="Y353" s="5"/>
      <c r="Z353" s="5"/>
      <c r="AB353" s="5"/>
      <c r="AC353" s="5"/>
      <c r="AD353" s="5"/>
      <c r="AE353" s="5"/>
      <c r="AG353" s="5"/>
      <c r="AH353" s="5"/>
      <c r="AI353" s="5"/>
      <c r="AJ353" s="5"/>
      <c r="AL353" s="5"/>
      <c r="AM353" s="5"/>
      <c r="AN353" s="5"/>
      <c r="AO353" s="5"/>
      <c r="AQ353" s="5"/>
      <c r="AR353" s="5"/>
      <c r="AS353" s="5"/>
      <c r="AT353" s="5"/>
      <c r="BD353" s="5"/>
      <c r="BF353" s="5"/>
      <c r="BH353" s="5"/>
      <c r="BI353" s="5"/>
      <c r="BM353" s="5"/>
      <c r="BN353" s="5"/>
      <c r="BP353" s="5"/>
      <c r="BQ353" s="5"/>
      <c r="BR353" s="5"/>
      <c r="BS353" s="5"/>
      <c r="BU353" s="5"/>
      <c r="BV353" s="5"/>
      <c r="BW353" s="5"/>
      <c r="BX353" s="5"/>
      <c r="BZ353" s="5"/>
      <c r="CA353" s="5"/>
      <c r="CB353" s="5"/>
      <c r="CC353" s="5"/>
      <c r="CE353" s="5"/>
      <c r="CF353" s="5"/>
      <c r="CG353" s="5"/>
      <c r="CH353" s="5"/>
      <c r="CO353" s="13"/>
      <c r="CP353" s="5"/>
      <c r="CQ353" s="5"/>
      <c r="CR353" s="5"/>
      <c r="CT353" s="5"/>
      <c r="CU353" s="5"/>
      <c r="CV353" s="5"/>
      <c r="CW353" s="5"/>
      <c r="CY353" s="5"/>
      <c r="CZ353" s="5"/>
      <c r="DA353" s="5"/>
      <c r="DB353" s="5"/>
      <c r="DD353" s="5"/>
      <c r="DE353" s="5"/>
      <c r="DF353" s="5"/>
      <c r="DG353" s="5"/>
      <c r="DI353" s="5"/>
      <c r="DJ353" s="5"/>
      <c r="DK353" s="5"/>
      <c r="DL353" s="5"/>
      <c r="DN353" s="5"/>
      <c r="DO353" s="5"/>
      <c r="DP353" s="5"/>
      <c r="DQ353" s="5"/>
      <c r="DS353" s="5"/>
      <c r="DT353" s="5"/>
      <c r="DU353" s="5"/>
      <c r="DV353" s="5"/>
      <c r="DX353" s="5"/>
      <c r="DY353" s="5"/>
      <c r="DZ353" s="5"/>
      <c r="EA353" s="5"/>
      <c r="EC353" s="5"/>
      <c r="ED353" s="5"/>
      <c r="EE353" s="5"/>
      <c r="EF353" s="5"/>
      <c r="EH353" s="5"/>
      <c r="EI353" s="5"/>
      <c r="EJ353" s="5"/>
      <c r="EK353" s="5"/>
      <c r="EX353" s="659">
        <f t="shared" si="3"/>
        <v>0</v>
      </c>
    </row>
    <row r="354" spans="1:154" s="6" customFormat="1" ht="15" customHeight="1">
      <c r="A354" s="3"/>
      <c r="B354" s="210" t="s">
        <v>403</v>
      </c>
      <c r="C354" s="473" t="s">
        <v>515</v>
      </c>
      <c r="D354" s="138"/>
      <c r="E354" s="5"/>
      <c r="F354" s="5"/>
      <c r="G354" s="5"/>
      <c r="H354" s="5"/>
      <c r="I354" s="4"/>
      <c r="J354" s="4"/>
      <c r="K354" s="4"/>
      <c r="L354" s="4"/>
      <c r="M354" s="4"/>
      <c r="N354" s="661"/>
      <c r="O354" s="4"/>
      <c r="P354" s="4"/>
      <c r="Q354" s="4"/>
      <c r="R354" s="5"/>
      <c r="S354" s="5"/>
      <c r="U354" s="5"/>
      <c r="W354" s="5"/>
      <c r="X354" s="5"/>
      <c r="Y354" s="5"/>
      <c r="Z354" s="5"/>
      <c r="AB354" s="5"/>
      <c r="AC354" s="5"/>
      <c r="AD354" s="5"/>
      <c r="AE354" s="5"/>
      <c r="AG354" s="5"/>
      <c r="AH354" s="5"/>
      <c r="AI354" s="5"/>
      <c r="AJ354" s="5"/>
      <c r="AL354" s="5"/>
      <c r="AM354" s="5"/>
      <c r="AN354" s="5"/>
      <c r="AO354" s="5"/>
      <c r="AQ354" s="5"/>
      <c r="AR354" s="5"/>
      <c r="AS354" s="5"/>
      <c r="AT354" s="5"/>
      <c r="BD354" s="5"/>
      <c r="BF354" s="5"/>
      <c r="BH354" s="5"/>
      <c r="BI354" s="5"/>
      <c r="BM354" s="5"/>
      <c r="BN354" s="5"/>
      <c r="BP354" s="5"/>
      <c r="BQ354" s="5"/>
      <c r="BR354" s="5"/>
      <c r="BS354" s="5"/>
      <c r="BU354" s="5"/>
      <c r="BV354" s="5"/>
      <c r="BW354" s="5"/>
      <c r="BX354" s="5"/>
      <c r="BZ354" s="5"/>
      <c r="CA354" s="5"/>
      <c r="CB354" s="5"/>
      <c r="CC354" s="5"/>
      <c r="CE354" s="5"/>
      <c r="CF354" s="5"/>
      <c r="CG354" s="5"/>
      <c r="CH354" s="5"/>
      <c r="CO354" s="13"/>
      <c r="CP354" s="5"/>
      <c r="CQ354" s="5"/>
      <c r="CR354" s="5"/>
      <c r="CT354" s="5"/>
      <c r="CU354" s="5"/>
      <c r="CV354" s="5"/>
      <c r="CW354" s="5"/>
      <c r="CY354" s="5"/>
      <c r="CZ354" s="5"/>
      <c r="DA354" s="5"/>
      <c r="DB354" s="5"/>
      <c r="DD354" s="5"/>
      <c r="DE354" s="5"/>
      <c r="DF354" s="5"/>
      <c r="DG354" s="5"/>
      <c r="DI354" s="5"/>
      <c r="DJ354" s="5"/>
      <c r="DK354" s="5"/>
      <c r="DL354" s="5"/>
      <c r="DN354" s="5"/>
      <c r="DO354" s="5"/>
      <c r="DP354" s="5"/>
      <c r="DQ354" s="5"/>
      <c r="DS354" s="5"/>
      <c r="DT354" s="5"/>
      <c r="DU354" s="5"/>
      <c r="DV354" s="5"/>
      <c r="DX354" s="5"/>
      <c r="DY354" s="5"/>
      <c r="DZ354" s="5"/>
      <c r="EA354" s="5"/>
      <c r="EC354" s="5"/>
      <c r="ED354" s="5"/>
      <c r="EE354" s="5"/>
      <c r="EF354" s="5"/>
      <c r="EH354" s="5"/>
      <c r="EI354" s="5"/>
      <c r="EJ354" s="5"/>
      <c r="EK354" s="5"/>
      <c r="EX354" s="659">
        <f t="shared" si="3"/>
        <v>0</v>
      </c>
    </row>
    <row r="355" spans="1:154" s="6" customFormat="1" ht="15" customHeight="1">
      <c r="A355" s="3">
        <v>163</v>
      </c>
      <c r="B355" s="210" t="s">
        <v>108</v>
      </c>
      <c r="C355" s="473" t="s">
        <v>515</v>
      </c>
      <c r="D355" s="138"/>
      <c r="E355" s="5"/>
      <c r="F355" s="5"/>
      <c r="G355" s="5"/>
      <c r="H355" s="5"/>
      <c r="I355" s="4"/>
      <c r="J355" s="4"/>
      <c r="K355" s="4"/>
      <c r="L355" s="4"/>
      <c r="M355" s="4">
        <v>3</v>
      </c>
      <c r="N355" s="661">
        <f t="shared" ref="N355:N365" si="26">SUM(N16:P16)*M355</f>
        <v>0</v>
      </c>
      <c r="O355" s="4"/>
      <c r="P355" s="4"/>
      <c r="Q355" s="4"/>
      <c r="R355" s="5">
        <v>1</v>
      </c>
      <c r="S355" s="5">
        <f t="shared" ref="S355:S365" si="27">S16+T16+U16</f>
        <v>0</v>
      </c>
      <c r="U355" s="5"/>
      <c r="W355" s="5">
        <v>1</v>
      </c>
      <c r="X355" s="5">
        <f t="shared" ref="X355:X365" si="28">X16+Y16+Z16</f>
        <v>0</v>
      </c>
      <c r="Y355" s="5"/>
      <c r="Z355" s="5"/>
      <c r="AB355" s="5">
        <v>1</v>
      </c>
      <c r="AC355" s="5">
        <f t="shared" ref="AC355:AC365" si="29">AC16+AD16+AE16</f>
        <v>0</v>
      </c>
      <c r="AD355" s="5"/>
      <c r="AE355" s="5"/>
      <c r="AG355" s="5"/>
      <c r="AH355" s="5"/>
      <c r="AI355" s="5"/>
      <c r="AJ355" s="5"/>
      <c r="AL355" s="5">
        <v>1</v>
      </c>
      <c r="AM355" s="5">
        <f t="shared" ref="AM355:AM365" si="30">AM16+AN16+AO16</f>
        <v>0</v>
      </c>
      <c r="AN355" s="5"/>
      <c r="AO355" s="5"/>
      <c r="AQ355" s="5">
        <v>1</v>
      </c>
      <c r="AR355" s="5">
        <f t="shared" ref="AR355:AR365" si="31">AR16+AS16+AT16</f>
        <v>0</v>
      </c>
      <c r="AS355" s="5"/>
      <c r="AT355" s="5"/>
      <c r="AV355" s="6">
        <v>1</v>
      </c>
      <c r="AW355" s="6">
        <f t="shared" ref="AW355:AW365" si="32">SUM(AW16:AY16)</f>
        <v>0</v>
      </c>
      <c r="BA355" s="6">
        <v>1</v>
      </c>
      <c r="BB355" s="6">
        <f t="shared" ref="BB355:BB365" si="33">SUM(BB16:BD16)</f>
        <v>0</v>
      </c>
      <c r="BD355" s="5"/>
      <c r="BF355" s="5">
        <v>1</v>
      </c>
      <c r="BG355" s="6">
        <f t="shared" ref="BG355:BG365" si="34">SUM(BG16:BI16)</f>
        <v>0</v>
      </c>
      <c r="BH355" s="5"/>
      <c r="BI355" s="5"/>
      <c r="BM355" s="5"/>
      <c r="BN355" s="5"/>
      <c r="BP355" s="5"/>
      <c r="BQ355" s="5"/>
      <c r="BR355" s="5"/>
      <c r="BS355" s="5"/>
      <c r="BU355" s="5"/>
      <c r="BV355" s="5">
        <f t="shared" ref="BV355:BV365" si="35">BV16+BW16+BX16</f>
        <v>0</v>
      </c>
      <c r="BW355" s="5"/>
      <c r="BX355" s="5"/>
      <c r="BZ355" s="5">
        <v>1</v>
      </c>
      <c r="CA355" s="5">
        <f t="shared" ref="CA355:CA365" si="36">SUM(CA16:CC16)*BZ355</f>
        <v>0</v>
      </c>
      <c r="CB355" s="5"/>
      <c r="CC355" s="5"/>
      <c r="CE355" s="5">
        <v>1</v>
      </c>
      <c r="CF355" s="5">
        <f t="shared" ref="CF355:CF365" si="37">SUM(CF16:CH16)*CE355</f>
        <v>0</v>
      </c>
      <c r="CG355" s="5"/>
      <c r="CH355" s="5"/>
      <c r="CO355" s="13">
        <v>1</v>
      </c>
      <c r="CP355" s="5">
        <f t="shared" ref="CP355:CP365" si="38">CP16+CQ16+CR16</f>
        <v>0</v>
      </c>
      <c r="CQ355" s="5"/>
      <c r="CR355" s="5"/>
      <c r="CT355" s="5">
        <v>1</v>
      </c>
      <c r="CU355" s="5">
        <f t="shared" ref="CU355:CU365" si="39">CU16+CV16+CW16</f>
        <v>0</v>
      </c>
      <c r="CV355" s="5"/>
      <c r="CW355" s="5"/>
      <c r="CY355" s="5">
        <v>1</v>
      </c>
      <c r="CZ355" s="5">
        <f t="shared" ref="CZ355:CZ365" si="40">CZ16+DA16+DB16</f>
        <v>0</v>
      </c>
      <c r="DA355" s="5"/>
      <c r="DB355" s="5"/>
      <c r="DD355" s="5">
        <v>1</v>
      </c>
      <c r="DE355" s="5">
        <f t="shared" ref="DE355:DE365" si="41">DE16+DF16+DG16</f>
        <v>0</v>
      </c>
      <c r="DF355" s="5"/>
      <c r="DG355" s="5"/>
      <c r="DI355" s="5">
        <v>1</v>
      </c>
      <c r="DJ355" s="5">
        <f t="shared" ref="DJ355:DJ365" si="42">DJ16+DK16+DL16</f>
        <v>0</v>
      </c>
      <c r="DK355" s="5"/>
      <c r="DL355" s="5"/>
      <c r="DN355" s="5">
        <v>1</v>
      </c>
      <c r="DO355" s="5">
        <f t="shared" ref="DO355:DO365" si="43">DO16+DP16+DQ16</f>
        <v>0</v>
      </c>
      <c r="DP355" s="5"/>
      <c r="DQ355" s="5"/>
      <c r="DS355" s="5">
        <v>1</v>
      </c>
      <c r="DT355" s="5">
        <f t="shared" ref="DT355:DT365" si="44">DT16+DU16+DV16</f>
        <v>0</v>
      </c>
      <c r="DU355" s="5"/>
      <c r="DV355" s="5"/>
      <c r="DX355" s="5">
        <v>1</v>
      </c>
      <c r="DY355" s="5">
        <f t="shared" ref="DY355:DY365" si="45">DY16+DZ16+EA16</f>
        <v>0</v>
      </c>
      <c r="DZ355" s="5"/>
      <c r="EA355" s="5"/>
      <c r="EC355" s="5">
        <v>1</v>
      </c>
      <c r="ED355" s="5">
        <f t="shared" ref="ED355:ED365" si="46">ED16+EE16+EF16</f>
        <v>0</v>
      </c>
      <c r="EE355" s="5"/>
      <c r="EF355" s="5"/>
      <c r="EH355" s="5">
        <v>1</v>
      </c>
      <c r="EI355" s="5">
        <f t="shared" ref="EI355:EI365" si="47">EI16+EJ16+EK16</f>
        <v>0</v>
      </c>
      <c r="EJ355" s="5"/>
      <c r="EK355" s="5"/>
      <c r="EX355" s="659">
        <f t="shared" si="3"/>
        <v>0</v>
      </c>
    </row>
    <row r="356" spans="1:154" s="6" customFormat="1" ht="15" customHeight="1">
      <c r="A356" s="3">
        <v>164</v>
      </c>
      <c r="B356" s="210" t="s">
        <v>109</v>
      </c>
      <c r="C356" s="473" t="s">
        <v>515</v>
      </c>
      <c r="D356" s="138"/>
      <c r="E356" s="5"/>
      <c r="F356" s="5"/>
      <c r="G356" s="5"/>
      <c r="H356" s="5"/>
      <c r="I356" s="4"/>
      <c r="J356" s="4"/>
      <c r="K356" s="4"/>
      <c r="L356" s="4"/>
      <c r="M356" s="4">
        <v>3</v>
      </c>
      <c r="N356" s="661">
        <f t="shared" si="26"/>
        <v>0</v>
      </c>
      <c r="O356" s="4"/>
      <c r="P356" s="4"/>
      <c r="Q356" s="4"/>
      <c r="R356" s="5">
        <v>1</v>
      </c>
      <c r="S356" s="5">
        <f t="shared" si="27"/>
        <v>0</v>
      </c>
      <c r="U356" s="5"/>
      <c r="W356" s="5">
        <v>1</v>
      </c>
      <c r="X356" s="5">
        <f t="shared" si="28"/>
        <v>0</v>
      </c>
      <c r="Y356" s="5"/>
      <c r="Z356" s="5"/>
      <c r="AB356" s="5">
        <v>1</v>
      </c>
      <c r="AC356" s="5">
        <f t="shared" si="29"/>
        <v>0</v>
      </c>
      <c r="AD356" s="5"/>
      <c r="AE356" s="5"/>
      <c r="AG356" s="5"/>
      <c r="AH356" s="5"/>
      <c r="AI356" s="5"/>
      <c r="AJ356" s="5"/>
      <c r="AL356" s="5">
        <v>1</v>
      </c>
      <c r="AM356" s="5">
        <f t="shared" si="30"/>
        <v>0</v>
      </c>
      <c r="AN356" s="5"/>
      <c r="AO356" s="5"/>
      <c r="AQ356" s="5">
        <v>1</v>
      </c>
      <c r="AR356" s="5">
        <f t="shared" si="31"/>
        <v>0</v>
      </c>
      <c r="AS356" s="5"/>
      <c r="AT356" s="5"/>
      <c r="AV356" s="6">
        <v>1</v>
      </c>
      <c r="AW356" s="6">
        <f t="shared" si="32"/>
        <v>0</v>
      </c>
      <c r="BA356" s="6">
        <v>1</v>
      </c>
      <c r="BB356" s="6">
        <f t="shared" si="33"/>
        <v>0</v>
      </c>
      <c r="BD356" s="5"/>
      <c r="BF356" s="5">
        <v>1</v>
      </c>
      <c r="BG356" s="6">
        <f t="shared" si="34"/>
        <v>0</v>
      </c>
      <c r="BH356" s="5"/>
      <c r="BI356" s="5"/>
      <c r="BM356" s="5"/>
      <c r="BN356" s="5"/>
      <c r="BP356" s="5"/>
      <c r="BQ356" s="5"/>
      <c r="BR356" s="5"/>
      <c r="BS356" s="5"/>
      <c r="BU356" s="5"/>
      <c r="BV356" s="5">
        <f t="shared" si="35"/>
        <v>0</v>
      </c>
      <c r="BW356" s="5"/>
      <c r="BX356" s="5"/>
      <c r="BZ356" s="5">
        <v>1</v>
      </c>
      <c r="CA356" s="5">
        <f t="shared" si="36"/>
        <v>0</v>
      </c>
      <c r="CB356" s="5"/>
      <c r="CC356" s="5"/>
      <c r="CE356" s="5">
        <v>1</v>
      </c>
      <c r="CF356" s="5">
        <f t="shared" si="37"/>
        <v>0</v>
      </c>
      <c r="CG356" s="5"/>
      <c r="CH356" s="5"/>
      <c r="CO356" s="13">
        <v>1</v>
      </c>
      <c r="CP356" s="5">
        <f t="shared" si="38"/>
        <v>0</v>
      </c>
      <c r="CQ356" s="5"/>
      <c r="CR356" s="5"/>
      <c r="CT356" s="5">
        <v>1</v>
      </c>
      <c r="CU356" s="5">
        <f t="shared" si="39"/>
        <v>0</v>
      </c>
      <c r="CV356" s="5"/>
      <c r="CW356" s="5"/>
      <c r="CY356" s="5">
        <v>1</v>
      </c>
      <c r="CZ356" s="5">
        <f t="shared" si="40"/>
        <v>0</v>
      </c>
      <c r="DA356" s="5"/>
      <c r="DB356" s="5"/>
      <c r="DD356" s="5">
        <v>1</v>
      </c>
      <c r="DE356" s="5">
        <f t="shared" si="41"/>
        <v>0</v>
      </c>
      <c r="DF356" s="5"/>
      <c r="DG356" s="5"/>
      <c r="DI356" s="5">
        <v>1</v>
      </c>
      <c r="DJ356" s="5">
        <f t="shared" si="42"/>
        <v>0</v>
      </c>
      <c r="DK356" s="5"/>
      <c r="DL356" s="5"/>
      <c r="DN356" s="5">
        <v>1</v>
      </c>
      <c r="DO356" s="5">
        <f t="shared" si="43"/>
        <v>0</v>
      </c>
      <c r="DP356" s="5"/>
      <c r="DQ356" s="5"/>
      <c r="DS356" s="5">
        <v>1</v>
      </c>
      <c r="DT356" s="5">
        <f t="shared" si="44"/>
        <v>0</v>
      </c>
      <c r="DU356" s="5"/>
      <c r="DV356" s="5"/>
      <c r="DX356" s="5">
        <v>1</v>
      </c>
      <c r="DY356" s="5">
        <f t="shared" si="45"/>
        <v>0</v>
      </c>
      <c r="DZ356" s="5"/>
      <c r="EA356" s="5"/>
      <c r="EC356" s="5">
        <v>1</v>
      </c>
      <c r="ED356" s="5">
        <f t="shared" si="46"/>
        <v>0</v>
      </c>
      <c r="EE356" s="5"/>
      <c r="EF356" s="5"/>
      <c r="EH356" s="5">
        <v>1</v>
      </c>
      <c r="EI356" s="5">
        <f t="shared" si="47"/>
        <v>0</v>
      </c>
      <c r="EJ356" s="5"/>
      <c r="EK356" s="5"/>
      <c r="EX356" s="659">
        <f t="shared" si="3"/>
        <v>0</v>
      </c>
    </row>
    <row r="357" spans="1:154" s="6" customFormat="1" ht="15" customHeight="1">
      <c r="A357" s="3">
        <v>165</v>
      </c>
      <c r="B357" s="210" t="s">
        <v>32</v>
      </c>
      <c r="C357" s="473" t="s">
        <v>515</v>
      </c>
      <c r="D357" s="138"/>
      <c r="E357" s="5"/>
      <c r="F357" s="5"/>
      <c r="G357" s="5"/>
      <c r="H357" s="5"/>
      <c r="I357" s="4"/>
      <c r="J357" s="4"/>
      <c r="K357" s="4"/>
      <c r="L357" s="4"/>
      <c r="M357" s="4">
        <v>3</v>
      </c>
      <c r="N357" s="661">
        <f t="shared" si="26"/>
        <v>0</v>
      </c>
      <c r="O357" s="4"/>
      <c r="P357" s="4"/>
      <c r="Q357" s="4"/>
      <c r="R357" s="5">
        <v>1</v>
      </c>
      <c r="S357" s="5">
        <f t="shared" si="27"/>
        <v>0</v>
      </c>
      <c r="U357" s="5"/>
      <c r="W357" s="5">
        <v>1</v>
      </c>
      <c r="X357" s="5">
        <f t="shared" si="28"/>
        <v>0</v>
      </c>
      <c r="Y357" s="5"/>
      <c r="Z357" s="5"/>
      <c r="AB357" s="5">
        <v>1</v>
      </c>
      <c r="AC357" s="5">
        <f t="shared" si="29"/>
        <v>0</v>
      </c>
      <c r="AD357" s="5"/>
      <c r="AE357" s="5"/>
      <c r="AG357" s="5"/>
      <c r="AH357" s="5"/>
      <c r="AI357" s="5"/>
      <c r="AJ357" s="5"/>
      <c r="AL357" s="5">
        <v>1</v>
      </c>
      <c r="AM357" s="5">
        <f t="shared" si="30"/>
        <v>0</v>
      </c>
      <c r="AN357" s="5"/>
      <c r="AO357" s="5"/>
      <c r="AQ357" s="5">
        <v>1</v>
      </c>
      <c r="AR357" s="5">
        <f t="shared" si="31"/>
        <v>0</v>
      </c>
      <c r="AS357" s="5"/>
      <c r="AT357" s="5"/>
      <c r="AV357" s="6">
        <v>1</v>
      </c>
      <c r="AW357" s="6">
        <f t="shared" si="32"/>
        <v>0</v>
      </c>
      <c r="BA357" s="6">
        <v>1</v>
      </c>
      <c r="BB357" s="6">
        <f t="shared" si="33"/>
        <v>0</v>
      </c>
      <c r="BD357" s="5"/>
      <c r="BF357" s="5">
        <v>1</v>
      </c>
      <c r="BG357" s="6">
        <f t="shared" si="34"/>
        <v>0</v>
      </c>
      <c r="BH357" s="5"/>
      <c r="BI357" s="5"/>
      <c r="BM357" s="5"/>
      <c r="BN357" s="5"/>
      <c r="BP357" s="5"/>
      <c r="BQ357" s="5"/>
      <c r="BR357" s="5"/>
      <c r="BS357" s="5"/>
      <c r="BU357" s="5"/>
      <c r="BV357" s="5">
        <f t="shared" si="35"/>
        <v>0</v>
      </c>
      <c r="BW357" s="5"/>
      <c r="BX357" s="5"/>
      <c r="BZ357" s="5">
        <v>1</v>
      </c>
      <c r="CA357" s="5">
        <f t="shared" si="36"/>
        <v>0</v>
      </c>
      <c r="CB357" s="5"/>
      <c r="CC357" s="5"/>
      <c r="CE357" s="5">
        <v>1</v>
      </c>
      <c r="CF357" s="5">
        <f t="shared" si="37"/>
        <v>0</v>
      </c>
      <c r="CG357" s="5"/>
      <c r="CH357" s="5"/>
      <c r="CO357" s="13">
        <v>1</v>
      </c>
      <c r="CP357" s="5">
        <f t="shared" si="38"/>
        <v>0</v>
      </c>
      <c r="CQ357" s="5"/>
      <c r="CR357" s="5"/>
      <c r="CT357" s="5">
        <v>1</v>
      </c>
      <c r="CU357" s="5">
        <f t="shared" si="39"/>
        <v>0</v>
      </c>
      <c r="CV357" s="5"/>
      <c r="CW357" s="5"/>
      <c r="CY357" s="5">
        <v>1</v>
      </c>
      <c r="CZ357" s="5">
        <f t="shared" si="40"/>
        <v>0</v>
      </c>
      <c r="DA357" s="5"/>
      <c r="DB357" s="5"/>
      <c r="DD357" s="5">
        <v>1</v>
      </c>
      <c r="DE357" s="5">
        <f t="shared" si="41"/>
        <v>0</v>
      </c>
      <c r="DF357" s="5"/>
      <c r="DG357" s="5"/>
      <c r="DI357" s="5">
        <v>1</v>
      </c>
      <c r="DJ357" s="5">
        <f t="shared" si="42"/>
        <v>0</v>
      </c>
      <c r="DK357" s="5"/>
      <c r="DL357" s="5"/>
      <c r="DN357" s="5">
        <v>1</v>
      </c>
      <c r="DO357" s="5">
        <f t="shared" si="43"/>
        <v>0</v>
      </c>
      <c r="DP357" s="5"/>
      <c r="DQ357" s="5"/>
      <c r="DS357" s="5">
        <v>1</v>
      </c>
      <c r="DT357" s="5">
        <f t="shared" si="44"/>
        <v>0</v>
      </c>
      <c r="DU357" s="5"/>
      <c r="DV357" s="5"/>
      <c r="DX357" s="5">
        <v>1</v>
      </c>
      <c r="DY357" s="5">
        <f t="shared" si="45"/>
        <v>0</v>
      </c>
      <c r="DZ357" s="5"/>
      <c r="EA357" s="5"/>
      <c r="EC357" s="5">
        <v>1</v>
      </c>
      <c r="ED357" s="5">
        <f t="shared" si="46"/>
        <v>0</v>
      </c>
      <c r="EE357" s="5"/>
      <c r="EF357" s="5"/>
      <c r="EH357" s="5">
        <v>1</v>
      </c>
      <c r="EI357" s="5">
        <f t="shared" si="47"/>
        <v>0</v>
      </c>
      <c r="EJ357" s="5"/>
      <c r="EK357" s="5"/>
      <c r="EX357" s="659">
        <f t="shared" si="3"/>
        <v>0</v>
      </c>
    </row>
    <row r="358" spans="1:154" s="6" customFormat="1" ht="15" customHeight="1">
      <c r="A358" s="3">
        <v>166</v>
      </c>
      <c r="B358" s="210" t="s">
        <v>110</v>
      </c>
      <c r="C358" s="473" t="s">
        <v>515</v>
      </c>
      <c r="D358" s="138"/>
      <c r="E358" s="5"/>
      <c r="F358" s="5"/>
      <c r="G358" s="5"/>
      <c r="H358" s="5"/>
      <c r="I358" s="4"/>
      <c r="J358" s="4"/>
      <c r="K358" s="4"/>
      <c r="L358" s="4"/>
      <c r="M358" s="4">
        <v>3</v>
      </c>
      <c r="N358" s="661">
        <f t="shared" si="26"/>
        <v>0</v>
      </c>
      <c r="O358" s="4"/>
      <c r="P358" s="4"/>
      <c r="Q358" s="4"/>
      <c r="R358" s="5">
        <v>1</v>
      </c>
      <c r="S358" s="5">
        <f t="shared" si="27"/>
        <v>0</v>
      </c>
      <c r="U358" s="5"/>
      <c r="W358" s="5">
        <v>1</v>
      </c>
      <c r="X358" s="5">
        <f t="shared" si="28"/>
        <v>0</v>
      </c>
      <c r="Y358" s="5"/>
      <c r="Z358" s="5"/>
      <c r="AB358" s="5">
        <v>1</v>
      </c>
      <c r="AC358" s="5">
        <f t="shared" si="29"/>
        <v>0</v>
      </c>
      <c r="AD358" s="5"/>
      <c r="AE358" s="5"/>
      <c r="AG358" s="5"/>
      <c r="AH358" s="5"/>
      <c r="AI358" s="5"/>
      <c r="AJ358" s="5"/>
      <c r="AL358" s="5">
        <v>1</v>
      </c>
      <c r="AM358" s="5">
        <f t="shared" si="30"/>
        <v>0</v>
      </c>
      <c r="AN358" s="5"/>
      <c r="AO358" s="5"/>
      <c r="AQ358" s="5">
        <v>1</v>
      </c>
      <c r="AR358" s="5">
        <f t="shared" si="31"/>
        <v>0</v>
      </c>
      <c r="AS358" s="5"/>
      <c r="AT358" s="5"/>
      <c r="AV358" s="6">
        <v>1</v>
      </c>
      <c r="AW358" s="6">
        <f t="shared" si="32"/>
        <v>0</v>
      </c>
      <c r="BA358" s="6">
        <v>1</v>
      </c>
      <c r="BB358" s="6">
        <f t="shared" si="33"/>
        <v>0</v>
      </c>
      <c r="BD358" s="5"/>
      <c r="BF358" s="5">
        <v>1</v>
      </c>
      <c r="BG358" s="6">
        <f t="shared" si="34"/>
        <v>0</v>
      </c>
      <c r="BH358" s="5"/>
      <c r="BI358" s="5"/>
      <c r="BM358" s="5"/>
      <c r="BN358" s="5"/>
      <c r="BP358" s="5"/>
      <c r="BQ358" s="5"/>
      <c r="BR358" s="5"/>
      <c r="BS358" s="5"/>
      <c r="BU358" s="5"/>
      <c r="BV358" s="5">
        <f t="shared" si="35"/>
        <v>0</v>
      </c>
      <c r="BW358" s="5"/>
      <c r="BX358" s="5"/>
      <c r="BZ358" s="5">
        <v>1</v>
      </c>
      <c r="CA358" s="5">
        <f t="shared" si="36"/>
        <v>0</v>
      </c>
      <c r="CB358" s="5"/>
      <c r="CC358" s="5"/>
      <c r="CE358" s="5">
        <v>1</v>
      </c>
      <c r="CF358" s="5">
        <f t="shared" si="37"/>
        <v>0</v>
      </c>
      <c r="CG358" s="5"/>
      <c r="CH358" s="5"/>
      <c r="CO358" s="13">
        <v>1</v>
      </c>
      <c r="CP358" s="5">
        <f t="shared" si="38"/>
        <v>0</v>
      </c>
      <c r="CQ358" s="5"/>
      <c r="CR358" s="5"/>
      <c r="CT358" s="5">
        <v>1</v>
      </c>
      <c r="CU358" s="5">
        <f t="shared" si="39"/>
        <v>0</v>
      </c>
      <c r="CV358" s="5"/>
      <c r="CW358" s="5"/>
      <c r="CY358" s="5">
        <v>1</v>
      </c>
      <c r="CZ358" s="5">
        <f t="shared" si="40"/>
        <v>0</v>
      </c>
      <c r="DA358" s="5"/>
      <c r="DB358" s="5"/>
      <c r="DD358" s="5">
        <v>1</v>
      </c>
      <c r="DE358" s="5">
        <f t="shared" si="41"/>
        <v>0</v>
      </c>
      <c r="DF358" s="5"/>
      <c r="DG358" s="5"/>
      <c r="DI358" s="5">
        <v>1</v>
      </c>
      <c r="DJ358" s="5">
        <f t="shared" si="42"/>
        <v>0</v>
      </c>
      <c r="DK358" s="5"/>
      <c r="DL358" s="5"/>
      <c r="DN358" s="5">
        <v>1</v>
      </c>
      <c r="DO358" s="5">
        <f t="shared" si="43"/>
        <v>0</v>
      </c>
      <c r="DP358" s="5"/>
      <c r="DQ358" s="5"/>
      <c r="DS358" s="5">
        <v>1</v>
      </c>
      <c r="DT358" s="5">
        <f t="shared" si="44"/>
        <v>0</v>
      </c>
      <c r="DU358" s="5"/>
      <c r="DV358" s="5"/>
      <c r="DX358" s="5">
        <v>1</v>
      </c>
      <c r="DY358" s="5">
        <f t="shared" si="45"/>
        <v>0</v>
      </c>
      <c r="DZ358" s="5"/>
      <c r="EA358" s="5"/>
      <c r="EC358" s="5">
        <v>1</v>
      </c>
      <c r="ED358" s="5">
        <f t="shared" si="46"/>
        <v>0</v>
      </c>
      <c r="EE358" s="5"/>
      <c r="EF358" s="5"/>
      <c r="EH358" s="5">
        <v>1</v>
      </c>
      <c r="EI358" s="5">
        <f t="shared" si="47"/>
        <v>0</v>
      </c>
      <c r="EJ358" s="5"/>
      <c r="EK358" s="5"/>
      <c r="EX358" s="659">
        <f t="shared" si="3"/>
        <v>0</v>
      </c>
    </row>
    <row r="359" spans="1:154" s="6" customFormat="1" ht="15" customHeight="1">
      <c r="A359" s="3">
        <v>167</v>
      </c>
      <c r="B359" s="210" t="s">
        <v>111</v>
      </c>
      <c r="C359" s="473" t="s">
        <v>515</v>
      </c>
      <c r="D359" s="138"/>
      <c r="E359" s="5"/>
      <c r="F359" s="5"/>
      <c r="G359" s="5"/>
      <c r="H359" s="5"/>
      <c r="I359" s="4"/>
      <c r="J359" s="4"/>
      <c r="K359" s="4"/>
      <c r="L359" s="4"/>
      <c r="M359" s="4">
        <v>3</v>
      </c>
      <c r="N359" s="661">
        <f t="shared" si="26"/>
        <v>0</v>
      </c>
      <c r="O359" s="4"/>
      <c r="P359" s="4"/>
      <c r="Q359" s="4"/>
      <c r="R359" s="5">
        <v>1</v>
      </c>
      <c r="S359" s="5">
        <f t="shared" si="27"/>
        <v>0</v>
      </c>
      <c r="U359" s="5"/>
      <c r="W359" s="5">
        <v>1</v>
      </c>
      <c r="X359" s="5">
        <f t="shared" si="28"/>
        <v>0</v>
      </c>
      <c r="Y359" s="5"/>
      <c r="Z359" s="5"/>
      <c r="AB359" s="5">
        <v>1</v>
      </c>
      <c r="AC359" s="5">
        <f t="shared" si="29"/>
        <v>0</v>
      </c>
      <c r="AD359" s="5"/>
      <c r="AE359" s="5"/>
      <c r="AG359" s="5"/>
      <c r="AH359" s="5"/>
      <c r="AI359" s="5"/>
      <c r="AJ359" s="5"/>
      <c r="AL359" s="5">
        <v>1</v>
      </c>
      <c r="AM359" s="5">
        <f t="shared" si="30"/>
        <v>0</v>
      </c>
      <c r="AN359" s="5"/>
      <c r="AO359" s="5"/>
      <c r="AQ359" s="5">
        <v>1</v>
      </c>
      <c r="AR359" s="5">
        <f t="shared" si="31"/>
        <v>0</v>
      </c>
      <c r="AS359" s="5"/>
      <c r="AT359" s="5"/>
      <c r="AV359" s="6">
        <v>1</v>
      </c>
      <c r="AW359" s="6">
        <f t="shared" si="32"/>
        <v>0</v>
      </c>
      <c r="BA359" s="6">
        <v>1</v>
      </c>
      <c r="BB359" s="6">
        <f t="shared" si="33"/>
        <v>0</v>
      </c>
      <c r="BD359" s="5"/>
      <c r="BF359" s="5">
        <v>1</v>
      </c>
      <c r="BG359" s="6">
        <f t="shared" si="34"/>
        <v>0</v>
      </c>
      <c r="BH359" s="5"/>
      <c r="BI359" s="5"/>
      <c r="BM359" s="5"/>
      <c r="BN359" s="5"/>
      <c r="BP359" s="5"/>
      <c r="BQ359" s="5"/>
      <c r="BR359" s="5"/>
      <c r="BS359" s="5"/>
      <c r="BU359" s="5"/>
      <c r="BV359" s="5">
        <f t="shared" si="35"/>
        <v>0</v>
      </c>
      <c r="BW359" s="5"/>
      <c r="BX359" s="5"/>
      <c r="BZ359" s="5">
        <v>1</v>
      </c>
      <c r="CA359" s="5">
        <f t="shared" si="36"/>
        <v>0</v>
      </c>
      <c r="CB359" s="5"/>
      <c r="CC359" s="5"/>
      <c r="CE359" s="5">
        <v>1</v>
      </c>
      <c r="CF359" s="5">
        <f t="shared" si="37"/>
        <v>0</v>
      </c>
      <c r="CG359" s="5"/>
      <c r="CH359" s="5"/>
      <c r="CO359" s="13">
        <v>1</v>
      </c>
      <c r="CP359" s="5">
        <f t="shared" si="38"/>
        <v>0</v>
      </c>
      <c r="CQ359" s="5"/>
      <c r="CR359" s="5"/>
      <c r="CT359" s="5">
        <v>1</v>
      </c>
      <c r="CU359" s="5">
        <f t="shared" si="39"/>
        <v>0</v>
      </c>
      <c r="CV359" s="5"/>
      <c r="CW359" s="5"/>
      <c r="CY359" s="5">
        <v>1</v>
      </c>
      <c r="CZ359" s="5">
        <f t="shared" si="40"/>
        <v>0</v>
      </c>
      <c r="DA359" s="5"/>
      <c r="DB359" s="5"/>
      <c r="DD359" s="5">
        <v>1</v>
      </c>
      <c r="DE359" s="5">
        <f t="shared" si="41"/>
        <v>0</v>
      </c>
      <c r="DF359" s="5"/>
      <c r="DG359" s="5"/>
      <c r="DI359" s="5">
        <v>1</v>
      </c>
      <c r="DJ359" s="5">
        <f t="shared" si="42"/>
        <v>0</v>
      </c>
      <c r="DK359" s="5"/>
      <c r="DL359" s="5"/>
      <c r="DN359" s="5">
        <v>1</v>
      </c>
      <c r="DO359" s="5">
        <f t="shared" si="43"/>
        <v>0</v>
      </c>
      <c r="DP359" s="5"/>
      <c r="DQ359" s="5"/>
      <c r="DS359" s="5">
        <v>1</v>
      </c>
      <c r="DT359" s="5">
        <f t="shared" si="44"/>
        <v>0</v>
      </c>
      <c r="DU359" s="5"/>
      <c r="DV359" s="5"/>
      <c r="DX359" s="5">
        <v>1</v>
      </c>
      <c r="DY359" s="5">
        <f t="shared" si="45"/>
        <v>0</v>
      </c>
      <c r="DZ359" s="5"/>
      <c r="EA359" s="5"/>
      <c r="EC359" s="5">
        <v>1</v>
      </c>
      <c r="ED359" s="5">
        <f t="shared" si="46"/>
        <v>0</v>
      </c>
      <c r="EE359" s="5"/>
      <c r="EF359" s="5"/>
      <c r="EH359" s="5">
        <v>1</v>
      </c>
      <c r="EI359" s="5">
        <f t="shared" si="47"/>
        <v>0</v>
      </c>
      <c r="EJ359" s="5"/>
      <c r="EK359" s="5"/>
      <c r="EX359" s="659">
        <f t="shared" si="3"/>
        <v>0</v>
      </c>
    </row>
    <row r="360" spans="1:154" s="6" customFormat="1" ht="15" customHeight="1">
      <c r="A360" s="3">
        <v>168</v>
      </c>
      <c r="B360" s="210" t="s">
        <v>112</v>
      </c>
      <c r="C360" s="473" t="s">
        <v>515</v>
      </c>
      <c r="D360" s="138"/>
      <c r="E360" s="5"/>
      <c r="F360" s="5"/>
      <c r="G360" s="5"/>
      <c r="H360" s="5"/>
      <c r="I360" s="4"/>
      <c r="J360" s="4"/>
      <c r="K360" s="4"/>
      <c r="L360" s="4"/>
      <c r="M360" s="4">
        <v>3</v>
      </c>
      <c r="N360" s="661">
        <f t="shared" si="26"/>
        <v>0</v>
      </c>
      <c r="O360" s="4"/>
      <c r="P360" s="4"/>
      <c r="Q360" s="4"/>
      <c r="R360" s="5">
        <v>1</v>
      </c>
      <c r="S360" s="5">
        <f t="shared" si="27"/>
        <v>0</v>
      </c>
      <c r="U360" s="5"/>
      <c r="W360" s="5">
        <v>1</v>
      </c>
      <c r="X360" s="5">
        <f t="shared" si="28"/>
        <v>0</v>
      </c>
      <c r="Y360" s="5"/>
      <c r="Z360" s="5"/>
      <c r="AB360" s="5">
        <v>1</v>
      </c>
      <c r="AC360" s="5">
        <f t="shared" si="29"/>
        <v>0</v>
      </c>
      <c r="AD360" s="5"/>
      <c r="AE360" s="5"/>
      <c r="AG360" s="5"/>
      <c r="AH360" s="5"/>
      <c r="AI360" s="5"/>
      <c r="AJ360" s="5"/>
      <c r="AL360" s="5">
        <v>1</v>
      </c>
      <c r="AM360" s="5">
        <f t="shared" si="30"/>
        <v>0</v>
      </c>
      <c r="AN360" s="5"/>
      <c r="AO360" s="5"/>
      <c r="AQ360" s="5">
        <v>1</v>
      </c>
      <c r="AR360" s="5">
        <f t="shared" si="31"/>
        <v>0</v>
      </c>
      <c r="AS360" s="5"/>
      <c r="AT360" s="5"/>
      <c r="AV360" s="6">
        <v>1</v>
      </c>
      <c r="AW360" s="6">
        <f t="shared" si="32"/>
        <v>0</v>
      </c>
      <c r="BA360" s="6">
        <v>1</v>
      </c>
      <c r="BB360" s="6">
        <f t="shared" si="33"/>
        <v>0</v>
      </c>
      <c r="BD360" s="5"/>
      <c r="BF360" s="5">
        <v>1</v>
      </c>
      <c r="BG360" s="6">
        <f t="shared" si="34"/>
        <v>0</v>
      </c>
      <c r="BH360" s="5"/>
      <c r="BI360" s="5"/>
      <c r="BM360" s="5"/>
      <c r="BN360" s="5"/>
      <c r="BP360" s="5"/>
      <c r="BQ360" s="5"/>
      <c r="BR360" s="5"/>
      <c r="BS360" s="5"/>
      <c r="BU360" s="5"/>
      <c r="BV360" s="5">
        <f t="shared" si="35"/>
        <v>0</v>
      </c>
      <c r="BW360" s="5"/>
      <c r="BX360" s="5"/>
      <c r="BZ360" s="5">
        <v>1</v>
      </c>
      <c r="CA360" s="5">
        <f t="shared" si="36"/>
        <v>0</v>
      </c>
      <c r="CB360" s="5"/>
      <c r="CC360" s="5"/>
      <c r="CE360" s="5">
        <v>1</v>
      </c>
      <c r="CF360" s="5">
        <f t="shared" si="37"/>
        <v>0</v>
      </c>
      <c r="CG360" s="5"/>
      <c r="CH360" s="5"/>
      <c r="CO360" s="13">
        <v>1</v>
      </c>
      <c r="CP360" s="5">
        <f t="shared" si="38"/>
        <v>0</v>
      </c>
      <c r="CQ360" s="5"/>
      <c r="CR360" s="5"/>
      <c r="CT360" s="5">
        <v>1</v>
      </c>
      <c r="CU360" s="5">
        <f t="shared" si="39"/>
        <v>0</v>
      </c>
      <c r="CV360" s="5"/>
      <c r="CW360" s="5"/>
      <c r="CY360" s="5">
        <v>1</v>
      </c>
      <c r="CZ360" s="5">
        <f t="shared" si="40"/>
        <v>0</v>
      </c>
      <c r="DA360" s="5"/>
      <c r="DB360" s="5"/>
      <c r="DD360" s="5">
        <v>1</v>
      </c>
      <c r="DE360" s="5">
        <f t="shared" si="41"/>
        <v>0</v>
      </c>
      <c r="DF360" s="5"/>
      <c r="DG360" s="5"/>
      <c r="DI360" s="5">
        <v>1</v>
      </c>
      <c r="DJ360" s="5">
        <f t="shared" si="42"/>
        <v>0</v>
      </c>
      <c r="DK360" s="5"/>
      <c r="DL360" s="5"/>
      <c r="DN360" s="5">
        <v>1</v>
      </c>
      <c r="DO360" s="5">
        <f t="shared" si="43"/>
        <v>0</v>
      </c>
      <c r="DP360" s="5"/>
      <c r="DQ360" s="5"/>
      <c r="DS360" s="5">
        <v>1</v>
      </c>
      <c r="DT360" s="5">
        <f t="shared" si="44"/>
        <v>0</v>
      </c>
      <c r="DU360" s="5"/>
      <c r="DV360" s="5"/>
      <c r="DX360" s="5">
        <v>1</v>
      </c>
      <c r="DY360" s="5">
        <f t="shared" si="45"/>
        <v>0</v>
      </c>
      <c r="DZ360" s="5"/>
      <c r="EA360" s="5"/>
      <c r="EC360" s="5">
        <v>1</v>
      </c>
      <c r="ED360" s="5">
        <f t="shared" si="46"/>
        <v>0</v>
      </c>
      <c r="EE360" s="5"/>
      <c r="EF360" s="5"/>
      <c r="EH360" s="5">
        <v>1</v>
      </c>
      <c r="EI360" s="5">
        <f t="shared" si="47"/>
        <v>0</v>
      </c>
      <c r="EJ360" s="5"/>
      <c r="EK360" s="5"/>
      <c r="EX360" s="659">
        <f t="shared" si="3"/>
        <v>0</v>
      </c>
    </row>
    <row r="361" spans="1:154" s="6" customFormat="1" ht="15" customHeight="1">
      <c r="A361" s="3">
        <v>169</v>
      </c>
      <c r="B361" s="210" t="s">
        <v>38</v>
      </c>
      <c r="C361" s="473" t="s">
        <v>515</v>
      </c>
      <c r="D361" s="138"/>
      <c r="E361" s="5"/>
      <c r="F361" s="5"/>
      <c r="G361" s="5"/>
      <c r="H361" s="5"/>
      <c r="I361" s="4"/>
      <c r="J361" s="4"/>
      <c r="K361" s="4"/>
      <c r="L361" s="4"/>
      <c r="M361" s="4">
        <v>3</v>
      </c>
      <c r="N361" s="661">
        <f t="shared" si="26"/>
        <v>0</v>
      </c>
      <c r="O361" s="4"/>
      <c r="P361" s="4"/>
      <c r="Q361" s="4"/>
      <c r="R361" s="5">
        <v>1</v>
      </c>
      <c r="S361" s="5">
        <f t="shared" si="27"/>
        <v>0</v>
      </c>
      <c r="U361" s="5"/>
      <c r="W361" s="5">
        <v>1</v>
      </c>
      <c r="X361" s="5">
        <f t="shared" si="28"/>
        <v>0</v>
      </c>
      <c r="Y361" s="5"/>
      <c r="Z361" s="5"/>
      <c r="AB361" s="5">
        <v>1</v>
      </c>
      <c r="AC361" s="5">
        <f t="shared" si="29"/>
        <v>0</v>
      </c>
      <c r="AD361" s="5"/>
      <c r="AE361" s="5"/>
      <c r="AG361" s="5"/>
      <c r="AH361" s="5"/>
      <c r="AI361" s="5"/>
      <c r="AJ361" s="5"/>
      <c r="AL361" s="5">
        <v>1</v>
      </c>
      <c r="AM361" s="5">
        <f t="shared" si="30"/>
        <v>0</v>
      </c>
      <c r="AN361" s="5"/>
      <c r="AO361" s="5"/>
      <c r="AQ361" s="5">
        <v>1</v>
      </c>
      <c r="AR361" s="5">
        <f t="shared" si="31"/>
        <v>0</v>
      </c>
      <c r="AS361" s="5"/>
      <c r="AT361" s="5"/>
      <c r="AV361" s="6">
        <v>1</v>
      </c>
      <c r="AW361" s="6">
        <f t="shared" si="32"/>
        <v>0</v>
      </c>
      <c r="BA361" s="6">
        <v>1</v>
      </c>
      <c r="BB361" s="6">
        <f t="shared" si="33"/>
        <v>0</v>
      </c>
      <c r="BD361" s="5"/>
      <c r="BF361" s="5">
        <v>1</v>
      </c>
      <c r="BG361" s="6">
        <f t="shared" si="34"/>
        <v>0</v>
      </c>
      <c r="BH361" s="5"/>
      <c r="BI361" s="5"/>
      <c r="BM361" s="5"/>
      <c r="BN361" s="5"/>
      <c r="BP361" s="5"/>
      <c r="BQ361" s="5"/>
      <c r="BR361" s="5"/>
      <c r="BS361" s="5"/>
      <c r="BU361" s="5"/>
      <c r="BV361" s="5">
        <f t="shared" si="35"/>
        <v>0</v>
      </c>
      <c r="BW361" s="5"/>
      <c r="BX361" s="5"/>
      <c r="BZ361" s="5">
        <v>1</v>
      </c>
      <c r="CA361" s="5">
        <f t="shared" si="36"/>
        <v>0</v>
      </c>
      <c r="CB361" s="5"/>
      <c r="CC361" s="5"/>
      <c r="CE361" s="5">
        <v>1</v>
      </c>
      <c r="CF361" s="5">
        <f t="shared" si="37"/>
        <v>0</v>
      </c>
      <c r="CG361" s="5"/>
      <c r="CH361" s="5"/>
      <c r="CO361" s="13">
        <v>1</v>
      </c>
      <c r="CP361" s="5">
        <f t="shared" si="38"/>
        <v>0</v>
      </c>
      <c r="CQ361" s="5"/>
      <c r="CR361" s="5"/>
      <c r="CT361" s="5">
        <v>1</v>
      </c>
      <c r="CU361" s="5">
        <f t="shared" si="39"/>
        <v>0</v>
      </c>
      <c r="CV361" s="5"/>
      <c r="CW361" s="5"/>
      <c r="CY361" s="5">
        <v>1</v>
      </c>
      <c r="CZ361" s="5">
        <f t="shared" si="40"/>
        <v>0</v>
      </c>
      <c r="DA361" s="5"/>
      <c r="DB361" s="5"/>
      <c r="DD361" s="5">
        <v>1</v>
      </c>
      <c r="DE361" s="5">
        <f t="shared" si="41"/>
        <v>0</v>
      </c>
      <c r="DF361" s="5"/>
      <c r="DG361" s="5"/>
      <c r="DI361" s="5">
        <v>1</v>
      </c>
      <c r="DJ361" s="5">
        <f t="shared" si="42"/>
        <v>0</v>
      </c>
      <c r="DK361" s="5"/>
      <c r="DL361" s="5"/>
      <c r="DN361" s="5">
        <v>1</v>
      </c>
      <c r="DO361" s="5">
        <f t="shared" si="43"/>
        <v>0</v>
      </c>
      <c r="DP361" s="5"/>
      <c r="DQ361" s="5"/>
      <c r="DS361" s="5">
        <v>1</v>
      </c>
      <c r="DT361" s="5">
        <f t="shared" si="44"/>
        <v>0</v>
      </c>
      <c r="DU361" s="5"/>
      <c r="DV361" s="5"/>
      <c r="DX361" s="5">
        <v>1</v>
      </c>
      <c r="DY361" s="5">
        <f t="shared" si="45"/>
        <v>0</v>
      </c>
      <c r="DZ361" s="5"/>
      <c r="EA361" s="5"/>
      <c r="EC361" s="5">
        <v>1</v>
      </c>
      <c r="ED361" s="5">
        <f t="shared" si="46"/>
        <v>0</v>
      </c>
      <c r="EE361" s="5"/>
      <c r="EF361" s="5"/>
      <c r="EH361" s="5">
        <v>1</v>
      </c>
      <c r="EI361" s="5">
        <f t="shared" si="47"/>
        <v>0</v>
      </c>
      <c r="EJ361" s="5"/>
      <c r="EK361" s="5"/>
      <c r="EX361" s="659">
        <f t="shared" si="3"/>
        <v>0</v>
      </c>
    </row>
    <row r="362" spans="1:154" s="6" customFormat="1" ht="15" customHeight="1">
      <c r="A362" s="3">
        <v>170</v>
      </c>
      <c r="B362" s="210" t="s">
        <v>113</v>
      </c>
      <c r="C362" s="473" t="s">
        <v>515</v>
      </c>
      <c r="D362" s="138"/>
      <c r="E362" s="5"/>
      <c r="F362" s="5"/>
      <c r="G362" s="5"/>
      <c r="H362" s="5"/>
      <c r="I362" s="4"/>
      <c r="J362" s="4"/>
      <c r="K362" s="4"/>
      <c r="L362" s="4"/>
      <c r="M362" s="4">
        <v>3</v>
      </c>
      <c r="N362" s="661">
        <f t="shared" si="26"/>
        <v>0</v>
      </c>
      <c r="O362" s="4"/>
      <c r="P362" s="4"/>
      <c r="Q362" s="4"/>
      <c r="R362" s="5">
        <v>1</v>
      </c>
      <c r="S362" s="5">
        <f t="shared" si="27"/>
        <v>0</v>
      </c>
      <c r="U362" s="5"/>
      <c r="W362" s="5">
        <v>1</v>
      </c>
      <c r="X362" s="5">
        <f t="shared" si="28"/>
        <v>0</v>
      </c>
      <c r="Y362" s="5"/>
      <c r="Z362" s="5"/>
      <c r="AB362" s="5">
        <v>1</v>
      </c>
      <c r="AC362" s="5">
        <f t="shared" si="29"/>
        <v>0</v>
      </c>
      <c r="AD362" s="5"/>
      <c r="AE362" s="5"/>
      <c r="AG362" s="5"/>
      <c r="AH362" s="5"/>
      <c r="AI362" s="5"/>
      <c r="AJ362" s="5"/>
      <c r="AL362" s="5">
        <v>1</v>
      </c>
      <c r="AM362" s="5">
        <f t="shared" si="30"/>
        <v>0</v>
      </c>
      <c r="AN362" s="5"/>
      <c r="AO362" s="5"/>
      <c r="AQ362" s="5">
        <v>1</v>
      </c>
      <c r="AR362" s="5">
        <f t="shared" si="31"/>
        <v>0</v>
      </c>
      <c r="AS362" s="5"/>
      <c r="AT362" s="5"/>
      <c r="AV362" s="6">
        <v>1</v>
      </c>
      <c r="AW362" s="6">
        <f t="shared" si="32"/>
        <v>0</v>
      </c>
      <c r="BA362" s="6">
        <v>1</v>
      </c>
      <c r="BB362" s="6">
        <f t="shared" si="33"/>
        <v>0</v>
      </c>
      <c r="BD362" s="5"/>
      <c r="BF362" s="5">
        <v>1</v>
      </c>
      <c r="BG362" s="6">
        <f t="shared" si="34"/>
        <v>0</v>
      </c>
      <c r="BH362" s="5"/>
      <c r="BI362" s="5"/>
      <c r="BM362" s="5"/>
      <c r="BN362" s="5"/>
      <c r="BP362" s="5"/>
      <c r="BQ362" s="5"/>
      <c r="BR362" s="5"/>
      <c r="BS362" s="5"/>
      <c r="BU362" s="5"/>
      <c r="BV362" s="5">
        <f t="shared" si="35"/>
        <v>0</v>
      </c>
      <c r="BW362" s="5"/>
      <c r="BX362" s="5"/>
      <c r="BZ362" s="5">
        <v>1</v>
      </c>
      <c r="CA362" s="5">
        <f t="shared" si="36"/>
        <v>0</v>
      </c>
      <c r="CB362" s="5"/>
      <c r="CC362" s="5"/>
      <c r="CE362" s="5">
        <v>1</v>
      </c>
      <c r="CF362" s="5">
        <f t="shared" si="37"/>
        <v>0</v>
      </c>
      <c r="CG362" s="5"/>
      <c r="CH362" s="5"/>
      <c r="CO362" s="13">
        <v>1</v>
      </c>
      <c r="CP362" s="5">
        <f t="shared" si="38"/>
        <v>0</v>
      </c>
      <c r="CQ362" s="5"/>
      <c r="CR362" s="5"/>
      <c r="CT362" s="5">
        <v>1</v>
      </c>
      <c r="CU362" s="5">
        <f t="shared" si="39"/>
        <v>0</v>
      </c>
      <c r="CV362" s="5"/>
      <c r="CW362" s="5"/>
      <c r="CY362" s="5">
        <v>1</v>
      </c>
      <c r="CZ362" s="5">
        <f t="shared" si="40"/>
        <v>0</v>
      </c>
      <c r="DA362" s="5"/>
      <c r="DB362" s="5"/>
      <c r="DD362" s="5">
        <v>1</v>
      </c>
      <c r="DE362" s="5">
        <f t="shared" si="41"/>
        <v>0</v>
      </c>
      <c r="DF362" s="5"/>
      <c r="DG362" s="5"/>
      <c r="DI362" s="5">
        <v>1</v>
      </c>
      <c r="DJ362" s="5">
        <f t="shared" si="42"/>
        <v>0</v>
      </c>
      <c r="DK362" s="5"/>
      <c r="DL362" s="5"/>
      <c r="DN362" s="5">
        <v>1</v>
      </c>
      <c r="DO362" s="5">
        <f t="shared" si="43"/>
        <v>0</v>
      </c>
      <c r="DP362" s="5"/>
      <c r="DQ362" s="5"/>
      <c r="DS362" s="5">
        <v>1</v>
      </c>
      <c r="DT362" s="5">
        <f t="shared" si="44"/>
        <v>0</v>
      </c>
      <c r="DU362" s="5"/>
      <c r="DV362" s="5"/>
      <c r="DX362" s="5">
        <v>1</v>
      </c>
      <c r="DY362" s="5">
        <f t="shared" si="45"/>
        <v>0</v>
      </c>
      <c r="DZ362" s="5"/>
      <c r="EA362" s="5"/>
      <c r="EC362" s="5">
        <v>1</v>
      </c>
      <c r="ED362" s="5">
        <f t="shared" si="46"/>
        <v>0</v>
      </c>
      <c r="EE362" s="5"/>
      <c r="EF362" s="5"/>
      <c r="EH362" s="5">
        <v>1</v>
      </c>
      <c r="EI362" s="5">
        <f t="shared" si="47"/>
        <v>0</v>
      </c>
      <c r="EJ362" s="5"/>
      <c r="EK362" s="5"/>
      <c r="EX362" s="659">
        <f t="shared" si="3"/>
        <v>0</v>
      </c>
    </row>
    <row r="363" spans="1:154" s="6" customFormat="1" ht="15" customHeight="1">
      <c r="A363" s="3">
        <v>171</v>
      </c>
      <c r="B363" s="210" t="s">
        <v>114</v>
      </c>
      <c r="C363" s="473" t="s">
        <v>515</v>
      </c>
      <c r="D363" s="138"/>
      <c r="E363" s="5"/>
      <c r="F363" s="5"/>
      <c r="G363" s="5"/>
      <c r="H363" s="5"/>
      <c r="I363" s="4"/>
      <c r="J363" s="4"/>
      <c r="K363" s="4"/>
      <c r="L363" s="4"/>
      <c r="M363" s="4">
        <v>3</v>
      </c>
      <c r="N363" s="661">
        <f t="shared" si="26"/>
        <v>0</v>
      </c>
      <c r="O363" s="4"/>
      <c r="P363" s="4"/>
      <c r="Q363" s="4"/>
      <c r="R363" s="5">
        <v>1</v>
      </c>
      <c r="S363" s="5">
        <f t="shared" si="27"/>
        <v>0</v>
      </c>
      <c r="U363" s="5"/>
      <c r="W363" s="5">
        <v>1</v>
      </c>
      <c r="X363" s="5">
        <f t="shared" si="28"/>
        <v>0</v>
      </c>
      <c r="Y363" s="5"/>
      <c r="Z363" s="5"/>
      <c r="AB363" s="5">
        <v>1</v>
      </c>
      <c r="AC363" s="5">
        <f t="shared" si="29"/>
        <v>0</v>
      </c>
      <c r="AD363" s="5"/>
      <c r="AE363" s="5"/>
      <c r="AG363" s="5"/>
      <c r="AH363" s="5"/>
      <c r="AI363" s="5"/>
      <c r="AJ363" s="5"/>
      <c r="AL363" s="5">
        <v>1</v>
      </c>
      <c r="AM363" s="5">
        <f t="shared" si="30"/>
        <v>0</v>
      </c>
      <c r="AN363" s="5"/>
      <c r="AO363" s="5"/>
      <c r="AQ363" s="5">
        <v>1</v>
      </c>
      <c r="AR363" s="5">
        <f t="shared" si="31"/>
        <v>0</v>
      </c>
      <c r="AS363" s="5"/>
      <c r="AT363" s="5"/>
      <c r="AV363" s="6">
        <v>1</v>
      </c>
      <c r="AW363" s="6">
        <f t="shared" si="32"/>
        <v>0</v>
      </c>
      <c r="BA363" s="6">
        <v>1</v>
      </c>
      <c r="BB363" s="6">
        <f t="shared" si="33"/>
        <v>0</v>
      </c>
      <c r="BD363" s="5"/>
      <c r="BF363" s="5">
        <v>1</v>
      </c>
      <c r="BG363" s="6">
        <f t="shared" si="34"/>
        <v>0</v>
      </c>
      <c r="BH363" s="5"/>
      <c r="BI363" s="5"/>
      <c r="BM363" s="5"/>
      <c r="BN363" s="5"/>
      <c r="BP363" s="5"/>
      <c r="BQ363" s="5"/>
      <c r="BR363" s="5"/>
      <c r="BS363" s="5"/>
      <c r="BU363" s="5"/>
      <c r="BV363" s="5">
        <f t="shared" si="35"/>
        <v>0</v>
      </c>
      <c r="BW363" s="5"/>
      <c r="BX363" s="5"/>
      <c r="BZ363" s="5">
        <v>1</v>
      </c>
      <c r="CA363" s="5">
        <f t="shared" si="36"/>
        <v>0</v>
      </c>
      <c r="CB363" s="5"/>
      <c r="CC363" s="5"/>
      <c r="CE363" s="5">
        <v>1</v>
      </c>
      <c r="CF363" s="5">
        <f t="shared" si="37"/>
        <v>0</v>
      </c>
      <c r="CG363" s="5"/>
      <c r="CH363" s="5"/>
      <c r="CO363" s="13">
        <v>1</v>
      </c>
      <c r="CP363" s="5">
        <f t="shared" si="38"/>
        <v>0</v>
      </c>
      <c r="CQ363" s="5"/>
      <c r="CR363" s="5"/>
      <c r="CT363" s="5">
        <v>1</v>
      </c>
      <c r="CU363" s="5">
        <f t="shared" si="39"/>
        <v>0</v>
      </c>
      <c r="CV363" s="5"/>
      <c r="CW363" s="5"/>
      <c r="CY363" s="5">
        <v>1</v>
      </c>
      <c r="CZ363" s="5">
        <f t="shared" si="40"/>
        <v>0</v>
      </c>
      <c r="DA363" s="5"/>
      <c r="DB363" s="5"/>
      <c r="DD363" s="5">
        <v>1</v>
      </c>
      <c r="DE363" s="5">
        <f t="shared" si="41"/>
        <v>0</v>
      </c>
      <c r="DF363" s="5"/>
      <c r="DG363" s="5"/>
      <c r="DI363" s="5">
        <v>1</v>
      </c>
      <c r="DJ363" s="5">
        <f t="shared" si="42"/>
        <v>0</v>
      </c>
      <c r="DK363" s="5"/>
      <c r="DL363" s="5"/>
      <c r="DN363" s="5">
        <v>1</v>
      </c>
      <c r="DO363" s="5">
        <f t="shared" si="43"/>
        <v>0</v>
      </c>
      <c r="DP363" s="5"/>
      <c r="DQ363" s="5"/>
      <c r="DS363" s="5">
        <v>1</v>
      </c>
      <c r="DT363" s="5">
        <f t="shared" si="44"/>
        <v>0</v>
      </c>
      <c r="DU363" s="5"/>
      <c r="DV363" s="5"/>
      <c r="DX363" s="5">
        <v>1</v>
      </c>
      <c r="DY363" s="5">
        <f t="shared" si="45"/>
        <v>0</v>
      </c>
      <c r="DZ363" s="5"/>
      <c r="EA363" s="5"/>
      <c r="EC363" s="5">
        <v>1</v>
      </c>
      <c r="ED363" s="5">
        <f t="shared" si="46"/>
        <v>0</v>
      </c>
      <c r="EE363" s="5"/>
      <c r="EF363" s="5"/>
      <c r="EH363" s="5">
        <v>1</v>
      </c>
      <c r="EI363" s="5">
        <f t="shared" si="47"/>
        <v>0</v>
      </c>
      <c r="EJ363" s="5"/>
      <c r="EK363" s="5"/>
      <c r="EX363" s="659">
        <f t="shared" si="3"/>
        <v>0</v>
      </c>
    </row>
    <row r="364" spans="1:154" s="6" customFormat="1" ht="15" customHeight="1">
      <c r="A364" s="3">
        <v>172</v>
      </c>
      <c r="B364" s="210" t="s">
        <v>115</v>
      </c>
      <c r="C364" s="473" t="s">
        <v>515</v>
      </c>
      <c r="D364" s="138"/>
      <c r="E364" s="5"/>
      <c r="F364" s="5"/>
      <c r="G364" s="5"/>
      <c r="H364" s="5"/>
      <c r="I364" s="4"/>
      <c r="J364" s="4"/>
      <c r="K364" s="4"/>
      <c r="L364" s="4"/>
      <c r="M364" s="4">
        <v>3</v>
      </c>
      <c r="N364" s="661">
        <f t="shared" si="26"/>
        <v>0</v>
      </c>
      <c r="O364" s="4"/>
      <c r="P364" s="4"/>
      <c r="Q364" s="4"/>
      <c r="R364" s="5">
        <v>1</v>
      </c>
      <c r="S364" s="5">
        <f t="shared" si="27"/>
        <v>0</v>
      </c>
      <c r="U364" s="5"/>
      <c r="W364" s="5">
        <v>1</v>
      </c>
      <c r="X364" s="5">
        <f t="shared" si="28"/>
        <v>0</v>
      </c>
      <c r="Y364" s="5"/>
      <c r="Z364" s="5"/>
      <c r="AB364" s="5">
        <v>1</v>
      </c>
      <c r="AC364" s="5">
        <f t="shared" si="29"/>
        <v>0</v>
      </c>
      <c r="AD364" s="5"/>
      <c r="AE364" s="5"/>
      <c r="AG364" s="5"/>
      <c r="AH364" s="5"/>
      <c r="AI364" s="5"/>
      <c r="AJ364" s="5"/>
      <c r="AL364" s="5">
        <v>1</v>
      </c>
      <c r="AM364" s="5">
        <f t="shared" si="30"/>
        <v>0</v>
      </c>
      <c r="AN364" s="5"/>
      <c r="AO364" s="5"/>
      <c r="AQ364" s="5">
        <v>1</v>
      </c>
      <c r="AR364" s="5">
        <f t="shared" si="31"/>
        <v>0</v>
      </c>
      <c r="AS364" s="5"/>
      <c r="AT364" s="5"/>
      <c r="AV364" s="6">
        <v>1</v>
      </c>
      <c r="AW364" s="6">
        <f t="shared" si="32"/>
        <v>0</v>
      </c>
      <c r="BA364" s="6">
        <v>1</v>
      </c>
      <c r="BB364" s="6">
        <f t="shared" si="33"/>
        <v>0</v>
      </c>
      <c r="BD364" s="5"/>
      <c r="BF364" s="5">
        <v>1</v>
      </c>
      <c r="BG364" s="6">
        <f t="shared" si="34"/>
        <v>0</v>
      </c>
      <c r="BH364" s="5"/>
      <c r="BI364" s="5"/>
      <c r="BM364" s="5"/>
      <c r="BN364" s="5"/>
      <c r="BP364" s="5"/>
      <c r="BQ364" s="5"/>
      <c r="BR364" s="5"/>
      <c r="BS364" s="5"/>
      <c r="BU364" s="5"/>
      <c r="BV364" s="5">
        <f t="shared" si="35"/>
        <v>0</v>
      </c>
      <c r="BW364" s="5"/>
      <c r="BX364" s="5"/>
      <c r="BZ364" s="5">
        <v>1</v>
      </c>
      <c r="CA364" s="5">
        <f t="shared" si="36"/>
        <v>0</v>
      </c>
      <c r="CB364" s="5"/>
      <c r="CC364" s="5"/>
      <c r="CE364" s="5">
        <v>1</v>
      </c>
      <c r="CF364" s="5">
        <f t="shared" si="37"/>
        <v>0</v>
      </c>
      <c r="CG364" s="5"/>
      <c r="CH364" s="5"/>
      <c r="CO364" s="13">
        <v>1</v>
      </c>
      <c r="CP364" s="5">
        <f t="shared" si="38"/>
        <v>0</v>
      </c>
      <c r="CQ364" s="5"/>
      <c r="CR364" s="5"/>
      <c r="CT364" s="5">
        <v>1</v>
      </c>
      <c r="CU364" s="5">
        <f t="shared" si="39"/>
        <v>0</v>
      </c>
      <c r="CV364" s="5"/>
      <c r="CW364" s="5"/>
      <c r="CY364" s="5">
        <v>1</v>
      </c>
      <c r="CZ364" s="5">
        <f t="shared" si="40"/>
        <v>0</v>
      </c>
      <c r="DA364" s="5"/>
      <c r="DB364" s="5"/>
      <c r="DD364" s="5">
        <v>1</v>
      </c>
      <c r="DE364" s="5">
        <f t="shared" si="41"/>
        <v>0</v>
      </c>
      <c r="DF364" s="5"/>
      <c r="DG364" s="5"/>
      <c r="DI364" s="5">
        <v>1</v>
      </c>
      <c r="DJ364" s="5">
        <f t="shared" si="42"/>
        <v>0</v>
      </c>
      <c r="DK364" s="5"/>
      <c r="DL364" s="5"/>
      <c r="DN364" s="5">
        <v>1</v>
      </c>
      <c r="DO364" s="5">
        <f t="shared" si="43"/>
        <v>0</v>
      </c>
      <c r="DP364" s="5"/>
      <c r="DQ364" s="5"/>
      <c r="DS364" s="5">
        <v>1</v>
      </c>
      <c r="DT364" s="5">
        <f t="shared" si="44"/>
        <v>0</v>
      </c>
      <c r="DU364" s="5"/>
      <c r="DV364" s="5"/>
      <c r="DX364" s="5">
        <v>1</v>
      </c>
      <c r="DY364" s="5">
        <f t="shared" si="45"/>
        <v>0</v>
      </c>
      <c r="DZ364" s="5"/>
      <c r="EA364" s="5"/>
      <c r="EC364" s="5">
        <v>1</v>
      </c>
      <c r="ED364" s="5">
        <f t="shared" si="46"/>
        <v>0</v>
      </c>
      <c r="EE364" s="5"/>
      <c r="EF364" s="5"/>
      <c r="EH364" s="5">
        <v>1</v>
      </c>
      <c r="EI364" s="5">
        <f t="shared" si="47"/>
        <v>0</v>
      </c>
      <c r="EJ364" s="5"/>
      <c r="EK364" s="5"/>
      <c r="EX364" s="659">
        <f t="shared" si="3"/>
        <v>0</v>
      </c>
    </row>
    <row r="365" spans="1:154" s="6" customFormat="1" ht="15" customHeight="1">
      <c r="A365" s="3">
        <v>173</v>
      </c>
      <c r="B365" s="210" t="s">
        <v>116</v>
      </c>
      <c r="C365" s="473" t="s">
        <v>515</v>
      </c>
      <c r="D365" s="138"/>
      <c r="E365" s="5"/>
      <c r="F365" s="5"/>
      <c r="G365" s="5"/>
      <c r="H365" s="5"/>
      <c r="I365" s="4"/>
      <c r="J365" s="4"/>
      <c r="K365" s="4"/>
      <c r="L365" s="4"/>
      <c r="M365" s="4">
        <v>3</v>
      </c>
      <c r="N365" s="661">
        <f t="shared" si="26"/>
        <v>0</v>
      </c>
      <c r="O365" s="4"/>
      <c r="P365" s="4"/>
      <c r="Q365" s="4"/>
      <c r="R365" s="5">
        <v>1</v>
      </c>
      <c r="S365" s="5">
        <f t="shared" si="27"/>
        <v>0</v>
      </c>
      <c r="U365" s="5"/>
      <c r="W365" s="5">
        <v>1</v>
      </c>
      <c r="X365" s="5">
        <f t="shared" si="28"/>
        <v>0</v>
      </c>
      <c r="Y365" s="5"/>
      <c r="Z365" s="5"/>
      <c r="AB365" s="5">
        <v>1</v>
      </c>
      <c r="AC365" s="5">
        <f t="shared" si="29"/>
        <v>0</v>
      </c>
      <c r="AD365" s="5"/>
      <c r="AE365" s="5"/>
      <c r="AG365" s="5"/>
      <c r="AH365" s="5"/>
      <c r="AI365" s="5"/>
      <c r="AJ365" s="5"/>
      <c r="AL365" s="5">
        <v>1</v>
      </c>
      <c r="AM365" s="5">
        <f t="shared" si="30"/>
        <v>0</v>
      </c>
      <c r="AN365" s="5"/>
      <c r="AO365" s="5"/>
      <c r="AQ365" s="5">
        <v>1</v>
      </c>
      <c r="AR365" s="5">
        <f t="shared" si="31"/>
        <v>0</v>
      </c>
      <c r="AS365" s="5"/>
      <c r="AT365" s="5"/>
      <c r="AV365" s="6">
        <v>1</v>
      </c>
      <c r="AW365" s="6">
        <f t="shared" si="32"/>
        <v>0</v>
      </c>
      <c r="BA365" s="6">
        <v>1</v>
      </c>
      <c r="BB365" s="6">
        <f t="shared" si="33"/>
        <v>0</v>
      </c>
      <c r="BD365" s="5"/>
      <c r="BF365" s="5">
        <v>1</v>
      </c>
      <c r="BG365" s="6">
        <f t="shared" si="34"/>
        <v>0</v>
      </c>
      <c r="BH365" s="5"/>
      <c r="BI365" s="5"/>
      <c r="BM365" s="5"/>
      <c r="BN365" s="5"/>
      <c r="BP365" s="5"/>
      <c r="BQ365" s="5"/>
      <c r="BR365" s="5"/>
      <c r="BS365" s="5"/>
      <c r="BU365" s="5"/>
      <c r="BV365" s="5">
        <f t="shared" si="35"/>
        <v>0</v>
      </c>
      <c r="BW365" s="5"/>
      <c r="BX365" s="5"/>
      <c r="BZ365" s="5">
        <v>1</v>
      </c>
      <c r="CA365" s="5">
        <f t="shared" si="36"/>
        <v>0</v>
      </c>
      <c r="CB365" s="5"/>
      <c r="CC365" s="5"/>
      <c r="CE365" s="5">
        <v>1</v>
      </c>
      <c r="CF365" s="5">
        <f t="shared" si="37"/>
        <v>0</v>
      </c>
      <c r="CG365" s="5"/>
      <c r="CH365" s="5"/>
      <c r="CO365" s="13">
        <v>1</v>
      </c>
      <c r="CP365" s="5">
        <f t="shared" si="38"/>
        <v>0</v>
      </c>
      <c r="CQ365" s="5"/>
      <c r="CR365" s="5"/>
      <c r="CT365" s="5">
        <v>1</v>
      </c>
      <c r="CU365" s="5">
        <f t="shared" si="39"/>
        <v>0</v>
      </c>
      <c r="CV365" s="5"/>
      <c r="CW365" s="5"/>
      <c r="CY365" s="5">
        <v>1</v>
      </c>
      <c r="CZ365" s="5">
        <f t="shared" si="40"/>
        <v>0</v>
      </c>
      <c r="DA365" s="5"/>
      <c r="DB365" s="5"/>
      <c r="DD365" s="5">
        <v>1</v>
      </c>
      <c r="DE365" s="5">
        <f t="shared" si="41"/>
        <v>0</v>
      </c>
      <c r="DF365" s="5"/>
      <c r="DG365" s="5"/>
      <c r="DI365" s="5">
        <v>1</v>
      </c>
      <c r="DJ365" s="5">
        <f t="shared" si="42"/>
        <v>0</v>
      </c>
      <c r="DK365" s="5"/>
      <c r="DL365" s="5"/>
      <c r="DN365" s="5">
        <v>1</v>
      </c>
      <c r="DO365" s="5">
        <f t="shared" si="43"/>
        <v>0</v>
      </c>
      <c r="DP365" s="5"/>
      <c r="DQ365" s="5"/>
      <c r="DS365" s="5">
        <v>1</v>
      </c>
      <c r="DT365" s="5">
        <f t="shared" si="44"/>
        <v>0</v>
      </c>
      <c r="DU365" s="5"/>
      <c r="DV365" s="5"/>
      <c r="DX365" s="5">
        <v>1</v>
      </c>
      <c r="DY365" s="5">
        <f t="shared" si="45"/>
        <v>0</v>
      </c>
      <c r="DZ365" s="5"/>
      <c r="EA365" s="5"/>
      <c r="EC365" s="5">
        <v>1</v>
      </c>
      <c r="ED365" s="5">
        <f t="shared" si="46"/>
        <v>0</v>
      </c>
      <c r="EE365" s="5"/>
      <c r="EF365" s="5"/>
      <c r="EH365" s="5">
        <v>1</v>
      </c>
      <c r="EI365" s="5">
        <f t="shared" si="47"/>
        <v>0</v>
      </c>
      <c r="EJ365" s="5"/>
      <c r="EK365" s="5"/>
      <c r="EX365" s="659">
        <f t="shared" si="3"/>
        <v>0</v>
      </c>
    </row>
    <row r="366" spans="1:154" s="6" customFormat="1" ht="15" customHeight="1">
      <c r="A366" s="3"/>
      <c r="B366" s="210" t="s">
        <v>404</v>
      </c>
      <c r="C366" s="473" t="s">
        <v>515</v>
      </c>
      <c r="D366" s="138"/>
      <c r="E366" s="5"/>
      <c r="F366" s="5"/>
      <c r="G366" s="5"/>
      <c r="H366" s="5"/>
      <c r="I366" s="4"/>
      <c r="J366" s="4"/>
      <c r="K366" s="4"/>
      <c r="L366" s="4"/>
      <c r="M366" s="4"/>
      <c r="N366" s="661"/>
      <c r="O366" s="4"/>
      <c r="P366" s="4"/>
      <c r="Q366" s="4"/>
      <c r="R366" s="5"/>
      <c r="S366" s="5"/>
      <c r="U366" s="5"/>
      <c r="W366" s="5"/>
      <c r="X366" s="5"/>
      <c r="Y366" s="5"/>
      <c r="Z366" s="5"/>
      <c r="AB366" s="5"/>
      <c r="AC366" s="5"/>
      <c r="AD366" s="5"/>
      <c r="AE366" s="5"/>
      <c r="AG366" s="5"/>
      <c r="AH366" s="5"/>
      <c r="AI366" s="5"/>
      <c r="AJ366" s="5"/>
      <c r="AL366" s="5"/>
      <c r="AM366" s="5"/>
      <c r="AN366" s="5"/>
      <c r="AO366" s="5"/>
      <c r="AQ366" s="5"/>
      <c r="AR366" s="5"/>
      <c r="AS366" s="5"/>
      <c r="AT366" s="5"/>
      <c r="BD366" s="5"/>
      <c r="BF366" s="5"/>
      <c r="BG366" s="5"/>
      <c r="BH366" s="5"/>
      <c r="BI366" s="5"/>
      <c r="BM366" s="5"/>
      <c r="BN366" s="5"/>
      <c r="BP366" s="5"/>
      <c r="BQ366" s="5"/>
      <c r="BR366" s="5"/>
      <c r="BS366" s="5"/>
      <c r="BU366" s="5"/>
      <c r="BV366" s="5"/>
      <c r="BW366" s="5"/>
      <c r="BX366" s="5"/>
      <c r="BZ366" s="5"/>
      <c r="CA366" s="5"/>
      <c r="CB366" s="5"/>
      <c r="CC366" s="5"/>
      <c r="CE366" s="5"/>
      <c r="CF366" s="5"/>
      <c r="CG366" s="5"/>
      <c r="CH366" s="5"/>
      <c r="CO366" s="13"/>
      <c r="CP366" s="5"/>
      <c r="CQ366" s="5"/>
      <c r="CR366" s="5"/>
      <c r="CT366" s="5"/>
      <c r="CU366" s="5"/>
      <c r="CV366" s="5"/>
      <c r="CW366" s="5"/>
      <c r="CY366" s="5"/>
      <c r="CZ366" s="5"/>
      <c r="DA366" s="5"/>
      <c r="DB366" s="5"/>
      <c r="DD366" s="5"/>
      <c r="DE366" s="5"/>
      <c r="DF366" s="5"/>
      <c r="DG366" s="5"/>
      <c r="DI366" s="5"/>
      <c r="DJ366" s="5"/>
      <c r="DK366" s="5"/>
      <c r="DL366" s="5"/>
      <c r="DN366" s="5"/>
      <c r="DO366" s="5"/>
      <c r="DP366" s="5"/>
      <c r="DQ366" s="5"/>
      <c r="DS366" s="5"/>
      <c r="DT366" s="5"/>
      <c r="DU366" s="5"/>
      <c r="DV366" s="5"/>
      <c r="DX366" s="5"/>
      <c r="DY366" s="5"/>
      <c r="DZ366" s="5"/>
      <c r="EA366" s="5"/>
      <c r="EC366" s="5"/>
      <c r="ED366" s="5"/>
      <c r="EE366" s="5"/>
      <c r="EF366" s="5"/>
      <c r="EH366" s="5"/>
      <c r="EI366" s="5"/>
      <c r="EJ366" s="5"/>
      <c r="EK366" s="5"/>
      <c r="EX366" s="659">
        <f t="shared" si="3"/>
        <v>0</v>
      </c>
    </row>
    <row r="367" spans="1:154" s="6" customFormat="1" ht="15" customHeight="1">
      <c r="A367" s="3"/>
      <c r="B367" s="210" t="s">
        <v>405</v>
      </c>
      <c r="C367" s="473" t="s">
        <v>515</v>
      </c>
      <c r="D367" s="138"/>
      <c r="E367" s="5"/>
      <c r="F367" s="5"/>
      <c r="G367" s="5"/>
      <c r="H367" s="5"/>
      <c r="I367" s="4"/>
      <c r="J367" s="4"/>
      <c r="K367" s="4"/>
      <c r="L367" s="4"/>
      <c r="M367" s="4"/>
      <c r="N367" s="661"/>
      <c r="O367" s="4"/>
      <c r="P367" s="4"/>
      <c r="Q367" s="4"/>
      <c r="R367" s="5"/>
      <c r="S367" s="5"/>
      <c r="U367" s="5"/>
      <c r="W367" s="5"/>
      <c r="X367" s="5"/>
      <c r="Y367" s="5"/>
      <c r="Z367" s="5"/>
      <c r="AB367" s="5"/>
      <c r="AC367" s="5"/>
      <c r="AD367" s="5"/>
      <c r="AE367" s="5"/>
      <c r="AG367" s="5"/>
      <c r="AH367" s="5"/>
      <c r="AI367" s="5"/>
      <c r="AJ367" s="5"/>
      <c r="AL367" s="5"/>
      <c r="AM367" s="5"/>
      <c r="AN367" s="5"/>
      <c r="AO367" s="5"/>
      <c r="AQ367" s="5"/>
      <c r="AR367" s="5"/>
      <c r="AS367" s="5"/>
      <c r="AT367" s="5"/>
      <c r="BD367" s="5"/>
      <c r="BF367" s="5"/>
      <c r="BG367" s="5"/>
      <c r="BH367" s="5"/>
      <c r="BI367" s="5"/>
      <c r="BM367" s="5"/>
      <c r="BN367" s="5"/>
      <c r="BP367" s="5"/>
      <c r="BQ367" s="5"/>
      <c r="BR367" s="5"/>
      <c r="BS367" s="5"/>
      <c r="BU367" s="5"/>
      <c r="BV367" s="5"/>
      <c r="BW367" s="5"/>
      <c r="BX367" s="5"/>
      <c r="BZ367" s="5"/>
      <c r="CA367" s="5"/>
      <c r="CB367" s="5"/>
      <c r="CC367" s="5"/>
      <c r="CE367" s="5"/>
      <c r="CF367" s="5"/>
      <c r="CG367" s="5"/>
      <c r="CH367" s="5"/>
      <c r="CO367" s="13"/>
      <c r="CP367" s="5"/>
      <c r="CQ367" s="5"/>
      <c r="CR367" s="5"/>
      <c r="CT367" s="5"/>
      <c r="CU367" s="5"/>
      <c r="CV367" s="5"/>
      <c r="CW367" s="5"/>
      <c r="CY367" s="5"/>
      <c r="CZ367" s="5"/>
      <c r="DA367" s="5"/>
      <c r="DB367" s="5"/>
      <c r="DD367" s="5"/>
      <c r="DE367" s="5"/>
      <c r="DF367" s="5"/>
      <c r="DG367" s="5"/>
      <c r="DI367" s="5"/>
      <c r="DJ367" s="5"/>
      <c r="DK367" s="5"/>
      <c r="DL367" s="5"/>
      <c r="DN367" s="5"/>
      <c r="DO367" s="5"/>
      <c r="DP367" s="5"/>
      <c r="DQ367" s="5"/>
      <c r="DS367" s="5"/>
      <c r="DT367" s="5"/>
      <c r="DU367" s="5"/>
      <c r="DV367" s="5"/>
      <c r="DX367" s="5"/>
      <c r="DY367" s="5"/>
      <c r="DZ367" s="5"/>
      <c r="EA367" s="5"/>
      <c r="EC367" s="5"/>
      <c r="ED367" s="5"/>
      <c r="EE367" s="5"/>
      <c r="EF367" s="5"/>
      <c r="EH367" s="5"/>
      <c r="EI367" s="5"/>
      <c r="EJ367" s="5"/>
      <c r="EK367" s="5"/>
      <c r="EX367" s="659">
        <f t="shared" si="3"/>
        <v>0</v>
      </c>
    </row>
    <row r="368" spans="1:154" s="6" customFormat="1" ht="15" customHeight="1">
      <c r="A368" s="3"/>
      <c r="B368" s="210" t="s">
        <v>406</v>
      </c>
      <c r="C368" s="473" t="s">
        <v>515</v>
      </c>
      <c r="D368" s="138"/>
      <c r="E368" s="5"/>
      <c r="F368" s="5"/>
      <c r="G368" s="5"/>
      <c r="H368" s="5"/>
      <c r="I368" s="4"/>
      <c r="J368" s="4"/>
      <c r="K368" s="4"/>
      <c r="L368" s="4"/>
      <c r="M368" s="4"/>
      <c r="N368" s="661"/>
      <c r="O368" s="4"/>
      <c r="P368" s="4"/>
      <c r="Q368" s="4"/>
      <c r="R368" s="5"/>
      <c r="S368" s="5"/>
      <c r="U368" s="5"/>
      <c r="W368" s="5"/>
      <c r="X368" s="5"/>
      <c r="Y368" s="5"/>
      <c r="Z368" s="5"/>
      <c r="AB368" s="5"/>
      <c r="AC368" s="5"/>
      <c r="AD368" s="5"/>
      <c r="AE368" s="5"/>
      <c r="AG368" s="5"/>
      <c r="AH368" s="5"/>
      <c r="AI368" s="5"/>
      <c r="AJ368" s="5"/>
      <c r="AL368" s="5"/>
      <c r="AM368" s="5"/>
      <c r="AN368" s="5"/>
      <c r="AO368" s="5"/>
      <c r="AQ368" s="5"/>
      <c r="AR368" s="5"/>
      <c r="AS368" s="5"/>
      <c r="AT368" s="5"/>
      <c r="BD368" s="5"/>
      <c r="BF368" s="5"/>
      <c r="BG368" s="5"/>
      <c r="BH368" s="5"/>
      <c r="BI368" s="5"/>
      <c r="BM368" s="5"/>
      <c r="BN368" s="5"/>
      <c r="BP368" s="5"/>
      <c r="BQ368" s="5"/>
      <c r="BR368" s="5"/>
      <c r="BS368" s="5"/>
      <c r="BU368" s="5"/>
      <c r="BV368" s="5"/>
      <c r="BW368" s="5"/>
      <c r="BX368" s="5"/>
      <c r="BZ368" s="5"/>
      <c r="CA368" s="5"/>
      <c r="CB368" s="5"/>
      <c r="CC368" s="5"/>
      <c r="CE368" s="5"/>
      <c r="CF368" s="5"/>
      <c r="CG368" s="5"/>
      <c r="CH368" s="5"/>
      <c r="CO368" s="13"/>
      <c r="CP368" s="5"/>
      <c r="CQ368" s="5"/>
      <c r="CR368" s="5"/>
      <c r="CT368" s="5"/>
      <c r="CU368" s="5"/>
      <c r="CV368" s="5"/>
      <c r="CW368" s="5"/>
      <c r="CY368" s="5"/>
      <c r="CZ368" s="5"/>
      <c r="DA368" s="5"/>
      <c r="DB368" s="5"/>
      <c r="DD368" s="5"/>
      <c r="DE368" s="5"/>
      <c r="DF368" s="5"/>
      <c r="DG368" s="5"/>
      <c r="DI368" s="5"/>
      <c r="DJ368" s="5"/>
      <c r="DK368" s="5"/>
      <c r="DL368" s="5"/>
      <c r="DN368" s="5"/>
      <c r="DO368" s="5"/>
      <c r="DP368" s="5"/>
      <c r="DQ368" s="5"/>
      <c r="DS368" s="5"/>
      <c r="DT368" s="5"/>
      <c r="DU368" s="5"/>
      <c r="DV368" s="5"/>
      <c r="DX368" s="5"/>
      <c r="DY368" s="5"/>
      <c r="DZ368" s="5"/>
      <c r="EA368" s="5"/>
      <c r="EC368" s="5"/>
      <c r="ED368" s="5"/>
      <c r="EE368" s="5"/>
      <c r="EF368" s="5"/>
      <c r="EH368" s="5"/>
      <c r="EI368" s="5"/>
      <c r="EJ368" s="5"/>
      <c r="EK368" s="5"/>
      <c r="EX368" s="659">
        <f t="shared" si="3"/>
        <v>0</v>
      </c>
    </row>
    <row r="369" spans="1:155" s="6" customFormat="1" ht="15" customHeight="1">
      <c r="A369" s="3" t="s">
        <v>33</v>
      </c>
      <c r="B369" s="210" t="s">
        <v>33</v>
      </c>
      <c r="C369" s="473" t="s">
        <v>515</v>
      </c>
      <c r="D369" s="138"/>
      <c r="E369" s="5"/>
      <c r="F369" s="5"/>
      <c r="G369" s="5"/>
      <c r="H369" s="5"/>
      <c r="I369" s="4"/>
      <c r="J369" s="4"/>
      <c r="K369" s="4"/>
      <c r="L369" s="4"/>
      <c r="M369" s="4"/>
      <c r="N369" s="661"/>
      <c r="O369" s="4"/>
      <c r="P369" s="4"/>
      <c r="Q369" s="4"/>
      <c r="R369" s="5"/>
      <c r="S369" s="5"/>
      <c r="U369" s="5"/>
      <c r="W369" s="5"/>
      <c r="X369" s="5"/>
      <c r="Y369" s="5"/>
      <c r="Z369" s="5"/>
      <c r="AB369" s="5"/>
      <c r="AC369" s="5"/>
      <c r="AD369" s="5"/>
      <c r="AE369" s="5"/>
      <c r="AG369" s="5"/>
      <c r="AH369" s="5"/>
      <c r="AI369" s="5"/>
      <c r="AJ369" s="5"/>
      <c r="AL369" s="5"/>
      <c r="AM369" s="5"/>
      <c r="AN369" s="5"/>
      <c r="AO369" s="5"/>
      <c r="AQ369" s="5"/>
      <c r="AR369" s="5"/>
      <c r="AS369" s="5"/>
      <c r="AT369" s="5"/>
      <c r="BD369" s="5"/>
      <c r="BF369" s="5"/>
      <c r="BG369" s="5"/>
      <c r="BH369" s="5"/>
      <c r="BI369" s="5"/>
      <c r="BM369" s="5"/>
      <c r="BN369" s="5"/>
      <c r="BP369" s="5"/>
      <c r="BQ369" s="5"/>
      <c r="BR369" s="5"/>
      <c r="BS369" s="5"/>
      <c r="BU369" s="5"/>
      <c r="BV369" s="5"/>
      <c r="BW369" s="5"/>
      <c r="BX369" s="5"/>
      <c r="BZ369" s="5"/>
      <c r="CA369" s="5"/>
      <c r="CB369" s="5"/>
      <c r="CC369" s="5"/>
      <c r="CE369" s="5"/>
      <c r="CF369" s="5"/>
      <c r="CG369" s="5"/>
      <c r="CH369" s="5"/>
      <c r="CO369" s="13"/>
      <c r="CP369" s="5"/>
      <c r="CQ369" s="5"/>
      <c r="CR369" s="5"/>
      <c r="CT369" s="5"/>
      <c r="CU369" s="5"/>
      <c r="CV369" s="5"/>
      <c r="CW369" s="5"/>
      <c r="CY369" s="5"/>
      <c r="CZ369" s="5"/>
      <c r="DA369" s="5"/>
      <c r="DB369" s="5"/>
      <c r="DD369" s="5"/>
      <c r="DE369" s="5"/>
      <c r="DF369" s="5"/>
      <c r="DG369" s="5"/>
      <c r="DI369" s="5">
        <v>6</v>
      </c>
      <c r="DJ369" s="5">
        <f>DJ5*DI369+DJ6*DI369+DJ7*DI369+DJ8*DI369+DJ9*DI369+DJ10*DI369+DJ11*DI369+DJ12*DI369+DJ13*DI369+DJ14*DI369+DJ15*DI369+DJ16*DI369+DJ17*DI369+DJ18*DI369+DJ19*DI369+DJ20*DI369+DJ21*DI369+DJ22*DI369+DJ23*DI369+DJ24*DI369+DK25*DI369+DK26*DI369+DK5*DI369+DK6*DI369+DK7*DI369+DK8*DI369+DK9*DI369+DK10*DI369+DK11*DI369+DK12*DI369+DK13*DI369+DK14*DI369+DK15*DI369+DK16*DI369+DK17*DI369+DK18*DI369+DK19*DI369+DK20*DI369+DK21*DI369+DK22*DI369+DK23*DI369+DK24*DI369+DJ25*DI369+DJ26*DI369+DL5*DI369+DL6*DI369+DL7*DI369+DL8*DI369+DL9*DI369+DL10*DI369+DL11*DI369+DL12*DI369+DL13*DI369+DL14*DI369+DL15*DI369+DL16*DI369+DL17*DI369+DL18*DI369+DL19*DI369+DL20*DI369+DL21*DI369+DL22*DI369+DL23*DI369+DL24*DI369+DL25*DI369+DL26*DI369</f>
        <v>0</v>
      </c>
      <c r="DK369" s="5"/>
      <c r="DL369" s="5"/>
      <c r="DN369" s="5">
        <v>6</v>
      </c>
      <c r="DO369" s="5">
        <f>DO5*DN369+DO6*DN369+DO7*DN369+DO8*DN369+DO9*DN369+DO10*DN369+DO11*DN369+DO12*DN369+DO13*DN369+DO14*DN369+DO15*DN369+DO16*DN369+DO17*DN369+DO18*DN369+DO19*DN369+DO20*DN369+DO21*DN369+DO22*DN369+DO23*DN369+DO24*DN369+DP25*DN369+DP26*DN369+DP5*DN369+DP6*DN369+DP7*DN369+DP8*DN369+DP9*DN369+DP10*DN369+DP11*DN369+DP12*DN369+DP13*DN369+DP14*DN369+DP15*DN369+DP16*DN369+DP17*DN369+DP18*DN369+DP19*DN369+DP20*DN369+DP21*DN369+DP22*DN369+DP23*DN369+DP24*DN369+DO25*DN369+DO26*DN369+DQ5*DN369+DQ6*DN369+DQ7*DN369+DQ8*DN369+DQ9*DN369+DQ10*DN369+DQ11*DN369+DQ12*DN369+DQ13*DN369+DQ14*DN369+DQ15*DN369+DQ16*DN369+DQ17*DN369+DQ18*DN369+DQ19*DN369+DQ20*DN369+DQ21*DN369+DQ22*DN369+DQ23*DN369+DQ24*DN369+DQ25*DN369+DQ26*DN369</f>
        <v>0</v>
      </c>
      <c r="DP369" s="5"/>
      <c r="DQ369" s="5"/>
      <c r="DS369" s="5">
        <v>6</v>
      </c>
      <c r="DT369" s="5">
        <f>DT5*DS369+DT6*DS369+DT7*DS369+DT8*DS369+DT9*DS369+DT10*DS369+DT11*DS369+DT12*DS369+DT13*DS369+DT14*DS369+DT15*DS369+DT16*DS369+DT17*DS369+DT18*DS369+DT19*DS369+DT20*DS369+DT21*DS369+DT22*DS369+DT23*DS369+DT24*DS369+DU25*DS369+DU26*DS369+DU5*DS369+DU6*DS369+DU7*DS369+DU8*DS369+DU9*DS369+DU10*DS369+DU11*DS369+DU12*DS369+DU13*DS369+DU14*DS369+DU15*DS369+DU16*DS369+DU17*DS369+DU18*DS369+DU19*DS369+DU20*DS369+DU21*DS369+DU22*DS369+DU23*DS369+DU24*DS369+DT25*DS369+DT26*DS369+DV5*DS369+DV6*DS369+DV7*DS369+DV8*DS369+DV9*DS369+DV10*DS369+DV11*DS369+DV12*DS369+DV13*DS369+DV14*DS369+DV15*DS369+DV16*DS369+DV17*DS369+DV18*DS369+DV19*DS369+DV20*DS369+DV21*DS369+DV22*DS369+DV23*DS369+DV24*DS369+DV25*DS369+DV26*DS369</f>
        <v>0</v>
      </c>
      <c r="DU369" s="5"/>
      <c r="DV369" s="5"/>
      <c r="DX369" s="5">
        <v>6</v>
      </c>
      <c r="DY369" s="5">
        <f>DY5*DX369+DY6*DX369+DY7*DX369+DY8*DX369+DY9*DX369+DY10*DX369+DY11*DX369+DY12*DX369+DY13*DX369+DY14*DX369+DY15*DX369+DY16*DX369+DY17*DX369+DY18*DX369+DY19*DX369+DY20*DX369+DY21*DX369+DY22*DX369+DY23*DX369+DY24*DX369+DZ25*DX369+DZ26*DX369+DZ5*DX369+DZ6*DX369+DZ7*DX369+DZ8*DX369+DZ9*DX369+DZ10*DX369+DZ11*DX369+DZ12*DX369+DZ13*DX369+DZ14*DX369+DZ15*DX369+DZ16*DX369+DZ17*DX369+DZ18*DX369+DZ19*DX369+DZ20*DX369+DZ21*DX369+DZ22*DX369+DZ23*DX369+DZ24*DX369+DY25*DX369+DY26*DX369+EA5*DX369+EA6*DX369+EA7*DX369+EA8*DX369+EA9*DX369+EA10*DX369+EA11*DX369+EA12*DX369+EA13*DX369+EA14*DX369+EA15*DX369+EA16*DX369+EA17*DX369+EA18*DX369+EA19*DX369+EA20*DX369+EA21*DX369+EA22*DX369+EA23*DX369+EA24*DX369+EA25*DX369+EA26*DX369</f>
        <v>0</v>
      </c>
      <c r="DZ369" s="5"/>
      <c r="EA369" s="5"/>
      <c r="EC369" s="5">
        <v>6</v>
      </c>
      <c r="ED369" s="5">
        <f>ED5*EC369+ED6*EC369+ED7*EC369+ED8*EC369+ED9*EC369+ED10*EC369+ED11*EC369+ED12*EC369+ED13*EC369+ED14*EC369+ED15*EC369+ED16*EC369+ED17*EC369+ED18*EC369+ED19*EC369+ED20*EC369+ED21*EC369+ED22*EC369+ED23*EC369+ED24*EC369+EE25*EC369+EE26*EC369+EE5*EC369+EE6*EC369+EE7*EC369+EE8*EC369+EE9*EC369+EE10*EC369+EE11*EC369+EE12*EC369+EE13*EC369+EE14*EC369+EE15*EC369+EE16*EC369+EE17*EC369+EE18*EC369+EE19*EC369+EE20*EC369+EE21*EC369+EE22*EC369+EE23*EC369+EE24*EC369+ED25*EC369+ED26*EC369+EF5*EC369+EF6*EC369+EF7*EC369+EF8*EC369+EF9*EC369+EF10*EC369+EF11*EC369+EF12*EC369+EF13*EC369+EF14*EC369+EF15*EC369+EF16*EC369+EF17*EC369+EF18*EC369+EF19*EC369+EF20*EC369+EF21*EC369+EF22*EC369+EF23*EC369+EF24*EC369+EF25*EC369+EF26*EC369</f>
        <v>0</v>
      </c>
      <c r="EE369" s="5"/>
      <c r="EF369" s="5"/>
      <c r="EH369" s="5">
        <v>6</v>
      </c>
      <c r="EI369" s="5">
        <f>EI5*EH369+EI6*EH369+EI7*EH369+EI8*EH369+EI9*EH369+EI10*EH369+EI11*EH369+EI12*EH369+EI13*EH369+EI14*EH369+EI15*EH369+EI16*EH369+EI17*EH369+EI18*EH369+EI19*EH369+EI20*EH369+EI21*EH369+EI22*EH369+EI23*EH369+EI24*EH369+EJ25*EH369+EJ26*EH369+EJ5*EH369+EJ6*EH369+EJ7*EH369+EJ8*EH369+EJ9*EH369+EJ10*EH369+EJ11*EH369+EJ12*EH369+EJ13*EH369+EJ14*EH369+EJ15*EH369+EJ16*EH369+EJ17*EH369+EJ18*EH369+EJ19*EH369+EJ20*EH369+EJ21*EH369+EJ22*EH369+EJ23*EH369+EJ24*EH369+EI25*EH369+EI26*EH369+EK5*EH369+EK6*EH369+EK7*EH369+EK8*EH369+EK9*EH369+EK10*EH369+EK11*EH369+EK12*EH369+EK13*EH369+EK14*EH369+EK15*EH369+EK16*EH369+EK17*EH369+EK18*EH369+EK19*EH369+EK20*EH369+EK21*EH369+EK22*EH369+EK23*EH369+EK24*EH369+EK25*EH369+EK26*EH369</f>
        <v>0</v>
      </c>
      <c r="EJ369" s="5"/>
      <c r="EK369" s="5"/>
      <c r="EX369" s="659">
        <f t="shared" si="3"/>
        <v>0</v>
      </c>
    </row>
    <row r="370" spans="1:155" s="6" customFormat="1" ht="15" customHeight="1">
      <c r="A370" s="3"/>
      <c r="B370" s="210" t="s">
        <v>1512</v>
      </c>
      <c r="C370" s="473" t="s">
        <v>0</v>
      </c>
      <c r="D370" s="138"/>
      <c r="E370" s="5"/>
      <c r="F370" s="5"/>
      <c r="G370" s="5"/>
      <c r="H370" s="5"/>
      <c r="I370" s="4"/>
      <c r="J370" s="4"/>
      <c r="K370" s="4"/>
      <c r="L370" s="4"/>
      <c r="M370" s="4"/>
      <c r="N370" s="661"/>
      <c r="O370" s="4"/>
      <c r="P370" s="4"/>
      <c r="Q370" s="4"/>
      <c r="R370" s="5"/>
      <c r="S370" s="5"/>
      <c r="U370" s="5"/>
      <c r="W370" s="5"/>
      <c r="X370" s="5"/>
      <c r="Y370" s="5"/>
      <c r="Z370" s="5"/>
      <c r="AB370" s="5"/>
      <c r="AC370" s="5"/>
      <c r="AD370" s="5"/>
      <c r="AE370" s="5"/>
      <c r="AG370" s="5"/>
      <c r="AH370" s="5"/>
      <c r="AI370" s="5"/>
      <c r="AJ370" s="5"/>
      <c r="AL370" s="5"/>
      <c r="AM370" s="5"/>
      <c r="AN370" s="5"/>
      <c r="AO370" s="5"/>
      <c r="AQ370" s="5"/>
      <c r="AR370" s="5"/>
      <c r="AS370" s="5"/>
      <c r="AT370" s="5"/>
      <c r="BD370" s="5"/>
      <c r="BF370" s="5"/>
      <c r="BG370" s="5"/>
      <c r="BH370" s="5"/>
      <c r="BI370" s="5"/>
      <c r="BM370" s="5"/>
      <c r="BN370" s="5"/>
      <c r="BP370" s="5"/>
      <c r="BQ370" s="5"/>
      <c r="BR370" s="5"/>
      <c r="BS370" s="5"/>
      <c r="BU370" s="5"/>
      <c r="BV370" s="5"/>
      <c r="BW370" s="5"/>
      <c r="BX370" s="5"/>
      <c r="BZ370" s="5"/>
      <c r="CA370" s="5"/>
      <c r="CB370" s="5"/>
      <c r="CC370" s="5"/>
      <c r="CE370" s="5"/>
      <c r="CF370" s="5"/>
      <c r="CG370" s="5"/>
      <c r="CH370" s="5"/>
      <c r="CO370" s="13"/>
      <c r="CP370" s="5"/>
      <c r="CQ370" s="5"/>
      <c r="CR370" s="5"/>
      <c r="CT370" s="5"/>
      <c r="CU370" s="5"/>
      <c r="CV370" s="5"/>
      <c r="CW370" s="5"/>
      <c r="CY370" s="5"/>
      <c r="CZ370" s="5"/>
      <c r="DA370" s="5"/>
      <c r="DB370" s="5"/>
      <c r="DD370" s="5"/>
      <c r="DE370" s="5"/>
      <c r="DF370" s="5"/>
      <c r="DG370" s="5"/>
      <c r="DI370" s="5"/>
      <c r="DJ370" s="5"/>
      <c r="DK370" s="5"/>
      <c r="DL370" s="5"/>
      <c r="DN370" s="5"/>
      <c r="DO370" s="5"/>
      <c r="DP370" s="5"/>
      <c r="DQ370" s="5"/>
      <c r="DS370" s="5"/>
      <c r="DT370" s="5"/>
      <c r="DU370" s="5"/>
      <c r="DV370" s="5"/>
      <c r="DX370" s="5"/>
      <c r="DY370" s="5"/>
      <c r="DZ370" s="5"/>
      <c r="EA370" s="5"/>
      <c r="EC370" s="5"/>
      <c r="ED370" s="5"/>
      <c r="EE370" s="5"/>
      <c r="EF370" s="5"/>
      <c r="EH370" s="5"/>
      <c r="EI370" s="5"/>
      <c r="EJ370" s="5"/>
      <c r="EK370" s="5"/>
      <c r="EX370" s="659">
        <f t="shared" si="3"/>
        <v>0</v>
      </c>
    </row>
    <row r="371" spans="1:155" s="6" customFormat="1" ht="15" customHeight="1">
      <c r="A371" s="3"/>
      <c r="B371" s="210" t="s">
        <v>1513</v>
      </c>
      <c r="C371" s="473" t="s">
        <v>0</v>
      </c>
      <c r="D371" s="138"/>
      <c r="E371" s="5"/>
      <c r="F371" s="5"/>
      <c r="G371" s="5"/>
      <c r="H371" s="5"/>
      <c r="I371" s="4"/>
      <c r="J371" s="4"/>
      <c r="K371" s="4"/>
      <c r="L371" s="4"/>
      <c r="M371" s="4"/>
      <c r="N371" s="661"/>
      <c r="O371" s="4"/>
      <c r="P371" s="4"/>
      <c r="Q371" s="4"/>
      <c r="R371" s="5"/>
      <c r="S371" s="5"/>
      <c r="U371" s="5"/>
      <c r="W371" s="5"/>
      <c r="X371" s="5"/>
      <c r="Y371" s="5"/>
      <c r="Z371" s="5"/>
      <c r="AB371" s="5"/>
      <c r="AC371" s="5"/>
      <c r="AD371" s="5"/>
      <c r="AE371" s="5"/>
      <c r="AG371" s="5"/>
      <c r="AH371" s="5"/>
      <c r="AI371" s="5"/>
      <c r="AJ371" s="5"/>
      <c r="AL371" s="5"/>
      <c r="AM371" s="5"/>
      <c r="AN371" s="5"/>
      <c r="AO371" s="5"/>
      <c r="AQ371" s="5"/>
      <c r="AR371" s="5"/>
      <c r="AS371" s="5"/>
      <c r="AT371" s="5"/>
      <c r="BD371" s="5"/>
      <c r="BF371" s="5"/>
      <c r="BG371" s="5"/>
      <c r="BH371" s="5"/>
      <c r="BI371" s="5"/>
      <c r="BM371" s="5"/>
      <c r="BN371" s="5"/>
      <c r="BP371" s="5"/>
      <c r="BQ371" s="5"/>
      <c r="BR371" s="5"/>
      <c r="BS371" s="5"/>
      <c r="BU371" s="5"/>
      <c r="BV371" s="5"/>
      <c r="BW371" s="5"/>
      <c r="BX371" s="5"/>
      <c r="BZ371" s="5"/>
      <c r="CA371" s="5"/>
      <c r="CB371" s="5"/>
      <c r="CC371" s="5"/>
      <c r="CE371" s="5"/>
      <c r="CF371" s="5"/>
      <c r="CG371" s="5"/>
      <c r="CH371" s="5"/>
      <c r="CO371" s="13"/>
      <c r="CP371" s="5"/>
      <c r="CQ371" s="5"/>
      <c r="CR371" s="5"/>
      <c r="CT371" s="5"/>
      <c r="CU371" s="5"/>
      <c r="CV371" s="5"/>
      <c r="CW371" s="5"/>
      <c r="CY371" s="5"/>
      <c r="CZ371" s="5"/>
      <c r="DA371" s="5"/>
      <c r="DB371" s="5"/>
      <c r="DD371" s="5"/>
      <c r="DE371" s="5"/>
      <c r="DF371" s="5"/>
      <c r="DG371" s="5"/>
      <c r="DI371" s="5"/>
      <c r="DJ371" s="5"/>
      <c r="DK371" s="5"/>
      <c r="DL371" s="5"/>
      <c r="DN371" s="5"/>
      <c r="DO371" s="5"/>
      <c r="DP371" s="5"/>
      <c r="DQ371" s="5"/>
      <c r="DS371" s="5"/>
      <c r="DT371" s="5"/>
      <c r="DU371" s="5"/>
      <c r="DV371" s="5"/>
      <c r="DX371" s="5"/>
      <c r="DY371" s="5"/>
      <c r="DZ371" s="5"/>
      <c r="EA371" s="5"/>
      <c r="EC371" s="5"/>
      <c r="ED371" s="5"/>
      <c r="EE371" s="5"/>
      <c r="EF371" s="5"/>
      <c r="EH371" s="5"/>
      <c r="EI371" s="5"/>
      <c r="EJ371" s="5"/>
      <c r="EK371" s="5"/>
      <c r="EX371" s="659">
        <f t="shared" si="3"/>
        <v>0</v>
      </c>
    </row>
    <row r="372" spans="1:155" s="6" customFormat="1" ht="15" customHeight="1">
      <c r="A372" s="3"/>
      <c r="B372" s="210" t="s">
        <v>1514</v>
      </c>
      <c r="C372" s="473" t="s">
        <v>0</v>
      </c>
      <c r="D372" s="138"/>
      <c r="E372" s="5"/>
      <c r="F372" s="5"/>
      <c r="G372" s="5"/>
      <c r="H372" s="5"/>
      <c r="I372" s="4"/>
      <c r="J372" s="4"/>
      <c r="K372" s="4"/>
      <c r="L372" s="4"/>
      <c r="M372" s="4"/>
      <c r="N372" s="661"/>
      <c r="O372" s="4"/>
      <c r="P372" s="4"/>
      <c r="Q372" s="4"/>
      <c r="R372" s="5"/>
      <c r="S372" s="5"/>
      <c r="U372" s="5"/>
      <c r="W372" s="5"/>
      <c r="X372" s="5"/>
      <c r="Y372" s="5"/>
      <c r="Z372" s="5"/>
      <c r="AB372" s="5"/>
      <c r="AC372" s="5"/>
      <c r="AD372" s="5"/>
      <c r="AE372" s="5"/>
      <c r="AG372" s="5"/>
      <c r="AH372" s="5"/>
      <c r="AI372" s="5"/>
      <c r="AJ372" s="5"/>
      <c r="AL372" s="5"/>
      <c r="AM372" s="5"/>
      <c r="AN372" s="5"/>
      <c r="AO372" s="5"/>
      <c r="AQ372" s="5"/>
      <c r="AR372" s="5"/>
      <c r="AS372" s="5"/>
      <c r="AT372" s="5"/>
      <c r="BD372" s="5"/>
      <c r="BF372" s="5"/>
      <c r="BG372" s="5"/>
      <c r="BH372" s="5"/>
      <c r="BI372" s="5"/>
      <c r="BM372" s="5"/>
      <c r="BN372" s="5"/>
      <c r="BP372" s="5"/>
      <c r="BQ372" s="5"/>
      <c r="BR372" s="5"/>
      <c r="BS372" s="5"/>
      <c r="BU372" s="5"/>
      <c r="BV372" s="5"/>
      <c r="BW372" s="5"/>
      <c r="BX372" s="5"/>
      <c r="BZ372" s="5"/>
      <c r="CA372" s="5"/>
      <c r="CB372" s="5"/>
      <c r="CC372" s="5"/>
      <c r="CE372" s="5"/>
      <c r="CF372" s="5"/>
      <c r="CG372" s="5"/>
      <c r="CH372" s="5"/>
      <c r="CO372" s="13"/>
      <c r="CP372" s="5"/>
      <c r="CQ372" s="5"/>
      <c r="CR372" s="5"/>
      <c r="CT372" s="5"/>
      <c r="CU372" s="5"/>
      <c r="CV372" s="5"/>
      <c r="CW372" s="5"/>
      <c r="CY372" s="5"/>
      <c r="CZ372" s="5"/>
      <c r="DA372" s="5"/>
      <c r="DB372" s="5"/>
      <c r="DD372" s="5"/>
      <c r="DE372" s="5"/>
      <c r="DF372" s="5"/>
      <c r="DG372" s="5"/>
      <c r="DI372" s="5"/>
      <c r="DJ372" s="5"/>
      <c r="DK372" s="5"/>
      <c r="DL372" s="5"/>
      <c r="DN372" s="5"/>
      <c r="DO372" s="5"/>
      <c r="DP372" s="5"/>
      <c r="DQ372" s="5"/>
      <c r="DS372" s="5"/>
      <c r="DT372" s="5"/>
      <c r="DU372" s="5"/>
      <c r="DV372" s="5"/>
      <c r="DX372" s="5"/>
      <c r="DY372" s="5"/>
      <c r="DZ372" s="5"/>
      <c r="EA372" s="5"/>
      <c r="EC372" s="5"/>
      <c r="ED372" s="5"/>
      <c r="EE372" s="5"/>
      <c r="EF372" s="5"/>
      <c r="EH372" s="5"/>
      <c r="EI372" s="5"/>
      <c r="EJ372" s="5"/>
      <c r="EK372" s="5"/>
      <c r="EX372" s="659">
        <f t="shared" si="3"/>
        <v>0</v>
      </c>
    </row>
    <row r="373" spans="1:155" s="6" customFormat="1" ht="15" customHeight="1">
      <c r="A373" s="56" t="s">
        <v>225</v>
      </c>
      <c r="B373" s="210" t="s">
        <v>225</v>
      </c>
      <c r="C373" s="473" t="s">
        <v>515</v>
      </c>
      <c r="D373" s="138"/>
      <c r="E373" s="5"/>
      <c r="F373" s="5"/>
      <c r="G373" s="5"/>
      <c r="H373" s="5"/>
      <c r="I373" s="4"/>
      <c r="J373" s="4">
        <v>2</v>
      </c>
      <c r="K373" s="4">
        <f>SUM(K5:K26)*J373</f>
        <v>0</v>
      </c>
      <c r="L373" s="4"/>
      <c r="M373" s="4">
        <v>6</v>
      </c>
      <c r="N373" s="661">
        <f>SUM(N5:N26,O5:O26,P5:P26)*M373</f>
        <v>0</v>
      </c>
      <c r="O373" s="4"/>
      <c r="P373" s="4"/>
      <c r="Q373" s="4"/>
      <c r="R373" s="5"/>
      <c r="S373" s="5"/>
      <c r="U373" s="5"/>
      <c r="W373" s="5"/>
      <c r="X373" s="5"/>
      <c r="Y373" s="5"/>
      <c r="Z373" s="5"/>
      <c r="AB373" s="5"/>
      <c r="AC373" s="5"/>
      <c r="AD373" s="5"/>
      <c r="AE373" s="5"/>
      <c r="AG373" s="5"/>
      <c r="AH373" s="5"/>
      <c r="AI373" s="5"/>
      <c r="AJ373" s="5"/>
      <c r="AL373" s="5"/>
      <c r="AM373" s="5"/>
      <c r="AN373" s="5"/>
      <c r="AO373" s="5"/>
      <c r="AQ373" s="5"/>
      <c r="AR373" s="5"/>
      <c r="AS373" s="5"/>
      <c r="AT373" s="5"/>
      <c r="BD373" s="5"/>
      <c r="BF373" s="5"/>
      <c r="BG373" s="5"/>
      <c r="BH373" s="5"/>
      <c r="BI373" s="5"/>
      <c r="BM373" s="5"/>
      <c r="BN373" s="5"/>
      <c r="BP373" s="5"/>
      <c r="BQ373" s="5"/>
      <c r="BR373" s="5"/>
      <c r="BS373" s="5"/>
      <c r="BU373" s="5"/>
      <c r="BV373" s="5"/>
      <c r="BW373" s="5"/>
      <c r="BX373" s="5"/>
      <c r="BZ373" s="5"/>
      <c r="CA373" s="5"/>
      <c r="CB373" s="5"/>
      <c r="CC373" s="5"/>
      <c r="CE373" s="5"/>
      <c r="CF373" s="5"/>
      <c r="CG373" s="5"/>
      <c r="CH373" s="5"/>
      <c r="CO373" s="13"/>
      <c r="CP373" s="5"/>
      <c r="CQ373" s="5"/>
      <c r="CR373" s="5"/>
      <c r="CT373" s="5"/>
      <c r="CU373" s="5"/>
      <c r="CV373" s="5"/>
      <c r="CW373" s="5"/>
      <c r="CY373" s="5"/>
      <c r="CZ373" s="5"/>
      <c r="DA373" s="5"/>
      <c r="DB373" s="5"/>
      <c r="DD373" s="5"/>
      <c r="DE373" s="5"/>
      <c r="DF373" s="5"/>
      <c r="DG373" s="5"/>
      <c r="DI373" s="5"/>
      <c r="DJ373" s="5"/>
      <c r="DK373" s="5"/>
      <c r="DL373" s="5"/>
      <c r="DN373" s="5"/>
      <c r="DO373" s="5"/>
      <c r="DP373" s="5"/>
      <c r="DQ373" s="5"/>
      <c r="DS373" s="5"/>
      <c r="DT373" s="5"/>
      <c r="DU373" s="5"/>
      <c r="DV373" s="5"/>
      <c r="DX373" s="5"/>
      <c r="DY373" s="5"/>
      <c r="DZ373" s="5"/>
      <c r="EA373" s="5"/>
      <c r="EC373" s="5"/>
      <c r="ED373" s="5"/>
      <c r="EE373" s="5"/>
      <c r="EF373" s="5"/>
      <c r="EH373" s="5"/>
      <c r="EI373" s="5"/>
      <c r="EJ373" s="5"/>
      <c r="EK373" s="5"/>
      <c r="EX373" s="659">
        <f t="shared" si="3"/>
        <v>0</v>
      </c>
    </row>
    <row r="374" spans="1:155" s="6" customFormat="1" ht="15" customHeight="1">
      <c r="A374" s="3" t="s">
        <v>34</v>
      </c>
      <c r="B374" s="210" t="s">
        <v>34</v>
      </c>
      <c r="C374" s="473" t="s">
        <v>515</v>
      </c>
      <c r="D374" s="138"/>
      <c r="E374" s="5"/>
      <c r="F374" s="5"/>
      <c r="G374" s="5"/>
      <c r="H374" s="5"/>
      <c r="I374" s="4"/>
      <c r="J374" s="4"/>
      <c r="K374" s="4"/>
      <c r="L374" s="4"/>
      <c r="M374" s="4"/>
      <c r="N374" s="661"/>
      <c r="O374" s="4"/>
      <c r="P374" s="4"/>
      <c r="Q374" s="4"/>
      <c r="R374" s="5"/>
      <c r="S374" s="5"/>
      <c r="T374" s="6">
        <f>C14</f>
        <v>0</v>
      </c>
      <c r="U374" s="5"/>
      <c r="W374" s="5"/>
      <c r="X374" s="5"/>
      <c r="Y374" s="5"/>
      <c r="Z374" s="5"/>
      <c r="AB374" s="5"/>
      <c r="AC374" s="5"/>
      <c r="AD374" s="5"/>
      <c r="AE374" s="5"/>
      <c r="AG374" s="5"/>
      <c r="AH374" s="5"/>
      <c r="AI374" s="5"/>
      <c r="AJ374" s="5"/>
      <c r="AL374" s="5"/>
      <c r="AM374" s="5"/>
      <c r="AN374" s="5"/>
      <c r="AO374" s="5"/>
      <c r="AQ374" s="5"/>
      <c r="AR374" s="5"/>
      <c r="AS374" s="5"/>
      <c r="AT374" s="5"/>
      <c r="BD374" s="5"/>
      <c r="BF374" s="5"/>
      <c r="BG374" s="5"/>
      <c r="BH374" s="5"/>
      <c r="BI374" s="5"/>
      <c r="BM374" s="5"/>
      <c r="BN374" s="5"/>
      <c r="BP374" s="5"/>
      <c r="BQ374" s="5"/>
      <c r="BR374" s="5"/>
      <c r="BS374" s="5"/>
      <c r="BU374" s="5"/>
      <c r="BV374" s="5"/>
      <c r="BW374" s="5"/>
      <c r="BX374" s="5"/>
      <c r="BZ374" s="5"/>
      <c r="CA374" s="5"/>
      <c r="CB374" s="5"/>
      <c r="CC374" s="5"/>
      <c r="CE374" s="5"/>
      <c r="CF374" s="5"/>
      <c r="CG374" s="5"/>
      <c r="CH374" s="5"/>
      <c r="CO374" s="13"/>
      <c r="CP374" s="5"/>
      <c r="CQ374" s="5"/>
      <c r="CR374" s="5"/>
      <c r="CT374" s="5"/>
      <c r="CU374" s="5"/>
      <c r="CV374" s="5"/>
      <c r="CW374" s="5"/>
      <c r="CY374" s="5"/>
      <c r="CZ374" s="5"/>
      <c r="DA374" s="5"/>
      <c r="DB374" s="5"/>
      <c r="DD374" s="5"/>
      <c r="DE374" s="5"/>
      <c r="DF374" s="5"/>
      <c r="DG374" s="5"/>
      <c r="DI374" s="5"/>
      <c r="DJ374" s="5"/>
      <c r="DK374" s="5"/>
      <c r="DL374" s="5"/>
      <c r="DN374" s="5"/>
      <c r="DO374" s="5"/>
      <c r="DP374" s="5"/>
      <c r="DQ374" s="5"/>
      <c r="DS374" s="5"/>
      <c r="DT374" s="5"/>
      <c r="DU374" s="5"/>
      <c r="DV374" s="5"/>
      <c r="DX374" s="5"/>
      <c r="DY374" s="5"/>
      <c r="DZ374" s="5"/>
      <c r="EA374" s="5"/>
      <c r="EC374" s="5"/>
      <c r="ED374" s="5"/>
      <c r="EE374" s="5"/>
      <c r="EF374" s="5"/>
      <c r="EH374" s="5"/>
      <c r="EI374" s="5"/>
      <c r="EJ374" s="5"/>
      <c r="EK374" s="5"/>
      <c r="EX374" s="659">
        <f t="shared" si="3"/>
        <v>0</v>
      </c>
    </row>
    <row r="375" spans="1:155" s="6" customFormat="1" ht="15" customHeight="1">
      <c r="A375" s="3" t="s">
        <v>230</v>
      </c>
      <c r="B375" s="210" t="s">
        <v>230</v>
      </c>
      <c r="C375" s="473" t="s">
        <v>515</v>
      </c>
      <c r="D375" s="138"/>
      <c r="E375" s="5"/>
      <c r="F375" s="5">
        <f>SUM(F16:F26,G16:G26,H16:H26)*E375</f>
        <v>0</v>
      </c>
      <c r="I375" s="4"/>
      <c r="J375" s="4"/>
      <c r="K375" s="4"/>
      <c r="L375" s="4"/>
      <c r="M375" s="4"/>
      <c r="N375" s="4"/>
      <c r="O375" s="4"/>
      <c r="P375" s="4"/>
      <c r="Q375" s="4"/>
      <c r="R375" s="5"/>
      <c r="S375" s="5"/>
      <c r="U375" s="5"/>
      <c r="W375" s="5"/>
      <c r="X375" s="5"/>
      <c r="Y375" s="5"/>
      <c r="Z375" s="5"/>
      <c r="AB375" s="5"/>
      <c r="AC375" s="5"/>
      <c r="AD375" s="5"/>
      <c r="AE375" s="5"/>
      <c r="AG375" s="5"/>
      <c r="AH375" s="5"/>
      <c r="AI375" s="5"/>
      <c r="AJ375" s="5"/>
      <c r="AL375" s="5"/>
      <c r="AM375" s="5"/>
      <c r="AN375" s="5"/>
      <c r="AO375" s="5"/>
      <c r="AQ375" s="5"/>
      <c r="AR375" s="5"/>
      <c r="AS375" s="5"/>
      <c r="AT375" s="5"/>
      <c r="AV375" s="6">
        <v>1</v>
      </c>
      <c r="AW375" s="5">
        <f>SUM(AW16:AW26,AX16:AX26,AY16:AY26)*AV375</f>
        <v>0</v>
      </c>
      <c r="BA375" s="6">
        <v>1</v>
      </c>
      <c r="BB375" s="5">
        <f>SUM(BB16:BB26,BC16:BC26,BD16:BD26)*BA375</f>
        <v>0</v>
      </c>
      <c r="BD375" s="5"/>
      <c r="BF375" s="5">
        <v>2</v>
      </c>
      <c r="BG375" s="5">
        <f>SUM(BG16:BG26,BH16:BH26,BI16:BI26)*BF375</f>
        <v>0</v>
      </c>
      <c r="BH375" s="5"/>
      <c r="BI375" s="5"/>
      <c r="BK375" s="6">
        <v>2</v>
      </c>
      <c r="BL375" s="5">
        <f>SUM(BL16:BL26,BM16:BM26,BN16:BN26)*BK375</f>
        <v>0</v>
      </c>
      <c r="BM375" s="5"/>
      <c r="BN375" s="5"/>
      <c r="BP375" s="5">
        <v>2</v>
      </c>
      <c r="BQ375" s="5">
        <f>SUM(BQ16:BQ26,BR16:BR26,BS16:BS26)*BP375</f>
        <v>0</v>
      </c>
      <c r="BR375" s="5"/>
      <c r="BS375" s="5"/>
      <c r="BU375" s="5">
        <v>2</v>
      </c>
      <c r="BV375" s="5">
        <f>SUM(BV16:BV26,BW16:BW26,BX16:BX26)*BU375</f>
        <v>0</v>
      </c>
      <c r="BW375" s="5"/>
      <c r="BX375" s="5"/>
      <c r="BZ375" s="5">
        <v>4</v>
      </c>
      <c r="CA375" s="5">
        <f>SUM(CA16:CA26,CB16:CB26,CC16:CC26)*BZ375</f>
        <v>0</v>
      </c>
      <c r="CB375" s="5"/>
      <c r="CC375" s="5"/>
      <c r="CE375" s="5">
        <v>4</v>
      </c>
      <c r="CF375" s="5">
        <f>SUM(CF16:CF26,CG16:CG26,CH16:CH26)*CE375</f>
        <v>0</v>
      </c>
      <c r="CG375" s="5"/>
      <c r="CH375" s="5"/>
      <c r="CK375" s="6">
        <f>CK16*CJ375+CL16*CJ375+CK17*CJ375+CL17*CJ375+CK18*CJ375+CL18*CJ375+CK19*CJ375+CL19*CJ375+CK20*CJ375+CL20*CJ375+CK21*CJ375+CL21*CJ375+CK22*CJ375+CL22*CJ375+CK23*CJ375+CL23*CJ375+CK24*CJ375+CL24*CJ375+CK25*CJ375+CL25*CJ375+CK26*CJ375+CL26*CJ375+CM16*CJ375+CM17*CJ375+CM18*CJ375+CM19*CJ375+CM20*CJ375+CM21*CJ375+CM22*CJ375+CM23*CJ375+CM24*CJ375+CM25*CJ375+CM26*CJ375</f>
        <v>0</v>
      </c>
      <c r="CO375" s="13">
        <v>2</v>
      </c>
      <c r="CP375" s="5">
        <f>CP16*CO375+CQ16*CO375+CP17*CO375+CQ17*CO375+CP18*CO375+CQ18*CO375+CP19*CO375+CQ19*CO375+CP20*CO375+CQ20*CO375+CP21*CO375+CQ21*CO375+CP22*CO375+CQ22*CO375+CP23*CO375+CQ23*CO375+CP24*CO375+CQ24*CO375+CP25*CO375+CQ25*CO375+CP26*CO375+CQ26*CO375+CR16*CO375+CR17*CO375+CR18*CO375+CR19*CO375+CR20*CO375+CR21*CO375+CR22*CO375+CR23*CO375+CR24*CO375+CR25*CO375+CR26*CO375</f>
        <v>0</v>
      </c>
      <c r="CQ375" s="5"/>
      <c r="CR375" s="5"/>
      <c r="CT375" s="5">
        <v>3</v>
      </c>
      <c r="CU375" s="5">
        <f>SUM(CU16:CU26,CV16:CV26,CW16:CW26)*CT375</f>
        <v>0</v>
      </c>
      <c r="CV375" s="5"/>
      <c r="CW375" s="5"/>
      <c r="CY375" s="5">
        <v>4</v>
      </c>
      <c r="CZ375" s="5">
        <f>SUM(CZ16:CZ26,DA16:DA26,DB16:DB26)*CY375</f>
        <v>0</v>
      </c>
      <c r="DA375" s="5"/>
      <c r="DB375" s="5"/>
      <c r="DD375" s="5">
        <v>2</v>
      </c>
      <c r="DE375" s="5">
        <f>SUM(DE16:DE26,DF16:DF26,DG16:DG26)*DD375</f>
        <v>0</v>
      </c>
      <c r="DF375" s="5"/>
      <c r="DG375" s="5"/>
      <c r="DI375" s="5">
        <v>2</v>
      </c>
      <c r="DJ375" s="5">
        <f>SUM(DJ16:DJ26,DK16:DK26,DL16:DL26)*DI375</f>
        <v>0</v>
      </c>
      <c r="DK375" s="5"/>
      <c r="DL375" s="5"/>
      <c r="DN375" s="5">
        <v>2</v>
      </c>
      <c r="DO375" s="5">
        <f>SUM(DO16:DO26,DP16:DP26,DQ16:DQ26)*DN375</f>
        <v>0</v>
      </c>
      <c r="DP375" s="5"/>
      <c r="DQ375" s="5"/>
      <c r="DS375" s="5">
        <v>3</v>
      </c>
      <c r="DT375" s="5">
        <f>SUM(DT16:DT26,DU16:DU26,DV16:DV26)*DS375</f>
        <v>0</v>
      </c>
      <c r="DU375" s="5"/>
      <c r="DV375" s="5"/>
      <c r="DX375" s="5">
        <v>3</v>
      </c>
      <c r="DY375" s="5">
        <f>SUM(DY16:DY26,DZ16:DZ26,EA16:EA26)*DX375</f>
        <v>0</v>
      </c>
      <c r="DZ375" s="5"/>
      <c r="EA375" s="5"/>
      <c r="EC375" s="5">
        <v>3</v>
      </c>
      <c r="ED375" s="5">
        <f>SUM(ED16:ED26,EE16:EE26,EF16:EF26)*EC375</f>
        <v>0</v>
      </c>
      <c r="EE375" s="5"/>
      <c r="EF375" s="5"/>
      <c r="EH375" s="5">
        <v>3</v>
      </c>
      <c r="EI375" s="5">
        <f>SUM(EI16:EI26,EJ16:EJ26,EK16:EK26)*EH375</f>
        <v>0</v>
      </c>
      <c r="EJ375" s="5"/>
      <c r="EK375" s="5"/>
      <c r="EX375" s="659">
        <f t="shared" si="3"/>
        <v>0</v>
      </c>
    </row>
    <row r="376" spans="1:155" s="6" customFormat="1" ht="15" customHeight="1">
      <c r="A376" s="3" t="s">
        <v>238</v>
      </c>
      <c r="B376" s="210" t="s">
        <v>238</v>
      </c>
      <c r="C376" s="473" t="s">
        <v>515</v>
      </c>
      <c r="D376" s="138"/>
      <c r="E376" s="5"/>
      <c r="F376" s="5"/>
      <c r="G376" s="5"/>
      <c r="H376" s="5"/>
      <c r="I376" s="4"/>
      <c r="J376" s="4"/>
      <c r="K376" s="4"/>
      <c r="L376" s="4"/>
      <c r="M376" s="4"/>
      <c r="N376" s="4"/>
      <c r="O376" s="4"/>
      <c r="P376" s="4"/>
      <c r="Q376" s="4"/>
      <c r="R376" s="5"/>
      <c r="S376" s="5"/>
      <c r="U376" s="5"/>
      <c r="W376" s="5"/>
      <c r="X376" s="5"/>
      <c r="Y376" s="5"/>
      <c r="Z376" s="5"/>
      <c r="AB376" s="5"/>
      <c r="AC376" s="5"/>
      <c r="AD376" s="5"/>
      <c r="AE376" s="5"/>
      <c r="AG376" s="5"/>
      <c r="AH376" s="5"/>
      <c r="AI376" s="5"/>
      <c r="AJ376" s="5"/>
      <c r="AL376" s="5"/>
      <c r="AM376" s="5"/>
      <c r="AN376" s="5"/>
      <c r="AO376" s="5"/>
      <c r="AQ376" s="5"/>
      <c r="AR376" s="5"/>
      <c r="AS376" s="5"/>
      <c r="AT376" s="5"/>
      <c r="BD376" s="5"/>
      <c r="BF376" s="5"/>
      <c r="BG376" s="5"/>
      <c r="BH376" s="5"/>
      <c r="BI376" s="5"/>
      <c r="BM376" s="5"/>
      <c r="BN376" s="5"/>
      <c r="BP376" s="5"/>
      <c r="BQ376" s="5"/>
      <c r="BR376" s="5"/>
      <c r="BS376" s="5"/>
      <c r="BU376" s="5"/>
      <c r="BV376" s="5"/>
      <c r="BW376" s="5"/>
      <c r="BX376" s="5"/>
      <c r="BZ376" s="5"/>
      <c r="CA376" s="5"/>
      <c r="CB376" s="5"/>
      <c r="CC376" s="5"/>
      <c r="CE376" s="5"/>
      <c r="CF376" s="5"/>
      <c r="CG376" s="5"/>
      <c r="CH376" s="5"/>
      <c r="CO376" s="13"/>
      <c r="CP376" s="5"/>
      <c r="CQ376" s="5"/>
      <c r="CR376" s="5"/>
      <c r="CT376" s="5"/>
      <c r="CU376" s="5"/>
      <c r="CV376" s="5"/>
      <c r="CW376" s="5"/>
      <c r="CY376" s="5"/>
      <c r="CZ376" s="5"/>
      <c r="DA376" s="5"/>
      <c r="DB376" s="5"/>
      <c r="DD376" s="5"/>
      <c r="DE376" s="5"/>
      <c r="DF376" s="5"/>
      <c r="DG376" s="5"/>
      <c r="DI376" s="5">
        <v>2</v>
      </c>
      <c r="DJ376" s="5">
        <f>DJ16*DI376+DK16*DI376+DL16*DI376+DJ20*DI376+DK20*DI376+DL20*DI376</f>
        <v>0</v>
      </c>
      <c r="DK376" s="5"/>
      <c r="DL376" s="5"/>
      <c r="DN376" s="5">
        <v>2</v>
      </c>
      <c r="DO376" s="5">
        <f>DO16*DN376+DP16*DN376+DQ16*DN376+DO20*DN376+DP20*DN376+DQ20*DN376</f>
        <v>0</v>
      </c>
      <c r="DP376" s="5"/>
      <c r="DQ376" s="5"/>
      <c r="DS376" s="5">
        <v>2</v>
      </c>
      <c r="DT376" s="5">
        <f>DT16*DS376+DU16*DS376+DV16*DS376+DT20*DS376+DU20*DS376+DV20*DS376</f>
        <v>0</v>
      </c>
      <c r="DU376" s="5"/>
      <c r="DV376" s="5"/>
      <c r="DX376" s="5">
        <v>2</v>
      </c>
      <c r="DY376" s="5">
        <f>DY16*DX376+DZ16*DX376+EA16*DX376+DY20*DX376+DZ20*DX376+EA20*DX376</f>
        <v>0</v>
      </c>
      <c r="DZ376" s="5"/>
      <c r="EA376" s="5"/>
      <c r="EC376" s="5">
        <v>2</v>
      </c>
      <c r="ED376" s="5">
        <f>ED16*EC376+EE16*EC376+EF16*EC376+ED20*EC376+EE20*EC376+EF20*EC376</f>
        <v>0</v>
      </c>
      <c r="EE376" s="5"/>
      <c r="EF376" s="5"/>
      <c r="EH376" s="5">
        <v>2</v>
      </c>
      <c r="EI376" s="5">
        <f>EI16*EH376+EJ16*EH376+EK16*EH376+EI20*EH376+EJ20*EH376+EK20*EH376</f>
        <v>0</v>
      </c>
      <c r="EJ376" s="5"/>
      <c r="EK376" s="5"/>
      <c r="EX376" s="659">
        <f t="shared" si="3"/>
        <v>0</v>
      </c>
    </row>
    <row r="377" spans="1:155" s="6" customFormat="1" ht="15" customHeight="1">
      <c r="A377" s="3" t="s">
        <v>239</v>
      </c>
      <c r="B377" s="210" t="s">
        <v>239</v>
      </c>
      <c r="C377" s="473" t="s">
        <v>515</v>
      </c>
      <c r="D377" s="138"/>
      <c r="E377" s="5"/>
      <c r="F377" s="5"/>
      <c r="G377" s="5"/>
      <c r="H377" s="5"/>
      <c r="I377" s="4"/>
      <c r="J377" s="4"/>
      <c r="K377" s="4"/>
      <c r="L377" s="4"/>
      <c r="M377" s="4"/>
      <c r="N377" s="4"/>
      <c r="O377" s="4"/>
      <c r="P377" s="4"/>
      <c r="Q377" s="4"/>
      <c r="R377" s="5"/>
      <c r="S377" s="5"/>
      <c r="U377" s="5"/>
      <c r="W377" s="5"/>
      <c r="X377" s="5"/>
      <c r="Y377" s="5"/>
      <c r="Z377" s="5"/>
      <c r="AB377" s="5"/>
      <c r="AC377" s="5"/>
      <c r="AD377" s="5"/>
      <c r="AE377" s="5"/>
      <c r="AG377" s="5"/>
      <c r="AH377" s="5"/>
      <c r="AI377" s="5"/>
      <c r="AJ377" s="5"/>
      <c r="AL377" s="5"/>
      <c r="AM377" s="5"/>
      <c r="AN377" s="5"/>
      <c r="AO377" s="5"/>
      <c r="AQ377" s="5"/>
      <c r="AR377" s="5"/>
      <c r="AS377" s="5"/>
      <c r="AT377" s="5"/>
      <c r="BD377" s="5"/>
      <c r="BF377" s="5"/>
      <c r="BG377" s="5"/>
      <c r="BH377" s="5"/>
      <c r="BI377" s="5"/>
      <c r="BM377" s="5"/>
      <c r="BN377" s="5"/>
      <c r="BP377" s="5"/>
      <c r="BQ377" s="5"/>
      <c r="BR377" s="5"/>
      <c r="BS377" s="5"/>
      <c r="BU377" s="5"/>
      <c r="BV377" s="5"/>
      <c r="BW377" s="5"/>
      <c r="BX377" s="5"/>
      <c r="BZ377" s="5"/>
      <c r="CA377" s="5"/>
      <c r="CB377" s="5"/>
      <c r="CC377" s="5"/>
      <c r="CE377" s="5"/>
      <c r="CF377" s="5"/>
      <c r="CG377" s="5"/>
      <c r="CH377" s="5"/>
      <c r="CO377" s="13"/>
      <c r="CP377" s="5"/>
      <c r="CQ377" s="5"/>
      <c r="CR377" s="5"/>
      <c r="CT377" s="5"/>
      <c r="CU377" s="5"/>
      <c r="CV377" s="5"/>
      <c r="CW377" s="5"/>
      <c r="CY377" s="5"/>
      <c r="CZ377" s="5"/>
      <c r="DA377" s="5"/>
      <c r="DB377" s="5"/>
      <c r="DD377" s="5"/>
      <c r="DE377" s="5"/>
      <c r="DF377" s="5"/>
      <c r="DG377" s="5"/>
      <c r="DI377" s="5">
        <v>2</v>
      </c>
      <c r="DJ377" s="5">
        <f>DJ17*DI377+DK17*DI377+DL17*DI377+DJ21*DI377+DK21*DI377+DL21*DI377+DJ24*DI377+DK24*DI377+DL24*DI377</f>
        <v>0</v>
      </c>
      <c r="DK377" s="5"/>
      <c r="DL377" s="5"/>
      <c r="DN377" s="5">
        <v>2</v>
      </c>
      <c r="DO377" s="5">
        <f>DO17*DN377+DP17*DN377+DQ17*DN377+DO21*DN377+DP21*DN377+DQ21*DN377+DO24*DN377+DP24*DN377+DQ24*DN377</f>
        <v>0</v>
      </c>
      <c r="DP377" s="5"/>
      <c r="DQ377" s="5"/>
      <c r="DS377" s="5">
        <v>2</v>
      </c>
      <c r="DT377" s="5">
        <f>DT17*DS377+DU17*DS377+DV17*DS377+DT21*DS377+DU21*DS377+DV21*DS377+DT24*DS377+DU24*DS377+DV24*DS377</f>
        <v>0</v>
      </c>
      <c r="DU377" s="5"/>
      <c r="DV377" s="5"/>
      <c r="DX377" s="5">
        <v>2</v>
      </c>
      <c r="DY377" s="5">
        <f>DY17*DX377+DZ17*DX377+EA17*DX377+DY21*DX377+DZ21*DX377+EA21*DX377+DY24*DX377+DZ24*DX377+EA24*DX377</f>
        <v>0</v>
      </c>
      <c r="DZ377" s="5"/>
      <c r="EA377" s="5"/>
      <c r="EC377" s="5">
        <v>2</v>
      </c>
      <c r="ED377" s="5">
        <f>ED17*EC377+EE17*EC377+EF17*EC377+ED21*EC377+EE21*EC377+EF21*EC377+ED24*EC377+EE24*EC377+EF24*EC377</f>
        <v>0</v>
      </c>
      <c r="EE377" s="5"/>
      <c r="EF377" s="5"/>
      <c r="EH377" s="5">
        <v>2</v>
      </c>
      <c r="EI377" s="5">
        <f>EI17*EH377+EJ17*EH377+EK17*EH377+EI21*EH377+EJ21*EH377+EK21*EH377+EI24*EH377+EJ24*EH377+EK24*EH377</f>
        <v>0</v>
      </c>
      <c r="EJ377" s="5"/>
      <c r="EK377" s="5"/>
      <c r="EX377" s="659">
        <f t="shared" si="3"/>
        <v>0</v>
      </c>
    </row>
    <row r="378" spans="1:155" s="6" customFormat="1" ht="15" customHeight="1">
      <c r="A378" s="3" t="s">
        <v>240</v>
      </c>
      <c r="B378" s="210" t="s">
        <v>240</v>
      </c>
      <c r="C378" s="473" t="s">
        <v>515</v>
      </c>
      <c r="D378" s="138"/>
      <c r="E378" s="5"/>
      <c r="F378" s="5"/>
      <c r="G378" s="5"/>
      <c r="H378" s="5"/>
      <c r="I378" s="4"/>
      <c r="J378" s="4"/>
      <c r="K378" s="4"/>
      <c r="L378" s="4"/>
      <c r="M378" s="4"/>
      <c r="N378" s="4"/>
      <c r="O378" s="4"/>
      <c r="P378" s="4"/>
      <c r="Q378" s="4"/>
      <c r="R378" s="5"/>
      <c r="S378" s="5"/>
      <c r="U378" s="5"/>
      <c r="W378" s="5"/>
      <c r="X378" s="5"/>
      <c r="Y378" s="5"/>
      <c r="Z378" s="5"/>
      <c r="AB378" s="5"/>
      <c r="AC378" s="5"/>
      <c r="AD378" s="5"/>
      <c r="AE378" s="5"/>
      <c r="AG378" s="5"/>
      <c r="AH378" s="5"/>
      <c r="AI378" s="5"/>
      <c r="AJ378" s="5"/>
      <c r="AL378" s="5"/>
      <c r="AM378" s="5"/>
      <c r="AN378" s="5"/>
      <c r="AO378" s="5"/>
      <c r="AQ378" s="5"/>
      <c r="AR378" s="5"/>
      <c r="AS378" s="5"/>
      <c r="AT378" s="5"/>
      <c r="BD378" s="5"/>
      <c r="BF378" s="5"/>
      <c r="BG378" s="5"/>
      <c r="BH378" s="5"/>
      <c r="BI378" s="5"/>
      <c r="BM378" s="5"/>
      <c r="BN378" s="5"/>
      <c r="BP378" s="5"/>
      <c r="BQ378" s="5"/>
      <c r="BR378" s="5"/>
      <c r="BS378" s="5"/>
      <c r="BU378" s="5"/>
      <c r="BV378" s="5"/>
      <c r="BW378" s="5"/>
      <c r="BX378" s="5"/>
      <c r="BZ378" s="5"/>
      <c r="CA378" s="5"/>
      <c r="CB378" s="5"/>
      <c r="CC378" s="5"/>
      <c r="CE378" s="5"/>
      <c r="CF378" s="5"/>
      <c r="CG378" s="5"/>
      <c r="CH378" s="5"/>
      <c r="CO378" s="13"/>
      <c r="CP378" s="5"/>
      <c r="CQ378" s="5"/>
      <c r="CR378" s="5"/>
      <c r="CT378" s="5"/>
      <c r="CU378" s="5"/>
      <c r="CV378" s="5"/>
      <c r="CW378" s="5"/>
      <c r="CY378" s="5"/>
      <c r="CZ378" s="5"/>
      <c r="DA378" s="5"/>
      <c r="DB378" s="5"/>
      <c r="DD378" s="5"/>
      <c r="DE378" s="5"/>
      <c r="DF378" s="5"/>
      <c r="DG378" s="5"/>
      <c r="DI378" s="5">
        <v>2</v>
      </c>
      <c r="DJ378" s="5">
        <f>DJ18*DI378+DK18*DI378+DL18*DI378+DJ22*DI378+DK22*DI378+DL22*DI378+DJ25*DI378+DK25*DI378+DL25*DI378</f>
        <v>0</v>
      </c>
      <c r="DK378" s="5"/>
      <c r="DL378" s="5"/>
      <c r="DN378" s="5">
        <v>2</v>
      </c>
      <c r="DO378" s="5">
        <f>DO18*DN378+DP18*DN378+DQ18*DN378+DO22*DN378+DP22*DN378+DQ22*DN378+DO25*DN378+DP25*DN378+DQ25*DN378</f>
        <v>0</v>
      </c>
      <c r="DP378" s="5"/>
      <c r="DQ378" s="5"/>
      <c r="DS378" s="5">
        <v>2</v>
      </c>
      <c r="DT378" s="5">
        <f>DT18*DS378+DU18*DS378+DV18*DS378+DT22*DS378+DU22*DS378+DV22*DS378+DT25*DS378+DU25*DS378+DV25*DS378</f>
        <v>0</v>
      </c>
      <c r="DU378" s="5"/>
      <c r="DV378" s="5"/>
      <c r="DX378" s="5">
        <v>2</v>
      </c>
      <c r="DY378" s="5">
        <f>DY18*DX378+DZ18*DX378+EA18*DX378+DY22*DX378+DZ22*DX378+EA22*DX378+DY25*DX378+DZ25*DX378+EA25*DX378</f>
        <v>0</v>
      </c>
      <c r="DZ378" s="5"/>
      <c r="EA378" s="5"/>
      <c r="EC378" s="5">
        <v>2</v>
      </c>
      <c r="ED378" s="5">
        <f>ED18*EC378+EE18*EC378+EF18*EC378+ED22*EC378+EE22*EC378+EF22*EC378+ED25*EC378+EE25*EC378+EF25*EC378</f>
        <v>0</v>
      </c>
      <c r="EE378" s="5"/>
      <c r="EF378" s="5"/>
      <c r="EH378" s="5">
        <v>2</v>
      </c>
      <c r="EI378" s="5">
        <f>EI18*EH378+EJ18*EH378+EK18*EH378+EI22*EH378+EJ22*EH378+EK22*EH378+EI25*EH378+EJ25*EH378+EK25*EH378</f>
        <v>0</v>
      </c>
      <c r="EJ378" s="5"/>
      <c r="EK378" s="5"/>
      <c r="EX378" s="659">
        <f t="shared" si="3"/>
        <v>0</v>
      </c>
    </row>
    <row r="379" spans="1:155" s="6" customFormat="1" ht="15" customHeight="1">
      <c r="A379" s="3"/>
      <c r="B379" s="210" t="s">
        <v>1515</v>
      </c>
      <c r="C379" s="473" t="s">
        <v>0</v>
      </c>
      <c r="D379" s="138"/>
      <c r="E379" s="5"/>
      <c r="F379" s="5"/>
      <c r="G379" s="5"/>
      <c r="H379" s="5"/>
      <c r="I379" s="4"/>
      <c r="J379" s="4"/>
      <c r="K379" s="4"/>
      <c r="L379" s="4"/>
      <c r="M379" s="4"/>
      <c r="N379" s="4"/>
      <c r="O379" s="4"/>
      <c r="P379" s="4"/>
      <c r="Q379" s="4"/>
      <c r="R379" s="5"/>
      <c r="S379" s="5"/>
      <c r="U379" s="5"/>
      <c r="W379" s="5"/>
      <c r="X379" s="5"/>
      <c r="Y379" s="5"/>
      <c r="Z379" s="5"/>
      <c r="AB379" s="5"/>
      <c r="AC379" s="5"/>
      <c r="AD379" s="5"/>
      <c r="AE379" s="5"/>
      <c r="AG379" s="5"/>
      <c r="AH379" s="5"/>
      <c r="AI379" s="5"/>
      <c r="AJ379" s="5"/>
      <c r="AL379" s="5"/>
      <c r="AM379" s="5"/>
      <c r="AN379" s="5"/>
      <c r="AO379" s="5"/>
      <c r="AQ379" s="5"/>
      <c r="AR379" s="5"/>
      <c r="AS379" s="5"/>
      <c r="AT379" s="5"/>
      <c r="BD379" s="5"/>
      <c r="BF379" s="5"/>
      <c r="BG379" s="5"/>
      <c r="BH379" s="5"/>
      <c r="BI379" s="5"/>
      <c r="BM379" s="5"/>
      <c r="BN379" s="5"/>
      <c r="BP379" s="5"/>
      <c r="BQ379" s="5"/>
      <c r="BR379" s="5"/>
      <c r="BS379" s="5"/>
      <c r="BU379" s="5"/>
      <c r="BV379" s="5"/>
      <c r="BW379" s="5"/>
      <c r="BX379" s="5"/>
      <c r="BZ379" s="5"/>
      <c r="CA379" s="5"/>
      <c r="CB379" s="5"/>
      <c r="CC379" s="5"/>
      <c r="CE379" s="5"/>
      <c r="CF379" s="5"/>
      <c r="CG379" s="5"/>
      <c r="CH379" s="5"/>
      <c r="CO379" s="13"/>
      <c r="CP379" s="5"/>
      <c r="CQ379" s="5"/>
      <c r="CR379" s="5"/>
      <c r="CT379" s="5"/>
      <c r="CU379" s="5"/>
      <c r="CV379" s="5"/>
      <c r="CW379" s="5"/>
      <c r="CY379" s="5"/>
      <c r="CZ379" s="5"/>
      <c r="DA379" s="5"/>
      <c r="DB379" s="5"/>
      <c r="DD379" s="5"/>
      <c r="DE379" s="5"/>
      <c r="DF379" s="5"/>
      <c r="DG379" s="5"/>
      <c r="DI379" s="5"/>
      <c r="DJ379" s="5"/>
      <c r="DK379" s="5"/>
      <c r="DL379" s="5"/>
      <c r="DN379" s="5"/>
      <c r="DO379" s="5"/>
      <c r="DP379" s="5"/>
      <c r="DQ379" s="5"/>
      <c r="DS379" s="5"/>
      <c r="DT379" s="5"/>
      <c r="DU379" s="5"/>
      <c r="DV379" s="5"/>
      <c r="DX379" s="5"/>
      <c r="DY379" s="5"/>
      <c r="DZ379" s="5"/>
      <c r="EA379" s="5"/>
      <c r="EC379" s="5"/>
      <c r="ED379" s="5"/>
      <c r="EE379" s="5"/>
      <c r="EF379" s="5"/>
      <c r="EH379" s="5"/>
      <c r="EI379" s="5"/>
      <c r="EJ379" s="5"/>
      <c r="EK379" s="5"/>
      <c r="EX379" s="659">
        <f t="shared" si="3"/>
        <v>0</v>
      </c>
    </row>
    <row r="380" spans="1:155" s="6" customFormat="1" ht="15" customHeight="1">
      <c r="A380" s="3" t="s">
        <v>241</v>
      </c>
      <c r="B380" s="210" t="s">
        <v>241</v>
      </c>
      <c r="C380" s="473" t="s">
        <v>515</v>
      </c>
      <c r="D380" s="138"/>
      <c r="E380" s="5"/>
      <c r="F380" s="5"/>
      <c r="G380" s="5"/>
      <c r="H380" s="5"/>
      <c r="I380" s="4"/>
      <c r="J380" s="4"/>
      <c r="K380" s="4"/>
      <c r="L380" s="4"/>
      <c r="M380" s="4"/>
      <c r="N380" s="4"/>
      <c r="O380" s="4"/>
      <c r="P380" s="4"/>
      <c r="Q380" s="4"/>
      <c r="R380" s="5"/>
      <c r="S380" s="5"/>
      <c r="U380" s="5"/>
      <c r="W380" s="5"/>
      <c r="X380" s="5"/>
      <c r="Y380" s="5"/>
      <c r="Z380" s="5"/>
      <c r="AB380" s="5"/>
      <c r="AC380" s="5"/>
      <c r="AD380" s="5"/>
      <c r="AE380" s="5"/>
      <c r="AG380" s="5"/>
      <c r="AH380" s="5"/>
      <c r="AI380" s="5"/>
      <c r="AJ380" s="5"/>
      <c r="AL380" s="5"/>
      <c r="AM380" s="5"/>
      <c r="AN380" s="5"/>
      <c r="AO380" s="5"/>
      <c r="AQ380" s="5"/>
      <c r="AR380" s="5"/>
      <c r="AS380" s="5"/>
      <c r="AT380" s="5"/>
      <c r="BD380" s="5"/>
      <c r="BF380" s="5"/>
      <c r="BG380" s="5"/>
      <c r="BH380" s="5"/>
      <c r="BI380" s="5"/>
      <c r="BM380" s="5"/>
      <c r="BN380" s="5"/>
      <c r="BP380" s="5"/>
      <c r="BQ380" s="5"/>
      <c r="BR380" s="5"/>
      <c r="BS380" s="5"/>
      <c r="BU380" s="5"/>
      <c r="BV380" s="5"/>
      <c r="BW380" s="5"/>
      <c r="BX380" s="5"/>
      <c r="BZ380" s="5"/>
      <c r="CA380" s="5"/>
      <c r="CB380" s="5"/>
      <c r="CC380" s="5"/>
      <c r="CE380" s="5"/>
      <c r="CF380" s="5"/>
      <c r="CG380" s="5"/>
      <c r="CH380" s="5"/>
      <c r="CO380" s="13"/>
      <c r="CP380" s="5"/>
      <c r="CQ380" s="5"/>
      <c r="CR380" s="5"/>
      <c r="CT380" s="5"/>
      <c r="CU380" s="5"/>
      <c r="CV380" s="5"/>
      <c r="CW380" s="5"/>
      <c r="CY380" s="5"/>
      <c r="CZ380" s="5"/>
      <c r="DA380" s="5"/>
      <c r="DB380" s="5"/>
      <c r="DD380" s="5"/>
      <c r="DE380" s="5"/>
      <c r="DF380" s="5"/>
      <c r="DG380" s="5"/>
      <c r="DI380" s="5">
        <v>2</v>
      </c>
      <c r="DJ380" s="5">
        <f>DJ19*DI380+DK19*DI380+DL19*DI380+DJ23*DI380+DK23*DI380+DL23*DI380+DJ26*DI380+DK26*DI380+DL26*DI380</f>
        <v>0</v>
      </c>
      <c r="DK380" s="5"/>
      <c r="DL380" s="5"/>
      <c r="DN380" s="5">
        <v>2</v>
      </c>
      <c r="DO380" s="5">
        <f>DO19*DN380+DP19*DN380+DQ19*DN380+DO23*DN380+DP23*DN380+DQ23*DN380+DO26*DN380+DP26*DN380+DQ26*DN380</f>
        <v>0</v>
      </c>
      <c r="DP380" s="5"/>
      <c r="DQ380" s="5"/>
      <c r="DS380" s="5">
        <v>2</v>
      </c>
      <c r="DT380" s="5">
        <f>DT19*DS380+DU19*DS380+DV19*DS380+DT23*DS380+DU23*DS380+DV23*DS380+DT26*DS380+DU26*DS380+DV26*DS380</f>
        <v>0</v>
      </c>
      <c r="DU380" s="5"/>
      <c r="DV380" s="5"/>
      <c r="DX380" s="5">
        <v>2</v>
      </c>
      <c r="DY380" s="5">
        <f>DY19*DX380+DZ19*DX380+EA19*DX380+DY23*DX380+DZ23*DX380+EA23*DX380+DY26*DX380+DZ26*DX380+EA26*DX380</f>
        <v>0</v>
      </c>
      <c r="DZ380" s="5"/>
      <c r="EA380" s="5"/>
      <c r="EC380" s="5">
        <v>2</v>
      </c>
      <c r="ED380" s="5">
        <f>ED19*EC380+EE19*EC380+EF19*EC380+ED23*EC380+EE23*EC380+EF23*EC380+ED26*EC380+EE26*EC380+EF26*EC380</f>
        <v>0</v>
      </c>
      <c r="EE380" s="5"/>
      <c r="EF380" s="5"/>
      <c r="EH380" s="5">
        <v>2</v>
      </c>
      <c r="EI380" s="5">
        <f>EI19*EH380+EJ19*EH380+EK19*EH380+EI23*EH380+EJ23*EH380+EK23*EH380+EI26*EH380+EJ26*EH380+EK26*EH380</f>
        <v>0</v>
      </c>
      <c r="EJ380" s="5"/>
      <c r="EK380" s="5"/>
      <c r="EX380" s="659">
        <f t="shared" si="3"/>
        <v>0</v>
      </c>
    </row>
    <row r="381" spans="1:155" s="6" customFormat="1" ht="15" customHeight="1">
      <c r="A381" s="3" t="s">
        <v>237</v>
      </c>
      <c r="B381" s="210" t="s">
        <v>237</v>
      </c>
      <c r="C381" s="473" t="s">
        <v>515</v>
      </c>
      <c r="D381" s="138"/>
      <c r="E381" s="5"/>
      <c r="F381" s="5"/>
      <c r="G381" s="5"/>
      <c r="H381" s="5"/>
      <c r="I381" s="4"/>
      <c r="J381" s="4"/>
      <c r="K381" s="4"/>
      <c r="L381" s="4"/>
      <c r="M381" s="4"/>
      <c r="N381" s="4"/>
      <c r="O381" s="4"/>
      <c r="P381" s="4"/>
      <c r="Q381" s="4"/>
      <c r="R381" s="5"/>
      <c r="S381" s="5"/>
      <c r="U381" s="5"/>
      <c r="W381" s="5"/>
      <c r="X381" s="5"/>
      <c r="Y381" s="5"/>
      <c r="Z381" s="5"/>
      <c r="AB381" s="5"/>
      <c r="AC381" s="5"/>
      <c r="AD381" s="5"/>
      <c r="AE381" s="5"/>
      <c r="AG381" s="5"/>
      <c r="AH381" s="5"/>
      <c r="AI381" s="5"/>
      <c r="AJ381" s="5"/>
      <c r="AL381" s="5"/>
      <c r="AM381" s="5"/>
      <c r="AN381" s="5"/>
      <c r="AO381" s="5"/>
      <c r="AQ381" s="5"/>
      <c r="AR381" s="5"/>
      <c r="AS381" s="5"/>
      <c r="AT381" s="5"/>
      <c r="BD381" s="5"/>
      <c r="BF381" s="5"/>
      <c r="BG381" s="5"/>
      <c r="BH381" s="5"/>
      <c r="BI381" s="5"/>
      <c r="BM381" s="5"/>
      <c r="BN381" s="5"/>
      <c r="BP381" s="5"/>
      <c r="BQ381" s="5"/>
      <c r="BR381" s="5"/>
      <c r="BS381" s="5"/>
      <c r="BU381" s="5"/>
      <c r="BV381" s="5"/>
      <c r="BW381" s="5"/>
      <c r="BX381" s="5"/>
      <c r="BZ381" s="5"/>
      <c r="CA381" s="5"/>
      <c r="CB381" s="5"/>
      <c r="CC381" s="5"/>
      <c r="CE381" s="5"/>
      <c r="CF381" s="5"/>
      <c r="CG381" s="5"/>
      <c r="CH381" s="5"/>
      <c r="CO381" s="13"/>
      <c r="CP381" s="5"/>
      <c r="CQ381" s="5"/>
      <c r="CR381" s="5"/>
      <c r="CT381" s="5"/>
      <c r="CU381" s="5"/>
      <c r="CV381" s="5"/>
      <c r="CW381" s="5"/>
      <c r="CY381" s="5"/>
      <c r="CZ381" s="5"/>
      <c r="DA381" s="5"/>
      <c r="DB381" s="5"/>
      <c r="DD381" s="5"/>
      <c r="DE381" s="5"/>
      <c r="DF381" s="5"/>
      <c r="DG381" s="5"/>
      <c r="DI381" s="5">
        <v>2</v>
      </c>
      <c r="DJ381" s="5">
        <f>DJ5*DI381+DJ6*DI381+DJ7*DI381+DJ8*DI381+DJ9*DI381+DJ10*DI381+DJ11*DI381+DJ12*DI381+DJ13*DI381+DJ14*DI381+DJ15*DI381+DK5*DI381+DK6*DI381+DK7*DI381+DK8*DI381+DK9*DI381+DK10*DI381+DK11*DI381+DK12*DI381+DK13*DI381+DK14*DI381+DK15*DI381+DL5*DI381+DL6*DI381+DL7*DI381+DL8*DI381+DL9*DI381+DL10*DI381+DL11*DI381+DL12*DI381+DL13*DI381+DL14*DI381+DL15*DI381</f>
        <v>0</v>
      </c>
      <c r="DK381" s="5"/>
      <c r="DL381" s="5"/>
      <c r="DN381" s="5">
        <v>2</v>
      </c>
      <c r="DO381" s="5">
        <f>DO5*DN381+DO6*DN381+DO7*DN381+DO8*DN381+DO9*DN381+DO10*DN381+DO11*DN381+DO12*DN381+DO13*DN381+DO14*DN381+DO15*DN381+DP5*DN381+DP6*DN381+DP7*DN381+DP8*DN381+DP9*DN381+DP10*DN381+DP11*DN381+DP12*DN381+DP13*DN381+DP14*DN381+DP15*DN381+DQ5*DN381+DQ6*DN381+DQ7*DN381+DQ8*DN381+DQ9*DN381+DQ10*DN381+DQ11*DN381+DQ12*DN381+DQ13*DN381+DQ14*DN381+DQ15*DN381</f>
        <v>0</v>
      </c>
      <c r="DP381" s="5"/>
      <c r="DQ381" s="5"/>
      <c r="DS381" s="5">
        <v>2</v>
      </c>
      <c r="DT381" s="5">
        <f>DT5*DS381+DT6*DS381+DT7*DS381+DT8*DS381+DT9*DS381+DT10*DS381+DT11*DS381+DT12*DS381+DT13*DS381+DT14*DS381+DT15*DS381+DU5*DS381+DU6*DS381+DU7*DS381+DU8*DS381+DU9*DS381+DU10*DS381+DU11*DS381+DU12*DS381+DU13*DS381+DU14*DS381+DU15*DS381+DV5*DS381+DV6*DS381+DV7*DS381+DV8*DS381+DV9*DS381+DV10*DS381+DV11*DS381+DV12*DS381+DV13*DS381+DV14*DS381+DV15*DS381</f>
        <v>0</v>
      </c>
      <c r="DU381" s="5"/>
      <c r="DV381" s="5"/>
      <c r="DX381" s="5">
        <v>2</v>
      </c>
      <c r="DY381" s="5">
        <f>DY5*DX381+DY6*DX381+DY7*DX381+DY8*DX381+DY9*DX381+DY10*DX381+DY11*DX381+DY12*DX381+DY13*DX381+DY14*DX381+DY15*DX381+DZ5*DX381+DZ6*DX381+DZ7*DX381+DZ8*DX381+DZ9*DX381+DZ10*DX381+DZ11*DX381+DZ12*DX381+DZ13*DX381+DZ14*DX381+DZ15*DX381+EA5*DX381+EA6*DX381+EA7*DX381+EA8*DX381+EA9*DX381+EA10*DX381+EA11*DX381+EA12*DX381+EA13*DX381+EA14*DX381+EA15*DX381</f>
        <v>0</v>
      </c>
      <c r="DZ381" s="5"/>
      <c r="EA381" s="5"/>
      <c r="EC381" s="5">
        <v>2</v>
      </c>
      <c r="ED381" s="5">
        <f>ED5*EC381+ED6*EC381+ED7*EC381+ED8*EC381+ED9*EC381+ED10*EC381+ED11*EC381+ED12*EC381+ED13*EC381+ED14*EC381+ED15*EC381+EE5*EC381+EE6*EC381+EE7*EC381+EE8*EC381+EE9*EC381+EE10*EC381+EE11*EC381+EE12*EC381+EE13*EC381+EE14*EC381+EE15*EC381+EF5*EC381+EF6*EC381+EF7*EC381+EF8*EC381+EF9*EC381+EF10*EC381+EF11*EC381+EF12*EC381+EF13*EC381+EF14*EC381+EF15*EC381</f>
        <v>0</v>
      </c>
      <c r="EE381" s="5"/>
      <c r="EF381" s="5"/>
      <c r="EH381" s="5">
        <v>2</v>
      </c>
      <c r="EI381" s="5">
        <f>EI5*EH381+EI6*EH381+EI7*EH381+EI8*EH381+EI9*EH381+EI10*EH381+EI11*EH381+EI12*EH381+EI13*EH381+EI14*EH381+EI15*EH381+EJ5*EH381+EJ6*EH381+EJ7*EH381+EJ8*EH381+EJ9*EH381+EJ10*EH381+EJ11*EH381+EJ12*EH381+EJ13*EH381+EJ14*EH381+EJ15*EH381+EK5*EH381+EK6*EH381+EK7*EH381+EK8*EH381+EK9*EH381+EK10*EH381+EK11*EH381+EK12*EH381+EK13*EH381+EK14*EH381+EK15*EH381</f>
        <v>0</v>
      </c>
      <c r="EJ381" s="5"/>
      <c r="EK381" s="5"/>
      <c r="EX381" s="659">
        <f t="shared" si="3"/>
        <v>0</v>
      </c>
    </row>
    <row r="382" spans="1:155" s="6" customFormat="1" ht="15" customHeight="1">
      <c r="A382" s="3"/>
      <c r="B382" s="210" t="s">
        <v>1516</v>
      </c>
      <c r="C382" s="473" t="s">
        <v>0</v>
      </c>
      <c r="D382" s="138"/>
      <c r="E382" s="5"/>
      <c r="F382" s="5"/>
      <c r="G382" s="5"/>
      <c r="H382" s="5"/>
      <c r="I382" s="4"/>
      <c r="J382" s="4"/>
      <c r="K382" s="4"/>
      <c r="L382" s="4"/>
      <c r="M382" s="4"/>
      <c r="N382" s="4"/>
      <c r="O382" s="4"/>
      <c r="P382" s="4"/>
      <c r="Q382" s="4"/>
      <c r="R382" s="5"/>
      <c r="S382" s="5"/>
      <c r="U382" s="5"/>
      <c r="W382" s="5"/>
      <c r="X382" s="5"/>
      <c r="Y382" s="5"/>
      <c r="Z382" s="5"/>
      <c r="AB382" s="5"/>
      <c r="AC382" s="5"/>
      <c r="AD382" s="5"/>
      <c r="AE382" s="5"/>
      <c r="AG382" s="5"/>
      <c r="AH382" s="5"/>
      <c r="AI382" s="5"/>
      <c r="AJ382" s="5"/>
      <c r="AL382" s="5"/>
      <c r="AM382" s="5"/>
      <c r="AN382" s="5"/>
      <c r="AO382" s="5"/>
      <c r="AQ382" s="5"/>
      <c r="AR382" s="5"/>
      <c r="AS382" s="5"/>
      <c r="AT382" s="5"/>
      <c r="BD382" s="5"/>
      <c r="BF382" s="5"/>
      <c r="BG382" s="5"/>
      <c r="BH382" s="5"/>
      <c r="BI382" s="5"/>
      <c r="BM382" s="5"/>
      <c r="BN382" s="5"/>
      <c r="BP382" s="5"/>
      <c r="BQ382" s="5"/>
      <c r="BR382" s="5"/>
      <c r="BS382" s="5"/>
      <c r="BU382" s="5"/>
      <c r="BV382" s="5"/>
      <c r="BW382" s="5"/>
      <c r="BX382" s="5"/>
      <c r="BZ382" s="5"/>
      <c r="CA382" s="5"/>
      <c r="CB382" s="5"/>
      <c r="CC382" s="5"/>
      <c r="CE382" s="5"/>
      <c r="CF382" s="5"/>
      <c r="CG382" s="5"/>
      <c r="CH382" s="5"/>
      <c r="CO382" s="13"/>
      <c r="CP382" s="5"/>
      <c r="CQ382" s="5"/>
      <c r="CR382" s="5"/>
      <c r="CT382" s="5"/>
      <c r="CU382" s="5"/>
      <c r="CV382" s="5"/>
      <c r="CW382" s="5"/>
      <c r="CY382" s="5"/>
      <c r="CZ382" s="5"/>
      <c r="DA382" s="5"/>
      <c r="DB382" s="5"/>
      <c r="DD382" s="5"/>
      <c r="DE382" s="5"/>
      <c r="DF382" s="5"/>
      <c r="DG382" s="5"/>
      <c r="DI382" s="5"/>
      <c r="DJ382" s="5"/>
      <c r="DK382" s="5"/>
      <c r="DL382" s="5"/>
      <c r="DN382" s="5"/>
      <c r="DO382" s="5"/>
      <c r="DP382" s="5"/>
      <c r="DQ382" s="5"/>
      <c r="DS382" s="5"/>
      <c r="DT382" s="5"/>
      <c r="DU382" s="5"/>
      <c r="DV382" s="5"/>
      <c r="DX382" s="5"/>
      <c r="DY382" s="5"/>
      <c r="DZ382" s="5"/>
      <c r="EA382" s="5"/>
      <c r="EC382" s="5"/>
      <c r="ED382" s="5"/>
      <c r="EE382" s="5"/>
      <c r="EF382" s="5"/>
      <c r="EH382" s="5"/>
      <c r="EI382" s="5"/>
      <c r="EJ382" s="5"/>
      <c r="EK382" s="5"/>
      <c r="EX382" s="659">
        <f t="shared" si="3"/>
        <v>0</v>
      </c>
    </row>
    <row r="383" spans="1:155" s="6" customFormat="1" ht="15" customHeight="1">
      <c r="A383" s="3"/>
      <c r="B383" s="210" t="s">
        <v>1517</v>
      </c>
      <c r="C383" s="473" t="s">
        <v>0</v>
      </c>
      <c r="D383" s="138"/>
      <c r="E383" s="5"/>
      <c r="F383" s="5"/>
      <c r="G383" s="5"/>
      <c r="H383" s="5"/>
      <c r="I383" s="4"/>
      <c r="J383" s="4"/>
      <c r="K383" s="4"/>
      <c r="L383" s="4"/>
      <c r="M383" s="4"/>
      <c r="N383" s="4"/>
      <c r="O383" s="4"/>
      <c r="P383" s="4"/>
      <c r="Q383" s="4"/>
      <c r="R383" s="5"/>
      <c r="S383" s="5"/>
      <c r="U383" s="5"/>
      <c r="W383" s="5"/>
      <c r="X383" s="5"/>
      <c r="Y383" s="5"/>
      <c r="Z383" s="5"/>
      <c r="AB383" s="5"/>
      <c r="AC383" s="5"/>
      <c r="AD383" s="5"/>
      <c r="AE383" s="5"/>
      <c r="AG383" s="5"/>
      <c r="AH383" s="5"/>
      <c r="AI383" s="5"/>
      <c r="AJ383" s="5"/>
      <c r="AL383" s="5"/>
      <c r="AM383" s="5"/>
      <c r="AN383" s="5"/>
      <c r="AO383" s="5"/>
      <c r="AQ383" s="5"/>
      <c r="AR383" s="5"/>
      <c r="AS383" s="5"/>
      <c r="AT383" s="5"/>
      <c r="BD383" s="5"/>
      <c r="BF383" s="5"/>
      <c r="BG383" s="5"/>
      <c r="BH383" s="5"/>
      <c r="BI383" s="5"/>
      <c r="BM383" s="5"/>
      <c r="BN383" s="5"/>
      <c r="BP383" s="5"/>
      <c r="BQ383" s="5"/>
      <c r="BR383" s="5"/>
      <c r="BS383" s="5"/>
      <c r="BU383" s="5"/>
      <c r="BV383" s="5"/>
      <c r="BW383" s="5"/>
      <c r="BX383" s="5"/>
      <c r="BZ383" s="5"/>
      <c r="CA383" s="5"/>
      <c r="CB383" s="5"/>
      <c r="CC383" s="5"/>
      <c r="CE383" s="5"/>
      <c r="CF383" s="5"/>
      <c r="CG383" s="5"/>
      <c r="CH383" s="5"/>
      <c r="CO383" s="13"/>
      <c r="CP383" s="5"/>
      <c r="CQ383" s="5"/>
      <c r="CR383" s="5"/>
      <c r="CT383" s="5"/>
      <c r="CU383" s="5"/>
      <c r="CV383" s="5"/>
      <c r="CW383" s="5"/>
      <c r="CY383" s="5"/>
      <c r="CZ383" s="5"/>
      <c r="DA383" s="5"/>
      <c r="DB383" s="5"/>
      <c r="DD383" s="5"/>
      <c r="DE383" s="5"/>
      <c r="DF383" s="5"/>
      <c r="DG383" s="5"/>
      <c r="DI383" s="5"/>
      <c r="DJ383" s="5"/>
      <c r="DK383" s="5"/>
      <c r="DL383" s="5"/>
      <c r="DN383" s="5"/>
      <c r="DO383" s="5"/>
      <c r="DP383" s="5"/>
      <c r="DQ383" s="5"/>
      <c r="DS383" s="5"/>
      <c r="DT383" s="5"/>
      <c r="DU383" s="5"/>
      <c r="DV383" s="5"/>
      <c r="DX383" s="5"/>
      <c r="DY383" s="5"/>
      <c r="DZ383" s="5"/>
      <c r="EA383" s="5"/>
      <c r="EC383" s="5"/>
      <c r="ED383" s="5"/>
      <c r="EE383" s="5"/>
      <c r="EF383" s="5"/>
      <c r="EH383" s="5"/>
      <c r="EI383" s="5"/>
      <c r="EJ383" s="5"/>
      <c r="EK383" s="5"/>
      <c r="EX383" s="659">
        <f t="shared" si="3"/>
        <v>0</v>
      </c>
    </row>
    <row r="384" spans="1:155" s="6" customFormat="1" ht="15" customHeight="1">
      <c r="A384" s="3" t="s">
        <v>160</v>
      </c>
      <c r="B384" s="210" t="s">
        <v>160</v>
      </c>
      <c r="C384" s="473" t="s">
        <v>515</v>
      </c>
      <c r="D384" s="138"/>
      <c r="E384" s="5"/>
      <c r="F384" s="5"/>
      <c r="G384" s="5"/>
      <c r="H384" s="5"/>
      <c r="I384" s="4"/>
      <c r="J384" s="4"/>
      <c r="K384" s="4"/>
      <c r="L384" s="4"/>
      <c r="M384" s="4"/>
      <c r="N384" s="4"/>
      <c r="O384" s="4"/>
      <c r="P384" s="4"/>
      <c r="Q384" s="4"/>
      <c r="R384" s="5"/>
      <c r="S384" s="5"/>
      <c r="U384" s="5"/>
      <c r="W384" s="5"/>
      <c r="X384" s="5"/>
      <c r="Y384" s="5"/>
      <c r="Z384" s="5"/>
      <c r="AB384" s="5"/>
      <c r="AC384" s="5"/>
      <c r="AD384" s="5"/>
      <c r="AE384" s="5"/>
      <c r="AG384" s="5"/>
      <c r="AH384" s="5"/>
      <c r="AI384" s="5"/>
      <c r="AJ384" s="5"/>
      <c r="AL384" s="5"/>
      <c r="AM384" s="5"/>
      <c r="AN384" s="5"/>
      <c r="AO384" s="5"/>
      <c r="AQ384" s="5"/>
      <c r="AR384" s="5"/>
      <c r="AS384" s="5"/>
      <c r="AT384" s="5"/>
      <c r="BD384" s="5"/>
      <c r="BF384" s="5"/>
      <c r="BG384" s="5"/>
      <c r="BH384" s="5"/>
      <c r="BI384" s="5"/>
      <c r="BM384" s="5"/>
      <c r="BN384" s="5"/>
      <c r="BP384" s="5"/>
      <c r="BQ384" s="5"/>
      <c r="BR384" s="5"/>
      <c r="BS384" s="5"/>
      <c r="BU384" s="5"/>
      <c r="BV384" s="5"/>
      <c r="BW384" s="5"/>
      <c r="BX384" s="5"/>
      <c r="BZ384" s="5"/>
      <c r="CA384" s="5"/>
      <c r="CB384" s="5"/>
      <c r="CC384" s="5"/>
      <c r="CE384" s="5"/>
      <c r="CF384" s="5"/>
      <c r="CG384" s="5"/>
      <c r="CH384" s="5"/>
      <c r="CO384" s="13"/>
      <c r="CP384" s="5"/>
      <c r="CQ384" s="5"/>
      <c r="CR384" s="5"/>
      <c r="CT384" s="5"/>
      <c r="CU384" s="5"/>
      <c r="CV384" s="5"/>
      <c r="CW384" s="5"/>
      <c r="CY384" s="5"/>
      <c r="CZ384" s="5"/>
      <c r="DA384" s="5"/>
      <c r="DB384" s="5"/>
      <c r="DD384" s="5"/>
      <c r="DE384" s="5"/>
      <c r="DF384" s="5"/>
      <c r="DG384" s="5"/>
      <c r="DI384" s="5"/>
      <c r="DJ384" s="5"/>
      <c r="DK384" s="5"/>
      <c r="DL384" s="5"/>
      <c r="DN384" s="5"/>
      <c r="DO384" s="5"/>
      <c r="DP384" s="5"/>
      <c r="DQ384" s="5"/>
      <c r="DS384" s="5"/>
      <c r="DT384" s="5"/>
      <c r="DU384" s="5"/>
      <c r="DV384" s="5"/>
      <c r="DX384" s="5"/>
      <c r="DY384" s="5"/>
      <c r="DZ384" s="5"/>
      <c r="EA384" s="5"/>
      <c r="EC384" s="5"/>
      <c r="ED384" s="5"/>
      <c r="EE384" s="5"/>
      <c r="EF384" s="5"/>
      <c r="EH384" s="5"/>
      <c r="EI384" s="5"/>
      <c r="EJ384" s="5"/>
      <c r="EK384" s="5"/>
      <c r="EX384" s="659">
        <f t="shared" si="3"/>
        <v>0</v>
      </c>
      <c r="EY384" s="6">
        <v>13</v>
      </c>
    </row>
    <row r="385" spans="1:155" s="6" customFormat="1" ht="15" customHeight="1">
      <c r="A385" s="3" t="s">
        <v>161</v>
      </c>
      <c r="B385" s="210" t="s">
        <v>161</v>
      </c>
      <c r="C385" s="473" t="s">
        <v>515</v>
      </c>
      <c r="D385" s="138"/>
      <c r="E385" s="5"/>
      <c r="F385" s="5"/>
      <c r="G385" s="5"/>
      <c r="H385" s="5"/>
      <c r="I385" s="4"/>
      <c r="J385" s="4"/>
      <c r="K385" s="4"/>
      <c r="L385" s="4"/>
      <c r="M385" s="4"/>
      <c r="N385" s="4"/>
      <c r="O385" s="4"/>
      <c r="P385" s="4"/>
      <c r="Q385" s="4"/>
      <c r="R385" s="5"/>
      <c r="S385" s="5"/>
      <c r="U385" s="5"/>
      <c r="W385" s="5"/>
      <c r="X385" s="5"/>
      <c r="Y385" s="5"/>
      <c r="Z385" s="5"/>
      <c r="AB385" s="5"/>
      <c r="AC385" s="5"/>
      <c r="AD385" s="5"/>
      <c r="AE385" s="5"/>
      <c r="AG385" s="5"/>
      <c r="AH385" s="5"/>
      <c r="AI385" s="5"/>
      <c r="AJ385" s="5"/>
      <c r="AL385" s="5"/>
      <c r="AM385" s="5"/>
      <c r="AN385" s="5"/>
      <c r="AO385" s="5"/>
      <c r="AQ385" s="5"/>
      <c r="AR385" s="5"/>
      <c r="AS385" s="5"/>
      <c r="AT385" s="5"/>
      <c r="BD385" s="5"/>
      <c r="BF385" s="5"/>
      <c r="BG385" s="5"/>
      <c r="BH385" s="5"/>
      <c r="BI385" s="5"/>
      <c r="BM385" s="5"/>
      <c r="BN385" s="5"/>
      <c r="BP385" s="5"/>
      <c r="BQ385" s="5"/>
      <c r="BR385" s="5"/>
      <c r="BS385" s="5"/>
      <c r="BU385" s="5"/>
      <c r="BV385" s="5"/>
      <c r="BW385" s="5"/>
      <c r="BX385" s="5"/>
      <c r="BZ385" s="5"/>
      <c r="CA385" s="5"/>
      <c r="CB385" s="5"/>
      <c r="CC385" s="5"/>
      <c r="CE385" s="5"/>
      <c r="CF385" s="5"/>
      <c r="CG385" s="5"/>
      <c r="CH385" s="5"/>
      <c r="CO385" s="13"/>
      <c r="CP385" s="5"/>
      <c r="CQ385" s="5"/>
      <c r="CR385" s="5"/>
      <c r="CT385" s="5"/>
      <c r="CU385" s="5"/>
      <c r="CV385" s="5"/>
      <c r="CW385" s="5"/>
      <c r="CY385" s="5"/>
      <c r="CZ385" s="5"/>
      <c r="DA385" s="5"/>
      <c r="DB385" s="5"/>
      <c r="DD385" s="5"/>
      <c r="DE385" s="5"/>
      <c r="DF385" s="5"/>
      <c r="DG385" s="5"/>
      <c r="DI385" s="5"/>
      <c r="DJ385" s="5"/>
      <c r="DK385" s="5"/>
      <c r="DL385" s="5"/>
      <c r="DN385" s="5"/>
      <c r="DO385" s="5"/>
      <c r="DP385" s="5"/>
      <c r="DQ385" s="5"/>
      <c r="DS385" s="5"/>
      <c r="DT385" s="5"/>
      <c r="DU385" s="5"/>
      <c r="DV385" s="5"/>
      <c r="DX385" s="5"/>
      <c r="DY385" s="5"/>
      <c r="DZ385" s="5"/>
      <c r="EA385" s="5"/>
      <c r="EC385" s="5"/>
      <c r="ED385" s="5"/>
      <c r="EE385" s="5"/>
      <c r="EF385" s="5"/>
      <c r="EH385" s="5"/>
      <c r="EI385" s="5"/>
      <c r="EJ385" s="5"/>
      <c r="EK385" s="5"/>
      <c r="EX385" s="659">
        <f t="shared" si="3"/>
        <v>0</v>
      </c>
      <c r="EY385" s="1341">
        <v>34</v>
      </c>
    </row>
    <row r="386" spans="1:155" s="6" customFormat="1" ht="15" customHeight="1">
      <c r="A386" s="3" t="s">
        <v>128</v>
      </c>
      <c r="B386" s="210" t="s">
        <v>128</v>
      </c>
      <c r="C386" s="473" t="s">
        <v>515</v>
      </c>
      <c r="D386" s="138"/>
      <c r="E386" s="5"/>
      <c r="F386" s="5"/>
      <c r="G386" s="5"/>
      <c r="H386" s="5"/>
      <c r="I386" s="4"/>
      <c r="J386" s="4"/>
      <c r="K386" s="4"/>
      <c r="L386" s="4"/>
      <c r="M386" s="658">
        <v>3</v>
      </c>
      <c r="N386" s="658">
        <f>SUM(N16:N26,O16:O26,P16:P26)*M386</f>
        <v>0</v>
      </c>
      <c r="O386" s="4"/>
      <c r="P386" s="4"/>
      <c r="Q386" s="4"/>
      <c r="R386" s="5">
        <v>3</v>
      </c>
      <c r="S386" s="5">
        <f>S16*R386+T16*R386+S17*R386+T17*R386+S18*R386+T18*R386+S19*R386+T19*R386+S20*R386+T20*R386+S21*R386+T21*R386+S22*R386+T22*R386+S23*R386+T23*R386+S24*R386+T24*R386+S25*R386+T25*R386+S26*R386+T26*R386+U16*R386+U17*R386+U18*R386+U20*R386+U21*R386+U24*R386+U22*R386+U25*R386+U23*R386+U26*R386+U19*R386</f>
        <v>0</v>
      </c>
      <c r="U386" s="5"/>
      <c r="W386" s="5">
        <v>2</v>
      </c>
      <c r="X386" s="5">
        <f>X16*W386+Z16*W386+X17*W386+Z17*W386+X18*W386+Z18*W386+X19*W386+Z19*W386+X20*W386+Z20*W386+X21*W386+Z21*W386+X22*W386+Z22*W386+X23*W386+Z23*W386+X24*W386+Z24*W386+X25*W386+Z25*W386+X26*W386+Z26*W386+Y16*W386+Y17*W386+Y18*W386+Y19*W386+Y20*W386+Y21*W386+Y22*W386+Y23*W386+Y24*W386+Y25*W386+Y26*W386</f>
        <v>0</v>
      </c>
      <c r="Y386" s="5"/>
      <c r="Z386" s="5"/>
      <c r="AB386" s="5">
        <v>2</v>
      </c>
      <c r="AC386" s="5">
        <f>AC16*AB386+AD16*AB386+AC17*AB386+AD17*AB386+AC18*AB386+AD18*AB386+AC19*AB386+AD19*AB386+AC20*AB386+AD20*AB386+AC21*AB386+AD21*AB386+AC22*AB386+AD22*AB386+AC23*AB386+AD23*AB386+AC24*AB386+AD24*AB386+AC25*AB386+AD25*AB386+AC26*AB386+AD26*AB386+AE16*AB386+AE17*AB386+AE18*AB386+AE20*AB386+AE21*AB386+AE24*AB386+AE22*AB386+AE25*AB386+AE23*AB386+AE26*AB386+AE19*AB386</f>
        <v>0</v>
      </c>
      <c r="AD386" s="5"/>
      <c r="AE386" s="5"/>
      <c r="AG386" s="5"/>
      <c r="AH386" s="5"/>
      <c r="AI386" s="5"/>
      <c r="AJ386" s="5"/>
      <c r="AL386" s="5">
        <v>3</v>
      </c>
      <c r="AM386" s="5">
        <f>AM16*AL386+AN16*AL386+AM17*AL386+AN17*AL386+AM18*AL386+AN18*AL386+AM19*AL386+AN19*AL386+AM20*AL386+AN20*AL386+AM21*AL386+AN21*AL386+AM22*AL386+AN22*AL386+AM23*AL386+AN23*AL386+AM24*AL386+AN24*AL386+AM25*AL386+AN25*AL386+AM26*AL386+AN26*AL386+AO16*AL386+AO17*AL386+AO18*AL386+AO20*AL386+AO21*AL386+AO24*AL386+AO22*AL386+AO25*AL386+AO23*AL386+AO26*AL386+AO19*AL386</f>
        <v>0</v>
      </c>
      <c r="AN386" s="5"/>
      <c r="AO386" s="5"/>
      <c r="AQ386" s="5">
        <v>3</v>
      </c>
      <c r="AR386" s="5">
        <f>AR16*AQ386+AS16*AQ386+AR17*AQ386+AS17*AQ386+AR18*AQ386+AS18*AQ386+AR19*AQ386+AS19*AQ386+AR20*AQ386+AS20*AQ386+AR21*AQ386+AS21*AQ386+AR22*AQ386+AS22*AQ386+AR23*AQ386+AS23*AQ386+AR24*AQ386+AS24*AQ386+AR25*AQ386+AS25*AQ386+AR26*AQ386+AS26*AQ386+AT16*AQ386+AT17*AQ386+AT18*AQ386+AT20*AQ386+AT21*AQ386+AT24*AQ386+AT22*AQ386+AT25*AQ386+AT23*AQ386+AT26*AQ386+AT19*AQ386</f>
        <v>0</v>
      </c>
      <c r="AS386" s="5"/>
      <c r="AT386" s="5"/>
      <c r="BD386" s="5"/>
      <c r="BF386" s="5"/>
      <c r="BG386" s="5"/>
      <c r="BH386" s="5"/>
      <c r="BI386" s="5"/>
      <c r="BM386" s="5"/>
      <c r="BN386" s="5"/>
      <c r="BP386" s="5"/>
      <c r="BQ386" s="5"/>
      <c r="BR386" s="5"/>
      <c r="BS386" s="5"/>
      <c r="BU386" s="5"/>
      <c r="BV386" s="5"/>
      <c r="BW386" s="5"/>
      <c r="BX386" s="5"/>
      <c r="BZ386" s="5"/>
      <c r="CA386" s="5"/>
      <c r="CB386" s="5"/>
      <c r="CC386" s="5"/>
      <c r="CE386" s="5"/>
      <c r="CF386" s="5"/>
      <c r="CG386" s="5"/>
      <c r="CH386" s="5"/>
      <c r="CO386" s="13"/>
      <c r="CP386" s="5"/>
      <c r="CQ386" s="5"/>
      <c r="CR386" s="5"/>
      <c r="CT386" s="5"/>
      <c r="CU386" s="5"/>
      <c r="CV386" s="5"/>
      <c r="CW386" s="5"/>
      <c r="CY386" s="5"/>
      <c r="CZ386" s="5"/>
      <c r="DA386" s="5"/>
      <c r="DB386" s="5"/>
      <c r="DD386" s="5"/>
      <c r="DE386" s="5"/>
      <c r="DF386" s="5"/>
      <c r="DG386" s="5"/>
      <c r="DI386" s="5"/>
      <c r="DJ386" s="5"/>
      <c r="DK386" s="5"/>
      <c r="DL386" s="5"/>
      <c r="DN386" s="5"/>
      <c r="DO386" s="5"/>
      <c r="DP386" s="5"/>
      <c r="DQ386" s="5"/>
      <c r="DS386" s="5"/>
      <c r="DT386" s="5"/>
      <c r="DU386" s="5"/>
      <c r="DV386" s="5"/>
      <c r="DX386" s="5"/>
      <c r="DY386" s="5"/>
      <c r="DZ386" s="5"/>
      <c r="EA386" s="5"/>
      <c r="EC386" s="5"/>
      <c r="ED386" s="5"/>
      <c r="EE386" s="5"/>
      <c r="EF386" s="5"/>
      <c r="EH386" s="5"/>
      <c r="EI386" s="5"/>
      <c r="EJ386" s="5"/>
      <c r="EK386" s="5"/>
      <c r="EX386" s="659">
        <f t="shared" si="3"/>
        <v>0</v>
      </c>
    </row>
    <row r="387" spans="1:155" s="6" customFormat="1" ht="15" customHeight="1">
      <c r="A387" s="3" t="s">
        <v>35</v>
      </c>
      <c r="B387" s="210" t="s">
        <v>35</v>
      </c>
      <c r="C387" s="473" t="s">
        <v>515</v>
      </c>
      <c r="D387" s="138"/>
      <c r="E387" s="5"/>
      <c r="F387" s="5"/>
      <c r="G387" s="5"/>
      <c r="H387" s="5"/>
      <c r="I387" s="4"/>
      <c r="J387" s="4"/>
      <c r="K387" s="4"/>
      <c r="L387" s="4"/>
      <c r="M387" s="4"/>
      <c r="N387" s="4"/>
      <c r="O387" s="4"/>
      <c r="P387" s="4"/>
      <c r="Q387" s="4"/>
      <c r="R387" s="5"/>
      <c r="S387" s="5"/>
      <c r="U387" s="5"/>
      <c r="W387" s="5">
        <v>1</v>
      </c>
      <c r="X387" s="5">
        <f>X5*W387+X6*W387+X7*W387+X8*W387+X9*W387+X10*W387+X11*W387+X12*W387+X13*W387+X14*W387+X15*W387+X16*W387+X17*W387+X18*W387+X19*W387+X20*W387+X21*W387+X22*W387+X23*W387+X24*W387+X25*W387+X26*W387+Y5*W387+Y6*W387+Y7*W387+Y8*W387+Y9*W387+Y10*W387+Y11*W387+Y12*W387+Y13*W387+Y14*W387+Y15*W387+Y16*W387+Y17*W387+Y18*W387+Y19*W387+Y20*W387+Y21*W387+Y22*W387+Y23*W387+Y24*W387+Y25*W387+Y26*W387+Z5*W387+Z6*W387+Z7*W387+Z8*W387+Z9*W387+Z10*W387+Z11*W387+Z12*W387+Z13*W387+Z14*W387+Z15*W387+Z16*W387+Z17*W387+Z18*W387+Z19*W387+Z20*W387+Z21*W387+Z22*W387+Z23*W387+Z24*W387+Z25*W387+Z26*W387</f>
        <v>0</v>
      </c>
      <c r="Y387" s="5"/>
      <c r="Z387" s="5"/>
      <c r="AB387" s="5">
        <v>1</v>
      </c>
      <c r="AC387" s="5">
        <f>AC5*AB387+AC6*AB387+AC7*AB387+AC8*AB387+AC9*AB387+AC10*AB387+AC11*AB387+AC12*AB387+AC13*AB387+AC14*AB387+AC15*AB387+AC16*AB387+AC17*AB387+AC18*AB387+AC19*AB387+AC20*AB387+AC21*AB387+AC22*AB387+AC23*AB387+AC24*AB387+AC25*AB387+AC26*AB387+AD5*AB387+AD6*AB387+AD7*AB387+AD8*AB387+AD9*AB387+AD10*AB387+AD11*AB387+AD12*AB387+AD13*AB387+AD14*AB387+AD15*AB387+AD16*AB387+AD17*AB387+AD18*AB387+AD19*AB387+AD20*AB387+AD21*AB387+AD22*AB387+AD23*AB387+AD24*AB387+AD25*AB387+AD26*AB387+AE5*AB387+AE6*AB387+AE7*AB387+AE8*AB387+AE9*AB387+AE10*AB387+AE11*AB387+AE12*AB387+AE13*AB387+AE14*AB387+AE15*AB387+AE16*AB387+AE17*AB387+AE18*AB387+AE19*AB387+AE20*AB387+AE21*AB387+AE22*AB387+AE23*AB387+AE24*AB387+AE25*AB387+AE26*AB387</f>
        <v>0</v>
      </c>
      <c r="AD387" s="5"/>
      <c r="AE387" s="5"/>
      <c r="AG387" s="5"/>
      <c r="AH387" s="5"/>
      <c r="AI387" s="5"/>
      <c r="AJ387" s="5"/>
      <c r="AL387" s="5"/>
      <c r="AM387" s="5"/>
      <c r="AN387" s="5"/>
      <c r="AO387" s="5"/>
      <c r="AQ387" s="5"/>
      <c r="AR387" s="5"/>
      <c r="AS387" s="5"/>
      <c r="AT387" s="5"/>
      <c r="BD387" s="5"/>
      <c r="BF387" s="5"/>
      <c r="BG387" s="5"/>
      <c r="BH387" s="5"/>
      <c r="BI387" s="5"/>
      <c r="BM387" s="5"/>
      <c r="BN387" s="5"/>
      <c r="BP387" s="5"/>
      <c r="BQ387" s="5"/>
      <c r="BR387" s="5"/>
      <c r="BS387" s="5"/>
      <c r="BU387" s="5"/>
      <c r="BV387" s="5"/>
      <c r="BW387" s="5"/>
      <c r="BX387" s="5"/>
      <c r="BZ387" s="5"/>
      <c r="CA387" s="5"/>
      <c r="CB387" s="5"/>
      <c r="CC387" s="5"/>
      <c r="CE387" s="5"/>
      <c r="CF387" s="5"/>
      <c r="CG387" s="5"/>
      <c r="CH387" s="5"/>
      <c r="CO387" s="13"/>
      <c r="CP387" s="5"/>
      <c r="CQ387" s="5"/>
      <c r="CR387" s="5"/>
      <c r="CT387" s="5"/>
      <c r="CU387" s="5"/>
      <c r="CV387" s="5"/>
      <c r="CW387" s="5"/>
      <c r="CY387" s="5"/>
      <c r="CZ387" s="5"/>
      <c r="DA387" s="5"/>
      <c r="DB387" s="5"/>
      <c r="DD387" s="5"/>
      <c r="DE387" s="5"/>
      <c r="DF387" s="5"/>
      <c r="DG387" s="5"/>
      <c r="DI387" s="5"/>
      <c r="DJ387" s="5"/>
      <c r="DK387" s="5"/>
      <c r="DL387" s="5"/>
      <c r="DN387" s="5"/>
      <c r="DO387" s="5"/>
      <c r="DP387" s="5"/>
      <c r="DQ387" s="5"/>
      <c r="DS387" s="5"/>
      <c r="DT387" s="5"/>
      <c r="DU387" s="5"/>
      <c r="DV387" s="5"/>
      <c r="DX387" s="5"/>
      <c r="DY387" s="5"/>
      <c r="DZ387" s="5"/>
      <c r="EA387" s="5"/>
      <c r="EC387" s="5"/>
      <c r="ED387" s="5"/>
      <c r="EE387" s="5"/>
      <c r="EF387" s="5"/>
      <c r="EH387" s="5"/>
      <c r="EI387" s="5"/>
      <c r="EJ387" s="5"/>
      <c r="EK387" s="5"/>
      <c r="EX387" s="659">
        <f t="shared" si="3"/>
        <v>0</v>
      </c>
    </row>
    <row r="388" spans="1:155" s="6" customFormat="1" ht="15" customHeight="1">
      <c r="A388" s="3" t="s">
        <v>40</v>
      </c>
      <c r="B388" s="210" t="s">
        <v>40</v>
      </c>
      <c r="C388" s="473" t="s">
        <v>515</v>
      </c>
      <c r="D388" s="138"/>
      <c r="E388" s="5"/>
      <c r="F388" s="5"/>
      <c r="G388" s="5"/>
      <c r="H388" s="5"/>
      <c r="I388" s="4"/>
      <c r="J388" s="4"/>
      <c r="K388" s="4"/>
      <c r="L388" s="4"/>
      <c r="M388" s="4"/>
      <c r="N388" s="4"/>
      <c r="O388" s="4"/>
      <c r="P388" s="4"/>
      <c r="Q388" s="4"/>
      <c r="R388" s="5"/>
      <c r="S388" s="5"/>
      <c r="U388" s="5"/>
      <c r="W388" s="5"/>
      <c r="X388" s="5"/>
      <c r="Y388" s="5"/>
      <c r="Z388" s="5"/>
      <c r="AB388" s="5"/>
      <c r="AC388" s="5"/>
      <c r="AD388" s="5"/>
      <c r="AE388" s="5"/>
      <c r="AG388" s="5"/>
      <c r="AH388" s="5"/>
      <c r="AI388" s="5"/>
      <c r="AJ388" s="5"/>
      <c r="AL388" s="5"/>
      <c r="AM388" s="5"/>
      <c r="AN388" s="5"/>
      <c r="AO388" s="5"/>
      <c r="AQ388" s="5"/>
      <c r="AR388" s="5"/>
      <c r="AS388" s="5"/>
      <c r="AT388" s="5"/>
      <c r="BD388" s="5"/>
      <c r="BF388" s="5"/>
      <c r="BG388" s="5"/>
      <c r="BH388" s="5"/>
      <c r="BI388" s="5"/>
      <c r="BM388" s="5"/>
      <c r="BN388" s="5"/>
      <c r="BP388" s="5"/>
      <c r="BQ388" s="5"/>
      <c r="BR388" s="5"/>
      <c r="BS388" s="5"/>
      <c r="BU388" s="5"/>
      <c r="BV388" s="5"/>
      <c r="BW388" s="5"/>
      <c r="BX388" s="5"/>
      <c r="BZ388" s="5"/>
      <c r="CA388" s="5"/>
      <c r="CB388" s="5"/>
      <c r="CC388" s="5"/>
      <c r="CE388" s="5"/>
      <c r="CF388" s="5"/>
      <c r="CG388" s="5"/>
      <c r="CH388" s="5"/>
      <c r="CO388" s="13"/>
      <c r="CP388" s="5"/>
      <c r="CQ388" s="5"/>
      <c r="CR388" s="5"/>
      <c r="CT388" s="5"/>
      <c r="CU388" s="5"/>
      <c r="CV388" s="5"/>
      <c r="CW388" s="5"/>
      <c r="CY388" s="5"/>
      <c r="CZ388" s="5"/>
      <c r="DA388" s="5"/>
      <c r="DB388" s="5"/>
      <c r="DD388" s="5"/>
      <c r="DE388" s="5"/>
      <c r="DF388" s="5"/>
      <c r="DG388" s="5"/>
      <c r="DI388" s="5"/>
      <c r="DJ388" s="5"/>
      <c r="DK388" s="5"/>
      <c r="DL388" s="5"/>
      <c r="DN388" s="5"/>
      <c r="DO388" s="5"/>
      <c r="DP388" s="5"/>
      <c r="DQ388" s="5"/>
      <c r="DS388" s="5"/>
      <c r="DT388" s="5"/>
      <c r="DU388" s="5"/>
      <c r="DV388" s="5"/>
      <c r="DX388" s="5"/>
      <c r="DY388" s="5"/>
      <c r="DZ388" s="5"/>
      <c r="EA388" s="5"/>
      <c r="EC388" s="5"/>
      <c r="ED388" s="5"/>
      <c r="EE388" s="5"/>
      <c r="EF388" s="5"/>
      <c r="EH388" s="5"/>
      <c r="EI388" s="5"/>
      <c r="EJ388" s="5"/>
      <c r="EK388" s="5"/>
      <c r="EX388" s="659">
        <f t="shared" si="3"/>
        <v>0</v>
      </c>
    </row>
    <row r="389" spans="1:155" s="6" customFormat="1" ht="15" customHeight="1">
      <c r="A389" s="3" t="s">
        <v>156</v>
      </c>
      <c r="B389" s="210" t="s">
        <v>156</v>
      </c>
      <c r="C389" s="473" t="s">
        <v>515</v>
      </c>
      <c r="D389" s="138"/>
      <c r="E389" s="5"/>
      <c r="F389" s="5"/>
      <c r="G389" s="5"/>
      <c r="H389" s="5"/>
      <c r="I389" s="4"/>
      <c r="J389" s="4"/>
      <c r="K389" s="4"/>
      <c r="L389" s="4"/>
      <c r="M389" s="4"/>
      <c r="N389" s="4"/>
      <c r="O389" s="4"/>
      <c r="P389" s="4"/>
      <c r="Q389" s="4"/>
      <c r="R389" s="5"/>
      <c r="S389" s="5"/>
      <c r="U389" s="5"/>
      <c r="W389" s="5"/>
      <c r="X389" s="5"/>
      <c r="Y389" s="5"/>
      <c r="Z389" s="5"/>
      <c r="AB389" s="5"/>
      <c r="AC389" s="5"/>
      <c r="AD389" s="5"/>
      <c r="AE389" s="5"/>
      <c r="AG389" s="5"/>
      <c r="AH389" s="5"/>
      <c r="AI389" s="5"/>
      <c r="AJ389" s="5"/>
      <c r="AL389" s="5"/>
      <c r="AM389" s="5"/>
      <c r="AN389" s="5"/>
      <c r="AO389" s="5"/>
      <c r="AQ389" s="5"/>
      <c r="AR389" s="5"/>
      <c r="AS389" s="5"/>
      <c r="AT389" s="5"/>
      <c r="BD389" s="5"/>
      <c r="BF389" s="5"/>
      <c r="BG389" s="5"/>
      <c r="BH389" s="5"/>
      <c r="BI389" s="5"/>
      <c r="BM389" s="5"/>
      <c r="BN389" s="5"/>
      <c r="BP389" s="5"/>
      <c r="BQ389" s="5"/>
      <c r="BR389" s="5"/>
      <c r="BS389" s="5"/>
      <c r="BU389" s="5"/>
      <c r="BV389" s="5"/>
      <c r="BW389" s="5"/>
      <c r="BX389" s="5"/>
      <c r="BZ389" s="5"/>
      <c r="CA389" s="5"/>
      <c r="CB389" s="5"/>
      <c r="CC389" s="5"/>
      <c r="CE389" s="5"/>
      <c r="CF389" s="5"/>
      <c r="CG389" s="5"/>
      <c r="CH389" s="5"/>
      <c r="CO389" s="13"/>
      <c r="CP389" s="5"/>
      <c r="CQ389" s="5"/>
      <c r="CR389" s="5"/>
      <c r="CT389" s="5"/>
      <c r="CU389" s="5"/>
      <c r="CV389" s="5"/>
      <c r="CW389" s="5"/>
      <c r="CY389" s="5"/>
      <c r="CZ389" s="5"/>
      <c r="DA389" s="5"/>
      <c r="DB389" s="5"/>
      <c r="DD389" s="5"/>
      <c r="DE389" s="5"/>
      <c r="DF389" s="5"/>
      <c r="DG389" s="5"/>
      <c r="DI389" s="5"/>
      <c r="DJ389" s="5"/>
      <c r="DK389" s="5"/>
      <c r="DL389" s="5"/>
      <c r="DN389" s="5"/>
      <c r="DO389" s="5"/>
      <c r="DP389" s="5"/>
      <c r="DQ389" s="5"/>
      <c r="DS389" s="5"/>
      <c r="DT389" s="5"/>
      <c r="DU389" s="5"/>
      <c r="DV389" s="5"/>
      <c r="DX389" s="5"/>
      <c r="DY389" s="5"/>
      <c r="DZ389" s="5"/>
      <c r="EA389" s="5"/>
      <c r="EC389" s="5"/>
      <c r="ED389" s="5"/>
      <c r="EE389" s="5"/>
      <c r="EF389" s="5"/>
      <c r="EH389" s="5"/>
      <c r="EI389" s="5"/>
      <c r="EJ389" s="5"/>
      <c r="EK389" s="5"/>
      <c r="EX389" s="659">
        <f t="shared" si="3"/>
        <v>0</v>
      </c>
      <c r="EY389" s="6">
        <v>13</v>
      </c>
    </row>
    <row r="390" spans="1:155" s="6" customFormat="1" ht="15" customHeight="1">
      <c r="A390" s="3" t="s">
        <v>70</v>
      </c>
      <c r="B390" s="210" t="s">
        <v>70</v>
      </c>
      <c r="C390" s="473" t="s">
        <v>515</v>
      </c>
      <c r="D390" s="138"/>
      <c r="E390" s="5"/>
      <c r="F390" s="5"/>
      <c r="G390" s="5"/>
      <c r="H390" s="5"/>
      <c r="I390" s="4"/>
      <c r="J390" s="4"/>
      <c r="K390" s="4"/>
      <c r="L390" s="4"/>
      <c r="M390" s="4"/>
      <c r="N390" s="4"/>
      <c r="O390" s="4"/>
      <c r="P390" s="4"/>
      <c r="Q390" s="4"/>
      <c r="R390" s="5"/>
      <c r="S390" s="5"/>
      <c r="U390" s="5"/>
      <c r="W390" s="5"/>
      <c r="X390" s="5"/>
      <c r="Y390" s="5"/>
      <c r="Z390" s="5"/>
      <c r="AB390" s="5"/>
      <c r="AC390" s="5"/>
      <c r="AD390" s="5"/>
      <c r="AE390" s="5"/>
      <c r="AG390" s="5"/>
      <c r="AH390" s="5"/>
      <c r="AI390" s="5"/>
      <c r="AJ390" s="5"/>
      <c r="AL390" s="5"/>
      <c r="AM390" s="5"/>
      <c r="AN390" s="5"/>
      <c r="AO390" s="5"/>
      <c r="AQ390" s="5"/>
      <c r="AR390" s="5"/>
      <c r="AS390" s="5"/>
      <c r="AT390" s="5"/>
      <c r="BD390" s="5"/>
      <c r="BF390" s="5"/>
      <c r="BG390" s="5"/>
      <c r="BH390" s="5"/>
      <c r="BI390" s="5"/>
      <c r="BM390" s="5"/>
      <c r="BN390" s="5"/>
      <c r="BP390" s="5"/>
      <c r="BQ390" s="5"/>
      <c r="BR390" s="5"/>
      <c r="BS390" s="5"/>
      <c r="BU390" s="5"/>
      <c r="BV390" s="5"/>
      <c r="BW390" s="5"/>
      <c r="BX390" s="5"/>
      <c r="BZ390" s="5"/>
      <c r="CA390" s="5"/>
      <c r="CB390" s="5"/>
      <c r="CC390" s="5"/>
      <c r="CE390" s="5"/>
      <c r="CF390" s="5"/>
      <c r="CG390" s="5"/>
      <c r="CH390" s="5"/>
      <c r="CO390" s="13"/>
      <c r="CP390" s="5"/>
      <c r="CQ390" s="5"/>
      <c r="CR390" s="5"/>
      <c r="CT390" s="5"/>
      <c r="CU390" s="5"/>
      <c r="CV390" s="5"/>
      <c r="CW390" s="5"/>
      <c r="CY390" s="5"/>
      <c r="CZ390" s="5"/>
      <c r="DA390" s="5"/>
      <c r="DB390" s="5"/>
      <c r="DD390" s="5"/>
      <c r="DE390" s="5"/>
      <c r="DF390" s="5"/>
      <c r="DG390" s="5"/>
      <c r="DI390" s="5"/>
      <c r="DJ390" s="5"/>
      <c r="DK390" s="5"/>
      <c r="DL390" s="5"/>
      <c r="DN390" s="5"/>
      <c r="DO390" s="5"/>
      <c r="DP390" s="5"/>
      <c r="DQ390" s="5"/>
      <c r="DS390" s="5"/>
      <c r="DT390" s="5"/>
      <c r="DU390" s="5"/>
      <c r="DV390" s="5"/>
      <c r="DX390" s="5"/>
      <c r="DY390" s="5"/>
      <c r="DZ390" s="5"/>
      <c r="EA390" s="5"/>
      <c r="EC390" s="5"/>
      <c r="ED390" s="5"/>
      <c r="EE390" s="5"/>
      <c r="EF390" s="5"/>
      <c r="EH390" s="5"/>
      <c r="EI390" s="5"/>
      <c r="EJ390" s="5"/>
      <c r="EK390" s="5"/>
      <c r="EX390" s="659">
        <f t="shared" si="3"/>
        <v>0</v>
      </c>
      <c r="EY390" s="1341">
        <v>34</v>
      </c>
    </row>
    <row r="391" spans="1:155" s="6" customFormat="1" ht="15" customHeight="1">
      <c r="A391" s="3" t="s">
        <v>157</v>
      </c>
      <c r="B391" s="210" t="s">
        <v>157</v>
      </c>
      <c r="C391" s="473" t="s">
        <v>515</v>
      </c>
      <c r="D391" s="138"/>
      <c r="E391" s="5"/>
      <c r="F391" s="5"/>
      <c r="G391" s="5"/>
      <c r="H391" s="5"/>
      <c r="I391" s="4"/>
      <c r="J391" s="4"/>
      <c r="K391" s="4"/>
      <c r="L391" s="4"/>
      <c r="M391" s="4"/>
      <c r="N391" s="4"/>
      <c r="O391" s="4"/>
      <c r="P391" s="4"/>
      <c r="Q391" s="4"/>
      <c r="R391" s="5"/>
      <c r="S391" s="5"/>
      <c r="U391" s="5"/>
      <c r="W391" s="5"/>
      <c r="X391" s="5"/>
      <c r="Y391" s="5"/>
      <c r="Z391" s="5"/>
      <c r="AB391" s="5"/>
      <c r="AC391" s="5"/>
      <c r="AD391" s="5"/>
      <c r="AE391" s="5"/>
      <c r="AG391" s="5"/>
      <c r="AH391" s="5"/>
      <c r="AI391" s="5"/>
      <c r="AJ391" s="5"/>
      <c r="AL391" s="5"/>
      <c r="AM391" s="5"/>
      <c r="AN391" s="5"/>
      <c r="AO391" s="5"/>
      <c r="AQ391" s="5"/>
      <c r="AR391" s="5"/>
      <c r="AS391" s="5"/>
      <c r="AT391" s="5"/>
      <c r="BD391" s="5"/>
      <c r="BF391" s="5"/>
      <c r="BG391" s="5"/>
      <c r="BH391" s="5"/>
      <c r="BI391" s="5"/>
      <c r="BM391" s="5"/>
      <c r="BN391" s="5"/>
      <c r="BP391" s="5"/>
      <c r="BQ391" s="5"/>
      <c r="BR391" s="5"/>
      <c r="BS391" s="5"/>
      <c r="BU391" s="5"/>
      <c r="BV391" s="5"/>
      <c r="BW391" s="5"/>
      <c r="BX391" s="5"/>
      <c r="BZ391" s="5"/>
      <c r="CA391" s="5"/>
      <c r="CB391" s="5"/>
      <c r="CC391" s="5"/>
      <c r="CE391" s="5"/>
      <c r="CF391" s="5"/>
      <c r="CG391" s="5"/>
      <c r="CH391" s="5"/>
      <c r="CO391" s="13"/>
      <c r="CP391" s="5"/>
      <c r="CQ391" s="5"/>
      <c r="CR391" s="5"/>
      <c r="CT391" s="5"/>
      <c r="CU391" s="5"/>
      <c r="CV391" s="5"/>
      <c r="CW391" s="5"/>
      <c r="CY391" s="5"/>
      <c r="CZ391" s="5"/>
      <c r="DA391" s="5"/>
      <c r="DB391" s="5"/>
      <c r="DD391" s="5"/>
      <c r="DE391" s="5"/>
      <c r="DF391" s="5"/>
      <c r="DG391" s="5"/>
      <c r="DI391" s="5"/>
      <c r="DJ391" s="5"/>
      <c r="DK391" s="5"/>
      <c r="DL391" s="5"/>
      <c r="DN391" s="5"/>
      <c r="DO391" s="5"/>
      <c r="DP391" s="5"/>
      <c r="DQ391" s="5"/>
      <c r="DS391" s="5"/>
      <c r="DT391" s="5"/>
      <c r="DU391" s="5"/>
      <c r="DV391" s="5"/>
      <c r="DX391" s="5"/>
      <c r="DY391" s="5"/>
      <c r="DZ391" s="5"/>
      <c r="EA391" s="5"/>
      <c r="EC391" s="5"/>
      <c r="ED391" s="5"/>
      <c r="EE391" s="5"/>
      <c r="EF391" s="5"/>
      <c r="EH391" s="5"/>
      <c r="EI391" s="5"/>
      <c r="EJ391" s="5"/>
      <c r="EK391" s="5"/>
      <c r="EX391" s="659">
        <f t="shared" si="3"/>
        <v>0</v>
      </c>
      <c r="EY391" s="6">
        <v>13</v>
      </c>
    </row>
    <row r="392" spans="1:155" s="6" customFormat="1" ht="15" customHeight="1">
      <c r="A392" s="3" t="s">
        <v>71</v>
      </c>
      <c r="B392" s="210" t="s">
        <v>71</v>
      </c>
      <c r="C392" s="473" t="s">
        <v>515</v>
      </c>
      <c r="D392" s="138"/>
      <c r="E392" s="5"/>
      <c r="F392" s="5"/>
      <c r="G392" s="5"/>
      <c r="H392" s="5"/>
      <c r="I392" s="4"/>
      <c r="J392" s="4"/>
      <c r="K392" s="4"/>
      <c r="L392" s="4"/>
      <c r="M392" s="4"/>
      <c r="N392" s="4"/>
      <c r="O392" s="4"/>
      <c r="P392" s="4"/>
      <c r="Q392" s="4"/>
      <c r="R392" s="5"/>
      <c r="S392" s="5"/>
      <c r="U392" s="5"/>
      <c r="W392" s="5"/>
      <c r="X392" s="5"/>
      <c r="Y392" s="5"/>
      <c r="Z392" s="5"/>
      <c r="AB392" s="5"/>
      <c r="AC392" s="5"/>
      <c r="AD392" s="5"/>
      <c r="AE392" s="5"/>
      <c r="AG392" s="5"/>
      <c r="AH392" s="5"/>
      <c r="AI392" s="5"/>
      <c r="AJ392" s="5"/>
      <c r="AL392" s="5"/>
      <c r="AM392" s="5"/>
      <c r="AN392" s="5"/>
      <c r="AO392" s="5"/>
      <c r="AQ392" s="5"/>
      <c r="AR392" s="5"/>
      <c r="AS392" s="5"/>
      <c r="AT392" s="5"/>
      <c r="BD392" s="5"/>
      <c r="BF392" s="5"/>
      <c r="BG392" s="5"/>
      <c r="BH392" s="5"/>
      <c r="BI392" s="5"/>
      <c r="BM392" s="5"/>
      <c r="BN392" s="5"/>
      <c r="BP392" s="5"/>
      <c r="BQ392" s="5"/>
      <c r="BR392" s="5"/>
      <c r="BS392" s="5"/>
      <c r="BU392" s="5"/>
      <c r="BV392" s="5"/>
      <c r="BW392" s="5"/>
      <c r="BX392" s="5"/>
      <c r="BZ392" s="5"/>
      <c r="CA392" s="5"/>
      <c r="CB392" s="5"/>
      <c r="CC392" s="5"/>
      <c r="CE392" s="5"/>
      <c r="CF392" s="5"/>
      <c r="CG392" s="5"/>
      <c r="CH392" s="5"/>
      <c r="CO392" s="13"/>
      <c r="CP392" s="5"/>
      <c r="CQ392" s="5"/>
      <c r="CR392" s="5"/>
      <c r="CT392" s="5"/>
      <c r="CU392" s="5"/>
      <c r="CV392" s="5"/>
      <c r="CW392" s="5"/>
      <c r="CY392" s="5"/>
      <c r="CZ392" s="5"/>
      <c r="DA392" s="5"/>
      <c r="DB392" s="5"/>
      <c r="DD392" s="5"/>
      <c r="DE392" s="5"/>
      <c r="DF392" s="5"/>
      <c r="DG392" s="5"/>
      <c r="DI392" s="5"/>
      <c r="DJ392" s="5"/>
      <c r="DK392" s="5"/>
      <c r="DL392" s="5"/>
      <c r="DN392" s="5"/>
      <c r="DO392" s="5"/>
      <c r="DP392" s="5"/>
      <c r="DQ392" s="5"/>
      <c r="DS392" s="5"/>
      <c r="DT392" s="5"/>
      <c r="DU392" s="5"/>
      <c r="DV392" s="5"/>
      <c r="DX392" s="5"/>
      <c r="DY392" s="5"/>
      <c r="DZ392" s="5"/>
      <c r="EA392" s="5"/>
      <c r="EC392" s="5"/>
      <c r="ED392" s="5"/>
      <c r="EE392" s="5"/>
      <c r="EF392" s="5"/>
      <c r="EH392" s="5"/>
      <c r="EI392" s="5"/>
      <c r="EJ392" s="5"/>
      <c r="EK392" s="5"/>
      <c r="EX392" s="659">
        <f t="shared" si="3"/>
        <v>0</v>
      </c>
      <c r="EY392" s="1341">
        <v>34</v>
      </c>
    </row>
    <row r="393" spans="1:155" s="6" customFormat="1" ht="15" customHeight="1">
      <c r="A393" s="3" t="s">
        <v>158</v>
      </c>
      <c r="B393" s="210" t="s">
        <v>158</v>
      </c>
      <c r="C393" s="473" t="s">
        <v>515</v>
      </c>
      <c r="D393" s="138"/>
      <c r="E393" s="5"/>
      <c r="F393" s="5"/>
      <c r="G393" s="5"/>
      <c r="H393" s="5"/>
      <c r="I393" s="4"/>
      <c r="J393" s="4"/>
      <c r="K393" s="4"/>
      <c r="L393" s="4"/>
      <c r="M393" s="4"/>
      <c r="N393" s="4"/>
      <c r="O393" s="4"/>
      <c r="P393" s="4"/>
      <c r="Q393" s="4"/>
      <c r="R393" s="5"/>
      <c r="S393" s="5"/>
      <c r="U393" s="5"/>
      <c r="W393" s="5"/>
      <c r="X393" s="5"/>
      <c r="Y393" s="5"/>
      <c r="Z393" s="5"/>
      <c r="AB393" s="5"/>
      <c r="AC393" s="5"/>
      <c r="AD393" s="5"/>
      <c r="AE393" s="5"/>
      <c r="AG393" s="5"/>
      <c r="AH393" s="5"/>
      <c r="AI393" s="5"/>
      <c r="AJ393" s="5"/>
      <c r="AL393" s="5"/>
      <c r="AM393" s="5"/>
      <c r="AN393" s="5"/>
      <c r="AO393" s="5"/>
      <c r="AQ393" s="5"/>
      <c r="AR393" s="5"/>
      <c r="AS393" s="5"/>
      <c r="AT393" s="5"/>
      <c r="BD393" s="5"/>
      <c r="BF393" s="5"/>
      <c r="BG393" s="5"/>
      <c r="BH393" s="5"/>
      <c r="BI393" s="5"/>
      <c r="BM393" s="5"/>
      <c r="BN393" s="5"/>
      <c r="BP393" s="5"/>
      <c r="BQ393" s="5"/>
      <c r="BR393" s="5"/>
      <c r="BS393" s="5"/>
      <c r="BU393" s="5"/>
      <c r="BV393" s="5"/>
      <c r="BW393" s="5"/>
      <c r="BX393" s="5"/>
      <c r="BZ393" s="5"/>
      <c r="CA393" s="5"/>
      <c r="CB393" s="5"/>
      <c r="CC393" s="5"/>
      <c r="CE393" s="5"/>
      <c r="CF393" s="5"/>
      <c r="CG393" s="5"/>
      <c r="CH393" s="5"/>
      <c r="CO393" s="13"/>
      <c r="CP393" s="5"/>
      <c r="CQ393" s="5"/>
      <c r="CR393" s="5"/>
      <c r="CT393" s="5"/>
      <c r="CU393" s="5"/>
      <c r="CV393" s="5"/>
      <c r="CW393" s="5"/>
      <c r="CY393" s="5"/>
      <c r="CZ393" s="5"/>
      <c r="DA393" s="5"/>
      <c r="DB393" s="5"/>
      <c r="DD393" s="5"/>
      <c r="DE393" s="5"/>
      <c r="DF393" s="5"/>
      <c r="DG393" s="5"/>
      <c r="DI393" s="5"/>
      <c r="DJ393" s="5"/>
      <c r="DK393" s="5"/>
      <c r="DL393" s="5"/>
      <c r="DN393" s="5"/>
      <c r="DO393" s="5"/>
      <c r="DP393" s="5"/>
      <c r="DQ393" s="5"/>
      <c r="DS393" s="5"/>
      <c r="DT393" s="5"/>
      <c r="DU393" s="5"/>
      <c r="DV393" s="5"/>
      <c r="DX393" s="5"/>
      <c r="DY393" s="5"/>
      <c r="DZ393" s="5"/>
      <c r="EA393" s="5"/>
      <c r="EC393" s="5"/>
      <c r="ED393" s="5"/>
      <c r="EE393" s="5"/>
      <c r="EF393" s="5"/>
      <c r="EH393" s="5"/>
      <c r="EI393" s="5"/>
      <c r="EJ393" s="5"/>
      <c r="EK393" s="5"/>
      <c r="EX393" s="659">
        <f t="shared" si="3"/>
        <v>0</v>
      </c>
      <c r="EY393" s="6">
        <v>13</v>
      </c>
    </row>
    <row r="394" spans="1:155" s="6" customFormat="1" ht="15" customHeight="1">
      <c r="A394" s="3" t="s">
        <v>72</v>
      </c>
      <c r="B394" s="210" t="s">
        <v>72</v>
      </c>
      <c r="C394" s="473" t="s">
        <v>515</v>
      </c>
      <c r="D394" s="138"/>
      <c r="E394" s="5"/>
      <c r="F394" s="5"/>
      <c r="G394" s="5"/>
      <c r="H394" s="5"/>
      <c r="I394" s="4"/>
      <c r="J394" s="4"/>
      <c r="K394" s="4"/>
      <c r="L394" s="4"/>
      <c r="M394" s="4"/>
      <c r="N394" s="4"/>
      <c r="O394" s="4"/>
      <c r="P394" s="4"/>
      <c r="Q394" s="4"/>
      <c r="R394" s="5"/>
      <c r="S394" s="5"/>
      <c r="U394" s="5"/>
      <c r="W394" s="5"/>
      <c r="X394" s="5"/>
      <c r="Y394" s="5"/>
      <c r="Z394" s="5"/>
      <c r="AB394" s="5"/>
      <c r="AC394" s="5"/>
      <c r="AD394" s="5"/>
      <c r="AE394" s="5"/>
      <c r="AG394" s="5"/>
      <c r="AH394" s="5"/>
      <c r="AI394" s="5"/>
      <c r="AJ394" s="5"/>
      <c r="AL394" s="5"/>
      <c r="AM394" s="5"/>
      <c r="AN394" s="5"/>
      <c r="AO394" s="5"/>
      <c r="AQ394" s="5"/>
      <c r="AR394" s="5"/>
      <c r="AS394" s="5"/>
      <c r="AT394" s="5"/>
      <c r="BD394" s="5"/>
      <c r="BF394" s="5"/>
      <c r="BG394" s="5"/>
      <c r="BH394" s="5"/>
      <c r="BI394" s="5"/>
      <c r="BM394" s="5"/>
      <c r="BN394" s="5"/>
      <c r="BP394" s="5"/>
      <c r="BQ394" s="5"/>
      <c r="BR394" s="5"/>
      <c r="BS394" s="5"/>
      <c r="BU394" s="5"/>
      <c r="BV394" s="5"/>
      <c r="BW394" s="5"/>
      <c r="BX394" s="5"/>
      <c r="BZ394" s="5"/>
      <c r="CA394" s="5"/>
      <c r="CB394" s="5"/>
      <c r="CC394" s="5"/>
      <c r="CE394" s="5"/>
      <c r="CF394" s="5"/>
      <c r="CG394" s="5"/>
      <c r="CH394" s="5"/>
      <c r="CO394" s="13"/>
      <c r="CP394" s="5"/>
      <c r="CQ394" s="5"/>
      <c r="CR394" s="5"/>
      <c r="CT394" s="5"/>
      <c r="CU394" s="5"/>
      <c r="CV394" s="5"/>
      <c r="CW394" s="5"/>
      <c r="CY394" s="5"/>
      <c r="CZ394" s="5"/>
      <c r="DA394" s="5"/>
      <c r="DB394" s="5"/>
      <c r="DD394" s="5"/>
      <c r="DE394" s="5"/>
      <c r="DF394" s="5"/>
      <c r="DG394" s="5"/>
      <c r="DI394" s="5"/>
      <c r="DJ394" s="5"/>
      <c r="DK394" s="5"/>
      <c r="DL394" s="5"/>
      <c r="DN394" s="5"/>
      <c r="DO394" s="5"/>
      <c r="DP394" s="5"/>
      <c r="DQ394" s="5"/>
      <c r="DS394" s="5"/>
      <c r="DT394" s="5"/>
      <c r="DU394" s="5"/>
      <c r="DV394" s="5"/>
      <c r="DX394" s="5"/>
      <c r="DY394" s="5"/>
      <c r="DZ394" s="5"/>
      <c r="EA394" s="5"/>
      <c r="EC394" s="5"/>
      <c r="ED394" s="5"/>
      <c r="EE394" s="5"/>
      <c r="EF394" s="5"/>
      <c r="EH394" s="5"/>
      <c r="EI394" s="5"/>
      <c r="EJ394" s="5"/>
      <c r="EK394" s="5"/>
      <c r="EX394" s="659">
        <f t="shared" si="3"/>
        <v>0</v>
      </c>
      <c r="EY394" s="1341">
        <v>34</v>
      </c>
    </row>
    <row r="395" spans="1:155" s="6" customFormat="1" ht="15" customHeight="1">
      <c r="A395" s="3" t="s">
        <v>159</v>
      </c>
      <c r="B395" s="210" t="s">
        <v>159</v>
      </c>
      <c r="C395" s="473" t="s">
        <v>515</v>
      </c>
      <c r="D395" s="138"/>
      <c r="E395" s="5"/>
      <c r="F395" s="5"/>
      <c r="G395" s="5"/>
      <c r="H395" s="5"/>
      <c r="I395" s="4"/>
      <c r="J395" s="4"/>
      <c r="K395" s="4"/>
      <c r="L395" s="4"/>
      <c r="M395" s="4"/>
      <c r="N395" s="4"/>
      <c r="O395" s="4"/>
      <c r="P395" s="4"/>
      <c r="Q395" s="4"/>
      <c r="R395" s="5"/>
      <c r="S395" s="5"/>
      <c r="U395" s="5"/>
      <c r="W395" s="5"/>
      <c r="X395" s="5"/>
      <c r="Y395" s="5"/>
      <c r="Z395" s="5"/>
      <c r="AB395" s="5"/>
      <c r="AC395" s="5"/>
      <c r="AD395" s="5"/>
      <c r="AE395" s="5"/>
      <c r="AG395" s="5"/>
      <c r="AH395" s="5"/>
      <c r="AI395" s="5"/>
      <c r="AJ395" s="5"/>
      <c r="AL395" s="5"/>
      <c r="AM395" s="5"/>
      <c r="AN395" s="5"/>
      <c r="AO395" s="5"/>
      <c r="AQ395" s="5"/>
      <c r="AR395" s="5"/>
      <c r="AS395" s="5"/>
      <c r="AT395" s="5"/>
      <c r="BD395" s="5"/>
      <c r="BF395" s="5"/>
      <c r="BG395" s="5"/>
      <c r="BH395" s="5"/>
      <c r="BI395" s="5"/>
      <c r="BM395" s="5"/>
      <c r="BN395" s="5"/>
      <c r="BP395" s="5"/>
      <c r="BQ395" s="5"/>
      <c r="BR395" s="5"/>
      <c r="BS395" s="5"/>
      <c r="BU395" s="5"/>
      <c r="BV395" s="5"/>
      <c r="BW395" s="5"/>
      <c r="BX395" s="5"/>
      <c r="BZ395" s="5"/>
      <c r="CA395" s="5"/>
      <c r="CB395" s="5"/>
      <c r="CC395" s="5"/>
      <c r="CE395" s="5"/>
      <c r="CF395" s="5"/>
      <c r="CG395" s="5"/>
      <c r="CH395" s="5"/>
      <c r="CO395" s="13"/>
      <c r="CP395" s="5"/>
      <c r="CQ395" s="5"/>
      <c r="CR395" s="5"/>
      <c r="CT395" s="5"/>
      <c r="CU395" s="5"/>
      <c r="CV395" s="5"/>
      <c r="CW395" s="5"/>
      <c r="CY395" s="5"/>
      <c r="CZ395" s="5"/>
      <c r="DA395" s="5"/>
      <c r="DB395" s="5"/>
      <c r="DD395" s="5"/>
      <c r="DE395" s="5"/>
      <c r="DF395" s="5"/>
      <c r="DG395" s="5"/>
      <c r="DI395" s="5"/>
      <c r="DJ395" s="5"/>
      <c r="DK395" s="5"/>
      <c r="DL395" s="5"/>
      <c r="DN395" s="5"/>
      <c r="DO395" s="5"/>
      <c r="DP395" s="5"/>
      <c r="DQ395" s="5"/>
      <c r="DS395" s="5"/>
      <c r="DT395" s="5"/>
      <c r="DU395" s="5"/>
      <c r="DV395" s="5"/>
      <c r="DX395" s="5"/>
      <c r="DY395" s="5"/>
      <c r="DZ395" s="5"/>
      <c r="EA395" s="5"/>
      <c r="EC395" s="5"/>
      <c r="ED395" s="5"/>
      <c r="EE395" s="5"/>
      <c r="EF395" s="5"/>
      <c r="EH395" s="5"/>
      <c r="EI395" s="5"/>
      <c r="EJ395" s="5"/>
      <c r="EK395" s="5"/>
      <c r="EX395" s="659">
        <f t="shared" si="3"/>
        <v>0</v>
      </c>
      <c r="EY395" s="6">
        <v>13</v>
      </c>
    </row>
    <row r="396" spans="1:155" s="6" customFormat="1" ht="15" customHeight="1">
      <c r="A396" s="3" t="s">
        <v>73</v>
      </c>
      <c r="B396" s="210" t="s">
        <v>73</v>
      </c>
      <c r="C396" s="473" t="s">
        <v>515</v>
      </c>
      <c r="D396" s="138"/>
      <c r="E396" s="5"/>
      <c r="F396" s="5"/>
      <c r="G396" s="5"/>
      <c r="H396" s="5"/>
      <c r="I396" s="4"/>
      <c r="J396" s="4"/>
      <c r="K396" s="4"/>
      <c r="L396" s="4"/>
      <c r="M396" s="4"/>
      <c r="N396" s="4"/>
      <c r="O396" s="4"/>
      <c r="P396" s="4"/>
      <c r="Q396" s="4"/>
      <c r="R396" s="5"/>
      <c r="S396" s="5"/>
      <c r="U396" s="5"/>
      <c r="W396" s="5"/>
      <c r="X396" s="5"/>
      <c r="Y396" s="5"/>
      <c r="Z396" s="5"/>
      <c r="AB396" s="5"/>
      <c r="AC396" s="5"/>
      <c r="AD396" s="5"/>
      <c r="AE396" s="5"/>
      <c r="AG396" s="5"/>
      <c r="AH396" s="5"/>
      <c r="AI396" s="5"/>
      <c r="AJ396" s="5"/>
      <c r="AL396" s="5"/>
      <c r="AM396" s="5"/>
      <c r="AN396" s="5"/>
      <c r="AO396" s="5"/>
      <c r="AQ396" s="5"/>
      <c r="AR396" s="5"/>
      <c r="AS396" s="5"/>
      <c r="AT396" s="5"/>
      <c r="BD396" s="5"/>
      <c r="BF396" s="5"/>
      <c r="BG396" s="5"/>
      <c r="BH396" s="5"/>
      <c r="BI396" s="5"/>
      <c r="BM396" s="5"/>
      <c r="BN396" s="5"/>
      <c r="BP396" s="5"/>
      <c r="BQ396" s="5"/>
      <c r="BR396" s="5"/>
      <c r="BS396" s="5"/>
      <c r="BU396" s="5"/>
      <c r="BV396" s="5"/>
      <c r="BW396" s="5"/>
      <c r="BX396" s="5"/>
      <c r="BZ396" s="5"/>
      <c r="CA396" s="5"/>
      <c r="CB396" s="5"/>
      <c r="CC396" s="5"/>
      <c r="CE396" s="5"/>
      <c r="CF396" s="5"/>
      <c r="CG396" s="5"/>
      <c r="CH396" s="5"/>
      <c r="CO396" s="13"/>
      <c r="CP396" s="5"/>
      <c r="CQ396" s="5"/>
      <c r="CR396" s="5"/>
      <c r="CT396" s="5"/>
      <c r="CU396" s="5"/>
      <c r="CV396" s="5"/>
      <c r="CW396" s="5"/>
      <c r="CY396" s="5"/>
      <c r="CZ396" s="5"/>
      <c r="DA396" s="5"/>
      <c r="DB396" s="5"/>
      <c r="DD396" s="5"/>
      <c r="DE396" s="5"/>
      <c r="DF396" s="5"/>
      <c r="DG396" s="5"/>
      <c r="DI396" s="5"/>
      <c r="DJ396" s="5"/>
      <c r="DK396" s="5"/>
      <c r="DL396" s="5"/>
      <c r="DN396" s="5"/>
      <c r="DO396" s="5"/>
      <c r="DP396" s="5"/>
      <c r="DQ396" s="5"/>
      <c r="DS396" s="5"/>
      <c r="DT396" s="5"/>
      <c r="DU396" s="5"/>
      <c r="DV396" s="5"/>
      <c r="DX396" s="5"/>
      <c r="DY396" s="5"/>
      <c r="DZ396" s="5"/>
      <c r="EA396" s="5"/>
      <c r="EC396" s="5"/>
      <c r="ED396" s="5"/>
      <c r="EE396" s="5"/>
      <c r="EF396" s="5"/>
      <c r="EH396" s="5"/>
      <c r="EI396" s="5"/>
      <c r="EJ396" s="5"/>
      <c r="EK396" s="5"/>
      <c r="EX396" s="659">
        <f t="shared" si="3"/>
        <v>0</v>
      </c>
      <c r="EY396" s="1341">
        <v>34</v>
      </c>
    </row>
    <row r="397" spans="1:155" s="6" customFormat="1" ht="15" customHeight="1">
      <c r="A397" s="90"/>
      <c r="B397" s="210" t="s">
        <v>1552</v>
      </c>
      <c r="C397" s="473" t="s">
        <v>515</v>
      </c>
      <c r="D397" s="138"/>
      <c r="I397" s="138"/>
      <c r="J397" s="138"/>
      <c r="K397" s="138"/>
      <c r="L397" s="138"/>
      <c r="M397" s="138"/>
      <c r="N397" s="138"/>
      <c r="O397" s="138"/>
      <c r="P397" s="138"/>
      <c r="Q397" s="138"/>
      <c r="DI397" s="5"/>
      <c r="DJ397" s="5"/>
      <c r="DK397" s="5"/>
      <c r="DL397" s="5"/>
      <c r="DN397" s="5"/>
      <c r="DO397" s="5"/>
      <c r="DP397" s="5"/>
      <c r="DQ397" s="5"/>
      <c r="DS397" s="5"/>
      <c r="DT397" s="5"/>
      <c r="DU397" s="5"/>
      <c r="DV397" s="5"/>
      <c r="DX397" s="5"/>
      <c r="DY397" s="5"/>
      <c r="DZ397" s="5"/>
      <c r="EA397" s="5"/>
      <c r="EC397" s="5"/>
      <c r="ED397" s="5"/>
      <c r="EE397" s="5"/>
      <c r="EF397" s="5"/>
      <c r="EH397" s="5"/>
      <c r="EI397" s="5"/>
      <c r="EJ397" s="5"/>
      <c r="EK397" s="5"/>
      <c r="EX397" s="659">
        <f t="shared" si="3"/>
        <v>0</v>
      </c>
      <c r="EY397" s="1342"/>
    </row>
    <row r="398" spans="1:155" s="6" customFormat="1" ht="15" customHeight="1">
      <c r="A398" s="90"/>
      <c r="B398" s="210" t="s">
        <v>1553</v>
      </c>
      <c r="C398" s="473" t="s">
        <v>515</v>
      </c>
      <c r="D398" s="138"/>
      <c r="I398" s="138"/>
      <c r="J398" s="138"/>
      <c r="K398" s="138"/>
      <c r="L398" s="138"/>
      <c r="M398" s="138"/>
      <c r="N398" s="138"/>
      <c r="O398" s="138"/>
      <c r="P398" s="138"/>
      <c r="Q398" s="138"/>
      <c r="DI398" s="5"/>
      <c r="DJ398" s="5"/>
      <c r="DK398" s="5"/>
      <c r="DL398" s="5"/>
      <c r="DN398" s="5"/>
      <c r="DO398" s="5"/>
      <c r="DP398" s="5"/>
      <c r="DQ398" s="5"/>
      <c r="DS398" s="5"/>
      <c r="DT398" s="5"/>
      <c r="DU398" s="5"/>
      <c r="DV398" s="5"/>
      <c r="DX398" s="5"/>
      <c r="DY398" s="5"/>
      <c r="DZ398" s="5"/>
      <c r="EA398" s="5"/>
      <c r="EC398" s="5"/>
      <c r="ED398" s="5"/>
      <c r="EE398" s="5"/>
      <c r="EF398" s="5"/>
      <c r="EH398" s="5"/>
      <c r="EI398" s="5"/>
      <c r="EJ398" s="5"/>
      <c r="EK398" s="5"/>
      <c r="EX398" s="659">
        <f t="shared" si="3"/>
        <v>0</v>
      </c>
      <c r="EY398" s="1342"/>
    </row>
    <row r="399" spans="1:155" ht="15" customHeight="1">
      <c r="A399" s="68" t="s">
        <v>315</v>
      </c>
      <c r="B399" s="214" t="s">
        <v>374</v>
      </c>
      <c r="C399" s="473" t="s">
        <v>515</v>
      </c>
      <c r="J399" s="138"/>
      <c r="K399" s="138"/>
      <c r="M399" s="6"/>
      <c r="N399" s="6"/>
      <c r="O399" s="6"/>
      <c r="P399" s="6"/>
      <c r="BU399" s="6"/>
      <c r="BV399" s="6"/>
      <c r="BW399" s="6"/>
      <c r="BX399" s="6"/>
      <c r="BY399" s="6"/>
      <c r="BZ399" s="6"/>
      <c r="CA399" s="6"/>
      <c r="CB399" s="6"/>
      <c r="CC399" s="6"/>
      <c r="CD399" s="6"/>
      <c r="CE399" s="6"/>
      <c r="CF399" s="6"/>
      <c r="CG399" s="6"/>
      <c r="CH399" s="6"/>
      <c r="CI399" s="6"/>
      <c r="CJ399" s="6"/>
      <c r="CK399" s="6"/>
      <c r="CL399" s="6"/>
      <c r="CM399" s="6"/>
      <c r="CN399" s="6"/>
      <c r="CO399" s="6"/>
      <c r="CP399" s="6"/>
      <c r="CQ399" s="6"/>
      <c r="CR399" s="6"/>
      <c r="CS399" s="6"/>
      <c r="CT399" s="6"/>
      <c r="CU399" s="6"/>
      <c r="CV399" s="6"/>
      <c r="CW399" s="6"/>
      <c r="CX399" s="6"/>
      <c r="CY399" s="6"/>
      <c r="CZ399" s="6"/>
      <c r="DA399" s="6"/>
      <c r="DB399" s="6"/>
      <c r="DC399" s="6"/>
      <c r="DD399" s="6"/>
      <c r="DE399" s="6"/>
      <c r="DF399" s="6"/>
      <c r="DG399" s="6"/>
      <c r="DH399" s="6"/>
      <c r="DI399" s="5"/>
      <c r="DJ399" s="5"/>
      <c r="DK399" s="5"/>
      <c r="DL399" s="5"/>
      <c r="DM399" s="6"/>
      <c r="DN399" s="5"/>
      <c r="DO399" s="5"/>
      <c r="DP399" s="5"/>
      <c r="DQ399" s="5"/>
      <c r="DR399" s="6"/>
      <c r="DS399" s="5"/>
      <c r="DT399" s="5"/>
      <c r="DU399" s="5"/>
      <c r="DV399" s="5"/>
      <c r="DW399" s="6"/>
      <c r="DX399" s="5"/>
      <c r="DY399" s="5"/>
      <c r="DZ399" s="5"/>
      <c r="EA399" s="5"/>
      <c r="EB399" s="6"/>
      <c r="EC399" s="5"/>
      <c r="ED399" s="5"/>
      <c r="EE399" s="5"/>
      <c r="EF399" s="5"/>
      <c r="EG399" s="6"/>
      <c r="EH399" s="5"/>
      <c r="EI399" s="5"/>
      <c r="EJ399" s="5"/>
      <c r="EK399" s="5"/>
      <c r="EL399" s="6"/>
      <c r="EM399" s="6">
        <v>1</v>
      </c>
      <c r="EN399" s="6">
        <f>EN5*EM399+EO5*EM399</f>
        <v>0</v>
      </c>
      <c r="EO399" s="6"/>
      <c r="EP399" s="6"/>
      <c r="EQ399" s="6"/>
      <c r="ER399" s="6"/>
      <c r="EX399" s="659">
        <f t="shared" si="3"/>
        <v>0</v>
      </c>
      <c r="EY399" s="6">
        <v>13</v>
      </c>
    </row>
    <row r="400" spans="1:155" ht="15" customHeight="1">
      <c r="A400" s="69" t="s">
        <v>255</v>
      </c>
      <c r="B400" s="214" t="s">
        <v>375</v>
      </c>
      <c r="C400" s="473" t="s">
        <v>515</v>
      </c>
      <c r="J400" s="138"/>
      <c r="K400" s="138"/>
      <c r="BU400" s="6"/>
      <c r="BV400" s="6"/>
      <c r="BW400" s="6"/>
      <c r="BX400" s="6"/>
      <c r="BY400" s="6"/>
      <c r="BZ400" s="6"/>
      <c r="CA400" s="6"/>
      <c r="CB400" s="6"/>
      <c r="CC400" s="6"/>
      <c r="CD400" s="6"/>
      <c r="CE400" s="6"/>
      <c r="CF400" s="6"/>
      <c r="CG400" s="6"/>
      <c r="CH400" s="6"/>
      <c r="CI400" s="6"/>
      <c r="CJ400" s="6"/>
      <c r="CK400" s="6"/>
      <c r="CL400" s="6"/>
      <c r="CM400" s="6"/>
      <c r="CN400" s="6"/>
      <c r="CO400" s="6"/>
      <c r="CP400" s="6"/>
      <c r="CQ400" s="6"/>
      <c r="CR400" s="6"/>
      <c r="CS400" s="6"/>
      <c r="CT400" s="6"/>
      <c r="CU400" s="6"/>
      <c r="CV400" s="6"/>
      <c r="CW400" s="6"/>
      <c r="CX400" s="6"/>
      <c r="CY400" s="6"/>
      <c r="CZ400" s="6"/>
      <c r="DA400" s="6"/>
      <c r="DB400" s="6"/>
      <c r="DC400" s="6"/>
      <c r="DD400" s="6"/>
      <c r="DE400" s="6"/>
      <c r="DF400" s="6"/>
      <c r="DG400" s="6"/>
      <c r="DH400" s="6"/>
      <c r="DI400" s="5"/>
      <c r="DJ400" s="5"/>
      <c r="DK400" s="5"/>
      <c r="DL400" s="5"/>
      <c r="DM400" s="6"/>
      <c r="DN400" s="5"/>
      <c r="DO400" s="5"/>
      <c r="DP400" s="5"/>
      <c r="DQ400" s="5"/>
      <c r="DR400" s="6"/>
      <c r="DS400" s="5"/>
      <c r="DT400" s="5"/>
      <c r="DU400" s="5"/>
      <c r="DV400" s="5"/>
      <c r="DW400" s="6"/>
      <c r="DX400" s="5"/>
      <c r="DY400" s="5"/>
      <c r="DZ400" s="5"/>
      <c r="EA400" s="5"/>
      <c r="EB400" s="6"/>
      <c r="EC400" s="5"/>
      <c r="ED400" s="5"/>
      <c r="EE400" s="5"/>
      <c r="EF400" s="5"/>
      <c r="EG400" s="6"/>
      <c r="EH400" s="5"/>
      <c r="EI400" s="5"/>
      <c r="EJ400" s="5"/>
      <c r="EK400" s="5"/>
      <c r="EL400" s="6"/>
      <c r="EM400" s="6">
        <v>1</v>
      </c>
      <c r="EN400" s="6"/>
      <c r="EO400" s="6"/>
      <c r="EP400" s="6"/>
      <c r="EQ400" s="6"/>
      <c r="ER400" s="6"/>
      <c r="EX400" s="659">
        <f t="shared" si="3"/>
        <v>0</v>
      </c>
      <c r="EY400" s="1341">
        <v>34</v>
      </c>
    </row>
    <row r="401" spans="1:155" ht="15" customHeight="1">
      <c r="A401" s="68" t="s">
        <v>256</v>
      </c>
      <c r="B401" s="214" t="s">
        <v>376</v>
      </c>
      <c r="C401" s="473" t="s">
        <v>515</v>
      </c>
      <c r="J401" s="138"/>
      <c r="K401" s="138"/>
      <c r="BU401" s="6"/>
      <c r="BV401" s="6"/>
      <c r="BW401" s="6"/>
      <c r="BX401" s="6"/>
      <c r="BY401" s="6"/>
      <c r="BZ401" s="6"/>
      <c r="CA401" s="6"/>
      <c r="CB401" s="6"/>
      <c r="CC401" s="6"/>
      <c r="CD401" s="6"/>
      <c r="CE401" s="6"/>
      <c r="CF401" s="6"/>
      <c r="CG401" s="6"/>
      <c r="CH401" s="6"/>
      <c r="CI401" s="6"/>
      <c r="CJ401" s="6"/>
      <c r="CK401" s="6"/>
      <c r="CL401" s="6"/>
      <c r="CM401" s="6"/>
      <c r="CN401" s="6"/>
      <c r="CO401" s="6"/>
      <c r="CP401" s="6"/>
      <c r="CQ401" s="6"/>
      <c r="CR401" s="6"/>
      <c r="CS401" s="6"/>
      <c r="CT401" s="6"/>
      <c r="CU401" s="6"/>
      <c r="CV401" s="6"/>
      <c r="CW401" s="6"/>
      <c r="CX401" s="6"/>
      <c r="CY401" s="6"/>
      <c r="CZ401" s="6"/>
      <c r="DA401" s="6"/>
      <c r="DB401" s="6"/>
      <c r="DC401" s="6"/>
      <c r="DD401" s="6"/>
      <c r="DE401" s="6"/>
      <c r="DF401" s="6"/>
      <c r="DG401" s="6"/>
      <c r="DH401" s="6"/>
      <c r="DI401" s="5"/>
      <c r="DJ401" s="5"/>
      <c r="DK401" s="5"/>
      <c r="DL401" s="5"/>
      <c r="DM401" s="6"/>
      <c r="DN401" s="5"/>
      <c r="DO401" s="5"/>
      <c r="DP401" s="5"/>
      <c r="DQ401" s="5"/>
      <c r="DR401" s="6"/>
      <c r="DS401" s="5"/>
      <c r="DT401" s="5"/>
      <c r="DU401" s="5"/>
      <c r="DV401" s="5"/>
      <c r="DW401" s="6"/>
      <c r="DX401" s="5"/>
      <c r="DY401" s="5"/>
      <c r="DZ401" s="5"/>
      <c r="EA401" s="5"/>
      <c r="EB401" s="6"/>
      <c r="EC401" s="5"/>
      <c r="ED401" s="5"/>
      <c r="EE401" s="5"/>
      <c r="EF401" s="5"/>
      <c r="EG401" s="6"/>
      <c r="EH401" s="5"/>
      <c r="EI401" s="5"/>
      <c r="EJ401" s="5"/>
      <c r="EK401" s="5"/>
      <c r="EL401" s="6"/>
      <c r="EM401" s="6">
        <v>1</v>
      </c>
      <c r="EN401" s="6">
        <f>EN6*EM401+EO6*EM401</f>
        <v>0</v>
      </c>
      <c r="EO401" s="6"/>
      <c r="EP401" s="6"/>
      <c r="EQ401" s="6"/>
      <c r="ER401" s="6"/>
      <c r="EX401" s="659">
        <f t="shared" ref="EX401:EX444" si="48">IF(EY401=34,0,F401+K401+N401+S401+T401+X401+AC401+AH401+AM401+CZ401+AR401+AW401+BB401+BG401+BL401+BQ401+BV401+CA401+CF401+CK401+CP401+CU401+DE401+DJ401+DO401+DT401+DY401+ED401+EI401+EN401+ET401+EU401)</f>
        <v>0</v>
      </c>
      <c r="EY401" s="6">
        <v>13</v>
      </c>
    </row>
    <row r="402" spans="1:155" ht="15" customHeight="1">
      <c r="A402" s="69" t="s">
        <v>257</v>
      </c>
      <c r="B402" s="214" t="s">
        <v>490</v>
      </c>
      <c r="C402" s="473" t="s">
        <v>515</v>
      </c>
      <c r="J402" s="138"/>
      <c r="K402" s="138"/>
      <c r="BU402" s="6"/>
      <c r="BV402" s="6"/>
      <c r="BW402" s="6"/>
      <c r="BX402" s="6"/>
      <c r="BY402" s="6"/>
      <c r="BZ402" s="6"/>
      <c r="CA402" s="6"/>
      <c r="CB402" s="6"/>
      <c r="CC402" s="6"/>
      <c r="CD402" s="6"/>
      <c r="CE402" s="6"/>
      <c r="CF402" s="6"/>
      <c r="CG402" s="6"/>
      <c r="CH402" s="6"/>
      <c r="CI402" s="6"/>
      <c r="CJ402" s="6"/>
      <c r="CK402" s="6"/>
      <c r="CL402" s="6"/>
      <c r="CM402" s="6"/>
      <c r="CN402" s="6"/>
      <c r="CO402" s="6"/>
      <c r="CP402" s="6"/>
      <c r="CQ402" s="6"/>
      <c r="CR402" s="6"/>
      <c r="CS402" s="6"/>
      <c r="CT402" s="6"/>
      <c r="CU402" s="6"/>
      <c r="CV402" s="6"/>
      <c r="CW402" s="6"/>
      <c r="CX402" s="6"/>
      <c r="CY402" s="6"/>
      <c r="CZ402" s="6"/>
      <c r="DA402" s="6"/>
      <c r="DB402" s="6"/>
      <c r="DC402" s="6"/>
      <c r="DD402" s="6"/>
      <c r="DE402" s="6"/>
      <c r="DF402" s="6"/>
      <c r="DG402" s="6"/>
      <c r="DH402" s="6"/>
      <c r="DI402" s="5"/>
      <c r="DJ402" s="5"/>
      <c r="DK402" s="5"/>
      <c r="DL402" s="5"/>
      <c r="DM402" s="6"/>
      <c r="DN402" s="5"/>
      <c r="DO402" s="5"/>
      <c r="DP402" s="5"/>
      <c r="DQ402" s="5"/>
      <c r="DR402" s="6"/>
      <c r="DS402" s="5"/>
      <c r="DT402" s="5"/>
      <c r="DU402" s="5"/>
      <c r="DV402" s="5"/>
      <c r="DW402" s="6"/>
      <c r="DX402" s="5"/>
      <c r="DY402" s="5"/>
      <c r="DZ402" s="5"/>
      <c r="EA402" s="5"/>
      <c r="EB402" s="6"/>
      <c r="EC402" s="5"/>
      <c r="ED402" s="5"/>
      <c r="EE402" s="5"/>
      <c r="EF402" s="5"/>
      <c r="EG402" s="6"/>
      <c r="EH402" s="5"/>
      <c r="EI402" s="5"/>
      <c r="EJ402" s="5"/>
      <c r="EK402" s="5"/>
      <c r="EL402" s="6"/>
      <c r="EM402" s="6">
        <v>1</v>
      </c>
      <c r="EN402" s="6"/>
      <c r="EO402" s="6"/>
      <c r="EP402" s="6"/>
      <c r="EQ402" s="6"/>
      <c r="ER402" s="6"/>
      <c r="EX402" s="659">
        <f t="shared" si="48"/>
        <v>0</v>
      </c>
      <c r="EY402" s="1341">
        <v>34</v>
      </c>
    </row>
    <row r="403" spans="1:155" ht="15" customHeight="1">
      <c r="A403" s="68" t="s">
        <v>258</v>
      </c>
      <c r="B403" s="214" t="s">
        <v>258</v>
      </c>
      <c r="C403" s="473" t="s">
        <v>515</v>
      </c>
      <c r="J403" s="138"/>
      <c r="K403" s="138"/>
      <c r="BU403" s="6"/>
      <c r="BV403" s="6"/>
      <c r="BW403" s="6"/>
      <c r="BX403" s="6"/>
      <c r="BY403" s="6"/>
      <c r="BZ403" s="6"/>
      <c r="CA403" s="6"/>
      <c r="CB403" s="6"/>
      <c r="CC403" s="6"/>
      <c r="CD403" s="6"/>
      <c r="CE403" s="6"/>
      <c r="CF403" s="6"/>
      <c r="CG403" s="6"/>
      <c r="CH403" s="6"/>
      <c r="CI403" s="6"/>
      <c r="CJ403" s="6"/>
      <c r="CK403" s="6"/>
      <c r="CL403" s="6"/>
      <c r="CM403" s="6"/>
      <c r="CN403" s="6"/>
      <c r="CO403" s="6"/>
      <c r="CP403" s="6"/>
      <c r="CQ403" s="6"/>
      <c r="CR403" s="6"/>
      <c r="CS403" s="6"/>
      <c r="CT403" s="6"/>
      <c r="CU403" s="6"/>
      <c r="CV403" s="6"/>
      <c r="CW403" s="6"/>
      <c r="CX403" s="6"/>
      <c r="CY403" s="6"/>
      <c r="CZ403" s="6"/>
      <c r="DA403" s="6"/>
      <c r="DB403" s="6"/>
      <c r="DC403" s="6"/>
      <c r="DD403" s="6"/>
      <c r="DE403" s="6"/>
      <c r="DF403" s="6"/>
      <c r="DG403" s="6"/>
      <c r="DH403" s="6"/>
      <c r="DI403" s="5"/>
      <c r="DJ403" s="5"/>
      <c r="DK403" s="5"/>
      <c r="DL403" s="5"/>
      <c r="DM403" s="6"/>
      <c r="DN403" s="5"/>
      <c r="DO403" s="5"/>
      <c r="DP403" s="5"/>
      <c r="DQ403" s="5"/>
      <c r="DR403" s="6"/>
      <c r="DS403" s="5"/>
      <c r="DT403" s="5"/>
      <c r="DU403" s="5"/>
      <c r="DV403" s="5"/>
      <c r="DW403" s="6"/>
      <c r="DX403" s="5"/>
      <c r="DY403" s="5"/>
      <c r="DZ403" s="5"/>
      <c r="EA403" s="5"/>
      <c r="EB403" s="6"/>
      <c r="EC403" s="5"/>
      <c r="ED403" s="5"/>
      <c r="EE403" s="5"/>
      <c r="EF403" s="5"/>
      <c r="EG403" s="6"/>
      <c r="EH403" s="5"/>
      <c r="EI403" s="5"/>
      <c r="EJ403" s="5"/>
      <c r="EK403" s="5"/>
      <c r="EL403" s="6"/>
      <c r="EM403" s="6">
        <v>1</v>
      </c>
      <c r="EN403" s="6">
        <f>EN7*EM403+EO7*EM403</f>
        <v>0</v>
      </c>
      <c r="EO403" s="6"/>
      <c r="EP403" s="6"/>
      <c r="EQ403" s="6"/>
      <c r="ER403" s="6"/>
      <c r="EX403" s="659">
        <f t="shared" si="48"/>
        <v>0</v>
      </c>
      <c r="EY403" s="6">
        <v>13</v>
      </c>
    </row>
    <row r="404" spans="1:155" ht="15" customHeight="1">
      <c r="A404" s="69" t="s">
        <v>259</v>
      </c>
      <c r="B404" s="214" t="s">
        <v>491</v>
      </c>
      <c r="C404" s="473" t="s">
        <v>515</v>
      </c>
      <c r="J404" s="138"/>
      <c r="K404" s="138"/>
      <c r="BU404" s="6"/>
      <c r="BV404" s="6"/>
      <c r="BW404" s="6"/>
      <c r="BX404" s="6"/>
      <c r="BY404" s="6"/>
      <c r="BZ404" s="6"/>
      <c r="CA404" s="6"/>
      <c r="CB404" s="6"/>
      <c r="CC404" s="6"/>
      <c r="CD404" s="6"/>
      <c r="CE404" s="6"/>
      <c r="CF404" s="6"/>
      <c r="CG404" s="6"/>
      <c r="CH404" s="6"/>
      <c r="CI404" s="6"/>
      <c r="CJ404" s="6"/>
      <c r="CK404" s="6"/>
      <c r="CL404" s="6"/>
      <c r="CM404" s="6"/>
      <c r="CN404" s="6"/>
      <c r="CO404" s="6"/>
      <c r="CP404" s="6"/>
      <c r="CQ404" s="6"/>
      <c r="CR404" s="6"/>
      <c r="CS404" s="6"/>
      <c r="CT404" s="6"/>
      <c r="CU404" s="6"/>
      <c r="CV404" s="6"/>
      <c r="CW404" s="6"/>
      <c r="CX404" s="6"/>
      <c r="CY404" s="6"/>
      <c r="CZ404" s="6"/>
      <c r="DA404" s="6"/>
      <c r="DB404" s="6"/>
      <c r="DC404" s="6"/>
      <c r="DD404" s="6"/>
      <c r="DE404" s="6"/>
      <c r="DF404" s="6"/>
      <c r="DG404" s="6"/>
      <c r="DH404" s="6"/>
      <c r="DI404" s="5"/>
      <c r="DJ404" s="5"/>
      <c r="DK404" s="5"/>
      <c r="DL404" s="5"/>
      <c r="DM404" s="6"/>
      <c r="DN404" s="5"/>
      <c r="DO404" s="5"/>
      <c r="DP404" s="5"/>
      <c r="DQ404" s="5"/>
      <c r="DR404" s="6"/>
      <c r="DS404" s="5"/>
      <c r="DT404" s="5"/>
      <c r="DU404" s="5"/>
      <c r="DV404" s="5"/>
      <c r="DW404" s="6"/>
      <c r="DX404" s="5"/>
      <c r="DY404" s="5"/>
      <c r="DZ404" s="5"/>
      <c r="EA404" s="5"/>
      <c r="EB404" s="6"/>
      <c r="EC404" s="5"/>
      <c r="ED404" s="5"/>
      <c r="EE404" s="5"/>
      <c r="EF404" s="5"/>
      <c r="EG404" s="6"/>
      <c r="EH404" s="5"/>
      <c r="EI404" s="5"/>
      <c r="EJ404" s="5"/>
      <c r="EK404" s="5"/>
      <c r="EL404" s="6"/>
      <c r="EM404" s="6">
        <v>1</v>
      </c>
      <c r="EN404" s="6"/>
      <c r="EO404" s="6"/>
      <c r="EP404" s="6"/>
      <c r="EQ404" s="6"/>
      <c r="ER404" s="6"/>
      <c r="EX404" s="659">
        <f t="shared" si="48"/>
        <v>0</v>
      </c>
      <c r="EY404" s="1341">
        <v>34</v>
      </c>
    </row>
    <row r="405" spans="1:155" ht="15" customHeight="1">
      <c r="A405" s="68" t="s">
        <v>260</v>
      </c>
      <c r="B405" s="214" t="s">
        <v>260</v>
      </c>
      <c r="C405" s="473" t="s">
        <v>515</v>
      </c>
      <c r="J405" s="138"/>
      <c r="K405" s="138"/>
      <c r="BU405" s="6"/>
      <c r="BV405" s="6"/>
      <c r="BW405" s="6"/>
      <c r="BX405" s="6"/>
      <c r="BY405" s="6"/>
      <c r="BZ405" s="6"/>
      <c r="CA405" s="6"/>
      <c r="CB405" s="6"/>
      <c r="CC405" s="6"/>
      <c r="CD405" s="6"/>
      <c r="CE405" s="6"/>
      <c r="CF405" s="6"/>
      <c r="CG405" s="6"/>
      <c r="CH405" s="6"/>
      <c r="CI405" s="6"/>
      <c r="CJ405" s="6"/>
      <c r="CK405" s="6"/>
      <c r="CL405" s="6"/>
      <c r="CM405" s="6"/>
      <c r="CN405" s="6"/>
      <c r="CO405" s="6"/>
      <c r="CP405" s="6"/>
      <c r="CQ405" s="6"/>
      <c r="CR405" s="6"/>
      <c r="CS405" s="6"/>
      <c r="CT405" s="6"/>
      <c r="CU405" s="6"/>
      <c r="CV405" s="6"/>
      <c r="CW405" s="6"/>
      <c r="CX405" s="6"/>
      <c r="CY405" s="6"/>
      <c r="CZ405" s="6"/>
      <c r="DA405" s="6"/>
      <c r="DB405" s="6"/>
      <c r="DC405" s="6"/>
      <c r="DD405" s="6"/>
      <c r="DE405" s="6"/>
      <c r="DF405" s="6"/>
      <c r="DG405" s="6"/>
      <c r="DH405" s="6"/>
      <c r="DI405" s="5"/>
      <c r="DJ405" s="5"/>
      <c r="DK405" s="5"/>
      <c r="DL405" s="5"/>
      <c r="DM405" s="6"/>
      <c r="DN405" s="5"/>
      <c r="DO405" s="5"/>
      <c r="DP405" s="5"/>
      <c r="DQ405" s="5"/>
      <c r="DR405" s="6"/>
      <c r="DS405" s="5"/>
      <c r="DT405" s="5"/>
      <c r="DU405" s="5"/>
      <c r="DV405" s="5"/>
      <c r="DW405" s="6"/>
      <c r="DX405" s="5"/>
      <c r="DY405" s="5"/>
      <c r="DZ405" s="5"/>
      <c r="EA405" s="5"/>
      <c r="EB405" s="6"/>
      <c r="EC405" s="5"/>
      <c r="ED405" s="5"/>
      <c r="EE405" s="5"/>
      <c r="EF405" s="5"/>
      <c r="EG405" s="6"/>
      <c r="EH405" s="5"/>
      <c r="EI405" s="5"/>
      <c r="EJ405" s="5"/>
      <c r="EK405" s="5"/>
      <c r="EL405" s="6"/>
      <c r="EM405" s="6">
        <v>1</v>
      </c>
      <c r="EN405" s="6">
        <f>EN8*EM405+EO8*EM405</f>
        <v>0</v>
      </c>
      <c r="EO405" s="6"/>
      <c r="EP405" s="6"/>
      <c r="EQ405" s="6"/>
      <c r="ER405" s="6"/>
      <c r="EX405" s="659">
        <f t="shared" si="48"/>
        <v>0</v>
      </c>
      <c r="EY405" s="6">
        <v>13</v>
      </c>
    </row>
    <row r="406" spans="1:155" ht="15" customHeight="1">
      <c r="A406" s="69" t="s">
        <v>261</v>
      </c>
      <c r="B406" s="214" t="s">
        <v>492</v>
      </c>
      <c r="C406" s="473" t="s">
        <v>515</v>
      </c>
      <c r="J406" s="138"/>
      <c r="K406" s="138"/>
      <c r="BU406" s="6"/>
      <c r="BV406" s="6"/>
      <c r="BW406" s="6"/>
      <c r="BX406" s="6"/>
      <c r="BY406" s="6"/>
      <c r="BZ406" s="6"/>
      <c r="CA406" s="6"/>
      <c r="CB406" s="6"/>
      <c r="CC406" s="6"/>
      <c r="CD406" s="6"/>
      <c r="CE406" s="6"/>
      <c r="CF406" s="6"/>
      <c r="CG406" s="6"/>
      <c r="CH406" s="6"/>
      <c r="CI406" s="6"/>
      <c r="CJ406" s="6"/>
      <c r="CK406" s="6"/>
      <c r="CL406" s="6"/>
      <c r="CM406" s="6"/>
      <c r="CN406" s="6"/>
      <c r="CO406" s="6"/>
      <c r="CP406" s="6"/>
      <c r="CQ406" s="6"/>
      <c r="CR406" s="6"/>
      <c r="CS406" s="6"/>
      <c r="CT406" s="6"/>
      <c r="CU406" s="6"/>
      <c r="CV406" s="6"/>
      <c r="CW406" s="6"/>
      <c r="CX406" s="6"/>
      <c r="CY406" s="6"/>
      <c r="CZ406" s="6"/>
      <c r="DA406" s="6"/>
      <c r="DB406" s="6"/>
      <c r="DC406" s="6"/>
      <c r="DD406" s="6"/>
      <c r="DE406" s="6"/>
      <c r="DF406" s="6"/>
      <c r="DG406" s="6"/>
      <c r="DH406" s="6"/>
      <c r="DI406" s="5"/>
      <c r="DJ406" s="5"/>
      <c r="DK406" s="5"/>
      <c r="DL406" s="5"/>
      <c r="DM406" s="6"/>
      <c r="DN406" s="5"/>
      <c r="DO406" s="5"/>
      <c r="DP406" s="5"/>
      <c r="DQ406" s="5"/>
      <c r="DR406" s="6"/>
      <c r="DS406" s="5"/>
      <c r="DT406" s="5"/>
      <c r="DU406" s="5"/>
      <c r="DV406" s="5"/>
      <c r="DW406" s="6"/>
      <c r="DX406" s="5"/>
      <c r="DY406" s="5"/>
      <c r="DZ406" s="5"/>
      <c r="EA406" s="5"/>
      <c r="EB406" s="6"/>
      <c r="EC406" s="5"/>
      <c r="ED406" s="5"/>
      <c r="EE406" s="5"/>
      <c r="EF406" s="5"/>
      <c r="EG406" s="6"/>
      <c r="EH406" s="5"/>
      <c r="EI406" s="5"/>
      <c r="EJ406" s="5"/>
      <c r="EK406" s="5"/>
      <c r="EL406" s="6"/>
      <c r="EM406" s="6">
        <v>1</v>
      </c>
      <c r="EN406" s="6"/>
      <c r="EO406" s="6"/>
      <c r="EP406" s="6"/>
      <c r="EQ406" s="6"/>
      <c r="ER406" s="6"/>
      <c r="EX406" s="659">
        <f t="shared" si="48"/>
        <v>0</v>
      </c>
      <c r="EY406" s="1341">
        <v>34</v>
      </c>
    </row>
    <row r="407" spans="1:155" ht="15" customHeight="1">
      <c r="A407" s="68" t="s">
        <v>262</v>
      </c>
      <c r="B407" s="214" t="s">
        <v>262</v>
      </c>
      <c r="C407" s="473" t="s">
        <v>515</v>
      </c>
      <c r="J407" s="138"/>
      <c r="K407" s="138"/>
      <c r="BU407" s="6"/>
      <c r="BV407" s="6"/>
      <c r="BW407" s="6"/>
      <c r="BX407" s="6"/>
      <c r="BY407" s="6"/>
      <c r="BZ407" s="6"/>
      <c r="CA407" s="6"/>
      <c r="CB407" s="6"/>
      <c r="CC407" s="6"/>
      <c r="CD407" s="6"/>
      <c r="CE407" s="6"/>
      <c r="CF407" s="6"/>
      <c r="CG407" s="6"/>
      <c r="CH407" s="6"/>
      <c r="CI407" s="6"/>
      <c r="CJ407" s="6"/>
      <c r="CK407" s="6"/>
      <c r="CL407" s="6"/>
      <c r="CM407" s="6"/>
      <c r="CN407" s="6"/>
      <c r="CO407" s="6"/>
      <c r="CP407" s="6"/>
      <c r="CQ407" s="6"/>
      <c r="CR407" s="6"/>
      <c r="CS407" s="6"/>
      <c r="CT407" s="6"/>
      <c r="CU407" s="6"/>
      <c r="CV407" s="6"/>
      <c r="CW407" s="6"/>
      <c r="CX407" s="6"/>
      <c r="CY407" s="6"/>
      <c r="CZ407" s="6"/>
      <c r="DA407" s="6"/>
      <c r="DB407" s="6"/>
      <c r="DC407" s="6"/>
      <c r="DD407" s="6"/>
      <c r="DE407" s="6"/>
      <c r="DF407" s="6"/>
      <c r="DG407" s="6"/>
      <c r="DH407" s="6"/>
      <c r="DI407" s="5"/>
      <c r="DJ407" s="5"/>
      <c r="DK407" s="5"/>
      <c r="DL407" s="5"/>
      <c r="DM407" s="6"/>
      <c r="DN407" s="5"/>
      <c r="DO407" s="5"/>
      <c r="DP407" s="5"/>
      <c r="DQ407" s="5"/>
      <c r="DR407" s="6"/>
      <c r="DS407" s="5"/>
      <c r="DT407" s="5"/>
      <c r="DU407" s="5"/>
      <c r="DV407" s="5"/>
      <c r="DW407" s="6"/>
      <c r="DX407" s="5"/>
      <c r="DY407" s="5"/>
      <c r="DZ407" s="5"/>
      <c r="EA407" s="5"/>
      <c r="EB407" s="6"/>
      <c r="EC407" s="5"/>
      <c r="ED407" s="5"/>
      <c r="EE407" s="5"/>
      <c r="EF407" s="5"/>
      <c r="EG407" s="6"/>
      <c r="EH407" s="5"/>
      <c r="EI407" s="5"/>
      <c r="EJ407" s="5"/>
      <c r="EK407" s="5"/>
      <c r="EL407" s="6"/>
      <c r="EM407" s="6">
        <v>1</v>
      </c>
      <c r="EN407" s="6">
        <f>EN9*EM407+EO9*EM407</f>
        <v>0</v>
      </c>
      <c r="EO407" s="6"/>
      <c r="EP407" s="6"/>
      <c r="EQ407" s="6"/>
      <c r="ER407" s="6"/>
      <c r="EX407" s="659">
        <f t="shared" si="48"/>
        <v>0</v>
      </c>
      <c r="EY407" s="6">
        <v>13</v>
      </c>
    </row>
    <row r="408" spans="1:155" ht="15" customHeight="1">
      <c r="A408" s="69" t="s">
        <v>263</v>
      </c>
      <c r="B408" s="214" t="s">
        <v>493</v>
      </c>
      <c r="C408" s="473" t="s">
        <v>515</v>
      </c>
      <c r="J408" s="138"/>
      <c r="K408" s="138"/>
      <c r="BU408" s="6"/>
      <c r="BV408" s="6"/>
      <c r="BW408" s="6"/>
      <c r="BX408" s="6"/>
      <c r="BY408" s="6"/>
      <c r="BZ408" s="6"/>
      <c r="CA408" s="6"/>
      <c r="CB408" s="6"/>
      <c r="CC408" s="6"/>
      <c r="CD408" s="6"/>
      <c r="CE408" s="6"/>
      <c r="CF408" s="6"/>
      <c r="CG408" s="6"/>
      <c r="CH408" s="6"/>
      <c r="CI408" s="6"/>
      <c r="CJ408" s="6"/>
      <c r="CK408" s="6"/>
      <c r="CL408" s="6"/>
      <c r="CM408" s="6"/>
      <c r="CN408" s="6"/>
      <c r="CO408" s="6"/>
      <c r="CP408" s="6"/>
      <c r="CQ408" s="6"/>
      <c r="CR408" s="6"/>
      <c r="CS408" s="6"/>
      <c r="CT408" s="6"/>
      <c r="CU408" s="6"/>
      <c r="CV408" s="6"/>
      <c r="CW408" s="6"/>
      <c r="CX408" s="6"/>
      <c r="CY408" s="6"/>
      <c r="CZ408" s="6"/>
      <c r="DA408" s="6"/>
      <c r="DB408" s="6"/>
      <c r="DC408" s="6"/>
      <c r="DD408" s="6"/>
      <c r="DE408" s="6"/>
      <c r="DF408" s="6"/>
      <c r="DG408" s="6"/>
      <c r="DH408" s="6"/>
      <c r="DI408" s="5"/>
      <c r="DJ408" s="5"/>
      <c r="DK408" s="5"/>
      <c r="DL408" s="5"/>
      <c r="DM408" s="6"/>
      <c r="DN408" s="5"/>
      <c r="DO408" s="5"/>
      <c r="DP408" s="5"/>
      <c r="DQ408" s="5"/>
      <c r="DR408" s="6"/>
      <c r="DS408" s="5"/>
      <c r="DT408" s="5"/>
      <c r="DU408" s="5"/>
      <c r="DV408" s="5"/>
      <c r="DW408" s="6"/>
      <c r="DX408" s="5"/>
      <c r="DY408" s="5"/>
      <c r="DZ408" s="5"/>
      <c r="EA408" s="5"/>
      <c r="EB408" s="6"/>
      <c r="EC408" s="5"/>
      <c r="ED408" s="5"/>
      <c r="EE408" s="5"/>
      <c r="EF408" s="5"/>
      <c r="EG408" s="6"/>
      <c r="EH408" s="5"/>
      <c r="EI408" s="5"/>
      <c r="EJ408" s="5"/>
      <c r="EK408" s="5"/>
      <c r="EL408" s="6"/>
      <c r="EM408" s="6">
        <v>1</v>
      </c>
      <c r="EN408" s="6"/>
      <c r="EO408" s="6"/>
      <c r="EP408" s="6"/>
      <c r="EQ408" s="6"/>
      <c r="ER408" s="6"/>
      <c r="EX408" s="659">
        <f t="shared" si="48"/>
        <v>0</v>
      </c>
      <c r="EY408" s="1341">
        <v>34</v>
      </c>
    </row>
    <row r="409" spans="1:155" ht="15" customHeight="1">
      <c r="A409" s="68" t="s">
        <v>264</v>
      </c>
      <c r="B409" s="214" t="s">
        <v>264</v>
      </c>
      <c r="C409" s="473" t="s">
        <v>515</v>
      </c>
      <c r="J409" s="138"/>
      <c r="K409" s="138"/>
      <c r="BU409" s="6"/>
      <c r="BV409" s="6"/>
      <c r="BW409" s="6"/>
      <c r="BX409" s="6"/>
      <c r="BY409" s="6"/>
      <c r="BZ409" s="6"/>
      <c r="CA409" s="6"/>
      <c r="CB409" s="6"/>
      <c r="CC409" s="6"/>
      <c r="CD409" s="6"/>
      <c r="CE409" s="6"/>
      <c r="CF409" s="6"/>
      <c r="CG409" s="6"/>
      <c r="CH409" s="6"/>
      <c r="CI409" s="6"/>
      <c r="CJ409" s="6"/>
      <c r="CK409" s="6"/>
      <c r="CL409" s="6"/>
      <c r="CM409" s="6"/>
      <c r="CN409" s="6"/>
      <c r="CO409" s="6"/>
      <c r="CP409" s="6"/>
      <c r="CQ409" s="6"/>
      <c r="CR409" s="6"/>
      <c r="CS409" s="6"/>
      <c r="CT409" s="6"/>
      <c r="CU409" s="6"/>
      <c r="CV409" s="6"/>
      <c r="CW409" s="6"/>
      <c r="CX409" s="6"/>
      <c r="CY409" s="6"/>
      <c r="CZ409" s="6"/>
      <c r="DA409" s="6"/>
      <c r="DB409" s="6"/>
      <c r="DC409" s="6"/>
      <c r="DD409" s="6"/>
      <c r="DE409" s="6"/>
      <c r="DF409" s="6"/>
      <c r="DG409" s="6"/>
      <c r="DH409" s="6"/>
      <c r="DI409" s="5"/>
      <c r="DJ409" s="5"/>
      <c r="DK409" s="5"/>
      <c r="DL409" s="5"/>
      <c r="DM409" s="6"/>
      <c r="DN409" s="5"/>
      <c r="DO409" s="5"/>
      <c r="DP409" s="5"/>
      <c r="DQ409" s="5"/>
      <c r="DR409" s="6"/>
      <c r="DS409" s="5"/>
      <c r="DT409" s="5"/>
      <c r="DU409" s="5"/>
      <c r="DV409" s="5"/>
      <c r="DW409" s="6"/>
      <c r="DX409" s="5"/>
      <c r="DY409" s="5"/>
      <c r="DZ409" s="5"/>
      <c r="EA409" s="5"/>
      <c r="EB409" s="6"/>
      <c r="EC409" s="5"/>
      <c r="ED409" s="5"/>
      <c r="EE409" s="5"/>
      <c r="EF409" s="5"/>
      <c r="EG409" s="6"/>
      <c r="EH409" s="5"/>
      <c r="EI409" s="5"/>
      <c r="EJ409" s="5"/>
      <c r="EK409" s="5"/>
      <c r="EL409" s="6"/>
      <c r="EM409" s="6">
        <v>1</v>
      </c>
      <c r="EN409" s="6">
        <f>EN10*EM409+EO10*EM409</f>
        <v>0</v>
      </c>
      <c r="EO409" s="6"/>
      <c r="EP409" s="6"/>
      <c r="EQ409" s="6"/>
      <c r="ER409" s="6"/>
      <c r="EX409" s="659">
        <f t="shared" si="48"/>
        <v>0</v>
      </c>
      <c r="EY409" s="6">
        <v>13</v>
      </c>
    </row>
    <row r="410" spans="1:155" ht="15" customHeight="1">
      <c r="A410" s="69" t="s">
        <v>265</v>
      </c>
      <c r="B410" s="214" t="s">
        <v>494</v>
      </c>
      <c r="C410" s="473" t="s">
        <v>515</v>
      </c>
      <c r="J410" s="138"/>
      <c r="K410" s="138"/>
      <c r="BU410" s="6"/>
      <c r="BV410" s="6"/>
      <c r="BW410" s="6"/>
      <c r="BX410" s="6"/>
      <c r="BY410" s="6"/>
      <c r="BZ410" s="6"/>
      <c r="CA410" s="6"/>
      <c r="CB410" s="6"/>
      <c r="CC410" s="6"/>
      <c r="CD410" s="6"/>
      <c r="CE410" s="6"/>
      <c r="CF410" s="6"/>
      <c r="CG410" s="6"/>
      <c r="CH410" s="6"/>
      <c r="CI410" s="6"/>
      <c r="CJ410" s="6"/>
      <c r="CK410" s="6"/>
      <c r="CL410" s="6"/>
      <c r="CM410" s="6"/>
      <c r="CN410" s="6"/>
      <c r="CO410" s="6"/>
      <c r="CP410" s="6"/>
      <c r="CQ410" s="6"/>
      <c r="CR410" s="6"/>
      <c r="CS410" s="6"/>
      <c r="CT410" s="6"/>
      <c r="CU410" s="6"/>
      <c r="CV410" s="6"/>
      <c r="CW410" s="6"/>
      <c r="CX410" s="6"/>
      <c r="CY410" s="6"/>
      <c r="CZ410" s="6"/>
      <c r="DA410" s="6"/>
      <c r="DB410" s="6"/>
      <c r="DC410" s="6"/>
      <c r="DD410" s="6"/>
      <c r="DE410" s="6"/>
      <c r="DF410" s="6"/>
      <c r="DG410" s="6"/>
      <c r="DH410" s="6"/>
      <c r="DI410" s="5"/>
      <c r="DJ410" s="5"/>
      <c r="DK410" s="5"/>
      <c r="DL410" s="5"/>
      <c r="DM410" s="6"/>
      <c r="DN410" s="5"/>
      <c r="DO410" s="5"/>
      <c r="DP410" s="5"/>
      <c r="DQ410" s="5"/>
      <c r="DR410" s="6"/>
      <c r="DS410" s="5"/>
      <c r="DT410" s="5"/>
      <c r="DU410" s="5"/>
      <c r="DV410" s="5"/>
      <c r="DW410" s="6"/>
      <c r="DX410" s="5"/>
      <c r="DY410" s="5"/>
      <c r="DZ410" s="5"/>
      <c r="EA410" s="5"/>
      <c r="EB410" s="6"/>
      <c r="EC410" s="5"/>
      <c r="ED410" s="5"/>
      <c r="EE410" s="5"/>
      <c r="EF410" s="5"/>
      <c r="EG410" s="6"/>
      <c r="EH410" s="5"/>
      <c r="EI410" s="5"/>
      <c r="EJ410" s="5"/>
      <c r="EK410" s="5"/>
      <c r="EL410" s="6"/>
      <c r="EM410" s="6">
        <v>1</v>
      </c>
      <c r="EN410" s="6"/>
      <c r="EO410" s="6"/>
      <c r="EP410" s="6"/>
      <c r="EQ410" s="6"/>
      <c r="ER410" s="6"/>
      <c r="EX410" s="659">
        <f t="shared" si="48"/>
        <v>0</v>
      </c>
      <c r="EY410" s="1341">
        <v>34</v>
      </c>
    </row>
    <row r="411" spans="1:155" ht="15" customHeight="1">
      <c r="A411" s="68" t="s">
        <v>266</v>
      </c>
      <c r="B411" s="214" t="s">
        <v>266</v>
      </c>
      <c r="C411" s="473" t="s">
        <v>515</v>
      </c>
      <c r="J411" s="138"/>
      <c r="K411" s="138"/>
      <c r="BU411" s="6"/>
      <c r="BV411" s="6"/>
      <c r="BW411" s="6"/>
      <c r="BX411" s="6"/>
      <c r="BY411" s="6"/>
      <c r="BZ411" s="6"/>
      <c r="CA411" s="6"/>
      <c r="CB411" s="6"/>
      <c r="CC411" s="6"/>
      <c r="CD411" s="6"/>
      <c r="CE411" s="6"/>
      <c r="CF411" s="6"/>
      <c r="CG411" s="6"/>
      <c r="CH411" s="6"/>
      <c r="CI411" s="6"/>
      <c r="CJ411" s="6"/>
      <c r="CK411" s="6"/>
      <c r="CL411" s="6"/>
      <c r="CM411" s="6"/>
      <c r="CN411" s="6"/>
      <c r="CO411" s="6"/>
      <c r="CP411" s="6"/>
      <c r="CQ411" s="6"/>
      <c r="CR411" s="6"/>
      <c r="CS411" s="6"/>
      <c r="CT411" s="6"/>
      <c r="CU411" s="6"/>
      <c r="CV411" s="6"/>
      <c r="CW411" s="6"/>
      <c r="CX411" s="6"/>
      <c r="CY411" s="6"/>
      <c r="CZ411" s="6"/>
      <c r="DA411" s="6"/>
      <c r="DB411" s="6"/>
      <c r="DC411" s="6"/>
      <c r="DD411" s="6"/>
      <c r="DE411" s="6"/>
      <c r="DF411" s="6"/>
      <c r="DG411" s="6"/>
      <c r="DH411" s="6"/>
      <c r="DI411" s="5"/>
      <c r="DJ411" s="5"/>
      <c r="DK411" s="5"/>
      <c r="DL411" s="5"/>
      <c r="DM411" s="6"/>
      <c r="DN411" s="5"/>
      <c r="DO411" s="5"/>
      <c r="DP411" s="5"/>
      <c r="DQ411" s="5"/>
      <c r="DR411" s="6"/>
      <c r="DS411" s="5"/>
      <c r="DT411" s="5"/>
      <c r="DU411" s="5"/>
      <c r="DV411" s="5"/>
      <c r="DW411" s="6"/>
      <c r="DX411" s="5"/>
      <c r="DY411" s="5"/>
      <c r="DZ411" s="5"/>
      <c r="EA411" s="5"/>
      <c r="EB411" s="6"/>
      <c r="EC411" s="5"/>
      <c r="ED411" s="5"/>
      <c r="EE411" s="5"/>
      <c r="EF411" s="5"/>
      <c r="EG411" s="6"/>
      <c r="EH411" s="5"/>
      <c r="EI411" s="5"/>
      <c r="EJ411" s="5"/>
      <c r="EK411" s="5"/>
      <c r="EL411" s="6"/>
      <c r="EM411" s="6">
        <v>1</v>
      </c>
      <c r="EN411" s="6">
        <f>EN11*EM411+EO11*EM411</f>
        <v>0</v>
      </c>
      <c r="EO411" s="6"/>
      <c r="EP411" s="6"/>
      <c r="EQ411" s="6"/>
      <c r="ER411" s="6"/>
      <c r="EX411" s="659">
        <f t="shared" si="48"/>
        <v>0</v>
      </c>
      <c r="EY411" s="6">
        <v>13</v>
      </c>
    </row>
    <row r="412" spans="1:155" ht="15" customHeight="1">
      <c r="A412" s="69" t="s">
        <v>267</v>
      </c>
      <c r="B412" s="214" t="s">
        <v>495</v>
      </c>
      <c r="C412" s="473" t="s">
        <v>515</v>
      </c>
      <c r="J412" s="138"/>
      <c r="K412" s="138"/>
      <c r="BU412" s="6"/>
      <c r="BV412" s="6"/>
      <c r="BW412" s="6"/>
      <c r="BX412" s="6"/>
      <c r="BY412" s="6"/>
      <c r="BZ412" s="6"/>
      <c r="CA412" s="6"/>
      <c r="CB412" s="6"/>
      <c r="CC412" s="6"/>
      <c r="CD412" s="6"/>
      <c r="CE412" s="6"/>
      <c r="CF412" s="6"/>
      <c r="CG412" s="6"/>
      <c r="CH412" s="6"/>
      <c r="CI412" s="6"/>
      <c r="CJ412" s="6"/>
      <c r="CK412" s="6"/>
      <c r="CL412" s="6"/>
      <c r="CM412" s="6"/>
      <c r="CN412" s="6"/>
      <c r="CO412" s="6"/>
      <c r="CP412" s="6"/>
      <c r="CQ412" s="6"/>
      <c r="CR412" s="6"/>
      <c r="CS412" s="6"/>
      <c r="CT412" s="6"/>
      <c r="CU412" s="6"/>
      <c r="CV412" s="6"/>
      <c r="CW412" s="6"/>
      <c r="CX412" s="6"/>
      <c r="CY412" s="6"/>
      <c r="CZ412" s="6"/>
      <c r="DA412" s="6"/>
      <c r="DB412" s="6"/>
      <c r="DC412" s="6"/>
      <c r="DD412" s="6"/>
      <c r="DE412" s="6"/>
      <c r="DF412" s="6"/>
      <c r="DG412" s="6"/>
      <c r="DH412" s="6"/>
      <c r="DI412" s="5"/>
      <c r="DJ412" s="5"/>
      <c r="DK412" s="5"/>
      <c r="DL412" s="5"/>
      <c r="DM412" s="6"/>
      <c r="DN412" s="5"/>
      <c r="DO412" s="5"/>
      <c r="DP412" s="5"/>
      <c r="DQ412" s="5"/>
      <c r="DR412" s="6"/>
      <c r="DS412" s="5"/>
      <c r="DT412" s="5"/>
      <c r="DU412" s="5"/>
      <c r="DV412" s="5"/>
      <c r="DW412" s="6"/>
      <c r="DX412" s="5"/>
      <c r="DY412" s="5"/>
      <c r="DZ412" s="5"/>
      <c r="EA412" s="5"/>
      <c r="EB412" s="6"/>
      <c r="EC412" s="5"/>
      <c r="ED412" s="5"/>
      <c r="EE412" s="5"/>
      <c r="EF412" s="5"/>
      <c r="EG412" s="6"/>
      <c r="EH412" s="5"/>
      <c r="EI412" s="5"/>
      <c r="EJ412" s="5"/>
      <c r="EK412" s="5"/>
      <c r="EL412" s="6"/>
      <c r="EM412" s="6">
        <v>1</v>
      </c>
      <c r="EN412" s="6"/>
      <c r="EO412" s="6"/>
      <c r="EP412" s="6"/>
      <c r="EQ412" s="6"/>
      <c r="ER412" s="6"/>
      <c r="EX412" s="659">
        <f t="shared" si="48"/>
        <v>0</v>
      </c>
      <c r="EY412" s="1341">
        <v>34</v>
      </c>
    </row>
    <row r="413" spans="1:155" ht="15" customHeight="1">
      <c r="A413" s="68" t="s">
        <v>268</v>
      </c>
      <c r="B413" s="214" t="s">
        <v>268</v>
      </c>
      <c r="C413" s="473" t="s">
        <v>515</v>
      </c>
      <c r="J413" s="138"/>
      <c r="K413" s="138"/>
      <c r="BU413" s="6"/>
      <c r="BV413" s="6"/>
      <c r="BW413" s="6"/>
      <c r="BX413" s="6"/>
      <c r="BY413" s="6"/>
      <c r="BZ413" s="6"/>
      <c r="CA413" s="6"/>
      <c r="CB413" s="6"/>
      <c r="CC413" s="6"/>
      <c r="CD413" s="6"/>
      <c r="CE413" s="6"/>
      <c r="CF413" s="6"/>
      <c r="CG413" s="6"/>
      <c r="CH413" s="6"/>
      <c r="CI413" s="6"/>
      <c r="CJ413" s="6"/>
      <c r="CK413" s="6"/>
      <c r="CL413" s="6"/>
      <c r="CM413" s="6"/>
      <c r="CN413" s="6"/>
      <c r="CO413" s="6"/>
      <c r="CP413" s="6"/>
      <c r="CQ413" s="6"/>
      <c r="CR413" s="6"/>
      <c r="CS413" s="6"/>
      <c r="CT413" s="6"/>
      <c r="CU413" s="6"/>
      <c r="CV413" s="6"/>
      <c r="CW413" s="6"/>
      <c r="CX413" s="6"/>
      <c r="CY413" s="6"/>
      <c r="CZ413" s="6"/>
      <c r="DA413" s="6"/>
      <c r="DB413" s="6"/>
      <c r="DC413" s="6"/>
      <c r="DD413" s="6"/>
      <c r="DE413" s="6"/>
      <c r="DF413" s="6"/>
      <c r="DG413" s="6"/>
      <c r="DH413" s="6"/>
      <c r="DI413" s="5"/>
      <c r="DJ413" s="5"/>
      <c r="DK413" s="5"/>
      <c r="DL413" s="5"/>
      <c r="DM413" s="6"/>
      <c r="DN413" s="5"/>
      <c r="DO413" s="5"/>
      <c r="DP413" s="5"/>
      <c r="DQ413" s="5"/>
      <c r="DR413" s="6"/>
      <c r="DS413" s="5"/>
      <c r="DT413" s="5"/>
      <c r="DU413" s="5"/>
      <c r="DV413" s="5"/>
      <c r="DW413" s="6"/>
      <c r="DX413" s="5"/>
      <c r="DY413" s="5"/>
      <c r="DZ413" s="5"/>
      <c r="EA413" s="5"/>
      <c r="EB413" s="6"/>
      <c r="EC413" s="5"/>
      <c r="ED413" s="5"/>
      <c r="EE413" s="5"/>
      <c r="EF413" s="5"/>
      <c r="EG413" s="6"/>
      <c r="EH413" s="5"/>
      <c r="EI413" s="5"/>
      <c r="EJ413" s="5"/>
      <c r="EK413" s="5"/>
      <c r="EL413" s="6"/>
      <c r="EM413" s="6">
        <v>1</v>
      </c>
      <c r="EN413" s="6">
        <f>EN12*EM413+EO12*EM413</f>
        <v>0</v>
      </c>
      <c r="EO413" s="6"/>
      <c r="EP413" s="6"/>
      <c r="EQ413" s="6"/>
      <c r="ER413" s="6"/>
      <c r="EX413" s="659">
        <f t="shared" si="48"/>
        <v>0</v>
      </c>
      <c r="EY413" s="6">
        <v>13</v>
      </c>
    </row>
    <row r="414" spans="1:155" ht="15" customHeight="1">
      <c r="A414" s="69" t="s">
        <v>269</v>
      </c>
      <c r="B414" s="214" t="s">
        <v>496</v>
      </c>
      <c r="C414" s="473" t="s">
        <v>515</v>
      </c>
      <c r="J414" s="138"/>
      <c r="K414" s="138"/>
      <c r="BU414" s="6"/>
      <c r="BV414" s="6"/>
      <c r="BW414" s="6"/>
      <c r="BX414" s="6"/>
      <c r="BY414" s="6"/>
      <c r="BZ414" s="6"/>
      <c r="CA414" s="6"/>
      <c r="CB414" s="6"/>
      <c r="CC414" s="6"/>
      <c r="CD414" s="6"/>
      <c r="CE414" s="6"/>
      <c r="CF414" s="6"/>
      <c r="CG414" s="6"/>
      <c r="CH414" s="6"/>
      <c r="CI414" s="6"/>
      <c r="CJ414" s="6"/>
      <c r="CK414" s="6"/>
      <c r="CL414" s="6"/>
      <c r="CM414" s="6"/>
      <c r="CN414" s="6"/>
      <c r="CO414" s="6"/>
      <c r="CP414" s="6"/>
      <c r="CQ414" s="6"/>
      <c r="CR414" s="6"/>
      <c r="CS414" s="6"/>
      <c r="CT414" s="6"/>
      <c r="CU414" s="6"/>
      <c r="CV414" s="6"/>
      <c r="CW414" s="6"/>
      <c r="CX414" s="6"/>
      <c r="CY414" s="6"/>
      <c r="CZ414" s="6"/>
      <c r="DA414" s="6"/>
      <c r="DB414" s="6"/>
      <c r="DC414" s="6"/>
      <c r="DD414" s="6"/>
      <c r="DE414" s="6"/>
      <c r="DF414" s="6"/>
      <c r="DG414" s="6"/>
      <c r="DH414" s="6"/>
      <c r="DI414" s="5"/>
      <c r="DJ414" s="5"/>
      <c r="DK414" s="5"/>
      <c r="DL414" s="5"/>
      <c r="DM414" s="6"/>
      <c r="DN414" s="5"/>
      <c r="DO414" s="5"/>
      <c r="DP414" s="5"/>
      <c r="DQ414" s="5"/>
      <c r="DR414" s="6"/>
      <c r="DS414" s="5"/>
      <c r="DT414" s="5"/>
      <c r="DU414" s="5"/>
      <c r="DV414" s="5"/>
      <c r="DW414" s="6"/>
      <c r="DX414" s="5"/>
      <c r="DY414" s="5"/>
      <c r="DZ414" s="5"/>
      <c r="EA414" s="5"/>
      <c r="EB414" s="6"/>
      <c r="EC414" s="5"/>
      <c r="ED414" s="5"/>
      <c r="EE414" s="5"/>
      <c r="EF414" s="5"/>
      <c r="EG414" s="6"/>
      <c r="EH414" s="5"/>
      <c r="EI414" s="5"/>
      <c r="EJ414" s="5"/>
      <c r="EK414" s="5"/>
      <c r="EL414" s="6"/>
      <c r="EM414" s="6">
        <v>1</v>
      </c>
      <c r="EN414" s="6"/>
      <c r="EO414" s="6"/>
      <c r="EP414" s="6"/>
      <c r="EQ414" s="6"/>
      <c r="ER414" s="6"/>
      <c r="EX414" s="659">
        <f t="shared" si="48"/>
        <v>0</v>
      </c>
      <c r="EY414" s="1341">
        <v>34</v>
      </c>
    </row>
    <row r="415" spans="1:155" ht="15" customHeight="1">
      <c r="A415" s="68" t="s">
        <v>270</v>
      </c>
      <c r="B415" s="214" t="s">
        <v>270</v>
      </c>
      <c r="C415" s="473" t="s">
        <v>515</v>
      </c>
      <c r="J415" s="138"/>
      <c r="K415" s="138"/>
      <c r="BU415" s="6"/>
      <c r="BV415" s="6"/>
      <c r="BW415" s="6"/>
      <c r="BX415" s="6"/>
      <c r="BY415" s="6"/>
      <c r="BZ415" s="6"/>
      <c r="CA415" s="6"/>
      <c r="CB415" s="6"/>
      <c r="CC415" s="6"/>
      <c r="CD415" s="6"/>
      <c r="CE415" s="6"/>
      <c r="CF415" s="6"/>
      <c r="CG415" s="6"/>
      <c r="CH415" s="6"/>
      <c r="CI415" s="6"/>
      <c r="CJ415" s="6"/>
      <c r="CK415" s="6"/>
      <c r="CL415" s="6"/>
      <c r="CM415" s="6"/>
      <c r="CN415" s="6"/>
      <c r="CO415" s="6"/>
      <c r="CP415" s="6"/>
      <c r="CQ415" s="6"/>
      <c r="CR415" s="6"/>
      <c r="CS415" s="6"/>
      <c r="CT415" s="6"/>
      <c r="CU415" s="6"/>
      <c r="CV415" s="6"/>
      <c r="CW415" s="6"/>
      <c r="CX415" s="6"/>
      <c r="CY415" s="6"/>
      <c r="CZ415" s="6"/>
      <c r="DA415" s="6"/>
      <c r="DB415" s="6"/>
      <c r="DC415" s="6"/>
      <c r="DD415" s="6"/>
      <c r="DE415" s="6"/>
      <c r="DF415" s="6"/>
      <c r="DG415" s="6"/>
      <c r="DH415" s="6"/>
      <c r="DI415" s="5"/>
      <c r="DJ415" s="5"/>
      <c r="DK415" s="5"/>
      <c r="DL415" s="5"/>
      <c r="DM415" s="6"/>
      <c r="DN415" s="5"/>
      <c r="DO415" s="5"/>
      <c r="DP415" s="5"/>
      <c r="DQ415" s="5"/>
      <c r="DR415" s="6"/>
      <c r="DS415" s="5"/>
      <c r="DT415" s="5"/>
      <c r="DU415" s="5"/>
      <c r="DV415" s="5"/>
      <c r="DW415" s="6"/>
      <c r="DX415" s="5"/>
      <c r="DY415" s="5"/>
      <c r="DZ415" s="5"/>
      <c r="EA415" s="5"/>
      <c r="EB415" s="6"/>
      <c r="EC415" s="5"/>
      <c r="ED415" s="5"/>
      <c r="EE415" s="5"/>
      <c r="EF415" s="5"/>
      <c r="EG415" s="6"/>
      <c r="EH415" s="5"/>
      <c r="EI415" s="5"/>
      <c r="EJ415" s="5"/>
      <c r="EK415" s="5"/>
      <c r="EL415" s="6"/>
      <c r="EM415" s="6">
        <v>1</v>
      </c>
      <c r="EN415" s="6">
        <f>EP5*EM415+EQ5*EM415</f>
        <v>0</v>
      </c>
      <c r="EO415" s="6"/>
      <c r="EP415" s="6"/>
      <c r="EQ415" s="6"/>
      <c r="ER415" s="6"/>
      <c r="EX415" s="659">
        <f t="shared" si="48"/>
        <v>0</v>
      </c>
      <c r="EY415" s="6">
        <v>13</v>
      </c>
    </row>
    <row r="416" spans="1:155" ht="15" customHeight="1">
      <c r="A416" s="69" t="s">
        <v>271</v>
      </c>
      <c r="B416" s="214" t="s">
        <v>497</v>
      </c>
      <c r="C416" s="473" t="s">
        <v>515</v>
      </c>
      <c r="J416" s="138"/>
      <c r="K416" s="138"/>
      <c r="BU416" s="6"/>
      <c r="BV416" s="6"/>
      <c r="BW416" s="6"/>
      <c r="BX416" s="6"/>
      <c r="BY416" s="6"/>
      <c r="BZ416" s="6"/>
      <c r="CA416" s="6"/>
      <c r="CB416" s="6"/>
      <c r="CC416" s="6"/>
      <c r="CD416" s="6"/>
      <c r="CE416" s="6"/>
      <c r="CF416" s="6"/>
      <c r="CG416" s="6"/>
      <c r="CH416" s="6"/>
      <c r="CI416" s="6"/>
      <c r="CJ416" s="6"/>
      <c r="CK416" s="6"/>
      <c r="CL416" s="6"/>
      <c r="CM416" s="6"/>
      <c r="CN416" s="6"/>
      <c r="CO416" s="6"/>
      <c r="CP416" s="6"/>
      <c r="CQ416" s="6"/>
      <c r="CR416" s="6"/>
      <c r="CS416" s="6"/>
      <c r="CT416" s="6"/>
      <c r="CU416" s="6"/>
      <c r="CV416" s="6"/>
      <c r="CW416" s="6"/>
      <c r="CX416" s="6"/>
      <c r="CY416" s="6"/>
      <c r="CZ416" s="6"/>
      <c r="DA416" s="6"/>
      <c r="DB416" s="6"/>
      <c r="DC416" s="6"/>
      <c r="DD416" s="6"/>
      <c r="DE416" s="6"/>
      <c r="DF416" s="6"/>
      <c r="DG416" s="6"/>
      <c r="DH416" s="6"/>
      <c r="DI416" s="5"/>
      <c r="DJ416" s="5"/>
      <c r="DK416" s="5"/>
      <c r="DL416" s="5"/>
      <c r="DM416" s="6"/>
      <c r="DN416" s="5"/>
      <c r="DO416" s="5"/>
      <c r="DP416" s="5"/>
      <c r="DQ416" s="5"/>
      <c r="DR416" s="6"/>
      <c r="DS416" s="5"/>
      <c r="DT416" s="5"/>
      <c r="DU416" s="5"/>
      <c r="DV416" s="5"/>
      <c r="DW416" s="6"/>
      <c r="DX416" s="5"/>
      <c r="DY416" s="5"/>
      <c r="DZ416" s="5"/>
      <c r="EA416" s="5"/>
      <c r="EB416" s="6"/>
      <c r="EC416" s="5"/>
      <c r="ED416" s="5"/>
      <c r="EE416" s="5"/>
      <c r="EF416" s="5"/>
      <c r="EG416" s="6"/>
      <c r="EH416" s="5"/>
      <c r="EI416" s="5"/>
      <c r="EJ416" s="5"/>
      <c r="EK416" s="5"/>
      <c r="EL416" s="6"/>
      <c r="EM416" s="6">
        <v>1</v>
      </c>
      <c r="EN416" s="6"/>
      <c r="EO416" s="6"/>
      <c r="EP416" s="6"/>
      <c r="EQ416" s="6"/>
      <c r="ER416" s="6"/>
      <c r="EX416" s="659">
        <f t="shared" si="48"/>
        <v>0</v>
      </c>
      <c r="EY416" s="1341">
        <v>34</v>
      </c>
    </row>
    <row r="417" spans="1:155" ht="15" customHeight="1">
      <c r="A417" s="68" t="s">
        <v>272</v>
      </c>
      <c r="B417" s="214" t="s">
        <v>272</v>
      </c>
      <c r="C417" s="473" t="s">
        <v>515</v>
      </c>
      <c r="J417" s="138"/>
      <c r="K417" s="138"/>
      <c r="BU417" s="6"/>
      <c r="BV417" s="6"/>
      <c r="BW417" s="6"/>
      <c r="BX417" s="6"/>
      <c r="BY417" s="6"/>
      <c r="BZ417" s="6"/>
      <c r="CA417" s="6"/>
      <c r="CB417" s="6"/>
      <c r="CC417" s="6"/>
      <c r="CD417" s="6"/>
      <c r="CE417" s="6"/>
      <c r="CF417" s="6"/>
      <c r="CG417" s="6"/>
      <c r="CH417" s="6"/>
      <c r="CI417" s="6"/>
      <c r="CJ417" s="6"/>
      <c r="CK417" s="6"/>
      <c r="CL417" s="6"/>
      <c r="CM417" s="6"/>
      <c r="CN417" s="6"/>
      <c r="CO417" s="6"/>
      <c r="CP417" s="6"/>
      <c r="CQ417" s="6"/>
      <c r="CR417" s="6"/>
      <c r="CS417" s="6"/>
      <c r="CT417" s="6"/>
      <c r="CU417" s="6"/>
      <c r="CV417" s="6"/>
      <c r="CW417" s="6"/>
      <c r="CX417" s="6"/>
      <c r="CY417" s="6"/>
      <c r="CZ417" s="6"/>
      <c r="DA417" s="6"/>
      <c r="DB417" s="6"/>
      <c r="DC417" s="6"/>
      <c r="DD417" s="6"/>
      <c r="DE417" s="6"/>
      <c r="DF417" s="6"/>
      <c r="DG417" s="6"/>
      <c r="DH417" s="6"/>
      <c r="DI417" s="5"/>
      <c r="DJ417" s="5"/>
      <c r="DK417" s="5"/>
      <c r="DL417" s="5"/>
      <c r="DM417" s="6"/>
      <c r="DN417" s="5"/>
      <c r="DO417" s="5"/>
      <c r="DP417" s="5"/>
      <c r="DQ417" s="5"/>
      <c r="DR417" s="6"/>
      <c r="DS417" s="5"/>
      <c r="DT417" s="5"/>
      <c r="DU417" s="5"/>
      <c r="DV417" s="5"/>
      <c r="DW417" s="6"/>
      <c r="DX417" s="5"/>
      <c r="DY417" s="5"/>
      <c r="DZ417" s="5"/>
      <c r="EA417" s="5"/>
      <c r="EB417" s="6"/>
      <c r="EC417" s="5"/>
      <c r="ED417" s="5"/>
      <c r="EE417" s="5"/>
      <c r="EF417" s="5"/>
      <c r="EG417" s="6"/>
      <c r="EH417" s="5"/>
      <c r="EI417" s="5"/>
      <c r="EJ417" s="5"/>
      <c r="EK417" s="5"/>
      <c r="EL417" s="6"/>
      <c r="EM417" s="6">
        <v>1</v>
      </c>
      <c r="EN417" s="6">
        <f>EP6*EM417+EQ6*EM417</f>
        <v>0</v>
      </c>
      <c r="EO417" s="6"/>
      <c r="EP417" s="6"/>
      <c r="EQ417" s="6"/>
      <c r="ER417" s="6"/>
      <c r="EX417" s="659">
        <f t="shared" si="48"/>
        <v>0</v>
      </c>
      <c r="EY417" s="6">
        <v>13</v>
      </c>
    </row>
    <row r="418" spans="1:155" ht="15" customHeight="1">
      <c r="A418" s="69" t="s">
        <v>273</v>
      </c>
      <c r="B418" s="214" t="s">
        <v>498</v>
      </c>
      <c r="C418" s="473" t="s">
        <v>515</v>
      </c>
      <c r="J418" s="138"/>
      <c r="K418" s="138"/>
      <c r="BU418" s="6"/>
      <c r="BV418" s="6"/>
      <c r="BW418" s="6"/>
      <c r="BX418" s="6"/>
      <c r="BY418" s="6"/>
      <c r="BZ418" s="6"/>
      <c r="CA418" s="6"/>
      <c r="CB418" s="6"/>
      <c r="CC418" s="6"/>
      <c r="CD418" s="6"/>
      <c r="CE418" s="6"/>
      <c r="CF418" s="6"/>
      <c r="CG418" s="6"/>
      <c r="CH418" s="6"/>
      <c r="CI418" s="6"/>
      <c r="CJ418" s="6"/>
      <c r="CK418" s="6"/>
      <c r="CL418" s="6"/>
      <c r="CM418" s="6"/>
      <c r="CN418" s="6"/>
      <c r="CO418" s="6"/>
      <c r="CP418" s="6"/>
      <c r="CQ418" s="6"/>
      <c r="CR418" s="6"/>
      <c r="CS418" s="6"/>
      <c r="CT418" s="6"/>
      <c r="CU418" s="6"/>
      <c r="CV418" s="6"/>
      <c r="CW418" s="6"/>
      <c r="CX418" s="6"/>
      <c r="CY418" s="6"/>
      <c r="CZ418" s="6"/>
      <c r="DA418" s="6"/>
      <c r="DB418" s="6"/>
      <c r="DC418" s="6"/>
      <c r="DD418" s="6"/>
      <c r="DE418" s="6"/>
      <c r="DF418" s="6"/>
      <c r="DG418" s="6"/>
      <c r="DH418" s="6"/>
      <c r="DI418" s="5"/>
      <c r="DJ418" s="5"/>
      <c r="DK418" s="5"/>
      <c r="DL418" s="5"/>
      <c r="DM418" s="6"/>
      <c r="DN418" s="5"/>
      <c r="DO418" s="5"/>
      <c r="DP418" s="5"/>
      <c r="DQ418" s="5"/>
      <c r="DR418" s="6"/>
      <c r="DS418" s="5"/>
      <c r="DT418" s="5"/>
      <c r="DU418" s="5"/>
      <c r="DV418" s="5"/>
      <c r="DW418" s="6"/>
      <c r="DX418" s="5"/>
      <c r="DY418" s="5"/>
      <c r="DZ418" s="5"/>
      <c r="EA418" s="5"/>
      <c r="EB418" s="6"/>
      <c r="EC418" s="5"/>
      <c r="ED418" s="5"/>
      <c r="EE418" s="5"/>
      <c r="EF418" s="5"/>
      <c r="EG418" s="6"/>
      <c r="EH418" s="5"/>
      <c r="EI418" s="5"/>
      <c r="EJ418" s="5"/>
      <c r="EK418" s="5"/>
      <c r="EL418" s="6"/>
      <c r="EM418" s="6">
        <v>1</v>
      </c>
      <c r="EN418" s="6"/>
      <c r="EO418" s="6"/>
      <c r="EP418" s="6"/>
      <c r="EQ418" s="6"/>
      <c r="ER418" s="6"/>
      <c r="EX418" s="659">
        <f t="shared" si="48"/>
        <v>0</v>
      </c>
      <c r="EY418" s="1341">
        <v>34</v>
      </c>
    </row>
    <row r="419" spans="1:155" ht="15" customHeight="1">
      <c r="A419" s="68" t="s">
        <v>274</v>
      </c>
      <c r="B419" s="214" t="s">
        <v>274</v>
      </c>
      <c r="C419" s="473" t="s">
        <v>515</v>
      </c>
      <c r="J419" s="138"/>
      <c r="K419" s="138"/>
      <c r="BU419" s="6"/>
      <c r="BV419" s="6"/>
      <c r="BW419" s="6"/>
      <c r="BX419" s="6"/>
      <c r="BY419" s="6"/>
      <c r="BZ419" s="6"/>
      <c r="CA419" s="6"/>
      <c r="CB419" s="6"/>
      <c r="CC419" s="6"/>
      <c r="CD419" s="6"/>
      <c r="CE419" s="6"/>
      <c r="CF419" s="6"/>
      <c r="CG419" s="6"/>
      <c r="CH419" s="6"/>
      <c r="CI419" s="6"/>
      <c r="CJ419" s="6"/>
      <c r="CK419" s="6"/>
      <c r="CL419" s="6"/>
      <c r="CM419" s="6"/>
      <c r="CN419" s="6"/>
      <c r="CO419" s="6"/>
      <c r="CP419" s="6"/>
      <c r="CQ419" s="6"/>
      <c r="CR419" s="6"/>
      <c r="CS419" s="6"/>
      <c r="CT419" s="6"/>
      <c r="CU419" s="6"/>
      <c r="CV419" s="6"/>
      <c r="CW419" s="6"/>
      <c r="CX419" s="6"/>
      <c r="CY419" s="6"/>
      <c r="CZ419" s="6"/>
      <c r="DA419" s="6"/>
      <c r="DB419" s="6"/>
      <c r="DC419" s="6"/>
      <c r="DD419" s="6"/>
      <c r="DE419" s="6"/>
      <c r="DF419" s="6"/>
      <c r="DG419" s="6"/>
      <c r="DH419" s="6"/>
      <c r="DI419" s="5"/>
      <c r="DJ419" s="5"/>
      <c r="DK419" s="5"/>
      <c r="DL419" s="5"/>
      <c r="DM419" s="6"/>
      <c r="DN419" s="5"/>
      <c r="DO419" s="5"/>
      <c r="DP419" s="5"/>
      <c r="DQ419" s="5"/>
      <c r="DR419" s="6"/>
      <c r="DS419" s="5"/>
      <c r="DT419" s="5"/>
      <c r="DU419" s="5"/>
      <c r="DV419" s="5"/>
      <c r="DW419" s="6"/>
      <c r="DX419" s="5"/>
      <c r="DY419" s="5"/>
      <c r="DZ419" s="5"/>
      <c r="EA419" s="5"/>
      <c r="EB419" s="6"/>
      <c r="EC419" s="5"/>
      <c r="ED419" s="5"/>
      <c r="EE419" s="5"/>
      <c r="EF419" s="5"/>
      <c r="EG419" s="6"/>
      <c r="EH419" s="5"/>
      <c r="EI419" s="5"/>
      <c r="EJ419" s="5"/>
      <c r="EK419" s="5"/>
      <c r="EL419" s="6"/>
      <c r="EM419" s="6">
        <v>1</v>
      </c>
      <c r="EN419" s="6">
        <f>EP7*EM419+EQ7*EM419</f>
        <v>0</v>
      </c>
      <c r="EO419" s="6"/>
      <c r="EP419" s="6"/>
      <c r="EQ419" s="6"/>
      <c r="ER419" s="6"/>
      <c r="EX419" s="659">
        <f t="shared" si="48"/>
        <v>0</v>
      </c>
      <c r="EY419" s="6">
        <v>13</v>
      </c>
    </row>
    <row r="420" spans="1:155" ht="15" customHeight="1">
      <c r="A420" s="69" t="s">
        <v>275</v>
      </c>
      <c r="B420" s="214" t="s">
        <v>499</v>
      </c>
      <c r="C420" s="473" t="s">
        <v>515</v>
      </c>
      <c r="J420" s="138"/>
      <c r="K420" s="138"/>
      <c r="BU420" s="6"/>
      <c r="BV420" s="6"/>
      <c r="BW420" s="6"/>
      <c r="BX420" s="6"/>
      <c r="BY420" s="6"/>
      <c r="BZ420" s="6"/>
      <c r="CA420" s="6"/>
      <c r="CB420" s="6"/>
      <c r="CC420" s="6"/>
      <c r="CD420" s="6"/>
      <c r="CE420" s="6"/>
      <c r="CF420" s="6"/>
      <c r="CG420" s="6"/>
      <c r="CH420" s="6"/>
      <c r="CI420" s="6"/>
      <c r="CJ420" s="6"/>
      <c r="CK420" s="6"/>
      <c r="CL420" s="6"/>
      <c r="CM420" s="6"/>
      <c r="CN420" s="6"/>
      <c r="CO420" s="6"/>
      <c r="CP420" s="6"/>
      <c r="CQ420" s="6"/>
      <c r="CR420" s="6"/>
      <c r="CS420" s="6"/>
      <c r="CT420" s="6"/>
      <c r="CU420" s="6"/>
      <c r="CV420" s="6"/>
      <c r="CW420" s="6"/>
      <c r="CX420" s="6"/>
      <c r="CY420" s="6"/>
      <c r="CZ420" s="6"/>
      <c r="DA420" s="6"/>
      <c r="DB420" s="6"/>
      <c r="DC420" s="6"/>
      <c r="DD420" s="6"/>
      <c r="DE420" s="6"/>
      <c r="DF420" s="6"/>
      <c r="DG420" s="6"/>
      <c r="DH420" s="6"/>
      <c r="DI420" s="5"/>
      <c r="DJ420" s="5"/>
      <c r="DK420" s="5"/>
      <c r="DL420" s="5"/>
      <c r="DM420" s="6"/>
      <c r="DN420" s="5"/>
      <c r="DO420" s="5"/>
      <c r="DP420" s="5"/>
      <c r="DQ420" s="5"/>
      <c r="DR420" s="6"/>
      <c r="DS420" s="5"/>
      <c r="DT420" s="5"/>
      <c r="DU420" s="5"/>
      <c r="DV420" s="5"/>
      <c r="DW420" s="6"/>
      <c r="DX420" s="5"/>
      <c r="DY420" s="5"/>
      <c r="DZ420" s="5"/>
      <c r="EA420" s="5"/>
      <c r="EB420" s="6"/>
      <c r="EC420" s="5"/>
      <c r="ED420" s="5"/>
      <c r="EE420" s="5"/>
      <c r="EF420" s="5"/>
      <c r="EG420" s="6"/>
      <c r="EH420" s="5"/>
      <c r="EI420" s="5"/>
      <c r="EJ420" s="5"/>
      <c r="EK420" s="5"/>
      <c r="EL420" s="6"/>
      <c r="EM420" s="6">
        <v>1</v>
      </c>
      <c r="EN420" s="6"/>
      <c r="EO420" s="6"/>
      <c r="EP420" s="6"/>
      <c r="EQ420" s="6"/>
      <c r="ER420" s="6"/>
      <c r="EX420" s="659">
        <f t="shared" si="48"/>
        <v>0</v>
      </c>
      <c r="EY420" s="1341">
        <v>34</v>
      </c>
    </row>
    <row r="421" spans="1:155" ht="15" customHeight="1">
      <c r="A421" s="68" t="s">
        <v>276</v>
      </c>
      <c r="B421" s="214" t="s">
        <v>276</v>
      </c>
      <c r="C421" s="473" t="s">
        <v>515</v>
      </c>
      <c r="J421" s="138"/>
      <c r="K421" s="138"/>
      <c r="BU421" s="6"/>
      <c r="BV421" s="6"/>
      <c r="BW421" s="6"/>
      <c r="BX421" s="6"/>
      <c r="BY421" s="6"/>
      <c r="BZ421" s="6"/>
      <c r="CA421" s="6"/>
      <c r="CB421" s="6"/>
      <c r="CC421" s="6"/>
      <c r="CD421" s="6"/>
      <c r="CE421" s="6"/>
      <c r="CF421" s="6"/>
      <c r="CG421" s="6"/>
      <c r="CH421" s="6"/>
      <c r="CI421" s="6"/>
      <c r="CJ421" s="6"/>
      <c r="CK421" s="6"/>
      <c r="CL421" s="6"/>
      <c r="CM421" s="6"/>
      <c r="CN421" s="6"/>
      <c r="CO421" s="6"/>
      <c r="CP421" s="6"/>
      <c r="CQ421" s="6"/>
      <c r="CR421" s="6"/>
      <c r="CS421" s="6"/>
      <c r="CT421" s="6"/>
      <c r="CU421" s="6"/>
      <c r="CV421" s="6"/>
      <c r="CW421" s="6"/>
      <c r="CX421" s="6"/>
      <c r="CY421" s="6"/>
      <c r="CZ421" s="6"/>
      <c r="DA421" s="6"/>
      <c r="DB421" s="6"/>
      <c r="DC421" s="6"/>
      <c r="DD421" s="6"/>
      <c r="DE421" s="6"/>
      <c r="DF421" s="6"/>
      <c r="DG421" s="6"/>
      <c r="DH421" s="6"/>
      <c r="DI421" s="5"/>
      <c r="DJ421" s="5"/>
      <c r="DK421" s="5"/>
      <c r="DL421" s="5"/>
      <c r="DM421" s="6"/>
      <c r="DN421" s="5"/>
      <c r="DO421" s="5"/>
      <c r="DP421" s="5"/>
      <c r="DQ421" s="5"/>
      <c r="DR421" s="6"/>
      <c r="DS421" s="5"/>
      <c r="DT421" s="5"/>
      <c r="DU421" s="5"/>
      <c r="DV421" s="5"/>
      <c r="DW421" s="6"/>
      <c r="DX421" s="5"/>
      <c r="DY421" s="5"/>
      <c r="DZ421" s="5"/>
      <c r="EA421" s="5"/>
      <c r="EB421" s="6"/>
      <c r="EC421" s="5"/>
      <c r="ED421" s="5"/>
      <c r="EE421" s="5"/>
      <c r="EF421" s="5"/>
      <c r="EG421" s="6"/>
      <c r="EH421" s="5"/>
      <c r="EI421" s="5"/>
      <c r="EJ421" s="5"/>
      <c r="EK421" s="5"/>
      <c r="EL421" s="6"/>
      <c r="EM421" s="6">
        <v>1</v>
      </c>
      <c r="EN421" s="6">
        <f>EP8*EM421+EQ8*EM421</f>
        <v>0</v>
      </c>
      <c r="EO421" s="6"/>
      <c r="EP421" s="6"/>
      <c r="EQ421" s="6"/>
      <c r="ER421" s="6"/>
      <c r="EX421" s="659">
        <f t="shared" si="48"/>
        <v>0</v>
      </c>
      <c r="EY421" s="6">
        <v>13</v>
      </c>
    </row>
    <row r="422" spans="1:155" ht="15" customHeight="1">
      <c r="A422" s="69" t="s">
        <v>277</v>
      </c>
      <c r="B422" s="214" t="s">
        <v>500</v>
      </c>
      <c r="C422" s="473" t="s">
        <v>515</v>
      </c>
      <c r="J422" s="138"/>
      <c r="K422" s="138"/>
      <c r="BU422" s="6"/>
      <c r="BV422" s="6"/>
      <c r="BW422" s="6"/>
      <c r="BX422" s="6"/>
      <c r="BY422" s="6"/>
      <c r="BZ422" s="6"/>
      <c r="CA422" s="6"/>
      <c r="CB422" s="6"/>
      <c r="CC422" s="6"/>
      <c r="CD422" s="6"/>
      <c r="CE422" s="6"/>
      <c r="CF422" s="6"/>
      <c r="CG422" s="6"/>
      <c r="CH422" s="6"/>
      <c r="CI422" s="6"/>
      <c r="CJ422" s="6"/>
      <c r="CK422" s="6"/>
      <c r="CL422" s="6"/>
      <c r="CM422" s="6"/>
      <c r="CN422" s="6"/>
      <c r="CO422" s="6"/>
      <c r="CP422" s="6"/>
      <c r="CQ422" s="6"/>
      <c r="CR422" s="6"/>
      <c r="CS422" s="6"/>
      <c r="CT422" s="6"/>
      <c r="CU422" s="6"/>
      <c r="CV422" s="6"/>
      <c r="CW422" s="6"/>
      <c r="CX422" s="6"/>
      <c r="CY422" s="6"/>
      <c r="CZ422" s="6"/>
      <c r="DA422" s="6"/>
      <c r="DB422" s="6"/>
      <c r="DC422" s="6"/>
      <c r="DD422" s="6"/>
      <c r="DE422" s="6"/>
      <c r="DF422" s="6"/>
      <c r="DG422" s="6"/>
      <c r="DH422" s="6"/>
      <c r="DI422" s="5"/>
      <c r="DJ422" s="5"/>
      <c r="DK422" s="5"/>
      <c r="DL422" s="5"/>
      <c r="DM422" s="6"/>
      <c r="DN422" s="5"/>
      <c r="DO422" s="5"/>
      <c r="DP422" s="5"/>
      <c r="DQ422" s="5"/>
      <c r="DR422" s="6"/>
      <c r="DS422" s="5"/>
      <c r="DT422" s="5"/>
      <c r="DU422" s="5"/>
      <c r="DV422" s="5"/>
      <c r="DW422" s="6"/>
      <c r="DX422" s="5"/>
      <c r="DY422" s="5"/>
      <c r="DZ422" s="5"/>
      <c r="EA422" s="5"/>
      <c r="EB422" s="6"/>
      <c r="EC422" s="5"/>
      <c r="ED422" s="5"/>
      <c r="EE422" s="5"/>
      <c r="EF422" s="5"/>
      <c r="EG422" s="6"/>
      <c r="EH422" s="5"/>
      <c r="EI422" s="5"/>
      <c r="EJ422" s="5"/>
      <c r="EK422" s="5"/>
      <c r="EL422" s="6"/>
      <c r="EM422" s="6">
        <v>1</v>
      </c>
      <c r="EN422" s="6"/>
      <c r="EO422" s="6"/>
      <c r="EP422" s="6"/>
      <c r="EQ422" s="6"/>
      <c r="ER422" s="6"/>
      <c r="EX422" s="659">
        <f t="shared" si="48"/>
        <v>0</v>
      </c>
      <c r="EY422" s="1341">
        <v>34</v>
      </c>
    </row>
    <row r="423" spans="1:155" ht="15" customHeight="1">
      <c r="A423" s="68" t="s">
        <v>278</v>
      </c>
      <c r="B423" s="214" t="s">
        <v>278</v>
      </c>
      <c r="C423" s="473" t="s">
        <v>515</v>
      </c>
      <c r="J423" s="138"/>
      <c r="K423" s="138"/>
      <c r="BU423" s="6"/>
      <c r="BV423" s="6"/>
      <c r="BW423" s="6"/>
      <c r="BX423" s="6"/>
      <c r="BY423" s="6"/>
      <c r="BZ423" s="6"/>
      <c r="CA423" s="6"/>
      <c r="CB423" s="6"/>
      <c r="CC423" s="6"/>
      <c r="CD423" s="6"/>
      <c r="CE423" s="6"/>
      <c r="CF423" s="6"/>
      <c r="CG423" s="6"/>
      <c r="CH423" s="6"/>
      <c r="CI423" s="6"/>
      <c r="CJ423" s="6"/>
      <c r="CK423" s="6"/>
      <c r="CL423" s="6"/>
      <c r="CM423" s="6"/>
      <c r="CN423" s="6"/>
      <c r="CO423" s="6"/>
      <c r="CP423" s="6"/>
      <c r="CQ423" s="6"/>
      <c r="CR423" s="6"/>
      <c r="CS423" s="6"/>
      <c r="CT423" s="6"/>
      <c r="CU423" s="6"/>
      <c r="CV423" s="6"/>
      <c r="CW423" s="6"/>
      <c r="CX423" s="6"/>
      <c r="CY423" s="6"/>
      <c r="CZ423" s="6"/>
      <c r="DA423" s="6"/>
      <c r="DB423" s="6"/>
      <c r="DC423" s="6"/>
      <c r="DD423" s="6"/>
      <c r="DE423" s="6"/>
      <c r="DF423" s="6"/>
      <c r="DG423" s="6"/>
      <c r="DH423" s="6"/>
      <c r="DI423" s="5"/>
      <c r="DJ423" s="5"/>
      <c r="DK423" s="5"/>
      <c r="DL423" s="5"/>
      <c r="DM423" s="6"/>
      <c r="DN423" s="5"/>
      <c r="DO423" s="5"/>
      <c r="DP423" s="5"/>
      <c r="DQ423" s="5"/>
      <c r="DR423" s="6"/>
      <c r="DS423" s="5"/>
      <c r="DT423" s="5"/>
      <c r="DU423" s="5"/>
      <c r="DV423" s="5"/>
      <c r="DW423" s="6"/>
      <c r="DX423" s="5"/>
      <c r="DY423" s="5"/>
      <c r="DZ423" s="5"/>
      <c r="EA423" s="5"/>
      <c r="EB423" s="6"/>
      <c r="EC423" s="5"/>
      <c r="ED423" s="5"/>
      <c r="EE423" s="5"/>
      <c r="EF423" s="5"/>
      <c r="EG423" s="6"/>
      <c r="EH423" s="5"/>
      <c r="EI423" s="5"/>
      <c r="EJ423" s="5"/>
      <c r="EK423" s="5"/>
      <c r="EL423" s="6"/>
      <c r="EM423" s="6">
        <v>1</v>
      </c>
      <c r="EN423" s="6">
        <f>EP9*EM423+EQ9*EM423</f>
        <v>0</v>
      </c>
      <c r="EO423" s="6"/>
      <c r="EP423" s="6"/>
      <c r="EQ423" s="6"/>
      <c r="ER423" s="6"/>
      <c r="EX423" s="659">
        <f t="shared" si="48"/>
        <v>0</v>
      </c>
      <c r="EY423" s="6">
        <v>13</v>
      </c>
    </row>
    <row r="424" spans="1:155" ht="15" customHeight="1">
      <c r="A424" s="69" t="s">
        <v>279</v>
      </c>
      <c r="B424" s="214" t="s">
        <v>501</v>
      </c>
      <c r="C424" s="473" t="s">
        <v>515</v>
      </c>
      <c r="J424" s="138"/>
      <c r="K424" s="138"/>
      <c r="BU424" s="6"/>
      <c r="BV424" s="6"/>
      <c r="BW424" s="6"/>
      <c r="BX424" s="6"/>
      <c r="BY424" s="6"/>
      <c r="BZ424" s="6"/>
      <c r="CA424" s="6"/>
      <c r="CB424" s="6"/>
      <c r="CC424" s="6"/>
      <c r="CD424" s="6"/>
      <c r="CE424" s="6"/>
      <c r="CF424" s="6"/>
      <c r="CG424" s="6"/>
      <c r="CH424" s="6"/>
      <c r="CI424" s="6"/>
      <c r="CJ424" s="6"/>
      <c r="CK424" s="6"/>
      <c r="CL424" s="6"/>
      <c r="CM424" s="6"/>
      <c r="CN424" s="6"/>
      <c r="CO424" s="6"/>
      <c r="CP424" s="6"/>
      <c r="CQ424" s="6"/>
      <c r="CR424" s="6"/>
      <c r="CS424" s="6"/>
      <c r="CT424" s="6"/>
      <c r="CU424" s="6"/>
      <c r="CV424" s="6"/>
      <c r="CW424" s="6"/>
      <c r="CX424" s="6"/>
      <c r="CY424" s="6"/>
      <c r="CZ424" s="6"/>
      <c r="DA424" s="6"/>
      <c r="DB424" s="6"/>
      <c r="DC424" s="6"/>
      <c r="DD424" s="6"/>
      <c r="DE424" s="6"/>
      <c r="DF424" s="6"/>
      <c r="DG424" s="6"/>
      <c r="DH424" s="6"/>
      <c r="DI424" s="5"/>
      <c r="DJ424" s="5"/>
      <c r="DK424" s="5"/>
      <c r="DL424" s="5"/>
      <c r="DM424" s="6"/>
      <c r="DN424" s="5"/>
      <c r="DO424" s="5"/>
      <c r="DP424" s="5"/>
      <c r="DQ424" s="5"/>
      <c r="DR424" s="6"/>
      <c r="DS424" s="5"/>
      <c r="DT424" s="5"/>
      <c r="DU424" s="5"/>
      <c r="DV424" s="5"/>
      <c r="DW424" s="6"/>
      <c r="DX424" s="5"/>
      <c r="DY424" s="5"/>
      <c r="DZ424" s="5"/>
      <c r="EA424" s="5"/>
      <c r="EB424" s="6"/>
      <c r="EC424" s="5"/>
      <c r="ED424" s="5"/>
      <c r="EE424" s="5"/>
      <c r="EF424" s="5"/>
      <c r="EG424" s="6"/>
      <c r="EH424" s="5"/>
      <c r="EI424" s="5"/>
      <c r="EJ424" s="5"/>
      <c r="EK424" s="5"/>
      <c r="EL424" s="6"/>
      <c r="EM424" s="6">
        <v>1</v>
      </c>
      <c r="EN424" s="6"/>
      <c r="EO424" s="6"/>
      <c r="EP424" s="6"/>
      <c r="EQ424" s="6"/>
      <c r="ER424" s="6"/>
      <c r="EX424" s="659">
        <f t="shared" si="48"/>
        <v>0</v>
      </c>
      <c r="EY424" s="1341">
        <v>34</v>
      </c>
    </row>
    <row r="425" spans="1:155" ht="15" customHeight="1">
      <c r="A425" s="68" t="s">
        <v>280</v>
      </c>
      <c r="B425" s="214" t="s">
        <v>280</v>
      </c>
      <c r="C425" s="473" t="s">
        <v>515</v>
      </c>
      <c r="J425" s="138"/>
      <c r="K425" s="138"/>
      <c r="BU425" s="6"/>
      <c r="BV425" s="6"/>
      <c r="BW425" s="6"/>
      <c r="BX425" s="6"/>
      <c r="BY425" s="6"/>
      <c r="BZ425" s="6"/>
      <c r="CA425" s="6"/>
      <c r="CB425" s="6"/>
      <c r="CC425" s="6"/>
      <c r="CD425" s="6"/>
      <c r="CE425" s="6"/>
      <c r="CF425" s="6"/>
      <c r="CG425" s="6"/>
      <c r="CH425" s="6"/>
      <c r="CI425" s="6"/>
      <c r="CJ425" s="6"/>
      <c r="CK425" s="6"/>
      <c r="CL425" s="6"/>
      <c r="CM425" s="6"/>
      <c r="CN425" s="6"/>
      <c r="CO425" s="6"/>
      <c r="CP425" s="6"/>
      <c r="CQ425" s="6"/>
      <c r="CR425" s="6"/>
      <c r="CS425" s="6"/>
      <c r="CT425" s="6"/>
      <c r="CU425" s="6"/>
      <c r="CV425" s="6"/>
      <c r="CW425" s="6"/>
      <c r="CX425" s="6"/>
      <c r="CY425" s="6"/>
      <c r="CZ425" s="6"/>
      <c r="DA425" s="6"/>
      <c r="DB425" s="6"/>
      <c r="DC425" s="6"/>
      <c r="DD425" s="6"/>
      <c r="DE425" s="6"/>
      <c r="DF425" s="6"/>
      <c r="DG425" s="6"/>
      <c r="DH425" s="6"/>
      <c r="DI425" s="5"/>
      <c r="DJ425" s="5"/>
      <c r="DK425" s="5"/>
      <c r="DL425" s="5"/>
      <c r="DM425" s="6"/>
      <c r="DN425" s="5"/>
      <c r="DO425" s="5"/>
      <c r="DP425" s="5"/>
      <c r="DQ425" s="5"/>
      <c r="DR425" s="6"/>
      <c r="DS425" s="5"/>
      <c r="DT425" s="5"/>
      <c r="DU425" s="5"/>
      <c r="DV425" s="5"/>
      <c r="DW425" s="6"/>
      <c r="DX425" s="5"/>
      <c r="DY425" s="5"/>
      <c r="DZ425" s="5"/>
      <c r="EA425" s="5"/>
      <c r="EB425" s="6"/>
      <c r="EC425" s="5"/>
      <c r="ED425" s="5"/>
      <c r="EE425" s="5"/>
      <c r="EF425" s="5"/>
      <c r="EG425" s="6"/>
      <c r="EH425" s="5"/>
      <c r="EI425" s="5"/>
      <c r="EJ425" s="5"/>
      <c r="EK425" s="5"/>
      <c r="EL425" s="6"/>
      <c r="EM425" s="6">
        <v>1</v>
      </c>
      <c r="EN425" s="6">
        <f>EP10*EM425+EQ10*EM425</f>
        <v>0</v>
      </c>
      <c r="EO425" s="6"/>
      <c r="EP425" s="6"/>
      <c r="EQ425" s="6"/>
      <c r="ER425" s="6"/>
      <c r="EX425" s="659">
        <f t="shared" si="48"/>
        <v>0</v>
      </c>
      <c r="EY425" s="6">
        <v>13</v>
      </c>
    </row>
    <row r="426" spans="1:155" ht="15" customHeight="1">
      <c r="A426" s="69" t="s">
        <v>281</v>
      </c>
      <c r="B426" s="214" t="s">
        <v>502</v>
      </c>
      <c r="C426" s="473" t="s">
        <v>515</v>
      </c>
      <c r="J426" s="138"/>
      <c r="K426" s="138"/>
      <c r="BU426" s="6"/>
      <c r="BV426" s="6"/>
      <c r="BW426" s="6"/>
      <c r="BX426" s="6"/>
      <c r="BY426" s="6"/>
      <c r="BZ426" s="6"/>
      <c r="CA426" s="6"/>
      <c r="CB426" s="6"/>
      <c r="CC426" s="6"/>
      <c r="CD426" s="6"/>
      <c r="CE426" s="6"/>
      <c r="CF426" s="6"/>
      <c r="CG426" s="6"/>
      <c r="CH426" s="6"/>
      <c r="CI426" s="6"/>
      <c r="CJ426" s="6"/>
      <c r="CK426" s="6"/>
      <c r="CL426" s="6"/>
      <c r="CM426" s="6"/>
      <c r="CN426" s="6"/>
      <c r="CO426" s="6"/>
      <c r="CP426" s="6"/>
      <c r="CQ426" s="6"/>
      <c r="CR426" s="6"/>
      <c r="CS426" s="6"/>
      <c r="CT426" s="6"/>
      <c r="CU426" s="6"/>
      <c r="CV426" s="6"/>
      <c r="CW426" s="6"/>
      <c r="CX426" s="6"/>
      <c r="CY426" s="6"/>
      <c r="CZ426" s="6"/>
      <c r="DA426" s="6"/>
      <c r="DB426" s="6"/>
      <c r="DC426" s="6"/>
      <c r="DD426" s="6"/>
      <c r="DE426" s="6"/>
      <c r="DF426" s="6"/>
      <c r="DG426" s="6"/>
      <c r="DH426" s="6"/>
      <c r="DI426" s="5"/>
      <c r="DJ426" s="5"/>
      <c r="DK426" s="5"/>
      <c r="DL426" s="5"/>
      <c r="DM426" s="6"/>
      <c r="DN426" s="5"/>
      <c r="DO426" s="5"/>
      <c r="DP426" s="5"/>
      <c r="DQ426" s="5"/>
      <c r="DR426" s="6"/>
      <c r="DS426" s="5"/>
      <c r="DT426" s="5"/>
      <c r="DU426" s="5"/>
      <c r="DV426" s="5"/>
      <c r="DW426" s="6"/>
      <c r="DX426" s="5"/>
      <c r="DY426" s="5"/>
      <c r="DZ426" s="5"/>
      <c r="EA426" s="5"/>
      <c r="EB426" s="6"/>
      <c r="EC426" s="5"/>
      <c r="ED426" s="5"/>
      <c r="EE426" s="5"/>
      <c r="EF426" s="5"/>
      <c r="EG426" s="6"/>
      <c r="EH426" s="5"/>
      <c r="EI426" s="5"/>
      <c r="EJ426" s="5"/>
      <c r="EK426" s="5"/>
      <c r="EL426" s="6"/>
      <c r="EM426" s="6">
        <v>1</v>
      </c>
      <c r="EN426" s="6"/>
      <c r="EO426" s="6"/>
      <c r="EP426" s="6"/>
      <c r="EQ426" s="6"/>
      <c r="ER426" s="6"/>
      <c r="EX426" s="659">
        <f t="shared" si="48"/>
        <v>0</v>
      </c>
      <c r="EY426" s="1341">
        <v>34</v>
      </c>
    </row>
    <row r="427" spans="1:155" ht="15" customHeight="1">
      <c r="A427" s="68" t="s">
        <v>282</v>
      </c>
      <c r="B427" s="214" t="s">
        <v>282</v>
      </c>
      <c r="C427" s="473" t="s">
        <v>515</v>
      </c>
      <c r="J427" s="138"/>
      <c r="K427" s="138"/>
      <c r="BU427" s="6"/>
      <c r="BV427" s="6"/>
      <c r="BW427" s="6"/>
      <c r="BX427" s="6"/>
      <c r="BY427" s="6"/>
      <c r="BZ427" s="6"/>
      <c r="CA427" s="6"/>
      <c r="CB427" s="6"/>
      <c r="CC427" s="6"/>
      <c r="CD427" s="6"/>
      <c r="CE427" s="6"/>
      <c r="CF427" s="6"/>
      <c r="CG427" s="6"/>
      <c r="CH427" s="6"/>
      <c r="CI427" s="6"/>
      <c r="CJ427" s="6"/>
      <c r="CK427" s="6"/>
      <c r="CL427" s="6"/>
      <c r="CM427" s="6"/>
      <c r="CN427" s="6"/>
      <c r="CO427" s="6"/>
      <c r="CP427" s="6"/>
      <c r="CQ427" s="6"/>
      <c r="CR427" s="6"/>
      <c r="CS427" s="6"/>
      <c r="CT427" s="6"/>
      <c r="CU427" s="6"/>
      <c r="CV427" s="6"/>
      <c r="CW427" s="6"/>
      <c r="CX427" s="6"/>
      <c r="CY427" s="6"/>
      <c r="CZ427" s="6"/>
      <c r="DA427" s="6"/>
      <c r="DB427" s="6"/>
      <c r="DC427" s="6"/>
      <c r="DD427" s="6"/>
      <c r="DE427" s="6"/>
      <c r="DF427" s="6"/>
      <c r="DG427" s="6"/>
      <c r="DH427" s="6"/>
      <c r="DI427" s="5"/>
      <c r="DJ427" s="5"/>
      <c r="DK427" s="5"/>
      <c r="DL427" s="5"/>
      <c r="DM427" s="6"/>
      <c r="DN427" s="5"/>
      <c r="DO427" s="5"/>
      <c r="DP427" s="5"/>
      <c r="DQ427" s="5"/>
      <c r="DR427" s="6"/>
      <c r="DS427" s="5"/>
      <c r="DT427" s="5"/>
      <c r="DU427" s="5"/>
      <c r="DV427" s="5"/>
      <c r="DW427" s="6"/>
      <c r="DX427" s="5"/>
      <c r="DY427" s="5"/>
      <c r="DZ427" s="5"/>
      <c r="EA427" s="5"/>
      <c r="EB427" s="6"/>
      <c r="EC427" s="5"/>
      <c r="ED427" s="5"/>
      <c r="EE427" s="5"/>
      <c r="EF427" s="5"/>
      <c r="EG427" s="6"/>
      <c r="EH427" s="5"/>
      <c r="EI427" s="5"/>
      <c r="EJ427" s="5"/>
      <c r="EK427" s="5"/>
      <c r="EL427" s="6"/>
      <c r="EM427" s="6">
        <v>1</v>
      </c>
      <c r="EN427" s="6">
        <f>EP11*EM427+EQ11*EM427</f>
        <v>0</v>
      </c>
      <c r="EO427" s="6"/>
      <c r="EP427" s="6"/>
      <c r="EQ427" s="6"/>
      <c r="ER427" s="6"/>
      <c r="EX427" s="659">
        <f t="shared" si="48"/>
        <v>0</v>
      </c>
      <c r="EY427" s="6">
        <v>13</v>
      </c>
    </row>
    <row r="428" spans="1:155" ht="15" customHeight="1">
      <c r="A428" s="69" t="s">
        <v>283</v>
      </c>
      <c r="B428" s="214" t="s">
        <v>503</v>
      </c>
      <c r="C428" s="473" t="s">
        <v>515</v>
      </c>
      <c r="J428" s="138"/>
      <c r="K428" s="138"/>
      <c r="BU428" s="6"/>
      <c r="BV428" s="6"/>
      <c r="BW428" s="6"/>
      <c r="BX428" s="6"/>
      <c r="BY428" s="6"/>
      <c r="BZ428" s="6"/>
      <c r="CA428" s="6"/>
      <c r="CB428" s="6"/>
      <c r="CC428" s="6"/>
      <c r="CD428" s="6"/>
      <c r="CE428" s="6"/>
      <c r="CF428" s="6"/>
      <c r="CG428" s="6"/>
      <c r="CH428" s="6"/>
      <c r="CI428" s="6"/>
      <c r="CJ428" s="6"/>
      <c r="CK428" s="6"/>
      <c r="CL428" s="6"/>
      <c r="CM428" s="6"/>
      <c r="CN428" s="6"/>
      <c r="CO428" s="6"/>
      <c r="CP428" s="6"/>
      <c r="CQ428" s="6"/>
      <c r="CR428" s="6"/>
      <c r="CS428" s="6"/>
      <c r="CT428" s="6"/>
      <c r="CU428" s="6"/>
      <c r="CV428" s="6"/>
      <c r="CW428" s="6"/>
      <c r="CX428" s="6"/>
      <c r="CY428" s="6"/>
      <c r="CZ428" s="6"/>
      <c r="DA428" s="6"/>
      <c r="DB428" s="6"/>
      <c r="DC428" s="6"/>
      <c r="DD428" s="6"/>
      <c r="DE428" s="6"/>
      <c r="DF428" s="6"/>
      <c r="DG428" s="6"/>
      <c r="DH428" s="6"/>
      <c r="DI428" s="6"/>
      <c r="DJ428" s="6"/>
      <c r="DK428" s="6"/>
      <c r="DL428" s="6"/>
      <c r="DM428" s="6"/>
      <c r="DN428" s="6"/>
      <c r="DO428" s="6"/>
      <c r="DP428" s="6"/>
      <c r="DQ428" s="6"/>
      <c r="DR428" s="6"/>
      <c r="DS428" s="5"/>
      <c r="DT428" s="5"/>
      <c r="DU428" s="5"/>
      <c r="DV428" s="5"/>
      <c r="DW428" s="6"/>
      <c r="DX428" s="5"/>
      <c r="DY428" s="5"/>
      <c r="DZ428" s="5"/>
      <c r="EA428" s="5"/>
      <c r="EB428" s="6"/>
      <c r="EC428" s="5"/>
      <c r="ED428" s="5"/>
      <c r="EE428" s="5"/>
      <c r="EF428" s="5"/>
      <c r="EG428" s="6"/>
      <c r="EH428" s="5"/>
      <c r="EI428" s="5"/>
      <c r="EJ428" s="5"/>
      <c r="EK428" s="5"/>
      <c r="EL428" s="6"/>
      <c r="EM428" s="6">
        <v>1</v>
      </c>
      <c r="EN428" s="6"/>
      <c r="EO428" s="6"/>
      <c r="EP428" s="6"/>
      <c r="EQ428" s="6"/>
      <c r="ER428" s="6"/>
      <c r="EX428" s="659">
        <f t="shared" si="48"/>
        <v>0</v>
      </c>
      <c r="EY428" s="1341">
        <v>34</v>
      </c>
    </row>
    <row r="429" spans="1:155" ht="15" customHeight="1">
      <c r="A429" s="68" t="s">
        <v>284</v>
      </c>
      <c r="B429" s="214" t="s">
        <v>284</v>
      </c>
      <c r="C429" s="473" t="s">
        <v>515</v>
      </c>
      <c r="J429" s="138"/>
      <c r="K429" s="138"/>
      <c r="BU429" s="6"/>
      <c r="BV429" s="6"/>
      <c r="BW429" s="6"/>
      <c r="BX429" s="6"/>
      <c r="BY429" s="6"/>
      <c r="BZ429" s="6"/>
      <c r="CA429" s="6"/>
      <c r="CB429" s="6"/>
      <c r="CC429" s="6"/>
      <c r="CD429" s="6"/>
      <c r="CE429" s="6"/>
      <c r="CF429" s="6"/>
      <c r="CG429" s="6"/>
      <c r="CH429" s="6"/>
      <c r="CI429" s="6"/>
      <c r="CJ429" s="6"/>
      <c r="CK429" s="6"/>
      <c r="CL429" s="6"/>
      <c r="CM429" s="6"/>
      <c r="CN429" s="6"/>
      <c r="CO429" s="6"/>
      <c r="CP429" s="6"/>
      <c r="CQ429" s="6"/>
      <c r="CR429" s="6"/>
      <c r="CS429" s="6"/>
      <c r="CT429" s="6"/>
      <c r="CU429" s="6"/>
      <c r="CV429" s="6"/>
      <c r="CW429" s="6"/>
      <c r="CX429" s="6"/>
      <c r="CY429" s="6"/>
      <c r="CZ429" s="6"/>
      <c r="DA429" s="6"/>
      <c r="DB429" s="6"/>
      <c r="DC429" s="6"/>
      <c r="DD429" s="6"/>
      <c r="DE429" s="6"/>
      <c r="DF429" s="6"/>
      <c r="DG429" s="6"/>
      <c r="DH429" s="6"/>
      <c r="DI429" s="6"/>
      <c r="DJ429" s="6"/>
      <c r="DK429" s="6"/>
      <c r="DL429" s="6"/>
      <c r="DM429" s="6"/>
      <c r="DN429" s="6"/>
      <c r="DO429" s="6"/>
      <c r="DP429" s="6"/>
      <c r="DQ429" s="6"/>
      <c r="DR429" s="6"/>
      <c r="DS429" s="5"/>
      <c r="DT429" s="5"/>
      <c r="DU429" s="5"/>
      <c r="DV429" s="5"/>
      <c r="DW429" s="6"/>
      <c r="DX429" s="5"/>
      <c r="DY429" s="5"/>
      <c r="DZ429" s="5"/>
      <c r="EA429" s="5"/>
      <c r="EB429" s="6"/>
      <c r="EC429" s="5"/>
      <c r="ED429" s="5"/>
      <c r="EE429" s="5"/>
      <c r="EF429" s="5"/>
      <c r="EG429" s="6"/>
      <c r="EH429" s="5"/>
      <c r="EI429" s="5"/>
      <c r="EJ429" s="5"/>
      <c r="EK429" s="5"/>
      <c r="EL429" s="6"/>
      <c r="EM429" s="6">
        <v>1</v>
      </c>
      <c r="EN429" s="6">
        <f>EP12*EM429+EQ12*EM429</f>
        <v>0</v>
      </c>
      <c r="EO429" s="6"/>
      <c r="EP429" s="6"/>
      <c r="EQ429" s="6"/>
      <c r="ER429" s="6"/>
      <c r="EX429" s="659">
        <f t="shared" si="48"/>
        <v>0</v>
      </c>
      <c r="EY429" s="6">
        <v>13</v>
      </c>
    </row>
    <row r="430" spans="1:155" ht="15" customHeight="1">
      <c r="A430" s="69" t="s">
        <v>285</v>
      </c>
      <c r="B430" s="214" t="s">
        <v>504</v>
      </c>
      <c r="C430" s="473" t="s">
        <v>515</v>
      </c>
      <c r="J430" s="138"/>
      <c r="K430" s="138"/>
      <c r="BU430" s="6"/>
      <c r="BV430" s="6"/>
      <c r="BW430" s="6"/>
      <c r="BX430" s="6"/>
      <c r="BY430" s="6"/>
      <c r="BZ430" s="6"/>
      <c r="CA430" s="6"/>
      <c r="CB430" s="6"/>
      <c r="CC430" s="6"/>
      <c r="CD430" s="6"/>
      <c r="CE430" s="6"/>
      <c r="CF430" s="6"/>
      <c r="CG430" s="6"/>
      <c r="CH430" s="6"/>
      <c r="CI430" s="6"/>
      <c r="CJ430" s="6"/>
      <c r="CK430" s="6"/>
      <c r="CL430" s="6"/>
      <c r="CM430" s="6"/>
      <c r="CN430" s="6"/>
      <c r="CO430" s="6"/>
      <c r="CP430" s="6"/>
      <c r="CQ430" s="6"/>
      <c r="CR430" s="6"/>
      <c r="CS430" s="6"/>
      <c r="CT430" s="6"/>
      <c r="CU430" s="6"/>
      <c r="CV430" s="6"/>
      <c r="CW430" s="6"/>
      <c r="CX430" s="6"/>
      <c r="CY430" s="6"/>
      <c r="CZ430" s="6"/>
      <c r="DA430" s="6"/>
      <c r="DB430" s="6"/>
      <c r="DC430" s="6"/>
      <c r="DD430" s="6"/>
      <c r="DE430" s="6"/>
      <c r="DF430" s="6"/>
      <c r="DG430" s="6"/>
      <c r="DH430" s="6"/>
      <c r="DI430" s="6"/>
      <c r="DJ430" s="6"/>
      <c r="DK430" s="6"/>
      <c r="DL430" s="6"/>
      <c r="DM430" s="6"/>
      <c r="DN430" s="6"/>
      <c r="DO430" s="6"/>
      <c r="DP430" s="6"/>
      <c r="DQ430" s="6"/>
      <c r="DR430" s="6"/>
      <c r="DS430" s="5"/>
      <c r="DT430" s="5"/>
      <c r="DU430" s="5"/>
      <c r="DV430" s="5"/>
      <c r="DW430" s="6"/>
      <c r="DX430" s="5"/>
      <c r="DY430" s="5"/>
      <c r="DZ430" s="5"/>
      <c r="EA430" s="5"/>
      <c r="EB430" s="6"/>
      <c r="EC430" s="5"/>
      <c r="ED430" s="5"/>
      <c r="EE430" s="5"/>
      <c r="EF430" s="5"/>
      <c r="EG430" s="6"/>
      <c r="EH430" s="5"/>
      <c r="EI430" s="5"/>
      <c r="EJ430" s="5"/>
      <c r="EK430" s="5"/>
      <c r="EL430" s="6"/>
      <c r="EM430" s="6">
        <v>1</v>
      </c>
      <c r="EN430" s="6"/>
      <c r="EO430" s="6"/>
      <c r="EP430" s="6"/>
      <c r="EQ430" s="6"/>
      <c r="ER430" s="6"/>
      <c r="EX430" s="659">
        <f t="shared" si="48"/>
        <v>0</v>
      </c>
      <c r="EY430" s="1341">
        <v>34</v>
      </c>
    </row>
    <row r="431" spans="1:155" ht="15" customHeight="1">
      <c r="A431" s="3" t="s">
        <v>350</v>
      </c>
      <c r="B431" s="210" t="s">
        <v>378</v>
      </c>
      <c r="C431" s="473" t="s">
        <v>515</v>
      </c>
      <c r="J431" s="138"/>
      <c r="K431" s="138"/>
      <c r="BU431" s="6"/>
      <c r="BV431" s="6"/>
      <c r="BW431" s="6"/>
      <c r="BX431" s="6"/>
      <c r="BY431" s="6"/>
      <c r="BZ431" s="6"/>
      <c r="CA431" s="6"/>
      <c r="CB431" s="6"/>
      <c r="CC431" s="6"/>
      <c r="CD431" s="6"/>
      <c r="CE431" s="6"/>
      <c r="CF431" s="6"/>
      <c r="CG431" s="6"/>
      <c r="CH431" s="6"/>
      <c r="CI431" s="6"/>
      <c r="CJ431" s="6"/>
      <c r="CK431" s="6"/>
      <c r="CL431" s="6"/>
      <c r="CM431" s="6"/>
      <c r="CN431" s="6"/>
      <c r="CO431" s="6"/>
      <c r="CP431" s="6"/>
      <c r="CQ431" s="6"/>
      <c r="CR431" s="6"/>
      <c r="CS431" s="6"/>
      <c r="CT431" s="6"/>
      <c r="CU431" s="6"/>
      <c r="CV431" s="6"/>
      <c r="CW431" s="6"/>
      <c r="CX431" s="6"/>
      <c r="CY431" s="6"/>
      <c r="CZ431" s="6"/>
      <c r="DA431" s="6"/>
      <c r="DB431" s="6"/>
      <c r="DC431" s="6"/>
      <c r="DD431" s="6"/>
      <c r="DE431" s="6"/>
      <c r="DF431" s="6"/>
      <c r="DG431" s="6"/>
      <c r="DH431" s="6"/>
      <c r="DI431" s="6"/>
      <c r="DJ431" s="6"/>
      <c r="DK431" s="6"/>
      <c r="DL431" s="6"/>
      <c r="DM431" s="6"/>
      <c r="DN431" s="6"/>
      <c r="DO431" s="6"/>
      <c r="DP431" s="6"/>
      <c r="DQ431" s="6"/>
      <c r="DR431" s="6"/>
      <c r="DS431" s="5"/>
      <c r="DT431" s="5"/>
      <c r="DU431" s="5"/>
      <c r="DV431" s="5"/>
      <c r="DW431" s="6"/>
      <c r="DX431" s="5"/>
      <c r="DY431" s="5"/>
      <c r="DZ431" s="5"/>
      <c r="EA431" s="5"/>
      <c r="EB431" s="6"/>
      <c r="EC431" s="5"/>
      <c r="ED431" s="5"/>
      <c r="EE431" s="5"/>
      <c r="EF431" s="5"/>
      <c r="EG431" s="6"/>
      <c r="EH431" s="5"/>
      <c r="EI431" s="5"/>
      <c r="EJ431" s="5"/>
      <c r="EK431" s="5"/>
      <c r="EL431" s="6"/>
      <c r="EM431" s="6"/>
      <c r="EN431" s="6"/>
      <c r="EO431" s="6"/>
      <c r="EP431" s="6"/>
      <c r="EQ431" s="6"/>
      <c r="ER431" s="6"/>
      <c r="EX431" s="659">
        <f t="shared" si="48"/>
        <v>0</v>
      </c>
      <c r="EY431" s="6">
        <v>13</v>
      </c>
    </row>
    <row r="432" spans="1:155" ht="15" customHeight="1">
      <c r="A432" s="3" t="s">
        <v>351</v>
      </c>
      <c r="B432" s="210" t="s">
        <v>379</v>
      </c>
      <c r="C432" s="473" t="s">
        <v>515</v>
      </c>
      <c r="J432" s="138"/>
      <c r="K432" s="138"/>
      <c r="BU432" s="6"/>
      <c r="BV432" s="6"/>
      <c r="BW432" s="6"/>
      <c r="BX432" s="6"/>
      <c r="BY432" s="6"/>
      <c r="BZ432" s="6"/>
      <c r="CA432" s="6"/>
      <c r="CB432" s="6"/>
      <c r="CC432" s="6"/>
      <c r="CD432" s="6"/>
      <c r="CE432" s="6"/>
      <c r="CF432" s="6"/>
      <c r="CG432" s="6"/>
      <c r="CH432" s="6"/>
      <c r="CI432" s="6"/>
      <c r="CJ432" s="6"/>
      <c r="CK432" s="6"/>
      <c r="CL432" s="6"/>
      <c r="CM432" s="6"/>
      <c r="CN432" s="6"/>
      <c r="CO432" s="6"/>
      <c r="CP432" s="6"/>
      <c r="CQ432" s="6"/>
      <c r="CR432" s="6"/>
      <c r="CS432" s="6"/>
      <c r="CT432" s="6"/>
      <c r="CU432" s="6"/>
      <c r="CV432" s="6"/>
      <c r="CW432" s="6"/>
      <c r="CX432" s="6"/>
      <c r="CY432" s="6"/>
      <c r="CZ432" s="6"/>
      <c r="DA432" s="6"/>
      <c r="DB432" s="6"/>
      <c r="DC432" s="6"/>
      <c r="DD432" s="6"/>
      <c r="DE432" s="6"/>
      <c r="DF432" s="6"/>
      <c r="DG432" s="6"/>
      <c r="DH432" s="6"/>
      <c r="DI432" s="6"/>
      <c r="DJ432" s="6"/>
      <c r="DK432" s="6"/>
      <c r="DL432" s="6"/>
      <c r="DM432" s="6"/>
      <c r="DN432" s="6"/>
      <c r="DO432" s="6"/>
      <c r="DP432" s="6"/>
      <c r="DQ432" s="6"/>
      <c r="DR432" s="6"/>
      <c r="DS432" s="5"/>
      <c r="DT432" s="5"/>
      <c r="DU432" s="5"/>
      <c r="DV432" s="5"/>
      <c r="DW432" s="6"/>
      <c r="DX432" s="5"/>
      <c r="DY432" s="5"/>
      <c r="DZ432" s="5"/>
      <c r="EA432" s="5"/>
      <c r="EB432" s="6"/>
      <c r="EC432" s="5"/>
      <c r="ED432" s="5"/>
      <c r="EE432" s="5"/>
      <c r="EF432" s="5"/>
      <c r="EG432" s="6"/>
      <c r="EH432" s="5"/>
      <c r="EI432" s="5"/>
      <c r="EJ432" s="5"/>
      <c r="EK432" s="5"/>
      <c r="EL432" s="6"/>
      <c r="EM432" s="6"/>
      <c r="EN432" s="6"/>
      <c r="EO432" s="6"/>
      <c r="EP432" s="6"/>
      <c r="EQ432" s="6"/>
      <c r="ER432" s="6"/>
      <c r="EX432" s="659">
        <f t="shared" si="48"/>
        <v>0</v>
      </c>
    </row>
    <row r="433" spans="1:154" ht="15" customHeight="1">
      <c r="A433" s="3"/>
      <c r="B433" s="748" t="s">
        <v>1346</v>
      </c>
      <c r="C433" s="4"/>
      <c r="J433" s="138"/>
      <c r="K433" s="138"/>
      <c r="BU433" s="6"/>
      <c r="BV433" s="6"/>
      <c r="BW433" s="6"/>
      <c r="BX433" s="6"/>
      <c r="BY433" s="6"/>
      <c r="BZ433" s="6"/>
      <c r="CA433" s="6"/>
      <c r="CB433" s="6"/>
      <c r="CC433" s="6"/>
      <c r="CD433" s="6"/>
      <c r="CE433" s="6"/>
      <c r="CF433" s="6"/>
      <c r="CG433" s="6"/>
      <c r="CH433" s="6"/>
      <c r="CI433" s="6"/>
      <c r="CJ433" s="6"/>
      <c r="CK433" s="6"/>
      <c r="CL433" s="6"/>
      <c r="CM433" s="6"/>
      <c r="CN433" s="6"/>
      <c r="CO433" s="6"/>
      <c r="CP433" s="6"/>
      <c r="CQ433" s="6"/>
      <c r="CR433" s="6"/>
      <c r="CS433" s="6"/>
      <c r="CT433" s="6"/>
      <c r="CU433" s="6"/>
      <c r="CV433" s="6"/>
      <c r="CW433" s="6"/>
      <c r="CX433" s="6"/>
      <c r="CY433" s="6"/>
      <c r="CZ433" s="6"/>
      <c r="DA433" s="6"/>
      <c r="DB433" s="6"/>
      <c r="DC433" s="6"/>
      <c r="DD433" s="6"/>
      <c r="DE433" s="6"/>
      <c r="DF433" s="6"/>
      <c r="DG433" s="6"/>
      <c r="DH433" s="6"/>
      <c r="DI433" s="6"/>
      <c r="DJ433" s="6"/>
      <c r="DK433" s="6"/>
      <c r="DL433" s="6"/>
      <c r="DM433" s="6"/>
      <c r="DN433" s="6"/>
      <c r="DO433" s="6"/>
      <c r="DP433" s="6"/>
      <c r="DQ433" s="6"/>
      <c r="DR433" s="6"/>
      <c r="DS433" s="5"/>
      <c r="DT433" s="5"/>
      <c r="DU433" s="5"/>
      <c r="DV433" s="5"/>
      <c r="DW433" s="6"/>
      <c r="DX433" s="5"/>
      <c r="DY433" s="5"/>
      <c r="DZ433" s="5"/>
      <c r="EA433" s="5"/>
      <c r="EB433" s="6"/>
      <c r="EC433" s="5"/>
      <c r="ED433" s="5"/>
      <c r="EE433" s="5"/>
      <c r="EF433" s="5"/>
      <c r="EG433" s="6"/>
      <c r="EH433" s="5"/>
      <c r="EI433" s="5"/>
      <c r="EJ433" s="5"/>
      <c r="EK433" s="5"/>
      <c r="EL433" s="6"/>
      <c r="EM433" s="6"/>
      <c r="EN433" s="6"/>
      <c r="EO433" s="6"/>
      <c r="EP433" s="6"/>
      <c r="EQ433" s="6"/>
      <c r="ER433" s="6"/>
      <c r="EX433" s="659">
        <f t="shared" si="48"/>
        <v>0</v>
      </c>
    </row>
    <row r="434" spans="1:154" ht="15" customHeight="1">
      <c r="A434" s="3"/>
      <c r="B434" s="748" t="s">
        <v>1347</v>
      </c>
      <c r="C434" s="4"/>
      <c r="J434" s="138"/>
      <c r="K434" s="138"/>
      <c r="BU434" s="6"/>
      <c r="BV434" s="6"/>
      <c r="BW434" s="6"/>
      <c r="BX434" s="6"/>
      <c r="BY434" s="6"/>
      <c r="BZ434" s="6"/>
      <c r="CA434" s="6"/>
      <c r="CB434" s="6"/>
      <c r="CC434" s="6"/>
      <c r="CD434" s="6"/>
      <c r="CE434" s="6"/>
      <c r="CF434" s="6"/>
      <c r="CG434" s="6"/>
      <c r="CH434" s="6"/>
      <c r="CI434" s="6"/>
      <c r="CJ434" s="6"/>
      <c r="CK434" s="6"/>
      <c r="CL434" s="6"/>
      <c r="CM434" s="6"/>
      <c r="CN434" s="6"/>
      <c r="CO434" s="6"/>
      <c r="CP434" s="6"/>
      <c r="CQ434" s="6"/>
      <c r="CR434" s="6"/>
      <c r="CS434" s="6"/>
      <c r="CT434" s="6"/>
      <c r="CU434" s="6"/>
      <c r="CV434" s="6"/>
      <c r="CW434" s="6"/>
      <c r="CX434" s="6"/>
      <c r="CY434" s="6"/>
      <c r="CZ434" s="6"/>
      <c r="DA434" s="6"/>
      <c r="DB434" s="6"/>
      <c r="DC434" s="6"/>
      <c r="DD434" s="6"/>
      <c r="DE434" s="6"/>
      <c r="DF434" s="6"/>
      <c r="DG434" s="6"/>
      <c r="DH434" s="6"/>
      <c r="DI434" s="6"/>
      <c r="DJ434" s="6"/>
      <c r="DK434" s="6"/>
      <c r="DL434" s="6"/>
      <c r="DM434" s="6"/>
      <c r="DN434" s="6"/>
      <c r="DO434" s="6"/>
      <c r="DP434" s="6"/>
      <c r="DQ434" s="6"/>
      <c r="DR434" s="6"/>
      <c r="DS434" s="5"/>
      <c r="DT434" s="5"/>
      <c r="DU434" s="5"/>
      <c r="DV434" s="5"/>
      <c r="DW434" s="6"/>
      <c r="DX434" s="5"/>
      <c r="DY434" s="5"/>
      <c r="DZ434" s="5"/>
      <c r="EA434" s="5"/>
      <c r="EB434" s="6"/>
      <c r="EC434" s="5"/>
      <c r="ED434" s="5"/>
      <c r="EE434" s="5"/>
      <c r="EF434" s="5"/>
      <c r="EG434" s="6"/>
      <c r="EH434" s="5"/>
      <c r="EI434" s="5"/>
      <c r="EJ434" s="5"/>
      <c r="EK434" s="5"/>
      <c r="EL434" s="6"/>
      <c r="EM434" s="6"/>
      <c r="EN434" s="6"/>
      <c r="EO434" s="6"/>
      <c r="EP434" s="6"/>
      <c r="EQ434" s="6"/>
      <c r="ER434" s="6"/>
      <c r="EX434" s="659">
        <f t="shared" si="48"/>
        <v>0</v>
      </c>
    </row>
    <row r="435" spans="1:154" ht="15" customHeight="1">
      <c r="A435" s="3"/>
      <c r="B435" s="748" t="s">
        <v>1348</v>
      </c>
      <c r="C435" s="4"/>
      <c r="J435" s="138"/>
      <c r="K435" s="138"/>
      <c r="BU435" s="6"/>
      <c r="BV435" s="6"/>
      <c r="BW435" s="6"/>
      <c r="BX435" s="6"/>
      <c r="BY435" s="6"/>
      <c r="BZ435" s="6"/>
      <c r="CA435" s="6"/>
      <c r="CB435" s="6"/>
      <c r="CC435" s="6"/>
      <c r="CD435" s="6"/>
      <c r="CE435" s="6"/>
      <c r="CF435" s="6"/>
      <c r="CG435" s="6"/>
      <c r="CH435" s="6"/>
      <c r="CI435" s="6"/>
      <c r="CJ435" s="6"/>
      <c r="CK435" s="6"/>
      <c r="CL435" s="6"/>
      <c r="CM435" s="6"/>
      <c r="CN435" s="6"/>
      <c r="CO435" s="6"/>
      <c r="CP435" s="6"/>
      <c r="CQ435" s="6"/>
      <c r="CR435" s="6"/>
      <c r="CS435" s="6"/>
      <c r="CT435" s="6"/>
      <c r="CU435" s="6"/>
      <c r="CV435" s="6"/>
      <c r="CW435" s="6"/>
      <c r="CX435" s="6"/>
      <c r="CY435" s="6"/>
      <c r="CZ435" s="6"/>
      <c r="DA435" s="6"/>
      <c r="DB435" s="6"/>
      <c r="DC435" s="6"/>
      <c r="DD435" s="6"/>
      <c r="DE435" s="6"/>
      <c r="DF435" s="6"/>
      <c r="DG435" s="6"/>
      <c r="DH435" s="6"/>
      <c r="DI435" s="6"/>
      <c r="DJ435" s="6"/>
      <c r="DK435" s="6"/>
      <c r="DL435" s="6"/>
      <c r="DM435" s="6"/>
      <c r="DN435" s="6"/>
      <c r="DO435" s="6"/>
      <c r="DP435" s="6"/>
      <c r="DQ435" s="6"/>
      <c r="DR435" s="6"/>
      <c r="DS435" s="5"/>
      <c r="DT435" s="5"/>
      <c r="DU435" s="5"/>
      <c r="DV435" s="5"/>
      <c r="DW435" s="6"/>
      <c r="DX435" s="5"/>
      <c r="DY435" s="5"/>
      <c r="DZ435" s="5"/>
      <c r="EA435" s="5"/>
      <c r="EB435" s="6"/>
      <c r="EC435" s="5"/>
      <c r="ED435" s="5"/>
      <c r="EE435" s="5"/>
      <c r="EF435" s="5"/>
      <c r="EG435" s="6"/>
      <c r="EH435" s="5"/>
      <c r="EI435" s="5"/>
      <c r="EJ435" s="5"/>
      <c r="EK435" s="5"/>
      <c r="EL435" s="6"/>
      <c r="EM435" s="6"/>
      <c r="EN435" s="6"/>
      <c r="EO435" s="6"/>
      <c r="EP435" s="6"/>
      <c r="EQ435" s="6"/>
      <c r="ER435" s="6"/>
      <c r="EX435" s="659">
        <f t="shared" si="48"/>
        <v>0</v>
      </c>
    </row>
    <row r="436" spans="1:154" ht="15" customHeight="1">
      <c r="A436" s="3"/>
      <c r="B436" s="748" t="s">
        <v>1349</v>
      </c>
      <c r="C436" s="4"/>
      <c r="J436" s="138"/>
      <c r="K436" s="138"/>
      <c r="BU436" s="6"/>
      <c r="BV436" s="6"/>
      <c r="BW436" s="6"/>
      <c r="BX436" s="6"/>
      <c r="BY436" s="6"/>
      <c r="BZ436" s="6"/>
      <c r="CA436" s="6"/>
      <c r="CB436" s="6"/>
      <c r="CC436" s="6"/>
      <c r="CD436" s="6"/>
      <c r="CE436" s="6"/>
      <c r="CF436" s="6"/>
      <c r="CG436" s="6"/>
      <c r="CH436" s="6"/>
      <c r="CI436" s="6"/>
      <c r="CJ436" s="6"/>
      <c r="CK436" s="6"/>
      <c r="CL436" s="6"/>
      <c r="CM436" s="6"/>
      <c r="CN436" s="6"/>
      <c r="CO436" s="6"/>
      <c r="CP436" s="6"/>
      <c r="CQ436" s="6"/>
      <c r="CR436" s="6"/>
      <c r="CS436" s="6"/>
      <c r="CT436" s="6"/>
      <c r="CU436" s="6"/>
      <c r="CV436" s="6"/>
      <c r="CW436" s="6"/>
      <c r="CX436" s="6"/>
      <c r="CY436" s="6"/>
      <c r="CZ436" s="6"/>
      <c r="DA436" s="6"/>
      <c r="DB436" s="6"/>
      <c r="DC436" s="6"/>
      <c r="DD436" s="6"/>
      <c r="DE436" s="6"/>
      <c r="DF436" s="6"/>
      <c r="DG436" s="6"/>
      <c r="DH436" s="6"/>
      <c r="DI436" s="6"/>
      <c r="DJ436" s="6"/>
      <c r="DK436" s="6"/>
      <c r="DL436" s="6"/>
      <c r="DM436" s="6"/>
      <c r="DN436" s="6"/>
      <c r="DO436" s="6"/>
      <c r="DP436" s="6"/>
      <c r="DQ436" s="6"/>
      <c r="DR436" s="6"/>
      <c r="DS436" s="5"/>
      <c r="DT436" s="5"/>
      <c r="DU436" s="5"/>
      <c r="DV436" s="5"/>
      <c r="DW436" s="6"/>
      <c r="DX436" s="5"/>
      <c r="DY436" s="5"/>
      <c r="DZ436" s="5"/>
      <c r="EA436" s="5"/>
      <c r="EB436" s="6"/>
      <c r="EC436" s="5"/>
      <c r="ED436" s="5"/>
      <c r="EE436" s="5"/>
      <c r="EF436" s="5"/>
      <c r="EG436" s="6"/>
      <c r="EH436" s="5"/>
      <c r="EI436" s="5"/>
      <c r="EJ436" s="5"/>
      <c r="EK436" s="5"/>
      <c r="EL436" s="6"/>
      <c r="EM436" s="6"/>
      <c r="EN436" s="6"/>
      <c r="EO436" s="6"/>
      <c r="EP436" s="6"/>
      <c r="EQ436" s="6"/>
      <c r="ER436" s="6"/>
      <c r="EX436" s="659">
        <f t="shared" si="48"/>
        <v>0</v>
      </c>
    </row>
    <row r="437" spans="1:154" ht="15" customHeight="1">
      <c r="A437" s="3"/>
      <c r="B437" s="748" t="s">
        <v>1350</v>
      </c>
      <c r="C437" s="4"/>
      <c r="J437" s="138"/>
      <c r="K437" s="138"/>
      <c r="BU437" s="6"/>
      <c r="BV437" s="6"/>
      <c r="BW437" s="6"/>
      <c r="BX437" s="6"/>
      <c r="BY437" s="6"/>
      <c r="BZ437" s="6"/>
      <c r="CA437" s="6"/>
      <c r="CB437" s="6"/>
      <c r="CC437" s="6"/>
      <c r="CD437" s="6"/>
      <c r="CE437" s="6"/>
      <c r="CF437" s="6"/>
      <c r="CG437" s="6"/>
      <c r="CH437" s="6"/>
      <c r="CI437" s="6"/>
      <c r="CJ437" s="6"/>
      <c r="CK437" s="6"/>
      <c r="CL437" s="6"/>
      <c r="CM437" s="6"/>
      <c r="CN437" s="6"/>
      <c r="CO437" s="6"/>
      <c r="CP437" s="6"/>
      <c r="CQ437" s="6"/>
      <c r="CR437" s="6"/>
      <c r="CS437" s="6"/>
      <c r="CT437" s="6"/>
      <c r="CU437" s="6"/>
      <c r="CV437" s="6"/>
      <c r="CW437" s="6"/>
      <c r="CX437" s="6"/>
      <c r="CY437" s="6"/>
      <c r="CZ437" s="6"/>
      <c r="DA437" s="6"/>
      <c r="DB437" s="6"/>
      <c r="DC437" s="6"/>
      <c r="DD437" s="6"/>
      <c r="DE437" s="6"/>
      <c r="DF437" s="6"/>
      <c r="DG437" s="6"/>
      <c r="DH437" s="6"/>
      <c r="DI437" s="6"/>
      <c r="DJ437" s="6"/>
      <c r="DK437" s="6"/>
      <c r="DL437" s="6"/>
      <c r="DM437" s="6"/>
      <c r="DN437" s="6"/>
      <c r="DO437" s="6"/>
      <c r="DP437" s="6"/>
      <c r="DQ437" s="6"/>
      <c r="DR437" s="6"/>
      <c r="DS437" s="5"/>
      <c r="DT437" s="5"/>
      <c r="DU437" s="5"/>
      <c r="DV437" s="5"/>
      <c r="DW437" s="6"/>
      <c r="DX437" s="5"/>
      <c r="DY437" s="5"/>
      <c r="DZ437" s="5"/>
      <c r="EA437" s="5"/>
      <c r="EB437" s="6"/>
      <c r="EC437" s="5"/>
      <c r="ED437" s="5"/>
      <c r="EE437" s="5"/>
      <c r="EF437" s="5"/>
      <c r="EG437" s="6"/>
      <c r="EH437" s="5"/>
      <c r="EI437" s="5"/>
      <c r="EJ437" s="5"/>
      <c r="EK437" s="5"/>
      <c r="EL437" s="6"/>
      <c r="EM437" s="6"/>
      <c r="EN437" s="6"/>
      <c r="EO437" s="6"/>
      <c r="EP437" s="6"/>
      <c r="EQ437" s="6"/>
      <c r="ER437" s="6"/>
      <c r="EX437" s="659">
        <f t="shared" si="48"/>
        <v>0</v>
      </c>
    </row>
    <row r="438" spans="1:154" ht="15" customHeight="1">
      <c r="A438" s="3"/>
      <c r="B438" s="748" t="s">
        <v>1351</v>
      </c>
      <c r="C438" s="4"/>
      <c r="J438" s="138"/>
      <c r="K438" s="138"/>
      <c r="BU438" s="6"/>
      <c r="BV438" s="6"/>
      <c r="BW438" s="6"/>
      <c r="BX438" s="6"/>
      <c r="BY438" s="6"/>
      <c r="BZ438" s="6"/>
      <c r="CA438" s="6"/>
      <c r="CB438" s="6"/>
      <c r="CC438" s="6"/>
      <c r="CD438" s="6"/>
      <c r="CE438" s="6"/>
      <c r="CF438" s="6"/>
      <c r="CG438" s="6"/>
      <c r="CH438" s="6"/>
      <c r="CI438" s="6"/>
      <c r="CJ438" s="6"/>
      <c r="CK438" s="6"/>
      <c r="CL438" s="6"/>
      <c r="CM438" s="6"/>
      <c r="CN438" s="6"/>
      <c r="CO438" s="6"/>
      <c r="CP438" s="6"/>
      <c r="CQ438" s="6"/>
      <c r="CR438" s="6"/>
      <c r="CS438" s="6"/>
      <c r="CT438" s="6"/>
      <c r="CU438" s="6"/>
      <c r="CV438" s="6"/>
      <c r="CW438" s="6"/>
      <c r="CX438" s="6"/>
      <c r="CY438" s="6"/>
      <c r="CZ438" s="6"/>
      <c r="DA438" s="6"/>
      <c r="DB438" s="6"/>
      <c r="DC438" s="6"/>
      <c r="DD438" s="6"/>
      <c r="DE438" s="6"/>
      <c r="DF438" s="6"/>
      <c r="DG438" s="6"/>
      <c r="DH438" s="6"/>
      <c r="DI438" s="6"/>
      <c r="DJ438" s="6"/>
      <c r="DK438" s="6"/>
      <c r="DL438" s="6"/>
      <c r="DM438" s="6"/>
      <c r="DN438" s="6"/>
      <c r="DO438" s="6"/>
      <c r="DP438" s="6"/>
      <c r="DQ438" s="6"/>
      <c r="DR438" s="6"/>
      <c r="DS438" s="5"/>
      <c r="DT438" s="5"/>
      <c r="DU438" s="5"/>
      <c r="DV438" s="5"/>
      <c r="DW438" s="6"/>
      <c r="DX438" s="5"/>
      <c r="DY438" s="5"/>
      <c r="DZ438" s="5"/>
      <c r="EA438" s="5"/>
      <c r="EB438" s="6"/>
      <c r="EC438" s="5"/>
      <c r="ED438" s="5"/>
      <c r="EE438" s="5"/>
      <c r="EF438" s="5"/>
      <c r="EG438" s="6"/>
      <c r="EH438" s="5"/>
      <c r="EI438" s="5"/>
      <c r="EJ438" s="5"/>
      <c r="EK438" s="5"/>
      <c r="EL438" s="6"/>
      <c r="EM438" s="6"/>
      <c r="EN438" s="6"/>
      <c r="EO438" s="6"/>
      <c r="EP438" s="6"/>
      <c r="EQ438" s="6"/>
      <c r="ER438" s="6"/>
      <c r="EX438" s="659">
        <f t="shared" si="48"/>
        <v>0</v>
      </c>
    </row>
    <row r="439" spans="1:154" ht="15" customHeight="1">
      <c r="A439" s="3" t="s">
        <v>352</v>
      </c>
      <c r="B439" s="117" t="s">
        <v>352</v>
      </c>
      <c r="C439" s="4" t="s">
        <v>0</v>
      </c>
      <c r="J439" s="138"/>
      <c r="K439" s="138"/>
      <c r="BU439" s="6"/>
      <c r="BV439" s="6"/>
      <c r="BW439" s="6"/>
      <c r="BX439" s="6"/>
      <c r="BY439" s="6"/>
      <c r="BZ439" s="6"/>
      <c r="CA439" s="6"/>
      <c r="CB439" s="6"/>
      <c r="CC439" s="6"/>
      <c r="CD439" s="6"/>
      <c r="CE439" s="6"/>
      <c r="CF439" s="6"/>
      <c r="CG439" s="6"/>
      <c r="CH439" s="6"/>
      <c r="CI439" s="6"/>
      <c r="CJ439" s="6"/>
      <c r="CK439" s="6"/>
      <c r="CL439" s="6"/>
      <c r="CM439" s="6"/>
      <c r="CN439" s="6"/>
      <c r="CO439" s="6"/>
      <c r="CP439" s="6"/>
      <c r="CQ439" s="6"/>
      <c r="CR439" s="6"/>
      <c r="CS439" s="6"/>
      <c r="CT439" s="6"/>
      <c r="CU439" s="6"/>
      <c r="CV439" s="6"/>
      <c r="CW439" s="6"/>
      <c r="CX439" s="6"/>
      <c r="CY439" s="6"/>
      <c r="CZ439" s="6"/>
      <c r="DA439" s="6"/>
      <c r="DB439" s="6"/>
      <c r="DC439" s="6"/>
      <c r="DD439" s="6"/>
      <c r="DE439" s="6"/>
      <c r="DF439" s="6"/>
      <c r="DG439" s="6"/>
      <c r="DH439" s="6"/>
      <c r="DI439" s="6"/>
      <c r="DJ439" s="6"/>
      <c r="DK439" s="6"/>
      <c r="DL439" s="6"/>
      <c r="DM439" s="6"/>
      <c r="DN439" s="6"/>
      <c r="DO439" s="6"/>
      <c r="DP439" s="6"/>
      <c r="DQ439" s="6"/>
      <c r="DR439" s="6"/>
      <c r="DS439" s="5"/>
      <c r="DT439" s="5"/>
      <c r="DU439" s="5"/>
      <c r="DV439" s="5"/>
      <c r="DW439" s="6"/>
      <c r="DX439" s="5"/>
      <c r="DY439" s="5"/>
      <c r="DZ439" s="5"/>
      <c r="EA439" s="5"/>
      <c r="EB439" s="6"/>
      <c r="EC439" s="5"/>
      <c r="ED439" s="5"/>
      <c r="EE439" s="5"/>
      <c r="EF439" s="5"/>
      <c r="EG439" s="6"/>
      <c r="EH439" s="5"/>
      <c r="EI439" s="5"/>
      <c r="EJ439" s="5"/>
      <c r="EK439" s="5"/>
      <c r="EL439" s="6"/>
      <c r="EM439" s="6"/>
      <c r="EN439" s="6"/>
      <c r="EO439" s="6"/>
      <c r="EP439" s="6"/>
      <c r="EQ439" s="6"/>
      <c r="ER439" s="6"/>
      <c r="EX439" s="659">
        <f t="shared" si="48"/>
        <v>0</v>
      </c>
    </row>
    <row r="440" spans="1:154" ht="15" customHeight="1">
      <c r="A440" s="3" t="s">
        <v>353</v>
      </c>
      <c r="B440" s="117" t="s">
        <v>353</v>
      </c>
      <c r="C440" s="4" t="s">
        <v>0</v>
      </c>
      <c r="J440" s="138"/>
      <c r="K440" s="138"/>
      <c r="BU440" s="6"/>
      <c r="BV440" s="6"/>
      <c r="BW440" s="6"/>
      <c r="BX440" s="6"/>
      <c r="BY440" s="6"/>
      <c r="BZ440" s="6"/>
      <c r="CA440" s="6"/>
      <c r="CB440" s="6"/>
      <c r="CC440" s="6"/>
      <c r="CD440" s="6"/>
      <c r="CE440" s="6"/>
      <c r="CF440" s="6"/>
      <c r="CG440" s="6"/>
      <c r="CH440" s="6"/>
      <c r="CI440" s="6"/>
      <c r="CJ440" s="6"/>
      <c r="CK440" s="6"/>
      <c r="CL440" s="6"/>
      <c r="CM440" s="6"/>
      <c r="CN440" s="6"/>
      <c r="CO440" s="6"/>
      <c r="CP440" s="6"/>
      <c r="CQ440" s="6"/>
      <c r="CR440" s="6"/>
      <c r="CS440" s="6"/>
      <c r="CT440" s="6"/>
      <c r="CU440" s="6"/>
      <c r="CV440" s="6"/>
      <c r="CW440" s="6"/>
      <c r="CX440" s="6"/>
      <c r="CY440" s="6"/>
      <c r="CZ440" s="6"/>
      <c r="DA440" s="6"/>
      <c r="DB440" s="6"/>
      <c r="DC440" s="6"/>
      <c r="DD440" s="6"/>
      <c r="DE440" s="6"/>
      <c r="DF440" s="6"/>
      <c r="DG440" s="6"/>
      <c r="DH440" s="6"/>
      <c r="DI440" s="6"/>
      <c r="DJ440" s="6"/>
      <c r="DK440" s="6"/>
      <c r="DL440" s="6"/>
      <c r="DM440" s="6"/>
      <c r="DN440" s="6"/>
      <c r="DO440" s="6"/>
      <c r="DP440" s="6"/>
      <c r="DQ440" s="6"/>
      <c r="DR440" s="6"/>
      <c r="DS440" s="5"/>
      <c r="DT440" s="5"/>
      <c r="DU440" s="5"/>
      <c r="DV440" s="5"/>
      <c r="DW440" s="6"/>
      <c r="DX440" s="5"/>
      <c r="DY440" s="5"/>
      <c r="DZ440" s="5"/>
      <c r="EA440" s="5"/>
      <c r="EB440" s="6"/>
      <c r="EC440" s="5"/>
      <c r="ED440" s="5"/>
      <c r="EE440" s="5"/>
      <c r="EF440" s="5"/>
      <c r="EG440" s="6"/>
      <c r="EH440" s="5"/>
      <c r="EI440" s="5"/>
      <c r="EJ440" s="5"/>
      <c r="EK440" s="5"/>
      <c r="EL440" s="6"/>
      <c r="EM440" s="6"/>
      <c r="EN440" s="6"/>
      <c r="EO440" s="6"/>
      <c r="EP440" s="6"/>
      <c r="EQ440" s="6"/>
      <c r="ER440" s="6"/>
      <c r="EX440" s="659">
        <f t="shared" si="48"/>
        <v>0</v>
      </c>
    </row>
    <row r="441" spans="1:154" ht="15" customHeight="1">
      <c r="A441" s="3" t="s">
        <v>354</v>
      </c>
      <c r="B441" s="117" t="s">
        <v>354</v>
      </c>
      <c r="C441" s="4" t="s">
        <v>0</v>
      </c>
      <c r="J441" s="138"/>
      <c r="K441" s="138"/>
      <c r="BU441" s="6"/>
      <c r="BV441" s="6"/>
      <c r="BW441" s="6"/>
      <c r="BX441" s="6"/>
      <c r="BY441" s="6"/>
      <c r="BZ441" s="6"/>
      <c r="CA441" s="6"/>
      <c r="CB441" s="6"/>
      <c r="CC441" s="6"/>
      <c r="CD441" s="6"/>
      <c r="CE441" s="6"/>
      <c r="CF441" s="6"/>
      <c r="CG441" s="6"/>
      <c r="CH441" s="6"/>
      <c r="CI441" s="6"/>
      <c r="CJ441" s="6"/>
      <c r="CK441" s="6"/>
      <c r="CL441" s="6"/>
      <c r="CM441" s="6"/>
      <c r="CN441" s="6"/>
      <c r="CO441" s="6"/>
      <c r="CP441" s="6"/>
      <c r="CQ441" s="6"/>
      <c r="CR441" s="6"/>
      <c r="CS441" s="6"/>
      <c r="CT441" s="6"/>
      <c r="CU441" s="6"/>
      <c r="CV441" s="6"/>
      <c r="CW441" s="6"/>
      <c r="CX441" s="6"/>
      <c r="CY441" s="6"/>
      <c r="CZ441" s="6"/>
      <c r="DA441" s="6"/>
      <c r="DB441" s="6"/>
      <c r="DC441" s="6"/>
      <c r="DD441" s="6"/>
      <c r="DE441" s="6"/>
      <c r="DF441" s="6"/>
      <c r="DG441" s="6"/>
      <c r="DH441" s="6"/>
      <c r="DI441" s="6"/>
      <c r="DJ441" s="6"/>
      <c r="DK441" s="6"/>
      <c r="DL441" s="6"/>
      <c r="DM441" s="6"/>
      <c r="DN441" s="6"/>
      <c r="DO441" s="6"/>
      <c r="DP441" s="6"/>
      <c r="DQ441" s="6"/>
      <c r="DR441" s="6"/>
      <c r="DS441" s="5"/>
      <c r="DT441" s="5"/>
      <c r="DU441" s="5"/>
      <c r="DV441" s="5"/>
      <c r="DW441" s="6"/>
      <c r="DX441" s="5"/>
      <c r="DY441" s="5"/>
      <c r="DZ441" s="5"/>
      <c r="EA441" s="5"/>
      <c r="EB441" s="6"/>
      <c r="EC441" s="5"/>
      <c r="ED441" s="5"/>
      <c r="EE441" s="5"/>
      <c r="EF441" s="5"/>
      <c r="EG441" s="6"/>
      <c r="EH441" s="5"/>
      <c r="EI441" s="5"/>
      <c r="EJ441" s="5"/>
      <c r="EK441" s="5"/>
      <c r="EL441" s="6"/>
      <c r="EM441" s="6"/>
      <c r="EN441" s="6"/>
      <c r="EO441" s="6"/>
      <c r="EP441" s="6"/>
      <c r="EQ441" s="6"/>
      <c r="ER441" s="6"/>
      <c r="EX441" s="659">
        <f t="shared" si="48"/>
        <v>0</v>
      </c>
    </row>
    <row r="442" spans="1:154" ht="15" customHeight="1">
      <c r="A442" s="3" t="s">
        <v>355</v>
      </c>
      <c r="B442" s="117" t="s">
        <v>355</v>
      </c>
      <c r="C442" s="4" t="s">
        <v>0</v>
      </c>
      <c r="J442" s="138"/>
      <c r="K442" s="138"/>
      <c r="BU442" s="6"/>
      <c r="BV442" s="6"/>
      <c r="BW442" s="6"/>
      <c r="BX442" s="6"/>
      <c r="BY442" s="6"/>
      <c r="BZ442" s="6"/>
      <c r="CA442" s="6"/>
      <c r="CB442" s="6"/>
      <c r="CC442" s="6"/>
      <c r="CD442" s="6"/>
      <c r="CE442" s="6"/>
      <c r="CF442" s="6"/>
      <c r="CG442" s="6"/>
      <c r="CH442" s="6"/>
      <c r="CI442" s="6"/>
      <c r="CJ442" s="6"/>
      <c r="CK442" s="6"/>
      <c r="CL442" s="6"/>
      <c r="CM442" s="6"/>
      <c r="CN442" s="6"/>
      <c r="CO442" s="6"/>
      <c r="CP442" s="6"/>
      <c r="CQ442" s="6"/>
      <c r="CR442" s="6"/>
      <c r="CS442" s="6"/>
      <c r="CT442" s="6"/>
      <c r="CU442" s="6"/>
      <c r="CV442" s="6"/>
      <c r="CW442" s="6"/>
      <c r="CX442" s="6"/>
      <c r="CY442" s="6"/>
      <c r="CZ442" s="6"/>
      <c r="DA442" s="6"/>
      <c r="DB442" s="6"/>
      <c r="DC442" s="6"/>
      <c r="DD442" s="6"/>
      <c r="DE442" s="6"/>
      <c r="DF442" s="6"/>
      <c r="DG442" s="6"/>
      <c r="DH442" s="6"/>
      <c r="DI442" s="6"/>
      <c r="DJ442" s="6"/>
      <c r="DK442" s="6"/>
      <c r="DL442" s="6"/>
      <c r="DM442" s="6"/>
      <c r="DN442" s="6"/>
      <c r="DO442" s="6"/>
      <c r="DP442" s="6"/>
      <c r="DQ442" s="6"/>
      <c r="DR442" s="6"/>
      <c r="DS442" s="5"/>
      <c r="DT442" s="5"/>
      <c r="DU442" s="5"/>
      <c r="DV442" s="5"/>
      <c r="DW442" s="6"/>
      <c r="DX442" s="5"/>
      <c r="DY442" s="5"/>
      <c r="DZ442" s="5"/>
      <c r="EA442" s="5"/>
      <c r="EB442" s="6"/>
      <c r="EC442" s="5"/>
      <c r="ED442" s="5"/>
      <c r="EE442" s="5"/>
      <c r="EF442" s="5"/>
      <c r="EG442" s="6"/>
      <c r="EH442" s="5"/>
      <c r="EI442" s="5"/>
      <c r="EJ442" s="5"/>
      <c r="EK442" s="5"/>
      <c r="EL442" s="6"/>
      <c r="EM442" s="6"/>
      <c r="EN442" s="6"/>
      <c r="EO442" s="6"/>
      <c r="EP442" s="6"/>
      <c r="EQ442" s="6"/>
      <c r="ER442" s="6"/>
      <c r="EX442" s="659">
        <f t="shared" si="48"/>
        <v>0</v>
      </c>
    </row>
    <row r="443" spans="1:154" ht="15" customHeight="1">
      <c r="A443" s="3" t="s">
        <v>356</v>
      </c>
      <c r="B443" s="117" t="s">
        <v>356</v>
      </c>
      <c r="C443" s="4" t="s">
        <v>0</v>
      </c>
      <c r="J443" s="138"/>
      <c r="K443" s="138"/>
      <c r="BU443" s="6"/>
      <c r="BV443" s="6"/>
      <c r="BW443" s="6"/>
      <c r="BX443" s="6"/>
      <c r="BY443" s="6"/>
      <c r="BZ443" s="6"/>
      <c r="CA443" s="6"/>
      <c r="CB443" s="6"/>
      <c r="CC443" s="6"/>
      <c r="CD443" s="6"/>
      <c r="CE443" s="6"/>
      <c r="CF443" s="6"/>
      <c r="CG443" s="6"/>
      <c r="CH443" s="6"/>
      <c r="CI443" s="6"/>
      <c r="CJ443" s="6"/>
      <c r="CK443" s="6"/>
      <c r="CL443" s="6"/>
      <c r="CM443" s="6"/>
      <c r="CN443" s="6"/>
      <c r="CO443" s="6"/>
      <c r="CP443" s="6"/>
      <c r="CQ443" s="6"/>
      <c r="CR443" s="6"/>
      <c r="CS443" s="6"/>
      <c r="CT443" s="6"/>
      <c r="CU443" s="6"/>
      <c r="CV443" s="6"/>
      <c r="CW443" s="6"/>
      <c r="CX443" s="6"/>
      <c r="CY443" s="6"/>
      <c r="CZ443" s="6"/>
      <c r="DA443" s="6"/>
      <c r="DB443" s="6"/>
      <c r="DC443" s="6"/>
      <c r="DD443" s="6"/>
      <c r="DE443" s="6"/>
      <c r="DF443" s="6"/>
      <c r="DG443" s="6"/>
      <c r="DH443" s="6"/>
      <c r="DI443" s="6"/>
      <c r="DJ443" s="6"/>
      <c r="DK443" s="6"/>
      <c r="DL443" s="6"/>
      <c r="DM443" s="6"/>
      <c r="DN443" s="6"/>
      <c r="DO443" s="6"/>
      <c r="DP443" s="6"/>
      <c r="DQ443" s="6"/>
      <c r="DR443" s="6"/>
      <c r="DS443" s="5"/>
      <c r="DT443" s="5"/>
      <c r="DU443" s="5"/>
      <c r="DV443" s="5"/>
      <c r="DW443" s="6"/>
      <c r="DX443" s="5"/>
      <c r="DY443" s="5"/>
      <c r="DZ443" s="5"/>
      <c r="EA443" s="5"/>
      <c r="EB443" s="6"/>
      <c r="EC443" s="5"/>
      <c r="ED443" s="5"/>
      <c r="EE443" s="5"/>
      <c r="EF443" s="5"/>
      <c r="EG443" s="6"/>
      <c r="EH443" s="5"/>
      <c r="EI443" s="5"/>
      <c r="EJ443" s="5"/>
      <c r="EK443" s="5"/>
      <c r="EL443" s="6"/>
      <c r="EM443" s="6"/>
      <c r="EN443" s="6"/>
      <c r="EO443" s="6"/>
      <c r="EP443" s="6"/>
      <c r="EQ443" s="6"/>
      <c r="ER443" s="6"/>
      <c r="EX443" s="659">
        <f t="shared" si="48"/>
        <v>0</v>
      </c>
    </row>
    <row r="444" spans="1:154" ht="15" customHeight="1">
      <c r="A444" s="84" t="s">
        <v>357</v>
      </c>
      <c r="B444" s="117" t="s">
        <v>357</v>
      </c>
      <c r="C444" s="4" t="s">
        <v>0</v>
      </c>
      <c r="J444" s="138"/>
      <c r="K444" s="138"/>
      <c r="BU444" s="6"/>
      <c r="BV444" s="6"/>
      <c r="BW444" s="6"/>
      <c r="BX444" s="6"/>
      <c r="BY444" s="6"/>
      <c r="BZ444" s="6"/>
      <c r="CA444" s="6"/>
      <c r="CB444" s="6"/>
      <c r="CC444" s="6"/>
      <c r="CD444" s="6"/>
      <c r="CE444" s="6"/>
      <c r="CF444" s="6"/>
      <c r="CG444" s="6"/>
      <c r="CH444" s="6"/>
      <c r="CI444" s="6"/>
      <c r="CJ444" s="6"/>
      <c r="CK444" s="6"/>
      <c r="CL444" s="6"/>
      <c r="CM444" s="6"/>
      <c r="CN444" s="6"/>
      <c r="CO444" s="6"/>
      <c r="CP444" s="6"/>
      <c r="CQ444" s="6"/>
      <c r="CR444" s="6"/>
      <c r="CS444" s="6"/>
      <c r="CT444" s="6"/>
      <c r="CU444" s="6"/>
      <c r="CV444" s="6"/>
      <c r="CW444" s="6"/>
      <c r="CX444" s="6"/>
      <c r="CY444" s="6"/>
      <c r="CZ444" s="6"/>
      <c r="DA444" s="6"/>
      <c r="DB444" s="6"/>
      <c r="DC444" s="6"/>
      <c r="DD444" s="6"/>
      <c r="DE444" s="6"/>
      <c r="DF444" s="6"/>
      <c r="DG444" s="6"/>
      <c r="DH444" s="6"/>
      <c r="DI444" s="6"/>
      <c r="DJ444" s="6"/>
      <c r="DK444" s="6"/>
      <c r="DL444" s="6"/>
      <c r="DM444" s="6"/>
      <c r="DN444" s="6"/>
      <c r="DO444" s="6"/>
      <c r="DP444" s="6"/>
      <c r="DQ444" s="6"/>
      <c r="DR444" s="6"/>
      <c r="DS444" s="5"/>
      <c r="DT444" s="5"/>
      <c r="DU444" s="5"/>
      <c r="DV444" s="5"/>
      <c r="DW444" s="6"/>
      <c r="DX444" s="5"/>
      <c r="DY444" s="5"/>
      <c r="DZ444" s="5"/>
      <c r="EA444" s="5"/>
      <c r="EB444" s="6"/>
      <c r="EC444" s="5"/>
      <c r="ED444" s="5"/>
      <c r="EE444" s="5"/>
      <c r="EF444" s="5"/>
      <c r="EG444" s="6"/>
      <c r="EH444" s="5"/>
      <c r="EI444" s="5"/>
      <c r="EJ444" s="5"/>
      <c r="EK444" s="5"/>
      <c r="EL444" s="6"/>
      <c r="EM444" s="6"/>
      <c r="EN444" s="6"/>
      <c r="EO444" s="6"/>
      <c r="EP444" s="6"/>
      <c r="EQ444" s="6"/>
      <c r="ER444" s="6"/>
      <c r="EX444" s="659">
        <f t="shared" si="48"/>
        <v>0</v>
      </c>
    </row>
    <row r="445" spans="1:154" ht="15" customHeight="1">
      <c r="A445" s="1344" t="s">
        <v>289</v>
      </c>
      <c r="B445" s="90"/>
      <c r="BU445" s="6"/>
      <c r="BV445" s="6"/>
      <c r="BW445" s="6"/>
      <c r="BX445" s="6"/>
      <c r="BY445" s="6"/>
      <c r="BZ445" s="6"/>
      <c r="CA445" s="6"/>
      <c r="CB445" s="6"/>
      <c r="CC445" s="6"/>
      <c r="CD445" s="6"/>
      <c r="CE445" s="6"/>
      <c r="CF445" s="6"/>
      <c r="CG445" s="6"/>
      <c r="CH445" s="6"/>
      <c r="CI445" s="6"/>
      <c r="CJ445" s="6"/>
      <c r="CK445" s="6"/>
      <c r="CL445" s="6"/>
      <c r="CM445" s="6"/>
      <c r="CN445" s="6"/>
      <c r="CO445" s="6"/>
      <c r="CP445" s="6"/>
      <c r="CQ445" s="6"/>
      <c r="CR445" s="6"/>
      <c r="CS445" s="6"/>
      <c r="CT445" s="6"/>
      <c r="CU445" s="6"/>
      <c r="CV445" s="6"/>
      <c r="CW445" s="6"/>
      <c r="CX445" s="6"/>
      <c r="CY445" s="6"/>
      <c r="CZ445" s="6"/>
      <c r="DA445" s="6"/>
      <c r="DB445" s="6"/>
      <c r="DC445" s="6"/>
      <c r="DD445" s="6"/>
      <c r="DE445" s="6"/>
      <c r="DF445" s="6"/>
      <c r="DG445" s="6"/>
      <c r="DH445" s="6"/>
      <c r="DI445" s="6"/>
      <c r="DJ445" s="6"/>
      <c r="DK445" s="6"/>
      <c r="DL445" s="6"/>
      <c r="DM445" s="6"/>
      <c r="DN445" s="6"/>
      <c r="DO445" s="6"/>
      <c r="DP445" s="6"/>
      <c r="DQ445" s="6"/>
      <c r="DR445" s="6"/>
      <c r="DS445" s="5"/>
      <c r="DT445" s="5"/>
      <c r="DU445" s="5"/>
      <c r="DV445" s="5"/>
      <c r="DW445" s="6"/>
      <c r="DX445" s="5"/>
      <c r="DY445" s="5"/>
      <c r="DZ445" s="5"/>
      <c r="EA445" s="5"/>
      <c r="EB445" s="6"/>
      <c r="EC445" s="5"/>
      <c r="ED445" s="5"/>
      <c r="EE445" s="5"/>
      <c r="EF445" s="5"/>
      <c r="EG445" s="6"/>
      <c r="EH445" s="5"/>
      <c r="EI445" s="5"/>
      <c r="EJ445" s="5"/>
      <c r="EK445" s="5"/>
      <c r="EL445" s="6"/>
      <c r="EM445" s="6"/>
      <c r="EN445" s="6"/>
      <c r="EO445" s="6"/>
      <c r="EP445" s="6"/>
      <c r="EQ445" s="6"/>
      <c r="ER445" s="6"/>
    </row>
    <row r="446" spans="1:154" ht="15" customHeight="1">
      <c r="A446" s="1345" t="s">
        <v>286</v>
      </c>
      <c r="B446" s="90"/>
      <c r="BU446" s="6"/>
      <c r="BV446" s="6"/>
      <c r="BW446" s="6"/>
      <c r="BX446" s="6"/>
      <c r="BY446" s="6"/>
      <c r="BZ446" s="6"/>
      <c r="CA446" s="6"/>
      <c r="CB446" s="6"/>
      <c r="CC446" s="6"/>
      <c r="CD446" s="6"/>
      <c r="CE446" s="6"/>
      <c r="CF446" s="6"/>
      <c r="CG446" s="6"/>
      <c r="CH446" s="6"/>
      <c r="CI446" s="6"/>
      <c r="CJ446" s="6"/>
      <c r="CK446" s="6"/>
      <c r="CL446" s="6"/>
      <c r="CM446" s="6"/>
      <c r="CN446" s="6"/>
      <c r="CO446" s="6"/>
      <c r="CP446" s="6"/>
      <c r="CQ446" s="6"/>
      <c r="CR446" s="6"/>
      <c r="CS446" s="6"/>
      <c r="CT446" s="6"/>
      <c r="CU446" s="6"/>
      <c r="CV446" s="6"/>
      <c r="CW446" s="6"/>
      <c r="CX446" s="6"/>
      <c r="CY446" s="6"/>
      <c r="CZ446" s="6"/>
      <c r="DA446" s="6"/>
      <c r="DB446" s="6"/>
      <c r="DC446" s="6"/>
      <c r="DD446" s="6"/>
      <c r="DE446" s="6"/>
      <c r="DF446" s="6"/>
      <c r="DG446" s="6"/>
      <c r="DH446" s="6"/>
      <c r="DI446" s="6"/>
      <c r="DJ446" s="6"/>
      <c r="DK446" s="6"/>
      <c r="DL446" s="6"/>
      <c r="DM446" s="6"/>
      <c r="DN446" s="6"/>
      <c r="DO446" s="6"/>
      <c r="DP446" s="6"/>
      <c r="DQ446" s="6"/>
      <c r="DR446" s="6"/>
      <c r="DS446" s="5"/>
      <c r="DT446" s="5"/>
      <c r="DU446" s="5"/>
      <c r="DV446" s="5"/>
      <c r="DW446" s="6"/>
      <c r="DX446" s="5"/>
      <c r="DY446" s="5"/>
      <c r="DZ446" s="5"/>
      <c r="EA446" s="5"/>
      <c r="EB446" s="6"/>
      <c r="EC446" s="5"/>
      <c r="ED446" s="5"/>
      <c r="EE446" s="5"/>
      <c r="EF446" s="5"/>
      <c r="EG446" s="6"/>
      <c r="EH446" s="5"/>
      <c r="EI446" s="5"/>
      <c r="EJ446" s="5"/>
      <c r="EK446" s="5"/>
      <c r="EL446" s="6"/>
      <c r="EM446" s="6"/>
      <c r="EN446" s="6"/>
      <c r="EO446" s="6"/>
      <c r="EP446" s="6"/>
      <c r="EQ446" s="6"/>
      <c r="ER446" s="6"/>
    </row>
    <row r="447" spans="1:154" ht="15" customHeight="1">
      <c r="A447" s="1345" t="s">
        <v>287</v>
      </c>
      <c r="B447" s="90"/>
      <c r="BU447" s="6"/>
      <c r="BV447" s="6"/>
      <c r="BW447" s="6"/>
      <c r="BX447" s="6"/>
      <c r="BY447" s="6"/>
      <c r="BZ447" s="6"/>
      <c r="CA447" s="6"/>
      <c r="CB447" s="6"/>
      <c r="CC447" s="6"/>
      <c r="CD447" s="6"/>
      <c r="CE447" s="6"/>
      <c r="CF447" s="6"/>
      <c r="CG447" s="6"/>
      <c r="CH447" s="6"/>
      <c r="CI447" s="6"/>
      <c r="CJ447" s="6"/>
      <c r="CK447" s="6"/>
      <c r="CL447" s="6"/>
      <c r="CM447" s="6"/>
      <c r="CN447" s="6"/>
      <c r="CO447" s="6"/>
      <c r="CP447" s="6"/>
      <c r="CQ447" s="6"/>
      <c r="CR447" s="6"/>
      <c r="CS447" s="6"/>
      <c r="CT447" s="6"/>
      <c r="CU447" s="6"/>
      <c r="CV447" s="6"/>
      <c r="CW447" s="6"/>
      <c r="CX447" s="6"/>
      <c r="CY447" s="6"/>
      <c r="CZ447" s="6"/>
      <c r="DA447" s="6"/>
      <c r="DB447" s="6"/>
      <c r="DC447" s="6"/>
      <c r="DD447" s="6"/>
      <c r="DE447" s="6"/>
      <c r="DF447" s="6"/>
      <c r="DG447" s="6"/>
      <c r="DH447" s="6"/>
      <c r="DI447" s="6"/>
      <c r="DJ447" s="6"/>
      <c r="DK447" s="6"/>
      <c r="DL447" s="6"/>
      <c r="DM447" s="6"/>
      <c r="DN447" s="6"/>
      <c r="DO447" s="6"/>
      <c r="DP447" s="6"/>
      <c r="DQ447" s="6"/>
      <c r="DR447" s="6"/>
      <c r="DS447" s="5"/>
      <c r="DT447" s="5"/>
      <c r="DU447" s="5"/>
      <c r="DV447" s="5"/>
      <c r="DW447" s="6"/>
      <c r="DX447" s="5"/>
      <c r="DY447" s="5"/>
      <c r="DZ447" s="5"/>
      <c r="EA447" s="5"/>
      <c r="EB447" s="6"/>
      <c r="EC447" s="5"/>
      <c r="ED447" s="5"/>
      <c r="EE447" s="5"/>
      <c r="EF447" s="5"/>
      <c r="EG447" s="6"/>
      <c r="EH447" s="5"/>
      <c r="EI447" s="5"/>
      <c r="EJ447" s="5"/>
      <c r="EK447" s="5"/>
      <c r="EL447" s="6"/>
      <c r="EM447" s="6"/>
      <c r="EN447" s="6"/>
      <c r="EO447" s="6"/>
      <c r="EP447" s="6"/>
      <c r="EQ447" s="6"/>
      <c r="ER447" s="6"/>
    </row>
    <row r="448" spans="1:154" ht="15" customHeight="1">
      <c r="A448" s="1345" t="s">
        <v>288</v>
      </c>
      <c r="B448" s="90"/>
      <c r="BU448" s="6"/>
      <c r="BV448" s="6"/>
      <c r="BW448" s="6"/>
      <c r="BX448" s="6"/>
      <c r="BY448" s="6"/>
      <c r="BZ448" s="6"/>
      <c r="CA448" s="6"/>
      <c r="CB448" s="6"/>
      <c r="CC448" s="6"/>
      <c r="CD448" s="6"/>
      <c r="CE448" s="6"/>
      <c r="CF448" s="6"/>
      <c r="CG448" s="6"/>
      <c r="CH448" s="6"/>
      <c r="CI448" s="6"/>
      <c r="CJ448" s="6"/>
      <c r="CK448" s="6"/>
      <c r="CL448" s="6"/>
      <c r="CM448" s="6"/>
      <c r="CN448" s="6"/>
      <c r="CO448" s="6"/>
      <c r="CP448" s="6"/>
      <c r="CQ448" s="6"/>
      <c r="CR448" s="6"/>
      <c r="CS448" s="6"/>
      <c r="CT448" s="6"/>
      <c r="CU448" s="6"/>
      <c r="CV448" s="6"/>
      <c r="CW448" s="6"/>
      <c r="CX448" s="6"/>
      <c r="CY448" s="6"/>
      <c r="CZ448" s="6"/>
      <c r="DA448" s="6"/>
      <c r="DB448" s="6"/>
      <c r="DC448" s="6"/>
      <c r="DD448" s="6"/>
      <c r="DE448" s="6"/>
      <c r="DF448" s="6"/>
      <c r="DG448" s="6"/>
      <c r="DH448" s="6"/>
      <c r="DI448" s="6"/>
      <c r="DJ448" s="6"/>
      <c r="DK448" s="6"/>
      <c r="DL448" s="6"/>
      <c r="DM448" s="6"/>
      <c r="DN448" s="6"/>
      <c r="DO448" s="6"/>
      <c r="DP448" s="6"/>
      <c r="DQ448" s="6"/>
      <c r="DR448" s="6"/>
      <c r="DS448" s="5"/>
      <c r="DT448" s="5"/>
      <c r="DU448" s="5"/>
      <c r="DV448" s="5"/>
      <c r="DW448" s="6"/>
      <c r="DX448" s="5"/>
      <c r="DY448" s="5"/>
      <c r="DZ448" s="5"/>
      <c r="EA448" s="5"/>
      <c r="EB448" s="6"/>
      <c r="EC448" s="5"/>
      <c r="ED448" s="5"/>
      <c r="EE448" s="5"/>
      <c r="EF448" s="5"/>
      <c r="EG448" s="6"/>
      <c r="EH448" s="5"/>
      <c r="EI448" s="5"/>
      <c r="EJ448" s="5"/>
      <c r="EK448" s="5"/>
      <c r="EL448" s="6"/>
      <c r="EM448" s="6"/>
      <c r="EN448" s="6"/>
      <c r="EO448" s="6"/>
      <c r="EP448" s="6"/>
      <c r="EQ448" s="6"/>
      <c r="ER448" s="6"/>
    </row>
    <row r="449" spans="1:148" ht="15" customHeight="1">
      <c r="A449" s="1346" t="s">
        <v>295</v>
      </c>
      <c r="B449" s="90"/>
      <c r="BU449" s="6"/>
      <c r="BV449" s="6"/>
      <c r="BW449" s="6"/>
      <c r="BX449" s="6"/>
      <c r="BY449" s="6"/>
      <c r="BZ449" s="6"/>
      <c r="CA449" s="6"/>
      <c r="CB449" s="6"/>
      <c r="CC449" s="6"/>
      <c r="CD449" s="6"/>
      <c r="CE449" s="6"/>
      <c r="CF449" s="6"/>
      <c r="CG449" s="6"/>
      <c r="CH449" s="6"/>
      <c r="CI449" s="6"/>
      <c r="CJ449" s="6"/>
      <c r="CK449" s="6"/>
      <c r="CL449" s="6"/>
      <c r="CM449" s="6"/>
      <c r="CN449" s="6"/>
      <c r="CO449" s="6"/>
      <c r="CP449" s="6"/>
      <c r="CQ449" s="6"/>
      <c r="CR449" s="6"/>
      <c r="CS449" s="6"/>
      <c r="CT449" s="6"/>
      <c r="CU449" s="6"/>
      <c r="CV449" s="6"/>
      <c r="CW449" s="6"/>
      <c r="CX449" s="6"/>
      <c r="CY449" s="6"/>
      <c r="CZ449" s="6"/>
      <c r="DA449" s="6"/>
      <c r="DB449" s="6"/>
      <c r="DC449" s="6"/>
      <c r="DD449" s="6"/>
      <c r="DE449" s="6"/>
      <c r="DF449" s="6"/>
      <c r="DG449" s="6"/>
      <c r="DH449" s="6"/>
      <c r="DI449" s="6"/>
      <c r="DJ449" s="6"/>
      <c r="DK449" s="6"/>
      <c r="DL449" s="6"/>
      <c r="DM449" s="6"/>
      <c r="DN449" s="6"/>
      <c r="DO449" s="6"/>
      <c r="DP449" s="6"/>
      <c r="DQ449" s="6"/>
      <c r="DR449" s="6"/>
      <c r="DS449" s="5"/>
      <c r="DT449" s="5"/>
      <c r="DU449" s="5"/>
      <c r="DV449" s="5"/>
      <c r="DW449" s="6"/>
      <c r="DX449" s="5"/>
      <c r="DY449" s="5"/>
      <c r="DZ449" s="5"/>
      <c r="EA449" s="5"/>
      <c r="EB449" s="6"/>
      <c r="EC449" s="5"/>
      <c r="ED449" s="5"/>
      <c r="EE449" s="5"/>
      <c r="EF449" s="5"/>
      <c r="EG449" s="6"/>
      <c r="EH449" s="5"/>
      <c r="EI449" s="5"/>
      <c r="EJ449" s="5"/>
      <c r="EK449" s="5"/>
      <c r="EL449" s="6"/>
      <c r="EM449" s="6"/>
      <c r="EN449" s="6"/>
      <c r="EO449" s="6"/>
      <c r="EP449" s="6"/>
      <c r="EQ449" s="6"/>
      <c r="ER449" s="6"/>
    </row>
    <row r="450" spans="1:148" ht="15" customHeight="1">
      <c r="A450" s="1344" t="s">
        <v>290</v>
      </c>
      <c r="B450" s="90"/>
      <c r="BU450" s="6"/>
      <c r="BV450" s="6"/>
      <c r="BW450" s="6"/>
      <c r="BX450" s="6"/>
      <c r="BY450" s="6"/>
      <c r="BZ450" s="6"/>
      <c r="CA450" s="6"/>
      <c r="CB450" s="6"/>
      <c r="CC450" s="6"/>
      <c r="CD450" s="6"/>
      <c r="CE450" s="6"/>
      <c r="CF450" s="6"/>
      <c r="CG450" s="6"/>
      <c r="CH450" s="6"/>
      <c r="CI450" s="6"/>
      <c r="CJ450" s="6"/>
      <c r="CK450" s="6"/>
      <c r="CL450" s="6"/>
      <c r="CM450" s="6"/>
      <c r="CN450" s="6"/>
      <c r="CO450" s="6"/>
      <c r="CP450" s="6"/>
      <c r="CQ450" s="6"/>
      <c r="CR450" s="6"/>
      <c r="CS450" s="6"/>
      <c r="CT450" s="6"/>
      <c r="CU450" s="6"/>
      <c r="CV450" s="6"/>
      <c r="CW450" s="6"/>
      <c r="CX450" s="6"/>
      <c r="CY450" s="6"/>
      <c r="CZ450" s="6"/>
      <c r="DA450" s="6"/>
      <c r="DB450" s="6"/>
      <c r="DC450" s="6"/>
      <c r="DD450" s="6"/>
      <c r="DE450" s="6"/>
      <c r="DF450" s="6"/>
      <c r="DG450" s="6"/>
      <c r="DH450" s="6"/>
      <c r="DI450" s="6"/>
      <c r="DJ450" s="6"/>
      <c r="DK450" s="6"/>
      <c r="DL450" s="6"/>
      <c r="DM450" s="6"/>
      <c r="DN450" s="6"/>
      <c r="DO450" s="6"/>
      <c r="DP450" s="6"/>
      <c r="DQ450" s="6"/>
      <c r="DR450" s="6"/>
      <c r="DS450" s="6"/>
      <c r="DT450" s="6"/>
      <c r="DU450" s="6"/>
      <c r="DV450" s="6"/>
      <c r="DW450" s="6"/>
      <c r="DX450" s="6"/>
      <c r="DY450" s="6"/>
      <c r="DZ450" s="6"/>
      <c r="EA450" s="6"/>
      <c r="EB450" s="6"/>
      <c r="EC450" s="6"/>
      <c r="ED450" s="6"/>
      <c r="EE450" s="6"/>
      <c r="EF450" s="6"/>
      <c r="EG450" s="6"/>
      <c r="EH450" s="6"/>
      <c r="EI450" s="6"/>
      <c r="EJ450" s="6"/>
      <c r="EK450" s="6"/>
      <c r="EL450" s="6"/>
      <c r="EM450" s="6"/>
      <c r="EN450" s="6"/>
      <c r="EO450" s="6"/>
      <c r="EP450" s="6"/>
      <c r="EQ450" s="6"/>
      <c r="ER450" s="6"/>
    </row>
    <row r="451" spans="1:148" ht="15" customHeight="1">
      <c r="A451" s="1345" t="s">
        <v>291</v>
      </c>
      <c r="B451" s="90"/>
      <c r="BU451" s="6"/>
      <c r="BV451" s="6"/>
      <c r="BW451" s="6"/>
      <c r="BX451" s="6"/>
      <c r="BY451" s="6"/>
      <c r="BZ451" s="6"/>
      <c r="CA451" s="6"/>
      <c r="CB451" s="6"/>
      <c r="CC451" s="6"/>
      <c r="CD451" s="6"/>
      <c r="CE451" s="6"/>
      <c r="CF451" s="6"/>
      <c r="CG451" s="6"/>
      <c r="CH451" s="6"/>
      <c r="CI451" s="6"/>
      <c r="CJ451" s="6"/>
      <c r="CK451" s="6"/>
      <c r="CL451" s="6"/>
      <c r="CM451" s="6"/>
      <c r="CN451" s="6"/>
      <c r="CO451" s="6"/>
      <c r="CP451" s="6"/>
      <c r="CQ451" s="6"/>
      <c r="CR451" s="6"/>
      <c r="CS451" s="6"/>
      <c r="CT451" s="6"/>
      <c r="CU451" s="6"/>
      <c r="CV451" s="6"/>
      <c r="CW451" s="6"/>
      <c r="CX451" s="6"/>
      <c r="CY451" s="6"/>
      <c r="CZ451" s="6"/>
      <c r="DA451" s="6"/>
      <c r="DB451" s="6"/>
      <c r="DC451" s="6"/>
      <c r="DD451" s="6"/>
      <c r="DE451" s="6"/>
      <c r="DF451" s="6"/>
      <c r="DG451" s="6"/>
      <c r="DH451" s="6"/>
      <c r="DI451" s="6"/>
      <c r="DJ451" s="6"/>
      <c r="DK451" s="6"/>
      <c r="DL451" s="6"/>
      <c r="DM451" s="6"/>
      <c r="DN451" s="6"/>
      <c r="DO451" s="6"/>
      <c r="DP451" s="6"/>
      <c r="DQ451" s="6"/>
      <c r="DR451" s="6"/>
      <c r="DS451" s="6"/>
      <c r="DT451" s="6"/>
      <c r="DU451" s="6"/>
      <c r="DV451" s="6"/>
      <c r="DW451" s="6"/>
      <c r="DX451" s="6"/>
      <c r="DY451" s="6"/>
      <c r="DZ451" s="6"/>
      <c r="EA451" s="6"/>
      <c r="EB451" s="6"/>
      <c r="EC451" s="6"/>
      <c r="ED451" s="6"/>
      <c r="EE451" s="6"/>
      <c r="EF451" s="6"/>
      <c r="EG451" s="6"/>
      <c r="EH451" s="6"/>
      <c r="EI451" s="6"/>
      <c r="EJ451" s="6"/>
      <c r="EK451" s="6"/>
      <c r="EL451" s="6"/>
      <c r="EM451" s="6"/>
      <c r="EN451" s="6"/>
      <c r="EO451" s="6"/>
      <c r="EP451" s="6"/>
      <c r="EQ451" s="6"/>
      <c r="ER451" s="6"/>
    </row>
    <row r="452" spans="1:148" ht="15" customHeight="1">
      <c r="A452" s="1345" t="s">
        <v>292</v>
      </c>
      <c r="BU452" s="6"/>
      <c r="BV452" s="6"/>
      <c r="BW452" s="6"/>
      <c r="BX452" s="6"/>
      <c r="BY452" s="6"/>
      <c r="BZ452" s="6"/>
      <c r="CA452" s="6"/>
      <c r="CB452" s="6"/>
      <c r="CC452" s="6"/>
      <c r="CD452" s="6"/>
      <c r="CE452" s="6"/>
      <c r="CF452" s="6"/>
      <c r="CG452" s="6"/>
      <c r="CH452" s="6"/>
      <c r="CI452" s="6"/>
      <c r="CJ452" s="6"/>
      <c r="CK452" s="6"/>
      <c r="CL452" s="6"/>
      <c r="CM452" s="6"/>
      <c r="CN452" s="6"/>
      <c r="CO452" s="6"/>
      <c r="CP452" s="6"/>
      <c r="CQ452" s="6"/>
      <c r="CR452" s="6"/>
      <c r="CS452" s="6"/>
      <c r="CT452" s="6"/>
      <c r="CU452" s="6"/>
      <c r="CV452" s="6"/>
      <c r="CW452" s="6"/>
      <c r="CX452" s="6"/>
      <c r="CY452" s="6"/>
      <c r="CZ452" s="6"/>
      <c r="DA452" s="6"/>
      <c r="DB452" s="6"/>
      <c r="DC452" s="6"/>
      <c r="DD452" s="6"/>
      <c r="DE452" s="6"/>
      <c r="DF452" s="6"/>
      <c r="DG452" s="6"/>
      <c r="DH452" s="6"/>
      <c r="DI452" s="6"/>
      <c r="DJ452" s="6"/>
      <c r="DK452" s="6"/>
      <c r="DL452" s="6"/>
      <c r="DM452" s="6"/>
      <c r="DN452" s="6"/>
      <c r="DO452" s="6"/>
      <c r="DP452" s="6"/>
      <c r="DQ452" s="6"/>
      <c r="DR452" s="6"/>
      <c r="DS452" s="6"/>
      <c r="DT452" s="6"/>
      <c r="DU452" s="6"/>
      <c r="DV452" s="6"/>
      <c r="DW452" s="6"/>
      <c r="DX452" s="6"/>
      <c r="DY452" s="6"/>
      <c r="DZ452" s="6"/>
      <c r="EA452" s="6"/>
      <c r="EB452" s="6"/>
      <c r="EC452" s="6"/>
      <c r="ED452" s="6"/>
      <c r="EE452" s="6"/>
      <c r="EF452" s="6"/>
      <c r="EG452" s="6"/>
      <c r="EH452" s="6"/>
      <c r="EI452" s="6"/>
      <c r="EJ452" s="6"/>
      <c r="EK452" s="6"/>
      <c r="EL452" s="6"/>
      <c r="EM452" s="6"/>
      <c r="EN452" s="6"/>
      <c r="EO452" s="6"/>
      <c r="EP452" s="6"/>
      <c r="EQ452" s="6"/>
      <c r="ER452" s="6"/>
    </row>
    <row r="453" spans="1:148" ht="15" customHeight="1">
      <c r="A453" s="1345" t="s">
        <v>293</v>
      </c>
      <c r="BU453" s="6"/>
      <c r="BV453" s="6"/>
      <c r="BW453" s="6"/>
      <c r="BX453" s="6"/>
      <c r="BY453" s="6"/>
      <c r="BZ453" s="6"/>
      <c r="CA453" s="6"/>
      <c r="CB453" s="6"/>
      <c r="CC453" s="6"/>
      <c r="CD453" s="6"/>
      <c r="CE453" s="6"/>
      <c r="CF453" s="6"/>
      <c r="CG453" s="6"/>
      <c r="CH453" s="6"/>
      <c r="CI453" s="6"/>
      <c r="CJ453" s="6"/>
      <c r="CK453" s="6"/>
      <c r="CL453" s="6"/>
      <c r="CM453" s="6"/>
      <c r="CN453" s="6"/>
      <c r="CO453" s="6"/>
      <c r="CP453" s="6"/>
      <c r="CQ453" s="6"/>
      <c r="CR453" s="6"/>
      <c r="CS453" s="6"/>
      <c r="CT453" s="6"/>
      <c r="CU453" s="6"/>
      <c r="CV453" s="6"/>
      <c r="CW453" s="6"/>
      <c r="CX453" s="6"/>
      <c r="CY453" s="6"/>
      <c r="CZ453" s="6"/>
      <c r="DA453" s="6"/>
      <c r="DB453" s="6"/>
      <c r="DC453" s="6"/>
      <c r="DD453" s="6"/>
      <c r="DE453" s="6"/>
      <c r="DF453" s="6"/>
      <c r="DG453" s="6"/>
      <c r="DH453" s="6"/>
      <c r="DI453" s="6"/>
      <c r="DJ453" s="6"/>
      <c r="DK453" s="6"/>
      <c r="DL453" s="6"/>
      <c r="DM453" s="6"/>
      <c r="DN453" s="6"/>
      <c r="DO453" s="6"/>
      <c r="DP453" s="6"/>
      <c r="DQ453" s="6"/>
      <c r="DR453" s="6"/>
      <c r="DS453" s="6"/>
      <c r="DT453" s="6"/>
      <c r="DU453" s="6"/>
      <c r="DV453" s="6"/>
      <c r="DW453" s="6"/>
      <c r="DX453" s="6"/>
      <c r="DY453" s="6"/>
      <c r="DZ453" s="6"/>
      <c r="EA453" s="6"/>
      <c r="EB453" s="6"/>
      <c r="EC453" s="6"/>
      <c r="ED453" s="6"/>
      <c r="EE453" s="6"/>
      <c r="EF453" s="6"/>
      <c r="EG453" s="6"/>
      <c r="EH453" s="6"/>
      <c r="EI453" s="6"/>
      <c r="EJ453" s="6"/>
      <c r="EK453" s="6"/>
      <c r="EL453" s="6"/>
      <c r="EM453" s="6"/>
      <c r="EN453" s="6"/>
      <c r="EO453" s="6"/>
      <c r="EP453" s="6"/>
      <c r="EQ453" s="6"/>
      <c r="ER453" s="6"/>
    </row>
    <row r="454" spans="1:148" ht="15" customHeight="1">
      <c r="A454" s="81" t="s">
        <v>295</v>
      </c>
      <c r="BU454" s="6"/>
      <c r="BV454" s="6"/>
      <c r="BW454" s="6"/>
      <c r="BX454" s="6"/>
      <c r="BY454" s="6"/>
      <c r="BZ454" s="6"/>
      <c r="CA454" s="6"/>
      <c r="CB454" s="6"/>
      <c r="CC454" s="6"/>
      <c r="CD454" s="6"/>
      <c r="CE454" s="6"/>
      <c r="CF454" s="6"/>
      <c r="CG454" s="6"/>
      <c r="CH454" s="6"/>
      <c r="CI454" s="6"/>
      <c r="CJ454" s="6"/>
      <c r="CK454" s="6"/>
      <c r="CL454" s="6"/>
      <c r="CM454" s="6"/>
      <c r="CN454" s="6"/>
      <c r="CO454" s="6"/>
      <c r="CP454" s="6"/>
      <c r="CQ454" s="6"/>
      <c r="CR454" s="6"/>
      <c r="CS454" s="6"/>
      <c r="CT454" s="6"/>
      <c r="CU454" s="6"/>
      <c r="CV454" s="6"/>
      <c r="CW454" s="6"/>
      <c r="CX454" s="6"/>
      <c r="CY454" s="6"/>
      <c r="CZ454" s="6"/>
      <c r="DA454" s="6"/>
      <c r="DB454" s="6"/>
      <c r="DC454" s="6"/>
      <c r="DD454" s="6"/>
      <c r="DE454" s="6"/>
      <c r="DF454" s="6"/>
      <c r="DG454" s="6"/>
      <c r="DH454" s="6"/>
      <c r="DI454" s="6"/>
      <c r="DJ454" s="6"/>
      <c r="DK454" s="6"/>
      <c r="DL454" s="6"/>
      <c r="DM454" s="6"/>
      <c r="DN454" s="6"/>
      <c r="DO454" s="6"/>
      <c r="DP454" s="6"/>
      <c r="DQ454" s="6"/>
      <c r="DR454" s="6"/>
      <c r="DS454" s="6"/>
      <c r="DT454" s="6"/>
      <c r="DU454" s="6"/>
      <c r="DV454" s="6"/>
      <c r="DW454" s="6"/>
      <c r="DX454" s="6"/>
      <c r="DY454" s="6"/>
      <c r="DZ454" s="6"/>
      <c r="EA454" s="6"/>
      <c r="EB454" s="6"/>
      <c r="EC454" s="6"/>
      <c r="ED454" s="6"/>
      <c r="EE454" s="6"/>
      <c r="EF454" s="6"/>
      <c r="EG454" s="6"/>
      <c r="EH454" s="6"/>
      <c r="EI454" s="6"/>
      <c r="EJ454" s="6"/>
      <c r="EK454" s="6"/>
      <c r="EL454" s="6"/>
      <c r="EM454" s="6"/>
      <c r="EN454" s="6"/>
      <c r="EO454" s="6"/>
      <c r="EP454" s="6"/>
      <c r="EQ454" s="6"/>
      <c r="ER454" s="6"/>
    </row>
    <row r="455" spans="1:148" ht="15" customHeight="1">
      <c r="A455" s="1347" t="s">
        <v>294</v>
      </c>
      <c r="BU455" s="6"/>
      <c r="BV455" s="6"/>
      <c r="BW455" s="6"/>
      <c r="BX455" s="6"/>
      <c r="BY455" s="6"/>
      <c r="BZ455" s="6"/>
      <c r="CA455" s="6"/>
      <c r="CB455" s="6"/>
      <c r="CC455" s="6"/>
      <c r="CD455" s="6"/>
      <c r="CE455" s="6"/>
      <c r="CF455" s="6"/>
      <c r="CG455" s="6"/>
      <c r="CH455" s="6"/>
      <c r="CI455" s="6"/>
      <c r="CJ455" s="6"/>
      <c r="CK455" s="6"/>
      <c r="CL455" s="6"/>
      <c r="CM455" s="6"/>
      <c r="CN455" s="6"/>
      <c r="CO455" s="6"/>
      <c r="CP455" s="6"/>
      <c r="CQ455" s="6"/>
      <c r="CR455" s="6"/>
      <c r="CS455" s="6"/>
      <c r="CT455" s="6"/>
      <c r="CU455" s="6"/>
      <c r="CV455" s="6"/>
      <c r="CW455" s="6"/>
      <c r="CX455" s="6"/>
      <c r="CY455" s="6"/>
      <c r="CZ455" s="6"/>
      <c r="DA455" s="6"/>
      <c r="DB455" s="6"/>
      <c r="DC455" s="6"/>
      <c r="DD455" s="6"/>
      <c r="DE455" s="6"/>
      <c r="DF455" s="6"/>
      <c r="DG455" s="6"/>
      <c r="DH455" s="6"/>
      <c r="DI455" s="6"/>
      <c r="DJ455" s="6"/>
      <c r="DK455" s="6"/>
      <c r="DL455" s="6"/>
      <c r="DM455" s="6"/>
      <c r="DN455" s="6"/>
      <c r="DO455" s="6"/>
      <c r="DP455" s="6"/>
      <c r="DQ455" s="6"/>
      <c r="DR455" s="6"/>
      <c r="DS455" s="6"/>
      <c r="DT455" s="6"/>
      <c r="DU455" s="6"/>
      <c r="DV455" s="6"/>
      <c r="DW455" s="6"/>
      <c r="DX455" s="6"/>
      <c r="DY455" s="6"/>
      <c r="DZ455" s="6"/>
      <c r="EA455" s="6"/>
      <c r="EB455" s="6"/>
      <c r="EC455" s="6"/>
      <c r="ED455" s="6"/>
      <c r="EE455" s="6"/>
      <c r="EF455" s="6"/>
      <c r="EG455" s="6"/>
      <c r="EH455" s="6"/>
      <c r="EI455" s="6"/>
      <c r="EJ455" s="6"/>
      <c r="EK455" s="6"/>
      <c r="EL455" s="6"/>
      <c r="EM455" s="6"/>
      <c r="EN455" s="6"/>
      <c r="EO455" s="6"/>
      <c r="EP455" s="6"/>
      <c r="EQ455" s="6"/>
      <c r="ER455" s="6"/>
    </row>
    <row r="456" spans="1:148" ht="15" customHeight="1">
      <c r="A456" s="1348" t="s">
        <v>286</v>
      </c>
      <c r="BU456" s="6"/>
      <c r="BV456" s="6"/>
      <c r="BW456" s="6"/>
      <c r="BX456" s="6"/>
      <c r="BY456" s="6"/>
      <c r="BZ456" s="6"/>
      <c r="CA456" s="6"/>
      <c r="CB456" s="6"/>
      <c r="CC456" s="6"/>
      <c r="CD456" s="6"/>
      <c r="CE456" s="6"/>
      <c r="CF456" s="6"/>
      <c r="CG456" s="6"/>
      <c r="CH456" s="6"/>
      <c r="CI456" s="6"/>
      <c r="CJ456" s="6"/>
      <c r="CK456" s="6"/>
      <c r="CL456" s="6"/>
      <c r="CM456" s="6"/>
      <c r="CN456" s="6"/>
      <c r="CO456" s="6"/>
      <c r="CP456" s="6"/>
      <c r="CQ456" s="6"/>
      <c r="CR456" s="6"/>
      <c r="CS456" s="6"/>
      <c r="CT456" s="6"/>
      <c r="CU456" s="6"/>
      <c r="CV456" s="6"/>
      <c r="CW456" s="6"/>
      <c r="CX456" s="6"/>
      <c r="CY456" s="6"/>
      <c r="CZ456" s="6"/>
      <c r="DA456" s="6"/>
      <c r="DB456" s="6"/>
      <c r="DC456" s="6"/>
      <c r="DD456" s="6"/>
      <c r="DE456" s="6"/>
      <c r="DF456" s="6"/>
      <c r="DG456" s="6"/>
      <c r="DH456" s="6"/>
      <c r="DI456" s="6"/>
      <c r="DJ456" s="6"/>
      <c r="DK456" s="6"/>
      <c r="DL456" s="6"/>
      <c r="DM456" s="6"/>
      <c r="DN456" s="6"/>
      <c r="DO456" s="6"/>
      <c r="DP456" s="6"/>
      <c r="DQ456" s="6"/>
      <c r="DR456" s="6"/>
      <c r="DS456" s="6"/>
      <c r="DT456" s="6"/>
      <c r="DU456" s="6"/>
      <c r="DV456" s="6"/>
      <c r="DW456" s="6"/>
      <c r="DX456" s="6"/>
      <c r="DY456" s="6"/>
      <c r="DZ456" s="6"/>
      <c r="EA456" s="6"/>
      <c r="EB456" s="6"/>
      <c r="EC456" s="6"/>
      <c r="ED456" s="6"/>
      <c r="EE456" s="6"/>
      <c r="EF456" s="6"/>
      <c r="EG456" s="6"/>
      <c r="EH456" s="6"/>
      <c r="EI456" s="6"/>
      <c r="EJ456" s="6"/>
      <c r="EK456" s="6"/>
      <c r="EL456" s="6"/>
      <c r="EM456" s="6"/>
      <c r="EN456" s="6"/>
      <c r="EO456" s="6"/>
      <c r="EP456" s="6"/>
      <c r="EQ456" s="6"/>
      <c r="ER456" s="6"/>
    </row>
    <row r="457" spans="1:148" ht="15" customHeight="1">
      <c r="A457" s="1348" t="s">
        <v>287</v>
      </c>
      <c r="BU457" s="6"/>
      <c r="BV457" s="6"/>
      <c r="BW457" s="6"/>
      <c r="BX457" s="6"/>
      <c r="BY457" s="6"/>
      <c r="BZ457" s="6"/>
      <c r="CA457" s="6"/>
      <c r="CB457" s="6"/>
      <c r="CC457" s="6"/>
      <c r="CD457" s="6"/>
      <c r="CE457" s="6"/>
      <c r="CF457" s="6"/>
      <c r="CG457" s="6"/>
      <c r="CH457" s="6"/>
      <c r="CI457" s="6"/>
      <c r="CJ457" s="6"/>
      <c r="CK457" s="6"/>
      <c r="CL457" s="6"/>
      <c r="CM457" s="6"/>
      <c r="CN457" s="6"/>
      <c r="CO457" s="6"/>
      <c r="CP457" s="6"/>
      <c r="CQ457" s="6"/>
      <c r="CR457" s="6"/>
      <c r="CS457" s="6"/>
      <c r="CT457" s="6"/>
      <c r="CU457" s="6"/>
      <c r="CV457" s="6"/>
      <c r="CW457" s="6"/>
      <c r="CX457" s="6"/>
      <c r="CY457" s="6"/>
      <c r="CZ457" s="6"/>
      <c r="DA457" s="6"/>
      <c r="DB457" s="6"/>
      <c r="DC457" s="6"/>
      <c r="DD457" s="6"/>
      <c r="DE457" s="6"/>
      <c r="DF457" s="6"/>
      <c r="DG457" s="6"/>
      <c r="DH457" s="6"/>
      <c r="DI457" s="6"/>
      <c r="DJ457" s="6"/>
      <c r="DK457" s="6"/>
      <c r="DL457" s="6"/>
      <c r="DM457" s="6"/>
      <c r="DN457" s="6"/>
      <c r="DO457" s="6"/>
      <c r="DP457" s="6"/>
      <c r="DQ457" s="6"/>
      <c r="DR457" s="6"/>
      <c r="DS457" s="6"/>
      <c r="DT457" s="6"/>
      <c r="DU457" s="6"/>
      <c r="DV457" s="6"/>
      <c r="DW457" s="6"/>
      <c r="DX457" s="6"/>
      <c r="DY457" s="6"/>
      <c r="DZ457" s="6"/>
      <c r="EA457" s="6"/>
      <c r="EB457" s="6"/>
      <c r="EC457" s="6"/>
      <c r="ED457" s="6"/>
      <c r="EE457" s="6"/>
      <c r="EF457" s="6"/>
      <c r="EG457" s="6"/>
      <c r="EH457" s="6"/>
      <c r="EI457" s="6"/>
      <c r="EJ457" s="6"/>
      <c r="EK457" s="6"/>
      <c r="EL457" s="6"/>
      <c r="EM457" s="6"/>
      <c r="EN457" s="6"/>
      <c r="EO457" s="6"/>
      <c r="EP457" s="6"/>
      <c r="EQ457" s="6"/>
      <c r="ER457" s="6"/>
    </row>
    <row r="458" spans="1:148" ht="15" customHeight="1">
      <c r="A458" s="1348" t="s">
        <v>288</v>
      </c>
      <c r="BU458" s="6"/>
      <c r="BV458" s="6"/>
      <c r="BW458" s="6"/>
      <c r="BX458" s="6"/>
      <c r="BY458" s="6"/>
      <c r="BZ458" s="6"/>
      <c r="CA458" s="6"/>
      <c r="CB458" s="6"/>
      <c r="CC458" s="6"/>
      <c r="CD458" s="6"/>
      <c r="CE458" s="6"/>
      <c r="CF458" s="6"/>
      <c r="CG458" s="6"/>
      <c r="CH458" s="6"/>
      <c r="CI458" s="6"/>
      <c r="CJ458" s="6"/>
      <c r="CK458" s="6"/>
      <c r="CL458" s="6"/>
      <c r="CM458" s="6"/>
      <c r="CN458" s="6"/>
      <c r="CO458" s="6"/>
      <c r="CP458" s="6"/>
      <c r="CQ458" s="6"/>
      <c r="CR458" s="6"/>
      <c r="CS458" s="6"/>
      <c r="CT458" s="6"/>
      <c r="CU458" s="6"/>
      <c r="CV458" s="6"/>
      <c r="CW458" s="6"/>
      <c r="CX458" s="6"/>
      <c r="CY458" s="6"/>
      <c r="CZ458" s="6"/>
      <c r="DA458" s="6"/>
      <c r="DB458" s="6"/>
      <c r="DC458" s="6"/>
      <c r="DD458" s="6"/>
      <c r="DE458" s="6"/>
      <c r="DF458" s="6"/>
      <c r="DG458" s="6"/>
      <c r="DH458" s="6"/>
      <c r="DI458" s="6"/>
      <c r="DJ458" s="6"/>
      <c r="DK458" s="6"/>
      <c r="DL458" s="6"/>
      <c r="DM458" s="6"/>
      <c r="DN458" s="6"/>
      <c r="DO458" s="6"/>
      <c r="DP458" s="6"/>
      <c r="DQ458" s="6"/>
      <c r="DR458" s="6"/>
      <c r="DS458" s="6"/>
      <c r="DT458" s="6"/>
      <c r="DU458" s="6"/>
      <c r="DV458" s="6"/>
      <c r="DW458" s="6"/>
      <c r="DX458" s="6"/>
      <c r="DY458" s="6"/>
      <c r="DZ458" s="6"/>
      <c r="EA458" s="6"/>
      <c r="EB458" s="6"/>
      <c r="EC458" s="6"/>
      <c r="ED458" s="6"/>
      <c r="EE458" s="6"/>
      <c r="EF458" s="6"/>
      <c r="EG458" s="6"/>
      <c r="EH458" s="6"/>
      <c r="EI458" s="6"/>
      <c r="EJ458" s="6"/>
      <c r="EK458" s="6"/>
      <c r="EL458" s="6"/>
      <c r="EM458" s="6"/>
      <c r="EN458" s="6"/>
      <c r="EO458" s="6"/>
      <c r="EP458" s="6"/>
      <c r="EQ458" s="6"/>
      <c r="ER458" s="6"/>
    </row>
    <row r="459" spans="1:148" ht="15" customHeight="1">
      <c r="A459" s="81" t="s">
        <v>296</v>
      </c>
      <c r="BU459" s="6"/>
      <c r="BV459" s="6"/>
      <c r="BW459" s="6"/>
      <c r="BX459" s="6"/>
      <c r="BY459" s="6"/>
      <c r="BZ459" s="6"/>
      <c r="CA459" s="6"/>
      <c r="CB459" s="6"/>
      <c r="CC459" s="6"/>
      <c r="CD459" s="6"/>
      <c r="CE459" s="6"/>
      <c r="CF459" s="6"/>
      <c r="CG459" s="6"/>
      <c r="CH459" s="6"/>
      <c r="CI459" s="6"/>
      <c r="CJ459" s="6"/>
      <c r="CK459" s="6"/>
      <c r="CL459" s="6"/>
      <c r="CM459" s="6"/>
      <c r="CN459" s="6"/>
      <c r="CO459" s="6"/>
      <c r="CP459" s="6"/>
      <c r="CQ459" s="6"/>
      <c r="CR459" s="6"/>
      <c r="CS459" s="6"/>
      <c r="CT459" s="6"/>
      <c r="CU459" s="6"/>
      <c r="CV459" s="6"/>
      <c r="CW459" s="6"/>
      <c r="CX459" s="6"/>
      <c r="CY459" s="6"/>
      <c r="CZ459" s="6"/>
      <c r="DA459" s="6"/>
      <c r="DB459" s="6"/>
      <c r="DC459" s="6"/>
      <c r="DD459" s="6"/>
      <c r="DE459" s="6"/>
      <c r="DF459" s="6"/>
      <c r="DG459" s="6"/>
      <c r="DH459" s="6"/>
      <c r="DI459" s="6"/>
      <c r="DJ459" s="6"/>
      <c r="DK459" s="6"/>
      <c r="DL459" s="6"/>
      <c r="DM459" s="6"/>
      <c r="DN459" s="6"/>
      <c r="DO459" s="6"/>
      <c r="DP459" s="6"/>
      <c r="DQ459" s="6"/>
      <c r="DR459" s="6"/>
      <c r="DS459" s="6"/>
      <c r="DT459" s="6"/>
      <c r="DU459" s="6"/>
      <c r="DV459" s="6"/>
      <c r="DW459" s="6"/>
      <c r="DX459" s="6"/>
      <c r="DY459" s="6"/>
      <c r="DZ459" s="6"/>
      <c r="EA459" s="6"/>
      <c r="EB459" s="6"/>
      <c r="EC459" s="6"/>
      <c r="ED459" s="6"/>
      <c r="EE459" s="6"/>
      <c r="EF459" s="6"/>
      <c r="EG459" s="6"/>
      <c r="EH459" s="6"/>
      <c r="EI459" s="6"/>
      <c r="EJ459" s="6"/>
      <c r="EK459" s="6"/>
      <c r="EL459" s="6"/>
      <c r="EM459" s="6"/>
      <c r="EN459" s="6"/>
      <c r="EO459" s="6"/>
      <c r="EP459" s="6"/>
      <c r="EQ459" s="6"/>
      <c r="ER459" s="6"/>
    </row>
    <row r="460" spans="1:148" ht="15" customHeight="1">
      <c r="BU460" s="6"/>
      <c r="BV460" s="6"/>
      <c r="BW460" s="6"/>
      <c r="BX460" s="6"/>
      <c r="BY460" s="6"/>
      <c r="BZ460" s="6"/>
      <c r="CA460" s="6"/>
      <c r="CB460" s="6"/>
      <c r="CC460" s="6"/>
      <c r="CD460" s="6"/>
      <c r="CE460" s="6"/>
      <c r="CF460" s="6"/>
      <c r="CG460" s="6"/>
      <c r="CH460" s="6"/>
      <c r="CI460" s="6"/>
      <c r="CJ460" s="6"/>
      <c r="CK460" s="6"/>
      <c r="CL460" s="6"/>
      <c r="CM460" s="6"/>
      <c r="CN460" s="6"/>
      <c r="CO460" s="6"/>
      <c r="CP460" s="6"/>
      <c r="CQ460" s="6"/>
      <c r="CR460" s="6"/>
      <c r="CS460" s="6"/>
      <c r="CT460" s="6"/>
      <c r="CU460" s="6"/>
      <c r="CV460" s="6"/>
      <c r="CW460" s="6"/>
      <c r="CX460" s="6"/>
      <c r="CY460" s="6"/>
      <c r="CZ460" s="6"/>
      <c r="DA460" s="6"/>
      <c r="DB460" s="6"/>
      <c r="DC460" s="6"/>
      <c r="DD460" s="6"/>
      <c r="DE460" s="6"/>
      <c r="DF460" s="6"/>
      <c r="DG460" s="6"/>
      <c r="DH460" s="6"/>
      <c r="DI460" s="6"/>
      <c r="DJ460" s="6"/>
      <c r="DK460" s="6"/>
      <c r="DL460" s="6"/>
      <c r="DM460" s="6"/>
      <c r="DN460" s="6"/>
      <c r="DO460" s="6"/>
      <c r="DP460" s="6"/>
      <c r="DQ460" s="6"/>
      <c r="DR460" s="6"/>
      <c r="DS460" s="6"/>
      <c r="DT460" s="6"/>
      <c r="DU460" s="6"/>
      <c r="DV460" s="6"/>
      <c r="DW460" s="6"/>
      <c r="DX460" s="6"/>
      <c r="DY460" s="6"/>
      <c r="DZ460" s="6"/>
      <c r="EA460" s="6"/>
      <c r="EB460" s="6"/>
      <c r="EC460" s="6"/>
      <c r="ED460" s="6"/>
      <c r="EE460" s="6"/>
      <c r="EF460" s="6"/>
      <c r="EG460" s="6"/>
      <c r="EH460" s="6"/>
      <c r="EI460" s="6"/>
      <c r="EJ460" s="6"/>
      <c r="EK460" s="6"/>
      <c r="EL460" s="6"/>
      <c r="EM460" s="6"/>
      <c r="EN460" s="6"/>
      <c r="EO460" s="6"/>
      <c r="EP460" s="6"/>
      <c r="EQ460" s="6"/>
      <c r="ER460" s="6"/>
    </row>
    <row r="461" spans="1:148" ht="15" customHeight="1">
      <c r="BU461" s="6"/>
      <c r="BV461" s="6"/>
      <c r="BW461" s="6"/>
      <c r="BX461" s="6"/>
      <c r="BY461" s="6"/>
      <c r="BZ461" s="6"/>
      <c r="CA461" s="6"/>
      <c r="CB461" s="6"/>
      <c r="CC461" s="6"/>
      <c r="CD461" s="6"/>
      <c r="CE461" s="6"/>
      <c r="CF461" s="6"/>
      <c r="CG461" s="6"/>
      <c r="CH461" s="6"/>
      <c r="CI461" s="6"/>
      <c r="CJ461" s="6"/>
      <c r="CK461" s="6"/>
      <c r="CL461" s="6"/>
      <c r="CM461" s="6"/>
      <c r="CN461" s="6"/>
      <c r="CO461" s="6"/>
      <c r="CP461" s="6"/>
      <c r="CQ461" s="6"/>
      <c r="CR461" s="6"/>
      <c r="CS461" s="6"/>
      <c r="CT461" s="6"/>
      <c r="CU461" s="6"/>
      <c r="CV461" s="6"/>
      <c r="CW461" s="6"/>
      <c r="CX461" s="6"/>
      <c r="CY461" s="6"/>
      <c r="CZ461" s="6"/>
      <c r="DA461" s="6"/>
      <c r="DB461" s="6"/>
      <c r="DC461" s="6"/>
      <c r="DD461" s="6"/>
      <c r="DE461" s="6"/>
      <c r="DF461" s="6"/>
      <c r="DG461" s="6"/>
      <c r="DH461" s="6"/>
      <c r="DI461" s="6"/>
      <c r="DJ461" s="6"/>
      <c r="DK461" s="6"/>
      <c r="DL461" s="6"/>
      <c r="DM461" s="6"/>
      <c r="DN461" s="6"/>
      <c r="DO461" s="6"/>
      <c r="DP461" s="6"/>
      <c r="DQ461" s="6"/>
      <c r="DR461" s="6"/>
      <c r="DS461" s="6"/>
      <c r="DT461" s="6"/>
      <c r="DU461" s="6"/>
      <c r="DV461" s="6"/>
      <c r="DW461" s="6"/>
      <c r="DX461" s="6"/>
      <c r="DY461" s="6"/>
      <c r="DZ461" s="6"/>
      <c r="EA461" s="6"/>
      <c r="EB461" s="6"/>
      <c r="EC461" s="6"/>
      <c r="ED461" s="6"/>
      <c r="EE461" s="6"/>
      <c r="EF461" s="6"/>
      <c r="EG461" s="6"/>
      <c r="EH461" s="6"/>
      <c r="EI461" s="6"/>
      <c r="EJ461" s="6"/>
      <c r="EK461" s="6"/>
      <c r="EL461" s="6"/>
      <c r="EM461" s="6"/>
      <c r="EN461" s="6"/>
      <c r="EO461" s="6"/>
      <c r="EP461" s="6"/>
      <c r="EQ461" s="6"/>
      <c r="ER461" s="6"/>
    </row>
    <row r="462" spans="1:148" ht="15" customHeight="1">
      <c r="BU462" s="6"/>
      <c r="BV462" s="6"/>
      <c r="BW462" s="6"/>
      <c r="BX462" s="6"/>
      <c r="BY462" s="6"/>
      <c r="BZ462" s="6"/>
      <c r="CA462" s="6"/>
      <c r="CB462" s="6"/>
      <c r="CC462" s="6"/>
      <c r="CD462" s="6"/>
      <c r="CE462" s="6"/>
      <c r="CF462" s="6"/>
      <c r="CG462" s="6"/>
      <c r="CH462" s="6"/>
      <c r="CI462" s="6"/>
      <c r="CJ462" s="6"/>
      <c r="CK462" s="6"/>
      <c r="CL462" s="6"/>
      <c r="CM462" s="6"/>
      <c r="CN462" s="6"/>
      <c r="CO462" s="6"/>
      <c r="CP462" s="6"/>
      <c r="CQ462" s="6"/>
      <c r="CR462" s="6"/>
      <c r="CS462" s="6"/>
      <c r="CT462" s="6"/>
      <c r="CU462" s="6"/>
      <c r="CV462" s="6"/>
      <c r="CW462" s="6"/>
      <c r="CX462" s="6"/>
      <c r="CY462" s="6"/>
      <c r="CZ462" s="6"/>
      <c r="DA462" s="6"/>
      <c r="DB462" s="6"/>
      <c r="DC462" s="6"/>
      <c r="DD462" s="6"/>
      <c r="DE462" s="6"/>
      <c r="DF462" s="6"/>
      <c r="DG462" s="6"/>
      <c r="DH462" s="6"/>
      <c r="DI462" s="6"/>
      <c r="DJ462" s="6"/>
      <c r="DK462" s="6"/>
      <c r="DL462" s="6"/>
      <c r="DM462" s="6"/>
      <c r="DN462" s="6"/>
      <c r="DO462" s="6"/>
      <c r="DP462" s="6"/>
      <c r="DQ462" s="6"/>
      <c r="DR462" s="6"/>
      <c r="DS462" s="6"/>
      <c r="DT462" s="6"/>
      <c r="DU462" s="6"/>
      <c r="DV462" s="6"/>
      <c r="DW462" s="6"/>
      <c r="DX462" s="6"/>
      <c r="DY462" s="6"/>
      <c r="DZ462" s="6"/>
      <c r="EA462" s="6"/>
      <c r="EB462" s="6"/>
      <c r="EC462" s="6"/>
      <c r="ED462" s="6"/>
      <c r="EE462" s="6"/>
      <c r="EF462" s="6"/>
      <c r="EG462" s="6"/>
      <c r="EH462" s="6"/>
      <c r="EI462" s="6"/>
      <c r="EJ462" s="6"/>
      <c r="EK462" s="6"/>
      <c r="EL462" s="6"/>
      <c r="EM462" s="6"/>
      <c r="EN462" s="6"/>
      <c r="EO462" s="6"/>
      <c r="EP462" s="6"/>
      <c r="EQ462" s="6"/>
      <c r="ER462" s="6"/>
    </row>
    <row r="463" spans="1:148" ht="15" customHeight="1">
      <c r="BU463" s="6"/>
      <c r="BV463" s="6"/>
      <c r="BW463" s="6"/>
      <c r="BX463" s="6"/>
      <c r="BY463" s="6"/>
      <c r="BZ463" s="6"/>
      <c r="CA463" s="6"/>
      <c r="CB463" s="6"/>
      <c r="CC463" s="6"/>
      <c r="CD463" s="6"/>
      <c r="CE463" s="6"/>
      <c r="CF463" s="6"/>
      <c r="CG463" s="6"/>
      <c r="CH463" s="6"/>
      <c r="CI463" s="6"/>
      <c r="CJ463" s="6"/>
      <c r="CK463" s="6"/>
      <c r="CL463" s="6"/>
      <c r="CM463" s="6"/>
      <c r="CN463" s="6"/>
      <c r="CO463" s="6"/>
      <c r="CP463" s="6"/>
      <c r="CQ463" s="6"/>
      <c r="CR463" s="6"/>
      <c r="CS463" s="6"/>
      <c r="CT463" s="6"/>
      <c r="CU463" s="6"/>
      <c r="CV463" s="6"/>
      <c r="CW463" s="6"/>
      <c r="CX463" s="6"/>
      <c r="CY463" s="6"/>
      <c r="CZ463" s="6"/>
      <c r="DA463" s="6"/>
      <c r="DB463" s="6"/>
      <c r="DC463" s="6"/>
      <c r="DD463" s="6"/>
      <c r="DE463" s="6"/>
      <c r="DF463" s="6"/>
      <c r="DG463" s="6"/>
      <c r="DH463" s="6"/>
      <c r="DI463" s="6"/>
      <c r="DJ463" s="6"/>
      <c r="DK463" s="6"/>
      <c r="DL463" s="6"/>
      <c r="DM463" s="6"/>
      <c r="DN463" s="6"/>
      <c r="DO463" s="6"/>
      <c r="DP463" s="6"/>
      <c r="DQ463" s="6"/>
      <c r="DR463" s="6"/>
      <c r="DS463" s="6"/>
      <c r="DT463" s="6"/>
      <c r="DU463" s="6"/>
      <c r="DV463" s="6"/>
      <c r="DW463" s="6"/>
      <c r="DX463" s="6"/>
      <c r="DY463" s="6"/>
      <c r="DZ463" s="6"/>
      <c r="EA463" s="6"/>
      <c r="EB463" s="6"/>
      <c r="EC463" s="6"/>
      <c r="ED463" s="6"/>
      <c r="EE463" s="6"/>
      <c r="EF463" s="6"/>
      <c r="EG463" s="6"/>
      <c r="EH463" s="6"/>
      <c r="EI463" s="6"/>
      <c r="EJ463" s="6"/>
      <c r="EK463" s="6"/>
      <c r="EL463" s="6"/>
      <c r="EM463" s="6"/>
      <c r="EN463" s="6"/>
      <c r="EO463" s="6"/>
      <c r="EP463" s="6"/>
      <c r="EQ463" s="6"/>
      <c r="ER463" s="6"/>
    </row>
    <row r="464" spans="1:148">
      <c r="BU464" s="6"/>
      <c r="BV464" s="6"/>
      <c r="BW464" s="6"/>
      <c r="BX464" s="6"/>
      <c r="BY464" s="6"/>
      <c r="BZ464" s="6"/>
      <c r="CA464" s="6"/>
      <c r="CB464" s="6"/>
      <c r="CC464" s="6"/>
      <c r="CD464" s="6"/>
      <c r="CE464" s="6"/>
      <c r="CF464" s="6"/>
      <c r="CG464" s="6"/>
      <c r="CH464" s="6"/>
      <c r="CI464" s="6"/>
      <c r="CO464" s="6"/>
      <c r="CP464" s="6"/>
      <c r="CQ464" s="6"/>
      <c r="CR464" s="6"/>
      <c r="CS464" s="6"/>
      <c r="CT464" s="6"/>
      <c r="CU464" s="6"/>
      <c r="CV464" s="6"/>
      <c r="CW464" s="6"/>
      <c r="CX464" s="6"/>
      <c r="CY464" s="6"/>
      <c r="CZ464" s="6"/>
      <c r="DA464" s="6"/>
      <c r="DB464" s="6"/>
      <c r="DC464" s="6"/>
      <c r="DD464" s="6"/>
      <c r="DE464" s="6"/>
      <c r="DF464" s="6"/>
      <c r="DG464" s="6"/>
      <c r="DH464" s="6"/>
      <c r="DI464" s="6"/>
      <c r="DJ464" s="6"/>
      <c r="DK464" s="6"/>
      <c r="DL464" s="6"/>
      <c r="DM464" s="6"/>
      <c r="DN464" s="6"/>
      <c r="DO464" s="6"/>
      <c r="DP464" s="6"/>
      <c r="DQ464" s="6"/>
      <c r="DR464" s="6"/>
      <c r="DS464" s="6"/>
      <c r="DT464" s="6"/>
      <c r="DU464" s="6"/>
      <c r="DV464" s="6"/>
      <c r="DW464" s="6"/>
      <c r="DX464" s="6"/>
      <c r="DY464" s="6"/>
      <c r="DZ464" s="6"/>
      <c r="EA464" s="6"/>
      <c r="EB464" s="6"/>
      <c r="EC464" s="6"/>
      <c r="ED464" s="6"/>
      <c r="EE464" s="6"/>
      <c r="EF464" s="6"/>
      <c r="EG464" s="6"/>
      <c r="EH464" s="6"/>
      <c r="EI464" s="6"/>
      <c r="EJ464" s="6"/>
      <c r="EK464" s="6"/>
      <c r="EL464" s="6"/>
      <c r="EM464" s="6"/>
      <c r="EN464" s="6"/>
      <c r="EO464" s="6"/>
      <c r="EP464" s="6"/>
      <c r="EQ464" s="6"/>
      <c r="ER464" s="6"/>
    </row>
    <row r="465" spans="73:148">
      <c r="BU465" s="6"/>
      <c r="BV465" s="6"/>
      <c r="BW465" s="6"/>
      <c r="BX465" s="6"/>
      <c r="BY465" s="6"/>
      <c r="BZ465" s="6"/>
      <c r="CA465" s="6"/>
      <c r="CB465" s="6"/>
      <c r="CC465" s="6"/>
      <c r="CD465" s="6"/>
      <c r="CE465" s="6"/>
      <c r="CF465" s="6"/>
      <c r="CG465" s="6"/>
      <c r="CH465" s="6"/>
      <c r="CI465" s="6"/>
      <c r="CO465" s="6"/>
      <c r="CP465" s="6"/>
      <c r="CQ465" s="6"/>
      <c r="CR465" s="6"/>
      <c r="CS465" s="6"/>
      <c r="CT465" s="6"/>
      <c r="CU465" s="6"/>
      <c r="CV465" s="6"/>
      <c r="CW465" s="6"/>
      <c r="CX465" s="6"/>
      <c r="CY465" s="6"/>
      <c r="CZ465" s="6"/>
      <c r="DA465" s="6"/>
      <c r="DB465" s="6"/>
      <c r="DC465" s="6"/>
      <c r="DD465" s="6"/>
      <c r="DE465" s="6"/>
      <c r="DF465" s="6"/>
      <c r="DG465" s="6"/>
      <c r="DH465" s="6"/>
      <c r="DI465" s="6"/>
      <c r="DJ465" s="6"/>
      <c r="DK465" s="6"/>
      <c r="DL465" s="6"/>
      <c r="DM465" s="6"/>
      <c r="DN465" s="6"/>
      <c r="DO465" s="6"/>
      <c r="DP465" s="6"/>
      <c r="DQ465" s="6"/>
      <c r="DR465" s="6"/>
      <c r="DS465" s="6"/>
      <c r="DT465" s="6"/>
      <c r="DU465" s="6"/>
      <c r="DV465" s="6"/>
      <c r="DW465" s="6"/>
      <c r="DX465" s="6"/>
      <c r="DY465" s="6"/>
      <c r="DZ465" s="6"/>
      <c r="EA465" s="6"/>
      <c r="EB465" s="6"/>
      <c r="EC465" s="6"/>
      <c r="ED465" s="6"/>
      <c r="EE465" s="6"/>
      <c r="EF465" s="6"/>
      <c r="EG465" s="6"/>
      <c r="EH465" s="6"/>
      <c r="EI465" s="6"/>
      <c r="EJ465" s="6"/>
      <c r="EK465" s="6"/>
      <c r="EL465" s="6"/>
      <c r="EM465" s="6"/>
      <c r="EN465" s="6"/>
      <c r="EO465" s="6"/>
      <c r="EP465" s="6"/>
      <c r="EQ465" s="6"/>
      <c r="ER465" s="6"/>
    </row>
    <row r="466" spans="73:148">
      <c r="BU466" s="6"/>
      <c r="BV466" s="6"/>
      <c r="BW466" s="6"/>
      <c r="BX466" s="6"/>
      <c r="BY466" s="6"/>
      <c r="BZ466" s="6"/>
      <c r="CA466" s="6"/>
      <c r="CB466" s="6"/>
      <c r="CC466" s="6"/>
      <c r="CD466" s="6"/>
      <c r="CE466" s="6"/>
      <c r="CF466" s="6"/>
      <c r="CG466" s="6"/>
      <c r="CH466" s="6"/>
      <c r="CI466" s="6"/>
      <c r="CO466" s="6"/>
      <c r="CP466" s="6"/>
      <c r="CQ466" s="6"/>
      <c r="CR466" s="6"/>
      <c r="CS466" s="6"/>
      <c r="CT466" s="6"/>
      <c r="CU466" s="6"/>
      <c r="CV466" s="6"/>
      <c r="CW466" s="6"/>
      <c r="CX466" s="6"/>
      <c r="CY466" s="6"/>
      <c r="CZ466" s="6"/>
      <c r="DA466" s="6"/>
      <c r="DB466" s="6"/>
      <c r="DC466" s="6"/>
      <c r="DD466" s="6"/>
      <c r="DE466" s="6"/>
      <c r="DF466" s="6"/>
      <c r="DG466" s="6"/>
      <c r="DH466" s="6"/>
      <c r="DI466" s="6"/>
      <c r="DJ466" s="6"/>
      <c r="DK466" s="6"/>
      <c r="DL466" s="6"/>
      <c r="DM466" s="6"/>
      <c r="DN466" s="6"/>
      <c r="DO466" s="6"/>
      <c r="DP466" s="6"/>
      <c r="DQ466" s="6"/>
      <c r="DR466" s="6"/>
      <c r="DS466" s="6"/>
      <c r="DT466" s="6"/>
      <c r="DU466" s="6"/>
      <c r="DV466" s="6"/>
      <c r="DW466" s="6"/>
      <c r="DX466" s="6"/>
      <c r="DY466" s="6"/>
      <c r="DZ466" s="6"/>
      <c r="EA466" s="6"/>
      <c r="EB466" s="6"/>
      <c r="EC466" s="6"/>
      <c r="ED466" s="6"/>
      <c r="EE466" s="6"/>
      <c r="EF466" s="6"/>
      <c r="EG466" s="6"/>
      <c r="EH466" s="6"/>
      <c r="EI466" s="6"/>
      <c r="EJ466" s="6"/>
      <c r="EK466" s="6"/>
      <c r="EL466" s="6"/>
      <c r="EM466" s="6"/>
      <c r="EN466" s="6"/>
      <c r="EO466" s="6"/>
      <c r="EP466" s="6"/>
      <c r="EQ466" s="6"/>
      <c r="ER466" s="6"/>
    </row>
  </sheetData>
  <sheetProtection selectLockedCells="1"/>
  <mergeCells count="48">
    <mergeCell ref="AL3:AO3"/>
    <mergeCell ref="W3:Z3"/>
    <mergeCell ref="AB3:AE3"/>
    <mergeCell ref="AV3:AY3"/>
    <mergeCell ref="BA3:BD3"/>
    <mergeCell ref="B29:B30"/>
    <mergeCell ref="B5:C6"/>
    <mergeCell ref="B20:C21"/>
    <mergeCell ref="B22:C23"/>
    <mergeCell ref="B15:C15"/>
    <mergeCell ref="B17:C17"/>
    <mergeCell ref="B19:C19"/>
    <mergeCell ref="AG3:AJ3"/>
    <mergeCell ref="AQ3:AT3"/>
    <mergeCell ref="A1:A26"/>
    <mergeCell ref="B25:C26"/>
    <mergeCell ref="B2:C3"/>
    <mergeCell ref="E2:G2"/>
    <mergeCell ref="R3:U3"/>
    <mergeCell ref="M3:P3"/>
    <mergeCell ref="E3:H3"/>
    <mergeCell ref="J3:K3"/>
    <mergeCell ref="BF3:BI3"/>
    <mergeCell ref="CT3:CW3"/>
    <mergeCell ref="CJ3:CM3"/>
    <mergeCell ref="CE3:CH3"/>
    <mergeCell ref="BU3:BX3"/>
    <mergeCell ref="BK3:BN3"/>
    <mergeCell ref="BJ3:BJ26"/>
    <mergeCell ref="BP3:BS3"/>
    <mergeCell ref="BZ3:CC3"/>
    <mergeCell ref="CO3:CR3"/>
    <mergeCell ref="CY3:DB3"/>
    <mergeCell ref="EN3:EO3"/>
    <mergeCell ref="EH3:EK3"/>
    <mergeCell ref="EM3:EM4"/>
    <mergeCell ref="EC3:EF3"/>
    <mergeCell ref="DD3:DG3"/>
    <mergeCell ref="DX3:EA3"/>
    <mergeCell ref="DS3:DV3"/>
    <mergeCell ref="DN3:DQ3"/>
    <mergeCell ref="DI3:DL3"/>
    <mergeCell ref="ES2:EW2"/>
    <mergeCell ref="EV3:EW3"/>
    <mergeCell ref="ES3:ES4"/>
    <mergeCell ref="EP3:EQ3"/>
    <mergeCell ref="ET3:EU3"/>
    <mergeCell ref="EM2:EQ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13" r:id="rId4" name="Button 21">
              <controlPr defaultSize="0" print="0" autoFill="0" autoPict="0" macro="[0]!Macro6">
                <anchor moveWithCells="1" sizeWithCells="1">
                  <from>
                    <xdr:col>0</xdr:col>
                    <xdr:colOff>38100</xdr:colOff>
                    <xdr:row>11</xdr:row>
                    <xdr:rowOff>85725</xdr:rowOff>
                  </from>
                  <to>
                    <xdr:col>0</xdr:col>
                    <xdr:colOff>771525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5" name="Button 25">
              <controlPr defaultSize="0" print="0" autoFill="0" autoPict="0" macro="[0]!Macro7">
                <anchor moveWithCells="1" sizeWithCells="1">
                  <from>
                    <xdr:col>0</xdr:col>
                    <xdr:colOff>57150</xdr:colOff>
                    <xdr:row>13</xdr:row>
                    <xdr:rowOff>133350</xdr:rowOff>
                  </from>
                  <to>
                    <xdr:col>0</xdr:col>
                    <xdr:colOff>361950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6" name="Button 26">
              <controlPr defaultSize="0" print="0" autoFill="0" autoPict="0" macro="[0]!Macro14">
                <anchor moveWithCells="1" sizeWithCells="1">
                  <from>
                    <xdr:col>0</xdr:col>
                    <xdr:colOff>438150</xdr:colOff>
                    <xdr:row>13</xdr:row>
                    <xdr:rowOff>114300</xdr:rowOff>
                  </from>
                  <to>
                    <xdr:col>0</xdr:col>
                    <xdr:colOff>771525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8" r:id="rId7" name="Button 146">
              <controlPr defaultSize="0" print="0" autoFill="0" autoPict="0" macro="[0]!Macro10">
                <anchor moveWithCells="1" sizeWithCells="1">
                  <from>
                    <xdr:col>0</xdr:col>
                    <xdr:colOff>38100</xdr:colOff>
                    <xdr:row>1</xdr:row>
                    <xdr:rowOff>0</xdr:rowOff>
                  </from>
                  <to>
                    <xdr:col>0</xdr:col>
                    <xdr:colOff>771525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9" r:id="rId8" name="Button 147">
              <controlPr defaultSize="0" print="0" autoFill="0" autoPict="0" macro="[0]!Macro4">
                <anchor moveWithCells="1" sizeWithCells="1">
                  <from>
                    <xdr:col>0</xdr:col>
                    <xdr:colOff>47625</xdr:colOff>
                    <xdr:row>9</xdr:row>
                    <xdr:rowOff>47625</xdr:rowOff>
                  </from>
                  <to>
                    <xdr:col>0</xdr:col>
                    <xdr:colOff>762000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0" r:id="rId9" name="Button 148">
              <controlPr defaultSize="0" print="0" autoFill="0" autoPict="0" macro="[0]!Macro17gg">
                <anchor moveWithCells="1" sizeWithCells="1">
                  <from>
                    <xdr:col>0</xdr:col>
                    <xdr:colOff>38100</xdr:colOff>
                    <xdr:row>3</xdr:row>
                    <xdr:rowOff>180975</xdr:rowOff>
                  </from>
                  <to>
                    <xdr:col>0</xdr:col>
                    <xdr:colOff>771525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1" r:id="rId10" name="Button 149">
              <controlPr defaultSize="0" print="0" autoFill="0" autoPict="0" macro="[0]!Macro12">
                <anchor moveWithCells="1" sizeWithCells="1">
                  <from>
                    <xdr:col>0</xdr:col>
                    <xdr:colOff>38100</xdr:colOff>
                    <xdr:row>5</xdr:row>
                    <xdr:rowOff>142875</xdr:rowOff>
                  </from>
                  <to>
                    <xdr:col>0</xdr:col>
                    <xdr:colOff>771525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2" r:id="rId11" name="Button 150">
              <controlPr locked="0" defaultSize="0" print="0" autoFill="0" autoPict="0" macro="[0]!MONO_13">
                <anchor moveWithCells="1" sizeWithCells="1">
                  <from>
                    <xdr:col>0</xdr:col>
                    <xdr:colOff>47625</xdr:colOff>
                    <xdr:row>7</xdr:row>
                    <xdr:rowOff>76200</xdr:rowOff>
                  </from>
                  <to>
                    <xdr:col>0</xdr:col>
                    <xdr:colOff>771525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FDFC3-2C57-4217-96A2-9A96175CDAEC}">
  <sheetPr codeName="Plan4"/>
  <dimension ref="A1:EY466"/>
  <sheetViews>
    <sheetView showGridLines="0" zoomScale="90" zoomScaleNormal="90" workbookViewId="0">
      <pane xSplit="3" ySplit="23" topLeftCell="D24" activePane="bottomRight" state="frozen"/>
      <selection pane="topRight" activeCell="D1" sqref="D1"/>
      <selection pane="bottomLeft" activeCell="A24" sqref="A24"/>
      <selection pane="bottomRight" activeCell="B4" sqref="B4:C4"/>
    </sheetView>
  </sheetViews>
  <sheetFormatPr defaultRowHeight="15"/>
  <cols>
    <col min="1" max="1" width="11.85546875" customWidth="1"/>
    <col min="2" max="2" width="51.28515625" customWidth="1"/>
    <col min="3" max="3" width="8.7109375" customWidth="1"/>
    <col min="4" max="4" width="1.42578125" customWidth="1"/>
    <col min="5" max="5" width="11.85546875" customWidth="1"/>
    <col min="6" max="8" width="7.7109375" customWidth="1"/>
    <col min="9" max="9" width="1.5703125" customWidth="1"/>
    <col min="10" max="10" width="11.85546875" customWidth="1"/>
    <col min="11" max="11" width="7.42578125" customWidth="1"/>
    <col min="12" max="12" width="1.5703125" customWidth="1"/>
    <col min="13" max="13" width="12.28515625" customWidth="1"/>
    <col min="14" max="14" width="8" customWidth="1"/>
    <col min="15" max="15" width="8.28515625" customWidth="1"/>
    <col min="16" max="16" width="8.42578125" customWidth="1"/>
    <col min="17" max="17" width="1.5703125" customWidth="1"/>
    <col min="18" max="18" width="12.28515625" customWidth="1"/>
    <col min="19" max="19" width="7.7109375" customWidth="1"/>
    <col min="20" max="20" width="9" customWidth="1"/>
    <col min="21" max="21" width="8.28515625" customWidth="1"/>
    <col min="22" max="22" width="1.7109375" customWidth="1"/>
    <col min="23" max="23" width="11.7109375" customWidth="1"/>
    <col min="24" max="26" width="7.7109375" customWidth="1"/>
    <col min="27" max="27" width="1.7109375" customWidth="1"/>
    <col min="28" max="28" width="12.28515625" customWidth="1"/>
    <col min="29" max="31" width="7.7109375" customWidth="1"/>
    <col min="32" max="32" width="1.7109375" customWidth="1"/>
    <col min="33" max="33" width="12.28515625" customWidth="1"/>
    <col min="34" max="36" width="7.7109375" customWidth="1"/>
    <col min="37" max="37" width="1.7109375" customWidth="1"/>
    <col min="38" max="38" width="12.28515625" customWidth="1"/>
    <col min="39" max="41" width="7.7109375" customWidth="1"/>
    <col min="42" max="42" width="1.7109375" customWidth="1"/>
    <col min="43" max="43" width="12.28515625" customWidth="1"/>
    <col min="44" max="46" width="7.7109375" customWidth="1"/>
    <col min="47" max="47" width="1.85546875" customWidth="1"/>
    <col min="48" max="48" width="12.28515625" customWidth="1"/>
    <col min="49" max="51" width="7.7109375" customWidth="1"/>
    <col min="52" max="52" width="1.7109375" customWidth="1"/>
    <col min="53" max="53" width="12.28515625" customWidth="1"/>
    <col min="54" max="56" width="7.7109375" customWidth="1"/>
    <col min="57" max="57" width="1.7109375" customWidth="1"/>
    <col min="58" max="58" width="12.28515625" customWidth="1"/>
    <col min="59" max="61" width="7.7109375" customWidth="1"/>
    <col min="62" max="62" width="1.7109375" customWidth="1"/>
    <col min="63" max="63" width="12.28515625" customWidth="1"/>
    <col min="64" max="66" width="7.7109375" customWidth="1"/>
    <col min="67" max="67" width="1.7109375" customWidth="1"/>
    <col min="68" max="68" width="12.28515625" customWidth="1"/>
    <col min="69" max="71" width="7.7109375" customWidth="1"/>
    <col min="72" max="72" width="1.5703125" customWidth="1"/>
    <col min="73" max="73" width="12.28515625" customWidth="1"/>
    <col min="74" max="76" width="7.7109375" customWidth="1"/>
    <col min="77" max="77" width="1.7109375" customWidth="1"/>
    <col min="78" max="78" width="12.28515625" customWidth="1"/>
    <col min="79" max="81" width="7.7109375" customWidth="1"/>
    <col min="82" max="82" width="1.5703125" customWidth="1"/>
    <col min="83" max="83" width="12.28515625" customWidth="1"/>
    <col min="84" max="86" width="7.7109375" customWidth="1"/>
    <col min="87" max="87" width="1.7109375" customWidth="1"/>
    <col min="88" max="88" width="12.28515625" customWidth="1"/>
    <col min="89" max="91" width="7.7109375" customWidth="1"/>
    <col min="92" max="92" width="1.85546875" customWidth="1"/>
    <col min="93" max="93" width="12.28515625" customWidth="1"/>
    <col min="94" max="96" width="7.7109375" customWidth="1"/>
    <col min="97" max="97" width="1.7109375" customWidth="1"/>
    <col min="98" max="98" width="12.28515625" customWidth="1"/>
    <col min="99" max="101" width="7.7109375" customWidth="1"/>
    <col min="102" max="102" width="1.7109375" customWidth="1"/>
    <col min="103" max="103" width="12.28515625" customWidth="1"/>
    <col min="104" max="106" width="7.7109375" customWidth="1"/>
    <col min="107" max="107" width="1.7109375" customWidth="1"/>
    <col min="108" max="108" width="12.28515625" customWidth="1"/>
    <col min="109" max="111" width="7.7109375" customWidth="1"/>
    <col min="112" max="112" width="1.7109375" customWidth="1"/>
    <col min="113" max="113" width="12.28515625" hidden="1" customWidth="1"/>
    <col min="114" max="116" width="7.7109375" hidden="1" customWidth="1"/>
    <col min="117" max="117" width="1.7109375" hidden="1" customWidth="1"/>
    <col min="118" max="118" width="12.28515625" customWidth="1"/>
    <col min="119" max="121" width="7.7109375" customWidth="1"/>
    <col min="122" max="122" width="1.7109375" customWidth="1"/>
    <col min="123" max="123" width="12.28515625" customWidth="1"/>
    <col min="124" max="126" width="7.7109375" customWidth="1"/>
    <col min="127" max="127" width="1.7109375" customWidth="1"/>
    <col min="128" max="128" width="12.28515625" customWidth="1"/>
    <col min="129" max="131" width="7.7109375" customWidth="1"/>
    <col min="132" max="132" width="1.7109375" customWidth="1"/>
    <col min="133" max="133" width="12.28515625" hidden="1" customWidth="1"/>
    <col min="134" max="136" width="7.7109375" hidden="1" customWidth="1"/>
    <col min="137" max="137" width="1.7109375" hidden="1" customWidth="1"/>
    <col min="138" max="138" width="12.28515625" customWidth="1"/>
    <col min="139" max="141" width="7.7109375" customWidth="1"/>
    <col min="142" max="142" width="1.7109375" customWidth="1"/>
    <col min="143" max="143" width="16" customWidth="1"/>
    <col min="144" max="147" width="6.28515625" customWidth="1"/>
    <col min="148" max="148" width="1.42578125" style="855" customWidth="1"/>
    <col min="149" max="149" width="16" customWidth="1"/>
    <col min="150" max="153" width="6.28515625" customWidth="1"/>
    <col min="154" max="162" width="9.140625" customWidth="1"/>
  </cols>
  <sheetData>
    <row r="1" spans="1:155" ht="3.95" customHeight="1" thickBot="1">
      <c r="A1" s="227"/>
    </row>
    <row r="2" spans="1:155" ht="22.5" customHeight="1" thickBot="1">
      <c r="A2" s="1627"/>
      <c r="B2" s="1547" t="s">
        <v>366</v>
      </c>
      <c r="C2" s="1548"/>
      <c r="D2" s="1096"/>
      <c r="E2" s="1603" t="s">
        <v>1484</v>
      </c>
      <c r="F2" s="1604"/>
      <c r="G2" s="1605"/>
      <c r="H2" s="1162"/>
      <c r="I2" s="1096"/>
      <c r="J2" s="1096"/>
      <c r="K2" s="1096"/>
      <c r="L2" s="1096"/>
      <c r="M2" s="1061"/>
      <c r="N2" s="1061"/>
      <c r="O2" s="1061"/>
      <c r="P2" s="1061"/>
      <c r="Q2" s="1096"/>
      <c r="R2" s="1062"/>
      <c r="S2" s="1062"/>
      <c r="T2" s="1062"/>
      <c r="U2" s="1062"/>
      <c r="V2" s="1063"/>
      <c r="W2" s="1063"/>
      <c r="X2" s="1063"/>
      <c r="Y2" s="1063"/>
      <c r="Z2" s="1063"/>
      <c r="AA2" s="1063"/>
      <c r="AB2" s="1064"/>
      <c r="AC2" s="1064"/>
      <c r="AD2" s="1064"/>
      <c r="AE2" s="1064"/>
      <c r="AF2" s="1064"/>
      <c r="AG2" s="1065"/>
      <c r="AH2" s="1065"/>
      <c r="AI2" s="1065"/>
      <c r="AJ2" s="1065"/>
      <c r="AK2" s="1065"/>
      <c r="AL2" s="1065"/>
      <c r="AM2" s="1065"/>
      <c r="AN2" s="1065"/>
      <c r="AO2" s="1065"/>
      <c r="AP2" s="1065"/>
      <c r="AQ2" s="1066"/>
      <c r="AR2" s="1066"/>
      <c r="AS2" s="1066"/>
      <c r="AT2" s="1066"/>
      <c r="AU2" s="1066"/>
      <c r="AV2" s="1066"/>
      <c r="AW2" s="1066"/>
      <c r="AX2" s="1066"/>
      <c r="AY2" s="1066"/>
      <c r="AZ2" s="1066"/>
      <c r="BA2" s="1066"/>
      <c r="BB2" s="1066"/>
      <c r="BC2" s="1066"/>
      <c r="BD2" s="1066"/>
      <c r="BE2" s="1066"/>
      <c r="BF2" s="1066"/>
      <c r="BG2" s="1066"/>
      <c r="BH2" s="1066"/>
      <c r="BI2" s="1066"/>
      <c r="BJ2" s="1064"/>
      <c r="BK2" s="1064"/>
      <c r="BL2" s="1064"/>
      <c r="BM2" s="1064"/>
      <c r="BN2" s="1064"/>
      <c r="BO2" s="1064"/>
      <c r="BP2" s="1064"/>
      <c r="BQ2" s="1064"/>
      <c r="BR2" s="1064"/>
      <c r="BS2" s="1064"/>
      <c r="BT2" s="1064"/>
      <c r="BU2" s="1065"/>
      <c r="BV2" s="1065"/>
      <c r="BW2" s="1065"/>
      <c r="BX2" s="1065"/>
      <c r="BY2" s="1065"/>
      <c r="BZ2" s="1065"/>
      <c r="CA2" s="1065"/>
      <c r="CB2" s="1065"/>
      <c r="CC2" s="1065"/>
      <c r="CD2" s="1065"/>
      <c r="CE2" s="1065"/>
      <c r="CF2" s="1065"/>
      <c r="CG2" s="1065"/>
      <c r="CH2" s="1065"/>
      <c r="CI2" s="1065"/>
      <c r="CJ2" s="1065"/>
      <c r="CK2" s="1065"/>
      <c r="CL2" s="1065"/>
      <c r="CM2" s="1065"/>
      <c r="CN2" s="1065"/>
      <c r="CO2" s="1065"/>
      <c r="CP2" s="1065"/>
      <c r="CQ2" s="1065"/>
      <c r="CR2" s="1065"/>
      <c r="CS2" s="1065"/>
      <c r="CT2" s="1065"/>
      <c r="CU2" s="1065"/>
      <c r="CV2" s="1065"/>
      <c r="CW2" s="1065"/>
      <c r="CX2" s="1065"/>
      <c r="CY2" s="1065"/>
      <c r="CZ2" s="1065"/>
      <c r="DA2" s="1065"/>
      <c r="DB2" s="1065"/>
      <c r="DC2" s="1065"/>
      <c r="DD2" s="1065"/>
      <c r="DE2" s="1065"/>
      <c r="DF2" s="1065"/>
      <c r="DG2" s="1065"/>
      <c r="DH2" s="1065"/>
      <c r="DI2" s="1065"/>
      <c r="DJ2" s="1065"/>
      <c r="DK2" s="1065"/>
      <c r="DL2" s="1065"/>
      <c r="DM2" s="1065"/>
      <c r="DN2" s="1065"/>
      <c r="DO2" s="1065"/>
      <c r="DP2" s="1065"/>
      <c r="DQ2" s="1065"/>
      <c r="DR2" s="1065"/>
      <c r="DS2" s="1065"/>
      <c r="DT2" s="1065"/>
      <c r="DU2" s="1065"/>
      <c r="DV2" s="1065"/>
      <c r="DW2" s="1065"/>
      <c r="DX2" s="1065"/>
      <c r="DY2" s="1065"/>
      <c r="DZ2" s="1065"/>
      <c r="EA2" s="1065"/>
      <c r="EB2" s="1065"/>
      <c r="EC2" s="1065"/>
      <c r="ED2" s="1065"/>
      <c r="EE2" s="1065"/>
      <c r="EF2" s="1065"/>
      <c r="EG2" s="1065"/>
      <c r="EH2" s="1065"/>
      <c r="EI2" s="1065"/>
      <c r="EJ2" s="1065"/>
      <c r="EK2" s="1065"/>
      <c r="EL2" s="1065"/>
      <c r="EM2" s="1583" t="s">
        <v>1227</v>
      </c>
      <c r="EN2" s="1584"/>
      <c r="EO2" s="1584"/>
      <c r="EP2" s="1584"/>
      <c r="EQ2" s="1585"/>
      <c r="ER2" s="1065"/>
      <c r="ES2" s="1574" t="s">
        <v>1203</v>
      </c>
      <c r="ET2" s="1575"/>
      <c r="EU2" s="1575"/>
      <c r="EV2" s="1575"/>
      <c r="EW2" s="1576"/>
    </row>
    <row r="3" spans="1:155" ht="19.5" customHeight="1" thickBot="1">
      <c r="A3" s="1627"/>
      <c r="B3" s="1549"/>
      <c r="C3" s="1550"/>
      <c r="D3" s="1065"/>
      <c r="E3" s="1632" t="s">
        <v>1482</v>
      </c>
      <c r="F3" s="1633"/>
      <c r="G3" s="1633"/>
      <c r="H3" s="1634"/>
      <c r="I3" s="1065"/>
      <c r="J3" s="1545" t="s">
        <v>1250</v>
      </c>
      <c r="K3" s="1546"/>
      <c r="L3" s="1065"/>
      <c r="M3" s="1586" t="s">
        <v>1703</v>
      </c>
      <c r="N3" s="1587"/>
      <c r="O3" s="1587"/>
      <c r="P3" s="1588"/>
      <c r="Q3" s="1065"/>
      <c r="R3" s="1606" t="s">
        <v>184</v>
      </c>
      <c r="S3" s="1587"/>
      <c r="T3" s="1587"/>
      <c r="U3" s="1588"/>
      <c r="V3" s="1064"/>
      <c r="W3" s="1586" t="s">
        <v>207</v>
      </c>
      <c r="X3" s="1587"/>
      <c r="Y3" s="1587"/>
      <c r="Z3" s="1588"/>
      <c r="AA3" s="1064"/>
      <c r="AB3" s="1586" t="s">
        <v>208</v>
      </c>
      <c r="AC3" s="1587"/>
      <c r="AD3" s="1587"/>
      <c r="AE3" s="1588"/>
      <c r="AF3" s="1064"/>
      <c r="AG3" s="1586" t="s">
        <v>232</v>
      </c>
      <c r="AH3" s="1587"/>
      <c r="AI3" s="1587"/>
      <c r="AJ3" s="1588"/>
      <c r="AK3" s="1071"/>
      <c r="AL3" s="1586" t="s">
        <v>218</v>
      </c>
      <c r="AM3" s="1587"/>
      <c r="AN3" s="1587"/>
      <c r="AO3" s="1588"/>
      <c r="AP3" s="1075"/>
      <c r="AQ3" s="1586" t="s">
        <v>212</v>
      </c>
      <c r="AR3" s="1587"/>
      <c r="AS3" s="1587"/>
      <c r="AT3" s="1588"/>
      <c r="AU3" s="1075"/>
      <c r="AV3" s="1586" t="s">
        <v>1179</v>
      </c>
      <c r="AW3" s="1587"/>
      <c r="AX3" s="1587"/>
      <c r="AY3" s="1588"/>
      <c r="AZ3" s="1072"/>
      <c r="BA3" s="1586" t="s">
        <v>1178</v>
      </c>
      <c r="BB3" s="1587"/>
      <c r="BC3" s="1587"/>
      <c r="BD3" s="1588"/>
      <c r="BE3" s="1072"/>
      <c r="BF3" s="1586" t="s">
        <v>220</v>
      </c>
      <c r="BG3" s="1587"/>
      <c r="BH3" s="1587"/>
      <c r="BI3" s="1588"/>
      <c r="BJ3" s="1597"/>
      <c r="BK3" s="1586" t="s">
        <v>233</v>
      </c>
      <c r="BL3" s="1587"/>
      <c r="BM3" s="1587"/>
      <c r="BN3" s="1588"/>
      <c r="BO3" s="1163"/>
      <c r="BP3" s="1586" t="s">
        <v>234</v>
      </c>
      <c r="BQ3" s="1587"/>
      <c r="BR3" s="1587"/>
      <c r="BS3" s="1588"/>
      <c r="BT3" s="1163"/>
      <c r="BU3" s="1586" t="s">
        <v>235</v>
      </c>
      <c r="BV3" s="1587"/>
      <c r="BW3" s="1587"/>
      <c r="BX3" s="1588"/>
      <c r="BY3" s="1064"/>
      <c r="BZ3" s="1586" t="s">
        <v>227</v>
      </c>
      <c r="CA3" s="1587"/>
      <c r="CB3" s="1587"/>
      <c r="CC3" s="1588"/>
      <c r="CD3" s="1075"/>
      <c r="CE3" s="1586" t="s">
        <v>519</v>
      </c>
      <c r="CF3" s="1587"/>
      <c r="CG3" s="1587"/>
      <c r="CH3" s="1588"/>
      <c r="CI3" s="1064"/>
      <c r="CJ3" s="1594" t="s">
        <v>481</v>
      </c>
      <c r="CK3" s="1595"/>
      <c r="CL3" s="1595"/>
      <c r="CM3" s="1596"/>
      <c r="CN3" s="1075"/>
      <c r="CO3" s="1594" t="s">
        <v>224</v>
      </c>
      <c r="CP3" s="1595"/>
      <c r="CQ3" s="1595"/>
      <c r="CR3" s="1596"/>
      <c r="CS3" s="1064"/>
      <c r="CT3" s="1586" t="s">
        <v>231</v>
      </c>
      <c r="CU3" s="1587"/>
      <c r="CV3" s="1587"/>
      <c r="CW3" s="1588"/>
      <c r="CX3" s="1064"/>
      <c r="CY3" s="1586" t="s">
        <v>1472</v>
      </c>
      <c r="CZ3" s="1587"/>
      <c r="DA3" s="1587"/>
      <c r="DB3" s="1588"/>
      <c r="DC3" s="1064"/>
      <c r="DD3" s="1586" t="s">
        <v>229</v>
      </c>
      <c r="DE3" s="1587"/>
      <c r="DF3" s="1587"/>
      <c r="DG3" s="1588"/>
      <c r="DH3" s="1064"/>
      <c r="DI3" s="1589" t="s">
        <v>487</v>
      </c>
      <c r="DJ3" s="1590"/>
      <c r="DK3" s="1590"/>
      <c r="DL3" s="1591"/>
      <c r="DM3" s="1064"/>
      <c r="DN3" s="1589" t="s">
        <v>482</v>
      </c>
      <c r="DO3" s="1590"/>
      <c r="DP3" s="1590"/>
      <c r="DQ3" s="1591"/>
      <c r="DR3" s="1064"/>
      <c r="DS3" s="1594" t="s">
        <v>483</v>
      </c>
      <c r="DT3" s="1595"/>
      <c r="DU3" s="1595"/>
      <c r="DV3" s="1596"/>
      <c r="DW3" s="1064"/>
      <c r="DX3" s="1594" t="s">
        <v>486</v>
      </c>
      <c r="DY3" s="1595"/>
      <c r="DZ3" s="1595"/>
      <c r="EA3" s="1596"/>
      <c r="EB3" s="1064"/>
      <c r="EC3" s="1589" t="s">
        <v>484</v>
      </c>
      <c r="ED3" s="1590"/>
      <c r="EE3" s="1590"/>
      <c r="EF3" s="1591"/>
      <c r="EG3" s="1064"/>
      <c r="EH3" s="1589" t="s">
        <v>485</v>
      </c>
      <c r="EI3" s="1590"/>
      <c r="EJ3" s="1590"/>
      <c r="EK3" s="1591"/>
      <c r="EL3" s="1064"/>
      <c r="EM3" s="1592" t="s">
        <v>242</v>
      </c>
      <c r="EN3" s="1581" t="s">
        <v>326</v>
      </c>
      <c r="EO3" s="1582"/>
      <c r="EP3" s="1581" t="s">
        <v>327</v>
      </c>
      <c r="EQ3" s="1582"/>
      <c r="ER3" s="1216"/>
      <c r="ES3" s="1579" t="s">
        <v>383</v>
      </c>
      <c r="ET3" s="1577" t="s">
        <v>1746</v>
      </c>
      <c r="EU3" s="1578"/>
      <c r="EV3" s="1577" t="s">
        <v>1752</v>
      </c>
      <c r="EW3" s="1578"/>
    </row>
    <row r="4" spans="1:155" s="239" customFormat="1" ht="17.100000000000001" customHeight="1" thickBot="1">
      <c r="A4" s="1627"/>
      <c r="B4" s="1542"/>
      <c r="C4" s="1542"/>
      <c r="D4" s="1165"/>
      <c r="E4" s="1166" t="s">
        <v>206</v>
      </c>
      <c r="F4" s="1166" t="s">
        <v>95</v>
      </c>
      <c r="G4" s="1166" t="s">
        <v>185</v>
      </c>
      <c r="H4" s="1166" t="s">
        <v>186</v>
      </c>
      <c r="I4" s="1065"/>
      <c r="J4" s="1079" t="s">
        <v>206</v>
      </c>
      <c r="K4" s="1080" t="s">
        <v>1251</v>
      </c>
      <c r="L4" s="1065"/>
      <c r="M4" s="1166" t="s">
        <v>206</v>
      </c>
      <c r="N4" s="1166" t="s">
        <v>95</v>
      </c>
      <c r="O4" s="1166" t="s">
        <v>185</v>
      </c>
      <c r="P4" s="1166" t="s">
        <v>186</v>
      </c>
      <c r="Q4" s="1065"/>
      <c r="R4" s="1168" t="s">
        <v>206</v>
      </c>
      <c r="S4" s="1169" t="s">
        <v>95</v>
      </c>
      <c r="T4" s="1168" t="s">
        <v>185</v>
      </c>
      <c r="U4" s="1168" t="s">
        <v>186</v>
      </c>
      <c r="V4" s="1083"/>
      <c r="W4" s="1166" t="s">
        <v>206</v>
      </c>
      <c r="X4" s="1166" t="s">
        <v>95</v>
      </c>
      <c r="Y4" s="1166" t="s">
        <v>185</v>
      </c>
      <c r="Z4" s="1166" t="s">
        <v>186</v>
      </c>
      <c r="AA4" s="1083"/>
      <c r="AB4" s="1166" t="s">
        <v>206</v>
      </c>
      <c r="AC4" s="1166" t="s">
        <v>95</v>
      </c>
      <c r="AD4" s="1166" t="s">
        <v>185</v>
      </c>
      <c r="AE4" s="1166" t="s">
        <v>186</v>
      </c>
      <c r="AF4" s="1072"/>
      <c r="AG4" s="1166" t="s">
        <v>206</v>
      </c>
      <c r="AH4" s="1166" t="s">
        <v>95</v>
      </c>
      <c r="AI4" s="1166" t="s">
        <v>185</v>
      </c>
      <c r="AJ4" s="1166" t="s">
        <v>186</v>
      </c>
      <c r="AK4" s="1088"/>
      <c r="AL4" s="1166" t="s">
        <v>206</v>
      </c>
      <c r="AM4" s="1166" t="s">
        <v>95</v>
      </c>
      <c r="AN4" s="1166" t="s">
        <v>185</v>
      </c>
      <c r="AO4" s="1166" t="s">
        <v>186</v>
      </c>
      <c r="AP4" s="1170"/>
      <c r="AQ4" s="1166" t="s">
        <v>206</v>
      </c>
      <c r="AR4" s="1166" t="s">
        <v>95</v>
      </c>
      <c r="AS4" s="1166" t="s">
        <v>185</v>
      </c>
      <c r="AT4" s="1166" t="s">
        <v>186</v>
      </c>
      <c r="AU4" s="1170"/>
      <c r="AV4" s="1166" t="s">
        <v>206</v>
      </c>
      <c r="AW4" s="1166" t="s">
        <v>95</v>
      </c>
      <c r="AX4" s="1166" t="s">
        <v>185</v>
      </c>
      <c r="AY4" s="1166" t="s">
        <v>186</v>
      </c>
      <c r="AZ4" s="1089"/>
      <c r="BA4" s="1168" t="s">
        <v>206</v>
      </c>
      <c r="BB4" s="1168" t="s">
        <v>95</v>
      </c>
      <c r="BC4" s="1168" t="s">
        <v>185</v>
      </c>
      <c r="BD4" s="1168" t="s">
        <v>186</v>
      </c>
      <c r="BE4" s="1089"/>
      <c r="BF4" s="1166" t="s">
        <v>206</v>
      </c>
      <c r="BG4" s="1166" t="s">
        <v>95</v>
      </c>
      <c r="BH4" s="1166" t="s">
        <v>185</v>
      </c>
      <c r="BI4" s="1166" t="s">
        <v>186</v>
      </c>
      <c r="BJ4" s="1597"/>
      <c r="BK4" s="1166" t="s">
        <v>206</v>
      </c>
      <c r="BL4" s="1166" t="s">
        <v>95</v>
      </c>
      <c r="BM4" s="1166" t="s">
        <v>185</v>
      </c>
      <c r="BN4" s="1166" t="s">
        <v>186</v>
      </c>
      <c r="BO4" s="1163"/>
      <c r="BP4" s="1166" t="s">
        <v>206</v>
      </c>
      <c r="BQ4" s="1166" t="s">
        <v>95</v>
      </c>
      <c r="BR4" s="1166" t="s">
        <v>185</v>
      </c>
      <c r="BS4" s="1166" t="s">
        <v>186</v>
      </c>
      <c r="BT4" s="1163"/>
      <c r="BU4" s="1166" t="s">
        <v>206</v>
      </c>
      <c r="BV4" s="1166" t="s">
        <v>95</v>
      </c>
      <c r="BW4" s="1166" t="s">
        <v>185</v>
      </c>
      <c r="BX4" s="1166" t="s">
        <v>186</v>
      </c>
      <c r="BY4" s="1096"/>
      <c r="BZ4" s="1166" t="s">
        <v>206</v>
      </c>
      <c r="CA4" s="1166" t="s">
        <v>95</v>
      </c>
      <c r="CB4" s="1166" t="s">
        <v>185</v>
      </c>
      <c r="CC4" s="1166" t="s">
        <v>186</v>
      </c>
      <c r="CD4" s="1170"/>
      <c r="CE4" s="1166" t="s">
        <v>206</v>
      </c>
      <c r="CF4" s="1166" t="s">
        <v>95</v>
      </c>
      <c r="CG4" s="1166" t="s">
        <v>185</v>
      </c>
      <c r="CH4" s="1166" t="s">
        <v>186</v>
      </c>
      <c r="CI4" s="1096"/>
      <c r="CJ4" s="1171" t="s">
        <v>206</v>
      </c>
      <c r="CK4" s="1166" t="s">
        <v>95</v>
      </c>
      <c r="CL4" s="1166" t="s">
        <v>185</v>
      </c>
      <c r="CM4" s="1172" t="s">
        <v>186</v>
      </c>
      <c r="CN4" s="1170"/>
      <c r="CO4" s="1166" t="s">
        <v>206</v>
      </c>
      <c r="CP4" s="1173" t="s">
        <v>95</v>
      </c>
      <c r="CQ4" s="1166" t="s">
        <v>185</v>
      </c>
      <c r="CR4" s="1172" t="s">
        <v>186</v>
      </c>
      <c r="CS4" s="1096"/>
      <c r="CT4" s="1166" t="s">
        <v>206</v>
      </c>
      <c r="CU4" s="1166" t="s">
        <v>95</v>
      </c>
      <c r="CV4" s="1166" t="s">
        <v>185</v>
      </c>
      <c r="CW4" s="1166" t="s">
        <v>186</v>
      </c>
      <c r="CX4" s="1096"/>
      <c r="CY4" s="1166" t="s">
        <v>206</v>
      </c>
      <c r="CZ4" s="1166" t="s">
        <v>95</v>
      </c>
      <c r="DA4" s="1166" t="s">
        <v>185</v>
      </c>
      <c r="DB4" s="1166" t="s">
        <v>186</v>
      </c>
      <c r="DC4" s="1096"/>
      <c r="DD4" s="1166" t="s">
        <v>206</v>
      </c>
      <c r="DE4" s="1166" t="s">
        <v>95</v>
      </c>
      <c r="DF4" s="1166" t="s">
        <v>185</v>
      </c>
      <c r="DG4" s="1166" t="s">
        <v>186</v>
      </c>
      <c r="DH4" s="1096"/>
      <c r="DI4" s="1174" t="s">
        <v>206</v>
      </c>
      <c r="DJ4" s="1174" t="s">
        <v>95</v>
      </c>
      <c r="DK4" s="1174" t="s">
        <v>185</v>
      </c>
      <c r="DL4" s="1174" t="s">
        <v>186</v>
      </c>
      <c r="DM4" s="1096"/>
      <c r="DN4" s="1174" t="s">
        <v>206</v>
      </c>
      <c r="DO4" s="1175" t="s">
        <v>95</v>
      </c>
      <c r="DP4" s="1174" t="s">
        <v>185</v>
      </c>
      <c r="DQ4" s="1174" t="s">
        <v>186</v>
      </c>
      <c r="DR4" s="1096"/>
      <c r="DS4" s="1166" t="s">
        <v>206</v>
      </c>
      <c r="DT4" s="1166" t="s">
        <v>95</v>
      </c>
      <c r="DU4" s="1166" t="s">
        <v>185</v>
      </c>
      <c r="DV4" s="1166" t="s">
        <v>186</v>
      </c>
      <c r="DW4" s="1096"/>
      <c r="DX4" s="1166" t="s">
        <v>206</v>
      </c>
      <c r="DY4" s="1166" t="s">
        <v>95</v>
      </c>
      <c r="DZ4" s="1166" t="s">
        <v>185</v>
      </c>
      <c r="EA4" s="1166" t="s">
        <v>186</v>
      </c>
      <c r="EB4" s="1096"/>
      <c r="EC4" s="1174" t="s">
        <v>206</v>
      </c>
      <c r="ED4" s="1174" t="s">
        <v>95</v>
      </c>
      <c r="EE4" s="1174" t="s">
        <v>185</v>
      </c>
      <c r="EF4" s="1174" t="s">
        <v>186</v>
      </c>
      <c r="EG4" s="1096"/>
      <c r="EH4" s="1174" t="s">
        <v>206</v>
      </c>
      <c r="EI4" s="1174" t="s">
        <v>95</v>
      </c>
      <c r="EJ4" s="1174" t="s">
        <v>185</v>
      </c>
      <c r="EK4" s="1174" t="s">
        <v>186</v>
      </c>
      <c r="EL4" s="1096"/>
      <c r="EM4" s="1593"/>
      <c r="EN4" s="1176" t="s">
        <v>243</v>
      </c>
      <c r="EO4" s="1177" t="s">
        <v>244</v>
      </c>
      <c r="EP4" s="1178" t="s">
        <v>243</v>
      </c>
      <c r="EQ4" s="1179" t="s">
        <v>244</v>
      </c>
      <c r="ER4" s="59"/>
      <c r="ES4" s="1580"/>
      <c r="ET4" s="1377" t="s">
        <v>1747</v>
      </c>
      <c r="EU4" s="1378" t="s">
        <v>1748</v>
      </c>
      <c r="EV4" s="1377" t="s">
        <v>1747</v>
      </c>
      <c r="EW4" s="1378" t="s">
        <v>1748</v>
      </c>
    </row>
    <row r="5" spans="1:155" s="6" customFormat="1" ht="15" customHeight="1" thickBot="1">
      <c r="A5" s="1627"/>
      <c r="B5" s="1635" t="s">
        <v>1478</v>
      </c>
      <c r="C5" s="1636"/>
      <c r="D5" s="1065"/>
      <c r="E5" s="1108" t="s">
        <v>74</v>
      </c>
      <c r="F5" s="1180"/>
      <c r="G5" s="1181"/>
      <c r="H5" s="1182"/>
      <c r="I5" s="1065"/>
      <c r="J5" s="1108" t="s">
        <v>74</v>
      </c>
      <c r="K5" s="1109"/>
      <c r="L5" s="1065"/>
      <c r="M5" s="1183" t="s">
        <v>74</v>
      </c>
      <c r="N5" s="1180"/>
      <c r="O5" s="1181"/>
      <c r="P5" s="1182"/>
      <c r="Q5" s="1065"/>
      <c r="R5" s="1125" t="s">
        <v>74</v>
      </c>
      <c r="S5" s="1184"/>
      <c r="T5" s="1111"/>
      <c r="U5" s="1185"/>
      <c r="V5" s="1112"/>
      <c r="W5" s="1125" t="s">
        <v>74</v>
      </c>
      <c r="X5" s="1180"/>
      <c r="Y5" s="1181"/>
      <c r="Z5" s="1182"/>
      <c r="AA5" s="1112"/>
      <c r="AB5" s="1125" t="s">
        <v>74</v>
      </c>
      <c r="AC5" s="1180"/>
      <c r="AD5" s="1181"/>
      <c r="AE5" s="1182"/>
      <c r="AF5" s="1114"/>
      <c r="AG5" s="1125" t="s">
        <v>74</v>
      </c>
      <c r="AH5" s="1180"/>
      <c r="AI5" s="1181"/>
      <c r="AJ5" s="1182"/>
      <c r="AK5" s="1112"/>
      <c r="AL5" s="1125" t="s">
        <v>74</v>
      </c>
      <c r="AM5" s="1180"/>
      <c r="AN5" s="1181"/>
      <c r="AO5" s="1182"/>
      <c r="AP5" s="1114"/>
      <c r="AQ5" s="1125" t="s">
        <v>74</v>
      </c>
      <c r="AR5" s="1180"/>
      <c r="AS5" s="1181"/>
      <c r="AT5" s="1182"/>
      <c r="AU5" s="1114"/>
      <c r="AV5" s="1125" t="s">
        <v>74</v>
      </c>
      <c r="AW5" s="1180"/>
      <c r="AX5" s="1181"/>
      <c r="AY5" s="1182"/>
      <c r="AZ5" s="1114"/>
      <c r="BA5" s="1125" t="s">
        <v>74</v>
      </c>
      <c r="BB5" s="1184"/>
      <c r="BC5" s="1111"/>
      <c r="BD5" s="1185"/>
      <c r="BE5" s="1114"/>
      <c r="BF5" s="1183" t="s">
        <v>74</v>
      </c>
      <c r="BG5" s="1180"/>
      <c r="BH5" s="1181"/>
      <c r="BI5" s="1182"/>
      <c r="BJ5" s="1573"/>
      <c r="BK5" s="1183" t="s">
        <v>74</v>
      </c>
      <c r="BL5" s="1180"/>
      <c r="BM5" s="1181"/>
      <c r="BN5" s="1182"/>
      <c r="BO5" s="1067"/>
      <c r="BP5" s="1183" t="s">
        <v>74</v>
      </c>
      <c r="BQ5" s="1180"/>
      <c r="BR5" s="1181"/>
      <c r="BS5" s="1182"/>
      <c r="BT5" s="1067"/>
      <c r="BU5" s="1183" t="s">
        <v>74</v>
      </c>
      <c r="BV5" s="1180"/>
      <c r="BW5" s="1181"/>
      <c r="BX5" s="1182"/>
      <c r="BY5" s="1116"/>
      <c r="BZ5" s="1183" t="s">
        <v>74</v>
      </c>
      <c r="CA5" s="1180"/>
      <c r="CB5" s="1181"/>
      <c r="CC5" s="1182"/>
      <c r="CD5" s="1114"/>
      <c r="CE5" s="1183" t="s">
        <v>74</v>
      </c>
      <c r="CF5" s="1180"/>
      <c r="CG5" s="1181"/>
      <c r="CH5" s="1182"/>
      <c r="CI5" s="1116"/>
      <c r="CJ5" s="1183" t="s">
        <v>74</v>
      </c>
      <c r="CK5" s="1186"/>
      <c r="CL5" s="1181"/>
      <c r="CM5" s="1182"/>
      <c r="CN5" s="1114"/>
      <c r="CO5" s="1183" t="s">
        <v>74</v>
      </c>
      <c r="CP5" s="1186"/>
      <c r="CQ5" s="1181"/>
      <c r="CR5" s="1182"/>
      <c r="CS5" s="1116"/>
      <c r="CT5" s="1183" t="s">
        <v>74</v>
      </c>
      <c r="CU5" s="1180"/>
      <c r="CV5" s="1181"/>
      <c r="CW5" s="1182"/>
      <c r="CX5" s="1116"/>
      <c r="CY5" s="1183" t="s">
        <v>74</v>
      </c>
      <c r="CZ5" s="1180"/>
      <c r="DA5" s="1181"/>
      <c r="DB5" s="1182"/>
      <c r="DC5" s="1116"/>
      <c r="DD5" s="1183" t="s">
        <v>74</v>
      </c>
      <c r="DE5" s="1180"/>
      <c r="DF5" s="1181"/>
      <c r="DG5" s="1182"/>
      <c r="DH5" s="1116"/>
      <c r="DI5" s="1125" t="s">
        <v>74</v>
      </c>
      <c r="DJ5" s="1180"/>
      <c r="DK5" s="1181"/>
      <c r="DL5" s="1182"/>
      <c r="DM5" s="1116"/>
      <c r="DN5" s="1125" t="s">
        <v>74</v>
      </c>
      <c r="DO5" s="1180"/>
      <c r="DP5" s="1181"/>
      <c r="DQ5" s="1182"/>
      <c r="DR5" s="1116"/>
      <c r="DS5" s="1125" t="s">
        <v>74</v>
      </c>
      <c r="DT5" s="1180"/>
      <c r="DU5" s="1181"/>
      <c r="DV5" s="1182"/>
      <c r="DW5" s="1116"/>
      <c r="DX5" s="1125" t="s">
        <v>74</v>
      </c>
      <c r="DY5" s="1180"/>
      <c r="DZ5" s="1181"/>
      <c r="EA5" s="1182"/>
      <c r="EB5" s="1116"/>
      <c r="EC5" s="1125" t="s">
        <v>74</v>
      </c>
      <c r="ED5" s="1180"/>
      <c r="EE5" s="1181"/>
      <c r="EF5" s="1182"/>
      <c r="EG5" s="1116"/>
      <c r="EH5" s="1125" t="s">
        <v>74</v>
      </c>
      <c r="EI5" s="1180"/>
      <c r="EJ5" s="1181"/>
      <c r="EK5" s="1182"/>
      <c r="EL5" s="1116"/>
      <c r="EM5" s="1187" t="s">
        <v>328</v>
      </c>
      <c r="EN5" s="1188"/>
      <c r="EO5" s="1189"/>
      <c r="EP5" s="1190"/>
      <c r="EQ5" s="1191"/>
      <c r="ER5" s="1214">
        <f>SUM(EN5:EQ5)*15</f>
        <v>0</v>
      </c>
      <c r="ES5" s="1192"/>
      <c r="ET5" s="1188"/>
      <c r="EU5" s="1189"/>
      <c r="EV5" s="1190"/>
      <c r="EW5" s="1191"/>
    </row>
    <row r="6" spans="1:155" s="8" customFormat="1" ht="15" customHeight="1" thickBot="1">
      <c r="A6" s="1627"/>
      <c r="B6" s="1637"/>
      <c r="C6" s="1638"/>
      <c r="D6" s="1065"/>
      <c r="E6" s="1125" t="s">
        <v>75</v>
      </c>
      <c r="F6" s="1184"/>
      <c r="G6" s="1111"/>
      <c r="H6" s="1185"/>
      <c r="I6" s="1065"/>
      <c r="J6" s="1125" t="s">
        <v>75</v>
      </c>
      <c r="K6" s="1109"/>
      <c r="L6" s="1065"/>
      <c r="M6" s="1193" t="s">
        <v>75</v>
      </c>
      <c r="N6" s="1184"/>
      <c r="O6" s="1111"/>
      <c r="P6" s="1185"/>
      <c r="Q6" s="1065"/>
      <c r="R6" s="1193" t="s">
        <v>75</v>
      </c>
      <c r="S6" s="1184"/>
      <c r="T6" s="1111"/>
      <c r="U6" s="1185"/>
      <c r="V6" s="1112"/>
      <c r="W6" s="1193" t="s">
        <v>75</v>
      </c>
      <c r="X6" s="1184"/>
      <c r="Y6" s="1111"/>
      <c r="Z6" s="1185"/>
      <c r="AA6" s="1112"/>
      <c r="AB6" s="1193" t="s">
        <v>75</v>
      </c>
      <c r="AC6" s="1184"/>
      <c r="AD6" s="1111"/>
      <c r="AE6" s="1185"/>
      <c r="AF6" s="1114"/>
      <c r="AG6" s="1193" t="s">
        <v>75</v>
      </c>
      <c r="AH6" s="1184"/>
      <c r="AI6" s="1111"/>
      <c r="AJ6" s="1185"/>
      <c r="AK6" s="1112"/>
      <c r="AL6" s="1193" t="s">
        <v>75</v>
      </c>
      <c r="AM6" s="1184"/>
      <c r="AN6" s="1111"/>
      <c r="AO6" s="1185"/>
      <c r="AP6" s="1114"/>
      <c r="AQ6" s="1193" t="s">
        <v>75</v>
      </c>
      <c r="AR6" s="1184"/>
      <c r="AS6" s="1111"/>
      <c r="AT6" s="1185"/>
      <c r="AU6" s="1114"/>
      <c r="AV6" s="1193" t="s">
        <v>75</v>
      </c>
      <c r="AW6" s="1184"/>
      <c r="AX6" s="1111"/>
      <c r="AY6" s="1185"/>
      <c r="AZ6" s="1114"/>
      <c r="BA6" s="1193" t="s">
        <v>75</v>
      </c>
      <c r="BB6" s="1184"/>
      <c r="BC6" s="1111"/>
      <c r="BD6" s="1185"/>
      <c r="BE6" s="1114"/>
      <c r="BF6" s="1193" t="s">
        <v>75</v>
      </c>
      <c r="BG6" s="1184"/>
      <c r="BH6" s="1111"/>
      <c r="BI6" s="1185"/>
      <c r="BJ6" s="1573"/>
      <c r="BK6" s="1193" t="s">
        <v>75</v>
      </c>
      <c r="BL6" s="1184"/>
      <c r="BM6" s="1111"/>
      <c r="BN6" s="1185"/>
      <c r="BO6" s="1067"/>
      <c r="BP6" s="1193" t="s">
        <v>75</v>
      </c>
      <c r="BQ6" s="1184"/>
      <c r="BR6" s="1111"/>
      <c r="BS6" s="1185"/>
      <c r="BT6" s="1067"/>
      <c r="BU6" s="1193" t="s">
        <v>75</v>
      </c>
      <c r="BV6" s="1184"/>
      <c r="BW6" s="1111"/>
      <c r="BX6" s="1185"/>
      <c r="BY6" s="1128"/>
      <c r="BZ6" s="1193" t="s">
        <v>75</v>
      </c>
      <c r="CA6" s="1180"/>
      <c r="CB6" s="1111"/>
      <c r="CC6" s="1185"/>
      <c r="CD6" s="1114"/>
      <c r="CE6" s="1193" t="s">
        <v>75</v>
      </c>
      <c r="CF6" s="1184"/>
      <c r="CG6" s="1111"/>
      <c r="CH6" s="1185"/>
      <c r="CI6" s="1128"/>
      <c r="CJ6" s="1193" t="s">
        <v>75</v>
      </c>
      <c r="CK6" s="1110"/>
      <c r="CL6" s="1111"/>
      <c r="CM6" s="1185"/>
      <c r="CN6" s="1114"/>
      <c r="CO6" s="1193" t="s">
        <v>75</v>
      </c>
      <c r="CP6" s="1110"/>
      <c r="CQ6" s="1111"/>
      <c r="CR6" s="1185"/>
      <c r="CS6" s="1128"/>
      <c r="CT6" s="1193" t="s">
        <v>75</v>
      </c>
      <c r="CU6" s="1184"/>
      <c r="CV6" s="1111"/>
      <c r="CW6" s="1185"/>
      <c r="CX6" s="1128"/>
      <c r="CY6" s="1193" t="s">
        <v>75</v>
      </c>
      <c r="CZ6" s="1184"/>
      <c r="DA6" s="1111"/>
      <c r="DB6" s="1185"/>
      <c r="DC6" s="1128"/>
      <c r="DD6" s="1193" t="s">
        <v>75</v>
      </c>
      <c r="DE6" s="1184"/>
      <c r="DF6" s="1111"/>
      <c r="DG6" s="1185"/>
      <c r="DH6" s="1128"/>
      <c r="DI6" s="1193" t="s">
        <v>75</v>
      </c>
      <c r="DJ6" s="1184"/>
      <c r="DK6" s="1111"/>
      <c r="DL6" s="1185"/>
      <c r="DM6" s="1128"/>
      <c r="DN6" s="1193" t="s">
        <v>75</v>
      </c>
      <c r="DO6" s="1184"/>
      <c r="DP6" s="1111"/>
      <c r="DQ6" s="1185"/>
      <c r="DR6" s="1128"/>
      <c r="DS6" s="1193" t="s">
        <v>75</v>
      </c>
      <c r="DT6" s="1184"/>
      <c r="DU6" s="1111"/>
      <c r="DV6" s="1185"/>
      <c r="DW6" s="1128"/>
      <c r="DX6" s="1193" t="s">
        <v>75</v>
      </c>
      <c r="DY6" s="1184"/>
      <c r="DZ6" s="1111"/>
      <c r="EA6" s="1185"/>
      <c r="EB6" s="1128"/>
      <c r="EC6" s="1193" t="s">
        <v>75</v>
      </c>
      <c r="ED6" s="1184"/>
      <c r="EE6" s="1111"/>
      <c r="EF6" s="1185"/>
      <c r="EG6" s="1128"/>
      <c r="EH6" s="1193" t="s">
        <v>75</v>
      </c>
      <c r="EI6" s="1184"/>
      <c r="EJ6" s="1111"/>
      <c r="EK6" s="1185"/>
      <c r="EL6" s="1128"/>
      <c r="EM6" s="1194" t="s">
        <v>329</v>
      </c>
      <c r="EN6" s="1195"/>
      <c r="EO6" s="1196"/>
      <c r="EP6" s="1197"/>
      <c r="EQ6" s="1198"/>
      <c r="ER6" s="1214">
        <f>SUM(EN6:EQ6)*30</f>
        <v>0</v>
      </c>
      <c r="ES6" s="1199" t="s">
        <v>1700</v>
      </c>
      <c r="ET6" s="1195"/>
      <c r="EU6" s="1196"/>
      <c r="EV6" s="1197"/>
      <c r="EW6" s="1198"/>
    </row>
    <row r="7" spans="1:155" s="8" customFormat="1" ht="15" customHeight="1" thickBot="1">
      <c r="A7" s="1627"/>
      <c r="B7" s="1200"/>
      <c r="C7" s="1200"/>
      <c r="D7" s="1065"/>
      <c r="E7" s="1108" t="s">
        <v>76</v>
      </c>
      <c r="F7" s="1184"/>
      <c r="G7" s="1111"/>
      <c r="H7" s="1185"/>
      <c r="I7" s="1065"/>
      <c r="J7" s="1108" t="s">
        <v>76</v>
      </c>
      <c r="K7" s="1109"/>
      <c r="L7" s="1065"/>
      <c r="M7" s="1125" t="s">
        <v>76</v>
      </c>
      <c r="N7" s="1184"/>
      <c r="O7" s="1111"/>
      <c r="P7" s="1185"/>
      <c r="Q7" s="1065"/>
      <c r="R7" s="1125" t="s">
        <v>76</v>
      </c>
      <c r="S7" s="1184"/>
      <c r="T7" s="1111"/>
      <c r="U7" s="1185"/>
      <c r="V7" s="1112"/>
      <c r="W7" s="1125" t="s">
        <v>76</v>
      </c>
      <c r="X7" s="1184"/>
      <c r="Y7" s="1111"/>
      <c r="Z7" s="1185"/>
      <c r="AA7" s="1112"/>
      <c r="AB7" s="1125" t="s">
        <v>76</v>
      </c>
      <c r="AC7" s="1184"/>
      <c r="AD7" s="1111"/>
      <c r="AE7" s="1185"/>
      <c r="AF7" s="1114"/>
      <c r="AG7" s="1125" t="s">
        <v>76</v>
      </c>
      <c r="AH7" s="1184"/>
      <c r="AI7" s="1111"/>
      <c r="AJ7" s="1185"/>
      <c r="AK7" s="1112"/>
      <c r="AL7" s="1125" t="s">
        <v>76</v>
      </c>
      <c r="AM7" s="1184"/>
      <c r="AN7" s="1111"/>
      <c r="AO7" s="1185"/>
      <c r="AP7" s="1114"/>
      <c r="AQ7" s="1125" t="s">
        <v>76</v>
      </c>
      <c r="AR7" s="1184"/>
      <c r="AS7" s="1111"/>
      <c r="AT7" s="1185"/>
      <c r="AU7" s="1114"/>
      <c r="AV7" s="1125" t="s">
        <v>76</v>
      </c>
      <c r="AW7" s="1184"/>
      <c r="AX7" s="1111"/>
      <c r="AY7" s="1185"/>
      <c r="AZ7" s="1114"/>
      <c r="BA7" s="1125" t="s">
        <v>76</v>
      </c>
      <c r="BB7" s="1184"/>
      <c r="BC7" s="1111"/>
      <c r="BD7" s="1185"/>
      <c r="BE7" s="1114"/>
      <c r="BF7" s="1125" t="s">
        <v>76</v>
      </c>
      <c r="BG7" s="1184"/>
      <c r="BH7" s="1111"/>
      <c r="BI7" s="1185"/>
      <c r="BJ7" s="1573"/>
      <c r="BK7" s="1125" t="s">
        <v>76</v>
      </c>
      <c r="BL7" s="1184"/>
      <c r="BM7" s="1111"/>
      <c r="BN7" s="1185"/>
      <c r="BO7" s="1067"/>
      <c r="BP7" s="1125" t="s">
        <v>76</v>
      </c>
      <c r="BQ7" s="1184"/>
      <c r="BR7" s="1111"/>
      <c r="BS7" s="1185"/>
      <c r="BT7" s="1067"/>
      <c r="BU7" s="1125" t="s">
        <v>76</v>
      </c>
      <c r="BV7" s="1184"/>
      <c r="BW7" s="1111"/>
      <c r="BX7" s="1185"/>
      <c r="BY7" s="1128"/>
      <c r="BZ7" s="1125" t="s">
        <v>76</v>
      </c>
      <c r="CA7" s="1184"/>
      <c r="CB7" s="1111"/>
      <c r="CC7" s="1185"/>
      <c r="CD7" s="1114"/>
      <c r="CE7" s="1125" t="s">
        <v>76</v>
      </c>
      <c r="CF7" s="1184"/>
      <c r="CG7" s="1111"/>
      <c r="CH7" s="1185"/>
      <c r="CI7" s="1128"/>
      <c r="CJ7" s="1125" t="s">
        <v>76</v>
      </c>
      <c r="CK7" s="1110"/>
      <c r="CL7" s="1111"/>
      <c r="CM7" s="1185"/>
      <c r="CN7" s="1114"/>
      <c r="CO7" s="1125" t="s">
        <v>76</v>
      </c>
      <c r="CP7" s="1110"/>
      <c r="CQ7" s="1111"/>
      <c r="CR7" s="1185"/>
      <c r="CS7" s="1128"/>
      <c r="CT7" s="1125" t="s">
        <v>76</v>
      </c>
      <c r="CU7" s="1184"/>
      <c r="CV7" s="1111"/>
      <c r="CW7" s="1185"/>
      <c r="CX7" s="1128"/>
      <c r="CY7" s="1125" t="s">
        <v>76</v>
      </c>
      <c r="CZ7" s="1184"/>
      <c r="DA7" s="1111"/>
      <c r="DB7" s="1185"/>
      <c r="DC7" s="1128"/>
      <c r="DD7" s="1125" t="s">
        <v>76</v>
      </c>
      <c r="DE7" s="1184"/>
      <c r="DF7" s="1111"/>
      <c r="DG7" s="1185"/>
      <c r="DH7" s="1128"/>
      <c r="DI7" s="1125" t="s">
        <v>76</v>
      </c>
      <c r="DJ7" s="1184"/>
      <c r="DK7" s="1111"/>
      <c r="DL7" s="1185"/>
      <c r="DM7" s="1128"/>
      <c r="DN7" s="1125" t="s">
        <v>76</v>
      </c>
      <c r="DO7" s="1184"/>
      <c r="DP7" s="1111"/>
      <c r="DQ7" s="1185"/>
      <c r="DR7" s="1128"/>
      <c r="DS7" s="1125" t="s">
        <v>76</v>
      </c>
      <c r="DT7" s="1184"/>
      <c r="DU7" s="1111"/>
      <c r="DV7" s="1185"/>
      <c r="DW7" s="1128"/>
      <c r="DX7" s="1125" t="s">
        <v>76</v>
      </c>
      <c r="DY7" s="1184"/>
      <c r="DZ7" s="1111"/>
      <c r="EA7" s="1185"/>
      <c r="EB7" s="1128"/>
      <c r="EC7" s="1125" t="s">
        <v>76</v>
      </c>
      <c r="ED7" s="1184"/>
      <c r="EE7" s="1111"/>
      <c r="EF7" s="1185"/>
      <c r="EG7" s="1128"/>
      <c r="EH7" s="1125" t="s">
        <v>76</v>
      </c>
      <c r="EI7" s="1184"/>
      <c r="EJ7" s="1111"/>
      <c r="EK7" s="1185"/>
      <c r="EL7" s="1128"/>
      <c r="EM7" s="1187" t="s">
        <v>330</v>
      </c>
      <c r="EN7" s="1195"/>
      <c r="EO7" s="1196"/>
      <c r="EP7" s="1197"/>
      <c r="EQ7" s="1198"/>
      <c r="ER7" s="1214">
        <f>SUM(EN7:EQ7)*45</f>
        <v>0</v>
      </c>
      <c r="ES7" s="1201" t="s">
        <v>341</v>
      </c>
      <c r="ET7" s="1195"/>
      <c r="EU7" s="1196"/>
      <c r="EV7" s="1197"/>
      <c r="EW7" s="1198"/>
      <c r="EX7" s="217"/>
      <c r="EY7" s="218"/>
    </row>
    <row r="8" spans="1:155" s="8" customFormat="1" ht="15" customHeight="1" thickBot="1">
      <c r="A8" s="1627"/>
      <c r="B8" s="1133" t="s">
        <v>520</v>
      </c>
      <c r="C8" s="1134">
        <v>0</v>
      </c>
      <c r="D8" s="1065"/>
      <c r="E8" s="1125" t="s">
        <v>77</v>
      </c>
      <c r="F8" s="1184"/>
      <c r="G8" s="1111"/>
      <c r="H8" s="1185"/>
      <c r="I8" s="1065"/>
      <c r="J8" s="1125" t="s">
        <v>77</v>
      </c>
      <c r="K8" s="1109"/>
      <c r="L8" s="1065"/>
      <c r="M8" s="1193" t="s">
        <v>77</v>
      </c>
      <c r="N8" s="1184"/>
      <c r="O8" s="1111"/>
      <c r="P8" s="1185"/>
      <c r="Q8" s="1065"/>
      <c r="R8" s="1193" t="s">
        <v>77</v>
      </c>
      <c r="S8" s="1184"/>
      <c r="T8" s="1111"/>
      <c r="U8" s="1185"/>
      <c r="V8" s="1112"/>
      <c r="W8" s="1193" t="s">
        <v>77</v>
      </c>
      <c r="X8" s="1184"/>
      <c r="Y8" s="1111"/>
      <c r="Z8" s="1185"/>
      <c r="AA8" s="1112"/>
      <c r="AB8" s="1193" t="s">
        <v>77</v>
      </c>
      <c r="AC8" s="1184"/>
      <c r="AD8" s="1111"/>
      <c r="AE8" s="1185"/>
      <c r="AF8" s="1114"/>
      <c r="AG8" s="1193" t="s">
        <v>77</v>
      </c>
      <c r="AH8" s="1184"/>
      <c r="AI8" s="1111"/>
      <c r="AJ8" s="1185"/>
      <c r="AK8" s="1112"/>
      <c r="AL8" s="1193" t="s">
        <v>77</v>
      </c>
      <c r="AM8" s="1184"/>
      <c r="AN8" s="1111"/>
      <c r="AO8" s="1185"/>
      <c r="AP8" s="1114"/>
      <c r="AQ8" s="1193" t="s">
        <v>77</v>
      </c>
      <c r="AR8" s="1184"/>
      <c r="AS8" s="1111"/>
      <c r="AT8" s="1185"/>
      <c r="AU8" s="1114"/>
      <c r="AV8" s="1193" t="s">
        <v>77</v>
      </c>
      <c r="AW8" s="1184"/>
      <c r="AX8" s="1111"/>
      <c r="AY8" s="1185"/>
      <c r="AZ8" s="1114"/>
      <c r="BA8" s="1193" t="s">
        <v>77</v>
      </c>
      <c r="BB8" s="1184"/>
      <c r="BC8" s="1111"/>
      <c r="BD8" s="1185"/>
      <c r="BE8" s="1114"/>
      <c r="BF8" s="1193" t="s">
        <v>77</v>
      </c>
      <c r="BG8" s="1184"/>
      <c r="BH8" s="1111"/>
      <c r="BI8" s="1185"/>
      <c r="BJ8" s="1573"/>
      <c r="BK8" s="1193" t="s">
        <v>77</v>
      </c>
      <c r="BL8" s="1184"/>
      <c r="BM8" s="1111"/>
      <c r="BN8" s="1185"/>
      <c r="BO8" s="1067"/>
      <c r="BP8" s="1193" t="s">
        <v>77</v>
      </c>
      <c r="BQ8" s="1184"/>
      <c r="BR8" s="1111"/>
      <c r="BS8" s="1185"/>
      <c r="BT8" s="1067"/>
      <c r="BU8" s="1193" t="s">
        <v>77</v>
      </c>
      <c r="BV8" s="1184"/>
      <c r="BW8" s="1111"/>
      <c r="BX8" s="1185"/>
      <c r="BY8" s="1128"/>
      <c r="BZ8" s="1193" t="s">
        <v>77</v>
      </c>
      <c r="CA8" s="1184"/>
      <c r="CB8" s="1111"/>
      <c r="CC8" s="1185"/>
      <c r="CD8" s="1114"/>
      <c r="CE8" s="1193" t="s">
        <v>77</v>
      </c>
      <c r="CF8" s="1184"/>
      <c r="CG8" s="1111"/>
      <c r="CH8" s="1185"/>
      <c r="CI8" s="1128"/>
      <c r="CJ8" s="1193" t="s">
        <v>77</v>
      </c>
      <c r="CK8" s="1110"/>
      <c r="CL8" s="1111"/>
      <c r="CM8" s="1185"/>
      <c r="CN8" s="1114"/>
      <c r="CO8" s="1193" t="s">
        <v>77</v>
      </c>
      <c r="CP8" s="1110"/>
      <c r="CQ8" s="1111"/>
      <c r="CR8" s="1185"/>
      <c r="CS8" s="1128"/>
      <c r="CT8" s="1193" t="s">
        <v>77</v>
      </c>
      <c r="CU8" s="1184"/>
      <c r="CV8" s="1111"/>
      <c r="CW8" s="1185"/>
      <c r="CX8" s="1128"/>
      <c r="CY8" s="1193" t="s">
        <v>77</v>
      </c>
      <c r="CZ8" s="1184"/>
      <c r="DA8" s="1111"/>
      <c r="DB8" s="1185"/>
      <c r="DC8" s="1128"/>
      <c r="DD8" s="1193" t="s">
        <v>77</v>
      </c>
      <c r="DE8" s="1184"/>
      <c r="DF8" s="1111"/>
      <c r="DG8" s="1185"/>
      <c r="DH8" s="1128"/>
      <c r="DI8" s="1193" t="s">
        <v>77</v>
      </c>
      <c r="DJ8" s="1184"/>
      <c r="DK8" s="1111"/>
      <c r="DL8" s="1185"/>
      <c r="DM8" s="1128"/>
      <c r="DN8" s="1193" t="s">
        <v>77</v>
      </c>
      <c r="DO8" s="1184"/>
      <c r="DP8" s="1111"/>
      <c r="DQ8" s="1185"/>
      <c r="DR8" s="1128"/>
      <c r="DS8" s="1193" t="s">
        <v>77</v>
      </c>
      <c r="DT8" s="1184"/>
      <c r="DU8" s="1111"/>
      <c r="DV8" s="1185"/>
      <c r="DW8" s="1128"/>
      <c r="DX8" s="1193" t="s">
        <v>77</v>
      </c>
      <c r="DY8" s="1184"/>
      <c r="DZ8" s="1111"/>
      <c r="EA8" s="1185"/>
      <c r="EB8" s="1128"/>
      <c r="EC8" s="1193" t="s">
        <v>77</v>
      </c>
      <c r="ED8" s="1184"/>
      <c r="EE8" s="1111"/>
      <c r="EF8" s="1185"/>
      <c r="EG8" s="1128"/>
      <c r="EH8" s="1193" t="s">
        <v>77</v>
      </c>
      <c r="EI8" s="1184"/>
      <c r="EJ8" s="1111"/>
      <c r="EK8" s="1185"/>
      <c r="EL8" s="1128"/>
      <c r="EM8" s="1194" t="s">
        <v>331</v>
      </c>
      <c r="EN8" s="1195"/>
      <c r="EO8" s="1196"/>
      <c r="EP8" s="1197"/>
      <c r="EQ8" s="1198"/>
      <c r="ER8" s="1214">
        <f>SUM(EN8:EQ8)*75</f>
        <v>0</v>
      </c>
      <c r="ES8" s="1199" t="s">
        <v>336</v>
      </c>
      <c r="ET8" s="1195"/>
      <c r="EU8" s="1196"/>
      <c r="EV8" s="1197"/>
      <c r="EW8" s="1198"/>
      <c r="EX8" s="217"/>
      <c r="EY8" s="218"/>
    </row>
    <row r="9" spans="1:155" s="8" customFormat="1" ht="15" customHeight="1" thickBot="1">
      <c r="A9" s="1627"/>
      <c r="B9" s="1135" t="s">
        <v>521</v>
      </c>
      <c r="C9" s="1134">
        <v>0</v>
      </c>
      <c r="D9" s="1065"/>
      <c r="E9" s="1108" t="s">
        <v>100</v>
      </c>
      <c r="F9" s="1184"/>
      <c r="G9" s="1111"/>
      <c r="H9" s="1185"/>
      <c r="I9" s="1065"/>
      <c r="J9" s="1108" t="s">
        <v>100</v>
      </c>
      <c r="K9" s="1109"/>
      <c r="L9" s="1065"/>
      <c r="M9" s="1125" t="s">
        <v>100</v>
      </c>
      <c r="N9" s="1184"/>
      <c r="O9" s="1111"/>
      <c r="P9" s="1185"/>
      <c r="Q9" s="1065"/>
      <c r="R9" s="1125" t="s">
        <v>100</v>
      </c>
      <c r="S9" s="1184"/>
      <c r="T9" s="1111"/>
      <c r="U9" s="1185"/>
      <c r="V9" s="1112"/>
      <c r="W9" s="1125" t="s">
        <v>100</v>
      </c>
      <c r="X9" s="1184"/>
      <c r="Y9" s="1111"/>
      <c r="Z9" s="1185"/>
      <c r="AA9" s="1112"/>
      <c r="AB9" s="1125" t="s">
        <v>100</v>
      </c>
      <c r="AC9" s="1184"/>
      <c r="AD9" s="1111"/>
      <c r="AE9" s="1185"/>
      <c r="AF9" s="1114"/>
      <c r="AG9" s="1125" t="s">
        <v>100</v>
      </c>
      <c r="AH9" s="1184"/>
      <c r="AI9" s="1111"/>
      <c r="AJ9" s="1185"/>
      <c r="AK9" s="1112"/>
      <c r="AL9" s="1125" t="s">
        <v>100</v>
      </c>
      <c r="AM9" s="1184"/>
      <c r="AN9" s="1111"/>
      <c r="AO9" s="1185"/>
      <c r="AP9" s="1114"/>
      <c r="AQ9" s="1125" t="s">
        <v>100</v>
      </c>
      <c r="AR9" s="1184"/>
      <c r="AS9" s="1111"/>
      <c r="AT9" s="1185"/>
      <c r="AU9" s="1114"/>
      <c r="AV9" s="1125" t="s">
        <v>100</v>
      </c>
      <c r="AW9" s="1184"/>
      <c r="AX9" s="1111"/>
      <c r="AY9" s="1185"/>
      <c r="AZ9" s="1114"/>
      <c r="BA9" s="1125" t="s">
        <v>100</v>
      </c>
      <c r="BB9" s="1184"/>
      <c r="BC9" s="1111"/>
      <c r="BD9" s="1185"/>
      <c r="BE9" s="1114"/>
      <c r="BF9" s="1125" t="s">
        <v>100</v>
      </c>
      <c r="BG9" s="1184"/>
      <c r="BH9" s="1111"/>
      <c r="BI9" s="1185"/>
      <c r="BJ9" s="1573"/>
      <c r="BK9" s="1125" t="s">
        <v>100</v>
      </c>
      <c r="BL9" s="1184"/>
      <c r="BM9" s="1111"/>
      <c r="BN9" s="1185"/>
      <c r="BO9" s="1067"/>
      <c r="BP9" s="1125" t="s">
        <v>100</v>
      </c>
      <c r="BQ9" s="1184"/>
      <c r="BR9" s="1111"/>
      <c r="BS9" s="1185"/>
      <c r="BT9" s="1067"/>
      <c r="BU9" s="1125" t="s">
        <v>100</v>
      </c>
      <c r="BV9" s="1184"/>
      <c r="BW9" s="1111"/>
      <c r="BX9" s="1185"/>
      <c r="BY9" s="1128"/>
      <c r="BZ9" s="1125" t="s">
        <v>100</v>
      </c>
      <c r="CA9" s="1184"/>
      <c r="CB9" s="1111"/>
      <c r="CC9" s="1185"/>
      <c r="CD9" s="1114"/>
      <c r="CE9" s="1125" t="s">
        <v>100</v>
      </c>
      <c r="CF9" s="1184"/>
      <c r="CG9" s="1111"/>
      <c r="CH9" s="1185"/>
      <c r="CI9" s="1128"/>
      <c r="CJ9" s="1125" t="s">
        <v>100</v>
      </c>
      <c r="CK9" s="1110"/>
      <c r="CL9" s="1111"/>
      <c r="CM9" s="1185"/>
      <c r="CN9" s="1114"/>
      <c r="CO9" s="1125" t="s">
        <v>100</v>
      </c>
      <c r="CP9" s="1110"/>
      <c r="CQ9" s="1111"/>
      <c r="CR9" s="1185"/>
      <c r="CS9" s="1128"/>
      <c r="CT9" s="1125" t="s">
        <v>100</v>
      </c>
      <c r="CU9" s="1184"/>
      <c r="CV9" s="1111"/>
      <c r="CW9" s="1185"/>
      <c r="CX9" s="1128"/>
      <c r="CY9" s="1125" t="s">
        <v>100</v>
      </c>
      <c r="CZ9" s="1184"/>
      <c r="DA9" s="1111"/>
      <c r="DB9" s="1185"/>
      <c r="DC9" s="1128"/>
      <c r="DD9" s="1125" t="s">
        <v>100</v>
      </c>
      <c r="DE9" s="1184"/>
      <c r="DF9" s="1111"/>
      <c r="DG9" s="1185"/>
      <c r="DH9" s="1128"/>
      <c r="DI9" s="1125" t="s">
        <v>100</v>
      </c>
      <c r="DJ9" s="1184"/>
      <c r="DK9" s="1111"/>
      <c r="DL9" s="1185"/>
      <c r="DM9" s="1128"/>
      <c r="DN9" s="1125" t="s">
        <v>100</v>
      </c>
      <c r="DO9" s="1184"/>
      <c r="DP9" s="1111"/>
      <c r="DQ9" s="1185"/>
      <c r="DR9" s="1128"/>
      <c r="DS9" s="1125" t="s">
        <v>100</v>
      </c>
      <c r="DT9" s="1184"/>
      <c r="DU9" s="1111"/>
      <c r="DV9" s="1185"/>
      <c r="DW9" s="1128"/>
      <c r="DX9" s="1125" t="s">
        <v>100</v>
      </c>
      <c r="DY9" s="1184"/>
      <c r="DZ9" s="1111"/>
      <c r="EA9" s="1185"/>
      <c r="EB9" s="1128"/>
      <c r="EC9" s="1125" t="s">
        <v>100</v>
      </c>
      <c r="ED9" s="1184"/>
      <c r="EE9" s="1111"/>
      <c r="EF9" s="1185"/>
      <c r="EG9" s="1128"/>
      <c r="EH9" s="1125" t="s">
        <v>100</v>
      </c>
      <c r="EI9" s="1184"/>
      <c r="EJ9" s="1111"/>
      <c r="EK9" s="1185"/>
      <c r="EL9" s="1128"/>
      <c r="EM9" s="1187" t="s">
        <v>332</v>
      </c>
      <c r="EN9" s="1195"/>
      <c r="EO9" s="1196"/>
      <c r="EP9" s="1197"/>
      <c r="EQ9" s="1198"/>
      <c r="ER9" s="1214">
        <f>SUM(EN9:EQ9)*112.5</f>
        <v>0</v>
      </c>
      <c r="ES9" s="1201" t="s">
        <v>337</v>
      </c>
      <c r="ET9" s="1195"/>
      <c r="EU9" s="1196"/>
      <c r="EV9" s="1197"/>
      <c r="EW9" s="1198"/>
    </row>
    <row r="10" spans="1:155" s="8" customFormat="1" ht="15" customHeight="1" thickBot="1">
      <c r="A10" s="1627"/>
      <c r="B10" s="1133" t="s">
        <v>522</v>
      </c>
      <c r="C10" s="1134">
        <v>0</v>
      </c>
      <c r="D10" s="1065"/>
      <c r="E10" s="1125" t="s">
        <v>78</v>
      </c>
      <c r="F10" s="1184"/>
      <c r="G10" s="1111"/>
      <c r="H10" s="1185"/>
      <c r="I10" s="1065"/>
      <c r="J10" s="1125" t="s">
        <v>78</v>
      </c>
      <c r="K10" s="1109"/>
      <c r="L10" s="1065"/>
      <c r="M10" s="1193" t="s">
        <v>78</v>
      </c>
      <c r="N10" s="1184"/>
      <c r="O10" s="1111"/>
      <c r="P10" s="1185"/>
      <c r="Q10" s="1065"/>
      <c r="R10" s="1193" t="s">
        <v>78</v>
      </c>
      <c r="S10" s="1184"/>
      <c r="T10" s="1111"/>
      <c r="U10" s="1185"/>
      <c r="V10" s="1112"/>
      <c r="W10" s="1193" t="s">
        <v>78</v>
      </c>
      <c r="X10" s="1184"/>
      <c r="Y10" s="1111"/>
      <c r="Z10" s="1185"/>
      <c r="AA10" s="1112"/>
      <c r="AB10" s="1193" t="s">
        <v>78</v>
      </c>
      <c r="AC10" s="1184"/>
      <c r="AD10" s="1111"/>
      <c r="AE10" s="1185"/>
      <c r="AF10" s="1114"/>
      <c r="AG10" s="1193" t="s">
        <v>78</v>
      </c>
      <c r="AH10" s="1184"/>
      <c r="AI10" s="1111"/>
      <c r="AJ10" s="1185"/>
      <c r="AK10" s="1112"/>
      <c r="AL10" s="1193" t="s">
        <v>78</v>
      </c>
      <c r="AM10" s="1184"/>
      <c r="AN10" s="1111"/>
      <c r="AO10" s="1185"/>
      <c r="AP10" s="1114"/>
      <c r="AQ10" s="1193" t="s">
        <v>78</v>
      </c>
      <c r="AR10" s="1184"/>
      <c r="AS10" s="1111"/>
      <c r="AT10" s="1185"/>
      <c r="AU10" s="1114"/>
      <c r="AV10" s="1193" t="s">
        <v>78</v>
      </c>
      <c r="AW10" s="1184"/>
      <c r="AX10" s="1111"/>
      <c r="AY10" s="1185"/>
      <c r="AZ10" s="1114"/>
      <c r="BA10" s="1193" t="s">
        <v>78</v>
      </c>
      <c r="BB10" s="1184"/>
      <c r="BC10" s="1111"/>
      <c r="BD10" s="1185"/>
      <c r="BE10" s="1114"/>
      <c r="BF10" s="1193" t="s">
        <v>78</v>
      </c>
      <c r="BG10" s="1184"/>
      <c r="BH10" s="1111"/>
      <c r="BI10" s="1185"/>
      <c r="BJ10" s="1573"/>
      <c r="BK10" s="1193" t="s">
        <v>78</v>
      </c>
      <c r="BL10" s="1184"/>
      <c r="BM10" s="1111"/>
      <c r="BN10" s="1185"/>
      <c r="BO10" s="1067"/>
      <c r="BP10" s="1193" t="s">
        <v>78</v>
      </c>
      <c r="BQ10" s="1184"/>
      <c r="BR10" s="1111"/>
      <c r="BS10" s="1185"/>
      <c r="BT10" s="1067"/>
      <c r="BU10" s="1193" t="s">
        <v>78</v>
      </c>
      <c r="BV10" s="1184"/>
      <c r="BW10" s="1111"/>
      <c r="BX10" s="1185"/>
      <c r="BY10" s="1128"/>
      <c r="BZ10" s="1193" t="s">
        <v>78</v>
      </c>
      <c r="CA10" s="1184"/>
      <c r="CB10" s="1111"/>
      <c r="CC10" s="1185"/>
      <c r="CD10" s="1114"/>
      <c r="CE10" s="1193" t="s">
        <v>78</v>
      </c>
      <c r="CF10" s="1184"/>
      <c r="CG10" s="1111"/>
      <c r="CH10" s="1185"/>
      <c r="CI10" s="1128"/>
      <c r="CJ10" s="1193" t="s">
        <v>78</v>
      </c>
      <c r="CK10" s="1184"/>
      <c r="CL10" s="1111"/>
      <c r="CM10" s="1185"/>
      <c r="CN10" s="1114"/>
      <c r="CO10" s="1193" t="s">
        <v>78</v>
      </c>
      <c r="CP10" s="1110"/>
      <c r="CQ10" s="1111"/>
      <c r="CR10" s="1185"/>
      <c r="CS10" s="1128"/>
      <c r="CT10" s="1193" t="s">
        <v>78</v>
      </c>
      <c r="CU10" s="1184"/>
      <c r="CV10" s="1111"/>
      <c r="CW10" s="1185"/>
      <c r="CX10" s="1128"/>
      <c r="CY10" s="1193" t="s">
        <v>78</v>
      </c>
      <c r="CZ10" s="1184"/>
      <c r="DA10" s="1111"/>
      <c r="DB10" s="1185"/>
      <c r="DC10" s="1128"/>
      <c r="DD10" s="1193" t="s">
        <v>78</v>
      </c>
      <c r="DE10" s="1184"/>
      <c r="DF10" s="1111"/>
      <c r="DG10" s="1185"/>
      <c r="DH10" s="1128"/>
      <c r="DI10" s="1193" t="s">
        <v>78</v>
      </c>
      <c r="DJ10" s="1184"/>
      <c r="DK10" s="1111"/>
      <c r="DL10" s="1185"/>
      <c r="DM10" s="1128"/>
      <c r="DN10" s="1193" t="s">
        <v>78</v>
      </c>
      <c r="DO10" s="1184"/>
      <c r="DP10" s="1111"/>
      <c r="DQ10" s="1185"/>
      <c r="DR10" s="1128"/>
      <c r="DS10" s="1193" t="s">
        <v>78</v>
      </c>
      <c r="DT10" s="1184"/>
      <c r="DU10" s="1111"/>
      <c r="DV10" s="1185"/>
      <c r="DW10" s="1128"/>
      <c r="DX10" s="1193" t="s">
        <v>78</v>
      </c>
      <c r="DY10" s="1184"/>
      <c r="DZ10" s="1111"/>
      <c r="EA10" s="1185"/>
      <c r="EB10" s="1128"/>
      <c r="EC10" s="1193" t="s">
        <v>78</v>
      </c>
      <c r="ED10" s="1184"/>
      <c r="EE10" s="1111"/>
      <c r="EF10" s="1185"/>
      <c r="EG10" s="1128"/>
      <c r="EH10" s="1193" t="s">
        <v>78</v>
      </c>
      <c r="EI10" s="1184"/>
      <c r="EJ10" s="1111"/>
      <c r="EK10" s="1185"/>
      <c r="EL10" s="1128"/>
      <c r="EM10" s="1194" t="s">
        <v>333</v>
      </c>
      <c r="EN10" s="1195"/>
      <c r="EO10" s="1196"/>
      <c r="EP10" s="1197"/>
      <c r="EQ10" s="1198"/>
      <c r="ER10" s="1214">
        <f>SUM(EN10:EQ10)*150</f>
        <v>0</v>
      </c>
      <c r="ES10" s="1199" t="s">
        <v>338</v>
      </c>
      <c r="ET10" s="1195"/>
      <c r="EU10" s="1196"/>
      <c r="EV10" s="1197"/>
      <c r="EW10" s="1198"/>
    </row>
    <row r="11" spans="1:155" s="8" customFormat="1" ht="15" customHeight="1" thickBot="1">
      <c r="A11" s="1627"/>
      <c r="B11" s="1135" t="s">
        <v>523</v>
      </c>
      <c r="C11" s="1134">
        <v>0</v>
      </c>
      <c r="D11" s="1065"/>
      <c r="E11" s="1108" t="s">
        <v>79</v>
      </c>
      <c r="F11" s="1184"/>
      <c r="G11" s="1111"/>
      <c r="H11" s="1185"/>
      <c r="I11" s="1065"/>
      <c r="J11" s="1108" t="s">
        <v>79</v>
      </c>
      <c r="K11" s="1109"/>
      <c r="L11" s="1065"/>
      <c r="M11" s="1125" t="s">
        <v>79</v>
      </c>
      <c r="N11" s="1184"/>
      <c r="O11" s="1111"/>
      <c r="P11" s="1185"/>
      <c r="Q11" s="1065"/>
      <c r="R11" s="1125" t="s">
        <v>79</v>
      </c>
      <c r="S11" s="1184"/>
      <c r="T11" s="1111"/>
      <c r="U11" s="1185"/>
      <c r="V11" s="1112"/>
      <c r="W11" s="1125" t="s">
        <v>79</v>
      </c>
      <c r="X11" s="1184"/>
      <c r="Y11" s="1111"/>
      <c r="Z11" s="1185"/>
      <c r="AA11" s="1112"/>
      <c r="AB11" s="1125" t="s">
        <v>79</v>
      </c>
      <c r="AC11" s="1184"/>
      <c r="AD11" s="1111"/>
      <c r="AE11" s="1185"/>
      <c r="AF11" s="1114"/>
      <c r="AG11" s="1125" t="s">
        <v>79</v>
      </c>
      <c r="AH11" s="1184"/>
      <c r="AI11" s="1111"/>
      <c r="AJ11" s="1185"/>
      <c r="AK11" s="1112"/>
      <c r="AL11" s="1125" t="s">
        <v>79</v>
      </c>
      <c r="AM11" s="1184"/>
      <c r="AN11" s="1111"/>
      <c r="AO11" s="1185"/>
      <c r="AP11" s="1114"/>
      <c r="AQ11" s="1125" t="s">
        <v>79</v>
      </c>
      <c r="AR11" s="1184"/>
      <c r="AS11" s="1111"/>
      <c r="AT11" s="1185"/>
      <c r="AU11" s="1114"/>
      <c r="AV11" s="1125" t="s">
        <v>79</v>
      </c>
      <c r="AW11" s="1184"/>
      <c r="AX11" s="1111"/>
      <c r="AY11" s="1185"/>
      <c r="AZ11" s="1114"/>
      <c r="BA11" s="1125" t="s">
        <v>79</v>
      </c>
      <c r="BB11" s="1184"/>
      <c r="BC11" s="1111"/>
      <c r="BD11" s="1185"/>
      <c r="BE11" s="1114"/>
      <c r="BF11" s="1125" t="s">
        <v>79</v>
      </c>
      <c r="BG11" s="1184"/>
      <c r="BH11" s="1111"/>
      <c r="BI11" s="1185"/>
      <c r="BJ11" s="1573"/>
      <c r="BK11" s="1125" t="s">
        <v>79</v>
      </c>
      <c r="BL11" s="1184"/>
      <c r="BM11" s="1111"/>
      <c r="BN11" s="1185"/>
      <c r="BO11" s="1067"/>
      <c r="BP11" s="1125" t="s">
        <v>79</v>
      </c>
      <c r="BQ11" s="1184"/>
      <c r="BR11" s="1111"/>
      <c r="BS11" s="1185"/>
      <c r="BT11" s="1067"/>
      <c r="BU11" s="1125" t="s">
        <v>79</v>
      </c>
      <c r="BV11" s="1184"/>
      <c r="BW11" s="1111"/>
      <c r="BX11" s="1185"/>
      <c r="BY11" s="1128"/>
      <c r="BZ11" s="1125" t="s">
        <v>79</v>
      </c>
      <c r="CA11" s="1184"/>
      <c r="CB11" s="1111"/>
      <c r="CC11" s="1185"/>
      <c r="CD11" s="1114"/>
      <c r="CE11" s="1125" t="s">
        <v>79</v>
      </c>
      <c r="CF11" s="1184"/>
      <c r="CG11" s="1111"/>
      <c r="CH11" s="1185"/>
      <c r="CI11" s="1128"/>
      <c r="CJ11" s="1125" t="s">
        <v>79</v>
      </c>
      <c r="CK11" s="1110"/>
      <c r="CL11" s="1111"/>
      <c r="CM11" s="1185"/>
      <c r="CN11" s="1114"/>
      <c r="CO11" s="1125" t="s">
        <v>79</v>
      </c>
      <c r="CP11" s="1110"/>
      <c r="CQ11" s="1111"/>
      <c r="CR11" s="1185"/>
      <c r="CS11" s="1128"/>
      <c r="CT11" s="1125" t="s">
        <v>79</v>
      </c>
      <c r="CU11" s="1184"/>
      <c r="CV11" s="1111"/>
      <c r="CW11" s="1185"/>
      <c r="CX11" s="1128"/>
      <c r="CY11" s="1125" t="s">
        <v>79</v>
      </c>
      <c r="CZ11" s="1184"/>
      <c r="DA11" s="1111"/>
      <c r="DB11" s="1185"/>
      <c r="DC11" s="1128"/>
      <c r="DD11" s="1125" t="s">
        <v>79</v>
      </c>
      <c r="DE11" s="1184"/>
      <c r="DF11" s="1111"/>
      <c r="DG11" s="1185"/>
      <c r="DH11" s="1128"/>
      <c r="DI11" s="1125" t="s">
        <v>79</v>
      </c>
      <c r="DJ11" s="1184"/>
      <c r="DK11" s="1111"/>
      <c r="DL11" s="1185"/>
      <c r="DM11" s="1128"/>
      <c r="DN11" s="1125" t="s">
        <v>79</v>
      </c>
      <c r="DO11" s="1184"/>
      <c r="DP11" s="1111"/>
      <c r="DQ11" s="1185"/>
      <c r="DR11" s="1128"/>
      <c r="DS11" s="1125" t="s">
        <v>79</v>
      </c>
      <c r="DT11" s="1184"/>
      <c r="DU11" s="1111"/>
      <c r="DV11" s="1185"/>
      <c r="DW11" s="1128"/>
      <c r="DX11" s="1125" t="s">
        <v>79</v>
      </c>
      <c r="DY11" s="1184"/>
      <c r="DZ11" s="1111"/>
      <c r="EA11" s="1185"/>
      <c r="EB11" s="1128"/>
      <c r="EC11" s="1125" t="s">
        <v>79</v>
      </c>
      <c r="ED11" s="1184"/>
      <c r="EE11" s="1111"/>
      <c r="EF11" s="1185"/>
      <c r="EG11" s="1128"/>
      <c r="EH11" s="1125" t="s">
        <v>79</v>
      </c>
      <c r="EI11" s="1184"/>
      <c r="EJ11" s="1111"/>
      <c r="EK11" s="1185"/>
      <c r="EL11" s="1128"/>
      <c r="EM11" s="1187" t="s">
        <v>334</v>
      </c>
      <c r="EN11" s="1195"/>
      <c r="EO11" s="1196"/>
      <c r="EP11" s="1197"/>
      <c r="EQ11" s="1198"/>
      <c r="ER11" s="1214">
        <f>SUM(EN11:EQ11)*225</f>
        <v>0</v>
      </c>
      <c r="ES11" s="1201" t="s">
        <v>339</v>
      </c>
      <c r="ET11" s="1195"/>
      <c r="EU11" s="1196"/>
      <c r="EV11" s="1197"/>
      <c r="EW11" s="1198"/>
    </row>
    <row r="12" spans="1:155" s="8" customFormat="1" ht="15" customHeight="1" thickBot="1">
      <c r="A12" s="1627"/>
      <c r="B12" s="1113" t="s">
        <v>1802</v>
      </c>
      <c r="C12" s="1134">
        <v>0</v>
      </c>
      <c r="D12" s="1065"/>
      <c r="E12" s="1125" t="s">
        <v>80</v>
      </c>
      <c r="F12" s="1184"/>
      <c r="G12" s="1111"/>
      <c r="H12" s="1185"/>
      <c r="I12" s="1065"/>
      <c r="J12" s="1125" t="s">
        <v>80</v>
      </c>
      <c r="K12" s="1109"/>
      <c r="L12" s="1065"/>
      <c r="M12" s="1193" t="s">
        <v>80</v>
      </c>
      <c r="N12" s="1184"/>
      <c r="O12" s="1111"/>
      <c r="P12" s="1185"/>
      <c r="Q12" s="1065"/>
      <c r="R12" s="1193" t="s">
        <v>80</v>
      </c>
      <c r="S12" s="1184"/>
      <c r="T12" s="1111"/>
      <c r="U12" s="1185"/>
      <c r="V12" s="1112"/>
      <c r="W12" s="1193" t="s">
        <v>80</v>
      </c>
      <c r="X12" s="1184"/>
      <c r="Y12" s="1111"/>
      <c r="Z12" s="1185"/>
      <c r="AA12" s="1112"/>
      <c r="AB12" s="1193" t="s">
        <v>80</v>
      </c>
      <c r="AC12" s="1184"/>
      <c r="AD12" s="1111"/>
      <c r="AE12" s="1185"/>
      <c r="AF12" s="1114"/>
      <c r="AG12" s="1193" t="s">
        <v>80</v>
      </c>
      <c r="AH12" s="1184"/>
      <c r="AI12" s="1111"/>
      <c r="AJ12" s="1185"/>
      <c r="AK12" s="1112"/>
      <c r="AL12" s="1193" t="s">
        <v>80</v>
      </c>
      <c r="AM12" s="1184"/>
      <c r="AN12" s="1111"/>
      <c r="AO12" s="1185"/>
      <c r="AP12" s="1114"/>
      <c r="AQ12" s="1193" t="s">
        <v>80</v>
      </c>
      <c r="AR12" s="1184"/>
      <c r="AS12" s="1111"/>
      <c r="AT12" s="1185"/>
      <c r="AU12" s="1114"/>
      <c r="AV12" s="1193" t="s">
        <v>80</v>
      </c>
      <c r="AW12" s="1184"/>
      <c r="AX12" s="1111"/>
      <c r="AY12" s="1185"/>
      <c r="AZ12" s="1114"/>
      <c r="BA12" s="1193" t="s">
        <v>80</v>
      </c>
      <c r="BB12" s="1184"/>
      <c r="BC12" s="1111"/>
      <c r="BD12" s="1185"/>
      <c r="BE12" s="1114"/>
      <c r="BF12" s="1193" t="s">
        <v>80</v>
      </c>
      <c r="BG12" s="1184"/>
      <c r="BH12" s="1111"/>
      <c r="BI12" s="1185"/>
      <c r="BJ12" s="1573"/>
      <c r="BK12" s="1193" t="s">
        <v>80</v>
      </c>
      <c r="BL12" s="1184"/>
      <c r="BM12" s="1111"/>
      <c r="BN12" s="1185"/>
      <c r="BO12" s="1067"/>
      <c r="BP12" s="1193" t="s">
        <v>80</v>
      </c>
      <c r="BQ12" s="1184"/>
      <c r="BR12" s="1111"/>
      <c r="BS12" s="1185"/>
      <c r="BT12" s="1067"/>
      <c r="BU12" s="1193" t="s">
        <v>80</v>
      </c>
      <c r="BV12" s="1184"/>
      <c r="BW12" s="1111"/>
      <c r="BX12" s="1185"/>
      <c r="BY12" s="1128"/>
      <c r="BZ12" s="1193" t="s">
        <v>80</v>
      </c>
      <c r="CA12" s="1184"/>
      <c r="CB12" s="1111"/>
      <c r="CC12" s="1185"/>
      <c r="CD12" s="1114"/>
      <c r="CE12" s="1193" t="s">
        <v>80</v>
      </c>
      <c r="CF12" s="1184"/>
      <c r="CG12" s="1111"/>
      <c r="CH12" s="1185"/>
      <c r="CI12" s="1128"/>
      <c r="CJ12" s="1193" t="s">
        <v>80</v>
      </c>
      <c r="CK12" s="1110"/>
      <c r="CL12" s="1111"/>
      <c r="CM12" s="1185"/>
      <c r="CN12" s="1114"/>
      <c r="CO12" s="1193" t="s">
        <v>80</v>
      </c>
      <c r="CP12" s="1110"/>
      <c r="CQ12" s="1111"/>
      <c r="CR12" s="1185"/>
      <c r="CS12" s="1128"/>
      <c r="CT12" s="1193" t="s">
        <v>80</v>
      </c>
      <c r="CU12" s="1184"/>
      <c r="CV12" s="1111"/>
      <c r="CW12" s="1185"/>
      <c r="CX12" s="1128"/>
      <c r="CY12" s="1193" t="s">
        <v>80</v>
      </c>
      <c r="CZ12" s="1184"/>
      <c r="DA12" s="1111"/>
      <c r="DB12" s="1185"/>
      <c r="DC12" s="1128"/>
      <c r="DD12" s="1193" t="s">
        <v>80</v>
      </c>
      <c r="DE12" s="1184"/>
      <c r="DF12" s="1111"/>
      <c r="DG12" s="1185"/>
      <c r="DH12" s="1128"/>
      <c r="DI12" s="1193" t="s">
        <v>80</v>
      </c>
      <c r="DJ12" s="1184"/>
      <c r="DK12" s="1111"/>
      <c r="DL12" s="1185"/>
      <c r="DM12" s="1128"/>
      <c r="DN12" s="1193" t="s">
        <v>80</v>
      </c>
      <c r="DO12" s="1184"/>
      <c r="DP12" s="1111"/>
      <c r="DQ12" s="1185"/>
      <c r="DR12" s="1128"/>
      <c r="DS12" s="1193" t="s">
        <v>80</v>
      </c>
      <c r="DT12" s="1184"/>
      <c r="DU12" s="1111"/>
      <c r="DV12" s="1185"/>
      <c r="DW12" s="1128"/>
      <c r="DX12" s="1193" t="s">
        <v>80</v>
      </c>
      <c r="DY12" s="1184"/>
      <c r="DZ12" s="1111"/>
      <c r="EA12" s="1185"/>
      <c r="EB12" s="1128"/>
      <c r="EC12" s="1193" t="s">
        <v>80</v>
      </c>
      <c r="ED12" s="1184"/>
      <c r="EE12" s="1111"/>
      <c r="EF12" s="1185"/>
      <c r="EG12" s="1128"/>
      <c r="EH12" s="1193" t="s">
        <v>80</v>
      </c>
      <c r="EI12" s="1184"/>
      <c r="EJ12" s="1111"/>
      <c r="EK12" s="1185"/>
      <c r="EL12" s="1128"/>
      <c r="EM12" s="1194" t="s">
        <v>335</v>
      </c>
      <c r="EN12" s="1195"/>
      <c r="EO12" s="1196"/>
      <c r="EP12" s="1197"/>
      <c r="EQ12" s="1198"/>
      <c r="ER12" s="1214">
        <f>SUM(EN12:EQ12)*300</f>
        <v>0</v>
      </c>
      <c r="ES12" s="1199" t="s">
        <v>340</v>
      </c>
      <c r="ET12" s="1195"/>
      <c r="EU12" s="1196"/>
      <c r="EV12" s="1197"/>
      <c r="EW12" s="1198"/>
    </row>
    <row r="13" spans="1:155" s="8" customFormat="1" ht="15" customHeight="1" thickBot="1">
      <c r="A13" s="1627"/>
      <c r="B13" s="1496" t="s">
        <v>1803</v>
      </c>
      <c r="C13" s="1134">
        <v>0</v>
      </c>
      <c r="D13" s="1065"/>
      <c r="E13" s="1108" t="s">
        <v>81</v>
      </c>
      <c r="F13" s="1184"/>
      <c r="G13" s="1111"/>
      <c r="H13" s="1185"/>
      <c r="I13" s="1065"/>
      <c r="J13" s="1108" t="s">
        <v>81</v>
      </c>
      <c r="K13" s="1109"/>
      <c r="L13" s="1065"/>
      <c r="M13" s="1125" t="s">
        <v>81</v>
      </c>
      <c r="N13" s="1184"/>
      <c r="O13" s="1111"/>
      <c r="P13" s="1185"/>
      <c r="Q13" s="1065"/>
      <c r="R13" s="1125" t="s">
        <v>81</v>
      </c>
      <c r="S13" s="1184"/>
      <c r="T13" s="1111"/>
      <c r="U13" s="1185"/>
      <c r="V13" s="1112"/>
      <c r="W13" s="1125" t="s">
        <v>81</v>
      </c>
      <c r="X13" s="1184"/>
      <c r="Y13" s="1111"/>
      <c r="Z13" s="1185"/>
      <c r="AA13" s="1112"/>
      <c r="AB13" s="1125" t="s">
        <v>81</v>
      </c>
      <c r="AC13" s="1184"/>
      <c r="AD13" s="1111"/>
      <c r="AE13" s="1185"/>
      <c r="AF13" s="1114"/>
      <c r="AG13" s="1125" t="s">
        <v>81</v>
      </c>
      <c r="AH13" s="1184"/>
      <c r="AI13" s="1111"/>
      <c r="AJ13" s="1185"/>
      <c r="AK13" s="1112"/>
      <c r="AL13" s="1125" t="s">
        <v>81</v>
      </c>
      <c r="AM13" s="1184"/>
      <c r="AN13" s="1111"/>
      <c r="AO13" s="1185"/>
      <c r="AP13" s="1114"/>
      <c r="AQ13" s="1125" t="s">
        <v>81</v>
      </c>
      <c r="AR13" s="1184"/>
      <c r="AS13" s="1111"/>
      <c r="AT13" s="1185"/>
      <c r="AU13" s="1114"/>
      <c r="AV13" s="1125" t="s">
        <v>81</v>
      </c>
      <c r="AW13" s="1184"/>
      <c r="AX13" s="1111"/>
      <c r="AY13" s="1185"/>
      <c r="AZ13" s="1114"/>
      <c r="BA13" s="1125" t="s">
        <v>81</v>
      </c>
      <c r="BB13" s="1184"/>
      <c r="BC13" s="1111"/>
      <c r="BD13" s="1185"/>
      <c r="BE13" s="1114"/>
      <c r="BF13" s="1125" t="s">
        <v>81</v>
      </c>
      <c r="BG13" s="1184"/>
      <c r="BH13" s="1111"/>
      <c r="BI13" s="1185"/>
      <c r="BJ13" s="1573"/>
      <c r="BK13" s="1125" t="s">
        <v>81</v>
      </c>
      <c r="BL13" s="1184"/>
      <c r="BM13" s="1111"/>
      <c r="BN13" s="1185"/>
      <c r="BO13" s="1067"/>
      <c r="BP13" s="1125" t="s">
        <v>81</v>
      </c>
      <c r="BQ13" s="1184"/>
      <c r="BR13" s="1111"/>
      <c r="BS13" s="1185"/>
      <c r="BT13" s="1067"/>
      <c r="BU13" s="1125" t="s">
        <v>81</v>
      </c>
      <c r="BV13" s="1184"/>
      <c r="BW13" s="1111"/>
      <c r="BX13" s="1185"/>
      <c r="BY13" s="1128"/>
      <c r="BZ13" s="1125" t="s">
        <v>81</v>
      </c>
      <c r="CA13" s="1184"/>
      <c r="CB13" s="1111"/>
      <c r="CC13" s="1185"/>
      <c r="CD13" s="1114"/>
      <c r="CE13" s="1125" t="s">
        <v>81</v>
      </c>
      <c r="CF13" s="1184"/>
      <c r="CG13" s="1111"/>
      <c r="CH13" s="1185"/>
      <c r="CI13" s="1128"/>
      <c r="CJ13" s="1125" t="s">
        <v>81</v>
      </c>
      <c r="CK13" s="1110"/>
      <c r="CL13" s="1111"/>
      <c r="CM13" s="1185"/>
      <c r="CN13" s="1114"/>
      <c r="CO13" s="1125" t="s">
        <v>81</v>
      </c>
      <c r="CP13" s="1110"/>
      <c r="CQ13" s="1111"/>
      <c r="CR13" s="1185"/>
      <c r="CS13" s="1128"/>
      <c r="CT13" s="1125" t="s">
        <v>81</v>
      </c>
      <c r="CU13" s="1184"/>
      <c r="CV13" s="1111"/>
      <c r="CW13" s="1185"/>
      <c r="CX13" s="1128"/>
      <c r="CY13" s="1125" t="s">
        <v>81</v>
      </c>
      <c r="CZ13" s="1184"/>
      <c r="DA13" s="1111"/>
      <c r="DB13" s="1185"/>
      <c r="DC13" s="1128"/>
      <c r="DD13" s="1125" t="s">
        <v>81</v>
      </c>
      <c r="DE13" s="1184"/>
      <c r="DF13" s="1111"/>
      <c r="DG13" s="1185"/>
      <c r="DH13" s="1128"/>
      <c r="DI13" s="1125" t="s">
        <v>81</v>
      </c>
      <c r="DJ13" s="1184"/>
      <c r="DK13" s="1111"/>
      <c r="DL13" s="1185"/>
      <c r="DM13" s="1128"/>
      <c r="DN13" s="1125" t="s">
        <v>81</v>
      </c>
      <c r="DO13" s="1184"/>
      <c r="DP13" s="1111"/>
      <c r="DQ13" s="1185"/>
      <c r="DR13" s="1128"/>
      <c r="DS13" s="1125" t="s">
        <v>81</v>
      </c>
      <c r="DT13" s="1184"/>
      <c r="DU13" s="1111"/>
      <c r="DV13" s="1185"/>
      <c r="DW13" s="1128"/>
      <c r="DX13" s="1125" t="s">
        <v>81</v>
      </c>
      <c r="DY13" s="1184"/>
      <c r="DZ13" s="1111"/>
      <c r="EA13" s="1185"/>
      <c r="EB13" s="1128"/>
      <c r="EC13" s="1125" t="s">
        <v>81</v>
      </c>
      <c r="ED13" s="1184"/>
      <c r="EE13" s="1111"/>
      <c r="EF13" s="1185"/>
      <c r="EG13" s="1128"/>
      <c r="EH13" s="1125" t="s">
        <v>81</v>
      </c>
      <c r="EI13" s="1184"/>
      <c r="EJ13" s="1111"/>
      <c r="EK13" s="1185"/>
      <c r="EL13" s="1128"/>
      <c r="EM13" s="1202"/>
      <c r="EN13" s="1195"/>
      <c r="EO13" s="1196"/>
      <c r="EP13" s="1197"/>
      <c r="EQ13" s="1198"/>
      <c r="ER13" s="39">
        <f>H2</f>
        <v>0</v>
      </c>
      <c r="ES13" s="1201"/>
      <c r="ET13" s="1195"/>
      <c r="EU13" s="1196"/>
      <c r="EV13" s="1197"/>
      <c r="EW13" s="1198"/>
    </row>
    <row r="14" spans="1:155" s="8" customFormat="1" ht="15" customHeight="1" thickBot="1">
      <c r="A14" s="1627"/>
      <c r="B14" s="1113" t="s">
        <v>178</v>
      </c>
      <c r="C14" s="1134">
        <v>0</v>
      </c>
      <c r="D14" s="1065"/>
      <c r="E14" s="1125" t="s">
        <v>82</v>
      </c>
      <c r="F14" s="1184"/>
      <c r="G14" s="1111"/>
      <c r="H14" s="1185"/>
      <c r="I14" s="1065"/>
      <c r="J14" s="1125" t="s">
        <v>82</v>
      </c>
      <c r="K14" s="1109"/>
      <c r="L14" s="1065"/>
      <c r="M14" s="1193" t="s">
        <v>82</v>
      </c>
      <c r="N14" s="1184"/>
      <c r="O14" s="1111"/>
      <c r="P14" s="1185"/>
      <c r="Q14" s="1065"/>
      <c r="R14" s="1193" t="s">
        <v>82</v>
      </c>
      <c r="S14" s="1184"/>
      <c r="T14" s="1111"/>
      <c r="U14" s="1185"/>
      <c r="V14" s="1112"/>
      <c r="W14" s="1193" t="s">
        <v>82</v>
      </c>
      <c r="X14" s="1184"/>
      <c r="Y14" s="1111"/>
      <c r="Z14" s="1185"/>
      <c r="AA14" s="1112"/>
      <c r="AB14" s="1193" t="s">
        <v>82</v>
      </c>
      <c r="AC14" s="1184"/>
      <c r="AD14" s="1111"/>
      <c r="AE14" s="1185"/>
      <c r="AF14" s="1114"/>
      <c r="AG14" s="1193" t="s">
        <v>82</v>
      </c>
      <c r="AH14" s="1184"/>
      <c r="AI14" s="1111"/>
      <c r="AJ14" s="1185"/>
      <c r="AK14" s="1112"/>
      <c r="AL14" s="1193" t="s">
        <v>82</v>
      </c>
      <c r="AM14" s="1184"/>
      <c r="AN14" s="1111"/>
      <c r="AO14" s="1185"/>
      <c r="AP14" s="1114"/>
      <c r="AQ14" s="1193" t="s">
        <v>82</v>
      </c>
      <c r="AR14" s="1184"/>
      <c r="AS14" s="1111"/>
      <c r="AT14" s="1185"/>
      <c r="AU14" s="1114"/>
      <c r="AV14" s="1193" t="s">
        <v>82</v>
      </c>
      <c r="AW14" s="1184"/>
      <c r="AX14" s="1111"/>
      <c r="AY14" s="1185"/>
      <c r="AZ14" s="1114"/>
      <c r="BA14" s="1193" t="s">
        <v>82</v>
      </c>
      <c r="BB14" s="1184"/>
      <c r="BC14" s="1111"/>
      <c r="BD14" s="1185"/>
      <c r="BE14" s="1114"/>
      <c r="BF14" s="1193" t="s">
        <v>82</v>
      </c>
      <c r="BG14" s="1184"/>
      <c r="BH14" s="1111"/>
      <c r="BI14" s="1185"/>
      <c r="BJ14" s="1573"/>
      <c r="BK14" s="1193" t="s">
        <v>82</v>
      </c>
      <c r="BL14" s="1184"/>
      <c r="BM14" s="1111"/>
      <c r="BN14" s="1185"/>
      <c r="BO14" s="1067"/>
      <c r="BP14" s="1193" t="s">
        <v>82</v>
      </c>
      <c r="BQ14" s="1184"/>
      <c r="BR14" s="1111"/>
      <c r="BS14" s="1185"/>
      <c r="BT14" s="1067"/>
      <c r="BU14" s="1193" t="s">
        <v>82</v>
      </c>
      <c r="BV14" s="1184"/>
      <c r="BW14" s="1111"/>
      <c r="BX14" s="1185"/>
      <c r="BY14" s="1128"/>
      <c r="BZ14" s="1193" t="s">
        <v>82</v>
      </c>
      <c r="CA14" s="1184"/>
      <c r="CB14" s="1111"/>
      <c r="CC14" s="1185"/>
      <c r="CD14" s="1114"/>
      <c r="CE14" s="1193" t="s">
        <v>82</v>
      </c>
      <c r="CF14" s="1203"/>
      <c r="CG14" s="1111"/>
      <c r="CH14" s="1185"/>
      <c r="CI14" s="1128"/>
      <c r="CJ14" s="1193" t="s">
        <v>82</v>
      </c>
      <c r="CK14" s="1110"/>
      <c r="CL14" s="1111"/>
      <c r="CM14" s="1185"/>
      <c r="CN14" s="1114"/>
      <c r="CO14" s="1193" t="s">
        <v>82</v>
      </c>
      <c r="CP14" s="1110"/>
      <c r="CQ14" s="1111"/>
      <c r="CR14" s="1185"/>
      <c r="CS14" s="1128"/>
      <c r="CT14" s="1193" t="s">
        <v>82</v>
      </c>
      <c r="CU14" s="1184"/>
      <c r="CV14" s="1111"/>
      <c r="CW14" s="1185"/>
      <c r="CX14" s="1128"/>
      <c r="CY14" s="1193" t="s">
        <v>82</v>
      </c>
      <c r="CZ14" s="1184"/>
      <c r="DA14" s="1111"/>
      <c r="DB14" s="1185"/>
      <c r="DC14" s="1128"/>
      <c r="DD14" s="1193" t="s">
        <v>82</v>
      </c>
      <c r="DE14" s="1184"/>
      <c r="DF14" s="1111"/>
      <c r="DG14" s="1185"/>
      <c r="DH14" s="1128"/>
      <c r="DI14" s="1193" t="s">
        <v>82</v>
      </c>
      <c r="DJ14" s="1184"/>
      <c r="DK14" s="1111"/>
      <c r="DL14" s="1185"/>
      <c r="DM14" s="1128"/>
      <c r="DN14" s="1193" t="s">
        <v>82</v>
      </c>
      <c r="DO14" s="1184"/>
      <c r="DP14" s="1111"/>
      <c r="DQ14" s="1185"/>
      <c r="DR14" s="1128"/>
      <c r="DS14" s="1193" t="s">
        <v>82</v>
      </c>
      <c r="DT14" s="1184"/>
      <c r="DU14" s="1111"/>
      <c r="DV14" s="1185"/>
      <c r="DW14" s="1128"/>
      <c r="DX14" s="1193" t="s">
        <v>82</v>
      </c>
      <c r="DY14" s="1184"/>
      <c r="DZ14" s="1111"/>
      <c r="EA14" s="1185"/>
      <c r="EB14" s="1128"/>
      <c r="EC14" s="1193" t="s">
        <v>82</v>
      </c>
      <c r="ED14" s="1184"/>
      <c r="EE14" s="1111"/>
      <c r="EF14" s="1185"/>
      <c r="EG14" s="1128"/>
      <c r="EH14" s="1193" t="s">
        <v>82</v>
      </c>
      <c r="EI14" s="1184"/>
      <c r="EJ14" s="1111"/>
      <c r="EK14" s="1185"/>
      <c r="EL14" s="1128"/>
      <c r="EM14" s="1204"/>
      <c r="EN14" s="1195"/>
      <c r="EO14" s="1196"/>
      <c r="EP14" s="1197"/>
      <c r="EQ14" s="1198"/>
      <c r="ER14" s="39"/>
      <c r="ES14" s="1199"/>
      <c r="ET14" s="1195"/>
      <c r="EU14" s="1196"/>
      <c r="EV14" s="1197"/>
      <c r="EW14" s="1198"/>
    </row>
    <row r="15" spans="1:155" s="8" customFormat="1" ht="15" customHeight="1" thickBot="1">
      <c r="A15" s="1627"/>
      <c r="B15" s="1623"/>
      <c r="C15" s="1624"/>
      <c r="D15" s="1065"/>
      <c r="E15" s="1108" t="s">
        <v>83</v>
      </c>
      <c r="F15" s="1184"/>
      <c r="G15" s="1111"/>
      <c r="H15" s="1185"/>
      <c r="I15" s="1065"/>
      <c r="J15" s="1108" t="s">
        <v>83</v>
      </c>
      <c r="K15" s="1109"/>
      <c r="L15" s="1065"/>
      <c r="M15" s="1125" t="s">
        <v>83</v>
      </c>
      <c r="N15" s="1184"/>
      <c r="O15" s="1111"/>
      <c r="P15" s="1185"/>
      <c r="Q15" s="1065"/>
      <c r="R15" s="1125" t="s">
        <v>83</v>
      </c>
      <c r="S15" s="1184"/>
      <c r="T15" s="1111"/>
      <c r="U15" s="1185"/>
      <c r="V15" s="1112"/>
      <c r="W15" s="1125" t="s">
        <v>83</v>
      </c>
      <c r="X15" s="1184"/>
      <c r="Y15" s="1111"/>
      <c r="Z15" s="1185"/>
      <c r="AA15" s="1112"/>
      <c r="AB15" s="1125" t="s">
        <v>83</v>
      </c>
      <c r="AC15" s="1184"/>
      <c r="AD15" s="1111"/>
      <c r="AE15" s="1185"/>
      <c r="AF15" s="1114"/>
      <c r="AG15" s="1125" t="s">
        <v>83</v>
      </c>
      <c r="AH15" s="1184"/>
      <c r="AI15" s="1111"/>
      <c r="AJ15" s="1185"/>
      <c r="AK15" s="1112"/>
      <c r="AL15" s="1125" t="s">
        <v>83</v>
      </c>
      <c r="AM15" s="1184"/>
      <c r="AN15" s="1111"/>
      <c r="AO15" s="1185"/>
      <c r="AP15" s="1114"/>
      <c r="AQ15" s="1125" t="s">
        <v>83</v>
      </c>
      <c r="AR15" s="1184"/>
      <c r="AS15" s="1111"/>
      <c r="AT15" s="1185"/>
      <c r="AU15" s="1114"/>
      <c r="AV15" s="1125" t="s">
        <v>83</v>
      </c>
      <c r="AW15" s="1184"/>
      <c r="AX15" s="1111"/>
      <c r="AY15" s="1185"/>
      <c r="AZ15" s="1114"/>
      <c r="BA15" s="1125" t="s">
        <v>83</v>
      </c>
      <c r="BB15" s="1184"/>
      <c r="BC15" s="1111"/>
      <c r="BD15" s="1185"/>
      <c r="BE15" s="1114"/>
      <c r="BF15" s="1125" t="s">
        <v>83</v>
      </c>
      <c r="BG15" s="1184"/>
      <c r="BH15" s="1111"/>
      <c r="BI15" s="1185"/>
      <c r="BJ15" s="1573"/>
      <c r="BK15" s="1125" t="s">
        <v>83</v>
      </c>
      <c r="BL15" s="1184"/>
      <c r="BM15" s="1111"/>
      <c r="BN15" s="1185"/>
      <c r="BO15" s="1067"/>
      <c r="BP15" s="1125" t="s">
        <v>83</v>
      </c>
      <c r="BQ15" s="1184"/>
      <c r="BR15" s="1111"/>
      <c r="BS15" s="1185"/>
      <c r="BT15" s="1067"/>
      <c r="BU15" s="1125" t="s">
        <v>83</v>
      </c>
      <c r="BV15" s="1184"/>
      <c r="BW15" s="1111"/>
      <c r="BX15" s="1185"/>
      <c r="BY15" s="1128"/>
      <c r="BZ15" s="1125" t="s">
        <v>83</v>
      </c>
      <c r="CA15" s="1184"/>
      <c r="CB15" s="1111"/>
      <c r="CC15" s="1185"/>
      <c r="CD15" s="1114"/>
      <c r="CE15" s="1125" t="s">
        <v>83</v>
      </c>
      <c r="CF15" s="1184"/>
      <c r="CG15" s="1111"/>
      <c r="CH15" s="1185"/>
      <c r="CI15" s="1128"/>
      <c r="CJ15" s="1125" t="s">
        <v>83</v>
      </c>
      <c r="CK15" s="1110"/>
      <c r="CL15" s="1111"/>
      <c r="CM15" s="1185"/>
      <c r="CN15" s="1114"/>
      <c r="CO15" s="1125" t="s">
        <v>83</v>
      </c>
      <c r="CP15" s="1110"/>
      <c r="CQ15" s="1111"/>
      <c r="CR15" s="1185"/>
      <c r="CS15" s="1128"/>
      <c r="CT15" s="1125" t="s">
        <v>83</v>
      </c>
      <c r="CU15" s="1184"/>
      <c r="CV15" s="1111"/>
      <c r="CW15" s="1185"/>
      <c r="CX15" s="1128"/>
      <c r="CY15" s="1125" t="s">
        <v>83</v>
      </c>
      <c r="CZ15" s="1184"/>
      <c r="DA15" s="1111"/>
      <c r="DB15" s="1185"/>
      <c r="DC15" s="1128"/>
      <c r="DD15" s="1125" t="s">
        <v>83</v>
      </c>
      <c r="DE15" s="1184"/>
      <c r="DF15" s="1111"/>
      <c r="DG15" s="1185"/>
      <c r="DH15" s="1128"/>
      <c r="DI15" s="1125" t="s">
        <v>83</v>
      </c>
      <c r="DJ15" s="1184"/>
      <c r="DK15" s="1111"/>
      <c r="DL15" s="1185"/>
      <c r="DM15" s="1128"/>
      <c r="DN15" s="1125" t="s">
        <v>83</v>
      </c>
      <c r="DO15" s="1184"/>
      <c r="DP15" s="1111"/>
      <c r="DQ15" s="1185"/>
      <c r="DR15" s="1128"/>
      <c r="DS15" s="1125" t="s">
        <v>83</v>
      </c>
      <c r="DT15" s="1184"/>
      <c r="DU15" s="1111"/>
      <c r="DV15" s="1185"/>
      <c r="DW15" s="1128"/>
      <c r="DX15" s="1125" t="s">
        <v>83</v>
      </c>
      <c r="DY15" s="1184"/>
      <c r="DZ15" s="1111"/>
      <c r="EA15" s="1185"/>
      <c r="EB15" s="1128"/>
      <c r="EC15" s="1125" t="s">
        <v>83</v>
      </c>
      <c r="ED15" s="1184"/>
      <c r="EE15" s="1111"/>
      <c r="EF15" s="1185"/>
      <c r="EG15" s="1128"/>
      <c r="EH15" s="1125" t="s">
        <v>83</v>
      </c>
      <c r="EI15" s="1184"/>
      <c r="EJ15" s="1111"/>
      <c r="EK15" s="1185"/>
      <c r="EL15" s="1128"/>
      <c r="EM15" s="1202"/>
      <c r="EN15" s="1195"/>
      <c r="EO15" s="1196"/>
      <c r="EP15" s="1197"/>
      <c r="EQ15" s="1198"/>
      <c r="ER15" s="39"/>
      <c r="ES15" s="1201"/>
      <c r="ET15" s="1195"/>
      <c r="EU15" s="1196"/>
      <c r="EV15" s="1197"/>
      <c r="EW15" s="1198"/>
    </row>
    <row r="16" spans="1:155" s="8" customFormat="1" ht="15" customHeight="1" thickBot="1">
      <c r="A16" s="1627"/>
      <c r="B16" s="1113" t="s">
        <v>179</v>
      </c>
      <c r="C16" s="1134">
        <v>0</v>
      </c>
      <c r="D16" s="1065"/>
      <c r="E16" s="1125" t="s">
        <v>85</v>
      </c>
      <c r="F16" s="1184"/>
      <c r="G16" s="1111"/>
      <c r="H16" s="1185"/>
      <c r="I16" s="1065"/>
      <c r="J16" s="1125" t="s">
        <v>85</v>
      </c>
      <c r="K16" s="1109"/>
      <c r="L16" s="1065"/>
      <c r="M16" s="1193" t="s">
        <v>85</v>
      </c>
      <c r="N16" s="1184"/>
      <c r="O16" s="1111"/>
      <c r="P16" s="1185"/>
      <c r="Q16" s="1065"/>
      <c r="R16" s="1193" t="s">
        <v>85</v>
      </c>
      <c r="S16" s="1184"/>
      <c r="T16" s="1111"/>
      <c r="U16" s="1185"/>
      <c r="V16" s="1112"/>
      <c r="W16" s="1193" t="s">
        <v>85</v>
      </c>
      <c r="X16" s="1184"/>
      <c r="Y16" s="1111"/>
      <c r="Z16" s="1185"/>
      <c r="AA16" s="1112"/>
      <c r="AB16" s="1193" t="s">
        <v>85</v>
      </c>
      <c r="AC16" s="1184"/>
      <c r="AD16" s="1111"/>
      <c r="AE16" s="1185"/>
      <c r="AF16" s="1114"/>
      <c r="AG16" s="1193" t="s">
        <v>85</v>
      </c>
      <c r="AH16" s="1184"/>
      <c r="AI16" s="1111"/>
      <c r="AJ16" s="1185"/>
      <c r="AK16" s="1112"/>
      <c r="AL16" s="1193" t="s">
        <v>85</v>
      </c>
      <c r="AM16" s="1184"/>
      <c r="AN16" s="1111"/>
      <c r="AO16" s="1185"/>
      <c r="AP16" s="1114"/>
      <c r="AQ16" s="1193" t="s">
        <v>85</v>
      </c>
      <c r="AR16" s="1184"/>
      <c r="AS16" s="1111"/>
      <c r="AT16" s="1185"/>
      <c r="AU16" s="1114"/>
      <c r="AV16" s="1193" t="s">
        <v>85</v>
      </c>
      <c r="AW16" s="1184"/>
      <c r="AX16" s="1111"/>
      <c r="AY16" s="1185"/>
      <c r="AZ16" s="1114"/>
      <c r="BA16" s="1193" t="s">
        <v>85</v>
      </c>
      <c r="BB16" s="1184"/>
      <c r="BC16" s="1111"/>
      <c r="BD16" s="1185"/>
      <c r="BE16" s="1114"/>
      <c r="BF16" s="1193" t="s">
        <v>85</v>
      </c>
      <c r="BG16" s="1184"/>
      <c r="BH16" s="1111"/>
      <c r="BI16" s="1185"/>
      <c r="BJ16" s="1573"/>
      <c r="BK16" s="1193" t="s">
        <v>85</v>
      </c>
      <c r="BL16" s="1184"/>
      <c r="BM16" s="1111"/>
      <c r="BN16" s="1185"/>
      <c r="BO16" s="1067"/>
      <c r="BP16" s="1193" t="s">
        <v>85</v>
      </c>
      <c r="BQ16" s="1184"/>
      <c r="BR16" s="1111"/>
      <c r="BS16" s="1185"/>
      <c r="BT16" s="1067"/>
      <c r="BU16" s="1193" t="s">
        <v>85</v>
      </c>
      <c r="BV16" s="1184"/>
      <c r="BW16" s="1111"/>
      <c r="BX16" s="1185"/>
      <c r="BY16" s="1128"/>
      <c r="BZ16" s="1193" t="s">
        <v>85</v>
      </c>
      <c r="CA16" s="1184"/>
      <c r="CB16" s="1111"/>
      <c r="CC16" s="1185"/>
      <c r="CD16" s="1114"/>
      <c r="CE16" s="1193" t="s">
        <v>85</v>
      </c>
      <c r="CF16" s="1184"/>
      <c r="CG16" s="1111"/>
      <c r="CH16" s="1185"/>
      <c r="CI16" s="1128"/>
      <c r="CJ16" s="1193" t="s">
        <v>85</v>
      </c>
      <c r="CK16" s="1110"/>
      <c r="CL16" s="1111"/>
      <c r="CM16" s="1185"/>
      <c r="CN16" s="1114"/>
      <c r="CO16" s="1193" t="s">
        <v>85</v>
      </c>
      <c r="CP16" s="1110"/>
      <c r="CQ16" s="1111"/>
      <c r="CR16" s="1185"/>
      <c r="CS16" s="1128"/>
      <c r="CT16" s="1193" t="s">
        <v>85</v>
      </c>
      <c r="CU16" s="1184"/>
      <c r="CV16" s="1111"/>
      <c r="CW16" s="1185"/>
      <c r="CX16" s="1128"/>
      <c r="CY16" s="1193" t="s">
        <v>85</v>
      </c>
      <c r="CZ16" s="1184"/>
      <c r="DA16" s="1111"/>
      <c r="DB16" s="1185"/>
      <c r="DC16" s="1128"/>
      <c r="DD16" s="1193" t="s">
        <v>85</v>
      </c>
      <c r="DE16" s="1184"/>
      <c r="DF16" s="1111"/>
      <c r="DG16" s="1185"/>
      <c r="DH16" s="1128"/>
      <c r="DI16" s="1193" t="s">
        <v>85</v>
      </c>
      <c r="DJ16" s="1184"/>
      <c r="DK16" s="1111"/>
      <c r="DL16" s="1185"/>
      <c r="DM16" s="1128"/>
      <c r="DN16" s="1193" t="s">
        <v>85</v>
      </c>
      <c r="DO16" s="1184"/>
      <c r="DP16" s="1111"/>
      <c r="DQ16" s="1185"/>
      <c r="DR16" s="1128"/>
      <c r="DS16" s="1193" t="s">
        <v>85</v>
      </c>
      <c r="DT16" s="1184"/>
      <c r="DU16" s="1111"/>
      <c r="DV16" s="1185"/>
      <c r="DW16" s="1128"/>
      <c r="DX16" s="1193" t="s">
        <v>85</v>
      </c>
      <c r="DY16" s="1184"/>
      <c r="DZ16" s="1111"/>
      <c r="EA16" s="1185"/>
      <c r="EB16" s="1128"/>
      <c r="EC16" s="1193" t="s">
        <v>85</v>
      </c>
      <c r="ED16" s="1184"/>
      <c r="EE16" s="1111"/>
      <c r="EF16" s="1185"/>
      <c r="EG16" s="1128"/>
      <c r="EH16" s="1193" t="s">
        <v>85</v>
      </c>
      <c r="EI16" s="1184"/>
      <c r="EJ16" s="1111"/>
      <c r="EK16" s="1185"/>
      <c r="EL16" s="1128"/>
      <c r="EM16" s="1204"/>
      <c r="EN16" s="1195"/>
      <c r="EO16" s="1196"/>
      <c r="EP16" s="1197"/>
      <c r="EQ16" s="1198"/>
      <c r="ER16" s="39"/>
      <c r="ES16" s="1215"/>
      <c r="ET16" s="1195"/>
      <c r="EU16" s="1196"/>
      <c r="EV16" s="1197"/>
      <c r="EW16" s="1198"/>
    </row>
    <row r="17" spans="1:153" s="8" customFormat="1" ht="15" customHeight="1" thickBot="1">
      <c r="A17" s="1627"/>
      <c r="B17" s="1623"/>
      <c r="C17" s="1624"/>
      <c r="D17" s="1065"/>
      <c r="E17" s="1108" t="s">
        <v>84</v>
      </c>
      <c r="F17" s="1184"/>
      <c r="G17" s="1111"/>
      <c r="H17" s="1185"/>
      <c r="I17" s="1065"/>
      <c r="J17" s="1108" t="s">
        <v>84</v>
      </c>
      <c r="K17" s="1109"/>
      <c r="L17" s="1065"/>
      <c r="M17" s="1125" t="s">
        <v>84</v>
      </c>
      <c r="N17" s="1184"/>
      <c r="O17" s="1111"/>
      <c r="P17" s="1185"/>
      <c r="Q17" s="1065"/>
      <c r="R17" s="1125" t="s">
        <v>84</v>
      </c>
      <c r="S17" s="1184"/>
      <c r="T17" s="1111"/>
      <c r="U17" s="1185"/>
      <c r="V17" s="1112"/>
      <c r="W17" s="1125" t="s">
        <v>84</v>
      </c>
      <c r="X17" s="1184"/>
      <c r="Y17" s="1111"/>
      <c r="Z17" s="1185"/>
      <c r="AA17" s="1112"/>
      <c r="AB17" s="1125" t="s">
        <v>84</v>
      </c>
      <c r="AC17" s="1184"/>
      <c r="AD17" s="1111"/>
      <c r="AE17" s="1185"/>
      <c r="AF17" s="1114"/>
      <c r="AG17" s="1125" t="s">
        <v>84</v>
      </c>
      <c r="AH17" s="1184"/>
      <c r="AI17" s="1111"/>
      <c r="AJ17" s="1185"/>
      <c r="AK17" s="1112"/>
      <c r="AL17" s="1125" t="s">
        <v>84</v>
      </c>
      <c r="AM17" s="1184"/>
      <c r="AN17" s="1111"/>
      <c r="AO17" s="1185"/>
      <c r="AP17" s="1114"/>
      <c r="AQ17" s="1125" t="s">
        <v>84</v>
      </c>
      <c r="AR17" s="1184"/>
      <c r="AS17" s="1111"/>
      <c r="AT17" s="1185"/>
      <c r="AU17" s="1114"/>
      <c r="AV17" s="1125" t="s">
        <v>84</v>
      </c>
      <c r="AW17" s="1184"/>
      <c r="AX17" s="1111"/>
      <c r="AY17" s="1185"/>
      <c r="AZ17" s="1114"/>
      <c r="BA17" s="1125" t="s">
        <v>84</v>
      </c>
      <c r="BB17" s="1184"/>
      <c r="BC17" s="1111"/>
      <c r="BD17" s="1185"/>
      <c r="BE17" s="1114"/>
      <c r="BF17" s="1125" t="s">
        <v>84</v>
      </c>
      <c r="BG17" s="1184"/>
      <c r="BH17" s="1111"/>
      <c r="BI17" s="1185"/>
      <c r="BJ17" s="1573"/>
      <c r="BK17" s="1125" t="s">
        <v>84</v>
      </c>
      <c r="BL17" s="1184"/>
      <c r="BM17" s="1111"/>
      <c r="BN17" s="1185"/>
      <c r="BO17" s="1067"/>
      <c r="BP17" s="1125" t="s">
        <v>84</v>
      </c>
      <c r="BQ17" s="1184"/>
      <c r="BR17" s="1111"/>
      <c r="BS17" s="1185"/>
      <c r="BT17" s="1067"/>
      <c r="BU17" s="1125" t="s">
        <v>84</v>
      </c>
      <c r="BV17" s="1184"/>
      <c r="BW17" s="1111"/>
      <c r="BX17" s="1185"/>
      <c r="BY17" s="1128"/>
      <c r="BZ17" s="1125" t="s">
        <v>84</v>
      </c>
      <c r="CA17" s="1184"/>
      <c r="CB17" s="1111"/>
      <c r="CC17" s="1185"/>
      <c r="CD17" s="1114"/>
      <c r="CE17" s="1125" t="s">
        <v>84</v>
      </c>
      <c r="CF17" s="1184"/>
      <c r="CG17" s="1111"/>
      <c r="CH17" s="1185"/>
      <c r="CI17" s="1128"/>
      <c r="CJ17" s="1125" t="s">
        <v>84</v>
      </c>
      <c r="CK17" s="1110"/>
      <c r="CL17" s="1111"/>
      <c r="CM17" s="1185"/>
      <c r="CN17" s="1114"/>
      <c r="CO17" s="1125" t="s">
        <v>84</v>
      </c>
      <c r="CP17" s="1110"/>
      <c r="CQ17" s="1111"/>
      <c r="CR17" s="1185"/>
      <c r="CS17" s="1128"/>
      <c r="CT17" s="1125" t="s">
        <v>84</v>
      </c>
      <c r="CU17" s="1184"/>
      <c r="CV17" s="1111"/>
      <c r="CW17" s="1185"/>
      <c r="CX17" s="1128"/>
      <c r="CY17" s="1125" t="s">
        <v>84</v>
      </c>
      <c r="CZ17" s="1184"/>
      <c r="DA17" s="1111"/>
      <c r="DB17" s="1185"/>
      <c r="DC17" s="1128"/>
      <c r="DD17" s="1125" t="s">
        <v>84</v>
      </c>
      <c r="DE17" s="1184"/>
      <c r="DF17" s="1111"/>
      <c r="DG17" s="1185"/>
      <c r="DH17" s="1128"/>
      <c r="DI17" s="1125" t="s">
        <v>84</v>
      </c>
      <c r="DJ17" s="1184"/>
      <c r="DK17" s="1111"/>
      <c r="DL17" s="1185"/>
      <c r="DM17" s="1128"/>
      <c r="DN17" s="1125" t="s">
        <v>84</v>
      </c>
      <c r="DO17" s="1184"/>
      <c r="DP17" s="1111"/>
      <c r="DQ17" s="1185"/>
      <c r="DR17" s="1128"/>
      <c r="DS17" s="1125" t="s">
        <v>84</v>
      </c>
      <c r="DT17" s="1184"/>
      <c r="DU17" s="1111"/>
      <c r="DV17" s="1185"/>
      <c r="DW17" s="1128"/>
      <c r="DX17" s="1125" t="s">
        <v>84</v>
      </c>
      <c r="DY17" s="1184"/>
      <c r="DZ17" s="1111"/>
      <c r="EA17" s="1185"/>
      <c r="EB17" s="1128"/>
      <c r="EC17" s="1125" t="s">
        <v>84</v>
      </c>
      <c r="ED17" s="1184"/>
      <c r="EE17" s="1111"/>
      <c r="EF17" s="1185"/>
      <c r="EG17" s="1128"/>
      <c r="EH17" s="1125" t="s">
        <v>84</v>
      </c>
      <c r="EI17" s="1184"/>
      <c r="EJ17" s="1111"/>
      <c r="EK17" s="1185"/>
      <c r="EL17" s="1128"/>
      <c r="EM17" s="1202"/>
      <c r="EN17" s="1195"/>
      <c r="EO17" s="1196"/>
      <c r="EP17" s="1197"/>
      <c r="EQ17" s="1198"/>
      <c r="ER17" s="39"/>
      <c r="ES17" s="1201"/>
      <c r="ET17" s="1195"/>
      <c r="EU17" s="1196"/>
      <c r="EV17" s="1197"/>
      <c r="EW17" s="1198"/>
    </row>
    <row r="18" spans="1:153" s="8" customFormat="1" ht="15" customHeight="1" thickBot="1">
      <c r="A18" s="1627"/>
      <c r="B18" s="1113" t="s">
        <v>180</v>
      </c>
      <c r="C18" s="1134">
        <v>0</v>
      </c>
      <c r="D18" s="1065"/>
      <c r="E18" s="1125" t="s">
        <v>86</v>
      </c>
      <c r="F18" s="1184"/>
      <c r="G18" s="1111"/>
      <c r="H18" s="1185"/>
      <c r="I18" s="1065"/>
      <c r="J18" s="1125" t="s">
        <v>86</v>
      </c>
      <c r="K18" s="1109"/>
      <c r="L18" s="1065"/>
      <c r="M18" s="1193" t="s">
        <v>86</v>
      </c>
      <c r="N18" s="1184"/>
      <c r="O18" s="1111"/>
      <c r="P18" s="1185"/>
      <c r="Q18" s="1065"/>
      <c r="R18" s="1193" t="s">
        <v>86</v>
      </c>
      <c r="S18" s="1184"/>
      <c r="T18" s="1111"/>
      <c r="U18" s="1185"/>
      <c r="V18" s="1112"/>
      <c r="W18" s="1193" t="s">
        <v>86</v>
      </c>
      <c r="X18" s="1184"/>
      <c r="Y18" s="1111"/>
      <c r="Z18" s="1185"/>
      <c r="AA18" s="1112"/>
      <c r="AB18" s="1193" t="s">
        <v>86</v>
      </c>
      <c r="AC18" s="1184"/>
      <c r="AD18" s="1111"/>
      <c r="AE18" s="1185"/>
      <c r="AF18" s="1114"/>
      <c r="AG18" s="1193" t="s">
        <v>86</v>
      </c>
      <c r="AH18" s="1184"/>
      <c r="AI18" s="1111"/>
      <c r="AJ18" s="1185"/>
      <c r="AK18" s="1112"/>
      <c r="AL18" s="1193" t="s">
        <v>86</v>
      </c>
      <c r="AM18" s="1184"/>
      <c r="AN18" s="1111"/>
      <c r="AO18" s="1185"/>
      <c r="AP18" s="1114"/>
      <c r="AQ18" s="1193" t="s">
        <v>86</v>
      </c>
      <c r="AR18" s="1184"/>
      <c r="AS18" s="1111"/>
      <c r="AT18" s="1185"/>
      <c r="AU18" s="1114"/>
      <c r="AV18" s="1193" t="s">
        <v>86</v>
      </c>
      <c r="AW18" s="1184"/>
      <c r="AX18" s="1111"/>
      <c r="AY18" s="1185"/>
      <c r="AZ18" s="1114"/>
      <c r="BA18" s="1193" t="s">
        <v>86</v>
      </c>
      <c r="BB18" s="1184"/>
      <c r="BC18" s="1111"/>
      <c r="BD18" s="1185"/>
      <c r="BE18" s="1114"/>
      <c r="BF18" s="1193" t="s">
        <v>86</v>
      </c>
      <c r="BG18" s="1184"/>
      <c r="BH18" s="1111"/>
      <c r="BI18" s="1185"/>
      <c r="BJ18" s="1573"/>
      <c r="BK18" s="1193" t="s">
        <v>86</v>
      </c>
      <c r="BL18" s="1184"/>
      <c r="BM18" s="1111"/>
      <c r="BN18" s="1185"/>
      <c r="BO18" s="1067"/>
      <c r="BP18" s="1193" t="s">
        <v>86</v>
      </c>
      <c r="BQ18" s="1184"/>
      <c r="BR18" s="1111"/>
      <c r="BS18" s="1185"/>
      <c r="BT18" s="1067"/>
      <c r="BU18" s="1193" t="s">
        <v>86</v>
      </c>
      <c r="BV18" s="1184"/>
      <c r="BW18" s="1111"/>
      <c r="BX18" s="1185"/>
      <c r="BY18" s="1128"/>
      <c r="BZ18" s="1193" t="s">
        <v>86</v>
      </c>
      <c r="CA18" s="1184"/>
      <c r="CB18" s="1111"/>
      <c r="CC18" s="1185"/>
      <c r="CD18" s="1114"/>
      <c r="CE18" s="1193" t="s">
        <v>86</v>
      </c>
      <c r="CF18" s="1184"/>
      <c r="CG18" s="1111"/>
      <c r="CH18" s="1185"/>
      <c r="CI18" s="1128"/>
      <c r="CJ18" s="1193" t="s">
        <v>86</v>
      </c>
      <c r="CK18" s="1110"/>
      <c r="CL18" s="1111"/>
      <c r="CM18" s="1185"/>
      <c r="CN18" s="1114"/>
      <c r="CO18" s="1193" t="s">
        <v>86</v>
      </c>
      <c r="CP18" s="1110"/>
      <c r="CQ18" s="1111"/>
      <c r="CR18" s="1185"/>
      <c r="CS18" s="1128"/>
      <c r="CT18" s="1193" t="s">
        <v>86</v>
      </c>
      <c r="CU18" s="1184"/>
      <c r="CV18" s="1111"/>
      <c r="CW18" s="1185"/>
      <c r="CX18" s="1128"/>
      <c r="CY18" s="1193" t="s">
        <v>86</v>
      </c>
      <c r="CZ18" s="1184"/>
      <c r="DA18" s="1111"/>
      <c r="DB18" s="1185"/>
      <c r="DC18" s="1128"/>
      <c r="DD18" s="1193" t="s">
        <v>86</v>
      </c>
      <c r="DE18" s="1184"/>
      <c r="DF18" s="1111"/>
      <c r="DG18" s="1185"/>
      <c r="DH18" s="1128"/>
      <c r="DI18" s="1193" t="s">
        <v>86</v>
      </c>
      <c r="DJ18" s="1184"/>
      <c r="DK18" s="1111"/>
      <c r="DL18" s="1185"/>
      <c r="DM18" s="1128"/>
      <c r="DN18" s="1193" t="s">
        <v>86</v>
      </c>
      <c r="DO18" s="1184"/>
      <c r="DP18" s="1111"/>
      <c r="DQ18" s="1185"/>
      <c r="DR18" s="1128"/>
      <c r="DS18" s="1193" t="s">
        <v>86</v>
      </c>
      <c r="DT18" s="1184"/>
      <c r="DU18" s="1111"/>
      <c r="DV18" s="1185"/>
      <c r="DW18" s="1128"/>
      <c r="DX18" s="1193" t="s">
        <v>86</v>
      </c>
      <c r="DY18" s="1184"/>
      <c r="DZ18" s="1111"/>
      <c r="EA18" s="1185"/>
      <c r="EB18" s="1128"/>
      <c r="EC18" s="1193" t="s">
        <v>86</v>
      </c>
      <c r="ED18" s="1184"/>
      <c r="EE18" s="1111"/>
      <c r="EF18" s="1185"/>
      <c r="EG18" s="1128"/>
      <c r="EH18" s="1193" t="s">
        <v>86</v>
      </c>
      <c r="EI18" s="1184"/>
      <c r="EJ18" s="1111"/>
      <c r="EK18" s="1185"/>
      <c r="EL18" s="1128"/>
      <c r="EM18" s="1204"/>
      <c r="EN18" s="1195"/>
      <c r="EO18" s="1196"/>
      <c r="EP18" s="1197"/>
      <c r="EQ18" s="1198"/>
      <c r="ER18" s="39">
        <f>SUM(ER5:ER17)</f>
        <v>0</v>
      </c>
      <c r="ES18" s="1199"/>
      <c r="ET18" s="1195"/>
      <c r="EU18" s="1196"/>
      <c r="EV18" s="1197"/>
      <c r="EW18" s="1198"/>
    </row>
    <row r="19" spans="1:153" s="8" customFormat="1" ht="15" customHeight="1" thickBot="1">
      <c r="A19" s="1627"/>
      <c r="B19" s="1625"/>
      <c r="C19" s="1626"/>
      <c r="D19" s="1065"/>
      <c r="E19" s="1108" t="s">
        <v>87</v>
      </c>
      <c r="F19" s="1184"/>
      <c r="G19" s="1111"/>
      <c r="H19" s="1185"/>
      <c r="I19" s="1065"/>
      <c r="J19" s="1108" t="s">
        <v>87</v>
      </c>
      <c r="K19" s="1109"/>
      <c r="L19" s="1065"/>
      <c r="M19" s="1125" t="s">
        <v>87</v>
      </c>
      <c r="N19" s="1184"/>
      <c r="O19" s="1111"/>
      <c r="P19" s="1185"/>
      <c r="Q19" s="1065"/>
      <c r="R19" s="1125" t="s">
        <v>87</v>
      </c>
      <c r="S19" s="1184"/>
      <c r="T19" s="1111"/>
      <c r="U19" s="1185"/>
      <c r="V19" s="1112"/>
      <c r="W19" s="1125" t="s">
        <v>87</v>
      </c>
      <c r="X19" s="1184"/>
      <c r="Y19" s="1111"/>
      <c r="Z19" s="1185"/>
      <c r="AA19" s="1112"/>
      <c r="AB19" s="1125" t="s">
        <v>87</v>
      </c>
      <c r="AC19" s="1184"/>
      <c r="AD19" s="1111"/>
      <c r="AE19" s="1185"/>
      <c r="AF19" s="1114"/>
      <c r="AG19" s="1125" t="s">
        <v>87</v>
      </c>
      <c r="AH19" s="1184"/>
      <c r="AI19" s="1111"/>
      <c r="AJ19" s="1185"/>
      <c r="AK19" s="1112"/>
      <c r="AL19" s="1125" t="s">
        <v>87</v>
      </c>
      <c r="AM19" s="1184"/>
      <c r="AN19" s="1111"/>
      <c r="AO19" s="1185"/>
      <c r="AP19" s="1114"/>
      <c r="AQ19" s="1125" t="s">
        <v>87</v>
      </c>
      <c r="AR19" s="1184"/>
      <c r="AS19" s="1111"/>
      <c r="AT19" s="1185"/>
      <c r="AU19" s="1114"/>
      <c r="AV19" s="1125" t="s">
        <v>87</v>
      </c>
      <c r="AW19" s="1184"/>
      <c r="AX19" s="1111"/>
      <c r="AY19" s="1185"/>
      <c r="AZ19" s="1114"/>
      <c r="BA19" s="1125" t="s">
        <v>87</v>
      </c>
      <c r="BB19" s="1184"/>
      <c r="BC19" s="1111"/>
      <c r="BD19" s="1185"/>
      <c r="BE19" s="1114"/>
      <c r="BF19" s="1125" t="s">
        <v>87</v>
      </c>
      <c r="BG19" s="1184"/>
      <c r="BH19" s="1111"/>
      <c r="BI19" s="1185"/>
      <c r="BJ19" s="1573"/>
      <c r="BK19" s="1125" t="s">
        <v>87</v>
      </c>
      <c r="BL19" s="1184"/>
      <c r="BM19" s="1111"/>
      <c r="BN19" s="1185"/>
      <c r="BO19" s="1067"/>
      <c r="BP19" s="1125" t="s">
        <v>87</v>
      </c>
      <c r="BQ19" s="1184"/>
      <c r="BR19" s="1111"/>
      <c r="BS19" s="1185"/>
      <c r="BT19" s="1067"/>
      <c r="BU19" s="1125" t="s">
        <v>87</v>
      </c>
      <c r="BV19" s="1184"/>
      <c r="BW19" s="1111"/>
      <c r="BX19" s="1185"/>
      <c r="BY19" s="1128"/>
      <c r="BZ19" s="1125" t="s">
        <v>87</v>
      </c>
      <c r="CA19" s="1184"/>
      <c r="CB19" s="1111"/>
      <c r="CC19" s="1185"/>
      <c r="CD19" s="1114"/>
      <c r="CE19" s="1125" t="s">
        <v>87</v>
      </c>
      <c r="CF19" s="1184"/>
      <c r="CG19" s="1111"/>
      <c r="CH19" s="1185"/>
      <c r="CI19" s="1128"/>
      <c r="CJ19" s="1125" t="s">
        <v>87</v>
      </c>
      <c r="CK19" s="1110"/>
      <c r="CL19" s="1111"/>
      <c r="CM19" s="1185"/>
      <c r="CN19" s="1114"/>
      <c r="CO19" s="1125" t="s">
        <v>87</v>
      </c>
      <c r="CP19" s="1110"/>
      <c r="CQ19" s="1111"/>
      <c r="CR19" s="1185"/>
      <c r="CS19" s="1128"/>
      <c r="CT19" s="1125" t="s">
        <v>87</v>
      </c>
      <c r="CU19" s="1184"/>
      <c r="CV19" s="1111"/>
      <c r="CW19" s="1185"/>
      <c r="CX19" s="1128"/>
      <c r="CY19" s="1125" t="s">
        <v>87</v>
      </c>
      <c r="CZ19" s="1184"/>
      <c r="DA19" s="1111"/>
      <c r="DB19" s="1185"/>
      <c r="DC19" s="1128"/>
      <c r="DD19" s="1125" t="s">
        <v>87</v>
      </c>
      <c r="DE19" s="1184"/>
      <c r="DF19" s="1111"/>
      <c r="DG19" s="1185"/>
      <c r="DH19" s="1128"/>
      <c r="DI19" s="1125" t="s">
        <v>87</v>
      </c>
      <c r="DJ19" s="1184"/>
      <c r="DK19" s="1111"/>
      <c r="DL19" s="1185"/>
      <c r="DM19" s="1128"/>
      <c r="DN19" s="1125" t="s">
        <v>87</v>
      </c>
      <c r="DO19" s="1184"/>
      <c r="DP19" s="1111"/>
      <c r="DQ19" s="1185"/>
      <c r="DR19" s="1128"/>
      <c r="DS19" s="1125" t="s">
        <v>87</v>
      </c>
      <c r="DT19" s="1184"/>
      <c r="DU19" s="1111"/>
      <c r="DV19" s="1185"/>
      <c r="DW19" s="1128"/>
      <c r="DX19" s="1125" t="s">
        <v>87</v>
      </c>
      <c r="DY19" s="1184"/>
      <c r="DZ19" s="1111"/>
      <c r="EA19" s="1185"/>
      <c r="EB19" s="1128"/>
      <c r="EC19" s="1125" t="s">
        <v>87</v>
      </c>
      <c r="ED19" s="1184"/>
      <c r="EE19" s="1111"/>
      <c r="EF19" s="1185"/>
      <c r="EG19" s="1128"/>
      <c r="EH19" s="1125" t="s">
        <v>87</v>
      </c>
      <c r="EI19" s="1184"/>
      <c r="EJ19" s="1111"/>
      <c r="EK19" s="1185"/>
      <c r="EL19" s="1128"/>
      <c r="EM19" s="1202"/>
      <c r="EN19" s="1195"/>
      <c r="EO19" s="1196"/>
      <c r="EP19" s="1197"/>
      <c r="EQ19" s="1198"/>
      <c r="ER19" s="39"/>
      <c r="ES19" s="1201"/>
      <c r="ET19" s="1195"/>
      <c r="EU19" s="1196"/>
      <c r="EV19" s="1197"/>
      <c r="EW19" s="1198"/>
    </row>
    <row r="20" spans="1:153" s="8" customFormat="1" ht="15" customHeight="1" thickBot="1">
      <c r="A20" s="1627"/>
      <c r="B20" s="1615" t="s">
        <v>1453</v>
      </c>
      <c r="C20" s="1616"/>
      <c r="D20" s="1065"/>
      <c r="E20" s="1125" t="s">
        <v>101</v>
      </c>
      <c r="F20" s="1184"/>
      <c r="G20" s="1111"/>
      <c r="H20" s="1185"/>
      <c r="I20" s="1065"/>
      <c r="J20" s="1125" t="s">
        <v>101</v>
      </c>
      <c r="K20" s="1109"/>
      <c r="L20" s="1065"/>
      <c r="M20" s="1193" t="s">
        <v>101</v>
      </c>
      <c r="N20" s="1184"/>
      <c r="O20" s="1111"/>
      <c r="P20" s="1185"/>
      <c r="Q20" s="1065"/>
      <c r="R20" s="1193" t="s">
        <v>101</v>
      </c>
      <c r="S20" s="1184"/>
      <c r="T20" s="1111"/>
      <c r="U20" s="1185"/>
      <c r="V20" s="1112"/>
      <c r="W20" s="1193" t="s">
        <v>101</v>
      </c>
      <c r="X20" s="1184"/>
      <c r="Y20" s="1111"/>
      <c r="Z20" s="1185"/>
      <c r="AA20" s="1112"/>
      <c r="AB20" s="1193" t="s">
        <v>101</v>
      </c>
      <c r="AC20" s="1184"/>
      <c r="AD20" s="1111"/>
      <c r="AE20" s="1185"/>
      <c r="AF20" s="1114"/>
      <c r="AG20" s="1193" t="s">
        <v>101</v>
      </c>
      <c r="AH20" s="1184"/>
      <c r="AI20" s="1111"/>
      <c r="AJ20" s="1185"/>
      <c r="AK20" s="1112"/>
      <c r="AL20" s="1193" t="s">
        <v>101</v>
      </c>
      <c r="AM20" s="1184"/>
      <c r="AN20" s="1111"/>
      <c r="AO20" s="1185"/>
      <c r="AP20" s="1114"/>
      <c r="AQ20" s="1193" t="s">
        <v>101</v>
      </c>
      <c r="AR20" s="1184"/>
      <c r="AS20" s="1111"/>
      <c r="AT20" s="1185"/>
      <c r="AU20" s="1114"/>
      <c r="AV20" s="1193" t="s">
        <v>101</v>
      </c>
      <c r="AW20" s="1184"/>
      <c r="AX20" s="1111"/>
      <c r="AY20" s="1185"/>
      <c r="AZ20" s="1114"/>
      <c r="BA20" s="1193" t="s">
        <v>101</v>
      </c>
      <c r="BB20" s="1184"/>
      <c r="BC20" s="1111"/>
      <c r="BD20" s="1185"/>
      <c r="BE20" s="1114"/>
      <c r="BF20" s="1193" t="s">
        <v>101</v>
      </c>
      <c r="BG20" s="1184"/>
      <c r="BH20" s="1111"/>
      <c r="BI20" s="1185"/>
      <c r="BJ20" s="1573"/>
      <c r="BK20" s="1193" t="s">
        <v>101</v>
      </c>
      <c r="BL20" s="1184"/>
      <c r="BM20" s="1111"/>
      <c r="BN20" s="1185"/>
      <c r="BO20" s="1067"/>
      <c r="BP20" s="1193" t="s">
        <v>101</v>
      </c>
      <c r="BQ20" s="1184"/>
      <c r="BR20" s="1111"/>
      <c r="BS20" s="1185"/>
      <c r="BT20" s="1067"/>
      <c r="BU20" s="1193" t="s">
        <v>101</v>
      </c>
      <c r="BV20" s="1184"/>
      <c r="BW20" s="1111"/>
      <c r="BX20" s="1185"/>
      <c r="BY20" s="1128"/>
      <c r="BZ20" s="1193" t="s">
        <v>101</v>
      </c>
      <c r="CA20" s="1184"/>
      <c r="CB20" s="1111"/>
      <c r="CC20" s="1185"/>
      <c r="CD20" s="1114"/>
      <c r="CE20" s="1193" t="s">
        <v>101</v>
      </c>
      <c r="CF20" s="1184"/>
      <c r="CG20" s="1111"/>
      <c r="CH20" s="1185"/>
      <c r="CI20" s="1128"/>
      <c r="CJ20" s="1193" t="s">
        <v>101</v>
      </c>
      <c r="CK20" s="1110"/>
      <c r="CL20" s="1111"/>
      <c r="CM20" s="1185"/>
      <c r="CN20" s="1114"/>
      <c r="CO20" s="1193" t="s">
        <v>101</v>
      </c>
      <c r="CP20" s="1110"/>
      <c r="CQ20" s="1111"/>
      <c r="CR20" s="1185"/>
      <c r="CS20" s="1128"/>
      <c r="CT20" s="1193" t="s">
        <v>101</v>
      </c>
      <c r="CU20" s="1184"/>
      <c r="CV20" s="1111"/>
      <c r="CW20" s="1185"/>
      <c r="CX20" s="1128"/>
      <c r="CY20" s="1193" t="s">
        <v>101</v>
      </c>
      <c r="CZ20" s="1184"/>
      <c r="DA20" s="1111"/>
      <c r="DB20" s="1185"/>
      <c r="DC20" s="1128"/>
      <c r="DD20" s="1193" t="s">
        <v>101</v>
      </c>
      <c r="DE20" s="1184"/>
      <c r="DF20" s="1111"/>
      <c r="DG20" s="1185"/>
      <c r="DH20" s="1128"/>
      <c r="DI20" s="1193" t="s">
        <v>101</v>
      </c>
      <c r="DJ20" s="1184"/>
      <c r="DK20" s="1111"/>
      <c r="DL20" s="1185"/>
      <c r="DM20" s="1128"/>
      <c r="DN20" s="1193" t="s">
        <v>101</v>
      </c>
      <c r="DO20" s="1184"/>
      <c r="DP20" s="1111"/>
      <c r="DQ20" s="1185"/>
      <c r="DR20" s="1128"/>
      <c r="DS20" s="1193" t="s">
        <v>101</v>
      </c>
      <c r="DT20" s="1184"/>
      <c r="DU20" s="1111"/>
      <c r="DV20" s="1185"/>
      <c r="DW20" s="1128"/>
      <c r="DX20" s="1193" t="s">
        <v>101</v>
      </c>
      <c r="DY20" s="1184"/>
      <c r="DZ20" s="1111"/>
      <c r="EA20" s="1185"/>
      <c r="EB20" s="1128"/>
      <c r="EC20" s="1193" t="s">
        <v>101</v>
      </c>
      <c r="ED20" s="1184"/>
      <c r="EE20" s="1111"/>
      <c r="EF20" s="1185"/>
      <c r="EG20" s="1128"/>
      <c r="EH20" s="1193" t="s">
        <v>101</v>
      </c>
      <c r="EI20" s="1184"/>
      <c r="EJ20" s="1111"/>
      <c r="EK20" s="1185"/>
      <c r="EL20" s="1128"/>
      <c r="EM20" s="1204"/>
      <c r="EN20" s="1195"/>
      <c r="EO20" s="1196"/>
      <c r="EP20" s="1197"/>
      <c r="EQ20" s="1198"/>
      <c r="ER20" s="39"/>
      <c r="ES20" s="1205"/>
      <c r="ET20" s="1195"/>
      <c r="EU20" s="1196"/>
      <c r="EV20" s="1197"/>
      <c r="EW20" s="1198"/>
    </row>
    <row r="21" spans="1:153" s="8" customFormat="1" ht="15" customHeight="1" thickBot="1">
      <c r="A21" s="1627"/>
      <c r="B21" s="1617"/>
      <c r="C21" s="1618"/>
      <c r="D21" s="1065"/>
      <c r="E21" s="1108" t="s">
        <v>88</v>
      </c>
      <c r="F21" s="1184"/>
      <c r="G21" s="1111"/>
      <c r="H21" s="1185"/>
      <c r="I21" s="1065"/>
      <c r="J21" s="1108" t="s">
        <v>88</v>
      </c>
      <c r="K21" s="1109"/>
      <c r="L21" s="1065"/>
      <c r="M21" s="1125" t="s">
        <v>88</v>
      </c>
      <c r="N21" s="1184"/>
      <c r="O21" s="1111"/>
      <c r="P21" s="1185"/>
      <c r="Q21" s="1065"/>
      <c r="R21" s="1125" t="s">
        <v>88</v>
      </c>
      <c r="S21" s="1184"/>
      <c r="T21" s="1111"/>
      <c r="U21" s="1185"/>
      <c r="V21" s="1112"/>
      <c r="W21" s="1125" t="s">
        <v>88</v>
      </c>
      <c r="X21" s="1184"/>
      <c r="Y21" s="1111"/>
      <c r="Z21" s="1185"/>
      <c r="AA21" s="1112"/>
      <c r="AB21" s="1125" t="s">
        <v>88</v>
      </c>
      <c r="AC21" s="1184"/>
      <c r="AD21" s="1111"/>
      <c r="AE21" s="1185"/>
      <c r="AF21" s="1114"/>
      <c r="AG21" s="1125" t="s">
        <v>88</v>
      </c>
      <c r="AH21" s="1184"/>
      <c r="AI21" s="1111"/>
      <c r="AJ21" s="1185"/>
      <c r="AK21" s="1112"/>
      <c r="AL21" s="1125" t="s">
        <v>88</v>
      </c>
      <c r="AM21" s="1184"/>
      <c r="AN21" s="1111"/>
      <c r="AO21" s="1185"/>
      <c r="AP21" s="1114"/>
      <c r="AQ21" s="1125" t="s">
        <v>88</v>
      </c>
      <c r="AR21" s="1184"/>
      <c r="AS21" s="1111"/>
      <c r="AT21" s="1185"/>
      <c r="AU21" s="1114"/>
      <c r="AV21" s="1125" t="s">
        <v>88</v>
      </c>
      <c r="AW21" s="1184"/>
      <c r="AX21" s="1111"/>
      <c r="AY21" s="1185"/>
      <c r="AZ21" s="1114"/>
      <c r="BA21" s="1125" t="s">
        <v>88</v>
      </c>
      <c r="BB21" s="1184"/>
      <c r="BC21" s="1111"/>
      <c r="BD21" s="1185"/>
      <c r="BE21" s="1114"/>
      <c r="BF21" s="1125" t="s">
        <v>88</v>
      </c>
      <c r="BG21" s="1184"/>
      <c r="BH21" s="1111"/>
      <c r="BI21" s="1185"/>
      <c r="BJ21" s="1573"/>
      <c r="BK21" s="1125" t="s">
        <v>88</v>
      </c>
      <c r="BL21" s="1184"/>
      <c r="BM21" s="1111"/>
      <c r="BN21" s="1185"/>
      <c r="BO21" s="1067"/>
      <c r="BP21" s="1125" t="s">
        <v>88</v>
      </c>
      <c r="BQ21" s="1184"/>
      <c r="BR21" s="1111"/>
      <c r="BS21" s="1185"/>
      <c r="BT21" s="1067"/>
      <c r="BU21" s="1125" t="s">
        <v>88</v>
      </c>
      <c r="BV21" s="1184"/>
      <c r="BW21" s="1111"/>
      <c r="BX21" s="1185"/>
      <c r="BY21" s="1128"/>
      <c r="BZ21" s="1125" t="s">
        <v>88</v>
      </c>
      <c r="CA21" s="1184"/>
      <c r="CB21" s="1111"/>
      <c r="CC21" s="1185"/>
      <c r="CD21" s="1114"/>
      <c r="CE21" s="1125" t="s">
        <v>88</v>
      </c>
      <c r="CF21" s="1184"/>
      <c r="CG21" s="1111"/>
      <c r="CH21" s="1185"/>
      <c r="CI21" s="1128"/>
      <c r="CJ21" s="1125" t="s">
        <v>88</v>
      </c>
      <c r="CK21" s="1110"/>
      <c r="CL21" s="1111"/>
      <c r="CM21" s="1185"/>
      <c r="CN21" s="1114"/>
      <c r="CO21" s="1125" t="s">
        <v>88</v>
      </c>
      <c r="CP21" s="1110"/>
      <c r="CQ21" s="1111"/>
      <c r="CR21" s="1185"/>
      <c r="CS21" s="1128"/>
      <c r="CT21" s="1125" t="s">
        <v>88</v>
      </c>
      <c r="CU21" s="1184"/>
      <c r="CV21" s="1111"/>
      <c r="CW21" s="1185"/>
      <c r="CX21" s="1128"/>
      <c r="CY21" s="1125" t="s">
        <v>88</v>
      </c>
      <c r="CZ21" s="1184"/>
      <c r="DA21" s="1111"/>
      <c r="DB21" s="1185"/>
      <c r="DC21" s="1128"/>
      <c r="DD21" s="1125" t="s">
        <v>88</v>
      </c>
      <c r="DE21" s="1184"/>
      <c r="DF21" s="1111"/>
      <c r="DG21" s="1185"/>
      <c r="DH21" s="1128"/>
      <c r="DI21" s="1125" t="s">
        <v>88</v>
      </c>
      <c r="DJ21" s="1184"/>
      <c r="DK21" s="1111"/>
      <c r="DL21" s="1185"/>
      <c r="DM21" s="1128"/>
      <c r="DN21" s="1125" t="s">
        <v>88</v>
      </c>
      <c r="DO21" s="1184"/>
      <c r="DP21" s="1111"/>
      <c r="DQ21" s="1185"/>
      <c r="DR21" s="1128"/>
      <c r="DS21" s="1125" t="s">
        <v>88</v>
      </c>
      <c r="DT21" s="1184"/>
      <c r="DU21" s="1111"/>
      <c r="DV21" s="1185"/>
      <c r="DW21" s="1128"/>
      <c r="DX21" s="1125" t="s">
        <v>88</v>
      </c>
      <c r="DY21" s="1184"/>
      <c r="DZ21" s="1111"/>
      <c r="EA21" s="1185"/>
      <c r="EB21" s="1128"/>
      <c r="EC21" s="1125" t="s">
        <v>88</v>
      </c>
      <c r="ED21" s="1184"/>
      <c r="EE21" s="1111"/>
      <c r="EF21" s="1185"/>
      <c r="EG21" s="1128"/>
      <c r="EH21" s="1125" t="s">
        <v>88</v>
      </c>
      <c r="EI21" s="1184"/>
      <c r="EJ21" s="1111"/>
      <c r="EK21" s="1185"/>
      <c r="EL21" s="1128"/>
      <c r="EM21" s="1206"/>
      <c r="EN21" s="1195"/>
      <c r="EO21" s="1196"/>
      <c r="EP21" s="1197"/>
      <c r="EQ21" s="1198"/>
      <c r="ER21" s="39"/>
      <c r="ES21" s="1207"/>
      <c r="ET21" s="1195"/>
      <c r="EU21" s="1196"/>
      <c r="EV21" s="1197"/>
      <c r="EW21" s="1198"/>
    </row>
    <row r="22" spans="1:153" s="8" customFormat="1" ht="15" customHeight="1" thickBot="1">
      <c r="A22" s="1627"/>
      <c r="B22" s="1628" t="s">
        <v>1454</v>
      </c>
      <c r="C22" s="1629"/>
      <c r="D22" s="1065"/>
      <c r="E22" s="1125" t="s">
        <v>89</v>
      </c>
      <c r="F22" s="1184"/>
      <c r="G22" s="1111"/>
      <c r="H22" s="1185"/>
      <c r="I22" s="1065"/>
      <c r="J22" s="1125" t="s">
        <v>89</v>
      </c>
      <c r="K22" s="1109"/>
      <c r="L22" s="1065"/>
      <c r="M22" s="1193" t="s">
        <v>89</v>
      </c>
      <c r="N22" s="1184"/>
      <c r="O22" s="1111"/>
      <c r="P22" s="1185"/>
      <c r="Q22" s="1065"/>
      <c r="R22" s="1193" t="s">
        <v>89</v>
      </c>
      <c r="S22" s="1184"/>
      <c r="T22" s="1111"/>
      <c r="U22" s="1185"/>
      <c r="V22" s="1112"/>
      <c r="W22" s="1193" t="s">
        <v>89</v>
      </c>
      <c r="X22" s="1184"/>
      <c r="Y22" s="1111"/>
      <c r="Z22" s="1185"/>
      <c r="AA22" s="1112"/>
      <c r="AB22" s="1193" t="s">
        <v>89</v>
      </c>
      <c r="AC22" s="1184"/>
      <c r="AD22" s="1111"/>
      <c r="AE22" s="1185"/>
      <c r="AF22" s="1114"/>
      <c r="AG22" s="1193" t="s">
        <v>89</v>
      </c>
      <c r="AH22" s="1184"/>
      <c r="AI22" s="1111"/>
      <c r="AJ22" s="1185"/>
      <c r="AK22" s="1112"/>
      <c r="AL22" s="1193" t="s">
        <v>89</v>
      </c>
      <c r="AM22" s="1184"/>
      <c r="AN22" s="1111"/>
      <c r="AO22" s="1185"/>
      <c r="AP22" s="1114"/>
      <c r="AQ22" s="1193" t="s">
        <v>89</v>
      </c>
      <c r="AR22" s="1184"/>
      <c r="AS22" s="1111"/>
      <c r="AT22" s="1185"/>
      <c r="AU22" s="1114"/>
      <c r="AV22" s="1193" t="s">
        <v>89</v>
      </c>
      <c r="AW22" s="1184"/>
      <c r="AX22" s="1111"/>
      <c r="AY22" s="1185"/>
      <c r="AZ22" s="1114"/>
      <c r="BA22" s="1193" t="s">
        <v>89</v>
      </c>
      <c r="BB22" s="1184"/>
      <c r="BC22" s="1111"/>
      <c r="BD22" s="1185"/>
      <c r="BE22" s="1114"/>
      <c r="BF22" s="1193" t="s">
        <v>89</v>
      </c>
      <c r="BG22" s="1184"/>
      <c r="BH22" s="1111"/>
      <c r="BI22" s="1185"/>
      <c r="BJ22" s="1573"/>
      <c r="BK22" s="1193" t="s">
        <v>89</v>
      </c>
      <c r="BL22" s="1184"/>
      <c r="BM22" s="1111"/>
      <c r="BN22" s="1185"/>
      <c r="BO22" s="1067"/>
      <c r="BP22" s="1193" t="s">
        <v>89</v>
      </c>
      <c r="BQ22" s="1184"/>
      <c r="BR22" s="1111"/>
      <c r="BS22" s="1185"/>
      <c r="BT22" s="1067"/>
      <c r="BU22" s="1193" t="s">
        <v>89</v>
      </c>
      <c r="BV22" s="1184"/>
      <c r="BW22" s="1111"/>
      <c r="BX22" s="1185"/>
      <c r="BY22" s="1128"/>
      <c r="BZ22" s="1193" t="s">
        <v>89</v>
      </c>
      <c r="CA22" s="1184"/>
      <c r="CB22" s="1111"/>
      <c r="CC22" s="1185"/>
      <c r="CD22" s="1114"/>
      <c r="CE22" s="1193" t="s">
        <v>89</v>
      </c>
      <c r="CF22" s="1184"/>
      <c r="CG22" s="1111"/>
      <c r="CH22" s="1185"/>
      <c r="CI22" s="1128"/>
      <c r="CJ22" s="1193" t="s">
        <v>89</v>
      </c>
      <c r="CK22" s="1110"/>
      <c r="CL22" s="1111"/>
      <c r="CM22" s="1185"/>
      <c r="CN22" s="1114"/>
      <c r="CO22" s="1193" t="s">
        <v>89</v>
      </c>
      <c r="CP22" s="1110"/>
      <c r="CQ22" s="1111"/>
      <c r="CR22" s="1185"/>
      <c r="CS22" s="1128"/>
      <c r="CT22" s="1193" t="s">
        <v>89</v>
      </c>
      <c r="CU22" s="1184"/>
      <c r="CV22" s="1111"/>
      <c r="CW22" s="1185"/>
      <c r="CX22" s="1128"/>
      <c r="CY22" s="1193" t="s">
        <v>89</v>
      </c>
      <c r="CZ22" s="1184"/>
      <c r="DA22" s="1111"/>
      <c r="DB22" s="1185"/>
      <c r="DC22" s="1128"/>
      <c r="DD22" s="1193" t="s">
        <v>89</v>
      </c>
      <c r="DE22" s="1184"/>
      <c r="DF22" s="1111"/>
      <c r="DG22" s="1185"/>
      <c r="DH22" s="1128"/>
      <c r="DI22" s="1193" t="s">
        <v>89</v>
      </c>
      <c r="DJ22" s="1184"/>
      <c r="DK22" s="1111"/>
      <c r="DL22" s="1185"/>
      <c r="DM22" s="1128"/>
      <c r="DN22" s="1193" t="s">
        <v>89</v>
      </c>
      <c r="DO22" s="1184"/>
      <c r="DP22" s="1111"/>
      <c r="DQ22" s="1185"/>
      <c r="DR22" s="1128"/>
      <c r="DS22" s="1193" t="s">
        <v>89</v>
      </c>
      <c r="DT22" s="1184"/>
      <c r="DU22" s="1111"/>
      <c r="DV22" s="1185"/>
      <c r="DW22" s="1128"/>
      <c r="DX22" s="1193" t="s">
        <v>89</v>
      </c>
      <c r="DY22" s="1184"/>
      <c r="DZ22" s="1111"/>
      <c r="EA22" s="1185"/>
      <c r="EB22" s="1128"/>
      <c r="EC22" s="1193" t="s">
        <v>89</v>
      </c>
      <c r="ED22" s="1184"/>
      <c r="EE22" s="1111"/>
      <c r="EF22" s="1185"/>
      <c r="EG22" s="1128"/>
      <c r="EH22" s="1193" t="s">
        <v>89</v>
      </c>
      <c r="EI22" s="1184"/>
      <c r="EJ22" s="1111"/>
      <c r="EK22" s="1185"/>
      <c r="EL22" s="1128"/>
      <c r="EM22" s="1206"/>
      <c r="EN22" s="1195"/>
      <c r="EO22" s="1196"/>
      <c r="EP22" s="1197"/>
      <c r="EQ22" s="1198"/>
      <c r="ER22" s="39"/>
      <c r="ES22" s="1207"/>
      <c r="ET22" s="1195"/>
      <c r="EU22" s="1196"/>
      <c r="EV22" s="1197"/>
      <c r="EW22" s="1198"/>
    </row>
    <row r="23" spans="1:153" s="8" customFormat="1" ht="15" customHeight="1" thickBot="1">
      <c r="A23" s="1627"/>
      <c r="B23" s="1630"/>
      <c r="C23" s="1631"/>
      <c r="D23" s="1065"/>
      <c r="E23" s="1108" t="s">
        <v>90</v>
      </c>
      <c r="F23" s="1184"/>
      <c r="G23" s="1111"/>
      <c r="H23" s="1185"/>
      <c r="I23" s="1065"/>
      <c r="J23" s="1108" t="s">
        <v>90</v>
      </c>
      <c r="K23" s="1109"/>
      <c r="L23" s="1065"/>
      <c r="M23" s="1125" t="s">
        <v>90</v>
      </c>
      <c r="N23" s="1184"/>
      <c r="O23" s="1111"/>
      <c r="P23" s="1185"/>
      <c r="Q23" s="1065"/>
      <c r="R23" s="1125" t="s">
        <v>90</v>
      </c>
      <c r="S23" s="1184"/>
      <c r="T23" s="1111"/>
      <c r="U23" s="1185"/>
      <c r="V23" s="1112"/>
      <c r="W23" s="1125" t="s">
        <v>90</v>
      </c>
      <c r="X23" s="1184"/>
      <c r="Y23" s="1111"/>
      <c r="Z23" s="1185"/>
      <c r="AA23" s="1112"/>
      <c r="AB23" s="1125" t="s">
        <v>90</v>
      </c>
      <c r="AC23" s="1184"/>
      <c r="AD23" s="1111"/>
      <c r="AE23" s="1185"/>
      <c r="AF23" s="1114"/>
      <c r="AG23" s="1125" t="s">
        <v>90</v>
      </c>
      <c r="AH23" s="1184"/>
      <c r="AI23" s="1111"/>
      <c r="AJ23" s="1185"/>
      <c r="AK23" s="1112"/>
      <c r="AL23" s="1125" t="s">
        <v>90</v>
      </c>
      <c r="AM23" s="1184"/>
      <c r="AN23" s="1111"/>
      <c r="AO23" s="1185"/>
      <c r="AP23" s="1114"/>
      <c r="AQ23" s="1125" t="s">
        <v>90</v>
      </c>
      <c r="AR23" s="1184"/>
      <c r="AS23" s="1111"/>
      <c r="AT23" s="1185"/>
      <c r="AU23" s="1114"/>
      <c r="AV23" s="1125" t="s">
        <v>90</v>
      </c>
      <c r="AW23" s="1184"/>
      <c r="AX23" s="1111"/>
      <c r="AY23" s="1185"/>
      <c r="AZ23" s="1114"/>
      <c r="BA23" s="1125" t="s">
        <v>90</v>
      </c>
      <c r="BB23" s="1184"/>
      <c r="BC23" s="1111"/>
      <c r="BD23" s="1185"/>
      <c r="BE23" s="1114"/>
      <c r="BF23" s="1125" t="s">
        <v>90</v>
      </c>
      <c r="BG23" s="1184"/>
      <c r="BH23" s="1111"/>
      <c r="BI23" s="1185"/>
      <c r="BJ23" s="1573"/>
      <c r="BK23" s="1125" t="s">
        <v>90</v>
      </c>
      <c r="BL23" s="1184"/>
      <c r="BM23" s="1111"/>
      <c r="BN23" s="1185"/>
      <c r="BO23" s="1067"/>
      <c r="BP23" s="1125" t="s">
        <v>90</v>
      </c>
      <c r="BQ23" s="1184"/>
      <c r="BR23" s="1111"/>
      <c r="BS23" s="1185"/>
      <c r="BT23" s="1067"/>
      <c r="BU23" s="1125" t="s">
        <v>90</v>
      </c>
      <c r="BV23" s="1184"/>
      <c r="BW23" s="1111"/>
      <c r="BX23" s="1185"/>
      <c r="BY23" s="1128"/>
      <c r="BZ23" s="1125" t="s">
        <v>90</v>
      </c>
      <c r="CA23" s="1184"/>
      <c r="CB23" s="1111"/>
      <c r="CC23" s="1185"/>
      <c r="CD23" s="1114"/>
      <c r="CE23" s="1125" t="s">
        <v>90</v>
      </c>
      <c r="CF23" s="1184"/>
      <c r="CG23" s="1111"/>
      <c r="CH23" s="1185"/>
      <c r="CI23" s="1128"/>
      <c r="CJ23" s="1125" t="s">
        <v>90</v>
      </c>
      <c r="CK23" s="1110"/>
      <c r="CL23" s="1111"/>
      <c r="CM23" s="1185"/>
      <c r="CN23" s="1114"/>
      <c r="CO23" s="1125" t="s">
        <v>90</v>
      </c>
      <c r="CP23" s="1110"/>
      <c r="CQ23" s="1111"/>
      <c r="CR23" s="1185"/>
      <c r="CS23" s="1128"/>
      <c r="CT23" s="1125" t="s">
        <v>90</v>
      </c>
      <c r="CU23" s="1184"/>
      <c r="CV23" s="1111"/>
      <c r="CW23" s="1185"/>
      <c r="CX23" s="1128"/>
      <c r="CY23" s="1125" t="s">
        <v>90</v>
      </c>
      <c r="CZ23" s="1184"/>
      <c r="DA23" s="1111"/>
      <c r="DB23" s="1185"/>
      <c r="DC23" s="1128"/>
      <c r="DD23" s="1125" t="s">
        <v>90</v>
      </c>
      <c r="DE23" s="1184"/>
      <c r="DF23" s="1111"/>
      <c r="DG23" s="1185"/>
      <c r="DH23" s="1128"/>
      <c r="DI23" s="1125" t="s">
        <v>90</v>
      </c>
      <c r="DJ23" s="1184"/>
      <c r="DK23" s="1111"/>
      <c r="DL23" s="1185"/>
      <c r="DM23" s="1128"/>
      <c r="DN23" s="1125" t="s">
        <v>90</v>
      </c>
      <c r="DO23" s="1184"/>
      <c r="DP23" s="1111"/>
      <c r="DQ23" s="1185"/>
      <c r="DR23" s="1128"/>
      <c r="DS23" s="1125" t="s">
        <v>90</v>
      </c>
      <c r="DT23" s="1184"/>
      <c r="DU23" s="1111"/>
      <c r="DV23" s="1185"/>
      <c r="DW23" s="1128"/>
      <c r="DX23" s="1125" t="s">
        <v>90</v>
      </c>
      <c r="DY23" s="1184"/>
      <c r="DZ23" s="1111"/>
      <c r="EA23" s="1185"/>
      <c r="EB23" s="1128"/>
      <c r="EC23" s="1125" t="s">
        <v>90</v>
      </c>
      <c r="ED23" s="1184"/>
      <c r="EE23" s="1111"/>
      <c r="EF23" s="1185"/>
      <c r="EG23" s="1128"/>
      <c r="EH23" s="1125" t="s">
        <v>90</v>
      </c>
      <c r="EI23" s="1184"/>
      <c r="EJ23" s="1111"/>
      <c r="EK23" s="1185"/>
      <c r="EL23" s="1128"/>
      <c r="EM23" s="1206"/>
      <c r="EN23" s="1195"/>
      <c r="EO23" s="1196"/>
      <c r="EP23" s="1197"/>
      <c r="EQ23" s="1198"/>
      <c r="ER23" s="39"/>
      <c r="ES23" s="1207"/>
      <c r="ET23" s="1195"/>
      <c r="EU23" s="1196"/>
      <c r="EV23" s="1197"/>
      <c r="EW23" s="1198"/>
    </row>
    <row r="24" spans="1:153" s="8" customFormat="1" ht="15" customHeight="1" thickBot="1">
      <c r="A24" s="1627"/>
      <c r="B24" s="1148"/>
      <c r="C24" s="1148"/>
      <c r="D24" s="1065"/>
      <c r="E24" s="1125" t="s">
        <v>93</v>
      </c>
      <c r="F24" s="1184"/>
      <c r="G24" s="1111"/>
      <c r="H24" s="1185"/>
      <c r="I24" s="1065"/>
      <c r="J24" s="1125" t="s">
        <v>93</v>
      </c>
      <c r="K24" s="1109"/>
      <c r="L24" s="1065"/>
      <c r="M24" s="1193" t="s">
        <v>93</v>
      </c>
      <c r="N24" s="1184"/>
      <c r="O24" s="1111"/>
      <c r="P24" s="1185"/>
      <c r="Q24" s="1065"/>
      <c r="R24" s="1193" t="s">
        <v>93</v>
      </c>
      <c r="S24" s="1184"/>
      <c r="T24" s="1111"/>
      <c r="U24" s="1185"/>
      <c r="V24" s="1112"/>
      <c r="W24" s="1193" t="s">
        <v>93</v>
      </c>
      <c r="X24" s="1184"/>
      <c r="Y24" s="1111"/>
      <c r="Z24" s="1185"/>
      <c r="AA24" s="1112"/>
      <c r="AB24" s="1193" t="s">
        <v>93</v>
      </c>
      <c r="AC24" s="1184"/>
      <c r="AD24" s="1111"/>
      <c r="AE24" s="1185"/>
      <c r="AF24" s="1114"/>
      <c r="AG24" s="1193" t="s">
        <v>93</v>
      </c>
      <c r="AH24" s="1184"/>
      <c r="AI24" s="1111"/>
      <c r="AJ24" s="1185"/>
      <c r="AK24" s="1112"/>
      <c r="AL24" s="1193" t="s">
        <v>93</v>
      </c>
      <c r="AM24" s="1184"/>
      <c r="AN24" s="1111"/>
      <c r="AO24" s="1185"/>
      <c r="AP24" s="1114"/>
      <c r="AQ24" s="1193" t="s">
        <v>93</v>
      </c>
      <c r="AR24" s="1184"/>
      <c r="AS24" s="1111"/>
      <c r="AT24" s="1185"/>
      <c r="AU24" s="1114"/>
      <c r="AV24" s="1193" t="s">
        <v>93</v>
      </c>
      <c r="AW24" s="1184"/>
      <c r="AX24" s="1111"/>
      <c r="AY24" s="1185"/>
      <c r="AZ24" s="1114"/>
      <c r="BA24" s="1193" t="s">
        <v>93</v>
      </c>
      <c r="BB24" s="1184"/>
      <c r="BC24" s="1111"/>
      <c r="BD24" s="1185"/>
      <c r="BE24" s="1114"/>
      <c r="BF24" s="1193" t="s">
        <v>93</v>
      </c>
      <c r="BG24" s="1184"/>
      <c r="BH24" s="1111"/>
      <c r="BI24" s="1185"/>
      <c r="BJ24" s="1573"/>
      <c r="BK24" s="1193" t="s">
        <v>93</v>
      </c>
      <c r="BL24" s="1184"/>
      <c r="BM24" s="1111"/>
      <c r="BN24" s="1185"/>
      <c r="BO24" s="1067"/>
      <c r="BP24" s="1193" t="s">
        <v>93</v>
      </c>
      <c r="BQ24" s="1184"/>
      <c r="BR24" s="1111"/>
      <c r="BS24" s="1185"/>
      <c r="BT24" s="1067"/>
      <c r="BU24" s="1193" t="s">
        <v>93</v>
      </c>
      <c r="BV24" s="1184"/>
      <c r="BW24" s="1111"/>
      <c r="BX24" s="1185"/>
      <c r="BY24" s="1128"/>
      <c r="BZ24" s="1193" t="s">
        <v>93</v>
      </c>
      <c r="CA24" s="1184"/>
      <c r="CB24" s="1111"/>
      <c r="CC24" s="1185"/>
      <c r="CD24" s="1114"/>
      <c r="CE24" s="1193" t="s">
        <v>93</v>
      </c>
      <c r="CF24" s="1184"/>
      <c r="CG24" s="1111"/>
      <c r="CH24" s="1185"/>
      <c r="CI24" s="1128"/>
      <c r="CJ24" s="1193" t="s">
        <v>93</v>
      </c>
      <c r="CK24" s="1110"/>
      <c r="CL24" s="1111"/>
      <c r="CM24" s="1185"/>
      <c r="CN24" s="1114"/>
      <c r="CO24" s="1193" t="s">
        <v>93</v>
      </c>
      <c r="CP24" s="1110"/>
      <c r="CQ24" s="1111"/>
      <c r="CR24" s="1185"/>
      <c r="CS24" s="1128"/>
      <c r="CT24" s="1193" t="s">
        <v>93</v>
      </c>
      <c r="CU24" s="1184"/>
      <c r="CV24" s="1111"/>
      <c r="CW24" s="1185"/>
      <c r="CX24" s="1128"/>
      <c r="CY24" s="1193" t="s">
        <v>93</v>
      </c>
      <c r="CZ24" s="1184"/>
      <c r="DA24" s="1111"/>
      <c r="DB24" s="1185"/>
      <c r="DC24" s="1128"/>
      <c r="DD24" s="1193" t="s">
        <v>93</v>
      </c>
      <c r="DE24" s="1184"/>
      <c r="DF24" s="1111"/>
      <c r="DG24" s="1185"/>
      <c r="DH24" s="1128"/>
      <c r="DI24" s="1193" t="s">
        <v>93</v>
      </c>
      <c r="DJ24" s="1184"/>
      <c r="DK24" s="1111"/>
      <c r="DL24" s="1185"/>
      <c r="DM24" s="1128"/>
      <c r="DN24" s="1193" t="s">
        <v>93</v>
      </c>
      <c r="DO24" s="1184"/>
      <c r="DP24" s="1111"/>
      <c r="DQ24" s="1185"/>
      <c r="DR24" s="1128"/>
      <c r="DS24" s="1193" t="s">
        <v>93</v>
      </c>
      <c r="DT24" s="1184"/>
      <c r="DU24" s="1111"/>
      <c r="DV24" s="1185"/>
      <c r="DW24" s="1128"/>
      <c r="DX24" s="1193" t="s">
        <v>93</v>
      </c>
      <c r="DY24" s="1184"/>
      <c r="DZ24" s="1111"/>
      <c r="EA24" s="1185"/>
      <c r="EB24" s="1128"/>
      <c r="EC24" s="1193" t="s">
        <v>93</v>
      </c>
      <c r="ED24" s="1184"/>
      <c r="EE24" s="1111"/>
      <c r="EF24" s="1185"/>
      <c r="EG24" s="1128"/>
      <c r="EH24" s="1193" t="s">
        <v>93</v>
      </c>
      <c r="EI24" s="1184"/>
      <c r="EJ24" s="1111"/>
      <c r="EK24" s="1185"/>
      <c r="EL24" s="1128"/>
      <c r="EM24" s="1206"/>
      <c r="EN24" s="1195"/>
      <c r="EO24" s="1196"/>
      <c r="EP24" s="1197"/>
      <c r="EQ24" s="1198"/>
      <c r="ER24" s="39"/>
      <c r="ES24" s="1207"/>
      <c r="ET24" s="1195"/>
      <c r="EU24" s="1196"/>
      <c r="EV24" s="1197"/>
      <c r="EW24" s="1198"/>
    </row>
    <row r="25" spans="1:153" s="8" customFormat="1" ht="15" customHeight="1" thickBot="1">
      <c r="A25" s="1627"/>
      <c r="B25" s="1599" t="s">
        <v>359</v>
      </c>
      <c r="C25" s="1600"/>
      <c r="D25" s="1065"/>
      <c r="E25" s="1108" t="s">
        <v>91</v>
      </c>
      <c r="F25" s="1184"/>
      <c r="G25" s="1111"/>
      <c r="H25" s="1185"/>
      <c r="I25" s="1065"/>
      <c r="J25" s="1108" t="s">
        <v>91</v>
      </c>
      <c r="K25" s="1109"/>
      <c r="L25" s="1065"/>
      <c r="M25" s="1125" t="s">
        <v>91</v>
      </c>
      <c r="N25" s="1184"/>
      <c r="O25" s="1111"/>
      <c r="P25" s="1185"/>
      <c r="Q25" s="1065"/>
      <c r="R25" s="1125" t="s">
        <v>91</v>
      </c>
      <c r="S25" s="1184"/>
      <c r="T25" s="1111"/>
      <c r="U25" s="1185"/>
      <c r="V25" s="1112"/>
      <c r="W25" s="1125" t="s">
        <v>91</v>
      </c>
      <c r="X25" s="1184"/>
      <c r="Y25" s="1111"/>
      <c r="Z25" s="1185"/>
      <c r="AA25" s="1112"/>
      <c r="AB25" s="1125" t="s">
        <v>91</v>
      </c>
      <c r="AC25" s="1184"/>
      <c r="AD25" s="1111"/>
      <c r="AE25" s="1185"/>
      <c r="AF25" s="1114"/>
      <c r="AG25" s="1125" t="s">
        <v>91</v>
      </c>
      <c r="AH25" s="1184"/>
      <c r="AI25" s="1111"/>
      <c r="AJ25" s="1185"/>
      <c r="AK25" s="1112"/>
      <c r="AL25" s="1125" t="s">
        <v>91</v>
      </c>
      <c r="AM25" s="1184"/>
      <c r="AN25" s="1111"/>
      <c r="AO25" s="1185"/>
      <c r="AP25" s="1114"/>
      <c r="AQ25" s="1125" t="s">
        <v>91</v>
      </c>
      <c r="AR25" s="1184"/>
      <c r="AS25" s="1111"/>
      <c r="AT25" s="1185"/>
      <c r="AU25" s="1114"/>
      <c r="AV25" s="1125" t="s">
        <v>91</v>
      </c>
      <c r="AW25" s="1184"/>
      <c r="AX25" s="1111"/>
      <c r="AY25" s="1185"/>
      <c r="AZ25" s="1114"/>
      <c r="BA25" s="1125" t="s">
        <v>91</v>
      </c>
      <c r="BB25" s="1184"/>
      <c r="BC25" s="1111"/>
      <c r="BD25" s="1185"/>
      <c r="BE25" s="1114"/>
      <c r="BF25" s="1125" t="s">
        <v>91</v>
      </c>
      <c r="BG25" s="1184"/>
      <c r="BH25" s="1111"/>
      <c r="BI25" s="1185"/>
      <c r="BJ25" s="1573"/>
      <c r="BK25" s="1125" t="s">
        <v>91</v>
      </c>
      <c r="BL25" s="1184"/>
      <c r="BM25" s="1111"/>
      <c r="BN25" s="1185"/>
      <c r="BO25" s="1067"/>
      <c r="BP25" s="1125" t="s">
        <v>91</v>
      </c>
      <c r="BQ25" s="1184"/>
      <c r="BR25" s="1111"/>
      <c r="BS25" s="1185"/>
      <c r="BT25" s="1067"/>
      <c r="BU25" s="1125" t="s">
        <v>91</v>
      </c>
      <c r="BV25" s="1184"/>
      <c r="BW25" s="1111"/>
      <c r="BX25" s="1185"/>
      <c r="BY25" s="1128"/>
      <c r="BZ25" s="1125" t="s">
        <v>91</v>
      </c>
      <c r="CA25" s="1184"/>
      <c r="CB25" s="1111"/>
      <c r="CC25" s="1185"/>
      <c r="CD25" s="1114"/>
      <c r="CE25" s="1125" t="s">
        <v>91</v>
      </c>
      <c r="CF25" s="1184"/>
      <c r="CG25" s="1111"/>
      <c r="CH25" s="1185"/>
      <c r="CI25" s="1128"/>
      <c r="CJ25" s="1125" t="s">
        <v>91</v>
      </c>
      <c r="CK25" s="1110"/>
      <c r="CL25" s="1111"/>
      <c r="CM25" s="1185"/>
      <c r="CN25" s="1114"/>
      <c r="CO25" s="1125" t="s">
        <v>91</v>
      </c>
      <c r="CP25" s="1110"/>
      <c r="CQ25" s="1111"/>
      <c r="CR25" s="1185"/>
      <c r="CS25" s="1128"/>
      <c r="CT25" s="1125" t="s">
        <v>91</v>
      </c>
      <c r="CU25" s="1184"/>
      <c r="CV25" s="1111"/>
      <c r="CW25" s="1185"/>
      <c r="CX25" s="1128"/>
      <c r="CY25" s="1125" t="s">
        <v>91</v>
      </c>
      <c r="CZ25" s="1184"/>
      <c r="DA25" s="1111"/>
      <c r="DB25" s="1185"/>
      <c r="DC25" s="1128"/>
      <c r="DD25" s="1125" t="s">
        <v>91</v>
      </c>
      <c r="DE25" s="1184"/>
      <c r="DF25" s="1111"/>
      <c r="DG25" s="1185"/>
      <c r="DH25" s="1128"/>
      <c r="DI25" s="1125" t="s">
        <v>91</v>
      </c>
      <c r="DJ25" s="1184"/>
      <c r="DK25" s="1111"/>
      <c r="DL25" s="1185"/>
      <c r="DM25" s="1128"/>
      <c r="DN25" s="1125" t="s">
        <v>91</v>
      </c>
      <c r="DO25" s="1184"/>
      <c r="DP25" s="1111"/>
      <c r="DQ25" s="1185"/>
      <c r="DR25" s="1128"/>
      <c r="DS25" s="1125" t="s">
        <v>91</v>
      </c>
      <c r="DT25" s="1184"/>
      <c r="DU25" s="1111"/>
      <c r="DV25" s="1185"/>
      <c r="DW25" s="1128"/>
      <c r="DX25" s="1125" t="s">
        <v>91</v>
      </c>
      <c r="DY25" s="1184"/>
      <c r="DZ25" s="1111"/>
      <c r="EA25" s="1185"/>
      <c r="EB25" s="1128"/>
      <c r="EC25" s="1125" t="s">
        <v>91</v>
      </c>
      <c r="ED25" s="1184"/>
      <c r="EE25" s="1111"/>
      <c r="EF25" s="1185"/>
      <c r="EG25" s="1128"/>
      <c r="EH25" s="1125" t="s">
        <v>91</v>
      </c>
      <c r="EI25" s="1184"/>
      <c r="EJ25" s="1111"/>
      <c r="EK25" s="1185"/>
      <c r="EL25" s="1128"/>
      <c r="EM25" s="1206"/>
      <c r="EN25" s="1195"/>
      <c r="EO25" s="1196"/>
      <c r="EP25" s="1197"/>
      <c r="EQ25" s="1198"/>
      <c r="ER25" s="39"/>
      <c r="ES25" s="1207"/>
      <c r="ET25" s="1195"/>
      <c r="EU25" s="1196"/>
      <c r="EV25" s="1197"/>
      <c r="EW25" s="1198"/>
    </row>
    <row r="26" spans="1:153" s="8" customFormat="1" ht="15" customHeight="1" thickBot="1">
      <c r="A26" s="1627"/>
      <c r="B26" s="1601"/>
      <c r="C26" s="1602"/>
      <c r="D26" s="1065"/>
      <c r="E26" s="1125" t="s">
        <v>92</v>
      </c>
      <c r="F26" s="1184"/>
      <c r="G26" s="1111"/>
      <c r="H26" s="1185"/>
      <c r="I26" s="1065"/>
      <c r="J26" s="1125" t="s">
        <v>92</v>
      </c>
      <c r="K26" s="1109"/>
      <c r="L26" s="1065"/>
      <c r="M26" s="1193" t="s">
        <v>92</v>
      </c>
      <c r="N26" s="1184"/>
      <c r="O26" s="1111"/>
      <c r="P26" s="1185"/>
      <c r="Q26" s="1065"/>
      <c r="R26" s="1193" t="s">
        <v>92</v>
      </c>
      <c r="S26" s="1184"/>
      <c r="T26" s="1111"/>
      <c r="U26" s="1185"/>
      <c r="V26" s="1112"/>
      <c r="W26" s="1193" t="s">
        <v>92</v>
      </c>
      <c r="X26" s="1184"/>
      <c r="Y26" s="1111"/>
      <c r="Z26" s="1185"/>
      <c r="AA26" s="1112"/>
      <c r="AB26" s="1193" t="s">
        <v>92</v>
      </c>
      <c r="AC26" s="1184"/>
      <c r="AD26" s="1111"/>
      <c r="AE26" s="1185"/>
      <c r="AF26" s="1114"/>
      <c r="AG26" s="1193" t="s">
        <v>92</v>
      </c>
      <c r="AH26" s="1184"/>
      <c r="AI26" s="1111"/>
      <c r="AJ26" s="1185"/>
      <c r="AK26" s="1112"/>
      <c r="AL26" s="1193" t="s">
        <v>92</v>
      </c>
      <c r="AM26" s="1184"/>
      <c r="AN26" s="1111"/>
      <c r="AO26" s="1185"/>
      <c r="AP26" s="1114"/>
      <c r="AQ26" s="1193" t="s">
        <v>92</v>
      </c>
      <c r="AR26" s="1184"/>
      <c r="AS26" s="1111"/>
      <c r="AT26" s="1185"/>
      <c r="AU26" s="1114"/>
      <c r="AV26" s="1193" t="s">
        <v>92</v>
      </c>
      <c r="AW26" s="1184"/>
      <c r="AX26" s="1111"/>
      <c r="AY26" s="1185"/>
      <c r="AZ26" s="1114"/>
      <c r="BA26" s="1193" t="s">
        <v>92</v>
      </c>
      <c r="BB26" s="1184"/>
      <c r="BC26" s="1111"/>
      <c r="BD26" s="1185"/>
      <c r="BE26" s="1114"/>
      <c r="BF26" s="1193" t="s">
        <v>92</v>
      </c>
      <c r="BG26" s="1184"/>
      <c r="BH26" s="1111"/>
      <c r="BI26" s="1185"/>
      <c r="BJ26" s="1573"/>
      <c r="BK26" s="1193" t="s">
        <v>92</v>
      </c>
      <c r="BL26" s="1184"/>
      <c r="BM26" s="1111"/>
      <c r="BN26" s="1185"/>
      <c r="BO26" s="1067"/>
      <c r="BP26" s="1193" t="s">
        <v>92</v>
      </c>
      <c r="BQ26" s="1184"/>
      <c r="BR26" s="1111"/>
      <c r="BS26" s="1185"/>
      <c r="BT26" s="1067"/>
      <c r="BU26" s="1193" t="s">
        <v>92</v>
      </c>
      <c r="BV26" s="1184"/>
      <c r="BW26" s="1111"/>
      <c r="BX26" s="1185"/>
      <c r="BY26" s="1128"/>
      <c r="BZ26" s="1193" t="s">
        <v>92</v>
      </c>
      <c r="CA26" s="1184"/>
      <c r="CB26" s="1111"/>
      <c r="CC26" s="1185"/>
      <c r="CD26" s="1114"/>
      <c r="CE26" s="1193" t="s">
        <v>92</v>
      </c>
      <c r="CF26" s="1184"/>
      <c r="CG26" s="1111"/>
      <c r="CH26" s="1185"/>
      <c r="CI26" s="1128"/>
      <c r="CJ26" s="1193" t="s">
        <v>92</v>
      </c>
      <c r="CK26" s="1110"/>
      <c r="CL26" s="1111"/>
      <c r="CM26" s="1185"/>
      <c r="CN26" s="1114"/>
      <c r="CO26" s="1193" t="s">
        <v>92</v>
      </c>
      <c r="CP26" s="1110"/>
      <c r="CQ26" s="1111"/>
      <c r="CR26" s="1185"/>
      <c r="CS26" s="1128"/>
      <c r="CT26" s="1193" t="s">
        <v>92</v>
      </c>
      <c r="CU26" s="1184"/>
      <c r="CV26" s="1111"/>
      <c r="CW26" s="1185"/>
      <c r="CX26" s="1128"/>
      <c r="CY26" s="1193" t="s">
        <v>92</v>
      </c>
      <c r="CZ26" s="1184"/>
      <c r="DA26" s="1111"/>
      <c r="DB26" s="1185"/>
      <c r="DC26" s="1128"/>
      <c r="DD26" s="1193" t="s">
        <v>92</v>
      </c>
      <c r="DE26" s="1184"/>
      <c r="DF26" s="1111"/>
      <c r="DG26" s="1185"/>
      <c r="DH26" s="1128"/>
      <c r="DI26" s="1193" t="s">
        <v>92</v>
      </c>
      <c r="DJ26" s="1184"/>
      <c r="DK26" s="1111"/>
      <c r="DL26" s="1185"/>
      <c r="DM26" s="1128"/>
      <c r="DN26" s="1193" t="s">
        <v>92</v>
      </c>
      <c r="DO26" s="1184"/>
      <c r="DP26" s="1111"/>
      <c r="DQ26" s="1185"/>
      <c r="DR26" s="1128"/>
      <c r="DS26" s="1193" t="s">
        <v>92</v>
      </c>
      <c r="DT26" s="1184"/>
      <c r="DU26" s="1111"/>
      <c r="DV26" s="1185"/>
      <c r="DW26" s="1128"/>
      <c r="DX26" s="1193" t="s">
        <v>92</v>
      </c>
      <c r="DY26" s="1184"/>
      <c r="DZ26" s="1111"/>
      <c r="EA26" s="1185"/>
      <c r="EB26" s="1128"/>
      <c r="EC26" s="1193" t="s">
        <v>92</v>
      </c>
      <c r="ED26" s="1110"/>
      <c r="EE26" s="1111"/>
      <c r="EF26" s="1185"/>
      <c r="EG26" s="1128"/>
      <c r="EH26" s="1193" t="s">
        <v>92</v>
      </c>
      <c r="EI26" s="1110"/>
      <c r="EJ26" s="1111"/>
      <c r="EK26" s="1185"/>
      <c r="EL26" s="1128"/>
      <c r="EM26" s="1206"/>
      <c r="EN26" s="1208"/>
      <c r="EO26" s="1209"/>
      <c r="EP26" s="1210"/>
      <c r="EQ26" s="1211"/>
      <c r="ER26" s="1149"/>
      <c r="ES26" s="1212"/>
      <c r="ET26" s="1208"/>
      <c r="EU26" s="1209"/>
      <c r="EV26" s="1210"/>
      <c r="EW26" s="1211"/>
    </row>
    <row r="27" spans="1:153" s="8" customFormat="1" ht="14.25" customHeight="1">
      <c r="A27" s="10"/>
      <c r="B27" s="10"/>
      <c r="C27" s="10"/>
      <c r="D27" s="10"/>
      <c r="E27" s="122"/>
      <c r="F27" s="122"/>
      <c r="G27" s="122"/>
      <c r="H27" s="122"/>
      <c r="I27" s="122"/>
      <c r="J27" s="10"/>
      <c r="K27" s="10"/>
      <c r="L27" s="122"/>
      <c r="M27" s="10"/>
      <c r="N27" s="10"/>
      <c r="O27" s="10"/>
      <c r="P27" s="10"/>
      <c r="Q27" s="122"/>
      <c r="R27" s="130"/>
      <c r="S27" s="38"/>
      <c r="T27" s="38"/>
      <c r="U27" s="38"/>
      <c r="V27" s="37"/>
      <c r="W27" s="130"/>
      <c r="X27" s="38"/>
      <c r="Y27" s="38"/>
      <c r="Z27" s="38"/>
      <c r="AA27" s="37"/>
      <c r="AB27" s="130"/>
      <c r="AC27" s="38"/>
      <c r="AD27" s="38"/>
      <c r="AE27" s="38"/>
      <c r="AF27" s="38"/>
      <c r="AG27" s="130"/>
      <c r="AH27" s="38"/>
      <c r="AI27" s="38"/>
      <c r="AJ27" s="38"/>
      <c r="AK27" s="37"/>
      <c r="AL27" s="312"/>
      <c r="AM27" s="313"/>
      <c r="AN27" s="313"/>
      <c r="AO27" s="313"/>
      <c r="AP27" s="313"/>
      <c r="AQ27" s="312"/>
      <c r="AR27" s="313"/>
      <c r="AS27" s="313"/>
      <c r="AT27" s="313"/>
      <c r="AU27" s="313"/>
      <c r="AZ27" s="313"/>
      <c r="BA27" s="312"/>
      <c r="BB27" s="313"/>
      <c r="BC27" s="313"/>
      <c r="BD27" s="313"/>
      <c r="BE27" s="38"/>
      <c r="BF27" s="130"/>
      <c r="BG27" s="38"/>
      <c r="BH27" s="38"/>
      <c r="BI27" s="38"/>
      <c r="BJ27" s="786"/>
      <c r="BK27" s="130"/>
      <c r="BL27" s="38"/>
      <c r="BM27" s="38"/>
      <c r="BN27" s="38"/>
      <c r="BO27" s="786"/>
      <c r="BP27" s="130"/>
      <c r="BQ27" s="38"/>
      <c r="BR27" s="38"/>
      <c r="BS27" s="38"/>
      <c r="BT27" s="786"/>
      <c r="BU27" s="130"/>
      <c r="BV27" s="38"/>
      <c r="BW27" s="38"/>
      <c r="BX27" s="38"/>
      <c r="BY27" s="31"/>
      <c r="BZ27" s="130"/>
      <c r="CA27" s="38"/>
      <c r="CB27" s="38"/>
      <c r="CC27" s="38"/>
      <c r="CD27" s="38"/>
      <c r="CE27" s="130"/>
      <c r="CF27" s="38"/>
      <c r="CG27" s="38"/>
      <c r="CH27" s="38"/>
      <c r="CI27" s="31"/>
      <c r="CO27" s="130"/>
      <c r="CP27" s="38"/>
      <c r="CQ27" s="38"/>
      <c r="CR27" s="38"/>
      <c r="CS27" s="31"/>
      <c r="CT27" s="130"/>
      <c r="CU27" s="38"/>
      <c r="CV27" s="38"/>
      <c r="CW27" s="38"/>
      <c r="CX27" s="31"/>
      <c r="CY27" s="130"/>
      <c r="CZ27" s="38"/>
      <c r="DA27" s="38"/>
      <c r="DB27" s="38"/>
      <c r="DC27" s="31"/>
      <c r="DD27" s="130"/>
      <c r="DE27" s="38"/>
      <c r="DF27" s="38"/>
      <c r="DG27" s="38"/>
      <c r="DH27" s="31"/>
      <c r="DI27" s="130"/>
      <c r="DJ27" s="38"/>
      <c r="DK27" s="38"/>
      <c r="DL27" s="38"/>
      <c r="DM27" s="31"/>
      <c r="DN27" s="130"/>
      <c r="DO27" s="38"/>
      <c r="DP27" s="38"/>
      <c r="DQ27" s="38"/>
      <c r="DR27" s="31"/>
      <c r="DS27" s="130"/>
      <c r="DT27" s="38"/>
      <c r="DU27" s="38"/>
      <c r="DV27" s="38"/>
      <c r="DW27" s="31"/>
      <c r="DX27" s="130"/>
      <c r="DY27" s="38"/>
      <c r="DZ27" s="38"/>
      <c r="EA27" s="38"/>
      <c r="EB27" s="31"/>
      <c r="EC27" s="130"/>
      <c r="ED27" s="38"/>
      <c r="EE27" s="38"/>
      <c r="EF27" s="38"/>
      <c r="EG27" s="31"/>
      <c r="EH27" s="130"/>
      <c r="EI27" s="38"/>
      <c r="EJ27" s="38"/>
      <c r="EK27" s="38"/>
      <c r="EL27" s="31"/>
      <c r="EM27" s="131"/>
      <c r="EN27" s="132"/>
      <c r="EO27" s="132"/>
      <c r="EP27" s="132"/>
      <c r="EQ27" s="132"/>
      <c r="ER27" s="39"/>
      <c r="ES27" s="131"/>
      <c r="ET27" s="132"/>
      <c r="EU27" s="132"/>
      <c r="EV27" s="132"/>
      <c r="EW27" s="132"/>
    </row>
    <row r="28" spans="1:153" s="8" customFormat="1" ht="14.25" customHeight="1">
      <c r="A28" s="10"/>
      <c r="B28" s="10"/>
      <c r="C28" s="10"/>
      <c r="D28" s="10"/>
      <c r="E28" s="122"/>
      <c r="F28" s="122"/>
      <c r="G28" s="122"/>
      <c r="H28" s="122"/>
      <c r="I28" s="122"/>
      <c r="J28" s="10"/>
      <c r="K28" s="10"/>
      <c r="L28" s="122"/>
      <c r="M28" s="10"/>
      <c r="N28" s="10"/>
      <c r="O28" s="10"/>
      <c r="P28" s="10"/>
      <c r="Q28" s="122"/>
      <c r="R28" s="130"/>
      <c r="S28" s="38"/>
      <c r="T28" s="38"/>
      <c r="U28" s="38"/>
      <c r="V28" s="37"/>
      <c r="W28" s="130"/>
      <c r="X28" s="38"/>
      <c r="Y28" s="38"/>
      <c r="Z28" s="38"/>
      <c r="AA28" s="37"/>
      <c r="AB28" s="130"/>
      <c r="AC28" s="38"/>
      <c r="AD28" s="38"/>
      <c r="AE28" s="38"/>
      <c r="AF28" s="38"/>
      <c r="AG28" s="130"/>
      <c r="AH28" s="38"/>
      <c r="AI28" s="38"/>
      <c r="AJ28" s="38"/>
      <c r="AK28" s="37"/>
      <c r="AL28" s="312"/>
      <c r="AM28" s="313"/>
      <c r="AN28" s="313"/>
      <c r="AO28" s="313"/>
      <c r="AP28" s="313"/>
      <c r="AQ28" s="312"/>
      <c r="AR28" s="313"/>
      <c r="AS28" s="313"/>
      <c r="AT28" s="313"/>
      <c r="AU28" s="313"/>
      <c r="AZ28" s="313"/>
      <c r="BA28" s="312"/>
      <c r="BB28" s="313"/>
      <c r="BC28" s="313"/>
      <c r="BD28" s="313"/>
      <c r="BE28" s="38"/>
      <c r="BF28" s="130"/>
      <c r="BG28" s="38"/>
      <c r="BH28" s="38"/>
      <c r="BI28" s="38"/>
      <c r="BJ28" s="786"/>
      <c r="BK28" s="130"/>
      <c r="BL28" s="38"/>
      <c r="BM28" s="38"/>
      <c r="BN28" s="38"/>
      <c r="BO28" s="786"/>
      <c r="BP28" s="130"/>
      <c r="BQ28" s="38"/>
      <c r="BR28" s="38"/>
      <c r="BS28" s="38"/>
      <c r="BT28" s="786"/>
      <c r="BU28" s="130"/>
      <c r="BV28" s="38"/>
      <c r="BW28" s="38"/>
      <c r="BX28" s="38"/>
      <c r="BY28" s="31"/>
      <c r="BZ28" s="130"/>
      <c r="CA28" s="38"/>
      <c r="CB28" s="38"/>
      <c r="CC28" s="38"/>
      <c r="CD28" s="38"/>
      <c r="CE28" s="130"/>
      <c r="CF28" s="38"/>
      <c r="CG28" s="38"/>
      <c r="CH28" s="38"/>
      <c r="CI28" s="31"/>
      <c r="CO28" s="130"/>
      <c r="CP28" s="38"/>
      <c r="CQ28" s="38"/>
      <c r="CR28" s="38"/>
      <c r="CS28" s="31"/>
      <c r="CT28" s="130"/>
      <c r="CU28" s="38"/>
      <c r="CV28" s="38"/>
      <c r="CW28" s="38"/>
      <c r="CX28" s="31"/>
      <c r="CY28" s="130"/>
      <c r="CZ28" s="38"/>
      <c r="DA28" s="38"/>
      <c r="DB28" s="38"/>
      <c r="DC28" s="31"/>
      <c r="DD28" s="130"/>
      <c r="DE28" s="38"/>
      <c r="DF28" s="38"/>
      <c r="DG28" s="38"/>
      <c r="DH28" s="31"/>
      <c r="DI28" s="130"/>
      <c r="DJ28" s="38"/>
      <c r="DK28" s="38"/>
      <c r="DL28" s="38"/>
      <c r="DM28" s="31"/>
      <c r="DN28" s="130"/>
      <c r="DO28" s="38"/>
      <c r="DP28" s="38"/>
      <c r="DQ28" s="38"/>
      <c r="DR28" s="31"/>
      <c r="DS28" s="130"/>
      <c r="DT28" s="38"/>
      <c r="DU28" s="38"/>
      <c r="DV28" s="38"/>
      <c r="DW28" s="31"/>
      <c r="DX28" s="130"/>
      <c r="DY28" s="38"/>
      <c r="DZ28" s="38"/>
      <c r="EA28" s="38"/>
      <c r="EB28" s="31"/>
      <c r="EC28" s="130"/>
      <c r="ED28" s="38"/>
      <c r="EE28" s="38"/>
      <c r="EF28" s="38"/>
      <c r="EG28" s="31"/>
      <c r="EH28" s="130"/>
      <c r="EI28" s="38"/>
      <c r="EJ28" s="38"/>
      <c r="EK28" s="38"/>
      <c r="EL28" s="31"/>
      <c r="EM28" s="131"/>
      <c r="EN28" s="132"/>
      <c r="EO28" s="132"/>
      <c r="EP28" s="132"/>
      <c r="EQ28" s="132"/>
      <c r="ER28" s="39"/>
      <c r="ES28" s="131"/>
      <c r="ET28" s="132"/>
      <c r="EU28" s="132"/>
      <c r="EV28" s="132"/>
      <c r="EW28" s="132"/>
    </row>
    <row r="29" spans="1:153" s="8" customFormat="1" ht="14.25" customHeight="1">
      <c r="A29" s="10"/>
      <c r="B29" s="10"/>
      <c r="C29" s="10"/>
      <c r="D29" s="10"/>
      <c r="E29" s="122"/>
      <c r="F29" s="122"/>
      <c r="G29" s="122"/>
      <c r="H29" s="122"/>
      <c r="I29" s="122"/>
      <c r="J29" s="10"/>
      <c r="K29" s="10"/>
      <c r="L29" s="122"/>
      <c r="M29" s="10"/>
      <c r="N29" s="10"/>
      <c r="O29" s="10"/>
      <c r="P29" s="10"/>
      <c r="Q29" s="122"/>
      <c r="R29" s="130"/>
      <c r="S29" s="38"/>
      <c r="T29" s="38"/>
      <c r="U29" s="38"/>
      <c r="V29" s="37"/>
      <c r="W29" s="130"/>
      <c r="X29" s="38"/>
      <c r="Y29" s="38"/>
      <c r="Z29" s="38"/>
      <c r="AA29" s="37"/>
      <c r="AB29" s="130"/>
      <c r="AC29" s="38"/>
      <c r="AD29" s="38"/>
      <c r="AE29" s="38"/>
      <c r="AF29" s="38"/>
      <c r="AG29" s="130"/>
      <c r="AH29" s="38"/>
      <c r="AI29" s="38"/>
      <c r="AJ29" s="38"/>
      <c r="AK29" s="37"/>
      <c r="AL29" s="312"/>
      <c r="AM29" s="313"/>
      <c r="AN29" s="313"/>
      <c r="AO29" s="313"/>
      <c r="AP29" s="313"/>
      <c r="AQ29" s="312"/>
      <c r="AR29" s="313"/>
      <c r="AS29" s="313"/>
      <c r="AT29" s="313"/>
      <c r="AU29" s="313"/>
      <c r="AZ29" s="313"/>
      <c r="BA29" s="312"/>
      <c r="BB29" s="313"/>
      <c r="BC29" s="313"/>
      <c r="BD29" s="313"/>
      <c r="BE29" s="38"/>
      <c r="BF29" s="130"/>
      <c r="BG29" s="38"/>
      <c r="BH29" s="38"/>
      <c r="BI29" s="38"/>
      <c r="BJ29" s="786"/>
      <c r="BK29" s="130"/>
      <c r="BL29" s="38"/>
      <c r="BM29" s="38"/>
      <c r="BN29" s="38"/>
      <c r="BO29" s="786"/>
      <c r="BP29" s="130"/>
      <c r="BQ29" s="38"/>
      <c r="BR29" s="38"/>
      <c r="BS29" s="38"/>
      <c r="BT29" s="786"/>
      <c r="BU29" s="130"/>
      <c r="BV29" s="38"/>
      <c r="BW29" s="38"/>
      <c r="BX29" s="38"/>
      <c r="BY29" s="31"/>
      <c r="BZ29" s="130"/>
      <c r="CA29" s="38"/>
      <c r="CB29" s="38"/>
      <c r="CC29" s="38"/>
      <c r="CD29" s="38"/>
      <c r="CE29" s="130"/>
      <c r="CF29" s="38"/>
      <c r="CG29" s="38"/>
      <c r="CH29" s="38"/>
      <c r="CI29" s="31"/>
      <c r="CO29" s="130"/>
      <c r="CP29" s="38"/>
      <c r="CQ29" s="38"/>
      <c r="CR29" s="38"/>
      <c r="CS29" s="31"/>
      <c r="CT29" s="130"/>
      <c r="CU29" s="38"/>
      <c r="CV29" s="38"/>
      <c r="CW29" s="38"/>
      <c r="CX29" s="31"/>
      <c r="CY29" s="130"/>
      <c r="CZ29" s="38"/>
      <c r="DA29" s="38"/>
      <c r="DB29" s="38"/>
      <c r="DC29" s="31"/>
      <c r="DD29" s="130"/>
      <c r="DE29" s="38"/>
      <c r="DF29" s="38"/>
      <c r="DG29" s="38"/>
      <c r="DH29" s="31"/>
      <c r="DI29" s="130"/>
      <c r="DJ29" s="38"/>
      <c r="DK29" s="38"/>
      <c r="DL29" s="38"/>
      <c r="DM29" s="31"/>
      <c r="DN29" s="130"/>
      <c r="DO29" s="38"/>
      <c r="DP29" s="38"/>
      <c r="DQ29" s="38"/>
      <c r="DR29" s="31"/>
      <c r="DS29" s="130"/>
      <c r="DT29" s="38"/>
      <c r="DU29" s="38"/>
      <c r="DV29" s="38"/>
      <c r="DW29" s="31"/>
      <c r="DX29" s="130"/>
      <c r="DY29" s="38"/>
      <c r="DZ29" s="38"/>
      <c r="EA29" s="38"/>
      <c r="EB29" s="31"/>
      <c r="EC29" s="130"/>
      <c r="ED29" s="38"/>
      <c r="EE29" s="38"/>
      <c r="EF29" s="38"/>
      <c r="EG29" s="31"/>
      <c r="EH29" s="130"/>
      <c r="EI29" s="38"/>
      <c r="EJ29" s="38"/>
      <c r="EK29" s="38"/>
      <c r="EL29" s="31"/>
      <c r="EM29" s="131"/>
      <c r="EN29" s="132"/>
      <c r="EO29" s="132"/>
      <c r="EP29" s="132"/>
      <c r="EQ29" s="132"/>
      <c r="ER29" s="39"/>
      <c r="ES29" s="131"/>
      <c r="ET29" s="132"/>
      <c r="EU29" s="132"/>
      <c r="EV29" s="132"/>
      <c r="EW29" s="132"/>
    </row>
    <row r="30" spans="1:153" s="8" customFormat="1" ht="14.25" customHeight="1">
      <c r="A30" s="10"/>
      <c r="B30" s="10"/>
      <c r="C30" s="10"/>
      <c r="D30" s="10"/>
      <c r="E30" s="122"/>
      <c r="F30" s="122"/>
      <c r="G30" s="122"/>
      <c r="H30" s="122"/>
      <c r="I30" s="122"/>
      <c r="J30" s="10"/>
      <c r="K30" s="10"/>
      <c r="L30" s="122"/>
      <c r="M30" s="10"/>
      <c r="N30" s="10"/>
      <c r="O30" s="10"/>
      <c r="P30" s="10"/>
      <c r="Q30" s="122"/>
      <c r="R30" s="130"/>
      <c r="S30" s="38"/>
      <c r="T30" s="38"/>
      <c r="U30" s="38"/>
      <c r="V30" s="37"/>
      <c r="W30" s="130"/>
      <c r="X30" s="38"/>
      <c r="Y30" s="38"/>
      <c r="Z30" s="38"/>
      <c r="AA30" s="37"/>
      <c r="AB30" s="130"/>
      <c r="AC30" s="38"/>
      <c r="AD30" s="38"/>
      <c r="AE30" s="38"/>
      <c r="AF30" s="38"/>
      <c r="AG30" s="130"/>
      <c r="AH30" s="38"/>
      <c r="AI30" s="38"/>
      <c r="AJ30" s="38"/>
      <c r="AK30" s="37"/>
      <c r="AL30" s="312"/>
      <c r="AM30" s="313"/>
      <c r="AN30" s="313"/>
      <c r="AO30" s="313"/>
      <c r="AP30" s="313"/>
      <c r="AQ30" s="312"/>
      <c r="AR30" s="313"/>
      <c r="AS30" s="313"/>
      <c r="AT30" s="313"/>
      <c r="AU30" s="313"/>
      <c r="AZ30" s="313"/>
      <c r="BA30" s="312"/>
      <c r="BB30" s="313"/>
      <c r="BC30" s="313"/>
      <c r="BD30" s="313"/>
      <c r="BE30" s="38"/>
      <c r="BF30" s="130"/>
      <c r="BG30" s="38"/>
      <c r="BH30" s="38"/>
      <c r="BI30" s="38"/>
      <c r="BJ30" s="786"/>
      <c r="BK30" s="130"/>
      <c r="BL30" s="38"/>
      <c r="BM30" s="38"/>
      <c r="BN30" s="38"/>
      <c r="BO30" s="786"/>
      <c r="BP30" s="130"/>
      <c r="BQ30" s="38"/>
      <c r="BR30" s="38"/>
      <c r="BS30" s="38"/>
      <c r="BT30" s="786"/>
      <c r="BU30" s="130"/>
      <c r="BV30" s="38"/>
      <c r="BW30" s="38"/>
      <c r="BX30" s="38"/>
      <c r="BY30" s="31"/>
      <c r="BZ30" s="130"/>
      <c r="CA30" s="38"/>
      <c r="CB30" s="38"/>
      <c r="CC30" s="38"/>
      <c r="CD30" s="38"/>
      <c r="CE30" s="130"/>
      <c r="CF30" s="38"/>
      <c r="CG30" s="38"/>
      <c r="CH30" s="38"/>
      <c r="CI30" s="31"/>
      <c r="CO30" s="130"/>
      <c r="CP30" s="38"/>
      <c r="CQ30" s="38"/>
      <c r="CR30" s="38"/>
      <c r="CS30" s="31"/>
      <c r="CT30" s="130"/>
      <c r="CU30" s="38"/>
      <c r="CV30" s="38"/>
      <c r="CW30" s="38"/>
      <c r="CX30" s="31"/>
      <c r="CY30" s="130"/>
      <c r="CZ30" s="38"/>
      <c r="DA30" s="38"/>
      <c r="DB30" s="38"/>
      <c r="DC30" s="31"/>
      <c r="DD30" s="130"/>
      <c r="DE30" s="38"/>
      <c r="DF30" s="38"/>
      <c r="DG30" s="38"/>
      <c r="DH30" s="31"/>
      <c r="DI30" s="130"/>
      <c r="DJ30" s="38"/>
      <c r="DK30" s="38"/>
      <c r="DL30" s="38"/>
      <c r="DM30" s="31"/>
      <c r="DN30" s="130"/>
      <c r="DO30" s="38"/>
      <c r="DP30" s="38"/>
      <c r="DQ30" s="38"/>
      <c r="DR30" s="31"/>
      <c r="DS30" s="130"/>
      <c r="DT30" s="38"/>
      <c r="DU30" s="38"/>
      <c r="DV30" s="38"/>
      <c r="DW30" s="31"/>
      <c r="DX30" s="130"/>
      <c r="DY30" s="38"/>
      <c r="DZ30" s="38"/>
      <c r="EA30" s="38"/>
      <c r="EB30" s="31"/>
      <c r="EC30" s="130"/>
      <c r="ED30" s="38"/>
      <c r="EE30" s="38"/>
      <c r="EF30" s="38"/>
      <c r="EG30" s="31"/>
      <c r="EH30" s="130"/>
      <c r="EI30" s="38"/>
      <c r="EJ30" s="38"/>
      <c r="EK30" s="38"/>
      <c r="EL30" s="31"/>
      <c r="EM30" s="131"/>
      <c r="EN30" s="132"/>
      <c r="EO30" s="132"/>
      <c r="EP30" s="132"/>
      <c r="EQ30" s="132"/>
      <c r="ER30" s="39"/>
      <c r="ES30" s="131"/>
      <c r="ET30" s="132"/>
      <c r="EU30" s="132"/>
      <c r="EV30" s="132"/>
      <c r="EW30" s="132"/>
    </row>
    <row r="31" spans="1:153" s="8" customFormat="1" ht="14.25" customHeight="1">
      <c r="A31" s="10"/>
      <c r="B31" s="10"/>
      <c r="C31" s="10"/>
      <c r="D31" s="10"/>
      <c r="E31" s="122"/>
      <c r="F31" s="122"/>
      <c r="G31" s="122"/>
      <c r="H31" s="122"/>
      <c r="I31" s="122"/>
      <c r="J31" s="10"/>
      <c r="K31" s="10"/>
      <c r="L31" s="122"/>
      <c r="M31" s="10"/>
      <c r="N31" s="10"/>
      <c r="O31" s="10"/>
      <c r="P31" s="10"/>
      <c r="Q31" s="122"/>
      <c r="R31" s="130"/>
      <c r="S31" s="38"/>
      <c r="T31" s="38"/>
      <c r="U31" s="38"/>
      <c r="V31" s="37"/>
      <c r="W31" s="130"/>
      <c r="X31" s="38"/>
      <c r="Y31" s="38"/>
      <c r="Z31" s="38"/>
      <c r="AA31" s="37"/>
      <c r="AB31" s="130"/>
      <c r="AC31" s="38"/>
      <c r="AD31" s="38"/>
      <c r="AE31" s="38"/>
      <c r="AF31" s="38"/>
      <c r="AG31" s="130"/>
      <c r="AH31" s="38"/>
      <c r="AI31" s="38"/>
      <c r="AJ31" s="38"/>
      <c r="AK31" s="37"/>
      <c r="AL31" s="312"/>
      <c r="AM31" s="313"/>
      <c r="AN31" s="313"/>
      <c r="AO31" s="313"/>
      <c r="AP31" s="313"/>
      <c r="AQ31" s="312"/>
      <c r="AR31" s="313"/>
      <c r="AS31" s="313"/>
      <c r="AT31" s="313"/>
      <c r="AU31" s="313"/>
      <c r="AZ31" s="313"/>
      <c r="BA31" s="312"/>
      <c r="BB31" s="313"/>
      <c r="BC31" s="313"/>
      <c r="BD31" s="313"/>
      <c r="BE31" s="38"/>
      <c r="BF31" s="130"/>
      <c r="BG31" s="38"/>
      <c r="BH31" s="38"/>
      <c r="BI31" s="38"/>
      <c r="BJ31" s="786"/>
      <c r="BK31" s="130"/>
      <c r="BL31" s="38"/>
      <c r="BM31" s="38"/>
      <c r="BN31" s="38"/>
      <c r="BO31" s="786"/>
      <c r="BP31" s="130"/>
      <c r="BQ31" s="38"/>
      <c r="BR31" s="38"/>
      <c r="BS31" s="38"/>
      <c r="BT31" s="786"/>
      <c r="BU31" s="130"/>
      <c r="BV31" s="38"/>
      <c r="BW31" s="38"/>
      <c r="BX31" s="38"/>
      <c r="BY31" s="31"/>
      <c r="BZ31" s="130"/>
      <c r="CA31" s="38"/>
      <c r="CB31" s="38"/>
      <c r="CC31" s="38"/>
      <c r="CD31" s="38"/>
      <c r="CE31" s="130"/>
      <c r="CF31" s="38"/>
      <c r="CG31" s="38"/>
      <c r="CH31" s="38"/>
      <c r="CI31" s="31"/>
      <c r="CO31" s="130"/>
      <c r="CP31" s="38"/>
      <c r="CQ31" s="38"/>
      <c r="CR31" s="38"/>
      <c r="CS31" s="31"/>
      <c r="CT31" s="130"/>
      <c r="CU31" s="38"/>
      <c r="CV31" s="38"/>
      <c r="CW31" s="38"/>
      <c r="CX31" s="31"/>
      <c r="CY31" s="130"/>
      <c r="CZ31" s="38"/>
      <c r="DA31" s="38"/>
      <c r="DB31" s="38"/>
      <c r="DC31" s="31"/>
      <c r="DD31" s="130"/>
      <c r="DE31" s="38"/>
      <c r="DF31" s="38"/>
      <c r="DG31" s="38"/>
      <c r="DH31" s="31"/>
      <c r="DI31" s="130"/>
      <c r="DJ31" s="38"/>
      <c r="DK31" s="38"/>
      <c r="DL31" s="38"/>
      <c r="DM31" s="31"/>
      <c r="DN31" s="130"/>
      <c r="DO31" s="38"/>
      <c r="DP31" s="38"/>
      <c r="DQ31" s="38"/>
      <c r="DR31" s="31"/>
      <c r="DS31" s="130"/>
      <c r="DT31" s="38"/>
      <c r="DU31" s="38"/>
      <c r="DV31" s="38"/>
      <c r="DW31" s="31"/>
      <c r="DX31" s="130"/>
      <c r="DY31" s="38"/>
      <c r="DZ31" s="38"/>
      <c r="EA31" s="38"/>
      <c r="EB31" s="31"/>
      <c r="EC31" s="130"/>
      <c r="ED31" s="38"/>
      <c r="EE31" s="38"/>
      <c r="EF31" s="38"/>
      <c r="EG31" s="31"/>
      <c r="EH31" s="130"/>
      <c r="EI31" s="38"/>
      <c r="EJ31" s="38"/>
      <c r="EK31" s="38"/>
      <c r="EL31" s="31"/>
      <c r="EM31" s="131"/>
      <c r="EN31" s="132"/>
      <c r="EO31" s="132"/>
      <c r="EP31" s="132"/>
      <c r="EQ31" s="132"/>
      <c r="ER31" s="39"/>
      <c r="ES31" s="131"/>
      <c r="ET31" s="132"/>
      <c r="EU31" s="132"/>
      <c r="EV31" s="132"/>
      <c r="EW31" s="132"/>
    </row>
    <row r="32" spans="1:153" s="8" customFormat="1" ht="14.25" customHeight="1">
      <c r="A32" s="10"/>
      <c r="B32" s="10"/>
      <c r="C32" s="10"/>
      <c r="D32" s="10"/>
      <c r="E32" s="122"/>
      <c r="F32" s="122"/>
      <c r="G32" s="122"/>
      <c r="H32" s="122"/>
      <c r="I32" s="122"/>
      <c r="J32" s="10"/>
      <c r="K32" s="10"/>
      <c r="L32" s="122"/>
      <c r="M32" s="10"/>
      <c r="N32" s="10"/>
      <c r="O32" s="10"/>
      <c r="P32" s="10"/>
      <c r="Q32" s="122"/>
      <c r="R32" s="130"/>
      <c r="S32" s="38"/>
      <c r="T32" s="38"/>
      <c r="U32" s="38"/>
      <c r="V32" s="37"/>
      <c r="W32" s="130"/>
      <c r="X32" s="38"/>
      <c r="Y32" s="38"/>
      <c r="Z32" s="38"/>
      <c r="AA32" s="37"/>
      <c r="AB32" s="130"/>
      <c r="AC32" s="38"/>
      <c r="AD32" s="38"/>
      <c r="AE32" s="38"/>
      <c r="AF32" s="38"/>
      <c r="AG32" s="130"/>
      <c r="AH32" s="38"/>
      <c r="AI32" s="38"/>
      <c r="AJ32" s="38"/>
      <c r="AK32" s="37"/>
      <c r="AL32" s="130"/>
      <c r="AM32" s="38"/>
      <c r="AN32" s="38"/>
      <c r="AO32" s="38"/>
      <c r="AP32" s="38"/>
      <c r="AQ32" s="130"/>
      <c r="AR32" s="38"/>
      <c r="AS32" s="38"/>
      <c r="AT32" s="38"/>
      <c r="AU32" s="38"/>
      <c r="AZ32" s="38"/>
      <c r="BA32" s="130"/>
      <c r="BB32" s="38"/>
      <c r="BC32" s="38"/>
      <c r="BD32" s="38"/>
      <c r="BE32" s="38"/>
      <c r="BF32" s="130"/>
      <c r="BG32" s="38"/>
      <c r="BH32" s="38"/>
      <c r="BI32" s="38"/>
      <c r="BJ32" s="786"/>
      <c r="BK32" s="130"/>
      <c r="BL32" s="38"/>
      <c r="BM32" s="38"/>
      <c r="BN32" s="38"/>
      <c r="BO32" s="786"/>
      <c r="BP32" s="130"/>
      <c r="BQ32" s="38"/>
      <c r="BR32" s="38"/>
      <c r="BS32" s="38"/>
      <c r="BT32" s="786"/>
      <c r="BU32" s="130"/>
      <c r="BV32" s="38"/>
      <c r="BW32" s="38"/>
      <c r="BX32" s="38"/>
      <c r="BY32" s="31"/>
      <c r="BZ32" s="130"/>
      <c r="CA32" s="38"/>
      <c r="CB32" s="38"/>
      <c r="CC32" s="38"/>
      <c r="CD32" s="38"/>
      <c r="CE32" s="130"/>
      <c r="CF32" s="38"/>
      <c r="CG32" s="38"/>
      <c r="CH32" s="38"/>
      <c r="CI32" s="31"/>
      <c r="CO32" s="130"/>
      <c r="CP32" s="38"/>
      <c r="CQ32" s="38"/>
      <c r="CR32" s="38"/>
      <c r="CS32" s="31"/>
      <c r="CT32" s="130"/>
      <c r="CU32" s="38"/>
      <c r="CV32" s="38"/>
      <c r="CW32" s="38"/>
      <c r="CX32" s="31"/>
      <c r="CY32" s="130"/>
      <c r="CZ32" s="38"/>
      <c r="DA32" s="38"/>
      <c r="DB32" s="38"/>
      <c r="DC32" s="31"/>
      <c r="DD32" s="130"/>
      <c r="DE32" s="38"/>
      <c r="DF32" s="38"/>
      <c r="DG32" s="38"/>
      <c r="DH32" s="31"/>
      <c r="DI32" s="130"/>
      <c r="DJ32" s="38"/>
      <c r="DK32" s="38"/>
      <c r="DL32" s="38"/>
      <c r="DM32" s="31"/>
      <c r="DN32" s="130"/>
      <c r="DO32" s="38"/>
      <c r="DP32" s="38"/>
      <c r="DQ32" s="38"/>
      <c r="DR32" s="31"/>
      <c r="DS32" s="130"/>
      <c r="DT32" s="38"/>
      <c r="DU32" s="38"/>
      <c r="DV32" s="38"/>
      <c r="DW32" s="31"/>
      <c r="DX32" s="130"/>
      <c r="DY32" s="38"/>
      <c r="DZ32" s="38"/>
      <c r="EA32" s="38"/>
      <c r="EB32" s="31"/>
      <c r="EC32" s="130"/>
      <c r="ED32" s="38"/>
      <c r="EE32" s="38"/>
      <c r="EF32" s="38"/>
      <c r="EG32" s="31"/>
      <c r="EH32" s="130"/>
      <c r="EI32" s="38"/>
      <c r="EJ32" s="38"/>
      <c r="EK32" s="38"/>
      <c r="EL32" s="31"/>
      <c r="EM32" s="131"/>
      <c r="EN32" s="132"/>
      <c r="EO32" s="132"/>
      <c r="EP32" s="132"/>
      <c r="EQ32" s="132"/>
      <c r="ER32" s="39"/>
      <c r="ES32" s="131"/>
      <c r="ET32" s="132"/>
      <c r="EU32" s="132"/>
      <c r="EV32" s="132"/>
      <c r="EW32" s="132"/>
    </row>
    <row r="33" spans="1:153" s="8" customFormat="1" ht="14.25" customHeight="1">
      <c r="A33" s="10"/>
      <c r="B33" s="10"/>
      <c r="C33" s="10"/>
      <c r="D33" s="10"/>
      <c r="E33" s="122"/>
      <c r="F33" s="122"/>
      <c r="G33" s="122"/>
      <c r="H33" s="122"/>
      <c r="I33" s="122"/>
      <c r="J33" s="10"/>
      <c r="K33" s="10"/>
      <c r="L33" s="122"/>
      <c r="M33" s="10"/>
      <c r="N33" s="10"/>
      <c r="O33" s="10"/>
      <c r="P33" s="10"/>
      <c r="Q33" s="122"/>
      <c r="R33" s="130"/>
      <c r="S33" s="38"/>
      <c r="T33" s="38"/>
      <c r="U33" s="38"/>
      <c r="V33" s="37"/>
      <c r="W33" s="130"/>
      <c r="X33" s="38"/>
      <c r="Y33" s="38"/>
      <c r="Z33" s="38"/>
      <c r="AA33" s="37"/>
      <c r="AB33" s="130"/>
      <c r="AC33" s="38"/>
      <c r="AD33" s="38"/>
      <c r="AE33" s="38"/>
      <c r="AF33" s="38"/>
      <c r="AG33" s="130"/>
      <c r="AH33" s="38"/>
      <c r="AI33" s="38"/>
      <c r="AJ33" s="38"/>
      <c r="AK33" s="37"/>
      <c r="AL33" s="130"/>
      <c r="AM33" s="38"/>
      <c r="AN33" s="38"/>
      <c r="AO33" s="38"/>
      <c r="AP33" s="38"/>
      <c r="AQ33" s="130"/>
      <c r="AR33" s="38"/>
      <c r="AS33" s="38"/>
      <c r="AT33" s="38"/>
      <c r="AU33" s="38"/>
      <c r="AZ33" s="38"/>
      <c r="BA33" s="130"/>
      <c r="BB33" s="38"/>
      <c r="BC33" s="38"/>
      <c r="BD33" s="38"/>
      <c r="BE33" s="38"/>
      <c r="BF33" s="130"/>
      <c r="BG33" s="38"/>
      <c r="BH33" s="38"/>
      <c r="BI33" s="38"/>
      <c r="BJ33" s="786"/>
      <c r="BK33" s="130"/>
      <c r="BL33" s="38"/>
      <c r="BM33" s="38"/>
      <c r="BN33" s="38"/>
      <c r="BO33" s="786"/>
      <c r="BP33" s="130"/>
      <c r="BQ33" s="38"/>
      <c r="BR33" s="38"/>
      <c r="BS33" s="38"/>
      <c r="BT33" s="786"/>
      <c r="BU33" s="130"/>
      <c r="BV33" s="38"/>
      <c r="BW33" s="38"/>
      <c r="BX33" s="38"/>
      <c r="BY33" s="31"/>
      <c r="BZ33" s="130"/>
      <c r="CA33" s="38"/>
      <c r="CB33" s="38"/>
      <c r="CC33" s="38"/>
      <c r="CD33" s="38"/>
      <c r="CE33" s="130"/>
      <c r="CF33" s="38"/>
      <c r="CG33" s="38"/>
      <c r="CH33" s="38"/>
      <c r="CI33" s="31"/>
      <c r="CO33" s="130"/>
      <c r="CP33" s="38"/>
      <c r="CQ33" s="38"/>
      <c r="CR33" s="38"/>
      <c r="CS33" s="31"/>
      <c r="CT33" s="130"/>
      <c r="CU33" s="38"/>
      <c r="CV33" s="38"/>
      <c r="CW33" s="38"/>
      <c r="CX33" s="31"/>
      <c r="CY33" s="130"/>
      <c r="CZ33" s="38"/>
      <c r="DA33" s="38"/>
      <c r="DB33" s="38"/>
      <c r="DC33" s="31"/>
      <c r="DD33" s="130"/>
      <c r="DE33" s="38"/>
      <c r="DF33" s="38"/>
      <c r="DG33" s="38"/>
      <c r="DH33" s="31"/>
      <c r="DI33" s="130"/>
      <c r="DJ33" s="38"/>
      <c r="DK33" s="38"/>
      <c r="DL33" s="38"/>
      <c r="DM33" s="31"/>
      <c r="DN33" s="130"/>
      <c r="DO33" s="38"/>
      <c r="DP33" s="38"/>
      <c r="DQ33" s="38"/>
      <c r="DR33" s="31"/>
      <c r="DS33" s="130"/>
      <c r="DT33" s="38"/>
      <c r="DU33" s="38"/>
      <c r="DV33" s="38"/>
      <c r="DW33" s="31"/>
      <c r="DX33" s="130"/>
      <c r="DY33" s="38"/>
      <c r="DZ33" s="38"/>
      <c r="EA33" s="38"/>
      <c r="EB33" s="31"/>
      <c r="EC33" s="130"/>
      <c r="ED33" s="38"/>
      <c r="EE33" s="38"/>
      <c r="EF33" s="38"/>
      <c r="EG33" s="31"/>
      <c r="EH33" s="130"/>
      <c r="EI33" s="38"/>
      <c r="EJ33" s="38"/>
      <c r="EK33" s="38"/>
      <c r="EL33" s="31"/>
      <c r="EM33" s="131"/>
      <c r="EN33" s="132"/>
      <c r="EO33" s="132"/>
      <c r="EP33" s="132"/>
      <c r="EQ33" s="132"/>
      <c r="ER33" s="39"/>
      <c r="ES33" s="131"/>
      <c r="ET33" s="132"/>
      <c r="EU33" s="132"/>
      <c r="EV33" s="132"/>
      <c r="EW33" s="132"/>
    </row>
    <row r="34" spans="1:153" s="8" customFormat="1" ht="14.25" customHeight="1">
      <c r="A34" s="10"/>
      <c r="B34" s="10"/>
      <c r="C34" s="10"/>
      <c r="D34" s="10"/>
      <c r="E34" s="122"/>
      <c r="F34" s="122"/>
      <c r="G34" s="122"/>
      <c r="H34" s="122"/>
      <c r="I34" s="122"/>
      <c r="J34" s="10"/>
      <c r="K34" s="10"/>
      <c r="L34" s="122"/>
      <c r="M34" s="10"/>
      <c r="N34" s="10"/>
      <c r="O34" s="10"/>
      <c r="P34" s="10"/>
      <c r="Q34" s="122"/>
      <c r="R34" s="130"/>
      <c r="S34" s="38"/>
      <c r="T34" s="38"/>
      <c r="U34" s="38"/>
      <c r="V34" s="37"/>
      <c r="W34" s="130"/>
      <c r="X34" s="38"/>
      <c r="Y34" s="38"/>
      <c r="Z34" s="38"/>
      <c r="AA34" s="37"/>
      <c r="AB34" s="130"/>
      <c r="AC34" s="38"/>
      <c r="AD34" s="38"/>
      <c r="AE34" s="38"/>
      <c r="AF34" s="38"/>
      <c r="AG34" s="130"/>
      <c r="AH34" s="38"/>
      <c r="AI34" s="38"/>
      <c r="AJ34" s="38"/>
      <c r="AK34" s="37"/>
      <c r="AL34" s="130"/>
      <c r="AM34" s="38"/>
      <c r="AN34" s="38"/>
      <c r="AO34" s="38"/>
      <c r="AP34" s="38"/>
      <c r="AQ34" s="130"/>
      <c r="AR34" s="38"/>
      <c r="AS34" s="38"/>
      <c r="AT34" s="38"/>
      <c r="AU34" s="38"/>
      <c r="AZ34" s="38"/>
      <c r="BA34" s="130"/>
      <c r="BB34" s="38"/>
      <c r="BC34" s="38"/>
      <c r="BD34" s="38"/>
      <c r="BE34" s="38"/>
      <c r="BF34" s="130"/>
      <c r="BG34" s="38"/>
      <c r="BH34" s="38"/>
      <c r="BI34" s="38"/>
      <c r="BJ34" s="786"/>
      <c r="BK34" s="130"/>
      <c r="BL34" s="38"/>
      <c r="BM34" s="38"/>
      <c r="BN34" s="38"/>
      <c r="BO34" s="786"/>
      <c r="BP34" s="130"/>
      <c r="BQ34" s="38"/>
      <c r="BR34" s="38"/>
      <c r="BS34" s="38"/>
      <c r="BT34" s="786"/>
      <c r="BU34" s="130"/>
      <c r="BV34" s="38"/>
      <c r="BW34" s="38"/>
      <c r="BX34" s="38"/>
      <c r="BY34" s="31"/>
      <c r="BZ34" s="130"/>
      <c r="CA34" s="38"/>
      <c r="CB34" s="38"/>
      <c r="CC34" s="38"/>
      <c r="CD34" s="38"/>
      <c r="CE34" s="130"/>
      <c r="CF34" s="38"/>
      <c r="CG34" s="38"/>
      <c r="CH34" s="38"/>
      <c r="CI34" s="31"/>
      <c r="CO34" s="130"/>
      <c r="CP34" s="38"/>
      <c r="CQ34" s="38"/>
      <c r="CR34" s="38"/>
      <c r="CS34" s="31"/>
      <c r="CT34" s="130"/>
      <c r="CU34" s="38"/>
      <c r="CV34" s="38"/>
      <c r="CW34" s="38"/>
      <c r="CX34" s="31"/>
      <c r="CY34" s="130"/>
      <c r="CZ34" s="38"/>
      <c r="DA34" s="38"/>
      <c r="DB34" s="38"/>
      <c r="DC34" s="31"/>
      <c r="DD34" s="130"/>
      <c r="DE34" s="38"/>
      <c r="DF34" s="38"/>
      <c r="DG34" s="38"/>
      <c r="DH34" s="31"/>
      <c r="DI34" s="130"/>
      <c r="DJ34" s="38"/>
      <c r="DK34" s="38"/>
      <c r="DL34" s="38"/>
      <c r="DM34" s="31"/>
      <c r="DN34" s="130"/>
      <c r="DO34" s="38"/>
      <c r="DP34" s="38"/>
      <c r="DQ34" s="38"/>
      <c r="DR34" s="31"/>
      <c r="DS34" s="130"/>
      <c r="DT34" s="38"/>
      <c r="DU34" s="38"/>
      <c r="DV34" s="38"/>
      <c r="DW34" s="31"/>
      <c r="DX34" s="130"/>
      <c r="DY34" s="38"/>
      <c r="DZ34" s="38"/>
      <c r="EA34" s="38"/>
      <c r="EB34" s="31"/>
      <c r="EC34" s="130"/>
      <c r="ED34" s="38"/>
      <c r="EE34" s="38"/>
      <c r="EF34" s="38"/>
      <c r="EG34" s="31"/>
      <c r="EH34" s="130"/>
      <c r="EI34" s="38"/>
      <c r="EJ34" s="38"/>
      <c r="EK34" s="38"/>
      <c r="EL34" s="31"/>
      <c r="EM34" s="131"/>
      <c r="EN34" s="132"/>
      <c r="EO34" s="132"/>
      <c r="EP34" s="132"/>
      <c r="EQ34" s="132"/>
      <c r="ER34" s="39"/>
      <c r="ES34" s="131"/>
      <c r="ET34" s="132"/>
      <c r="EU34" s="132"/>
      <c r="EV34" s="132"/>
      <c r="EW34" s="132"/>
    </row>
    <row r="35" spans="1:153" s="8" customFormat="1" ht="14.25" customHeight="1">
      <c r="A35" s="10"/>
      <c r="B35" s="10"/>
      <c r="C35" s="10"/>
      <c r="D35" s="10"/>
      <c r="E35" s="122"/>
      <c r="F35" s="122"/>
      <c r="G35" s="122"/>
      <c r="H35" s="122"/>
      <c r="I35" s="122"/>
      <c r="J35" s="10"/>
      <c r="K35" s="10"/>
      <c r="L35" s="122"/>
      <c r="M35" s="10"/>
      <c r="N35" s="10"/>
      <c r="O35" s="10"/>
      <c r="P35" s="10"/>
      <c r="Q35" s="122"/>
      <c r="R35" s="130"/>
      <c r="S35" s="38"/>
      <c r="T35" s="38"/>
      <c r="U35" s="38"/>
      <c r="V35" s="37"/>
      <c r="W35" s="130"/>
      <c r="X35" s="38"/>
      <c r="Y35" s="38"/>
      <c r="Z35" s="38"/>
      <c r="AA35" s="37"/>
      <c r="AB35" s="130"/>
      <c r="AC35" s="38"/>
      <c r="AD35" s="38"/>
      <c r="AE35" s="38"/>
      <c r="AF35" s="38"/>
      <c r="AG35" s="130"/>
      <c r="AH35" s="38"/>
      <c r="AI35" s="38"/>
      <c r="AJ35" s="38"/>
      <c r="AK35" s="37"/>
      <c r="AL35" s="130"/>
      <c r="AM35" s="38"/>
      <c r="AN35" s="38"/>
      <c r="AO35" s="38"/>
      <c r="AP35" s="38"/>
      <c r="AQ35" s="130"/>
      <c r="AR35" s="38"/>
      <c r="AS35" s="38"/>
      <c r="AT35" s="38"/>
      <c r="AU35" s="38"/>
      <c r="AZ35" s="38"/>
      <c r="BA35" s="130"/>
      <c r="BB35" s="38"/>
      <c r="BC35" s="38"/>
      <c r="BD35" s="38"/>
      <c r="BE35" s="38"/>
      <c r="BF35" s="130"/>
      <c r="BG35" s="38"/>
      <c r="BH35" s="38"/>
      <c r="BI35" s="38"/>
      <c r="BJ35" s="786"/>
      <c r="BK35" s="130"/>
      <c r="BL35" s="38"/>
      <c r="BM35" s="38"/>
      <c r="BN35" s="38"/>
      <c r="BO35" s="786"/>
      <c r="BP35" s="130"/>
      <c r="BQ35" s="38"/>
      <c r="BR35" s="38"/>
      <c r="BS35" s="38"/>
      <c r="BT35" s="786"/>
      <c r="BU35" s="130"/>
      <c r="BV35" s="38"/>
      <c r="BW35" s="38"/>
      <c r="BX35" s="38"/>
      <c r="BY35" s="31"/>
      <c r="BZ35" s="130"/>
      <c r="CA35" s="38"/>
      <c r="CB35" s="38"/>
      <c r="CC35" s="38"/>
      <c r="CD35" s="38"/>
      <c r="CE35" s="130"/>
      <c r="CF35" s="38"/>
      <c r="CG35" s="38"/>
      <c r="CH35" s="38"/>
      <c r="CI35" s="31"/>
      <c r="CO35" s="130"/>
      <c r="CP35" s="38"/>
      <c r="CQ35" s="38"/>
      <c r="CR35" s="38"/>
      <c r="CS35" s="31"/>
      <c r="CT35" s="130"/>
      <c r="CU35" s="38"/>
      <c r="CV35" s="38"/>
      <c r="CW35" s="38"/>
      <c r="CX35" s="31"/>
      <c r="CY35" s="130"/>
      <c r="CZ35" s="38"/>
      <c r="DA35" s="38"/>
      <c r="DB35" s="38"/>
      <c r="DC35" s="31"/>
      <c r="DD35" s="130"/>
      <c r="DE35" s="38"/>
      <c r="DF35" s="38"/>
      <c r="DG35" s="38"/>
      <c r="DH35" s="31"/>
      <c r="DI35" s="130"/>
      <c r="DJ35" s="38"/>
      <c r="DK35" s="38"/>
      <c r="DL35" s="38"/>
      <c r="DM35" s="31"/>
      <c r="DN35" s="130"/>
      <c r="DO35" s="38"/>
      <c r="DP35" s="38"/>
      <c r="DQ35" s="38"/>
      <c r="DR35" s="31"/>
      <c r="DS35" s="130"/>
      <c r="DT35" s="38"/>
      <c r="DU35" s="38"/>
      <c r="DV35" s="38"/>
      <c r="DW35" s="31"/>
      <c r="DX35" s="130"/>
      <c r="DY35" s="38"/>
      <c r="DZ35" s="38"/>
      <c r="EA35" s="38"/>
      <c r="EB35" s="31"/>
      <c r="EC35" s="130"/>
      <c r="ED35" s="38"/>
      <c r="EE35" s="38"/>
      <c r="EF35" s="38"/>
      <c r="EG35" s="31"/>
      <c r="EH35" s="130"/>
      <c r="EI35" s="38"/>
      <c r="EJ35" s="38"/>
      <c r="EK35" s="38"/>
      <c r="EL35" s="31"/>
      <c r="EM35" s="131"/>
      <c r="EN35" s="132"/>
      <c r="EO35" s="132"/>
      <c r="EP35" s="132"/>
      <c r="EQ35" s="132"/>
      <c r="ER35" s="39"/>
      <c r="ES35" s="131"/>
      <c r="ET35" s="132"/>
      <c r="EU35" s="132"/>
      <c r="EV35" s="132"/>
      <c r="EW35" s="132"/>
    </row>
    <row r="36" spans="1:153" s="8" customFormat="1" ht="14.25" customHeight="1">
      <c r="A36" s="10"/>
      <c r="B36" s="10"/>
      <c r="C36" s="10"/>
      <c r="D36" s="10"/>
      <c r="E36" s="122"/>
      <c r="F36" s="122"/>
      <c r="G36" s="122"/>
      <c r="H36" s="122"/>
      <c r="I36" s="122"/>
      <c r="J36" s="10"/>
      <c r="K36" s="10"/>
      <c r="L36" s="122"/>
      <c r="M36" s="10"/>
      <c r="N36" s="10"/>
      <c r="O36" s="10"/>
      <c r="P36" s="10"/>
      <c r="Q36" s="122"/>
      <c r="R36" s="130"/>
      <c r="S36" s="38"/>
      <c r="T36" s="38"/>
      <c r="U36" s="38"/>
      <c r="V36" s="37"/>
      <c r="W36" s="130"/>
      <c r="X36" s="38"/>
      <c r="Y36" s="38"/>
      <c r="Z36" s="38"/>
      <c r="AA36" s="37"/>
      <c r="AB36" s="130"/>
      <c r="AC36" s="38"/>
      <c r="AD36" s="38"/>
      <c r="AE36" s="38"/>
      <c r="AF36" s="38"/>
      <c r="AG36" s="130"/>
      <c r="AH36" s="38"/>
      <c r="AI36" s="38"/>
      <c r="AJ36" s="38"/>
      <c r="AK36" s="37"/>
      <c r="AL36" s="130"/>
      <c r="AM36" s="38"/>
      <c r="AN36" s="38"/>
      <c r="AO36" s="38"/>
      <c r="AP36" s="38"/>
      <c r="AQ36" s="130"/>
      <c r="AR36" s="38"/>
      <c r="AS36" s="38"/>
      <c r="AT36" s="38"/>
      <c r="AU36" s="38"/>
      <c r="AZ36" s="38"/>
      <c r="BA36" s="130"/>
      <c r="BB36" s="38"/>
      <c r="BC36" s="38"/>
      <c r="BD36" s="38"/>
      <c r="BE36" s="38"/>
      <c r="BF36" s="130"/>
      <c r="BG36" s="38"/>
      <c r="BH36" s="38"/>
      <c r="BI36" s="38"/>
      <c r="BJ36" s="786"/>
      <c r="BK36" s="130"/>
      <c r="BL36" s="38"/>
      <c r="BM36" s="38"/>
      <c r="BN36" s="38"/>
      <c r="BO36" s="786"/>
      <c r="BP36" s="130"/>
      <c r="BQ36" s="38"/>
      <c r="BR36" s="38"/>
      <c r="BS36" s="38"/>
      <c r="BT36" s="786"/>
      <c r="BU36" s="130"/>
      <c r="BV36" s="38"/>
      <c r="BW36" s="38"/>
      <c r="BX36" s="38"/>
      <c r="BY36" s="31"/>
      <c r="BZ36" s="130"/>
      <c r="CA36" s="38"/>
      <c r="CB36" s="38"/>
      <c r="CC36" s="38"/>
      <c r="CD36" s="38"/>
      <c r="CE36" s="130"/>
      <c r="CF36" s="38"/>
      <c r="CG36" s="38"/>
      <c r="CH36" s="38"/>
      <c r="CI36" s="31"/>
      <c r="CO36" s="130"/>
      <c r="CP36" s="38"/>
      <c r="CQ36" s="38"/>
      <c r="CR36" s="38"/>
      <c r="CS36" s="31"/>
      <c r="CT36" s="130"/>
      <c r="CU36" s="38"/>
      <c r="CV36" s="38"/>
      <c r="CW36" s="38"/>
      <c r="CX36" s="31"/>
      <c r="CY36" s="130"/>
      <c r="CZ36" s="38"/>
      <c r="DA36" s="38"/>
      <c r="DB36" s="38"/>
      <c r="DC36" s="31"/>
      <c r="DD36" s="130"/>
      <c r="DE36" s="38"/>
      <c r="DF36" s="38"/>
      <c r="DG36" s="38"/>
      <c r="DH36" s="31"/>
      <c r="DI36" s="130"/>
      <c r="DJ36" s="38"/>
      <c r="DK36" s="38"/>
      <c r="DL36" s="38"/>
      <c r="DM36" s="31"/>
      <c r="DN36" s="130"/>
      <c r="DO36" s="38"/>
      <c r="DP36" s="38"/>
      <c r="DQ36" s="38"/>
      <c r="DR36" s="31"/>
      <c r="DS36" s="130"/>
      <c r="DT36" s="38"/>
      <c r="DU36" s="38"/>
      <c r="DV36" s="38"/>
      <c r="DW36" s="31"/>
      <c r="DX36" s="130"/>
      <c r="DY36" s="38"/>
      <c r="DZ36" s="38"/>
      <c r="EA36" s="38"/>
      <c r="EB36" s="31"/>
      <c r="EC36" s="130"/>
      <c r="ED36" s="38"/>
      <c r="EE36" s="38"/>
      <c r="EF36" s="38"/>
      <c r="EG36" s="31"/>
      <c r="EH36" s="130"/>
      <c r="EI36" s="38"/>
      <c r="EJ36" s="38"/>
      <c r="EK36" s="38"/>
      <c r="EL36" s="31"/>
      <c r="EM36" s="131"/>
      <c r="EN36" s="132"/>
      <c r="EO36" s="132"/>
      <c r="EP36" s="132"/>
      <c r="EQ36" s="132"/>
      <c r="ER36" s="39"/>
      <c r="ES36" s="131"/>
      <c r="ET36" s="132"/>
      <c r="EU36" s="132"/>
      <c r="EV36" s="132"/>
      <c r="EW36" s="132"/>
    </row>
    <row r="37" spans="1:153" s="8" customFormat="1" ht="14.25" customHeight="1">
      <c r="A37" s="10"/>
      <c r="B37" s="10"/>
      <c r="C37" s="10"/>
      <c r="D37" s="10"/>
      <c r="E37" s="122"/>
      <c r="F37" s="122"/>
      <c r="G37" s="122"/>
      <c r="H37" s="122"/>
      <c r="I37" s="122"/>
      <c r="J37" s="10"/>
      <c r="K37" s="10"/>
      <c r="L37" s="122"/>
      <c r="M37" s="10"/>
      <c r="N37" s="10"/>
      <c r="O37" s="10"/>
      <c r="P37" s="10"/>
      <c r="Q37" s="122"/>
      <c r="R37" s="130"/>
      <c r="S37" s="38"/>
      <c r="T37" s="38"/>
      <c r="U37" s="38"/>
      <c r="V37" s="37"/>
      <c r="W37" s="130"/>
      <c r="X37" s="38"/>
      <c r="Y37" s="38"/>
      <c r="Z37" s="38"/>
      <c r="AA37" s="37"/>
      <c r="AB37" s="130"/>
      <c r="AC37" s="38"/>
      <c r="AD37" s="38"/>
      <c r="AE37" s="38"/>
      <c r="AF37" s="38"/>
      <c r="AG37" s="130"/>
      <c r="AH37" s="38"/>
      <c r="AI37" s="38"/>
      <c r="AJ37" s="38"/>
      <c r="AK37" s="37"/>
      <c r="AL37" s="130"/>
      <c r="AM37" s="38"/>
      <c r="AN37" s="38"/>
      <c r="AO37" s="38"/>
      <c r="AP37" s="38"/>
      <c r="AQ37" s="130"/>
      <c r="AR37" s="38"/>
      <c r="AS37" s="38"/>
      <c r="AT37" s="38"/>
      <c r="AU37" s="38"/>
      <c r="AZ37" s="38"/>
      <c r="BA37" s="130"/>
      <c r="BB37" s="38"/>
      <c r="BC37" s="38"/>
      <c r="BD37" s="38"/>
      <c r="BE37" s="38"/>
      <c r="BF37" s="130"/>
      <c r="BG37" s="38"/>
      <c r="BH37" s="38"/>
      <c r="BI37" s="38"/>
      <c r="BJ37" s="786"/>
      <c r="BK37" s="130"/>
      <c r="BL37" s="38"/>
      <c r="BM37" s="38"/>
      <c r="BN37" s="38"/>
      <c r="BO37" s="786"/>
      <c r="BP37" s="130"/>
      <c r="BQ37" s="38"/>
      <c r="BR37" s="38"/>
      <c r="BS37" s="38"/>
      <c r="BT37" s="786"/>
      <c r="BU37" s="130"/>
      <c r="BV37" s="38"/>
      <c r="BW37" s="38"/>
      <c r="BX37" s="38"/>
      <c r="BY37" s="31"/>
      <c r="BZ37" s="130"/>
      <c r="CA37" s="38"/>
      <c r="CB37" s="38"/>
      <c r="CC37" s="38"/>
      <c r="CD37" s="38"/>
      <c r="CE37" s="130"/>
      <c r="CF37" s="38"/>
      <c r="CG37" s="38"/>
      <c r="CH37" s="38"/>
      <c r="CI37" s="31"/>
      <c r="CO37" s="130"/>
      <c r="CP37" s="38"/>
      <c r="CQ37" s="38"/>
      <c r="CR37" s="38"/>
      <c r="CS37" s="31"/>
      <c r="CT37" s="130"/>
      <c r="CU37" s="38"/>
      <c r="CV37" s="38"/>
      <c r="CW37" s="38"/>
      <c r="CX37" s="31"/>
      <c r="CY37" s="130"/>
      <c r="CZ37" s="38"/>
      <c r="DA37" s="38"/>
      <c r="DB37" s="38"/>
      <c r="DC37" s="31"/>
      <c r="DD37" s="130"/>
      <c r="DE37" s="38"/>
      <c r="DF37" s="38"/>
      <c r="DG37" s="38"/>
      <c r="DH37" s="31"/>
      <c r="DI37" s="130"/>
      <c r="DJ37" s="38"/>
      <c r="DK37" s="38"/>
      <c r="DL37" s="38"/>
      <c r="DM37" s="31"/>
      <c r="DN37" s="130"/>
      <c r="DO37" s="38"/>
      <c r="DP37" s="38"/>
      <c r="DQ37" s="38"/>
      <c r="DR37" s="31"/>
      <c r="DS37" s="130"/>
      <c r="DT37" s="38"/>
      <c r="DU37" s="38"/>
      <c r="DV37" s="38"/>
      <c r="DW37" s="31"/>
      <c r="DX37" s="130"/>
      <c r="DY37" s="38"/>
      <c r="DZ37" s="38"/>
      <c r="EA37" s="38"/>
      <c r="EB37" s="31"/>
      <c r="EC37" s="130"/>
      <c r="ED37" s="38"/>
      <c r="EE37" s="38"/>
      <c r="EF37" s="38"/>
      <c r="EG37" s="31"/>
      <c r="EH37" s="130"/>
      <c r="EI37" s="38"/>
      <c r="EJ37" s="38"/>
      <c r="EK37" s="38"/>
      <c r="EL37" s="31"/>
      <c r="EM37" s="131"/>
      <c r="EN37" s="132"/>
      <c r="EO37" s="132"/>
      <c r="EP37" s="132"/>
      <c r="EQ37" s="132"/>
      <c r="ER37" s="39"/>
      <c r="ES37" s="131"/>
      <c r="ET37" s="132"/>
      <c r="EU37" s="132"/>
      <c r="EV37" s="132"/>
      <c r="EW37" s="132"/>
    </row>
    <row r="38" spans="1:153" s="8" customFormat="1" ht="14.25" customHeight="1">
      <c r="A38" s="10"/>
      <c r="B38" s="10"/>
      <c r="C38" s="10"/>
      <c r="D38" s="10"/>
      <c r="E38" s="122"/>
      <c r="F38" s="122"/>
      <c r="G38" s="122"/>
      <c r="H38" s="122"/>
      <c r="I38" s="122"/>
      <c r="J38" s="10"/>
      <c r="K38" s="10"/>
      <c r="L38" s="122"/>
      <c r="M38" s="10"/>
      <c r="N38" s="10"/>
      <c r="O38" s="10"/>
      <c r="P38" s="10"/>
      <c r="Q38" s="122"/>
      <c r="R38" s="130"/>
      <c r="S38" s="38"/>
      <c r="T38" s="38"/>
      <c r="U38" s="38"/>
      <c r="V38" s="37"/>
      <c r="W38" s="130"/>
      <c r="X38" s="38"/>
      <c r="Y38" s="38"/>
      <c r="Z38" s="38"/>
      <c r="AA38" s="37"/>
      <c r="AB38" s="130"/>
      <c r="AC38" s="38"/>
      <c r="AD38" s="38"/>
      <c r="AE38" s="38"/>
      <c r="AF38" s="38"/>
      <c r="AG38" s="130"/>
      <c r="AH38" s="38"/>
      <c r="AI38" s="38"/>
      <c r="AJ38" s="38"/>
      <c r="AK38" s="37"/>
      <c r="AL38" s="130"/>
      <c r="AM38" s="38"/>
      <c r="AN38" s="38"/>
      <c r="AO38" s="38"/>
      <c r="AP38" s="38"/>
      <c r="AQ38" s="130"/>
      <c r="AR38" s="38"/>
      <c r="AS38" s="38"/>
      <c r="AT38" s="38"/>
      <c r="AU38" s="38"/>
      <c r="AZ38" s="38"/>
      <c r="BA38" s="130"/>
      <c r="BB38" s="38"/>
      <c r="BC38" s="38"/>
      <c r="BD38" s="38"/>
      <c r="BE38" s="38"/>
      <c r="BF38" s="130"/>
      <c r="BG38" s="38"/>
      <c r="BH38" s="38"/>
      <c r="BI38" s="38"/>
      <c r="BJ38" s="786"/>
      <c r="BK38" s="130"/>
      <c r="BL38" s="38"/>
      <c r="BM38" s="38"/>
      <c r="BN38" s="38"/>
      <c r="BO38" s="786"/>
      <c r="BP38" s="130"/>
      <c r="BQ38" s="38"/>
      <c r="BR38" s="38"/>
      <c r="BS38" s="38"/>
      <c r="BT38" s="786"/>
      <c r="BU38" s="130"/>
      <c r="BV38" s="38"/>
      <c r="BW38" s="38"/>
      <c r="BX38" s="38"/>
      <c r="BY38" s="31"/>
      <c r="BZ38" s="130"/>
      <c r="CA38" s="38"/>
      <c r="CB38" s="38"/>
      <c r="CC38" s="38"/>
      <c r="CD38" s="38"/>
      <c r="CE38" s="130"/>
      <c r="CF38" s="38"/>
      <c r="CG38" s="38"/>
      <c r="CH38" s="38"/>
      <c r="CI38" s="31"/>
      <c r="CO38" s="130"/>
      <c r="CP38" s="38"/>
      <c r="CQ38" s="38"/>
      <c r="CR38" s="38"/>
      <c r="CS38" s="31"/>
      <c r="CT38" s="130"/>
      <c r="CU38" s="38"/>
      <c r="CV38" s="38"/>
      <c r="CW38" s="38"/>
      <c r="CX38" s="31"/>
      <c r="CY38" s="130"/>
      <c r="CZ38" s="38"/>
      <c r="DA38" s="38"/>
      <c r="DB38" s="38"/>
      <c r="DC38" s="31"/>
      <c r="DD38" s="130"/>
      <c r="DE38" s="38"/>
      <c r="DF38" s="38"/>
      <c r="DG38" s="38"/>
      <c r="DH38" s="31"/>
      <c r="DI38" s="130"/>
      <c r="DJ38" s="38"/>
      <c r="DK38" s="38"/>
      <c r="DL38" s="38"/>
      <c r="DM38" s="31"/>
      <c r="DN38" s="130"/>
      <c r="DO38" s="38"/>
      <c r="DP38" s="38"/>
      <c r="DQ38" s="38"/>
      <c r="DR38" s="31"/>
      <c r="DS38" s="130"/>
      <c r="DT38" s="38"/>
      <c r="DU38" s="38"/>
      <c r="DV38" s="38"/>
      <c r="DW38" s="31"/>
      <c r="DX38" s="130"/>
      <c r="DY38" s="38"/>
      <c r="DZ38" s="38"/>
      <c r="EA38" s="38"/>
      <c r="EB38" s="31"/>
      <c r="EC38" s="130"/>
      <c r="ED38" s="38"/>
      <c r="EE38" s="38"/>
      <c r="EF38" s="38"/>
      <c r="EG38" s="31"/>
      <c r="EH38" s="130"/>
      <c r="EI38" s="38"/>
      <c r="EJ38" s="38"/>
      <c r="EK38" s="38"/>
      <c r="EL38" s="31"/>
      <c r="EM38" s="131"/>
      <c r="EN38" s="132"/>
      <c r="EO38" s="132"/>
      <c r="EP38" s="132"/>
      <c r="EQ38" s="132"/>
      <c r="ER38" s="39"/>
      <c r="ES38" s="131"/>
      <c r="ET38" s="132"/>
      <c r="EU38" s="132"/>
      <c r="EV38" s="132"/>
      <c r="EW38" s="132"/>
    </row>
    <row r="39" spans="1:153" s="8" customFormat="1" ht="14.25" customHeight="1">
      <c r="A39" s="10"/>
      <c r="B39" s="10"/>
      <c r="C39" s="10"/>
      <c r="D39" s="10"/>
      <c r="E39" s="122"/>
      <c r="F39" s="122"/>
      <c r="G39" s="122"/>
      <c r="H39" s="122"/>
      <c r="I39" s="122"/>
      <c r="J39" s="10"/>
      <c r="K39" s="10"/>
      <c r="L39" s="122"/>
      <c r="M39" s="10"/>
      <c r="N39" s="10"/>
      <c r="O39" s="10"/>
      <c r="P39" s="10"/>
      <c r="Q39" s="122"/>
      <c r="R39" s="130"/>
      <c r="S39" s="38"/>
      <c r="T39" s="38"/>
      <c r="U39" s="38"/>
      <c r="V39" s="37"/>
      <c r="W39" s="130"/>
      <c r="X39" s="38"/>
      <c r="Y39" s="38"/>
      <c r="Z39" s="38"/>
      <c r="AA39" s="37"/>
      <c r="AB39" s="130"/>
      <c r="AC39" s="38"/>
      <c r="AD39" s="38"/>
      <c r="AE39" s="38"/>
      <c r="AF39" s="38"/>
      <c r="AG39" s="130"/>
      <c r="AH39" s="38"/>
      <c r="AI39" s="38"/>
      <c r="AJ39" s="38"/>
      <c r="AK39" s="37"/>
      <c r="AL39" s="130"/>
      <c r="AM39" s="38"/>
      <c r="AN39" s="38"/>
      <c r="AO39" s="38"/>
      <c r="AP39" s="38"/>
      <c r="AQ39" s="130"/>
      <c r="AR39" s="38"/>
      <c r="AS39" s="38"/>
      <c r="AT39" s="38"/>
      <c r="AU39" s="38"/>
      <c r="AZ39" s="38"/>
      <c r="BA39" s="130"/>
      <c r="BB39" s="38"/>
      <c r="BC39" s="38"/>
      <c r="BD39" s="38"/>
      <c r="BE39" s="38"/>
      <c r="BF39" s="130"/>
      <c r="BG39" s="38"/>
      <c r="BH39" s="38"/>
      <c r="BI39" s="38"/>
      <c r="BJ39" s="786"/>
      <c r="BK39" s="130"/>
      <c r="BL39" s="38"/>
      <c r="BM39" s="38"/>
      <c r="BN39" s="38"/>
      <c r="BO39" s="786"/>
      <c r="BP39" s="130"/>
      <c r="BQ39" s="38"/>
      <c r="BR39" s="38"/>
      <c r="BS39" s="38"/>
      <c r="BT39" s="786"/>
      <c r="BU39" s="130"/>
      <c r="BV39" s="38"/>
      <c r="BW39" s="38"/>
      <c r="BX39" s="38"/>
      <c r="BY39" s="31"/>
      <c r="BZ39" s="130"/>
      <c r="CA39" s="38"/>
      <c r="CB39" s="38"/>
      <c r="CC39" s="38"/>
      <c r="CD39" s="38"/>
      <c r="CE39" s="130"/>
      <c r="CF39" s="38"/>
      <c r="CG39" s="38"/>
      <c r="CH39" s="38"/>
      <c r="CI39" s="31"/>
      <c r="CO39" s="130"/>
      <c r="CP39" s="38"/>
      <c r="CQ39" s="38"/>
      <c r="CR39" s="38"/>
      <c r="CS39" s="31"/>
      <c r="CT39" s="130"/>
      <c r="CU39" s="38"/>
      <c r="CV39" s="38"/>
      <c r="CW39" s="38"/>
      <c r="CX39" s="31"/>
      <c r="CY39" s="130"/>
      <c r="CZ39" s="38"/>
      <c r="DA39" s="38"/>
      <c r="DB39" s="38"/>
      <c r="DC39" s="31"/>
      <c r="DD39" s="130"/>
      <c r="DE39" s="38"/>
      <c r="DF39" s="38"/>
      <c r="DG39" s="38"/>
      <c r="DH39" s="31"/>
      <c r="DI39" s="130"/>
      <c r="DJ39" s="38"/>
      <c r="DK39" s="38"/>
      <c r="DL39" s="38"/>
      <c r="DM39" s="31"/>
      <c r="DN39" s="130"/>
      <c r="DO39" s="38"/>
      <c r="DP39" s="38"/>
      <c r="DQ39" s="38"/>
      <c r="DR39" s="31"/>
      <c r="DS39" s="130"/>
      <c r="DT39" s="38"/>
      <c r="DU39" s="38"/>
      <c r="DV39" s="38"/>
      <c r="DW39" s="31"/>
      <c r="DX39" s="130"/>
      <c r="DY39" s="38"/>
      <c r="DZ39" s="38"/>
      <c r="EA39" s="38"/>
      <c r="EB39" s="31"/>
      <c r="EC39" s="130"/>
      <c r="ED39" s="38"/>
      <c r="EE39" s="38"/>
      <c r="EF39" s="38"/>
      <c r="EG39" s="31"/>
      <c r="EH39" s="130"/>
      <c r="EI39" s="38"/>
      <c r="EJ39" s="38"/>
      <c r="EK39" s="38"/>
      <c r="EL39" s="31"/>
      <c r="EM39" s="131"/>
      <c r="EN39" s="132"/>
      <c r="EO39" s="132"/>
      <c r="EP39" s="132"/>
      <c r="EQ39" s="132"/>
      <c r="ER39" s="39"/>
      <c r="ES39" s="131"/>
      <c r="ET39" s="132"/>
      <c r="EU39" s="132"/>
      <c r="EV39" s="132"/>
      <c r="EW39" s="132"/>
    </row>
    <row r="40" spans="1:153" s="8" customFormat="1" ht="14.25" customHeight="1">
      <c r="A40" s="10"/>
      <c r="B40" s="10"/>
      <c r="C40" s="10"/>
      <c r="D40" s="10"/>
      <c r="E40" s="122"/>
      <c r="F40" s="122"/>
      <c r="G40" s="122"/>
      <c r="H40" s="122"/>
      <c r="I40" s="122"/>
      <c r="J40" s="10"/>
      <c r="K40" s="10"/>
      <c r="L40" s="122"/>
      <c r="M40" s="10"/>
      <c r="N40" s="10"/>
      <c r="O40" s="10"/>
      <c r="P40" s="10"/>
      <c r="Q40" s="122"/>
      <c r="R40" s="130"/>
      <c r="S40" s="38"/>
      <c r="T40" s="38"/>
      <c r="U40" s="38"/>
      <c r="V40" s="37"/>
      <c r="W40" s="130"/>
      <c r="X40" s="38"/>
      <c r="Y40" s="38"/>
      <c r="Z40" s="38"/>
      <c r="AA40" s="37"/>
      <c r="AB40" s="130"/>
      <c r="AC40" s="38"/>
      <c r="AD40" s="38"/>
      <c r="AE40" s="38"/>
      <c r="AF40" s="38"/>
      <c r="AG40" s="130"/>
      <c r="AH40" s="38"/>
      <c r="AI40" s="38"/>
      <c r="AJ40" s="38"/>
      <c r="AK40" s="37"/>
      <c r="AL40" s="130"/>
      <c r="AM40" s="38"/>
      <c r="AN40" s="38"/>
      <c r="AO40" s="38"/>
      <c r="AP40" s="38"/>
      <c r="AQ40" s="130"/>
      <c r="AR40" s="38"/>
      <c r="AS40" s="38"/>
      <c r="AT40" s="38"/>
      <c r="AU40" s="38"/>
      <c r="AZ40" s="38"/>
      <c r="BA40" s="130"/>
      <c r="BB40" s="38"/>
      <c r="BC40" s="38"/>
      <c r="BD40" s="38"/>
      <c r="BE40" s="38"/>
      <c r="BF40" s="130"/>
      <c r="BG40" s="38"/>
      <c r="BH40" s="38"/>
      <c r="BI40" s="38"/>
      <c r="BJ40" s="786"/>
      <c r="BK40" s="130"/>
      <c r="BL40" s="38"/>
      <c r="BM40" s="38"/>
      <c r="BN40" s="38"/>
      <c r="BO40" s="786"/>
      <c r="BP40" s="130"/>
      <c r="BQ40" s="38"/>
      <c r="BR40" s="38"/>
      <c r="BS40" s="38"/>
      <c r="BT40" s="786"/>
      <c r="BU40" s="130"/>
      <c r="BV40" s="38"/>
      <c r="BW40" s="38"/>
      <c r="BX40" s="38"/>
      <c r="BY40" s="31"/>
      <c r="BZ40" s="130"/>
      <c r="CA40" s="38"/>
      <c r="CB40" s="38"/>
      <c r="CC40" s="38"/>
      <c r="CD40" s="38"/>
      <c r="CE40" s="130"/>
      <c r="CF40" s="38"/>
      <c r="CG40" s="38"/>
      <c r="CH40" s="38"/>
      <c r="CI40" s="31"/>
      <c r="CO40" s="130"/>
      <c r="CP40" s="38"/>
      <c r="CQ40" s="38"/>
      <c r="CR40" s="38"/>
      <c r="CS40" s="31"/>
      <c r="CT40" s="130"/>
      <c r="CU40" s="38"/>
      <c r="CV40" s="38"/>
      <c r="CW40" s="38"/>
      <c r="CX40" s="31"/>
      <c r="CY40" s="130"/>
      <c r="CZ40" s="38"/>
      <c r="DA40" s="38"/>
      <c r="DB40" s="38"/>
      <c r="DC40" s="31"/>
      <c r="DD40" s="130"/>
      <c r="DE40" s="38"/>
      <c r="DF40" s="38"/>
      <c r="DG40" s="38"/>
      <c r="DH40" s="31"/>
      <c r="DI40" s="130"/>
      <c r="DJ40" s="38"/>
      <c r="DK40" s="38"/>
      <c r="DL40" s="38"/>
      <c r="DM40" s="31"/>
      <c r="DN40" s="130"/>
      <c r="DO40" s="38"/>
      <c r="DP40" s="38"/>
      <c r="DQ40" s="38"/>
      <c r="DR40" s="31"/>
      <c r="DS40" s="130"/>
      <c r="DT40" s="38"/>
      <c r="DU40" s="38"/>
      <c r="DV40" s="38"/>
      <c r="DW40" s="31"/>
      <c r="DX40" s="130"/>
      <c r="DY40" s="38"/>
      <c r="DZ40" s="38"/>
      <c r="EA40" s="38"/>
      <c r="EB40" s="31"/>
      <c r="EC40" s="130"/>
      <c r="ED40" s="38"/>
      <c r="EE40" s="38"/>
      <c r="EF40" s="38"/>
      <c r="EG40" s="31"/>
      <c r="EH40" s="130"/>
      <c r="EI40" s="38"/>
      <c r="EJ40" s="38"/>
      <c r="EK40" s="38"/>
      <c r="EL40" s="31"/>
      <c r="EM40" s="131"/>
      <c r="EN40" s="132"/>
      <c r="EO40" s="132"/>
      <c r="EP40" s="132"/>
      <c r="EQ40" s="132"/>
      <c r="ER40" s="39"/>
      <c r="ES40" s="131"/>
      <c r="ET40" s="132"/>
      <c r="EU40" s="132"/>
      <c r="EV40" s="132"/>
      <c r="EW40" s="132"/>
    </row>
    <row r="41" spans="1:153" s="8" customFormat="1" ht="14.25" customHeight="1">
      <c r="A41" s="10"/>
      <c r="B41" s="10"/>
      <c r="C41" s="10"/>
      <c r="D41" s="10"/>
      <c r="E41" s="122"/>
      <c r="F41" s="122"/>
      <c r="G41" s="122"/>
      <c r="H41" s="122"/>
      <c r="I41" s="122"/>
      <c r="J41" s="10"/>
      <c r="K41" s="10"/>
      <c r="L41" s="122"/>
      <c r="M41" s="10"/>
      <c r="N41" s="10"/>
      <c r="O41" s="10"/>
      <c r="P41" s="10"/>
      <c r="Q41" s="122"/>
      <c r="R41" s="130"/>
      <c r="S41" s="38"/>
      <c r="T41" s="38"/>
      <c r="U41" s="38"/>
      <c r="V41" s="37"/>
      <c r="W41" s="130"/>
      <c r="X41" s="38"/>
      <c r="Y41" s="38"/>
      <c r="Z41" s="38"/>
      <c r="AA41" s="37"/>
      <c r="AB41" s="130"/>
      <c r="AC41" s="38"/>
      <c r="AD41" s="38"/>
      <c r="AE41" s="38"/>
      <c r="AF41" s="38"/>
      <c r="AG41" s="130"/>
      <c r="AH41" s="38"/>
      <c r="AI41" s="38"/>
      <c r="AJ41" s="38"/>
      <c r="AK41" s="37"/>
      <c r="AL41" s="130"/>
      <c r="AM41" s="38"/>
      <c r="AN41" s="38"/>
      <c r="AO41" s="38"/>
      <c r="AP41" s="38"/>
      <c r="AQ41" s="130"/>
      <c r="AR41" s="38"/>
      <c r="AS41" s="38"/>
      <c r="AT41" s="38"/>
      <c r="AU41" s="38"/>
      <c r="AZ41" s="38"/>
      <c r="BA41" s="130"/>
      <c r="BB41" s="38"/>
      <c r="BC41" s="38"/>
      <c r="BD41" s="38"/>
      <c r="BE41" s="38"/>
      <c r="BF41" s="130"/>
      <c r="BG41" s="38"/>
      <c r="BH41" s="38"/>
      <c r="BI41" s="38"/>
      <c r="BJ41" s="786"/>
      <c r="BK41" s="130"/>
      <c r="BL41" s="38"/>
      <c r="BM41" s="38"/>
      <c r="BN41" s="38"/>
      <c r="BO41" s="786"/>
      <c r="BP41" s="130"/>
      <c r="BQ41" s="38"/>
      <c r="BR41" s="38"/>
      <c r="BS41" s="38"/>
      <c r="BT41" s="786"/>
      <c r="BU41" s="130"/>
      <c r="BV41" s="38"/>
      <c r="BW41" s="38"/>
      <c r="BX41" s="38"/>
      <c r="BY41" s="31"/>
      <c r="BZ41" s="130"/>
      <c r="CA41" s="38"/>
      <c r="CB41" s="38"/>
      <c r="CC41" s="38"/>
      <c r="CD41" s="38"/>
      <c r="CE41" s="130"/>
      <c r="CF41" s="38"/>
      <c r="CG41" s="38"/>
      <c r="CH41" s="38"/>
      <c r="CI41" s="31"/>
      <c r="CO41" s="130"/>
      <c r="CP41" s="38"/>
      <c r="CQ41" s="38"/>
      <c r="CR41" s="38"/>
      <c r="CS41" s="31"/>
      <c r="CT41" s="130"/>
      <c r="CU41" s="38"/>
      <c r="CV41" s="38"/>
      <c r="CW41" s="38"/>
      <c r="CX41" s="31"/>
      <c r="CY41" s="130"/>
      <c r="CZ41" s="38"/>
      <c r="DA41" s="38"/>
      <c r="DB41" s="38"/>
      <c r="DC41" s="31"/>
      <c r="DD41" s="130"/>
      <c r="DE41" s="38"/>
      <c r="DF41" s="38"/>
      <c r="DG41" s="38"/>
      <c r="DH41" s="31"/>
      <c r="DI41" s="130"/>
      <c r="DJ41" s="38"/>
      <c r="DK41" s="38"/>
      <c r="DL41" s="38"/>
      <c r="DM41" s="31"/>
      <c r="DN41" s="130"/>
      <c r="DO41" s="38"/>
      <c r="DP41" s="38"/>
      <c r="DQ41" s="38"/>
      <c r="DR41" s="31"/>
      <c r="DS41" s="130"/>
      <c r="DT41" s="38"/>
      <c r="DU41" s="38"/>
      <c r="DV41" s="38"/>
      <c r="DW41" s="31"/>
      <c r="DX41" s="130"/>
      <c r="DY41" s="38"/>
      <c r="DZ41" s="38"/>
      <c r="EA41" s="38"/>
      <c r="EB41" s="31"/>
      <c r="EC41" s="130"/>
      <c r="ED41" s="38"/>
      <c r="EE41" s="38"/>
      <c r="EF41" s="38"/>
      <c r="EG41" s="31"/>
      <c r="EH41" s="130"/>
      <c r="EI41" s="38"/>
      <c r="EJ41" s="38"/>
      <c r="EK41" s="38"/>
      <c r="EL41" s="31"/>
      <c r="EM41" s="131"/>
      <c r="EN41" s="132"/>
      <c r="EO41" s="132"/>
      <c r="EP41" s="132"/>
      <c r="EQ41" s="132"/>
      <c r="ER41" s="39"/>
      <c r="ES41" s="131"/>
      <c r="ET41" s="132"/>
      <c r="EU41" s="132"/>
      <c r="EV41" s="132"/>
      <c r="EW41" s="132"/>
    </row>
    <row r="42" spans="1:153" s="8" customFormat="1" ht="14.25" customHeight="1">
      <c r="A42" s="10"/>
      <c r="B42" s="10"/>
      <c r="C42" s="10"/>
      <c r="D42" s="10"/>
      <c r="E42" s="122"/>
      <c r="F42" s="122"/>
      <c r="G42" s="122"/>
      <c r="H42" s="122"/>
      <c r="I42" s="122"/>
      <c r="J42" s="10"/>
      <c r="K42" s="10"/>
      <c r="L42" s="122"/>
      <c r="M42" s="10"/>
      <c r="N42" s="10"/>
      <c r="O42" s="10"/>
      <c r="P42" s="10"/>
      <c r="Q42" s="122"/>
      <c r="R42" s="130"/>
      <c r="S42" s="38"/>
      <c r="T42" s="38"/>
      <c r="U42" s="38"/>
      <c r="V42" s="37"/>
      <c r="W42" s="130"/>
      <c r="X42" s="38"/>
      <c r="Y42" s="38"/>
      <c r="Z42" s="38"/>
      <c r="AA42" s="37"/>
      <c r="AB42" s="130"/>
      <c r="AC42" s="38"/>
      <c r="AD42" s="38"/>
      <c r="AE42" s="38"/>
      <c r="AF42" s="38"/>
      <c r="AG42" s="130"/>
      <c r="AH42" s="38"/>
      <c r="AI42" s="38"/>
      <c r="AJ42" s="38"/>
      <c r="AK42" s="37"/>
      <c r="AL42" s="130"/>
      <c r="AM42" s="38"/>
      <c r="AN42" s="38"/>
      <c r="AO42" s="38"/>
      <c r="AP42" s="38"/>
      <c r="AQ42" s="130"/>
      <c r="AR42" s="38"/>
      <c r="AS42" s="38"/>
      <c r="AT42" s="38"/>
      <c r="AU42" s="38"/>
      <c r="AZ42" s="38"/>
      <c r="BA42" s="130"/>
      <c r="BB42" s="38"/>
      <c r="BC42" s="38"/>
      <c r="BD42" s="38"/>
      <c r="BE42" s="38"/>
      <c r="BF42" s="130"/>
      <c r="BG42" s="38"/>
      <c r="BH42" s="38"/>
      <c r="BI42" s="38"/>
      <c r="BJ42" s="786"/>
      <c r="BK42" s="130"/>
      <c r="BL42" s="38"/>
      <c r="BM42" s="38"/>
      <c r="BN42" s="38"/>
      <c r="BO42" s="786"/>
      <c r="BP42" s="130"/>
      <c r="BQ42" s="38"/>
      <c r="BR42" s="38"/>
      <c r="BS42" s="38"/>
      <c r="BT42" s="786"/>
      <c r="BU42" s="130"/>
      <c r="BV42" s="38"/>
      <c r="BW42" s="38"/>
      <c r="BX42" s="38"/>
      <c r="BY42" s="31"/>
      <c r="BZ42" s="130"/>
      <c r="CA42" s="38"/>
      <c r="CB42" s="38"/>
      <c r="CC42" s="38"/>
      <c r="CD42" s="38"/>
      <c r="CE42" s="130"/>
      <c r="CF42" s="38"/>
      <c r="CG42" s="38"/>
      <c r="CH42" s="38"/>
      <c r="CI42" s="31"/>
      <c r="CO42" s="130"/>
      <c r="CP42" s="38"/>
      <c r="CQ42" s="38"/>
      <c r="CR42" s="38"/>
      <c r="CS42" s="31"/>
      <c r="CT42" s="130"/>
      <c r="CU42" s="38"/>
      <c r="CV42" s="38"/>
      <c r="CW42" s="38"/>
      <c r="CX42" s="31"/>
      <c r="CY42" s="130"/>
      <c r="CZ42" s="38"/>
      <c r="DA42" s="38"/>
      <c r="DB42" s="38"/>
      <c r="DC42" s="31"/>
      <c r="DD42" s="130"/>
      <c r="DE42" s="38"/>
      <c r="DF42" s="38"/>
      <c r="DG42" s="38"/>
      <c r="DH42" s="31"/>
      <c r="DI42" s="130"/>
      <c r="DJ42" s="38"/>
      <c r="DK42" s="38"/>
      <c r="DL42" s="38"/>
      <c r="DM42" s="31"/>
      <c r="DN42" s="130"/>
      <c r="DO42" s="38"/>
      <c r="DP42" s="38"/>
      <c r="DQ42" s="38"/>
      <c r="DR42" s="31"/>
      <c r="DS42" s="130"/>
      <c r="DT42" s="38"/>
      <c r="DU42" s="38"/>
      <c r="DV42" s="38"/>
      <c r="DW42" s="31"/>
      <c r="DX42" s="130"/>
      <c r="DY42" s="38"/>
      <c r="DZ42" s="38"/>
      <c r="EA42" s="38"/>
      <c r="EB42" s="31"/>
      <c r="EC42" s="130"/>
      <c r="ED42" s="38"/>
      <c r="EE42" s="38"/>
      <c r="EF42" s="38"/>
      <c r="EG42" s="31"/>
      <c r="EH42" s="130"/>
      <c r="EI42" s="38"/>
      <c r="EJ42" s="38"/>
      <c r="EK42" s="38"/>
      <c r="EL42" s="31"/>
      <c r="EM42" s="131"/>
      <c r="EN42" s="132"/>
      <c r="EO42" s="132"/>
      <c r="EP42" s="132"/>
      <c r="EQ42" s="132"/>
      <c r="ER42" s="39"/>
      <c r="ES42" s="131"/>
      <c r="ET42" s="132"/>
      <c r="EU42" s="132"/>
      <c r="EV42" s="132"/>
      <c r="EW42" s="132"/>
    </row>
    <row r="43" spans="1:153" s="8" customFormat="1" ht="14.25" customHeight="1">
      <c r="A43" s="10"/>
      <c r="B43" s="10"/>
      <c r="C43" s="10"/>
      <c r="D43" s="10"/>
      <c r="E43" s="122"/>
      <c r="F43" s="122"/>
      <c r="G43" s="122"/>
      <c r="H43" s="122"/>
      <c r="I43" s="122"/>
      <c r="J43" s="10"/>
      <c r="K43" s="10"/>
      <c r="L43" s="122"/>
      <c r="M43" s="10"/>
      <c r="N43" s="10"/>
      <c r="O43" s="10"/>
      <c r="P43" s="10"/>
      <c r="Q43" s="122"/>
      <c r="R43" s="130"/>
      <c r="S43" s="38"/>
      <c r="T43" s="38"/>
      <c r="U43" s="38"/>
      <c r="V43" s="37"/>
      <c r="W43" s="130"/>
      <c r="X43" s="38"/>
      <c r="Y43" s="38"/>
      <c r="Z43" s="38"/>
      <c r="AA43" s="37"/>
      <c r="AB43" s="130"/>
      <c r="AC43" s="38"/>
      <c r="AD43" s="38"/>
      <c r="AE43" s="38"/>
      <c r="AF43" s="38"/>
      <c r="AG43" s="130"/>
      <c r="AH43" s="38"/>
      <c r="AI43" s="38"/>
      <c r="AJ43" s="38"/>
      <c r="AK43" s="37"/>
      <c r="AL43" s="130"/>
      <c r="AM43" s="38"/>
      <c r="AN43" s="38"/>
      <c r="AO43" s="38"/>
      <c r="AP43" s="38"/>
      <c r="AQ43" s="130"/>
      <c r="AR43" s="38"/>
      <c r="AS43" s="38"/>
      <c r="AT43" s="38"/>
      <c r="AU43" s="38"/>
      <c r="AZ43" s="38"/>
      <c r="BA43" s="130"/>
      <c r="BB43" s="38"/>
      <c r="BC43" s="38"/>
      <c r="BD43" s="38"/>
      <c r="BE43" s="38"/>
      <c r="BF43" s="130"/>
      <c r="BG43" s="38"/>
      <c r="BH43" s="38"/>
      <c r="BI43" s="38"/>
      <c r="BJ43" s="786"/>
      <c r="BK43" s="130"/>
      <c r="BL43" s="38"/>
      <c r="BM43" s="38"/>
      <c r="BN43" s="38"/>
      <c r="BO43" s="786"/>
      <c r="BP43" s="130"/>
      <c r="BQ43" s="38"/>
      <c r="BR43" s="38"/>
      <c r="BS43" s="38"/>
      <c r="BT43" s="786"/>
      <c r="BU43" s="130"/>
      <c r="BV43" s="38"/>
      <c r="BW43" s="38"/>
      <c r="BX43" s="38"/>
      <c r="BY43" s="31"/>
      <c r="BZ43" s="130"/>
      <c r="CA43" s="38"/>
      <c r="CB43" s="38"/>
      <c r="CC43" s="38"/>
      <c r="CD43" s="38"/>
      <c r="CE43" s="130"/>
      <c r="CF43" s="38"/>
      <c r="CG43" s="38"/>
      <c r="CH43" s="38"/>
      <c r="CI43" s="31"/>
      <c r="CO43" s="130"/>
      <c r="CP43" s="38"/>
      <c r="CQ43" s="38"/>
      <c r="CR43" s="38"/>
      <c r="CS43" s="31"/>
      <c r="CT43" s="130"/>
      <c r="CU43" s="38"/>
      <c r="CV43" s="38"/>
      <c r="CW43" s="38"/>
      <c r="CX43" s="31"/>
      <c r="CY43" s="130"/>
      <c r="CZ43" s="38"/>
      <c r="DA43" s="38"/>
      <c r="DB43" s="38"/>
      <c r="DC43" s="31"/>
      <c r="DD43" s="130"/>
      <c r="DE43" s="38"/>
      <c r="DF43" s="38"/>
      <c r="DG43" s="38"/>
      <c r="DH43" s="31"/>
      <c r="DI43" s="130"/>
      <c r="DJ43" s="38"/>
      <c r="DK43" s="38"/>
      <c r="DL43" s="38"/>
      <c r="DM43" s="31"/>
      <c r="DN43" s="130"/>
      <c r="DO43" s="38"/>
      <c r="DP43" s="38"/>
      <c r="DQ43" s="38"/>
      <c r="DR43" s="31"/>
      <c r="DS43" s="130"/>
      <c r="DT43" s="38"/>
      <c r="DU43" s="38"/>
      <c r="DV43" s="38"/>
      <c r="DW43" s="31"/>
      <c r="DX43" s="130"/>
      <c r="DY43" s="38"/>
      <c r="DZ43" s="38"/>
      <c r="EA43" s="38"/>
      <c r="EB43" s="31"/>
      <c r="EC43" s="130"/>
      <c r="ED43" s="38"/>
      <c r="EE43" s="38"/>
      <c r="EF43" s="38"/>
      <c r="EG43" s="31"/>
      <c r="EH43" s="130"/>
      <c r="EI43" s="38"/>
      <c r="EJ43" s="38"/>
      <c r="EK43" s="38"/>
      <c r="EL43" s="31"/>
      <c r="EM43" s="131"/>
      <c r="EN43" s="132"/>
      <c r="EO43" s="132"/>
      <c r="EP43" s="132"/>
      <c r="EQ43" s="132"/>
      <c r="ER43" s="39"/>
      <c r="ES43" s="131"/>
      <c r="ET43" s="132"/>
      <c r="EU43" s="132"/>
      <c r="EV43" s="132"/>
      <c r="EW43" s="132"/>
    </row>
    <row r="44" spans="1:153" s="8" customFormat="1" ht="14.25" customHeight="1">
      <c r="A44" s="10"/>
      <c r="B44" s="10"/>
      <c r="C44" s="10"/>
      <c r="D44" s="10"/>
      <c r="E44" s="122"/>
      <c r="F44" s="122"/>
      <c r="G44" s="122"/>
      <c r="H44" s="122"/>
      <c r="I44" s="122"/>
      <c r="J44" s="10"/>
      <c r="K44" s="10"/>
      <c r="L44" s="122"/>
      <c r="M44" s="10"/>
      <c r="N44" s="10"/>
      <c r="O44" s="10"/>
      <c r="P44" s="10"/>
      <c r="Q44" s="122"/>
      <c r="R44" s="130"/>
      <c r="S44" s="38"/>
      <c r="T44" s="38"/>
      <c r="U44" s="38"/>
      <c r="V44" s="37"/>
      <c r="W44" s="130"/>
      <c r="X44" s="38"/>
      <c r="Y44" s="38"/>
      <c r="Z44" s="38"/>
      <c r="AA44" s="37"/>
      <c r="AB44" s="130"/>
      <c r="AC44" s="38"/>
      <c r="AD44" s="38"/>
      <c r="AE44" s="38"/>
      <c r="AF44" s="38"/>
      <c r="AG44" s="130"/>
      <c r="AH44" s="38"/>
      <c r="AI44" s="38"/>
      <c r="AJ44" s="38"/>
      <c r="AK44" s="37"/>
      <c r="AL44" s="130"/>
      <c r="AM44" s="38"/>
      <c r="AN44" s="38"/>
      <c r="AO44" s="38"/>
      <c r="AP44" s="38"/>
      <c r="AQ44" s="130"/>
      <c r="AR44" s="38"/>
      <c r="AS44" s="38"/>
      <c r="AT44" s="38"/>
      <c r="AU44" s="38"/>
      <c r="AZ44" s="38"/>
      <c r="BA44" s="130"/>
      <c r="BB44" s="38"/>
      <c r="BC44" s="38"/>
      <c r="BD44" s="38"/>
      <c r="BE44" s="38"/>
      <c r="BF44" s="130"/>
      <c r="BG44" s="38"/>
      <c r="BH44" s="38"/>
      <c r="BI44" s="38"/>
      <c r="BJ44" s="786"/>
      <c r="BK44" s="130"/>
      <c r="BL44" s="38"/>
      <c r="BM44" s="38"/>
      <c r="BN44" s="38"/>
      <c r="BO44" s="786"/>
      <c r="BP44" s="130"/>
      <c r="BQ44" s="38"/>
      <c r="BR44" s="38"/>
      <c r="BS44" s="38"/>
      <c r="BT44" s="786"/>
      <c r="BU44" s="130"/>
      <c r="BV44" s="38"/>
      <c r="BW44" s="38"/>
      <c r="BX44" s="38"/>
      <c r="BY44" s="31"/>
      <c r="BZ44" s="130"/>
      <c r="CA44" s="38"/>
      <c r="CB44" s="38"/>
      <c r="CC44" s="38"/>
      <c r="CD44" s="38"/>
      <c r="CE44" s="130"/>
      <c r="CF44" s="38"/>
      <c r="CG44" s="38"/>
      <c r="CH44" s="38"/>
      <c r="CI44" s="31"/>
      <c r="CO44" s="130"/>
      <c r="CP44" s="38"/>
      <c r="CQ44" s="38"/>
      <c r="CR44" s="38"/>
      <c r="CS44" s="31"/>
      <c r="CT44" s="130"/>
      <c r="CU44" s="38"/>
      <c r="CV44" s="38"/>
      <c r="CW44" s="38"/>
      <c r="CX44" s="31"/>
      <c r="CY44" s="130"/>
      <c r="CZ44" s="38"/>
      <c r="DA44" s="38"/>
      <c r="DB44" s="38"/>
      <c r="DC44" s="31"/>
      <c r="DD44" s="130"/>
      <c r="DE44" s="38"/>
      <c r="DF44" s="38"/>
      <c r="DG44" s="38"/>
      <c r="DH44" s="31"/>
      <c r="DI44" s="130"/>
      <c r="DJ44" s="38"/>
      <c r="DK44" s="38"/>
      <c r="DL44" s="38"/>
      <c r="DM44" s="31"/>
      <c r="DN44" s="130"/>
      <c r="DO44" s="38"/>
      <c r="DP44" s="38"/>
      <c r="DQ44" s="38"/>
      <c r="DR44" s="31"/>
      <c r="DS44" s="130"/>
      <c r="DT44" s="38"/>
      <c r="DU44" s="38"/>
      <c r="DV44" s="38"/>
      <c r="DW44" s="31"/>
      <c r="DX44" s="130"/>
      <c r="DY44" s="38"/>
      <c r="DZ44" s="38"/>
      <c r="EA44" s="38"/>
      <c r="EB44" s="31"/>
      <c r="EC44" s="130"/>
      <c r="ED44" s="38"/>
      <c r="EE44" s="38"/>
      <c r="EF44" s="38"/>
      <c r="EG44" s="31"/>
      <c r="EH44" s="130"/>
      <c r="EI44" s="38"/>
      <c r="EJ44" s="38"/>
      <c r="EK44" s="38"/>
      <c r="EL44" s="31"/>
      <c r="EM44" s="131"/>
      <c r="EN44" s="132"/>
      <c r="EO44" s="132"/>
      <c r="EP44" s="132"/>
      <c r="EQ44" s="132"/>
      <c r="ER44" s="39"/>
      <c r="ES44" s="131"/>
      <c r="ET44" s="132"/>
      <c r="EU44" s="132"/>
      <c r="EV44" s="132"/>
      <c r="EW44" s="132"/>
    </row>
    <row r="45" spans="1:153" s="8" customFormat="1" ht="14.25" customHeight="1">
      <c r="A45" s="10"/>
      <c r="B45" s="10"/>
      <c r="C45" s="10"/>
      <c r="D45" s="10"/>
      <c r="E45" s="122"/>
      <c r="F45" s="122"/>
      <c r="G45" s="122"/>
      <c r="H45" s="122"/>
      <c r="I45" s="122"/>
      <c r="J45" s="10"/>
      <c r="K45" s="10"/>
      <c r="L45" s="122"/>
      <c r="M45" s="10"/>
      <c r="N45" s="10"/>
      <c r="O45" s="10"/>
      <c r="P45" s="10"/>
      <c r="Q45" s="122"/>
      <c r="R45" s="130"/>
      <c r="S45" s="38"/>
      <c r="T45" s="38"/>
      <c r="U45" s="38"/>
      <c r="V45" s="37"/>
      <c r="W45" s="130"/>
      <c r="X45" s="38"/>
      <c r="Y45" s="38"/>
      <c r="Z45" s="38"/>
      <c r="AA45" s="37"/>
      <c r="AB45" s="130"/>
      <c r="AC45" s="38"/>
      <c r="AD45" s="38"/>
      <c r="AE45" s="38"/>
      <c r="AF45" s="38"/>
      <c r="AG45" s="130"/>
      <c r="AH45" s="38"/>
      <c r="AI45" s="38"/>
      <c r="AJ45" s="38"/>
      <c r="AK45" s="37"/>
      <c r="AL45" s="130"/>
      <c r="AM45" s="38"/>
      <c r="AN45" s="38"/>
      <c r="AO45" s="38"/>
      <c r="AP45" s="38"/>
      <c r="AQ45" s="130"/>
      <c r="AR45" s="38"/>
      <c r="AS45" s="38"/>
      <c r="AT45" s="38"/>
      <c r="AU45" s="38"/>
      <c r="AZ45" s="38"/>
      <c r="BA45" s="130"/>
      <c r="BB45" s="38"/>
      <c r="BC45" s="38"/>
      <c r="BD45" s="38"/>
      <c r="BE45" s="38"/>
      <c r="BF45" s="130"/>
      <c r="BG45" s="38"/>
      <c r="BH45" s="38"/>
      <c r="BI45" s="38"/>
      <c r="BJ45" s="786"/>
      <c r="BK45" s="130"/>
      <c r="BL45" s="38"/>
      <c r="BM45" s="38"/>
      <c r="BN45" s="38"/>
      <c r="BO45" s="786"/>
      <c r="BP45" s="130"/>
      <c r="BQ45" s="38"/>
      <c r="BR45" s="38"/>
      <c r="BS45" s="38"/>
      <c r="BT45" s="786"/>
      <c r="BU45" s="130"/>
      <c r="BV45" s="38"/>
      <c r="BW45" s="38"/>
      <c r="BX45" s="38"/>
      <c r="BY45" s="31"/>
      <c r="BZ45" s="130"/>
      <c r="CA45" s="38"/>
      <c r="CB45" s="38"/>
      <c r="CC45" s="38"/>
      <c r="CD45" s="38"/>
      <c r="CE45" s="130"/>
      <c r="CF45" s="38"/>
      <c r="CG45" s="38"/>
      <c r="CH45" s="38"/>
      <c r="CI45" s="31"/>
      <c r="CO45" s="130"/>
      <c r="CP45" s="38"/>
      <c r="CQ45" s="38"/>
      <c r="CR45" s="38"/>
      <c r="CS45" s="31"/>
      <c r="CT45" s="130"/>
      <c r="CU45" s="38"/>
      <c r="CV45" s="38"/>
      <c r="CW45" s="38"/>
      <c r="CX45" s="31"/>
      <c r="CY45" s="130"/>
      <c r="CZ45" s="38"/>
      <c r="DA45" s="38"/>
      <c r="DB45" s="38"/>
      <c r="DC45" s="31"/>
      <c r="DD45" s="130"/>
      <c r="DE45" s="38"/>
      <c r="DF45" s="38"/>
      <c r="DG45" s="38"/>
      <c r="DH45" s="31"/>
      <c r="DI45" s="130"/>
      <c r="DJ45" s="38"/>
      <c r="DK45" s="38"/>
      <c r="DL45" s="38"/>
      <c r="DM45" s="31"/>
      <c r="DN45" s="130"/>
      <c r="DO45" s="38"/>
      <c r="DP45" s="38"/>
      <c r="DQ45" s="38"/>
      <c r="DR45" s="31"/>
      <c r="DS45" s="130"/>
      <c r="DT45" s="38"/>
      <c r="DU45" s="38"/>
      <c r="DV45" s="38"/>
      <c r="DW45" s="31"/>
      <c r="DX45" s="130"/>
      <c r="DY45" s="38"/>
      <c r="DZ45" s="38"/>
      <c r="EA45" s="38"/>
      <c r="EB45" s="31"/>
      <c r="EC45" s="130"/>
      <c r="ED45" s="38"/>
      <c r="EE45" s="38"/>
      <c r="EF45" s="38"/>
      <c r="EG45" s="31"/>
      <c r="EH45" s="130"/>
      <c r="EI45" s="38"/>
      <c r="EJ45" s="38"/>
      <c r="EK45" s="38"/>
      <c r="EL45" s="31"/>
      <c r="EM45" s="131"/>
      <c r="EN45" s="132"/>
      <c r="EO45" s="132"/>
      <c r="EP45" s="132"/>
      <c r="EQ45" s="132"/>
      <c r="ER45" s="39"/>
      <c r="ES45" s="131"/>
      <c r="ET45" s="132"/>
      <c r="EU45" s="132"/>
      <c r="EV45" s="132"/>
      <c r="EW45" s="132"/>
    </row>
    <row r="46" spans="1:153" s="8" customFormat="1" ht="14.25" customHeight="1">
      <c r="A46" s="10"/>
      <c r="B46" s="10"/>
      <c r="C46" s="10"/>
      <c r="D46" s="10"/>
      <c r="E46" s="122"/>
      <c r="F46" s="122"/>
      <c r="G46" s="122"/>
      <c r="H46" s="122"/>
      <c r="I46" s="122"/>
      <c r="J46" s="10"/>
      <c r="K46" s="10"/>
      <c r="L46" s="122"/>
      <c r="M46" s="10"/>
      <c r="N46" s="10"/>
      <c r="O46" s="10"/>
      <c r="P46" s="10"/>
      <c r="Q46" s="122"/>
      <c r="R46" s="130"/>
      <c r="S46" s="38"/>
      <c r="T46" s="38"/>
      <c r="U46" s="38"/>
      <c r="V46" s="37"/>
      <c r="W46" s="130"/>
      <c r="X46" s="38"/>
      <c r="Y46" s="38"/>
      <c r="Z46" s="38"/>
      <c r="AA46" s="37"/>
      <c r="AB46" s="130"/>
      <c r="AC46" s="38"/>
      <c r="AD46" s="38"/>
      <c r="AE46" s="38"/>
      <c r="AF46" s="38"/>
      <c r="AG46" s="130"/>
      <c r="AH46" s="38"/>
      <c r="AI46" s="38"/>
      <c r="AJ46" s="38"/>
      <c r="AK46" s="37"/>
      <c r="AL46" s="130"/>
      <c r="AM46" s="38"/>
      <c r="AN46" s="38"/>
      <c r="AO46" s="38"/>
      <c r="AP46" s="38"/>
      <c r="AQ46" s="130"/>
      <c r="AR46" s="38"/>
      <c r="AS46" s="38"/>
      <c r="AT46" s="38"/>
      <c r="AU46" s="38"/>
      <c r="AZ46" s="38"/>
      <c r="BA46" s="130"/>
      <c r="BB46" s="38"/>
      <c r="BC46" s="38"/>
      <c r="BD46" s="38"/>
      <c r="BE46" s="38"/>
      <c r="BF46" s="130"/>
      <c r="BG46" s="38"/>
      <c r="BH46" s="38"/>
      <c r="BI46" s="38"/>
      <c r="BJ46" s="786"/>
      <c r="BK46" s="130"/>
      <c r="BL46" s="38"/>
      <c r="BM46" s="38"/>
      <c r="BN46" s="38"/>
      <c r="BO46" s="786"/>
      <c r="BP46" s="130"/>
      <c r="BQ46" s="38"/>
      <c r="BR46" s="38"/>
      <c r="BS46" s="38"/>
      <c r="BT46" s="786"/>
      <c r="BU46" s="130"/>
      <c r="BV46" s="38"/>
      <c r="BW46" s="38"/>
      <c r="BX46" s="38"/>
      <c r="BY46" s="31"/>
      <c r="BZ46" s="130"/>
      <c r="CA46" s="38"/>
      <c r="CB46" s="38"/>
      <c r="CC46" s="38"/>
      <c r="CD46" s="38"/>
      <c r="CE46" s="130"/>
      <c r="CF46" s="38"/>
      <c r="CG46" s="38"/>
      <c r="CH46" s="38"/>
      <c r="CI46" s="31"/>
      <c r="CO46" s="130"/>
      <c r="CP46" s="38"/>
      <c r="CQ46" s="38"/>
      <c r="CR46" s="38"/>
      <c r="CS46" s="31"/>
      <c r="CT46" s="130"/>
      <c r="CU46" s="38"/>
      <c r="CV46" s="38"/>
      <c r="CW46" s="38"/>
      <c r="CX46" s="31"/>
      <c r="CY46" s="130"/>
      <c r="CZ46" s="38"/>
      <c r="DA46" s="38"/>
      <c r="DB46" s="38"/>
      <c r="DC46" s="31"/>
      <c r="DD46" s="130"/>
      <c r="DE46" s="38"/>
      <c r="DF46" s="38"/>
      <c r="DG46" s="38"/>
      <c r="DH46" s="31"/>
      <c r="DI46" s="130"/>
      <c r="DJ46" s="38"/>
      <c r="DK46" s="38"/>
      <c r="DL46" s="38"/>
      <c r="DM46" s="31"/>
      <c r="DN46" s="130"/>
      <c r="DO46" s="38"/>
      <c r="DP46" s="38"/>
      <c r="DQ46" s="38"/>
      <c r="DR46" s="31"/>
      <c r="DS46" s="130"/>
      <c r="DT46" s="38"/>
      <c r="DU46" s="38"/>
      <c r="DV46" s="38"/>
      <c r="DW46" s="31"/>
      <c r="DX46" s="130"/>
      <c r="DY46" s="38"/>
      <c r="DZ46" s="38"/>
      <c r="EA46" s="38"/>
      <c r="EB46" s="31"/>
      <c r="EC46" s="130"/>
      <c r="ED46" s="38"/>
      <c r="EE46" s="38"/>
      <c r="EF46" s="38"/>
      <c r="EG46" s="31"/>
      <c r="EH46" s="130"/>
      <c r="EI46" s="38"/>
      <c r="EJ46" s="38"/>
      <c r="EK46" s="38"/>
      <c r="EL46" s="31"/>
      <c r="EM46" s="131"/>
      <c r="EN46" s="132"/>
      <c r="EO46" s="132"/>
      <c r="EP46" s="132"/>
      <c r="EQ46" s="132"/>
      <c r="ER46" s="39"/>
      <c r="ES46" s="131"/>
      <c r="ET46" s="132"/>
      <c r="EU46" s="132"/>
      <c r="EV46" s="132"/>
      <c r="EW46" s="132"/>
    </row>
    <row r="47" spans="1:153" s="8" customFormat="1" ht="14.25" customHeight="1">
      <c r="A47" s="10"/>
      <c r="B47" s="10"/>
      <c r="C47" s="10"/>
      <c r="D47" s="10"/>
      <c r="E47" s="122"/>
      <c r="F47" s="122"/>
      <c r="G47" s="122"/>
      <c r="H47" s="122"/>
      <c r="I47" s="122"/>
      <c r="J47" s="10"/>
      <c r="K47" s="10"/>
      <c r="L47" s="122"/>
      <c r="M47" s="10"/>
      <c r="N47" s="10"/>
      <c r="O47" s="10"/>
      <c r="P47" s="10"/>
      <c r="Q47" s="122"/>
      <c r="R47" s="130"/>
      <c r="S47" s="38"/>
      <c r="T47" s="38"/>
      <c r="U47" s="38"/>
      <c r="V47" s="37"/>
      <c r="W47" s="130"/>
      <c r="X47" s="38"/>
      <c r="Y47" s="38"/>
      <c r="Z47" s="38"/>
      <c r="AA47" s="37"/>
      <c r="AB47" s="130"/>
      <c r="AC47" s="38"/>
      <c r="AD47" s="38"/>
      <c r="AE47" s="38"/>
      <c r="AF47" s="38"/>
      <c r="AG47" s="130"/>
      <c r="AH47" s="38"/>
      <c r="AI47" s="38"/>
      <c r="AJ47" s="38"/>
      <c r="AK47" s="37"/>
      <c r="AL47" s="130"/>
      <c r="AM47" s="38"/>
      <c r="AN47" s="38"/>
      <c r="AO47" s="38"/>
      <c r="AP47" s="38"/>
      <c r="AQ47" s="130"/>
      <c r="AR47" s="38"/>
      <c r="AS47" s="38"/>
      <c r="AT47" s="38"/>
      <c r="AU47" s="38"/>
      <c r="AZ47" s="38"/>
      <c r="BA47" s="130"/>
      <c r="BB47" s="38"/>
      <c r="BC47" s="38"/>
      <c r="BD47" s="38"/>
      <c r="BE47" s="38"/>
      <c r="BF47" s="130"/>
      <c r="BG47" s="38"/>
      <c r="BH47" s="38"/>
      <c r="BI47" s="38"/>
      <c r="BJ47" s="786"/>
      <c r="BK47" s="130"/>
      <c r="BL47" s="38"/>
      <c r="BM47" s="38"/>
      <c r="BN47" s="38"/>
      <c r="BO47" s="786"/>
      <c r="BP47" s="130"/>
      <c r="BQ47" s="38"/>
      <c r="BR47" s="38"/>
      <c r="BS47" s="38"/>
      <c r="BT47" s="786"/>
      <c r="BU47" s="130"/>
      <c r="BV47" s="38"/>
      <c r="BW47" s="38"/>
      <c r="BX47" s="38"/>
      <c r="BY47" s="31"/>
      <c r="BZ47" s="130"/>
      <c r="CA47" s="38"/>
      <c r="CB47" s="38"/>
      <c r="CC47" s="38"/>
      <c r="CD47" s="38"/>
      <c r="CE47" s="130"/>
      <c r="CF47" s="38"/>
      <c r="CG47" s="38"/>
      <c r="CH47" s="38"/>
      <c r="CI47" s="31"/>
      <c r="CO47" s="130"/>
      <c r="CP47" s="38"/>
      <c r="CQ47" s="38"/>
      <c r="CR47" s="38"/>
      <c r="CS47" s="31"/>
      <c r="CT47" s="130"/>
      <c r="CU47" s="38"/>
      <c r="CV47" s="38"/>
      <c r="CW47" s="38"/>
      <c r="CX47" s="31"/>
      <c r="CY47" s="130"/>
      <c r="CZ47" s="38"/>
      <c r="DA47" s="38"/>
      <c r="DB47" s="38"/>
      <c r="DC47" s="31"/>
      <c r="DD47" s="130"/>
      <c r="DE47" s="38"/>
      <c r="DF47" s="38"/>
      <c r="DG47" s="38"/>
      <c r="DH47" s="31"/>
      <c r="DI47" s="130"/>
      <c r="DJ47" s="38"/>
      <c r="DK47" s="38"/>
      <c r="DL47" s="38"/>
      <c r="DM47" s="31"/>
      <c r="DN47" s="130"/>
      <c r="DO47" s="38"/>
      <c r="DP47" s="38"/>
      <c r="DQ47" s="38"/>
      <c r="DR47" s="31"/>
      <c r="DS47" s="130"/>
      <c r="DT47" s="38"/>
      <c r="DU47" s="38"/>
      <c r="DV47" s="38"/>
      <c r="DW47" s="31"/>
      <c r="DX47" s="130"/>
      <c r="DY47" s="38"/>
      <c r="DZ47" s="38"/>
      <c r="EA47" s="38"/>
      <c r="EB47" s="31"/>
      <c r="EC47" s="130"/>
      <c r="ED47" s="38"/>
      <c r="EE47" s="38"/>
      <c r="EF47" s="38"/>
      <c r="EG47" s="31"/>
      <c r="EH47" s="130"/>
      <c r="EI47" s="38"/>
      <c r="EJ47" s="38"/>
      <c r="EK47" s="38"/>
      <c r="EL47" s="31"/>
      <c r="EM47" s="131"/>
      <c r="EN47" s="132"/>
      <c r="EO47" s="132"/>
      <c r="EP47" s="132"/>
      <c r="EQ47" s="132"/>
      <c r="ER47" s="39"/>
      <c r="ES47" s="131"/>
      <c r="ET47" s="132"/>
      <c r="EU47" s="132"/>
      <c r="EV47" s="132"/>
      <c r="EW47" s="132"/>
    </row>
    <row r="48" spans="1:153" s="8" customFormat="1" ht="14.25" customHeight="1">
      <c r="A48" s="10"/>
      <c r="B48" s="10"/>
      <c r="C48" s="10"/>
      <c r="D48" s="10"/>
      <c r="E48" s="122"/>
      <c r="F48" s="122"/>
      <c r="G48" s="122"/>
      <c r="H48" s="122"/>
      <c r="I48" s="122"/>
      <c r="J48" s="10"/>
      <c r="K48" s="10"/>
      <c r="L48" s="122"/>
      <c r="M48" s="10"/>
      <c r="N48" s="10"/>
      <c r="O48" s="10"/>
      <c r="P48" s="10"/>
      <c r="Q48" s="122"/>
      <c r="R48" s="130"/>
      <c r="S48" s="38"/>
      <c r="T48" s="38"/>
      <c r="U48" s="38"/>
      <c r="V48" s="37"/>
      <c r="W48" s="130"/>
      <c r="X48" s="38"/>
      <c r="Y48" s="38"/>
      <c r="Z48" s="38"/>
      <c r="AA48" s="37"/>
      <c r="AB48" s="130"/>
      <c r="AC48" s="38"/>
      <c r="AD48" s="38"/>
      <c r="AE48" s="38"/>
      <c r="AF48" s="38"/>
      <c r="AG48" s="130"/>
      <c r="AH48" s="38"/>
      <c r="AI48" s="38"/>
      <c r="AJ48" s="38"/>
      <c r="AK48" s="37"/>
      <c r="AL48" s="130"/>
      <c r="AM48" s="38"/>
      <c r="AN48" s="38"/>
      <c r="AO48" s="38"/>
      <c r="AP48" s="38"/>
      <c r="AQ48" s="130"/>
      <c r="AR48" s="38"/>
      <c r="AS48" s="38"/>
      <c r="AT48" s="38"/>
      <c r="AU48" s="38"/>
      <c r="AZ48" s="38"/>
      <c r="BA48" s="130"/>
      <c r="BB48" s="38"/>
      <c r="BC48" s="38"/>
      <c r="BD48" s="38"/>
      <c r="BE48" s="38"/>
      <c r="BF48" s="130"/>
      <c r="BG48" s="38"/>
      <c r="BH48" s="38"/>
      <c r="BI48" s="38"/>
      <c r="BJ48" s="786"/>
      <c r="BK48" s="130"/>
      <c r="BL48" s="38"/>
      <c r="BM48" s="38"/>
      <c r="BN48" s="38"/>
      <c r="BO48" s="786"/>
      <c r="BP48" s="130"/>
      <c r="BQ48" s="38"/>
      <c r="BR48" s="38"/>
      <c r="BS48" s="38"/>
      <c r="BT48" s="786"/>
      <c r="BU48" s="130"/>
      <c r="BV48" s="38"/>
      <c r="BW48" s="38"/>
      <c r="BX48" s="38"/>
      <c r="BY48" s="31"/>
      <c r="BZ48" s="130"/>
      <c r="CA48" s="38"/>
      <c r="CB48" s="38"/>
      <c r="CC48" s="38"/>
      <c r="CD48" s="38"/>
      <c r="CE48" s="130"/>
      <c r="CF48" s="38"/>
      <c r="CG48" s="38"/>
      <c r="CH48" s="38"/>
      <c r="CI48" s="31"/>
      <c r="CO48" s="130"/>
      <c r="CP48" s="38"/>
      <c r="CQ48" s="38"/>
      <c r="CR48" s="38"/>
      <c r="CS48" s="31"/>
      <c r="CT48" s="130"/>
      <c r="CU48" s="38"/>
      <c r="CV48" s="38"/>
      <c r="CW48" s="38"/>
      <c r="CX48" s="31"/>
      <c r="CY48" s="130"/>
      <c r="CZ48" s="38"/>
      <c r="DA48" s="38"/>
      <c r="DB48" s="38"/>
      <c r="DC48" s="31"/>
      <c r="DD48" s="130"/>
      <c r="DE48" s="38"/>
      <c r="DF48" s="38"/>
      <c r="DG48" s="38"/>
      <c r="DH48" s="31"/>
      <c r="DI48" s="130"/>
      <c r="DJ48" s="38"/>
      <c r="DK48" s="38"/>
      <c r="DL48" s="38"/>
      <c r="DM48" s="31"/>
      <c r="DN48" s="130"/>
      <c r="DO48" s="38"/>
      <c r="DP48" s="38"/>
      <c r="DQ48" s="38"/>
      <c r="DR48" s="31"/>
      <c r="DS48" s="130"/>
      <c r="DT48" s="38"/>
      <c r="DU48" s="38"/>
      <c r="DV48" s="38"/>
      <c r="DW48" s="31"/>
      <c r="DX48" s="130"/>
      <c r="DY48" s="38"/>
      <c r="DZ48" s="38"/>
      <c r="EA48" s="38"/>
      <c r="EB48" s="31"/>
      <c r="EC48" s="130"/>
      <c r="ED48" s="38"/>
      <c r="EE48" s="38"/>
      <c r="EF48" s="38"/>
      <c r="EG48" s="31"/>
      <c r="EH48" s="130"/>
      <c r="EI48" s="38"/>
      <c r="EJ48" s="38"/>
      <c r="EK48" s="38"/>
      <c r="EL48" s="31"/>
      <c r="EM48" s="131"/>
      <c r="EN48" s="132"/>
      <c r="EO48" s="132"/>
      <c r="EP48" s="132"/>
      <c r="EQ48" s="132"/>
      <c r="ER48" s="39"/>
      <c r="ES48" s="131"/>
      <c r="ET48" s="132"/>
      <c r="EU48" s="132"/>
      <c r="EV48" s="132"/>
      <c r="EW48" s="132"/>
    </row>
    <row r="49" spans="1:153" s="8" customFormat="1" ht="14.25" customHeight="1">
      <c r="A49" s="10"/>
      <c r="B49" s="10"/>
      <c r="C49" s="10"/>
      <c r="D49" s="10"/>
      <c r="E49" s="122"/>
      <c r="F49" s="122"/>
      <c r="G49" s="122"/>
      <c r="H49" s="122"/>
      <c r="I49" s="122"/>
      <c r="J49" s="10"/>
      <c r="K49" s="10"/>
      <c r="L49" s="122"/>
      <c r="M49" s="10"/>
      <c r="N49" s="10"/>
      <c r="O49" s="10"/>
      <c r="P49" s="10"/>
      <c r="Q49" s="122"/>
      <c r="R49" s="130"/>
      <c r="S49" s="38"/>
      <c r="T49" s="38"/>
      <c r="U49" s="38"/>
      <c r="V49" s="37"/>
      <c r="W49" s="130"/>
      <c r="X49" s="38"/>
      <c r="Y49" s="38"/>
      <c r="Z49" s="38"/>
      <c r="AA49" s="37"/>
      <c r="AB49" s="130"/>
      <c r="AC49" s="38"/>
      <c r="AD49" s="38"/>
      <c r="AE49" s="38"/>
      <c r="AF49" s="38"/>
      <c r="AG49" s="130"/>
      <c r="AH49" s="38"/>
      <c r="AI49" s="38"/>
      <c r="AJ49" s="38"/>
      <c r="AK49" s="37"/>
      <c r="AL49" s="130"/>
      <c r="AM49" s="38"/>
      <c r="AN49" s="38"/>
      <c r="AO49" s="38"/>
      <c r="AP49" s="38"/>
      <c r="AQ49" s="130"/>
      <c r="AR49" s="38"/>
      <c r="AS49" s="38"/>
      <c r="AT49" s="38"/>
      <c r="AU49" s="38"/>
      <c r="AZ49" s="38"/>
      <c r="BA49" s="130"/>
      <c r="BB49" s="38"/>
      <c r="BC49" s="38"/>
      <c r="BD49" s="38"/>
      <c r="BE49" s="38"/>
      <c r="BF49" s="130"/>
      <c r="BG49" s="38"/>
      <c r="BH49" s="38"/>
      <c r="BI49" s="38"/>
      <c r="BJ49" s="786"/>
      <c r="BK49" s="130"/>
      <c r="BL49" s="38"/>
      <c r="BM49" s="38"/>
      <c r="BN49" s="38"/>
      <c r="BO49" s="786"/>
      <c r="BP49" s="130"/>
      <c r="BQ49" s="38"/>
      <c r="BR49" s="38"/>
      <c r="BS49" s="38"/>
      <c r="BT49" s="786"/>
      <c r="BU49" s="130"/>
      <c r="BV49" s="38"/>
      <c r="BW49" s="38"/>
      <c r="BX49" s="38"/>
      <c r="BY49" s="31"/>
      <c r="BZ49" s="130"/>
      <c r="CA49" s="38"/>
      <c r="CB49" s="38"/>
      <c r="CC49" s="38"/>
      <c r="CD49" s="38"/>
      <c r="CE49" s="130"/>
      <c r="CF49" s="38"/>
      <c r="CG49" s="38"/>
      <c r="CH49" s="38"/>
      <c r="CI49" s="31"/>
      <c r="CO49" s="130"/>
      <c r="CP49" s="38"/>
      <c r="CQ49" s="38"/>
      <c r="CR49" s="38"/>
      <c r="CS49" s="31"/>
      <c r="CT49" s="130"/>
      <c r="CU49" s="38"/>
      <c r="CV49" s="38"/>
      <c r="CW49" s="38"/>
      <c r="CX49" s="31"/>
      <c r="CY49" s="130"/>
      <c r="CZ49" s="38"/>
      <c r="DA49" s="38"/>
      <c r="DB49" s="38"/>
      <c r="DC49" s="31"/>
      <c r="DD49" s="130"/>
      <c r="DE49" s="38"/>
      <c r="DF49" s="38"/>
      <c r="DG49" s="38"/>
      <c r="DH49" s="31"/>
      <c r="DI49" s="130"/>
      <c r="DJ49" s="38"/>
      <c r="DK49" s="38"/>
      <c r="DL49" s="38"/>
      <c r="DM49" s="31"/>
      <c r="DN49" s="130"/>
      <c r="DO49" s="38"/>
      <c r="DP49" s="38"/>
      <c r="DQ49" s="38"/>
      <c r="DR49" s="31"/>
      <c r="DS49" s="130"/>
      <c r="DT49" s="38"/>
      <c r="DU49" s="38"/>
      <c r="DV49" s="38"/>
      <c r="DW49" s="31"/>
      <c r="DX49" s="130"/>
      <c r="DY49" s="38"/>
      <c r="DZ49" s="38"/>
      <c r="EA49" s="38"/>
      <c r="EB49" s="31"/>
      <c r="EC49" s="130"/>
      <c r="ED49" s="38"/>
      <c r="EE49" s="38"/>
      <c r="EF49" s="38"/>
      <c r="EG49" s="31"/>
      <c r="EH49" s="130"/>
      <c r="EI49" s="38"/>
      <c r="EJ49" s="38"/>
      <c r="EK49" s="38"/>
      <c r="EL49" s="31"/>
      <c r="EM49" s="131"/>
      <c r="EN49" s="132"/>
      <c r="EO49" s="132"/>
      <c r="EP49" s="132"/>
      <c r="EQ49" s="132"/>
      <c r="ER49" s="39"/>
      <c r="ES49" s="131"/>
      <c r="ET49" s="132"/>
      <c r="EU49" s="132"/>
      <c r="EV49" s="132"/>
      <c r="EW49" s="132"/>
    </row>
    <row r="50" spans="1:153" s="8" customFormat="1" ht="14.25" customHeight="1">
      <c r="A50" s="10"/>
      <c r="B50" s="10"/>
      <c r="C50" s="10"/>
      <c r="D50" s="10"/>
      <c r="E50" s="122"/>
      <c r="F50" s="122"/>
      <c r="G50" s="122"/>
      <c r="H50" s="122"/>
      <c r="I50" s="122"/>
      <c r="J50" s="10"/>
      <c r="K50" s="10"/>
      <c r="L50" s="122"/>
      <c r="M50" s="10"/>
      <c r="N50" s="10"/>
      <c r="O50" s="10"/>
      <c r="P50" s="10"/>
      <c r="Q50" s="122"/>
      <c r="R50" s="130"/>
      <c r="S50" s="38"/>
      <c r="T50" s="38"/>
      <c r="U50" s="38"/>
      <c r="V50" s="37"/>
      <c r="W50" s="130"/>
      <c r="X50" s="38"/>
      <c r="Y50" s="38"/>
      <c r="Z50" s="38"/>
      <c r="AA50" s="37"/>
      <c r="AB50" s="130"/>
      <c r="AC50" s="38"/>
      <c r="AD50" s="38"/>
      <c r="AE50" s="38"/>
      <c r="AF50" s="38"/>
      <c r="AG50" s="130"/>
      <c r="AH50" s="38"/>
      <c r="AI50" s="38"/>
      <c r="AJ50" s="38"/>
      <c r="AK50" s="37"/>
      <c r="AL50" s="130"/>
      <c r="AM50" s="38"/>
      <c r="AN50" s="38"/>
      <c r="AO50" s="38"/>
      <c r="AP50" s="38"/>
      <c r="AQ50" s="130"/>
      <c r="AR50" s="38"/>
      <c r="AS50" s="38"/>
      <c r="AT50" s="38"/>
      <c r="AU50" s="38"/>
      <c r="AZ50" s="38"/>
      <c r="BA50" s="130"/>
      <c r="BB50" s="38"/>
      <c r="BC50" s="38"/>
      <c r="BD50" s="38"/>
      <c r="BE50" s="38"/>
      <c r="BF50" s="130"/>
      <c r="BG50" s="38"/>
      <c r="BH50" s="38"/>
      <c r="BI50" s="38"/>
      <c r="BJ50" s="786"/>
      <c r="BK50" s="130"/>
      <c r="BL50" s="38"/>
      <c r="BM50" s="38"/>
      <c r="BN50" s="38"/>
      <c r="BO50" s="786"/>
      <c r="BP50" s="130"/>
      <c r="BQ50" s="38"/>
      <c r="BR50" s="38"/>
      <c r="BS50" s="38"/>
      <c r="BT50" s="786"/>
      <c r="BU50" s="130"/>
      <c r="BV50" s="38"/>
      <c r="BW50" s="38"/>
      <c r="BX50" s="38"/>
      <c r="BY50" s="31"/>
      <c r="BZ50" s="130"/>
      <c r="CA50" s="38"/>
      <c r="CB50" s="38"/>
      <c r="CC50" s="38"/>
      <c r="CD50" s="38"/>
      <c r="CE50" s="130"/>
      <c r="CF50" s="38"/>
      <c r="CG50" s="38"/>
      <c r="CH50" s="38"/>
      <c r="CI50" s="31"/>
      <c r="CO50" s="130"/>
      <c r="CP50" s="38"/>
      <c r="CQ50" s="38"/>
      <c r="CR50" s="38"/>
      <c r="CS50" s="31"/>
      <c r="CT50" s="130"/>
      <c r="CU50" s="38"/>
      <c r="CV50" s="38"/>
      <c r="CW50" s="38"/>
      <c r="CX50" s="31"/>
      <c r="CY50" s="130"/>
      <c r="CZ50" s="38"/>
      <c r="DA50" s="38"/>
      <c r="DB50" s="38"/>
      <c r="DC50" s="31"/>
      <c r="DD50" s="130"/>
      <c r="DE50" s="38"/>
      <c r="DF50" s="38"/>
      <c r="DG50" s="38"/>
      <c r="DH50" s="31"/>
      <c r="DI50" s="130"/>
      <c r="DJ50" s="38"/>
      <c r="DK50" s="38"/>
      <c r="DL50" s="38"/>
      <c r="DM50" s="31"/>
      <c r="DN50" s="130"/>
      <c r="DO50" s="38"/>
      <c r="DP50" s="38"/>
      <c r="DQ50" s="38"/>
      <c r="DR50" s="31"/>
      <c r="DS50" s="130"/>
      <c r="DT50" s="38"/>
      <c r="DU50" s="38"/>
      <c r="DV50" s="38"/>
      <c r="DW50" s="31"/>
      <c r="DX50" s="130"/>
      <c r="DY50" s="38"/>
      <c r="DZ50" s="38"/>
      <c r="EA50" s="38"/>
      <c r="EB50" s="31"/>
      <c r="EC50" s="130"/>
      <c r="ED50" s="38"/>
      <c r="EE50" s="38"/>
      <c r="EF50" s="38"/>
      <c r="EG50" s="31"/>
      <c r="EH50" s="130"/>
      <c r="EI50" s="38"/>
      <c r="EJ50" s="38"/>
      <c r="EK50" s="38"/>
      <c r="EL50" s="31"/>
      <c r="EM50" s="131"/>
      <c r="EN50" s="132"/>
      <c r="EO50" s="132"/>
      <c r="EP50" s="132"/>
      <c r="EQ50" s="132"/>
      <c r="ER50" s="39"/>
      <c r="ES50" s="131"/>
      <c r="ET50" s="132"/>
      <c r="EU50" s="132"/>
      <c r="EV50" s="132"/>
      <c r="EW50" s="132"/>
    </row>
    <row r="51" spans="1:153" s="8" customFormat="1" ht="14.25" customHeight="1">
      <c r="A51" s="10"/>
      <c r="B51" s="10"/>
      <c r="C51" s="10"/>
      <c r="D51" s="10"/>
      <c r="E51" s="122"/>
      <c r="F51" s="122"/>
      <c r="G51" s="122"/>
      <c r="H51" s="122"/>
      <c r="I51" s="122"/>
      <c r="J51" s="10"/>
      <c r="K51" s="10"/>
      <c r="L51" s="122"/>
      <c r="M51" s="10"/>
      <c r="N51" s="10"/>
      <c r="O51" s="10"/>
      <c r="P51" s="10"/>
      <c r="Q51" s="122"/>
      <c r="R51" s="130"/>
      <c r="S51" s="38"/>
      <c r="T51" s="38"/>
      <c r="U51" s="38"/>
      <c r="V51" s="37"/>
      <c r="W51" s="130"/>
      <c r="X51" s="38"/>
      <c r="Y51" s="38"/>
      <c r="Z51" s="38"/>
      <c r="AA51" s="37"/>
      <c r="AB51" s="130"/>
      <c r="AC51" s="38"/>
      <c r="AD51" s="38"/>
      <c r="AE51" s="38"/>
      <c r="AF51" s="38"/>
      <c r="AG51" s="130"/>
      <c r="AH51" s="38"/>
      <c r="AI51" s="38"/>
      <c r="AJ51" s="38"/>
      <c r="AK51" s="37"/>
      <c r="AL51" s="130"/>
      <c r="AM51" s="38"/>
      <c r="AN51" s="38"/>
      <c r="AO51" s="38"/>
      <c r="AP51" s="38"/>
      <c r="AQ51" s="130"/>
      <c r="AR51" s="38"/>
      <c r="AS51" s="38"/>
      <c r="AT51" s="38"/>
      <c r="AU51" s="38"/>
      <c r="AZ51" s="38"/>
      <c r="BA51" s="130"/>
      <c r="BB51" s="38"/>
      <c r="BC51" s="38"/>
      <c r="BD51" s="38"/>
      <c r="BE51" s="38"/>
      <c r="BF51" s="130"/>
      <c r="BG51" s="38"/>
      <c r="BH51" s="38"/>
      <c r="BI51" s="38"/>
      <c r="BJ51" s="786"/>
      <c r="BK51" s="130"/>
      <c r="BL51" s="38"/>
      <c r="BM51" s="38"/>
      <c r="BN51" s="38"/>
      <c r="BO51" s="786"/>
      <c r="BP51" s="130"/>
      <c r="BQ51" s="38"/>
      <c r="BR51" s="38"/>
      <c r="BS51" s="38"/>
      <c r="BT51" s="786"/>
      <c r="BU51" s="130"/>
      <c r="BV51" s="38"/>
      <c r="BW51" s="38"/>
      <c r="BX51" s="38"/>
      <c r="BY51" s="31"/>
      <c r="BZ51" s="130"/>
      <c r="CA51" s="38"/>
      <c r="CB51" s="38"/>
      <c r="CC51" s="38"/>
      <c r="CD51" s="38"/>
      <c r="CE51" s="130"/>
      <c r="CF51" s="38"/>
      <c r="CG51" s="38"/>
      <c r="CH51" s="38"/>
      <c r="CI51" s="31"/>
      <c r="CO51" s="130"/>
      <c r="CP51" s="38"/>
      <c r="CQ51" s="38"/>
      <c r="CR51" s="38"/>
      <c r="CS51" s="31"/>
      <c r="CT51" s="130"/>
      <c r="CU51" s="38"/>
      <c r="CV51" s="38"/>
      <c r="CW51" s="38"/>
      <c r="CX51" s="31"/>
      <c r="CY51" s="130"/>
      <c r="CZ51" s="38"/>
      <c r="DA51" s="38"/>
      <c r="DB51" s="38"/>
      <c r="DC51" s="31"/>
      <c r="DD51" s="130"/>
      <c r="DE51" s="38"/>
      <c r="DF51" s="38"/>
      <c r="DG51" s="38"/>
      <c r="DH51" s="31"/>
      <c r="DI51" s="130"/>
      <c r="DJ51" s="38"/>
      <c r="DK51" s="38"/>
      <c r="DL51" s="38"/>
      <c r="DM51" s="31"/>
      <c r="DN51" s="130"/>
      <c r="DO51" s="38"/>
      <c r="DP51" s="38"/>
      <c r="DQ51" s="38"/>
      <c r="DR51" s="31"/>
      <c r="DS51" s="130"/>
      <c r="DT51" s="38"/>
      <c r="DU51" s="38"/>
      <c r="DV51" s="38"/>
      <c r="DW51" s="31"/>
      <c r="DX51" s="130"/>
      <c r="DY51" s="38"/>
      <c r="DZ51" s="38"/>
      <c r="EA51" s="38"/>
      <c r="EB51" s="31"/>
      <c r="EC51" s="130"/>
      <c r="ED51" s="38"/>
      <c r="EE51" s="38"/>
      <c r="EF51" s="38"/>
      <c r="EG51" s="31"/>
      <c r="EH51" s="130"/>
      <c r="EI51" s="38"/>
      <c r="EJ51" s="38"/>
      <c r="EK51" s="38"/>
      <c r="EL51" s="31"/>
      <c r="EM51" s="131"/>
      <c r="EN51" s="132"/>
      <c r="EO51" s="132"/>
      <c r="EP51" s="132"/>
      <c r="EQ51" s="132"/>
      <c r="ER51" s="39"/>
      <c r="ES51" s="131"/>
      <c r="ET51" s="132"/>
      <c r="EU51" s="132"/>
      <c r="EV51" s="132"/>
      <c r="EW51" s="132"/>
    </row>
    <row r="52" spans="1:153" s="8" customFormat="1" ht="14.25" customHeight="1">
      <c r="A52" s="10"/>
      <c r="B52" s="10"/>
      <c r="C52" s="10"/>
      <c r="D52" s="10"/>
      <c r="E52" s="122"/>
      <c r="F52" s="122"/>
      <c r="G52" s="122"/>
      <c r="H52" s="122"/>
      <c r="I52" s="122"/>
      <c r="J52" s="10"/>
      <c r="K52" s="10"/>
      <c r="L52" s="122"/>
      <c r="M52" s="10"/>
      <c r="N52" s="10"/>
      <c r="O52" s="10"/>
      <c r="P52" s="10"/>
      <c r="Q52" s="122"/>
      <c r="R52" s="130"/>
      <c r="S52" s="38"/>
      <c r="T52" s="38"/>
      <c r="U52" s="38"/>
      <c r="V52" s="37"/>
      <c r="W52" s="130"/>
      <c r="X52" s="38"/>
      <c r="Y52" s="38"/>
      <c r="Z52" s="38"/>
      <c r="AA52" s="37"/>
      <c r="AB52" s="130"/>
      <c r="AC52" s="38"/>
      <c r="AD52" s="38"/>
      <c r="AE52" s="38"/>
      <c r="AF52" s="38"/>
      <c r="AG52" s="130"/>
      <c r="AH52" s="38"/>
      <c r="AI52" s="38"/>
      <c r="AJ52" s="38"/>
      <c r="AK52" s="37"/>
      <c r="AL52" s="130"/>
      <c r="AM52" s="38"/>
      <c r="AN52" s="38"/>
      <c r="AO52" s="38"/>
      <c r="AP52" s="38"/>
      <c r="AQ52" s="130"/>
      <c r="AR52" s="38"/>
      <c r="AS52" s="38"/>
      <c r="AT52" s="38"/>
      <c r="AU52" s="38"/>
      <c r="AZ52" s="38"/>
      <c r="BA52" s="130"/>
      <c r="BB52" s="38"/>
      <c r="BC52" s="38"/>
      <c r="BD52" s="38"/>
      <c r="BE52" s="38"/>
      <c r="BF52" s="130"/>
      <c r="BG52" s="38"/>
      <c r="BH52" s="38"/>
      <c r="BI52" s="38"/>
      <c r="BJ52" s="786"/>
      <c r="BK52" s="130"/>
      <c r="BL52" s="38"/>
      <c r="BM52" s="38"/>
      <c r="BN52" s="38"/>
      <c r="BO52" s="786"/>
      <c r="BP52" s="130"/>
      <c r="BQ52" s="38"/>
      <c r="BR52" s="38"/>
      <c r="BS52" s="38"/>
      <c r="BT52" s="786"/>
      <c r="BU52" s="130"/>
      <c r="BV52" s="38"/>
      <c r="BW52" s="38"/>
      <c r="BX52" s="38"/>
      <c r="BY52" s="31"/>
      <c r="BZ52" s="130"/>
      <c r="CA52" s="38"/>
      <c r="CB52" s="38"/>
      <c r="CC52" s="38"/>
      <c r="CD52" s="38"/>
      <c r="CE52" s="130"/>
      <c r="CF52" s="38"/>
      <c r="CG52" s="38"/>
      <c r="CH52" s="38"/>
      <c r="CI52" s="31"/>
      <c r="CO52" s="130"/>
      <c r="CP52" s="38"/>
      <c r="CQ52" s="38"/>
      <c r="CR52" s="38"/>
      <c r="CS52" s="31"/>
      <c r="CT52" s="130"/>
      <c r="CU52" s="38"/>
      <c r="CV52" s="38"/>
      <c r="CW52" s="38"/>
      <c r="CX52" s="31"/>
      <c r="CY52" s="130"/>
      <c r="CZ52" s="38"/>
      <c r="DA52" s="38"/>
      <c r="DB52" s="38"/>
      <c r="DC52" s="31"/>
      <c r="DD52" s="130"/>
      <c r="DE52" s="38"/>
      <c r="DF52" s="38"/>
      <c r="DG52" s="38"/>
      <c r="DH52" s="31"/>
      <c r="DI52" s="130"/>
      <c r="DJ52" s="38"/>
      <c r="DK52" s="38"/>
      <c r="DL52" s="38"/>
      <c r="DM52" s="31"/>
      <c r="DN52" s="130"/>
      <c r="DO52" s="38"/>
      <c r="DP52" s="38"/>
      <c r="DQ52" s="38"/>
      <c r="DR52" s="31"/>
      <c r="DS52" s="130"/>
      <c r="DT52" s="38"/>
      <c r="DU52" s="38"/>
      <c r="DV52" s="38"/>
      <c r="DW52" s="31"/>
      <c r="DX52" s="130"/>
      <c r="DY52" s="38"/>
      <c r="DZ52" s="38"/>
      <c r="EA52" s="38"/>
      <c r="EB52" s="31"/>
      <c r="EC52" s="130"/>
      <c r="ED52" s="38"/>
      <c r="EE52" s="38"/>
      <c r="EF52" s="38"/>
      <c r="EG52" s="31"/>
      <c r="EH52" s="130"/>
      <c r="EI52" s="38"/>
      <c r="EJ52" s="38"/>
      <c r="EK52" s="38"/>
      <c r="EL52" s="31"/>
      <c r="EM52" s="131"/>
      <c r="EN52" s="132"/>
      <c r="EO52" s="132"/>
      <c r="EP52" s="132"/>
      <c r="EQ52" s="132"/>
      <c r="ER52" s="39"/>
      <c r="ES52" s="131"/>
      <c r="ET52" s="132"/>
      <c r="EU52" s="132"/>
      <c r="EV52" s="132"/>
      <c r="EW52" s="132"/>
    </row>
    <row r="53" spans="1:153" s="8" customFormat="1" ht="14.25" customHeight="1">
      <c r="A53" s="10"/>
      <c r="B53" s="10"/>
      <c r="C53" s="10"/>
      <c r="D53" s="10"/>
      <c r="E53" s="122"/>
      <c r="F53" s="122"/>
      <c r="G53" s="122"/>
      <c r="H53" s="122"/>
      <c r="I53" s="122"/>
      <c r="J53" s="10"/>
      <c r="K53" s="10"/>
      <c r="L53" s="122"/>
      <c r="M53" s="10"/>
      <c r="N53" s="10"/>
      <c r="O53" s="10"/>
      <c r="P53" s="10"/>
      <c r="Q53" s="122"/>
      <c r="R53" s="130"/>
      <c r="S53" s="38"/>
      <c r="T53" s="38"/>
      <c r="U53" s="38"/>
      <c r="V53" s="37"/>
      <c r="W53" s="130"/>
      <c r="X53" s="38"/>
      <c r="Y53" s="38"/>
      <c r="Z53" s="38"/>
      <c r="AA53" s="37"/>
      <c r="AB53" s="130"/>
      <c r="AC53" s="38"/>
      <c r="AD53" s="38"/>
      <c r="AE53" s="38"/>
      <c r="AF53" s="38"/>
      <c r="AG53" s="130"/>
      <c r="AH53" s="38"/>
      <c r="AI53" s="38"/>
      <c r="AJ53" s="38"/>
      <c r="AK53" s="37"/>
      <c r="AL53" s="130"/>
      <c r="AM53" s="38"/>
      <c r="AN53" s="38"/>
      <c r="AO53" s="38"/>
      <c r="AP53" s="38"/>
      <c r="AQ53" s="130"/>
      <c r="AR53" s="38"/>
      <c r="AS53" s="38"/>
      <c r="AT53" s="38"/>
      <c r="AU53" s="38"/>
      <c r="AZ53" s="38"/>
      <c r="BA53" s="130"/>
      <c r="BB53" s="38"/>
      <c r="BC53" s="38"/>
      <c r="BD53" s="38"/>
      <c r="BE53" s="38"/>
      <c r="BF53" s="130"/>
      <c r="BG53" s="38"/>
      <c r="BH53" s="38"/>
      <c r="BI53" s="38"/>
      <c r="BJ53" s="786"/>
      <c r="BK53" s="130"/>
      <c r="BL53" s="38"/>
      <c r="BM53" s="38"/>
      <c r="BN53" s="38"/>
      <c r="BO53" s="786"/>
      <c r="BP53" s="130"/>
      <c r="BQ53" s="38"/>
      <c r="BR53" s="38"/>
      <c r="BS53" s="38"/>
      <c r="BT53" s="786"/>
      <c r="BU53" s="130"/>
      <c r="BV53" s="38"/>
      <c r="BW53" s="38"/>
      <c r="BX53" s="38"/>
      <c r="BY53" s="31"/>
      <c r="BZ53" s="130"/>
      <c r="CA53" s="38"/>
      <c r="CB53" s="38"/>
      <c r="CC53" s="38"/>
      <c r="CD53" s="38"/>
      <c r="CE53" s="130"/>
      <c r="CF53" s="38"/>
      <c r="CG53" s="38"/>
      <c r="CH53" s="38"/>
      <c r="CI53" s="31"/>
      <c r="CO53" s="130"/>
      <c r="CP53" s="38"/>
      <c r="CQ53" s="38"/>
      <c r="CR53" s="38"/>
      <c r="CS53" s="31"/>
      <c r="CT53" s="130"/>
      <c r="CU53" s="38"/>
      <c r="CV53" s="38"/>
      <c r="CW53" s="38"/>
      <c r="CX53" s="31"/>
      <c r="CY53" s="130"/>
      <c r="CZ53" s="38"/>
      <c r="DA53" s="38"/>
      <c r="DB53" s="38"/>
      <c r="DC53" s="31"/>
      <c r="DD53" s="130"/>
      <c r="DE53" s="38"/>
      <c r="DF53" s="38"/>
      <c r="DG53" s="38"/>
      <c r="DH53" s="31"/>
      <c r="DI53" s="130"/>
      <c r="DJ53" s="38"/>
      <c r="DK53" s="38"/>
      <c r="DL53" s="38"/>
      <c r="DM53" s="31"/>
      <c r="DN53" s="130"/>
      <c r="DO53" s="38"/>
      <c r="DP53" s="38"/>
      <c r="DQ53" s="38"/>
      <c r="DR53" s="31"/>
      <c r="DS53" s="130"/>
      <c r="DT53" s="38"/>
      <c r="DU53" s="38"/>
      <c r="DV53" s="38"/>
      <c r="DW53" s="31"/>
      <c r="DX53" s="130"/>
      <c r="DY53" s="38"/>
      <c r="DZ53" s="38"/>
      <c r="EA53" s="38"/>
      <c r="EB53" s="31"/>
      <c r="EC53" s="130"/>
      <c r="ED53" s="38"/>
      <c r="EE53" s="38"/>
      <c r="EF53" s="38"/>
      <c r="EG53" s="31"/>
      <c r="EH53" s="130"/>
      <c r="EI53" s="38"/>
      <c r="EJ53" s="38"/>
      <c r="EK53" s="38"/>
      <c r="EL53" s="31"/>
      <c r="EM53" s="131"/>
      <c r="EN53" s="132"/>
      <c r="EO53" s="132"/>
      <c r="EP53" s="132"/>
      <c r="EQ53" s="132"/>
      <c r="ER53" s="39"/>
      <c r="ES53" s="131"/>
      <c r="ET53" s="132"/>
      <c r="EU53" s="132"/>
      <c r="EV53" s="132"/>
      <c r="EW53" s="132"/>
    </row>
    <row r="54" spans="1:153" s="8" customFormat="1" ht="14.25" customHeight="1">
      <c r="A54" s="10"/>
      <c r="B54" s="10"/>
      <c r="C54" s="10"/>
      <c r="D54" s="10"/>
      <c r="E54" s="122"/>
      <c r="F54" s="122"/>
      <c r="G54" s="122"/>
      <c r="H54" s="122"/>
      <c r="I54" s="122"/>
      <c r="J54" s="10"/>
      <c r="K54" s="10"/>
      <c r="L54" s="122"/>
      <c r="M54" s="10"/>
      <c r="N54" s="10"/>
      <c r="O54" s="10"/>
      <c r="P54" s="10"/>
      <c r="Q54" s="122"/>
      <c r="R54" s="130"/>
      <c r="S54" s="38"/>
      <c r="T54" s="38"/>
      <c r="U54" s="38"/>
      <c r="V54" s="37"/>
      <c r="W54" s="130"/>
      <c r="X54" s="38"/>
      <c r="Y54" s="38"/>
      <c r="Z54" s="38"/>
      <c r="AA54" s="37"/>
      <c r="AB54" s="130"/>
      <c r="AC54" s="38"/>
      <c r="AD54" s="38"/>
      <c r="AE54" s="38"/>
      <c r="AF54" s="38"/>
      <c r="AG54" s="130"/>
      <c r="AH54" s="38"/>
      <c r="AI54" s="38"/>
      <c r="AJ54" s="38"/>
      <c r="AK54" s="37"/>
      <c r="AL54" s="130"/>
      <c r="AM54" s="38"/>
      <c r="AN54" s="38"/>
      <c r="AO54" s="38"/>
      <c r="AP54" s="38"/>
      <c r="AQ54" s="130"/>
      <c r="AR54" s="38"/>
      <c r="AS54" s="38"/>
      <c r="AT54" s="38"/>
      <c r="AU54" s="38"/>
      <c r="AZ54" s="38"/>
      <c r="BA54" s="130"/>
      <c r="BB54" s="38"/>
      <c r="BC54" s="38"/>
      <c r="BD54" s="38"/>
      <c r="BE54" s="38"/>
      <c r="BF54" s="130"/>
      <c r="BG54" s="38"/>
      <c r="BH54" s="38"/>
      <c r="BI54" s="38"/>
      <c r="BJ54" s="786"/>
      <c r="BK54" s="130"/>
      <c r="BL54" s="38"/>
      <c r="BM54" s="38"/>
      <c r="BN54" s="38"/>
      <c r="BO54" s="786"/>
      <c r="BP54" s="130"/>
      <c r="BQ54" s="38"/>
      <c r="BR54" s="38"/>
      <c r="BS54" s="38"/>
      <c r="BT54" s="786"/>
      <c r="BU54" s="130"/>
      <c r="BV54" s="38"/>
      <c r="BW54" s="38"/>
      <c r="BX54" s="38"/>
      <c r="BY54" s="31"/>
      <c r="BZ54" s="130"/>
      <c r="CA54" s="38"/>
      <c r="CB54" s="38"/>
      <c r="CC54" s="38"/>
      <c r="CD54" s="38"/>
      <c r="CE54" s="130"/>
      <c r="CF54" s="38"/>
      <c r="CG54" s="38"/>
      <c r="CH54" s="38"/>
      <c r="CI54" s="31"/>
      <c r="CO54" s="130"/>
      <c r="CP54" s="38"/>
      <c r="CQ54" s="38"/>
      <c r="CR54" s="38"/>
      <c r="CS54" s="31"/>
      <c r="CT54" s="130"/>
      <c r="CU54" s="38"/>
      <c r="CV54" s="38"/>
      <c r="CW54" s="38"/>
      <c r="CX54" s="31"/>
      <c r="CY54" s="130"/>
      <c r="CZ54" s="38"/>
      <c r="DA54" s="38"/>
      <c r="DB54" s="38"/>
      <c r="DC54" s="31"/>
      <c r="DD54" s="130"/>
      <c r="DE54" s="38"/>
      <c r="DF54" s="38"/>
      <c r="DG54" s="38"/>
      <c r="DH54" s="31"/>
      <c r="DI54" s="130"/>
      <c r="DJ54" s="38"/>
      <c r="DK54" s="38"/>
      <c r="DL54" s="38"/>
      <c r="DM54" s="31"/>
      <c r="DN54" s="130"/>
      <c r="DO54" s="38"/>
      <c r="DP54" s="38"/>
      <c r="DQ54" s="38"/>
      <c r="DR54" s="31"/>
      <c r="DS54" s="130"/>
      <c r="DT54" s="38"/>
      <c r="DU54" s="38"/>
      <c r="DV54" s="38"/>
      <c r="DW54" s="31"/>
      <c r="DX54" s="130"/>
      <c r="DY54" s="38"/>
      <c r="DZ54" s="38"/>
      <c r="EA54" s="38"/>
      <c r="EB54" s="31"/>
      <c r="EC54" s="130"/>
      <c r="ED54" s="38"/>
      <c r="EE54" s="38"/>
      <c r="EF54" s="38"/>
      <c r="EG54" s="31"/>
      <c r="EH54" s="130"/>
      <c r="EI54" s="38"/>
      <c r="EJ54" s="38"/>
      <c r="EK54" s="38"/>
      <c r="EL54" s="31"/>
      <c r="EM54" s="131"/>
      <c r="EN54" s="132"/>
      <c r="EO54" s="132"/>
      <c r="EP54" s="132"/>
      <c r="EQ54" s="132"/>
      <c r="ER54" s="39"/>
      <c r="ES54" s="131"/>
      <c r="ET54" s="132"/>
      <c r="EU54" s="132"/>
      <c r="EV54" s="132"/>
      <c r="EW54" s="132"/>
    </row>
    <row r="55" spans="1:153" s="8" customFormat="1" ht="14.25" customHeight="1">
      <c r="A55" s="10"/>
      <c r="B55" s="10"/>
      <c r="C55" s="10"/>
      <c r="D55" s="10"/>
      <c r="E55" s="122"/>
      <c r="F55" s="122"/>
      <c r="G55" s="122"/>
      <c r="H55" s="122"/>
      <c r="I55" s="122"/>
      <c r="J55" s="10"/>
      <c r="K55" s="10"/>
      <c r="L55" s="122"/>
      <c r="M55" s="10"/>
      <c r="N55" s="10"/>
      <c r="O55" s="10"/>
      <c r="P55" s="10"/>
      <c r="Q55" s="122"/>
      <c r="R55" s="130"/>
      <c r="S55" s="38"/>
      <c r="T55" s="38"/>
      <c r="U55" s="38"/>
      <c r="V55" s="37"/>
      <c r="W55" s="130"/>
      <c r="X55" s="38"/>
      <c r="Y55" s="38"/>
      <c r="Z55" s="38"/>
      <c r="AA55" s="37"/>
      <c r="AB55" s="130"/>
      <c r="AC55" s="38"/>
      <c r="AD55" s="38"/>
      <c r="AE55" s="38"/>
      <c r="AF55" s="38"/>
      <c r="AG55" s="130"/>
      <c r="AH55" s="38"/>
      <c r="AI55" s="38"/>
      <c r="AJ55" s="38"/>
      <c r="AK55" s="37"/>
      <c r="AL55" s="130"/>
      <c r="AM55" s="38"/>
      <c r="AN55" s="38"/>
      <c r="AO55" s="38"/>
      <c r="AP55" s="38"/>
      <c r="AQ55" s="130"/>
      <c r="AR55" s="38"/>
      <c r="AS55" s="38"/>
      <c r="AT55" s="38"/>
      <c r="AU55" s="38"/>
      <c r="AZ55" s="38"/>
      <c r="BA55" s="130"/>
      <c r="BB55" s="38"/>
      <c r="BC55" s="38"/>
      <c r="BD55" s="38"/>
      <c r="BE55" s="38"/>
      <c r="BF55" s="130"/>
      <c r="BG55" s="38"/>
      <c r="BH55" s="38"/>
      <c r="BI55" s="38"/>
      <c r="BJ55" s="786"/>
      <c r="BK55" s="130"/>
      <c r="BL55" s="38"/>
      <c r="BM55" s="38"/>
      <c r="BN55" s="38"/>
      <c r="BO55" s="786"/>
      <c r="BP55" s="130"/>
      <c r="BQ55" s="38"/>
      <c r="BR55" s="38"/>
      <c r="BS55" s="38"/>
      <c r="BT55" s="786"/>
      <c r="BU55" s="130"/>
      <c r="BV55" s="38"/>
      <c r="BW55" s="38"/>
      <c r="BX55" s="38"/>
      <c r="BY55" s="31"/>
      <c r="BZ55" s="130"/>
      <c r="CA55" s="38"/>
      <c r="CB55" s="38"/>
      <c r="CC55" s="38"/>
      <c r="CD55" s="38"/>
      <c r="CE55" s="130"/>
      <c r="CF55" s="38"/>
      <c r="CG55" s="38"/>
      <c r="CH55" s="38"/>
      <c r="CI55" s="31"/>
      <c r="CO55" s="130"/>
      <c r="CP55" s="38"/>
      <c r="CQ55" s="38"/>
      <c r="CR55" s="38"/>
      <c r="CS55" s="31"/>
      <c r="CT55" s="130"/>
      <c r="CU55" s="38"/>
      <c r="CV55" s="38"/>
      <c r="CW55" s="38"/>
      <c r="CX55" s="31"/>
      <c r="CY55" s="130"/>
      <c r="CZ55" s="38"/>
      <c r="DA55" s="38"/>
      <c r="DB55" s="38"/>
      <c r="DC55" s="31"/>
      <c r="DD55" s="130"/>
      <c r="DE55" s="38"/>
      <c r="DF55" s="38"/>
      <c r="DG55" s="38"/>
      <c r="DH55" s="31"/>
      <c r="DI55" s="130"/>
      <c r="DJ55" s="38"/>
      <c r="DK55" s="38"/>
      <c r="DL55" s="38"/>
      <c r="DM55" s="31"/>
      <c r="DN55" s="130"/>
      <c r="DO55" s="38"/>
      <c r="DP55" s="38"/>
      <c r="DQ55" s="38"/>
      <c r="DR55" s="31"/>
      <c r="DS55" s="130"/>
      <c r="DT55" s="38"/>
      <c r="DU55" s="38"/>
      <c r="DV55" s="38"/>
      <c r="DW55" s="31"/>
      <c r="DX55" s="130"/>
      <c r="DY55" s="38"/>
      <c r="DZ55" s="38"/>
      <c r="EA55" s="38"/>
      <c r="EB55" s="31"/>
      <c r="EC55" s="130"/>
      <c r="ED55" s="38"/>
      <c r="EE55" s="38"/>
      <c r="EF55" s="38"/>
      <c r="EG55" s="31"/>
      <c r="EH55" s="130"/>
      <c r="EI55" s="38"/>
      <c r="EJ55" s="38"/>
      <c r="EK55" s="38"/>
      <c r="EL55" s="31"/>
      <c r="EM55" s="131"/>
      <c r="EN55" s="132"/>
      <c r="EO55" s="132"/>
      <c r="EP55" s="132"/>
      <c r="EQ55" s="132"/>
      <c r="ER55" s="39"/>
      <c r="ES55" s="131"/>
      <c r="ET55" s="132"/>
      <c r="EU55" s="132"/>
      <c r="EV55" s="132"/>
      <c r="EW55" s="132"/>
    </row>
    <row r="56" spans="1:153" s="8" customFormat="1" ht="14.25" customHeight="1">
      <c r="A56" s="10"/>
      <c r="B56" s="10"/>
      <c r="C56" s="10"/>
      <c r="D56" s="10"/>
      <c r="E56" s="122"/>
      <c r="F56" s="122"/>
      <c r="G56" s="122"/>
      <c r="H56" s="122"/>
      <c r="I56" s="122"/>
      <c r="J56" s="10"/>
      <c r="K56" s="10"/>
      <c r="L56" s="122"/>
      <c r="M56" s="10"/>
      <c r="N56" s="10"/>
      <c r="O56" s="10"/>
      <c r="P56" s="10"/>
      <c r="Q56" s="122"/>
      <c r="R56" s="130"/>
      <c r="S56" s="38"/>
      <c r="T56" s="38"/>
      <c r="U56" s="38"/>
      <c r="V56" s="37"/>
      <c r="W56" s="130"/>
      <c r="X56" s="38"/>
      <c r="Y56" s="38"/>
      <c r="Z56" s="38"/>
      <c r="AA56" s="37"/>
      <c r="AB56" s="130"/>
      <c r="AC56" s="38"/>
      <c r="AD56" s="38"/>
      <c r="AE56" s="38"/>
      <c r="AF56" s="38"/>
      <c r="AG56" s="130"/>
      <c r="AH56" s="38"/>
      <c r="AI56" s="38"/>
      <c r="AJ56" s="38"/>
      <c r="AK56" s="37"/>
      <c r="AL56" s="130"/>
      <c r="AM56" s="38"/>
      <c r="AN56" s="38"/>
      <c r="AO56" s="38"/>
      <c r="AP56" s="38"/>
      <c r="AQ56" s="130"/>
      <c r="AR56" s="38"/>
      <c r="AS56" s="38"/>
      <c r="AT56" s="38"/>
      <c r="AU56" s="38"/>
      <c r="AZ56" s="38"/>
      <c r="BA56" s="130"/>
      <c r="BB56" s="38"/>
      <c r="BC56" s="38"/>
      <c r="BD56" s="38"/>
      <c r="BE56" s="38"/>
      <c r="BF56" s="130"/>
      <c r="BG56" s="38"/>
      <c r="BH56" s="38"/>
      <c r="BI56" s="38"/>
      <c r="BJ56" s="786"/>
      <c r="BK56" s="130"/>
      <c r="BL56" s="38"/>
      <c r="BM56" s="38"/>
      <c r="BN56" s="38"/>
      <c r="BO56" s="786"/>
      <c r="BP56" s="130"/>
      <c r="BQ56" s="38"/>
      <c r="BR56" s="38"/>
      <c r="BS56" s="38"/>
      <c r="BT56" s="786"/>
      <c r="BU56" s="130"/>
      <c r="BV56" s="38"/>
      <c r="BW56" s="38"/>
      <c r="BX56" s="38"/>
      <c r="BY56" s="31"/>
      <c r="BZ56" s="130"/>
      <c r="CA56" s="38"/>
      <c r="CB56" s="38"/>
      <c r="CC56" s="38"/>
      <c r="CD56" s="38"/>
      <c r="CE56" s="130"/>
      <c r="CF56" s="38"/>
      <c r="CG56" s="38"/>
      <c r="CH56" s="38"/>
      <c r="CI56" s="31"/>
      <c r="CO56" s="130"/>
      <c r="CP56" s="38"/>
      <c r="CQ56" s="38"/>
      <c r="CR56" s="38"/>
      <c r="CS56" s="31"/>
      <c r="CT56" s="130"/>
      <c r="CU56" s="38"/>
      <c r="CV56" s="38"/>
      <c r="CW56" s="38"/>
      <c r="CX56" s="31"/>
      <c r="CY56" s="130"/>
      <c r="CZ56" s="38"/>
      <c r="DA56" s="38"/>
      <c r="DB56" s="38"/>
      <c r="DC56" s="31"/>
      <c r="DD56" s="130"/>
      <c r="DE56" s="38"/>
      <c r="DF56" s="38"/>
      <c r="DG56" s="38"/>
      <c r="DH56" s="31"/>
      <c r="DI56" s="130"/>
      <c r="DJ56" s="38"/>
      <c r="DK56" s="38"/>
      <c r="DL56" s="38"/>
      <c r="DM56" s="31"/>
      <c r="DN56" s="130"/>
      <c r="DO56" s="38"/>
      <c r="DP56" s="38"/>
      <c r="DQ56" s="38"/>
      <c r="DR56" s="31"/>
      <c r="DS56" s="130"/>
      <c r="DT56" s="38"/>
      <c r="DU56" s="38"/>
      <c r="DV56" s="38"/>
      <c r="DW56" s="31"/>
      <c r="DX56" s="130"/>
      <c r="DY56" s="38"/>
      <c r="DZ56" s="38"/>
      <c r="EA56" s="38"/>
      <c r="EB56" s="31"/>
      <c r="EC56" s="130"/>
      <c r="ED56" s="38"/>
      <c r="EE56" s="38"/>
      <c r="EF56" s="38"/>
      <c r="EG56" s="31"/>
      <c r="EH56" s="130"/>
      <c r="EI56" s="38"/>
      <c r="EJ56" s="38"/>
      <c r="EK56" s="38"/>
      <c r="EL56" s="31"/>
      <c r="EM56" s="131"/>
      <c r="EN56" s="132"/>
      <c r="EO56" s="132"/>
      <c r="EP56" s="132"/>
      <c r="EQ56" s="132"/>
      <c r="ER56" s="39"/>
      <c r="ES56" s="131"/>
      <c r="ET56" s="132"/>
      <c r="EU56" s="132"/>
      <c r="EV56" s="132"/>
      <c r="EW56" s="132"/>
    </row>
    <row r="57" spans="1:153" s="8" customFormat="1" ht="14.25" customHeight="1">
      <c r="A57" s="10"/>
      <c r="B57" s="10"/>
      <c r="C57" s="10"/>
      <c r="D57" s="10"/>
      <c r="E57" s="122"/>
      <c r="F57" s="122"/>
      <c r="G57" s="122"/>
      <c r="H57" s="122"/>
      <c r="I57" s="122"/>
      <c r="J57" s="10"/>
      <c r="K57" s="10"/>
      <c r="L57" s="122"/>
      <c r="M57" s="10"/>
      <c r="N57" s="10"/>
      <c r="O57" s="10"/>
      <c r="P57" s="10"/>
      <c r="Q57" s="122"/>
      <c r="R57" s="130"/>
      <c r="S57" s="38"/>
      <c r="T57" s="38"/>
      <c r="U57" s="38"/>
      <c r="V57" s="37"/>
      <c r="W57" s="130"/>
      <c r="X57" s="38"/>
      <c r="Y57" s="38"/>
      <c r="Z57" s="38"/>
      <c r="AA57" s="37"/>
      <c r="AB57" s="130"/>
      <c r="AC57" s="38"/>
      <c r="AD57" s="38"/>
      <c r="AE57" s="38"/>
      <c r="AF57" s="38"/>
      <c r="AG57" s="130"/>
      <c r="AH57" s="38"/>
      <c r="AI57" s="38"/>
      <c r="AJ57" s="38"/>
      <c r="AK57" s="37"/>
      <c r="AL57" s="130"/>
      <c r="AM57" s="38"/>
      <c r="AN57" s="38"/>
      <c r="AO57" s="38"/>
      <c r="AP57" s="38"/>
      <c r="AQ57" s="130"/>
      <c r="AR57" s="38"/>
      <c r="AS57" s="38"/>
      <c r="AT57" s="38"/>
      <c r="AU57" s="38"/>
      <c r="AZ57" s="38"/>
      <c r="BA57" s="130"/>
      <c r="BB57" s="38"/>
      <c r="BC57" s="38"/>
      <c r="BD57" s="38"/>
      <c r="BE57" s="38"/>
      <c r="BF57" s="130"/>
      <c r="BG57" s="38"/>
      <c r="BH57" s="38"/>
      <c r="BI57" s="38"/>
      <c r="BJ57" s="786"/>
      <c r="BK57" s="130"/>
      <c r="BL57" s="38"/>
      <c r="BM57" s="38"/>
      <c r="BN57" s="38"/>
      <c r="BO57" s="786"/>
      <c r="BP57" s="130"/>
      <c r="BQ57" s="38"/>
      <c r="BR57" s="38"/>
      <c r="BS57" s="38"/>
      <c r="BT57" s="786"/>
      <c r="BU57" s="130"/>
      <c r="BV57" s="38"/>
      <c r="BW57" s="38"/>
      <c r="BX57" s="38"/>
      <c r="BY57" s="31"/>
      <c r="BZ57" s="130"/>
      <c r="CA57" s="38"/>
      <c r="CB57" s="38"/>
      <c r="CC57" s="38"/>
      <c r="CD57" s="38"/>
      <c r="CE57" s="130"/>
      <c r="CF57" s="38"/>
      <c r="CG57" s="38"/>
      <c r="CH57" s="38"/>
      <c r="CI57" s="31"/>
      <c r="CO57" s="130"/>
      <c r="CP57" s="38"/>
      <c r="CQ57" s="38"/>
      <c r="CR57" s="38"/>
      <c r="CS57" s="31"/>
      <c r="CT57" s="130"/>
      <c r="CU57" s="38"/>
      <c r="CV57" s="38"/>
      <c r="CW57" s="38"/>
      <c r="CX57" s="31"/>
      <c r="CY57" s="130"/>
      <c r="CZ57" s="38"/>
      <c r="DA57" s="38"/>
      <c r="DB57" s="38"/>
      <c r="DC57" s="31"/>
      <c r="DD57" s="130"/>
      <c r="DE57" s="38"/>
      <c r="DF57" s="38"/>
      <c r="DG57" s="38"/>
      <c r="DH57" s="31"/>
      <c r="DI57" s="130"/>
      <c r="DJ57" s="38"/>
      <c r="DK57" s="38"/>
      <c r="DL57" s="38"/>
      <c r="DM57" s="31"/>
      <c r="DN57" s="130"/>
      <c r="DO57" s="38"/>
      <c r="DP57" s="38"/>
      <c r="DQ57" s="38"/>
      <c r="DR57" s="31"/>
      <c r="DS57" s="130"/>
      <c r="DT57" s="38"/>
      <c r="DU57" s="38"/>
      <c r="DV57" s="38"/>
      <c r="DW57" s="31"/>
      <c r="DX57" s="130"/>
      <c r="DY57" s="38"/>
      <c r="DZ57" s="38"/>
      <c r="EA57" s="38"/>
      <c r="EB57" s="31"/>
      <c r="EC57" s="130"/>
      <c r="ED57" s="38"/>
      <c r="EE57" s="38"/>
      <c r="EF57" s="38"/>
      <c r="EG57" s="31"/>
      <c r="EH57" s="130"/>
      <c r="EI57" s="38"/>
      <c r="EJ57" s="38"/>
      <c r="EK57" s="38"/>
      <c r="EL57" s="31"/>
      <c r="EM57" s="131"/>
      <c r="EN57" s="132"/>
      <c r="EO57" s="132"/>
      <c r="EP57" s="132"/>
      <c r="EQ57" s="132"/>
      <c r="ER57" s="39"/>
      <c r="ES57" s="131"/>
      <c r="ET57" s="132"/>
      <c r="EU57" s="132"/>
      <c r="EV57" s="132"/>
      <c r="EW57" s="132"/>
    </row>
    <row r="58" spans="1:153" s="8" customFormat="1" ht="14.25" customHeight="1">
      <c r="A58" s="10"/>
      <c r="B58" s="10"/>
      <c r="C58" s="10"/>
      <c r="D58" s="10"/>
      <c r="E58" s="122"/>
      <c r="F58" s="122"/>
      <c r="G58" s="122"/>
      <c r="H58" s="122"/>
      <c r="I58" s="122"/>
      <c r="J58" s="10"/>
      <c r="K58" s="10"/>
      <c r="L58" s="122"/>
      <c r="M58" s="10"/>
      <c r="N58" s="10"/>
      <c r="O58" s="10"/>
      <c r="P58" s="10"/>
      <c r="Q58" s="122"/>
      <c r="R58" s="130"/>
      <c r="S58" s="38"/>
      <c r="T58" s="38"/>
      <c r="U58" s="38"/>
      <c r="V58" s="37"/>
      <c r="W58" s="130"/>
      <c r="X58" s="38"/>
      <c r="Y58" s="38"/>
      <c r="Z58" s="38"/>
      <c r="AA58" s="37"/>
      <c r="AB58" s="130"/>
      <c r="AC58" s="38"/>
      <c r="AD58" s="38"/>
      <c r="AE58" s="38"/>
      <c r="AF58" s="38"/>
      <c r="AG58" s="130"/>
      <c r="AH58" s="38"/>
      <c r="AI58" s="38"/>
      <c r="AJ58" s="38"/>
      <c r="AK58" s="37"/>
      <c r="AL58" s="130"/>
      <c r="AM58" s="38"/>
      <c r="AN58" s="38"/>
      <c r="AO58" s="38"/>
      <c r="AP58" s="38"/>
      <c r="AQ58" s="130"/>
      <c r="AR58" s="38"/>
      <c r="AS58" s="38"/>
      <c r="AT58" s="38"/>
      <c r="AU58" s="38"/>
      <c r="AZ58" s="38"/>
      <c r="BA58" s="130"/>
      <c r="BB58" s="38"/>
      <c r="BC58" s="38"/>
      <c r="BD58" s="38"/>
      <c r="BE58" s="38"/>
      <c r="BF58" s="130"/>
      <c r="BG58" s="38"/>
      <c r="BH58" s="38"/>
      <c r="BI58" s="38"/>
      <c r="BJ58" s="786"/>
      <c r="BK58" s="130"/>
      <c r="BL58" s="38"/>
      <c r="BM58" s="38"/>
      <c r="BN58" s="38"/>
      <c r="BO58" s="786"/>
      <c r="BP58" s="130"/>
      <c r="BQ58" s="38"/>
      <c r="BR58" s="38"/>
      <c r="BS58" s="38"/>
      <c r="BT58" s="786"/>
      <c r="BU58" s="130"/>
      <c r="BV58" s="38"/>
      <c r="BW58" s="38"/>
      <c r="BX58" s="38"/>
      <c r="BY58" s="31"/>
      <c r="BZ58" s="130"/>
      <c r="CA58" s="38"/>
      <c r="CB58" s="38"/>
      <c r="CC58" s="38"/>
      <c r="CD58" s="38"/>
      <c r="CE58" s="130"/>
      <c r="CF58" s="38"/>
      <c r="CG58" s="38"/>
      <c r="CH58" s="38"/>
      <c r="CI58" s="31"/>
      <c r="CO58" s="130"/>
      <c r="CP58" s="38"/>
      <c r="CQ58" s="38"/>
      <c r="CR58" s="38"/>
      <c r="CS58" s="31"/>
      <c r="CT58" s="130"/>
      <c r="CU58" s="38"/>
      <c r="CV58" s="38"/>
      <c r="CW58" s="38"/>
      <c r="CX58" s="31"/>
      <c r="CY58" s="130"/>
      <c r="CZ58" s="38"/>
      <c r="DA58" s="38"/>
      <c r="DB58" s="38"/>
      <c r="DC58" s="31"/>
      <c r="DD58" s="130"/>
      <c r="DE58" s="38"/>
      <c r="DF58" s="38"/>
      <c r="DG58" s="38"/>
      <c r="DH58" s="31"/>
      <c r="DI58" s="130"/>
      <c r="DJ58" s="38"/>
      <c r="DK58" s="38"/>
      <c r="DL58" s="38"/>
      <c r="DM58" s="31"/>
      <c r="DN58" s="130"/>
      <c r="DO58" s="38"/>
      <c r="DP58" s="38"/>
      <c r="DQ58" s="38"/>
      <c r="DR58" s="31"/>
      <c r="DS58" s="130"/>
      <c r="DT58" s="38"/>
      <c r="DU58" s="38"/>
      <c r="DV58" s="38"/>
      <c r="DW58" s="31"/>
      <c r="DX58" s="130"/>
      <c r="DY58" s="38"/>
      <c r="DZ58" s="38"/>
      <c r="EA58" s="38"/>
      <c r="EB58" s="31"/>
      <c r="EC58" s="130"/>
      <c r="ED58" s="38"/>
      <c r="EE58" s="38"/>
      <c r="EF58" s="38"/>
      <c r="EG58" s="31"/>
      <c r="EH58" s="130"/>
      <c r="EI58" s="38"/>
      <c r="EJ58" s="38"/>
      <c r="EK58" s="38"/>
      <c r="EL58" s="31"/>
      <c r="EM58" s="131"/>
      <c r="EN58" s="132"/>
      <c r="EO58" s="132"/>
      <c r="EP58" s="132"/>
      <c r="EQ58" s="132"/>
      <c r="ER58" s="39"/>
      <c r="ES58" s="131"/>
      <c r="ET58" s="132"/>
      <c r="EU58" s="132"/>
      <c r="EV58" s="132"/>
      <c r="EW58" s="132"/>
    </row>
    <row r="59" spans="1:153" s="8" customFormat="1" ht="14.25" customHeight="1">
      <c r="A59" s="10"/>
      <c r="B59" s="10"/>
      <c r="C59" s="10"/>
      <c r="D59" s="10"/>
      <c r="E59" s="122"/>
      <c r="F59" s="122"/>
      <c r="G59" s="122"/>
      <c r="H59" s="122"/>
      <c r="I59" s="122"/>
      <c r="J59" s="10"/>
      <c r="K59" s="10"/>
      <c r="L59" s="122"/>
      <c r="M59" s="10"/>
      <c r="N59" s="10"/>
      <c r="O59" s="10"/>
      <c r="P59" s="10"/>
      <c r="Q59" s="122"/>
      <c r="R59" s="130"/>
      <c r="S59" s="38"/>
      <c r="T59" s="38"/>
      <c r="U59" s="38"/>
      <c r="V59" s="37"/>
      <c r="W59" s="130"/>
      <c r="X59" s="38"/>
      <c r="Y59" s="38"/>
      <c r="Z59" s="38"/>
      <c r="AA59" s="37"/>
      <c r="AB59" s="130"/>
      <c r="AC59" s="38"/>
      <c r="AD59" s="38"/>
      <c r="AE59" s="38"/>
      <c r="AF59" s="38"/>
      <c r="AG59" s="130"/>
      <c r="AH59" s="38"/>
      <c r="AI59" s="38"/>
      <c r="AJ59" s="38"/>
      <c r="AK59" s="37"/>
      <c r="AL59" s="130"/>
      <c r="AM59" s="38"/>
      <c r="AN59" s="38"/>
      <c r="AO59" s="38"/>
      <c r="AP59" s="38"/>
      <c r="AQ59" s="130"/>
      <c r="AR59" s="38"/>
      <c r="AS59" s="38"/>
      <c r="AT59" s="38"/>
      <c r="AU59" s="38"/>
      <c r="AZ59" s="38"/>
      <c r="BA59" s="130"/>
      <c r="BB59" s="38"/>
      <c r="BC59" s="38"/>
      <c r="BD59" s="38"/>
      <c r="BE59" s="38"/>
      <c r="BF59" s="130"/>
      <c r="BG59" s="38"/>
      <c r="BH59" s="38"/>
      <c r="BI59" s="38"/>
      <c r="BJ59" s="786"/>
      <c r="BK59" s="130"/>
      <c r="BL59" s="38"/>
      <c r="BM59" s="38"/>
      <c r="BN59" s="38"/>
      <c r="BO59" s="786"/>
      <c r="BP59" s="130"/>
      <c r="BQ59" s="38"/>
      <c r="BR59" s="38"/>
      <c r="BS59" s="38"/>
      <c r="BT59" s="786"/>
      <c r="BU59" s="130"/>
      <c r="BV59" s="38"/>
      <c r="BW59" s="38"/>
      <c r="BX59" s="38"/>
      <c r="BY59" s="31"/>
      <c r="BZ59" s="130"/>
      <c r="CA59" s="38"/>
      <c r="CB59" s="38"/>
      <c r="CC59" s="38"/>
      <c r="CD59" s="38"/>
      <c r="CE59" s="130"/>
      <c r="CF59" s="38"/>
      <c r="CG59" s="38"/>
      <c r="CH59" s="38"/>
      <c r="CI59" s="31"/>
      <c r="CO59" s="130"/>
      <c r="CP59" s="38"/>
      <c r="CQ59" s="38"/>
      <c r="CR59" s="38"/>
      <c r="CS59" s="31"/>
      <c r="CT59" s="130"/>
      <c r="CU59" s="38"/>
      <c r="CV59" s="38"/>
      <c r="CW59" s="38"/>
      <c r="CX59" s="31"/>
      <c r="CY59" s="130"/>
      <c r="CZ59" s="38"/>
      <c r="DA59" s="38"/>
      <c r="DB59" s="38"/>
      <c r="DC59" s="31"/>
      <c r="DD59" s="130"/>
      <c r="DE59" s="38"/>
      <c r="DF59" s="38"/>
      <c r="DG59" s="38"/>
      <c r="DH59" s="31"/>
      <c r="DI59" s="130"/>
      <c r="DJ59" s="38"/>
      <c r="DK59" s="38"/>
      <c r="DL59" s="38"/>
      <c r="DM59" s="31"/>
      <c r="DN59" s="130"/>
      <c r="DO59" s="38"/>
      <c r="DP59" s="38"/>
      <c r="DQ59" s="38"/>
      <c r="DR59" s="31"/>
      <c r="DS59" s="130"/>
      <c r="DT59" s="38"/>
      <c r="DU59" s="38"/>
      <c r="DV59" s="38"/>
      <c r="DW59" s="31"/>
      <c r="DX59" s="130"/>
      <c r="DY59" s="38"/>
      <c r="DZ59" s="38"/>
      <c r="EA59" s="38"/>
      <c r="EB59" s="31"/>
      <c r="EC59" s="130"/>
      <c r="ED59" s="38"/>
      <c r="EE59" s="38"/>
      <c r="EF59" s="38"/>
      <c r="EG59" s="31"/>
      <c r="EH59" s="130"/>
      <c r="EI59" s="38"/>
      <c r="EJ59" s="38"/>
      <c r="EK59" s="38"/>
      <c r="EL59" s="31"/>
      <c r="EM59" s="131"/>
      <c r="EN59" s="132"/>
      <c r="EO59" s="132"/>
      <c r="EP59" s="132"/>
      <c r="EQ59" s="132"/>
      <c r="ER59" s="39"/>
      <c r="ES59" s="131"/>
      <c r="ET59" s="132"/>
      <c r="EU59" s="132"/>
      <c r="EV59" s="132"/>
      <c r="EW59" s="132"/>
    </row>
    <row r="60" spans="1:153" s="8" customFormat="1" ht="14.25" customHeight="1">
      <c r="A60" s="10"/>
      <c r="B60" s="10"/>
      <c r="C60" s="10"/>
      <c r="D60" s="10"/>
      <c r="E60" s="122"/>
      <c r="F60" s="122"/>
      <c r="G60" s="122"/>
      <c r="H60" s="122"/>
      <c r="I60" s="122"/>
      <c r="J60" s="10"/>
      <c r="K60" s="10"/>
      <c r="L60" s="122"/>
      <c r="M60" s="10"/>
      <c r="N60" s="10"/>
      <c r="O60" s="10"/>
      <c r="P60" s="10"/>
      <c r="Q60" s="122"/>
      <c r="R60" s="130"/>
      <c r="S60" s="38"/>
      <c r="T60" s="38"/>
      <c r="U60" s="38"/>
      <c r="V60" s="37"/>
      <c r="W60" s="130"/>
      <c r="X60" s="38"/>
      <c r="Y60" s="38"/>
      <c r="Z60" s="38"/>
      <c r="AA60" s="37"/>
      <c r="AB60" s="130"/>
      <c r="AC60" s="38"/>
      <c r="AD60" s="38"/>
      <c r="AE60" s="38"/>
      <c r="AF60" s="38"/>
      <c r="AG60" s="130"/>
      <c r="AH60" s="38"/>
      <c r="AI60" s="38"/>
      <c r="AJ60" s="38"/>
      <c r="AK60" s="37"/>
      <c r="AL60" s="130"/>
      <c r="AM60" s="38"/>
      <c r="AN60" s="38"/>
      <c r="AO60" s="38"/>
      <c r="AP60" s="38"/>
      <c r="AQ60" s="130"/>
      <c r="AR60" s="38"/>
      <c r="AS60" s="38"/>
      <c r="AT60" s="38"/>
      <c r="AU60" s="38"/>
      <c r="AZ60" s="38"/>
      <c r="BA60" s="130"/>
      <c r="BB60" s="38"/>
      <c r="BC60" s="38"/>
      <c r="BD60" s="38"/>
      <c r="BE60" s="38"/>
      <c r="BF60" s="130"/>
      <c r="BG60" s="38"/>
      <c r="BH60" s="38"/>
      <c r="BI60" s="38"/>
      <c r="BJ60" s="786"/>
      <c r="BK60" s="130"/>
      <c r="BL60" s="38"/>
      <c r="BM60" s="38"/>
      <c r="BN60" s="38"/>
      <c r="BO60" s="786"/>
      <c r="BP60" s="130"/>
      <c r="BQ60" s="38"/>
      <c r="BR60" s="38"/>
      <c r="BS60" s="38"/>
      <c r="BT60" s="786"/>
      <c r="BU60" s="130"/>
      <c r="BV60" s="38"/>
      <c r="BW60" s="38"/>
      <c r="BX60" s="38"/>
      <c r="BY60" s="31"/>
      <c r="BZ60" s="130"/>
      <c r="CA60" s="38"/>
      <c r="CB60" s="38"/>
      <c r="CC60" s="38"/>
      <c r="CD60" s="38"/>
      <c r="CE60" s="130"/>
      <c r="CF60" s="38"/>
      <c r="CG60" s="38"/>
      <c r="CH60" s="38"/>
      <c r="CI60" s="31"/>
      <c r="CO60" s="130"/>
      <c r="CP60" s="38"/>
      <c r="CQ60" s="38"/>
      <c r="CR60" s="38"/>
      <c r="CS60" s="31"/>
      <c r="CT60" s="130"/>
      <c r="CU60" s="38"/>
      <c r="CV60" s="38"/>
      <c r="CW60" s="38"/>
      <c r="CX60" s="31"/>
      <c r="CY60" s="130"/>
      <c r="CZ60" s="38"/>
      <c r="DA60" s="38"/>
      <c r="DB60" s="38"/>
      <c r="DC60" s="31"/>
      <c r="DD60" s="130"/>
      <c r="DE60" s="38"/>
      <c r="DF60" s="38"/>
      <c r="DG60" s="38"/>
      <c r="DH60" s="31"/>
      <c r="DI60" s="130"/>
      <c r="DJ60" s="38"/>
      <c r="DK60" s="38"/>
      <c r="DL60" s="38"/>
      <c r="DM60" s="31"/>
      <c r="DN60" s="130"/>
      <c r="DO60" s="38"/>
      <c r="DP60" s="38"/>
      <c r="DQ60" s="38"/>
      <c r="DR60" s="31"/>
      <c r="DS60" s="130"/>
      <c r="DT60" s="38"/>
      <c r="DU60" s="38"/>
      <c r="DV60" s="38"/>
      <c r="DW60" s="31"/>
      <c r="DX60" s="130"/>
      <c r="DY60" s="38"/>
      <c r="DZ60" s="38"/>
      <c r="EA60" s="38"/>
      <c r="EB60" s="31"/>
      <c r="EC60" s="130"/>
      <c r="ED60" s="38"/>
      <c r="EE60" s="38"/>
      <c r="EF60" s="38"/>
      <c r="EG60" s="31"/>
      <c r="EH60" s="130"/>
      <c r="EI60" s="38"/>
      <c r="EJ60" s="38"/>
      <c r="EK60" s="38"/>
      <c r="EL60" s="31"/>
      <c r="EM60" s="131"/>
      <c r="EN60" s="132"/>
      <c r="EO60" s="132"/>
      <c r="EP60" s="132"/>
      <c r="EQ60" s="132"/>
      <c r="ER60" s="39"/>
      <c r="ES60" s="131"/>
      <c r="ET60" s="132"/>
      <c r="EU60" s="132"/>
      <c r="EV60" s="132"/>
      <c r="EW60" s="132"/>
    </row>
    <row r="61" spans="1:153" s="8" customFormat="1" ht="14.25" customHeight="1">
      <c r="A61" s="10"/>
      <c r="B61" s="10"/>
      <c r="C61" s="10"/>
      <c r="D61" s="10"/>
      <c r="E61" s="122"/>
      <c r="F61" s="122"/>
      <c r="G61" s="122"/>
      <c r="H61" s="122"/>
      <c r="I61" s="122"/>
      <c r="J61" s="10"/>
      <c r="K61" s="10"/>
      <c r="L61" s="122"/>
      <c r="M61" s="10"/>
      <c r="N61" s="10"/>
      <c r="O61" s="10"/>
      <c r="P61" s="10"/>
      <c r="Q61" s="122"/>
      <c r="R61" s="130"/>
      <c r="S61" s="38"/>
      <c r="T61" s="38"/>
      <c r="U61" s="38"/>
      <c r="V61" s="37"/>
      <c r="W61" s="130"/>
      <c r="X61" s="38"/>
      <c r="Y61" s="38"/>
      <c r="Z61" s="38"/>
      <c r="AA61" s="37"/>
      <c r="AB61" s="130"/>
      <c r="AC61" s="38"/>
      <c r="AD61" s="38"/>
      <c r="AE61" s="38"/>
      <c r="AF61" s="38"/>
      <c r="AG61" s="130"/>
      <c r="AH61" s="38"/>
      <c r="AI61" s="38"/>
      <c r="AJ61" s="38"/>
      <c r="AK61" s="37"/>
      <c r="AL61" s="130"/>
      <c r="AM61" s="38"/>
      <c r="AN61" s="38"/>
      <c r="AO61" s="38"/>
      <c r="AP61" s="38"/>
      <c r="AQ61" s="130"/>
      <c r="AR61" s="38"/>
      <c r="AS61" s="38"/>
      <c r="AT61" s="38"/>
      <c r="AU61" s="38"/>
      <c r="AZ61" s="38"/>
      <c r="BA61" s="130"/>
      <c r="BB61" s="38"/>
      <c r="BC61" s="38"/>
      <c r="BD61" s="38"/>
      <c r="BE61" s="38"/>
      <c r="BF61" s="130"/>
      <c r="BG61" s="38"/>
      <c r="BH61" s="38"/>
      <c r="BI61" s="38"/>
      <c r="BJ61" s="786"/>
      <c r="BK61" s="130"/>
      <c r="BL61" s="38"/>
      <c r="BM61" s="38"/>
      <c r="BN61" s="38"/>
      <c r="BO61" s="786"/>
      <c r="BP61" s="130"/>
      <c r="BQ61" s="38"/>
      <c r="BR61" s="38"/>
      <c r="BS61" s="38"/>
      <c r="BT61" s="786"/>
      <c r="BU61" s="130"/>
      <c r="BV61" s="38"/>
      <c r="BW61" s="38"/>
      <c r="BX61" s="38"/>
      <c r="BY61" s="31"/>
      <c r="BZ61" s="130"/>
      <c r="CA61" s="38"/>
      <c r="CB61" s="38"/>
      <c r="CC61" s="38"/>
      <c r="CD61" s="38"/>
      <c r="CE61" s="130"/>
      <c r="CF61" s="38"/>
      <c r="CG61" s="38"/>
      <c r="CH61" s="38"/>
      <c r="CI61" s="31"/>
      <c r="CO61" s="130"/>
      <c r="CP61" s="38"/>
      <c r="CQ61" s="38"/>
      <c r="CR61" s="38"/>
      <c r="CS61" s="31"/>
      <c r="CT61" s="130"/>
      <c r="CU61" s="38"/>
      <c r="CV61" s="38"/>
      <c r="CW61" s="38"/>
      <c r="CX61" s="31"/>
      <c r="CY61" s="130"/>
      <c r="CZ61" s="38"/>
      <c r="DA61" s="38"/>
      <c r="DB61" s="38"/>
      <c r="DC61" s="31"/>
      <c r="DD61" s="130"/>
      <c r="DE61" s="38"/>
      <c r="DF61" s="38"/>
      <c r="DG61" s="38"/>
      <c r="DH61" s="31"/>
      <c r="DI61" s="130"/>
      <c r="DJ61" s="38"/>
      <c r="DK61" s="38"/>
      <c r="DL61" s="38"/>
      <c r="DM61" s="31"/>
      <c r="DN61" s="130"/>
      <c r="DO61" s="38"/>
      <c r="DP61" s="38"/>
      <c r="DQ61" s="38"/>
      <c r="DR61" s="31"/>
      <c r="DS61" s="130"/>
      <c r="DT61" s="38"/>
      <c r="DU61" s="38"/>
      <c r="DV61" s="38"/>
      <c r="DW61" s="31"/>
      <c r="DX61" s="130"/>
      <c r="DY61" s="38"/>
      <c r="DZ61" s="38"/>
      <c r="EA61" s="38"/>
      <c r="EB61" s="31"/>
      <c r="EC61" s="130"/>
      <c r="ED61" s="38"/>
      <c r="EE61" s="38"/>
      <c r="EF61" s="38"/>
      <c r="EG61" s="31"/>
      <c r="EH61" s="130"/>
      <c r="EI61" s="38"/>
      <c r="EJ61" s="38"/>
      <c r="EK61" s="38"/>
      <c r="EL61" s="31"/>
      <c r="EM61" s="131"/>
      <c r="EN61" s="132"/>
      <c r="EO61" s="132"/>
      <c r="EP61" s="132"/>
      <c r="EQ61" s="132"/>
      <c r="ER61" s="39"/>
      <c r="ES61" s="131"/>
      <c r="ET61" s="132"/>
      <c r="EU61" s="132"/>
      <c r="EV61" s="132"/>
      <c r="EW61" s="132"/>
    </row>
    <row r="62" spans="1:153" s="8" customFormat="1" ht="14.25" customHeight="1">
      <c r="A62" s="10"/>
      <c r="B62" s="10"/>
      <c r="C62" s="10"/>
      <c r="D62" s="10"/>
      <c r="E62" s="122"/>
      <c r="F62" s="122"/>
      <c r="G62" s="122"/>
      <c r="H62" s="122"/>
      <c r="I62" s="122"/>
      <c r="J62" s="10"/>
      <c r="K62" s="10"/>
      <c r="L62" s="122"/>
      <c r="M62" s="10"/>
      <c r="N62" s="10"/>
      <c r="O62" s="10"/>
      <c r="P62" s="10"/>
      <c r="Q62" s="122"/>
      <c r="R62" s="130"/>
      <c r="S62" s="38"/>
      <c r="T62" s="38"/>
      <c r="U62" s="38"/>
      <c r="V62" s="37"/>
      <c r="W62" s="130"/>
      <c r="X62" s="38"/>
      <c r="Y62" s="38"/>
      <c r="Z62" s="38"/>
      <c r="AA62" s="37"/>
      <c r="AB62" s="130"/>
      <c r="AC62" s="38"/>
      <c r="AD62" s="38"/>
      <c r="AE62" s="38"/>
      <c r="AF62" s="38"/>
      <c r="AG62" s="130"/>
      <c r="AH62" s="38"/>
      <c r="AI62" s="38"/>
      <c r="AJ62" s="38"/>
      <c r="AK62" s="37"/>
      <c r="AL62" s="130"/>
      <c r="AM62" s="38"/>
      <c r="AN62" s="38"/>
      <c r="AO62" s="38"/>
      <c r="AP62" s="38"/>
      <c r="AQ62" s="130"/>
      <c r="AR62" s="38"/>
      <c r="AS62" s="38"/>
      <c r="AT62" s="38"/>
      <c r="AU62" s="38"/>
      <c r="AZ62" s="38"/>
      <c r="BA62" s="130"/>
      <c r="BB62" s="38"/>
      <c r="BC62" s="38"/>
      <c r="BD62" s="38"/>
      <c r="BE62" s="38"/>
      <c r="BF62" s="130"/>
      <c r="BG62" s="38"/>
      <c r="BH62" s="38"/>
      <c r="BI62" s="38"/>
      <c r="BJ62" s="786"/>
      <c r="BK62" s="130"/>
      <c r="BL62" s="38"/>
      <c r="BM62" s="38"/>
      <c r="BN62" s="38"/>
      <c r="BO62" s="786"/>
      <c r="BP62" s="130"/>
      <c r="BQ62" s="38"/>
      <c r="BR62" s="38"/>
      <c r="BS62" s="38"/>
      <c r="BT62" s="786"/>
      <c r="BU62" s="130"/>
      <c r="BV62" s="38"/>
      <c r="BW62" s="38"/>
      <c r="BX62" s="38"/>
      <c r="BY62" s="31"/>
      <c r="BZ62" s="130"/>
      <c r="CA62" s="38"/>
      <c r="CB62" s="38"/>
      <c r="CC62" s="38"/>
      <c r="CD62" s="38"/>
      <c r="CE62" s="130"/>
      <c r="CF62" s="38"/>
      <c r="CG62" s="38"/>
      <c r="CH62" s="38"/>
      <c r="CI62" s="31"/>
      <c r="CO62" s="130"/>
      <c r="CP62" s="38"/>
      <c r="CQ62" s="38"/>
      <c r="CR62" s="38"/>
      <c r="CS62" s="31"/>
      <c r="CT62" s="130"/>
      <c r="CU62" s="38"/>
      <c r="CV62" s="38"/>
      <c r="CW62" s="38"/>
      <c r="CX62" s="31"/>
      <c r="CY62" s="130"/>
      <c r="CZ62" s="38"/>
      <c r="DA62" s="38"/>
      <c r="DB62" s="38"/>
      <c r="DC62" s="31"/>
      <c r="DD62" s="130"/>
      <c r="DE62" s="38"/>
      <c r="DF62" s="38"/>
      <c r="DG62" s="38"/>
      <c r="DH62" s="31"/>
      <c r="DI62" s="130"/>
      <c r="DJ62" s="38"/>
      <c r="DK62" s="38"/>
      <c r="DL62" s="38"/>
      <c r="DM62" s="31"/>
      <c r="DN62" s="130"/>
      <c r="DO62" s="38"/>
      <c r="DP62" s="38"/>
      <c r="DQ62" s="38"/>
      <c r="DR62" s="31"/>
      <c r="DS62" s="130"/>
      <c r="DT62" s="38"/>
      <c r="DU62" s="38"/>
      <c r="DV62" s="38"/>
      <c r="DW62" s="31"/>
      <c r="DX62" s="130"/>
      <c r="DY62" s="38"/>
      <c r="DZ62" s="38"/>
      <c r="EA62" s="38"/>
      <c r="EB62" s="31"/>
      <c r="EC62" s="130"/>
      <c r="ED62" s="38"/>
      <c r="EE62" s="38"/>
      <c r="EF62" s="38"/>
      <c r="EG62" s="31"/>
      <c r="EH62" s="130"/>
      <c r="EI62" s="38"/>
      <c r="EJ62" s="38"/>
      <c r="EK62" s="38"/>
      <c r="EL62" s="31"/>
      <c r="EM62" s="131"/>
      <c r="EN62" s="132"/>
      <c r="EO62" s="132"/>
      <c r="EP62" s="132"/>
      <c r="EQ62" s="132"/>
      <c r="ER62" s="39"/>
      <c r="ES62" s="131"/>
      <c r="ET62" s="132"/>
      <c r="EU62" s="132"/>
      <c r="EV62" s="132"/>
      <c r="EW62" s="132"/>
    </row>
    <row r="63" spans="1:153" s="8" customFormat="1" ht="14.25" customHeight="1">
      <c r="A63" s="10"/>
      <c r="B63" s="10"/>
      <c r="C63" s="10"/>
      <c r="D63" s="10"/>
      <c r="E63" s="122"/>
      <c r="F63" s="122"/>
      <c r="G63" s="122"/>
      <c r="H63" s="122"/>
      <c r="I63" s="122"/>
      <c r="J63" s="10"/>
      <c r="K63" s="10"/>
      <c r="L63" s="122"/>
      <c r="M63" s="10"/>
      <c r="N63" s="10"/>
      <c r="O63" s="10"/>
      <c r="P63" s="10"/>
      <c r="Q63" s="122"/>
      <c r="R63" s="130"/>
      <c r="S63" s="38"/>
      <c r="T63" s="38"/>
      <c r="U63" s="38"/>
      <c r="V63" s="37"/>
      <c r="W63" s="130"/>
      <c r="X63" s="38"/>
      <c r="Y63" s="38"/>
      <c r="Z63" s="38"/>
      <c r="AA63" s="37"/>
      <c r="AB63" s="130"/>
      <c r="AC63" s="38"/>
      <c r="AD63" s="38"/>
      <c r="AE63" s="38"/>
      <c r="AF63" s="38"/>
      <c r="AG63" s="130"/>
      <c r="AH63" s="38"/>
      <c r="AI63" s="38"/>
      <c r="AJ63" s="38"/>
      <c r="AK63" s="37"/>
      <c r="AL63" s="130"/>
      <c r="AM63" s="38"/>
      <c r="AN63" s="38"/>
      <c r="AO63" s="38"/>
      <c r="AP63" s="38"/>
      <c r="AQ63" s="130"/>
      <c r="AR63" s="38"/>
      <c r="AS63" s="38"/>
      <c r="AT63" s="38"/>
      <c r="AU63" s="38"/>
      <c r="AZ63" s="38"/>
      <c r="BA63" s="130"/>
      <c r="BB63" s="38"/>
      <c r="BC63" s="38"/>
      <c r="BD63" s="38"/>
      <c r="BE63" s="38"/>
      <c r="BF63" s="130"/>
      <c r="BG63" s="38"/>
      <c r="BH63" s="38"/>
      <c r="BI63" s="38"/>
      <c r="BJ63" s="786"/>
      <c r="BK63" s="130"/>
      <c r="BL63" s="38"/>
      <c r="BM63" s="38"/>
      <c r="BN63" s="38"/>
      <c r="BO63" s="786"/>
      <c r="BP63" s="130"/>
      <c r="BQ63" s="38"/>
      <c r="BR63" s="38"/>
      <c r="BS63" s="38"/>
      <c r="BT63" s="786"/>
      <c r="BU63" s="130"/>
      <c r="BV63" s="38"/>
      <c r="BW63" s="38"/>
      <c r="BX63" s="38"/>
      <c r="BY63" s="31"/>
      <c r="BZ63" s="130"/>
      <c r="CA63" s="38"/>
      <c r="CB63" s="38"/>
      <c r="CC63" s="38"/>
      <c r="CD63" s="38"/>
      <c r="CE63" s="130"/>
      <c r="CF63" s="38"/>
      <c r="CG63" s="38"/>
      <c r="CH63" s="38"/>
      <c r="CI63" s="31"/>
      <c r="CO63" s="130"/>
      <c r="CP63" s="38"/>
      <c r="CQ63" s="38"/>
      <c r="CR63" s="38"/>
      <c r="CS63" s="31"/>
      <c r="CT63" s="130"/>
      <c r="CU63" s="38"/>
      <c r="CV63" s="38"/>
      <c r="CW63" s="38"/>
      <c r="CX63" s="31"/>
      <c r="CY63" s="130"/>
      <c r="CZ63" s="38"/>
      <c r="DA63" s="38"/>
      <c r="DB63" s="38"/>
      <c r="DC63" s="31"/>
      <c r="DD63" s="130"/>
      <c r="DE63" s="38"/>
      <c r="DF63" s="38"/>
      <c r="DG63" s="38"/>
      <c r="DH63" s="31"/>
      <c r="DI63" s="130"/>
      <c r="DJ63" s="38"/>
      <c r="DK63" s="38"/>
      <c r="DL63" s="38"/>
      <c r="DM63" s="31"/>
      <c r="DN63" s="130"/>
      <c r="DO63" s="38"/>
      <c r="DP63" s="38"/>
      <c r="DQ63" s="38"/>
      <c r="DR63" s="31"/>
      <c r="DS63" s="130"/>
      <c r="DT63" s="38"/>
      <c r="DU63" s="38"/>
      <c r="DV63" s="38"/>
      <c r="DW63" s="31"/>
      <c r="DX63" s="130"/>
      <c r="DY63" s="38"/>
      <c r="DZ63" s="38"/>
      <c r="EA63" s="38"/>
      <c r="EB63" s="31"/>
      <c r="EC63" s="130"/>
      <c r="ED63" s="38"/>
      <c r="EE63" s="38"/>
      <c r="EF63" s="38"/>
      <c r="EG63" s="31"/>
      <c r="EH63" s="130"/>
      <c r="EI63" s="38"/>
      <c r="EJ63" s="38"/>
      <c r="EK63" s="38"/>
      <c r="EL63" s="31"/>
      <c r="EM63" s="131"/>
      <c r="EN63" s="132"/>
      <c r="EO63" s="132"/>
      <c r="EP63" s="132"/>
      <c r="EQ63" s="132"/>
      <c r="ER63" s="39"/>
      <c r="ES63" s="131"/>
      <c r="ET63" s="132"/>
      <c r="EU63" s="132"/>
      <c r="EV63" s="132"/>
      <c r="EW63" s="132"/>
    </row>
    <row r="64" spans="1:153" s="8" customFormat="1" ht="14.25" customHeight="1">
      <c r="A64" s="10"/>
      <c r="B64" s="10"/>
      <c r="C64" s="10"/>
      <c r="D64" s="10"/>
      <c r="E64" s="122"/>
      <c r="F64" s="122"/>
      <c r="G64" s="122"/>
      <c r="H64" s="122"/>
      <c r="I64" s="122"/>
      <c r="J64" s="10"/>
      <c r="K64" s="10"/>
      <c r="L64" s="122"/>
      <c r="M64" s="10"/>
      <c r="N64" s="10"/>
      <c r="O64" s="10"/>
      <c r="P64" s="10"/>
      <c r="Q64" s="122"/>
      <c r="R64" s="130"/>
      <c r="S64" s="38"/>
      <c r="T64" s="38"/>
      <c r="U64" s="38"/>
      <c r="V64" s="37"/>
      <c r="W64" s="130"/>
      <c r="X64" s="38"/>
      <c r="Y64" s="38"/>
      <c r="Z64" s="38"/>
      <c r="AA64" s="37"/>
      <c r="AB64" s="130"/>
      <c r="AC64" s="38"/>
      <c r="AD64" s="38"/>
      <c r="AE64" s="38"/>
      <c r="AF64" s="38"/>
      <c r="AG64" s="130"/>
      <c r="AH64" s="38"/>
      <c r="AI64" s="38"/>
      <c r="AJ64" s="38"/>
      <c r="AK64" s="37"/>
      <c r="AL64" s="130"/>
      <c r="AM64" s="38"/>
      <c r="AN64" s="38"/>
      <c r="AO64" s="38"/>
      <c r="AP64" s="38"/>
      <c r="AQ64" s="130"/>
      <c r="AR64" s="38"/>
      <c r="AS64" s="38"/>
      <c r="AT64" s="38"/>
      <c r="AU64" s="38"/>
      <c r="AZ64" s="38"/>
      <c r="BA64" s="130"/>
      <c r="BB64" s="38"/>
      <c r="BC64" s="38"/>
      <c r="BD64" s="38"/>
      <c r="BE64" s="38"/>
      <c r="BF64" s="130"/>
      <c r="BG64" s="38"/>
      <c r="BH64" s="38"/>
      <c r="BI64" s="38"/>
      <c r="BJ64" s="786"/>
      <c r="BK64" s="130"/>
      <c r="BL64" s="38"/>
      <c r="BM64" s="38"/>
      <c r="BN64" s="38"/>
      <c r="BO64" s="786"/>
      <c r="BP64" s="130"/>
      <c r="BQ64" s="38"/>
      <c r="BR64" s="38"/>
      <c r="BS64" s="38"/>
      <c r="BT64" s="786"/>
      <c r="BU64" s="130"/>
      <c r="BV64" s="38"/>
      <c r="BW64" s="38"/>
      <c r="BX64" s="38"/>
      <c r="BY64" s="31"/>
      <c r="BZ64" s="130"/>
      <c r="CA64" s="38"/>
      <c r="CB64" s="38"/>
      <c r="CC64" s="38"/>
      <c r="CD64" s="38"/>
      <c r="CE64" s="130"/>
      <c r="CF64" s="38"/>
      <c r="CG64" s="38"/>
      <c r="CH64" s="38"/>
      <c r="CI64" s="31"/>
      <c r="CO64" s="130"/>
      <c r="CP64" s="38"/>
      <c r="CQ64" s="38"/>
      <c r="CR64" s="38"/>
      <c r="CS64" s="31"/>
      <c r="CT64" s="130"/>
      <c r="CU64" s="38"/>
      <c r="CV64" s="38"/>
      <c r="CW64" s="38"/>
      <c r="CX64" s="31"/>
      <c r="CY64" s="130"/>
      <c r="CZ64" s="38"/>
      <c r="DA64" s="38"/>
      <c r="DB64" s="38"/>
      <c r="DC64" s="31"/>
      <c r="DD64" s="130"/>
      <c r="DE64" s="38"/>
      <c r="DF64" s="38"/>
      <c r="DG64" s="38"/>
      <c r="DH64" s="31"/>
      <c r="DI64" s="130"/>
      <c r="DJ64" s="38"/>
      <c r="DK64" s="38"/>
      <c r="DL64" s="38"/>
      <c r="DM64" s="31"/>
      <c r="DN64" s="130"/>
      <c r="DO64" s="38"/>
      <c r="DP64" s="38"/>
      <c r="DQ64" s="38"/>
      <c r="DR64" s="31"/>
      <c r="DS64" s="130"/>
      <c r="DT64" s="38"/>
      <c r="DU64" s="38"/>
      <c r="DV64" s="38"/>
      <c r="DW64" s="31"/>
      <c r="DX64" s="130"/>
      <c r="DY64" s="38"/>
      <c r="DZ64" s="38"/>
      <c r="EA64" s="38"/>
      <c r="EB64" s="31"/>
      <c r="EC64" s="130"/>
      <c r="ED64" s="38"/>
      <c r="EE64" s="38"/>
      <c r="EF64" s="38"/>
      <c r="EG64" s="31"/>
      <c r="EH64" s="130"/>
      <c r="EI64" s="38"/>
      <c r="EJ64" s="38"/>
      <c r="EK64" s="38"/>
      <c r="EL64" s="31"/>
      <c r="EM64" s="131"/>
      <c r="EN64" s="132"/>
      <c r="EO64" s="132"/>
      <c r="EP64" s="132"/>
      <c r="EQ64" s="132"/>
      <c r="ER64" s="39"/>
      <c r="ES64" s="131"/>
      <c r="ET64" s="132"/>
      <c r="EU64" s="132"/>
      <c r="EV64" s="132"/>
      <c r="EW64" s="132"/>
    </row>
    <row r="65" spans="1:153" s="8" customFormat="1" ht="14.25" customHeight="1">
      <c r="A65" s="10"/>
      <c r="B65" s="10"/>
      <c r="C65" s="10"/>
      <c r="D65" s="10"/>
      <c r="E65" s="122"/>
      <c r="F65" s="122"/>
      <c r="G65" s="122"/>
      <c r="H65" s="122"/>
      <c r="I65" s="122"/>
      <c r="J65" s="10"/>
      <c r="K65" s="10"/>
      <c r="L65" s="122"/>
      <c r="M65" s="10"/>
      <c r="N65" s="10"/>
      <c r="O65" s="10"/>
      <c r="P65" s="10"/>
      <c r="Q65" s="122"/>
      <c r="R65" s="130"/>
      <c r="S65" s="38"/>
      <c r="T65" s="38"/>
      <c r="U65" s="38"/>
      <c r="V65" s="37"/>
      <c r="W65" s="130"/>
      <c r="X65" s="38"/>
      <c r="Y65" s="38"/>
      <c r="Z65" s="38"/>
      <c r="AA65" s="37"/>
      <c r="AB65" s="130"/>
      <c r="AC65" s="38"/>
      <c r="AD65" s="38"/>
      <c r="AE65" s="38"/>
      <c r="AF65" s="38"/>
      <c r="AG65" s="130"/>
      <c r="AH65" s="38"/>
      <c r="AI65" s="38"/>
      <c r="AJ65" s="38"/>
      <c r="AK65" s="37"/>
      <c r="AL65" s="130"/>
      <c r="AM65" s="38"/>
      <c r="AN65" s="38"/>
      <c r="AO65" s="38"/>
      <c r="AP65" s="38"/>
      <c r="AQ65" s="130"/>
      <c r="AR65" s="38"/>
      <c r="AS65" s="38"/>
      <c r="AT65" s="38"/>
      <c r="AU65" s="38"/>
      <c r="AZ65" s="38"/>
      <c r="BA65" s="130"/>
      <c r="BB65" s="38"/>
      <c r="BC65" s="38"/>
      <c r="BD65" s="38"/>
      <c r="BE65" s="38"/>
      <c r="BF65" s="130"/>
      <c r="BG65" s="38"/>
      <c r="BH65" s="38"/>
      <c r="BI65" s="38"/>
      <c r="BJ65" s="786"/>
      <c r="BK65" s="130"/>
      <c r="BL65" s="38"/>
      <c r="BM65" s="38"/>
      <c r="BN65" s="38"/>
      <c r="BO65" s="786"/>
      <c r="BP65" s="130"/>
      <c r="BQ65" s="38"/>
      <c r="BR65" s="38"/>
      <c r="BS65" s="38"/>
      <c r="BT65" s="786"/>
      <c r="BU65" s="130"/>
      <c r="BV65" s="38"/>
      <c r="BW65" s="38"/>
      <c r="BX65" s="38"/>
      <c r="BY65" s="31"/>
      <c r="BZ65" s="130"/>
      <c r="CA65" s="38"/>
      <c r="CB65" s="38"/>
      <c r="CC65" s="38"/>
      <c r="CD65" s="38"/>
      <c r="CE65" s="130"/>
      <c r="CF65" s="38"/>
      <c r="CG65" s="38"/>
      <c r="CH65" s="38"/>
      <c r="CI65" s="31"/>
      <c r="CO65" s="130"/>
      <c r="CP65" s="38"/>
      <c r="CQ65" s="38"/>
      <c r="CR65" s="38"/>
      <c r="CS65" s="31"/>
      <c r="CT65" s="130"/>
      <c r="CU65" s="38"/>
      <c r="CV65" s="38"/>
      <c r="CW65" s="38"/>
      <c r="CX65" s="31"/>
      <c r="CY65" s="130"/>
      <c r="CZ65" s="38"/>
      <c r="DA65" s="38"/>
      <c r="DB65" s="38"/>
      <c r="DC65" s="31"/>
      <c r="DD65" s="130"/>
      <c r="DE65" s="38"/>
      <c r="DF65" s="38"/>
      <c r="DG65" s="38"/>
      <c r="DH65" s="31"/>
      <c r="DI65" s="130"/>
      <c r="DJ65" s="38"/>
      <c r="DK65" s="38"/>
      <c r="DL65" s="38"/>
      <c r="DM65" s="31"/>
      <c r="DN65" s="130"/>
      <c r="DO65" s="38"/>
      <c r="DP65" s="38"/>
      <c r="DQ65" s="38"/>
      <c r="DR65" s="31"/>
      <c r="DS65" s="130"/>
      <c r="DT65" s="38"/>
      <c r="DU65" s="38"/>
      <c r="DV65" s="38"/>
      <c r="DW65" s="31"/>
      <c r="DX65" s="130"/>
      <c r="DY65" s="38"/>
      <c r="DZ65" s="38"/>
      <c r="EA65" s="38"/>
      <c r="EB65" s="31"/>
      <c r="EC65" s="130"/>
      <c r="ED65" s="38"/>
      <c r="EE65" s="38"/>
      <c r="EF65" s="38"/>
      <c r="EG65" s="31"/>
      <c r="EH65" s="130"/>
      <c r="EI65" s="38"/>
      <c r="EJ65" s="38"/>
      <c r="EK65" s="38"/>
      <c r="EL65" s="31"/>
      <c r="EM65" s="131"/>
      <c r="EN65" s="132"/>
      <c r="EO65" s="132"/>
      <c r="EP65" s="132"/>
      <c r="EQ65" s="132"/>
      <c r="ER65" s="39"/>
      <c r="ES65" s="131"/>
      <c r="ET65" s="132"/>
      <c r="EU65" s="132"/>
      <c r="EV65" s="132"/>
      <c r="EW65" s="132"/>
    </row>
    <row r="66" spans="1:153" s="8" customFormat="1" ht="14.25" customHeight="1">
      <c r="A66" s="10"/>
      <c r="B66" s="10"/>
      <c r="C66" s="10"/>
      <c r="D66" s="10"/>
      <c r="E66" s="122"/>
      <c r="F66" s="122"/>
      <c r="G66" s="122"/>
      <c r="H66" s="122"/>
      <c r="I66" s="122"/>
      <c r="J66" s="10"/>
      <c r="K66" s="10"/>
      <c r="L66" s="122"/>
      <c r="M66" s="10"/>
      <c r="N66" s="10"/>
      <c r="O66" s="10"/>
      <c r="P66" s="10"/>
      <c r="Q66" s="122"/>
      <c r="R66" s="130"/>
      <c r="S66" s="38"/>
      <c r="T66" s="38"/>
      <c r="U66" s="38"/>
      <c r="V66" s="37"/>
      <c r="W66" s="130"/>
      <c r="X66" s="38"/>
      <c r="Y66" s="38"/>
      <c r="Z66" s="38"/>
      <c r="AA66" s="37"/>
      <c r="AB66" s="130"/>
      <c r="AC66" s="38"/>
      <c r="AD66" s="38"/>
      <c r="AE66" s="38"/>
      <c r="AF66" s="38"/>
      <c r="AG66" s="130"/>
      <c r="AH66" s="38"/>
      <c r="AI66" s="38"/>
      <c r="AJ66" s="38"/>
      <c r="AK66" s="37"/>
      <c r="AL66" s="130"/>
      <c r="AM66" s="38"/>
      <c r="AN66" s="38"/>
      <c r="AO66" s="38"/>
      <c r="AP66" s="38"/>
      <c r="AQ66" s="130"/>
      <c r="AR66" s="38"/>
      <c r="AS66" s="38"/>
      <c r="AT66" s="38"/>
      <c r="AU66" s="38"/>
      <c r="AZ66" s="38"/>
      <c r="BA66" s="130"/>
      <c r="BB66" s="38"/>
      <c r="BC66" s="38"/>
      <c r="BD66" s="38"/>
      <c r="BE66" s="38"/>
      <c r="BF66" s="130"/>
      <c r="BG66" s="38"/>
      <c r="BH66" s="38"/>
      <c r="BI66" s="38"/>
      <c r="BJ66" s="786"/>
      <c r="BK66" s="130"/>
      <c r="BL66" s="38"/>
      <c r="BM66" s="38"/>
      <c r="BN66" s="38"/>
      <c r="BO66" s="786"/>
      <c r="BP66" s="130"/>
      <c r="BQ66" s="38"/>
      <c r="BR66" s="38"/>
      <c r="BS66" s="38"/>
      <c r="BT66" s="786"/>
      <c r="BU66" s="130"/>
      <c r="BV66" s="38"/>
      <c r="BW66" s="38"/>
      <c r="BX66" s="38"/>
      <c r="BY66" s="31"/>
      <c r="BZ66" s="130"/>
      <c r="CA66" s="38"/>
      <c r="CB66" s="38"/>
      <c r="CC66" s="38"/>
      <c r="CD66" s="38"/>
      <c r="CE66" s="130"/>
      <c r="CF66" s="38"/>
      <c r="CG66" s="38"/>
      <c r="CH66" s="38"/>
      <c r="CI66" s="31"/>
      <c r="CO66" s="130"/>
      <c r="CP66" s="38"/>
      <c r="CQ66" s="38"/>
      <c r="CR66" s="38"/>
      <c r="CS66" s="31"/>
      <c r="CT66" s="130"/>
      <c r="CU66" s="38"/>
      <c r="CV66" s="38"/>
      <c r="CW66" s="38"/>
      <c r="CX66" s="31"/>
      <c r="CY66" s="130"/>
      <c r="CZ66" s="38"/>
      <c r="DA66" s="38"/>
      <c r="DB66" s="38"/>
      <c r="DC66" s="31"/>
      <c r="DD66" s="130"/>
      <c r="DE66" s="38"/>
      <c r="DF66" s="38"/>
      <c r="DG66" s="38"/>
      <c r="DH66" s="31"/>
      <c r="DI66" s="130"/>
      <c r="DJ66" s="38"/>
      <c r="DK66" s="38"/>
      <c r="DL66" s="38"/>
      <c r="DM66" s="31"/>
      <c r="DN66" s="130"/>
      <c r="DO66" s="38"/>
      <c r="DP66" s="38"/>
      <c r="DQ66" s="38"/>
      <c r="DR66" s="31"/>
      <c r="DS66" s="130"/>
      <c r="DT66" s="38"/>
      <c r="DU66" s="38"/>
      <c r="DV66" s="38"/>
      <c r="DW66" s="31"/>
      <c r="DX66" s="130"/>
      <c r="DY66" s="38"/>
      <c r="DZ66" s="38"/>
      <c r="EA66" s="38"/>
      <c r="EB66" s="31"/>
      <c r="EC66" s="130"/>
      <c r="ED66" s="38"/>
      <c r="EE66" s="38"/>
      <c r="EF66" s="38"/>
      <c r="EG66" s="31"/>
      <c r="EH66" s="130"/>
      <c r="EI66" s="38"/>
      <c r="EJ66" s="38"/>
      <c r="EK66" s="38"/>
      <c r="EL66" s="31"/>
      <c r="EM66" s="131"/>
      <c r="EN66" s="132"/>
      <c r="EO66" s="132"/>
      <c r="EP66" s="132"/>
      <c r="EQ66" s="132"/>
      <c r="ER66" s="39"/>
      <c r="ES66" s="131"/>
      <c r="ET66" s="132"/>
      <c r="EU66" s="132"/>
      <c r="EV66" s="132"/>
      <c r="EW66" s="132"/>
    </row>
    <row r="67" spans="1:153" s="8" customFormat="1" ht="14.25" customHeight="1">
      <c r="A67" s="10"/>
      <c r="B67" s="10"/>
      <c r="C67" s="10"/>
      <c r="D67" s="10"/>
      <c r="E67" s="122"/>
      <c r="F67" s="122"/>
      <c r="G67" s="122"/>
      <c r="H67" s="122"/>
      <c r="I67" s="122"/>
      <c r="J67" s="10"/>
      <c r="K67" s="10"/>
      <c r="L67" s="122"/>
      <c r="M67" s="10"/>
      <c r="N67" s="10"/>
      <c r="O67" s="10"/>
      <c r="P67" s="10"/>
      <c r="Q67" s="122"/>
      <c r="R67" s="130"/>
      <c r="S67" s="38"/>
      <c r="T67" s="38"/>
      <c r="U67" s="38"/>
      <c r="V67" s="37"/>
      <c r="W67" s="130"/>
      <c r="X67" s="38"/>
      <c r="Y67" s="38"/>
      <c r="Z67" s="38"/>
      <c r="AA67" s="37"/>
      <c r="AB67" s="130"/>
      <c r="AC67" s="38"/>
      <c r="AD67" s="38"/>
      <c r="AE67" s="38"/>
      <c r="AF67" s="38"/>
      <c r="AG67" s="130"/>
      <c r="AH67" s="38"/>
      <c r="AI67" s="38"/>
      <c r="AJ67" s="38"/>
      <c r="AK67" s="37"/>
      <c r="AL67" s="130"/>
      <c r="AM67" s="38"/>
      <c r="AN67" s="38"/>
      <c r="AO67" s="38"/>
      <c r="AP67" s="38"/>
      <c r="AQ67" s="130"/>
      <c r="AR67" s="38"/>
      <c r="AS67" s="38"/>
      <c r="AT67" s="38"/>
      <c r="AU67" s="38"/>
      <c r="AZ67" s="38"/>
      <c r="BA67" s="130"/>
      <c r="BB67" s="38"/>
      <c r="BC67" s="38"/>
      <c r="BD67" s="38"/>
      <c r="BE67" s="38"/>
      <c r="BF67" s="130"/>
      <c r="BG67" s="38"/>
      <c r="BH67" s="38"/>
      <c r="BI67" s="38"/>
      <c r="BJ67" s="786"/>
      <c r="BK67" s="130"/>
      <c r="BL67" s="38"/>
      <c r="BM67" s="38"/>
      <c r="BN67" s="38"/>
      <c r="BO67" s="786"/>
      <c r="BP67" s="130"/>
      <c r="BQ67" s="38"/>
      <c r="BR67" s="38"/>
      <c r="BS67" s="38"/>
      <c r="BT67" s="786"/>
      <c r="BU67" s="130"/>
      <c r="BV67" s="38"/>
      <c r="BW67" s="38"/>
      <c r="BX67" s="38"/>
      <c r="BY67" s="31"/>
      <c r="BZ67" s="130"/>
      <c r="CA67" s="38"/>
      <c r="CB67" s="38"/>
      <c r="CC67" s="38"/>
      <c r="CD67" s="38"/>
      <c r="CE67" s="130"/>
      <c r="CF67" s="38"/>
      <c r="CG67" s="38"/>
      <c r="CH67" s="38"/>
      <c r="CI67" s="31"/>
      <c r="CO67" s="130"/>
      <c r="CP67" s="38"/>
      <c r="CQ67" s="38"/>
      <c r="CR67" s="38"/>
      <c r="CS67" s="31"/>
      <c r="CT67" s="130"/>
      <c r="CU67" s="38"/>
      <c r="CV67" s="38"/>
      <c r="CW67" s="38"/>
      <c r="CX67" s="31"/>
      <c r="CY67" s="130"/>
      <c r="CZ67" s="38"/>
      <c r="DA67" s="38"/>
      <c r="DB67" s="38"/>
      <c r="DC67" s="31"/>
      <c r="DD67" s="130"/>
      <c r="DE67" s="38"/>
      <c r="DF67" s="38"/>
      <c r="DG67" s="38"/>
      <c r="DH67" s="31"/>
      <c r="DI67" s="130"/>
      <c r="DJ67" s="38"/>
      <c r="DK67" s="38"/>
      <c r="DL67" s="38"/>
      <c r="DM67" s="31"/>
      <c r="DN67" s="130"/>
      <c r="DO67" s="38"/>
      <c r="DP67" s="38"/>
      <c r="DQ67" s="38"/>
      <c r="DR67" s="31"/>
      <c r="DS67" s="130"/>
      <c r="DT67" s="38"/>
      <c r="DU67" s="38"/>
      <c r="DV67" s="38"/>
      <c r="DW67" s="31"/>
      <c r="DX67" s="130"/>
      <c r="DY67" s="38"/>
      <c r="DZ67" s="38"/>
      <c r="EA67" s="38"/>
      <c r="EB67" s="31"/>
      <c r="EC67" s="130"/>
      <c r="ED67" s="38"/>
      <c r="EE67" s="38"/>
      <c r="EF67" s="38"/>
      <c r="EG67" s="31"/>
      <c r="EH67" s="130"/>
      <c r="EI67" s="38"/>
      <c r="EJ67" s="38"/>
      <c r="EK67" s="38"/>
      <c r="EL67" s="31"/>
      <c r="EM67" s="131"/>
      <c r="EN67" s="132"/>
      <c r="EO67" s="132"/>
      <c r="EP67" s="132"/>
      <c r="EQ67" s="132"/>
      <c r="ER67" s="39"/>
      <c r="ES67" s="131"/>
      <c r="ET67" s="132"/>
      <c r="EU67" s="132"/>
      <c r="EV67" s="132"/>
      <c r="EW67" s="132"/>
    </row>
    <row r="68" spans="1:153" s="8" customFormat="1" ht="14.25" customHeight="1">
      <c r="A68" s="10"/>
      <c r="B68" s="10"/>
      <c r="C68" s="10"/>
      <c r="D68" s="10"/>
      <c r="E68" s="122"/>
      <c r="F68" s="122"/>
      <c r="G68" s="122"/>
      <c r="H68" s="122"/>
      <c r="I68" s="122"/>
      <c r="J68" s="10"/>
      <c r="K68" s="10"/>
      <c r="L68" s="122"/>
      <c r="M68" s="10"/>
      <c r="N68" s="10"/>
      <c r="O68" s="10"/>
      <c r="P68" s="10"/>
      <c r="Q68" s="122"/>
      <c r="R68" s="130"/>
      <c r="S68" s="38"/>
      <c r="T68" s="38"/>
      <c r="U68" s="38"/>
      <c r="V68" s="37"/>
      <c r="W68" s="130"/>
      <c r="X68" s="38"/>
      <c r="Y68" s="38"/>
      <c r="Z68" s="38"/>
      <c r="AA68" s="37"/>
      <c r="AB68" s="130"/>
      <c r="AC68" s="38"/>
      <c r="AD68" s="38"/>
      <c r="AE68" s="38"/>
      <c r="AF68" s="38"/>
      <c r="AG68" s="130"/>
      <c r="AH68" s="38"/>
      <c r="AI68" s="38"/>
      <c r="AJ68" s="38"/>
      <c r="AK68" s="37"/>
      <c r="AL68" s="130"/>
      <c r="AM68" s="38"/>
      <c r="AN68" s="38"/>
      <c r="AO68" s="38"/>
      <c r="AP68" s="38"/>
      <c r="AQ68" s="130"/>
      <c r="AR68" s="38"/>
      <c r="AS68" s="38"/>
      <c r="AT68" s="38"/>
      <c r="AU68" s="38"/>
      <c r="AZ68" s="38"/>
      <c r="BA68" s="130"/>
      <c r="BB68" s="38"/>
      <c r="BC68" s="38"/>
      <c r="BD68" s="38"/>
      <c r="BE68" s="38"/>
      <c r="BF68" s="130"/>
      <c r="BG68" s="38"/>
      <c r="BH68" s="38"/>
      <c r="BI68" s="38"/>
      <c r="BJ68" s="786"/>
      <c r="BK68" s="130"/>
      <c r="BL68" s="38"/>
      <c r="BM68" s="38"/>
      <c r="BN68" s="38"/>
      <c r="BO68" s="786"/>
      <c r="BP68" s="130"/>
      <c r="BQ68" s="38"/>
      <c r="BR68" s="38"/>
      <c r="BS68" s="38"/>
      <c r="BT68" s="786"/>
      <c r="BU68" s="130"/>
      <c r="BV68" s="38"/>
      <c r="BW68" s="38"/>
      <c r="BX68" s="38"/>
      <c r="BY68" s="31"/>
      <c r="BZ68" s="130"/>
      <c r="CA68" s="38"/>
      <c r="CB68" s="38"/>
      <c r="CC68" s="38"/>
      <c r="CD68" s="38"/>
      <c r="CE68" s="130"/>
      <c r="CF68" s="38"/>
      <c r="CG68" s="38"/>
      <c r="CH68" s="38"/>
      <c r="CI68" s="31"/>
      <c r="CO68" s="130"/>
      <c r="CP68" s="38"/>
      <c r="CQ68" s="38"/>
      <c r="CR68" s="38"/>
      <c r="CS68" s="31"/>
      <c r="CT68" s="130"/>
      <c r="CU68" s="38"/>
      <c r="CV68" s="38"/>
      <c r="CW68" s="38"/>
      <c r="CX68" s="31"/>
      <c r="CY68" s="130"/>
      <c r="CZ68" s="38"/>
      <c r="DA68" s="38"/>
      <c r="DB68" s="38"/>
      <c r="DC68" s="31"/>
      <c r="DD68" s="130"/>
      <c r="DE68" s="38"/>
      <c r="DF68" s="38"/>
      <c r="DG68" s="38"/>
      <c r="DH68" s="31"/>
      <c r="DI68" s="130"/>
      <c r="DJ68" s="38"/>
      <c r="DK68" s="38"/>
      <c r="DL68" s="38"/>
      <c r="DM68" s="31"/>
      <c r="DN68" s="130"/>
      <c r="DO68" s="38"/>
      <c r="DP68" s="38"/>
      <c r="DQ68" s="38"/>
      <c r="DR68" s="31"/>
      <c r="DS68" s="130"/>
      <c r="DT68" s="38"/>
      <c r="DU68" s="38"/>
      <c r="DV68" s="38"/>
      <c r="DW68" s="31"/>
      <c r="DX68" s="130"/>
      <c r="DY68" s="38"/>
      <c r="DZ68" s="38"/>
      <c r="EA68" s="38"/>
      <c r="EB68" s="31"/>
      <c r="EC68" s="130"/>
      <c r="ED68" s="38"/>
      <c r="EE68" s="38"/>
      <c r="EF68" s="38"/>
      <c r="EG68" s="31"/>
      <c r="EH68" s="130"/>
      <c r="EI68" s="38"/>
      <c r="EJ68" s="38"/>
      <c r="EK68" s="38"/>
      <c r="EL68" s="31"/>
      <c r="EM68" s="131"/>
      <c r="EN68" s="132"/>
      <c r="EO68" s="132"/>
      <c r="EP68" s="132"/>
      <c r="EQ68" s="132"/>
      <c r="ER68" s="39"/>
      <c r="ES68" s="131"/>
      <c r="ET68" s="132"/>
      <c r="EU68" s="132"/>
      <c r="EV68" s="132"/>
      <c r="EW68" s="132"/>
    </row>
    <row r="69" spans="1:153" s="8" customFormat="1" ht="14.25" customHeight="1">
      <c r="A69" s="10"/>
      <c r="B69" s="10"/>
      <c r="C69" s="10"/>
      <c r="D69" s="10"/>
      <c r="E69" s="122"/>
      <c r="F69" s="122"/>
      <c r="G69" s="122"/>
      <c r="H69" s="122"/>
      <c r="I69" s="122"/>
      <c r="J69" s="10"/>
      <c r="K69" s="10"/>
      <c r="L69" s="122"/>
      <c r="M69" s="10"/>
      <c r="N69" s="10"/>
      <c r="O69" s="10"/>
      <c r="P69" s="10"/>
      <c r="Q69" s="122"/>
      <c r="R69" s="130"/>
      <c r="S69" s="38"/>
      <c r="T69" s="38"/>
      <c r="U69" s="38"/>
      <c r="V69" s="37"/>
      <c r="W69" s="130"/>
      <c r="X69" s="38"/>
      <c r="Y69" s="38"/>
      <c r="Z69" s="38"/>
      <c r="AA69" s="37"/>
      <c r="AB69" s="130"/>
      <c r="AC69" s="38"/>
      <c r="AD69" s="38"/>
      <c r="AE69" s="38"/>
      <c r="AF69" s="38"/>
      <c r="AG69" s="130"/>
      <c r="AH69" s="38"/>
      <c r="AI69" s="38"/>
      <c r="AJ69" s="38"/>
      <c r="AK69" s="37"/>
      <c r="AL69" s="130"/>
      <c r="AM69" s="38"/>
      <c r="AN69" s="38"/>
      <c r="AO69" s="38"/>
      <c r="AP69" s="38"/>
      <c r="AQ69" s="130"/>
      <c r="AR69" s="38"/>
      <c r="AS69" s="38"/>
      <c r="AT69" s="38"/>
      <c r="AU69" s="38"/>
      <c r="AZ69" s="38"/>
      <c r="BA69" s="130"/>
      <c r="BB69" s="38"/>
      <c r="BC69" s="38"/>
      <c r="BD69" s="38"/>
      <c r="BE69" s="38"/>
      <c r="BF69" s="130"/>
      <c r="BG69" s="38"/>
      <c r="BH69" s="38"/>
      <c r="BI69" s="38"/>
      <c r="BJ69" s="786"/>
      <c r="BK69" s="130"/>
      <c r="BL69" s="38"/>
      <c r="BM69" s="38"/>
      <c r="BN69" s="38"/>
      <c r="BO69" s="786"/>
      <c r="BP69" s="130"/>
      <c r="BQ69" s="38"/>
      <c r="BR69" s="38"/>
      <c r="BS69" s="38"/>
      <c r="BT69" s="786"/>
      <c r="BU69" s="130"/>
      <c r="BV69" s="38"/>
      <c r="BW69" s="38"/>
      <c r="BX69" s="38"/>
      <c r="BY69" s="31"/>
      <c r="BZ69" s="130"/>
      <c r="CA69" s="38"/>
      <c r="CB69" s="38"/>
      <c r="CC69" s="38"/>
      <c r="CD69" s="38"/>
      <c r="CE69" s="130"/>
      <c r="CF69" s="38"/>
      <c r="CG69" s="38"/>
      <c r="CH69" s="38"/>
      <c r="CI69" s="31"/>
      <c r="CO69" s="130"/>
      <c r="CP69" s="38"/>
      <c r="CQ69" s="38"/>
      <c r="CR69" s="38"/>
      <c r="CS69" s="31"/>
      <c r="CT69" s="130"/>
      <c r="CU69" s="38"/>
      <c r="CV69" s="38"/>
      <c r="CW69" s="38"/>
      <c r="CX69" s="31"/>
      <c r="CY69" s="130"/>
      <c r="CZ69" s="38"/>
      <c r="DA69" s="38"/>
      <c r="DB69" s="38"/>
      <c r="DC69" s="31"/>
      <c r="DD69" s="130"/>
      <c r="DE69" s="38"/>
      <c r="DF69" s="38"/>
      <c r="DG69" s="38"/>
      <c r="DH69" s="31"/>
      <c r="DI69" s="130"/>
      <c r="DJ69" s="38"/>
      <c r="DK69" s="38"/>
      <c r="DL69" s="38"/>
      <c r="DM69" s="31"/>
      <c r="DN69" s="130"/>
      <c r="DO69" s="38"/>
      <c r="DP69" s="38"/>
      <c r="DQ69" s="38"/>
      <c r="DR69" s="31"/>
      <c r="DS69" s="130"/>
      <c r="DT69" s="38"/>
      <c r="DU69" s="38"/>
      <c r="DV69" s="38"/>
      <c r="DW69" s="31"/>
      <c r="DX69" s="130"/>
      <c r="DY69" s="38"/>
      <c r="DZ69" s="38"/>
      <c r="EA69" s="38"/>
      <c r="EB69" s="31"/>
      <c r="EC69" s="130"/>
      <c r="ED69" s="38"/>
      <c r="EE69" s="38"/>
      <c r="EF69" s="38"/>
      <c r="EG69" s="31"/>
      <c r="EH69" s="130"/>
      <c r="EI69" s="38"/>
      <c r="EJ69" s="38"/>
      <c r="EK69" s="38"/>
      <c r="EL69" s="31"/>
      <c r="EM69" s="131"/>
      <c r="EN69" s="132"/>
      <c r="EO69" s="132"/>
      <c r="EP69" s="132"/>
      <c r="EQ69" s="132"/>
      <c r="ER69" s="39"/>
      <c r="ES69" s="131"/>
      <c r="ET69" s="132"/>
      <c r="EU69" s="132"/>
      <c r="EV69" s="132"/>
      <c r="EW69" s="132"/>
    </row>
    <row r="70" spans="1:153" s="8" customFormat="1" ht="14.25" customHeight="1">
      <c r="A70" s="10"/>
      <c r="B70" s="10"/>
      <c r="C70" s="10"/>
      <c r="D70" s="10"/>
      <c r="E70" s="122"/>
      <c r="F70" s="122"/>
      <c r="G70" s="122"/>
      <c r="H70" s="122"/>
      <c r="I70" s="122"/>
      <c r="J70" s="10"/>
      <c r="K70" s="10"/>
      <c r="L70" s="122"/>
      <c r="M70" s="10"/>
      <c r="N70" s="10"/>
      <c r="O70" s="10"/>
      <c r="P70" s="10"/>
      <c r="Q70" s="122"/>
      <c r="R70" s="130"/>
      <c r="S70" s="38"/>
      <c r="T70" s="38"/>
      <c r="U70" s="38"/>
      <c r="V70" s="37"/>
      <c r="W70" s="130"/>
      <c r="X70" s="38"/>
      <c r="Y70" s="38"/>
      <c r="Z70" s="38"/>
      <c r="AA70" s="37"/>
      <c r="AB70" s="130"/>
      <c r="AC70" s="38"/>
      <c r="AD70" s="38"/>
      <c r="AE70" s="38"/>
      <c r="AF70" s="38"/>
      <c r="AG70" s="130"/>
      <c r="AH70" s="38"/>
      <c r="AI70" s="38"/>
      <c r="AJ70" s="38"/>
      <c r="AK70" s="37"/>
      <c r="AL70" s="130"/>
      <c r="AM70" s="38"/>
      <c r="AN70" s="38"/>
      <c r="AO70" s="38"/>
      <c r="AP70" s="38"/>
      <c r="AQ70" s="130"/>
      <c r="AR70" s="38"/>
      <c r="AS70" s="38"/>
      <c r="AT70" s="38"/>
      <c r="AU70" s="38"/>
      <c r="AZ70" s="38"/>
      <c r="BA70" s="130"/>
      <c r="BB70" s="38"/>
      <c r="BC70" s="38"/>
      <c r="BD70" s="38"/>
      <c r="BE70" s="38"/>
      <c r="BF70" s="130"/>
      <c r="BG70" s="38"/>
      <c r="BH70" s="38"/>
      <c r="BI70" s="38"/>
      <c r="BJ70" s="786"/>
      <c r="BK70" s="130"/>
      <c r="BL70" s="38"/>
      <c r="BM70" s="38"/>
      <c r="BN70" s="38"/>
      <c r="BO70" s="786"/>
      <c r="BP70" s="130"/>
      <c r="BQ70" s="38"/>
      <c r="BR70" s="38"/>
      <c r="BS70" s="38"/>
      <c r="BT70" s="786"/>
      <c r="BU70" s="130"/>
      <c r="BV70" s="38"/>
      <c r="BW70" s="38"/>
      <c r="BX70" s="38"/>
      <c r="BY70" s="31"/>
      <c r="BZ70" s="130"/>
      <c r="CA70" s="38"/>
      <c r="CB70" s="38"/>
      <c r="CC70" s="38"/>
      <c r="CD70" s="38"/>
      <c r="CE70" s="130"/>
      <c r="CF70" s="38"/>
      <c r="CG70" s="38"/>
      <c r="CH70" s="38"/>
      <c r="CI70" s="31"/>
      <c r="CO70" s="130"/>
      <c r="CP70" s="38"/>
      <c r="CQ70" s="38"/>
      <c r="CR70" s="38"/>
      <c r="CS70" s="31"/>
      <c r="CT70" s="130"/>
      <c r="CU70" s="38"/>
      <c r="CV70" s="38"/>
      <c r="CW70" s="38"/>
      <c r="CX70" s="31"/>
      <c r="CY70" s="130"/>
      <c r="CZ70" s="38"/>
      <c r="DA70" s="38"/>
      <c r="DB70" s="38"/>
      <c r="DC70" s="31"/>
      <c r="DD70" s="130"/>
      <c r="DE70" s="38"/>
      <c r="DF70" s="38"/>
      <c r="DG70" s="38"/>
      <c r="DH70" s="31"/>
      <c r="DI70" s="130"/>
      <c r="DJ70" s="38"/>
      <c r="DK70" s="38"/>
      <c r="DL70" s="38"/>
      <c r="DM70" s="31"/>
      <c r="DN70" s="130"/>
      <c r="DO70" s="38"/>
      <c r="DP70" s="38"/>
      <c r="DQ70" s="38"/>
      <c r="DR70" s="31"/>
      <c r="DS70" s="130"/>
      <c r="DT70" s="38"/>
      <c r="DU70" s="38"/>
      <c r="DV70" s="38"/>
      <c r="DW70" s="31"/>
      <c r="DX70" s="130"/>
      <c r="DY70" s="38"/>
      <c r="DZ70" s="38"/>
      <c r="EA70" s="38"/>
      <c r="EB70" s="31"/>
      <c r="EC70" s="130"/>
      <c r="ED70" s="38"/>
      <c r="EE70" s="38"/>
      <c r="EF70" s="38"/>
      <c r="EG70" s="31"/>
      <c r="EH70" s="130"/>
      <c r="EI70" s="38"/>
      <c r="EJ70" s="38"/>
      <c r="EK70" s="38"/>
      <c r="EL70" s="31"/>
      <c r="EM70" s="131"/>
      <c r="EN70" s="132"/>
      <c r="EO70" s="132"/>
      <c r="EP70" s="132"/>
      <c r="EQ70" s="132"/>
      <c r="ER70" s="39"/>
      <c r="ES70" s="131"/>
      <c r="ET70" s="132"/>
      <c r="EU70" s="132"/>
      <c r="EV70" s="132"/>
      <c r="EW70" s="132"/>
    </row>
    <row r="71" spans="1:153" s="8" customFormat="1" ht="14.25" customHeight="1">
      <c r="A71" s="10"/>
      <c r="B71" s="10"/>
      <c r="C71" s="10"/>
      <c r="D71" s="10"/>
      <c r="E71" s="122"/>
      <c r="F71" s="122"/>
      <c r="G71" s="122"/>
      <c r="H71" s="122"/>
      <c r="I71" s="122"/>
      <c r="J71" s="10"/>
      <c r="K71" s="10"/>
      <c r="L71" s="122"/>
      <c r="M71" s="10"/>
      <c r="N71" s="10"/>
      <c r="O71" s="10"/>
      <c r="P71" s="10"/>
      <c r="Q71" s="122"/>
      <c r="R71" s="130"/>
      <c r="S71" s="38"/>
      <c r="T71" s="38"/>
      <c r="U71" s="38"/>
      <c r="V71" s="37"/>
      <c r="W71" s="130"/>
      <c r="X71" s="38"/>
      <c r="Y71" s="38"/>
      <c r="Z71" s="38"/>
      <c r="AA71" s="37"/>
      <c r="AB71" s="130"/>
      <c r="AC71" s="38"/>
      <c r="AD71" s="38"/>
      <c r="AE71" s="38"/>
      <c r="AF71" s="38"/>
      <c r="AG71" s="130"/>
      <c r="AH71" s="38"/>
      <c r="AI71" s="38"/>
      <c r="AJ71" s="38"/>
      <c r="AK71" s="37"/>
      <c r="AL71" s="130"/>
      <c r="AM71" s="38"/>
      <c r="AN71" s="38"/>
      <c r="AO71" s="38"/>
      <c r="AP71" s="38"/>
      <c r="AQ71" s="130"/>
      <c r="AR71" s="38"/>
      <c r="AS71" s="38"/>
      <c r="AT71" s="38"/>
      <c r="AU71" s="38"/>
      <c r="AZ71" s="38"/>
      <c r="BA71" s="130"/>
      <c r="BB71" s="38"/>
      <c r="BC71" s="38"/>
      <c r="BD71" s="38"/>
      <c r="BE71" s="38"/>
      <c r="BF71" s="130"/>
      <c r="BG71" s="38"/>
      <c r="BH71" s="38"/>
      <c r="BI71" s="38"/>
      <c r="BJ71" s="786"/>
      <c r="BK71" s="130"/>
      <c r="BL71" s="38"/>
      <c r="BM71" s="38"/>
      <c r="BN71" s="38"/>
      <c r="BO71" s="786"/>
      <c r="BP71" s="130"/>
      <c r="BQ71" s="38"/>
      <c r="BR71" s="38"/>
      <c r="BS71" s="38"/>
      <c r="BT71" s="786"/>
      <c r="BU71" s="130"/>
      <c r="BV71" s="38"/>
      <c r="BW71" s="38"/>
      <c r="BX71" s="38"/>
      <c r="BY71" s="31"/>
      <c r="BZ71" s="130"/>
      <c r="CA71" s="38"/>
      <c r="CB71" s="38"/>
      <c r="CC71" s="38"/>
      <c r="CD71" s="38"/>
      <c r="CE71" s="130"/>
      <c r="CF71" s="38"/>
      <c r="CG71" s="38"/>
      <c r="CH71" s="38"/>
      <c r="CI71" s="31"/>
      <c r="CO71" s="130"/>
      <c r="CP71" s="38"/>
      <c r="CQ71" s="38"/>
      <c r="CR71" s="38"/>
      <c r="CS71" s="31"/>
      <c r="CT71" s="130"/>
      <c r="CU71" s="38"/>
      <c r="CV71" s="38"/>
      <c r="CW71" s="38"/>
      <c r="CX71" s="31"/>
      <c r="CY71" s="130"/>
      <c r="CZ71" s="38"/>
      <c r="DA71" s="38"/>
      <c r="DB71" s="38"/>
      <c r="DC71" s="31"/>
      <c r="DD71" s="130"/>
      <c r="DE71" s="38"/>
      <c r="DF71" s="38"/>
      <c r="DG71" s="38"/>
      <c r="DH71" s="31"/>
      <c r="DI71" s="130"/>
      <c r="DJ71" s="38"/>
      <c r="DK71" s="38"/>
      <c r="DL71" s="38"/>
      <c r="DM71" s="31"/>
      <c r="DN71" s="130"/>
      <c r="DO71" s="38"/>
      <c r="DP71" s="38"/>
      <c r="DQ71" s="38"/>
      <c r="DR71" s="31"/>
      <c r="DS71" s="130"/>
      <c r="DT71" s="38"/>
      <c r="DU71" s="38"/>
      <c r="DV71" s="38"/>
      <c r="DW71" s="31"/>
      <c r="DX71" s="130"/>
      <c r="DY71" s="38"/>
      <c r="DZ71" s="38"/>
      <c r="EA71" s="38"/>
      <c r="EB71" s="31"/>
      <c r="EC71" s="130"/>
      <c r="ED71" s="38"/>
      <c r="EE71" s="38"/>
      <c r="EF71" s="38"/>
      <c r="EG71" s="31"/>
      <c r="EH71" s="130"/>
      <c r="EI71" s="38"/>
      <c r="EJ71" s="38"/>
      <c r="EK71" s="38"/>
      <c r="EL71" s="31"/>
      <c r="EM71" s="131"/>
      <c r="EN71" s="132"/>
      <c r="EO71" s="132"/>
      <c r="EP71" s="132"/>
      <c r="EQ71" s="132"/>
      <c r="ER71" s="39"/>
      <c r="ES71" s="131"/>
      <c r="ET71" s="132"/>
      <c r="EU71" s="132"/>
      <c r="EV71" s="132"/>
      <c r="EW71" s="132"/>
    </row>
    <row r="72" spans="1:153" s="8" customFormat="1" ht="14.25" customHeight="1">
      <c r="A72" s="10"/>
      <c r="B72" s="10"/>
      <c r="C72" s="10"/>
      <c r="D72" s="10"/>
      <c r="E72" s="122"/>
      <c r="F72" s="122"/>
      <c r="G72" s="122"/>
      <c r="H72" s="122"/>
      <c r="I72" s="122"/>
      <c r="J72" s="10"/>
      <c r="K72" s="10"/>
      <c r="L72" s="122"/>
      <c r="M72" s="10"/>
      <c r="N72" s="10"/>
      <c r="O72" s="10"/>
      <c r="P72" s="10"/>
      <c r="Q72" s="122"/>
      <c r="R72" s="130"/>
      <c r="S72" s="38"/>
      <c r="T72" s="38"/>
      <c r="U72" s="38"/>
      <c r="V72" s="37"/>
      <c r="W72" s="130"/>
      <c r="X72" s="38"/>
      <c r="Y72" s="38"/>
      <c r="Z72" s="38"/>
      <c r="AA72" s="37"/>
      <c r="AB72" s="130"/>
      <c r="AC72" s="38"/>
      <c r="AD72" s="38"/>
      <c r="AE72" s="38"/>
      <c r="AF72" s="38"/>
      <c r="AG72" s="130"/>
      <c r="AH72" s="38"/>
      <c r="AI72" s="38"/>
      <c r="AJ72" s="38"/>
      <c r="AK72" s="37"/>
      <c r="AL72" s="130"/>
      <c r="AM72" s="38"/>
      <c r="AN72" s="38"/>
      <c r="AO72" s="38"/>
      <c r="AP72" s="38"/>
      <c r="AQ72" s="130"/>
      <c r="AR72" s="38"/>
      <c r="AS72" s="38"/>
      <c r="AT72" s="38"/>
      <c r="AU72" s="38"/>
      <c r="AZ72" s="38"/>
      <c r="BA72" s="130"/>
      <c r="BB72" s="38"/>
      <c r="BC72" s="38"/>
      <c r="BD72" s="38"/>
      <c r="BE72" s="38"/>
      <c r="BF72" s="130"/>
      <c r="BG72" s="38"/>
      <c r="BH72" s="38"/>
      <c r="BI72" s="38"/>
      <c r="BJ72" s="786"/>
      <c r="BK72" s="130"/>
      <c r="BL72" s="38"/>
      <c r="BM72" s="38"/>
      <c r="BN72" s="38"/>
      <c r="BO72" s="786"/>
      <c r="BP72" s="130"/>
      <c r="BQ72" s="38"/>
      <c r="BR72" s="38"/>
      <c r="BS72" s="38"/>
      <c r="BT72" s="786"/>
      <c r="BU72" s="130"/>
      <c r="BV72" s="38"/>
      <c r="BW72" s="38"/>
      <c r="BX72" s="38"/>
      <c r="BY72" s="31"/>
      <c r="BZ72" s="130"/>
      <c r="CA72" s="38"/>
      <c r="CB72" s="38"/>
      <c r="CC72" s="38"/>
      <c r="CD72" s="38"/>
      <c r="CE72" s="130"/>
      <c r="CF72" s="38"/>
      <c r="CG72" s="38"/>
      <c r="CH72" s="38"/>
      <c r="CI72" s="31"/>
      <c r="CO72" s="130"/>
      <c r="CP72" s="38"/>
      <c r="CQ72" s="38"/>
      <c r="CR72" s="38"/>
      <c r="CS72" s="31"/>
      <c r="CT72" s="130"/>
      <c r="CU72" s="38"/>
      <c r="CV72" s="38"/>
      <c r="CW72" s="38"/>
      <c r="CX72" s="31"/>
      <c r="CY72" s="130"/>
      <c r="CZ72" s="38"/>
      <c r="DA72" s="38"/>
      <c r="DB72" s="38"/>
      <c r="DC72" s="31"/>
      <c r="DD72" s="130"/>
      <c r="DE72" s="38"/>
      <c r="DF72" s="38"/>
      <c r="DG72" s="38"/>
      <c r="DH72" s="31"/>
      <c r="DI72" s="130"/>
      <c r="DJ72" s="38"/>
      <c r="DK72" s="38"/>
      <c r="DL72" s="38"/>
      <c r="DM72" s="31"/>
      <c r="DN72" s="130"/>
      <c r="DO72" s="38"/>
      <c r="DP72" s="38"/>
      <c r="DQ72" s="38"/>
      <c r="DR72" s="31"/>
      <c r="DS72" s="130"/>
      <c r="DT72" s="38"/>
      <c r="DU72" s="38"/>
      <c r="DV72" s="38"/>
      <c r="DW72" s="31"/>
      <c r="DX72" s="130"/>
      <c r="DY72" s="38"/>
      <c r="DZ72" s="38"/>
      <c r="EA72" s="38"/>
      <c r="EB72" s="31"/>
      <c r="EC72" s="130"/>
      <c r="ED72" s="38"/>
      <c r="EE72" s="38"/>
      <c r="EF72" s="38"/>
      <c r="EG72" s="31"/>
      <c r="EH72" s="130"/>
      <c r="EI72" s="38"/>
      <c r="EJ72" s="38"/>
      <c r="EK72" s="38"/>
      <c r="EL72" s="31"/>
      <c r="EM72" s="131"/>
      <c r="EN72" s="132"/>
      <c r="EO72" s="132"/>
      <c r="EP72" s="132"/>
      <c r="EQ72" s="132"/>
      <c r="ER72" s="39"/>
      <c r="ES72" s="131"/>
      <c r="ET72" s="132"/>
      <c r="EU72" s="132"/>
      <c r="EV72" s="132"/>
      <c r="EW72" s="132"/>
    </row>
    <row r="73" spans="1:153" s="8" customFormat="1" ht="14.25" customHeight="1">
      <c r="A73" s="10"/>
      <c r="B73" s="10"/>
      <c r="C73" s="10"/>
      <c r="D73" s="10"/>
      <c r="E73" s="122"/>
      <c r="F73" s="122"/>
      <c r="G73" s="122"/>
      <c r="H73" s="122"/>
      <c r="I73" s="122"/>
      <c r="J73" s="10"/>
      <c r="K73" s="10"/>
      <c r="L73" s="122"/>
      <c r="M73" s="10"/>
      <c r="N73" s="10"/>
      <c r="O73" s="10"/>
      <c r="P73" s="10"/>
      <c r="Q73" s="122"/>
      <c r="R73" s="130"/>
      <c r="S73" s="38"/>
      <c r="T73" s="38"/>
      <c r="U73" s="38"/>
      <c r="V73" s="37"/>
      <c r="W73" s="130"/>
      <c r="X73" s="38"/>
      <c r="Y73" s="38"/>
      <c r="Z73" s="38"/>
      <c r="AA73" s="37"/>
      <c r="AB73" s="130"/>
      <c r="AC73" s="38"/>
      <c r="AD73" s="38"/>
      <c r="AE73" s="38"/>
      <c r="AF73" s="38"/>
      <c r="AG73" s="130"/>
      <c r="AH73" s="38"/>
      <c r="AI73" s="38"/>
      <c r="AJ73" s="38"/>
      <c r="AK73" s="37"/>
      <c r="AL73" s="130"/>
      <c r="AM73" s="38"/>
      <c r="AN73" s="38"/>
      <c r="AO73" s="38"/>
      <c r="AP73" s="38"/>
      <c r="AQ73" s="130"/>
      <c r="AR73" s="38"/>
      <c r="AS73" s="38"/>
      <c r="AT73" s="38"/>
      <c r="AU73" s="38"/>
      <c r="AZ73" s="38"/>
      <c r="BA73" s="130"/>
      <c r="BB73" s="38"/>
      <c r="BC73" s="38"/>
      <c r="BD73" s="38"/>
      <c r="BE73" s="38"/>
      <c r="BF73" s="130"/>
      <c r="BG73" s="38"/>
      <c r="BH73" s="38"/>
      <c r="BI73" s="38"/>
      <c r="BJ73" s="786"/>
      <c r="BK73" s="130"/>
      <c r="BL73" s="38"/>
      <c r="BM73" s="38"/>
      <c r="BN73" s="38"/>
      <c r="BO73" s="786"/>
      <c r="BP73" s="130"/>
      <c r="BQ73" s="38"/>
      <c r="BR73" s="38"/>
      <c r="BS73" s="38"/>
      <c r="BT73" s="786"/>
      <c r="BU73" s="130"/>
      <c r="BV73" s="38"/>
      <c r="BW73" s="38"/>
      <c r="BX73" s="38"/>
      <c r="BY73" s="31"/>
      <c r="BZ73" s="130"/>
      <c r="CA73" s="38"/>
      <c r="CB73" s="38"/>
      <c r="CC73" s="38"/>
      <c r="CD73" s="38"/>
      <c r="CE73" s="130"/>
      <c r="CF73" s="38"/>
      <c r="CG73" s="38"/>
      <c r="CH73" s="38"/>
      <c r="CI73" s="31"/>
      <c r="CO73" s="130"/>
      <c r="CP73" s="38"/>
      <c r="CQ73" s="38"/>
      <c r="CR73" s="38"/>
      <c r="CS73" s="31"/>
      <c r="CT73" s="130"/>
      <c r="CU73" s="38"/>
      <c r="CV73" s="38"/>
      <c r="CW73" s="38"/>
      <c r="CX73" s="31"/>
      <c r="CY73" s="130"/>
      <c r="CZ73" s="38"/>
      <c r="DA73" s="38"/>
      <c r="DB73" s="38"/>
      <c r="DC73" s="31"/>
      <c r="DD73" s="130"/>
      <c r="DE73" s="38"/>
      <c r="DF73" s="38"/>
      <c r="DG73" s="38"/>
      <c r="DH73" s="31"/>
      <c r="DI73" s="130"/>
      <c r="DJ73" s="38"/>
      <c r="DK73" s="38"/>
      <c r="DL73" s="38"/>
      <c r="DM73" s="31"/>
      <c r="DN73" s="130"/>
      <c r="DO73" s="38"/>
      <c r="DP73" s="38"/>
      <c r="DQ73" s="38"/>
      <c r="DR73" s="31"/>
      <c r="DS73" s="130"/>
      <c r="DT73" s="38"/>
      <c r="DU73" s="38"/>
      <c r="DV73" s="38"/>
      <c r="DW73" s="31"/>
      <c r="DX73" s="130"/>
      <c r="DY73" s="38"/>
      <c r="DZ73" s="38"/>
      <c r="EA73" s="38"/>
      <c r="EB73" s="31"/>
      <c r="EC73" s="130"/>
      <c r="ED73" s="38"/>
      <c r="EE73" s="38"/>
      <c r="EF73" s="38"/>
      <c r="EG73" s="31"/>
      <c r="EH73" s="130"/>
      <c r="EI73" s="38"/>
      <c r="EJ73" s="38"/>
      <c r="EK73" s="38"/>
      <c r="EL73" s="31"/>
      <c r="EM73" s="131"/>
      <c r="EN73" s="132"/>
      <c r="EO73" s="132"/>
      <c r="EP73" s="132"/>
      <c r="EQ73" s="132"/>
      <c r="ER73" s="39"/>
      <c r="ES73" s="131"/>
      <c r="ET73" s="132"/>
      <c r="EU73" s="132"/>
      <c r="EV73" s="132"/>
      <c r="EW73" s="132"/>
    </row>
    <row r="74" spans="1:153" s="8" customFormat="1" ht="14.25" customHeight="1">
      <c r="A74" s="10"/>
      <c r="B74" s="10"/>
      <c r="C74" s="10"/>
      <c r="D74" s="10"/>
      <c r="E74" s="122"/>
      <c r="F74" s="122"/>
      <c r="G74" s="122"/>
      <c r="H74" s="122"/>
      <c r="I74" s="122"/>
      <c r="J74" s="10"/>
      <c r="K74" s="10"/>
      <c r="L74" s="122"/>
      <c r="M74" s="10"/>
      <c r="N74" s="10"/>
      <c r="O74" s="10"/>
      <c r="P74" s="10"/>
      <c r="Q74" s="122"/>
      <c r="R74" s="130"/>
      <c r="S74" s="38"/>
      <c r="T74" s="38"/>
      <c r="U74" s="38"/>
      <c r="V74" s="37"/>
      <c r="W74" s="130"/>
      <c r="X74" s="38"/>
      <c r="Y74" s="38"/>
      <c r="Z74" s="38"/>
      <c r="AA74" s="37"/>
      <c r="AB74" s="130"/>
      <c r="AC74" s="38"/>
      <c r="AD74" s="38"/>
      <c r="AE74" s="38"/>
      <c r="AF74" s="38"/>
      <c r="AG74" s="130"/>
      <c r="AH74" s="38"/>
      <c r="AI74" s="38"/>
      <c r="AJ74" s="38"/>
      <c r="AK74" s="37"/>
      <c r="AL74" s="130"/>
      <c r="AM74" s="38"/>
      <c r="AN74" s="38"/>
      <c r="AO74" s="38"/>
      <c r="AP74" s="38"/>
      <c r="AQ74" s="130"/>
      <c r="AR74" s="38"/>
      <c r="AS74" s="38"/>
      <c r="AT74" s="38"/>
      <c r="AU74" s="38"/>
      <c r="AZ74" s="38"/>
      <c r="BA74" s="130"/>
      <c r="BB74" s="38"/>
      <c r="BC74" s="38"/>
      <c r="BD74" s="38"/>
      <c r="BE74" s="38"/>
      <c r="BF74" s="130"/>
      <c r="BG74" s="38"/>
      <c r="BH74" s="38"/>
      <c r="BI74" s="38"/>
      <c r="BJ74" s="786"/>
      <c r="BK74" s="130"/>
      <c r="BL74" s="38"/>
      <c r="BM74" s="38"/>
      <c r="BN74" s="38"/>
      <c r="BO74" s="786"/>
      <c r="BP74" s="130"/>
      <c r="BQ74" s="38"/>
      <c r="BR74" s="38"/>
      <c r="BS74" s="38"/>
      <c r="BT74" s="786"/>
      <c r="BU74" s="130"/>
      <c r="BV74" s="38"/>
      <c r="BW74" s="38"/>
      <c r="BX74" s="38"/>
      <c r="BY74" s="31"/>
      <c r="BZ74" s="130"/>
      <c r="CA74" s="38"/>
      <c r="CB74" s="38"/>
      <c r="CC74" s="38"/>
      <c r="CD74" s="38"/>
      <c r="CE74" s="130"/>
      <c r="CF74" s="38"/>
      <c r="CG74" s="38"/>
      <c r="CH74" s="38"/>
      <c r="CI74" s="31"/>
      <c r="CO74" s="130"/>
      <c r="CP74" s="38"/>
      <c r="CQ74" s="38"/>
      <c r="CR74" s="38"/>
      <c r="CS74" s="31"/>
      <c r="CT74" s="130"/>
      <c r="CU74" s="38"/>
      <c r="CV74" s="38"/>
      <c r="CW74" s="38"/>
      <c r="CX74" s="31"/>
      <c r="CY74" s="130"/>
      <c r="CZ74" s="38"/>
      <c r="DA74" s="38"/>
      <c r="DB74" s="38"/>
      <c r="DC74" s="31"/>
      <c r="DD74" s="130"/>
      <c r="DE74" s="38"/>
      <c r="DF74" s="38"/>
      <c r="DG74" s="38"/>
      <c r="DH74" s="31"/>
      <c r="DI74" s="130"/>
      <c r="DJ74" s="38"/>
      <c r="DK74" s="38"/>
      <c r="DL74" s="38"/>
      <c r="DM74" s="31"/>
      <c r="DN74" s="130"/>
      <c r="DO74" s="38"/>
      <c r="DP74" s="38"/>
      <c r="DQ74" s="38"/>
      <c r="DR74" s="31"/>
      <c r="DS74" s="130"/>
      <c r="DT74" s="38"/>
      <c r="DU74" s="38"/>
      <c r="DV74" s="38"/>
      <c r="DW74" s="31"/>
      <c r="DX74" s="130"/>
      <c r="DY74" s="38"/>
      <c r="DZ74" s="38"/>
      <c r="EA74" s="38"/>
      <c r="EB74" s="31"/>
      <c r="EC74" s="130"/>
      <c r="ED74" s="38"/>
      <c r="EE74" s="38"/>
      <c r="EF74" s="38"/>
      <c r="EG74" s="31"/>
      <c r="EH74" s="130"/>
      <c r="EI74" s="38"/>
      <c r="EJ74" s="38"/>
      <c r="EK74" s="38"/>
      <c r="EL74" s="31"/>
      <c r="EM74" s="131"/>
      <c r="EN74" s="132"/>
      <c r="EO74" s="132"/>
      <c r="EP74" s="132"/>
      <c r="EQ74" s="132"/>
      <c r="ER74" s="39"/>
      <c r="ES74" s="131"/>
      <c r="ET74" s="132"/>
      <c r="EU74" s="132"/>
      <c r="EV74" s="132"/>
      <c r="EW74" s="132"/>
    </row>
    <row r="75" spans="1:153" s="8" customFormat="1" ht="14.25" customHeight="1">
      <c r="A75" s="10"/>
      <c r="B75" s="10"/>
      <c r="C75" s="10"/>
      <c r="D75" s="10"/>
      <c r="E75" s="122"/>
      <c r="F75" s="122"/>
      <c r="G75" s="122"/>
      <c r="H75" s="122"/>
      <c r="I75" s="122"/>
      <c r="J75" s="10"/>
      <c r="K75" s="10"/>
      <c r="L75" s="122"/>
      <c r="M75" s="10"/>
      <c r="N75" s="10"/>
      <c r="O75" s="10"/>
      <c r="P75" s="10"/>
      <c r="Q75" s="122"/>
      <c r="R75" s="130"/>
      <c r="S75" s="38"/>
      <c r="T75" s="38"/>
      <c r="U75" s="38"/>
      <c r="V75" s="37"/>
      <c r="W75" s="130"/>
      <c r="X75" s="38"/>
      <c r="Y75" s="38"/>
      <c r="Z75" s="38"/>
      <c r="AA75" s="37"/>
      <c r="AB75" s="130"/>
      <c r="AC75" s="38"/>
      <c r="AD75" s="38"/>
      <c r="AE75" s="38"/>
      <c r="AF75" s="38"/>
      <c r="AG75" s="130"/>
      <c r="AH75" s="38"/>
      <c r="AI75" s="38"/>
      <c r="AJ75" s="38"/>
      <c r="AK75" s="37"/>
      <c r="AL75" s="130"/>
      <c r="AM75" s="38"/>
      <c r="AN75" s="38"/>
      <c r="AO75" s="38"/>
      <c r="AP75" s="38"/>
      <c r="AQ75" s="130"/>
      <c r="AR75" s="38"/>
      <c r="AS75" s="38"/>
      <c r="AT75" s="38"/>
      <c r="AU75" s="38"/>
      <c r="AZ75" s="38"/>
      <c r="BA75" s="130"/>
      <c r="BB75" s="38"/>
      <c r="BC75" s="38"/>
      <c r="BD75" s="38"/>
      <c r="BE75" s="38"/>
      <c r="BF75" s="130"/>
      <c r="BG75" s="38"/>
      <c r="BH75" s="38"/>
      <c r="BI75" s="38"/>
      <c r="BJ75" s="786"/>
      <c r="BK75" s="130"/>
      <c r="BL75" s="38"/>
      <c r="BM75" s="38"/>
      <c r="BN75" s="38"/>
      <c r="BO75" s="786"/>
      <c r="BP75" s="130"/>
      <c r="BQ75" s="38"/>
      <c r="BR75" s="38"/>
      <c r="BS75" s="38"/>
      <c r="BT75" s="786"/>
      <c r="BU75" s="130"/>
      <c r="BV75" s="38"/>
      <c r="BW75" s="38"/>
      <c r="BX75" s="38"/>
      <c r="BY75" s="31"/>
      <c r="BZ75" s="130"/>
      <c r="CA75" s="38"/>
      <c r="CB75" s="38"/>
      <c r="CC75" s="38"/>
      <c r="CD75" s="38"/>
      <c r="CE75" s="130"/>
      <c r="CF75" s="38"/>
      <c r="CG75" s="38"/>
      <c r="CH75" s="38"/>
      <c r="CI75" s="31"/>
      <c r="CO75" s="130"/>
      <c r="CP75" s="38"/>
      <c r="CQ75" s="38"/>
      <c r="CR75" s="38"/>
      <c r="CS75" s="31"/>
      <c r="CT75" s="130"/>
      <c r="CU75" s="38"/>
      <c r="CV75" s="38"/>
      <c r="CW75" s="38"/>
      <c r="CX75" s="31"/>
      <c r="CY75" s="130"/>
      <c r="CZ75" s="38"/>
      <c r="DA75" s="38"/>
      <c r="DB75" s="38"/>
      <c r="DC75" s="31"/>
      <c r="DD75" s="130"/>
      <c r="DE75" s="38"/>
      <c r="DF75" s="38"/>
      <c r="DG75" s="38"/>
      <c r="DH75" s="31"/>
      <c r="DI75" s="130"/>
      <c r="DJ75" s="38"/>
      <c r="DK75" s="38"/>
      <c r="DL75" s="38"/>
      <c r="DM75" s="31"/>
      <c r="DN75" s="130"/>
      <c r="DO75" s="38"/>
      <c r="DP75" s="38"/>
      <c r="DQ75" s="38"/>
      <c r="DR75" s="31"/>
      <c r="DS75" s="130"/>
      <c r="DT75" s="38"/>
      <c r="DU75" s="38"/>
      <c r="DV75" s="38"/>
      <c r="DW75" s="31"/>
      <c r="DX75" s="130"/>
      <c r="DY75" s="38"/>
      <c r="DZ75" s="38"/>
      <c r="EA75" s="38"/>
      <c r="EB75" s="31"/>
      <c r="EC75" s="130"/>
      <c r="ED75" s="38"/>
      <c r="EE75" s="38"/>
      <c r="EF75" s="38"/>
      <c r="EG75" s="31"/>
      <c r="EH75" s="130"/>
      <c r="EI75" s="38"/>
      <c r="EJ75" s="38"/>
      <c r="EK75" s="38"/>
      <c r="EL75" s="31"/>
      <c r="EM75" s="131"/>
      <c r="EN75" s="132"/>
      <c r="EO75" s="132"/>
      <c r="EP75" s="132"/>
      <c r="EQ75" s="132"/>
      <c r="ER75" s="39"/>
      <c r="ES75" s="131"/>
      <c r="ET75" s="132"/>
      <c r="EU75" s="132"/>
      <c r="EV75" s="132"/>
      <c r="EW75" s="132"/>
    </row>
    <row r="76" spans="1:153" s="8" customFormat="1" ht="14.25" customHeight="1">
      <c r="A76" s="10"/>
      <c r="B76" s="10"/>
      <c r="C76" s="10"/>
      <c r="D76" s="10"/>
      <c r="E76" s="122"/>
      <c r="F76" s="122"/>
      <c r="G76" s="122"/>
      <c r="H76" s="122"/>
      <c r="I76" s="122"/>
      <c r="J76" s="10"/>
      <c r="K76" s="10"/>
      <c r="L76" s="122"/>
      <c r="M76" s="10"/>
      <c r="N76" s="10"/>
      <c r="O76" s="10"/>
      <c r="P76" s="10"/>
      <c r="Q76" s="122"/>
      <c r="R76" s="130"/>
      <c r="S76" s="38"/>
      <c r="T76" s="38"/>
      <c r="U76" s="38"/>
      <c r="V76" s="37"/>
      <c r="W76" s="130"/>
      <c r="X76" s="38"/>
      <c r="Y76" s="38"/>
      <c r="Z76" s="38"/>
      <c r="AA76" s="37"/>
      <c r="AB76" s="130"/>
      <c r="AC76" s="38"/>
      <c r="AD76" s="38"/>
      <c r="AE76" s="38"/>
      <c r="AF76" s="38"/>
      <c r="AG76" s="130"/>
      <c r="AH76" s="38"/>
      <c r="AI76" s="38"/>
      <c r="AJ76" s="38"/>
      <c r="AK76" s="37"/>
      <c r="AL76" s="130"/>
      <c r="AM76" s="38"/>
      <c r="AN76" s="38"/>
      <c r="AO76" s="38"/>
      <c r="AP76" s="38"/>
      <c r="AQ76" s="130"/>
      <c r="AR76" s="38"/>
      <c r="AS76" s="38"/>
      <c r="AT76" s="38"/>
      <c r="AU76" s="38"/>
      <c r="AZ76" s="38"/>
      <c r="BA76" s="130"/>
      <c r="BB76" s="38"/>
      <c r="BC76" s="38"/>
      <c r="BD76" s="38"/>
      <c r="BE76" s="38"/>
      <c r="BF76" s="130"/>
      <c r="BG76" s="38"/>
      <c r="BH76" s="38"/>
      <c r="BI76" s="38"/>
      <c r="BJ76" s="786"/>
      <c r="BK76" s="130"/>
      <c r="BL76" s="38"/>
      <c r="BM76" s="38"/>
      <c r="BN76" s="38"/>
      <c r="BO76" s="786"/>
      <c r="BP76" s="130"/>
      <c r="BQ76" s="38"/>
      <c r="BR76" s="38"/>
      <c r="BS76" s="38"/>
      <c r="BT76" s="786"/>
      <c r="BU76" s="130"/>
      <c r="BV76" s="38"/>
      <c r="BW76" s="38"/>
      <c r="BX76" s="38"/>
      <c r="BY76" s="31"/>
      <c r="BZ76" s="130"/>
      <c r="CA76" s="38"/>
      <c r="CB76" s="38"/>
      <c r="CC76" s="38"/>
      <c r="CD76" s="38"/>
      <c r="CE76" s="130"/>
      <c r="CF76" s="38"/>
      <c r="CG76" s="38"/>
      <c r="CH76" s="38"/>
      <c r="CI76" s="31"/>
      <c r="CO76" s="130"/>
      <c r="CP76" s="38"/>
      <c r="CQ76" s="38"/>
      <c r="CR76" s="38"/>
      <c r="CS76" s="31"/>
      <c r="CT76" s="130"/>
      <c r="CU76" s="38"/>
      <c r="CV76" s="38"/>
      <c r="CW76" s="38"/>
      <c r="CX76" s="31"/>
      <c r="CY76" s="130"/>
      <c r="CZ76" s="38"/>
      <c r="DA76" s="38"/>
      <c r="DB76" s="38"/>
      <c r="DC76" s="31"/>
      <c r="DD76" s="130"/>
      <c r="DE76" s="38"/>
      <c r="DF76" s="38"/>
      <c r="DG76" s="38"/>
      <c r="DH76" s="31"/>
      <c r="DI76" s="130"/>
      <c r="DJ76" s="38"/>
      <c r="DK76" s="38"/>
      <c r="DL76" s="38"/>
      <c r="DM76" s="31"/>
      <c r="DN76" s="130"/>
      <c r="DO76" s="38"/>
      <c r="DP76" s="38"/>
      <c r="DQ76" s="38"/>
      <c r="DR76" s="31"/>
      <c r="DS76" s="130"/>
      <c r="DT76" s="38"/>
      <c r="DU76" s="38"/>
      <c r="DV76" s="38"/>
      <c r="DW76" s="31"/>
      <c r="DX76" s="130"/>
      <c r="DY76" s="38"/>
      <c r="DZ76" s="38"/>
      <c r="EA76" s="38"/>
      <c r="EB76" s="31"/>
      <c r="EC76" s="130"/>
      <c r="ED76" s="38"/>
      <c r="EE76" s="38"/>
      <c r="EF76" s="38"/>
      <c r="EG76" s="31"/>
      <c r="EH76" s="130"/>
      <c r="EI76" s="38"/>
      <c r="EJ76" s="38"/>
      <c r="EK76" s="38"/>
      <c r="EL76" s="31"/>
      <c r="EM76" s="131"/>
      <c r="EN76" s="132"/>
      <c r="EO76" s="132"/>
      <c r="EP76" s="132"/>
      <c r="EQ76" s="132"/>
      <c r="ER76" s="39"/>
      <c r="ES76" s="131"/>
      <c r="ET76" s="132"/>
      <c r="EU76" s="132"/>
      <c r="EV76" s="132"/>
      <c r="EW76" s="132"/>
    </row>
    <row r="77" spans="1:153" s="8" customFormat="1" ht="14.25" customHeight="1">
      <c r="A77" s="10"/>
      <c r="B77" s="10"/>
      <c r="C77" s="10"/>
      <c r="D77" s="10"/>
      <c r="E77" s="122"/>
      <c r="F77" s="122"/>
      <c r="G77" s="122"/>
      <c r="H77" s="122"/>
      <c r="I77" s="122"/>
      <c r="J77" s="10"/>
      <c r="K77" s="10"/>
      <c r="L77" s="122"/>
      <c r="M77" s="10"/>
      <c r="N77" s="10"/>
      <c r="O77" s="10"/>
      <c r="P77" s="10"/>
      <c r="Q77" s="122"/>
      <c r="R77" s="130"/>
      <c r="S77" s="38"/>
      <c r="T77" s="38"/>
      <c r="U77" s="38"/>
      <c r="V77" s="37"/>
      <c r="W77" s="130"/>
      <c r="X77" s="38"/>
      <c r="Y77" s="38"/>
      <c r="Z77" s="38"/>
      <c r="AA77" s="37"/>
      <c r="AB77" s="130"/>
      <c r="AC77" s="38"/>
      <c r="AD77" s="38"/>
      <c r="AE77" s="38"/>
      <c r="AF77" s="38"/>
      <c r="AG77" s="130"/>
      <c r="AH77" s="38"/>
      <c r="AI77" s="38"/>
      <c r="AJ77" s="38"/>
      <c r="AK77" s="37"/>
      <c r="AL77" s="130"/>
      <c r="AM77" s="38"/>
      <c r="AN77" s="38"/>
      <c r="AO77" s="38"/>
      <c r="AP77" s="38"/>
      <c r="AQ77" s="130"/>
      <c r="AR77" s="38"/>
      <c r="AS77" s="38"/>
      <c r="AT77" s="38"/>
      <c r="AU77" s="38"/>
      <c r="AZ77" s="38"/>
      <c r="BA77" s="130"/>
      <c r="BB77" s="38"/>
      <c r="BC77" s="38"/>
      <c r="BD77" s="38"/>
      <c r="BE77" s="38"/>
      <c r="BF77" s="130"/>
      <c r="BG77" s="38"/>
      <c r="BH77" s="38"/>
      <c r="BI77" s="38"/>
      <c r="BJ77" s="786"/>
      <c r="BK77" s="130"/>
      <c r="BL77" s="38"/>
      <c r="BM77" s="38"/>
      <c r="BN77" s="38"/>
      <c r="BO77" s="786"/>
      <c r="BP77" s="130"/>
      <c r="BQ77" s="38"/>
      <c r="BR77" s="38"/>
      <c r="BS77" s="38"/>
      <c r="BT77" s="786"/>
      <c r="BU77" s="130"/>
      <c r="BV77" s="38"/>
      <c r="BW77" s="38"/>
      <c r="BX77" s="38"/>
      <c r="BY77" s="31"/>
      <c r="BZ77" s="130"/>
      <c r="CA77" s="38"/>
      <c r="CB77" s="38"/>
      <c r="CC77" s="38"/>
      <c r="CD77" s="38"/>
      <c r="CE77" s="130"/>
      <c r="CF77" s="38"/>
      <c r="CG77" s="38"/>
      <c r="CH77" s="38"/>
      <c r="CI77" s="31"/>
      <c r="CO77" s="130"/>
      <c r="CP77" s="38"/>
      <c r="CQ77" s="38"/>
      <c r="CR77" s="38"/>
      <c r="CS77" s="31"/>
      <c r="CT77" s="130"/>
      <c r="CU77" s="38"/>
      <c r="CV77" s="38"/>
      <c r="CW77" s="38"/>
      <c r="CX77" s="31"/>
      <c r="CY77" s="130"/>
      <c r="CZ77" s="38"/>
      <c r="DA77" s="38"/>
      <c r="DB77" s="38"/>
      <c r="DC77" s="31"/>
      <c r="DD77" s="130"/>
      <c r="DE77" s="38"/>
      <c r="DF77" s="38"/>
      <c r="DG77" s="38"/>
      <c r="DH77" s="31"/>
      <c r="DI77" s="130"/>
      <c r="DJ77" s="38"/>
      <c r="DK77" s="38"/>
      <c r="DL77" s="38"/>
      <c r="DM77" s="31"/>
      <c r="DN77" s="130"/>
      <c r="DO77" s="38"/>
      <c r="DP77" s="38"/>
      <c r="DQ77" s="38"/>
      <c r="DR77" s="31"/>
      <c r="DS77" s="130"/>
      <c r="DT77" s="38"/>
      <c r="DU77" s="38"/>
      <c r="DV77" s="38"/>
      <c r="DW77" s="31"/>
      <c r="DX77" s="130"/>
      <c r="DY77" s="38"/>
      <c r="DZ77" s="38"/>
      <c r="EA77" s="38"/>
      <c r="EB77" s="31"/>
      <c r="EC77" s="130"/>
      <c r="ED77" s="38"/>
      <c r="EE77" s="38"/>
      <c r="EF77" s="38"/>
      <c r="EG77" s="31"/>
      <c r="EH77" s="130"/>
      <c r="EI77" s="38"/>
      <c r="EJ77" s="38"/>
      <c r="EK77" s="38"/>
      <c r="EL77" s="31"/>
      <c r="EM77" s="131"/>
      <c r="EN77" s="132"/>
      <c r="EO77" s="132"/>
      <c r="EP77" s="132"/>
      <c r="EQ77" s="132"/>
      <c r="ER77" s="39"/>
      <c r="ES77" s="131"/>
      <c r="ET77" s="132"/>
      <c r="EU77" s="132"/>
      <c r="EV77" s="132"/>
      <c r="EW77" s="132"/>
    </row>
    <row r="78" spans="1:153" s="8" customFormat="1" ht="14.25" customHeight="1">
      <c r="A78" s="10"/>
      <c r="B78" s="10"/>
      <c r="C78" s="10"/>
      <c r="D78" s="10"/>
      <c r="E78" s="122"/>
      <c r="F78" s="122"/>
      <c r="G78" s="122"/>
      <c r="H78" s="122"/>
      <c r="I78" s="122"/>
      <c r="J78" s="10"/>
      <c r="K78" s="10"/>
      <c r="L78" s="122"/>
      <c r="M78" s="10"/>
      <c r="N78" s="10"/>
      <c r="O78" s="10"/>
      <c r="P78" s="10"/>
      <c r="Q78" s="122"/>
      <c r="R78" s="130"/>
      <c r="S78" s="38"/>
      <c r="T78" s="38"/>
      <c r="U78" s="38"/>
      <c r="V78" s="37"/>
      <c r="W78" s="130"/>
      <c r="X78" s="38"/>
      <c r="Y78" s="38"/>
      <c r="Z78" s="38"/>
      <c r="AA78" s="37"/>
      <c r="AB78" s="130"/>
      <c r="AC78" s="38"/>
      <c r="AD78" s="38"/>
      <c r="AE78" s="38"/>
      <c r="AF78" s="38"/>
      <c r="AG78" s="130"/>
      <c r="AH78" s="38"/>
      <c r="AI78" s="38"/>
      <c r="AJ78" s="38"/>
      <c r="AK78" s="37"/>
      <c r="AL78" s="130"/>
      <c r="AM78" s="38"/>
      <c r="AN78" s="38"/>
      <c r="AO78" s="38"/>
      <c r="AP78" s="38"/>
      <c r="AQ78" s="130"/>
      <c r="AR78" s="38"/>
      <c r="AS78" s="38"/>
      <c r="AT78" s="38"/>
      <c r="AU78" s="38"/>
      <c r="AZ78" s="38"/>
      <c r="BA78" s="130"/>
      <c r="BB78" s="38"/>
      <c r="BC78" s="38"/>
      <c r="BD78" s="38"/>
      <c r="BE78" s="38"/>
      <c r="BF78" s="130"/>
      <c r="BG78" s="38"/>
      <c r="BH78" s="38"/>
      <c r="BI78" s="38"/>
      <c r="BJ78" s="786"/>
      <c r="BK78" s="130"/>
      <c r="BL78" s="38"/>
      <c r="BM78" s="38"/>
      <c r="BN78" s="38"/>
      <c r="BO78" s="786"/>
      <c r="BP78" s="130"/>
      <c r="BQ78" s="38"/>
      <c r="BR78" s="38"/>
      <c r="BS78" s="38"/>
      <c r="BT78" s="786"/>
      <c r="BU78" s="130"/>
      <c r="BV78" s="38"/>
      <c r="BW78" s="38"/>
      <c r="BX78" s="38"/>
      <c r="BY78" s="31"/>
      <c r="BZ78" s="130"/>
      <c r="CA78" s="38"/>
      <c r="CB78" s="38"/>
      <c r="CC78" s="38"/>
      <c r="CD78" s="38"/>
      <c r="CE78" s="130"/>
      <c r="CF78" s="38"/>
      <c r="CG78" s="38"/>
      <c r="CH78" s="38"/>
      <c r="CI78" s="31"/>
      <c r="CO78" s="130"/>
      <c r="CP78" s="38"/>
      <c r="CQ78" s="38"/>
      <c r="CR78" s="38"/>
      <c r="CS78" s="31"/>
      <c r="CT78" s="130"/>
      <c r="CU78" s="38"/>
      <c r="CV78" s="38"/>
      <c r="CW78" s="38"/>
      <c r="CX78" s="31"/>
      <c r="CY78" s="130"/>
      <c r="CZ78" s="38"/>
      <c r="DA78" s="38"/>
      <c r="DB78" s="38"/>
      <c r="DC78" s="31"/>
      <c r="DD78" s="130"/>
      <c r="DE78" s="38"/>
      <c r="DF78" s="38"/>
      <c r="DG78" s="38"/>
      <c r="DH78" s="31"/>
      <c r="DI78" s="130"/>
      <c r="DJ78" s="38"/>
      <c r="DK78" s="38"/>
      <c r="DL78" s="38"/>
      <c r="DM78" s="31"/>
      <c r="DN78" s="130"/>
      <c r="DO78" s="38"/>
      <c r="DP78" s="38"/>
      <c r="DQ78" s="38"/>
      <c r="DR78" s="31"/>
      <c r="DS78" s="130"/>
      <c r="DT78" s="38"/>
      <c r="DU78" s="38"/>
      <c r="DV78" s="38"/>
      <c r="DW78" s="31"/>
      <c r="DX78" s="130"/>
      <c r="DY78" s="38"/>
      <c r="DZ78" s="38"/>
      <c r="EA78" s="38"/>
      <c r="EB78" s="31"/>
      <c r="EC78" s="130"/>
      <c r="ED78" s="38"/>
      <c r="EE78" s="38"/>
      <c r="EF78" s="38"/>
      <c r="EG78" s="31"/>
      <c r="EH78" s="130"/>
      <c r="EI78" s="38"/>
      <c r="EJ78" s="38"/>
      <c r="EK78" s="38"/>
      <c r="EL78" s="31"/>
      <c r="EM78" s="131"/>
      <c r="EN78" s="132"/>
      <c r="EO78" s="132"/>
      <c r="EP78" s="132"/>
      <c r="EQ78" s="132"/>
      <c r="ER78" s="39"/>
      <c r="ES78" s="131"/>
      <c r="ET78" s="132"/>
      <c r="EU78" s="132"/>
      <c r="EV78" s="132"/>
      <c r="EW78" s="132"/>
    </row>
    <row r="79" spans="1:153" s="8" customFormat="1" ht="14.25" customHeight="1">
      <c r="A79" s="10"/>
      <c r="B79" s="10"/>
      <c r="C79" s="10"/>
      <c r="D79" s="10"/>
      <c r="E79" s="122"/>
      <c r="F79" s="122"/>
      <c r="G79" s="122"/>
      <c r="H79" s="122"/>
      <c r="I79" s="122"/>
      <c r="J79" s="10"/>
      <c r="K79" s="10"/>
      <c r="L79" s="122"/>
      <c r="M79" s="10"/>
      <c r="N79" s="10"/>
      <c r="O79" s="10"/>
      <c r="P79" s="10"/>
      <c r="Q79" s="122"/>
      <c r="R79" s="130"/>
      <c r="S79" s="38"/>
      <c r="T79" s="38"/>
      <c r="U79" s="38"/>
      <c r="V79" s="37"/>
      <c r="W79" s="130"/>
      <c r="X79" s="38"/>
      <c r="Y79" s="38"/>
      <c r="Z79" s="38"/>
      <c r="AA79" s="37"/>
      <c r="AB79" s="130"/>
      <c r="AC79" s="38"/>
      <c r="AD79" s="38"/>
      <c r="AE79" s="38"/>
      <c r="AF79" s="38"/>
      <c r="AG79" s="130"/>
      <c r="AH79" s="38"/>
      <c r="AI79" s="38"/>
      <c r="AJ79" s="38"/>
      <c r="AK79" s="37"/>
      <c r="AL79" s="130"/>
      <c r="AM79" s="38"/>
      <c r="AN79" s="38"/>
      <c r="AO79" s="38"/>
      <c r="AP79" s="38"/>
      <c r="AQ79" s="130"/>
      <c r="AR79" s="38"/>
      <c r="AS79" s="38"/>
      <c r="AT79" s="38"/>
      <c r="AU79" s="38"/>
      <c r="AZ79" s="38"/>
      <c r="BA79" s="130"/>
      <c r="BB79" s="38"/>
      <c r="BC79" s="38"/>
      <c r="BD79" s="38"/>
      <c r="BE79" s="38"/>
      <c r="BF79" s="130"/>
      <c r="BG79" s="38"/>
      <c r="BH79" s="38"/>
      <c r="BI79" s="38"/>
      <c r="BJ79" s="786"/>
      <c r="BK79" s="130"/>
      <c r="BL79" s="38"/>
      <c r="BM79" s="38"/>
      <c r="BN79" s="38"/>
      <c r="BO79" s="786"/>
      <c r="BP79" s="130"/>
      <c r="BQ79" s="38"/>
      <c r="BR79" s="38"/>
      <c r="BS79" s="38"/>
      <c r="BT79" s="786"/>
      <c r="BU79" s="130"/>
      <c r="BV79" s="38"/>
      <c r="BW79" s="38"/>
      <c r="BX79" s="38"/>
      <c r="BY79" s="31"/>
      <c r="BZ79" s="130"/>
      <c r="CA79" s="38"/>
      <c r="CB79" s="38"/>
      <c r="CC79" s="38"/>
      <c r="CD79" s="38"/>
      <c r="CE79" s="130"/>
      <c r="CF79" s="38"/>
      <c r="CG79" s="38"/>
      <c r="CH79" s="38"/>
      <c r="CI79" s="31"/>
      <c r="CO79" s="130"/>
      <c r="CP79" s="38"/>
      <c r="CQ79" s="38"/>
      <c r="CR79" s="38"/>
      <c r="CS79" s="31"/>
      <c r="CT79" s="130"/>
      <c r="CU79" s="38"/>
      <c r="CV79" s="38"/>
      <c r="CW79" s="38"/>
      <c r="CX79" s="31"/>
      <c r="CY79" s="130"/>
      <c r="CZ79" s="38"/>
      <c r="DA79" s="38"/>
      <c r="DB79" s="38"/>
      <c r="DC79" s="31"/>
      <c r="DD79" s="130"/>
      <c r="DE79" s="38"/>
      <c r="DF79" s="38"/>
      <c r="DG79" s="38"/>
      <c r="DH79" s="31"/>
      <c r="DI79" s="130"/>
      <c r="DJ79" s="38"/>
      <c r="DK79" s="38"/>
      <c r="DL79" s="38"/>
      <c r="DM79" s="31"/>
      <c r="DN79" s="130"/>
      <c r="DO79" s="38"/>
      <c r="DP79" s="38"/>
      <c r="DQ79" s="38"/>
      <c r="DR79" s="31"/>
      <c r="DS79" s="130"/>
      <c r="DT79" s="38"/>
      <c r="DU79" s="38"/>
      <c r="DV79" s="38"/>
      <c r="DW79" s="31"/>
      <c r="DX79" s="130"/>
      <c r="DY79" s="38"/>
      <c r="DZ79" s="38"/>
      <c r="EA79" s="38"/>
      <c r="EB79" s="31"/>
      <c r="EC79" s="130"/>
      <c r="ED79" s="38"/>
      <c r="EE79" s="38"/>
      <c r="EF79" s="38"/>
      <c r="EG79" s="31"/>
      <c r="EH79" s="130"/>
      <c r="EI79" s="38"/>
      <c r="EJ79" s="38"/>
      <c r="EK79" s="38"/>
      <c r="EL79" s="31"/>
      <c r="EM79" s="131"/>
      <c r="EN79" s="132"/>
      <c r="EO79" s="132"/>
      <c r="EP79" s="132"/>
      <c r="EQ79" s="132"/>
      <c r="ER79" s="39"/>
      <c r="ES79" s="131"/>
      <c r="ET79" s="132"/>
      <c r="EU79" s="132"/>
      <c r="EV79" s="132"/>
      <c r="EW79" s="132"/>
    </row>
    <row r="80" spans="1:153" s="8" customFormat="1" ht="14.25" customHeight="1">
      <c r="A80" s="10"/>
      <c r="B80" s="10"/>
      <c r="C80" s="10"/>
      <c r="D80" s="10"/>
      <c r="E80" s="122"/>
      <c r="F80" s="122"/>
      <c r="G80" s="122"/>
      <c r="H80" s="122"/>
      <c r="I80" s="122"/>
      <c r="J80" s="10"/>
      <c r="K80" s="10"/>
      <c r="L80" s="122"/>
      <c r="M80" s="10"/>
      <c r="N80" s="10"/>
      <c r="O80" s="10"/>
      <c r="P80" s="10"/>
      <c r="Q80" s="122"/>
      <c r="R80" s="130"/>
      <c r="S80" s="38"/>
      <c r="T80" s="38"/>
      <c r="U80" s="38"/>
      <c r="V80" s="37"/>
      <c r="W80" s="130"/>
      <c r="X80" s="38"/>
      <c r="Y80" s="38"/>
      <c r="Z80" s="38"/>
      <c r="AA80" s="37"/>
      <c r="AB80" s="130"/>
      <c r="AC80" s="38"/>
      <c r="AD80" s="38"/>
      <c r="AE80" s="38"/>
      <c r="AF80" s="38"/>
      <c r="AG80" s="130"/>
      <c r="AH80" s="38"/>
      <c r="AI80" s="38"/>
      <c r="AJ80" s="38"/>
      <c r="AK80" s="37"/>
      <c r="AL80" s="130"/>
      <c r="AM80" s="38"/>
      <c r="AN80" s="38"/>
      <c r="AO80" s="38"/>
      <c r="AP80" s="38"/>
      <c r="AQ80" s="130"/>
      <c r="AR80" s="38"/>
      <c r="AS80" s="38"/>
      <c r="AT80" s="38"/>
      <c r="AU80" s="38"/>
      <c r="AZ80" s="38"/>
      <c r="BA80" s="130"/>
      <c r="BB80" s="38"/>
      <c r="BC80" s="38"/>
      <c r="BD80" s="38"/>
      <c r="BE80" s="38"/>
      <c r="BF80" s="130"/>
      <c r="BG80" s="38"/>
      <c r="BH80" s="38"/>
      <c r="BI80" s="38"/>
      <c r="BJ80" s="786"/>
      <c r="BK80" s="130"/>
      <c r="BL80" s="38"/>
      <c r="BM80" s="38"/>
      <c r="BN80" s="38"/>
      <c r="BO80" s="786"/>
      <c r="BP80" s="130"/>
      <c r="BQ80" s="38"/>
      <c r="BR80" s="38"/>
      <c r="BS80" s="38"/>
      <c r="BT80" s="786"/>
      <c r="BU80" s="130"/>
      <c r="BV80" s="38"/>
      <c r="BW80" s="38"/>
      <c r="BX80" s="38"/>
      <c r="BY80" s="31"/>
      <c r="BZ80" s="130"/>
      <c r="CA80" s="38"/>
      <c r="CB80" s="38"/>
      <c r="CC80" s="38"/>
      <c r="CD80" s="38"/>
      <c r="CE80" s="130"/>
      <c r="CF80" s="38"/>
      <c r="CG80" s="38"/>
      <c r="CH80" s="38"/>
      <c r="CI80" s="31"/>
      <c r="CO80" s="130"/>
      <c r="CP80" s="38"/>
      <c r="CQ80" s="38"/>
      <c r="CR80" s="38"/>
      <c r="CS80" s="31"/>
      <c r="CT80" s="130"/>
      <c r="CU80" s="38"/>
      <c r="CV80" s="38"/>
      <c r="CW80" s="38"/>
      <c r="CX80" s="31"/>
      <c r="CY80" s="130"/>
      <c r="CZ80" s="38"/>
      <c r="DA80" s="38"/>
      <c r="DB80" s="38"/>
      <c r="DC80" s="31"/>
      <c r="DD80" s="130"/>
      <c r="DE80" s="38"/>
      <c r="DF80" s="38"/>
      <c r="DG80" s="38"/>
      <c r="DH80" s="31"/>
      <c r="DI80" s="130"/>
      <c r="DJ80" s="38"/>
      <c r="DK80" s="38"/>
      <c r="DL80" s="38"/>
      <c r="DM80" s="31"/>
      <c r="DN80" s="130"/>
      <c r="DO80" s="38"/>
      <c r="DP80" s="38"/>
      <c r="DQ80" s="38"/>
      <c r="DR80" s="31"/>
      <c r="DS80" s="130"/>
      <c r="DT80" s="38"/>
      <c r="DU80" s="38"/>
      <c r="DV80" s="38"/>
      <c r="DW80" s="31"/>
      <c r="DX80" s="130"/>
      <c r="DY80" s="38"/>
      <c r="DZ80" s="38"/>
      <c r="EA80" s="38"/>
      <c r="EB80" s="31"/>
      <c r="EC80" s="130"/>
      <c r="ED80" s="38"/>
      <c r="EE80" s="38"/>
      <c r="EF80" s="38"/>
      <c r="EG80" s="31"/>
      <c r="EH80" s="130"/>
      <c r="EI80" s="38"/>
      <c r="EJ80" s="38"/>
      <c r="EK80" s="38"/>
      <c r="EL80" s="31"/>
      <c r="EM80" s="131"/>
      <c r="EN80" s="132"/>
      <c r="EO80" s="132"/>
      <c r="EP80" s="132"/>
      <c r="EQ80" s="132"/>
      <c r="ER80" s="39"/>
      <c r="ES80" s="131"/>
      <c r="ET80" s="132"/>
      <c r="EU80" s="132"/>
      <c r="EV80" s="132"/>
      <c r="EW80" s="132"/>
    </row>
    <row r="81" spans="1:153" s="8" customFormat="1" ht="14.25" customHeight="1">
      <c r="A81" s="10"/>
      <c r="B81" s="10"/>
      <c r="C81" s="10"/>
      <c r="D81" s="10"/>
      <c r="E81" s="122"/>
      <c r="F81" s="122"/>
      <c r="G81" s="122"/>
      <c r="H81" s="122"/>
      <c r="I81" s="122"/>
      <c r="J81" s="10"/>
      <c r="K81" s="10"/>
      <c r="L81" s="122"/>
      <c r="M81" s="10"/>
      <c r="N81" s="10"/>
      <c r="O81" s="10"/>
      <c r="P81" s="10"/>
      <c r="Q81" s="122"/>
      <c r="R81" s="130"/>
      <c r="S81" s="38"/>
      <c r="T81" s="38"/>
      <c r="U81" s="38"/>
      <c r="V81" s="37"/>
      <c r="W81" s="130"/>
      <c r="X81" s="38"/>
      <c r="Y81" s="38"/>
      <c r="Z81" s="38"/>
      <c r="AA81" s="37"/>
      <c r="AB81" s="130"/>
      <c r="AC81" s="38"/>
      <c r="AD81" s="38"/>
      <c r="AE81" s="38"/>
      <c r="AF81" s="38"/>
      <c r="AG81" s="130"/>
      <c r="AH81" s="38"/>
      <c r="AI81" s="38"/>
      <c r="AJ81" s="38"/>
      <c r="AK81" s="37"/>
      <c r="AL81" s="130"/>
      <c r="AM81" s="38"/>
      <c r="AN81" s="38"/>
      <c r="AO81" s="38"/>
      <c r="AP81" s="38"/>
      <c r="AQ81" s="130"/>
      <c r="AR81" s="38"/>
      <c r="AS81" s="38"/>
      <c r="AT81" s="38"/>
      <c r="AU81" s="38"/>
      <c r="AZ81" s="38"/>
      <c r="BA81" s="130"/>
      <c r="BB81" s="38"/>
      <c r="BC81" s="38"/>
      <c r="BD81" s="38"/>
      <c r="BE81" s="38"/>
      <c r="BF81" s="130"/>
      <c r="BG81" s="38"/>
      <c r="BH81" s="38"/>
      <c r="BI81" s="38"/>
      <c r="BJ81" s="786"/>
      <c r="BK81" s="130"/>
      <c r="BL81" s="38"/>
      <c r="BM81" s="38"/>
      <c r="BN81" s="38"/>
      <c r="BO81" s="786"/>
      <c r="BP81" s="130"/>
      <c r="BQ81" s="38"/>
      <c r="BR81" s="38"/>
      <c r="BS81" s="38"/>
      <c r="BT81" s="786"/>
      <c r="BU81" s="130"/>
      <c r="BV81" s="38"/>
      <c r="BW81" s="38"/>
      <c r="BX81" s="38"/>
      <c r="BY81" s="31"/>
      <c r="BZ81" s="130"/>
      <c r="CA81" s="38"/>
      <c r="CB81" s="38"/>
      <c r="CC81" s="38"/>
      <c r="CD81" s="38"/>
      <c r="CE81" s="130"/>
      <c r="CF81" s="38"/>
      <c r="CG81" s="38"/>
      <c r="CH81" s="38"/>
      <c r="CI81" s="31"/>
      <c r="CO81" s="130"/>
      <c r="CP81" s="38"/>
      <c r="CQ81" s="38"/>
      <c r="CR81" s="38"/>
      <c r="CS81" s="31"/>
      <c r="CT81" s="130"/>
      <c r="CU81" s="38"/>
      <c r="CV81" s="38"/>
      <c r="CW81" s="38"/>
      <c r="CX81" s="31"/>
      <c r="CY81" s="130"/>
      <c r="CZ81" s="38"/>
      <c r="DA81" s="38"/>
      <c r="DB81" s="38"/>
      <c r="DC81" s="31"/>
      <c r="DD81" s="130"/>
      <c r="DE81" s="38"/>
      <c r="DF81" s="38"/>
      <c r="DG81" s="38"/>
      <c r="DH81" s="31"/>
      <c r="DI81" s="130"/>
      <c r="DJ81" s="38"/>
      <c r="DK81" s="38"/>
      <c r="DL81" s="38"/>
      <c r="DM81" s="31"/>
      <c r="DN81" s="130"/>
      <c r="DO81" s="38"/>
      <c r="DP81" s="38"/>
      <c r="DQ81" s="38"/>
      <c r="DR81" s="31"/>
      <c r="DS81" s="130"/>
      <c r="DT81" s="38"/>
      <c r="DU81" s="38"/>
      <c r="DV81" s="38"/>
      <c r="DW81" s="31"/>
      <c r="DX81" s="130"/>
      <c r="DY81" s="38"/>
      <c r="DZ81" s="38"/>
      <c r="EA81" s="38"/>
      <c r="EB81" s="31"/>
      <c r="EC81" s="130"/>
      <c r="ED81" s="38"/>
      <c r="EE81" s="38"/>
      <c r="EF81" s="38"/>
      <c r="EG81" s="31"/>
      <c r="EH81" s="130"/>
      <c r="EI81" s="38"/>
      <c r="EJ81" s="38"/>
      <c r="EK81" s="38"/>
      <c r="EL81" s="31"/>
      <c r="EM81" s="131"/>
      <c r="EN81" s="132"/>
      <c r="EO81" s="132"/>
      <c r="EP81" s="132"/>
      <c r="EQ81" s="132"/>
      <c r="ER81" s="39"/>
      <c r="ES81" s="131"/>
      <c r="ET81" s="132"/>
      <c r="EU81" s="132"/>
      <c r="EV81" s="132"/>
      <c r="EW81" s="132"/>
    </row>
    <row r="82" spans="1:153" s="8" customFormat="1" ht="14.25" customHeight="1">
      <c r="A82" s="10"/>
      <c r="B82" s="10"/>
      <c r="C82" s="10"/>
      <c r="D82" s="10"/>
      <c r="E82" s="122"/>
      <c r="F82" s="122"/>
      <c r="G82" s="122"/>
      <c r="H82" s="122"/>
      <c r="I82" s="122"/>
      <c r="J82" s="10"/>
      <c r="K82" s="10"/>
      <c r="L82" s="122"/>
      <c r="M82" s="10"/>
      <c r="N82" s="10"/>
      <c r="O82" s="10"/>
      <c r="P82" s="10"/>
      <c r="Q82" s="122"/>
      <c r="R82" s="130"/>
      <c r="S82" s="38"/>
      <c r="T82" s="38"/>
      <c r="U82" s="38"/>
      <c r="V82" s="37"/>
      <c r="W82" s="130"/>
      <c r="X82" s="38"/>
      <c r="Y82" s="38"/>
      <c r="Z82" s="38"/>
      <c r="AA82" s="37"/>
      <c r="AB82" s="130"/>
      <c r="AC82" s="38"/>
      <c r="AD82" s="38"/>
      <c r="AE82" s="38"/>
      <c r="AF82" s="38"/>
      <c r="AG82" s="130"/>
      <c r="AH82" s="38"/>
      <c r="AI82" s="38"/>
      <c r="AJ82" s="38"/>
      <c r="AK82" s="37"/>
      <c r="AL82" s="130"/>
      <c r="AM82" s="38"/>
      <c r="AN82" s="38"/>
      <c r="AO82" s="38"/>
      <c r="AP82" s="38"/>
      <c r="AQ82" s="130"/>
      <c r="AR82" s="38"/>
      <c r="AS82" s="38"/>
      <c r="AT82" s="38"/>
      <c r="AU82" s="38"/>
      <c r="AZ82" s="38"/>
      <c r="BA82" s="130"/>
      <c r="BB82" s="38"/>
      <c r="BC82" s="38"/>
      <c r="BD82" s="38"/>
      <c r="BE82" s="38"/>
      <c r="BF82" s="130"/>
      <c r="BG82" s="38"/>
      <c r="BH82" s="38"/>
      <c r="BI82" s="38"/>
      <c r="BJ82" s="786"/>
      <c r="BK82" s="130"/>
      <c r="BL82" s="38"/>
      <c r="BM82" s="38"/>
      <c r="BN82" s="38"/>
      <c r="BO82" s="786"/>
      <c r="BP82" s="130"/>
      <c r="BQ82" s="38"/>
      <c r="BR82" s="38"/>
      <c r="BS82" s="38"/>
      <c r="BT82" s="786"/>
      <c r="BU82" s="130"/>
      <c r="BV82" s="38"/>
      <c r="BW82" s="38"/>
      <c r="BX82" s="38"/>
      <c r="BY82" s="31"/>
      <c r="BZ82" s="130"/>
      <c r="CA82" s="38"/>
      <c r="CB82" s="38"/>
      <c r="CC82" s="38"/>
      <c r="CD82" s="38"/>
      <c r="CE82" s="130"/>
      <c r="CF82" s="38"/>
      <c r="CG82" s="38"/>
      <c r="CH82" s="38"/>
      <c r="CI82" s="31"/>
      <c r="CO82" s="130"/>
      <c r="CP82" s="38"/>
      <c r="CQ82" s="38"/>
      <c r="CR82" s="38"/>
      <c r="CS82" s="31"/>
      <c r="CT82" s="130"/>
      <c r="CU82" s="38"/>
      <c r="CV82" s="38"/>
      <c r="CW82" s="38"/>
      <c r="CX82" s="31"/>
      <c r="CY82" s="130"/>
      <c r="CZ82" s="38"/>
      <c r="DA82" s="38"/>
      <c r="DB82" s="38"/>
      <c r="DC82" s="31"/>
      <c r="DD82" s="130"/>
      <c r="DE82" s="38"/>
      <c r="DF82" s="38"/>
      <c r="DG82" s="38"/>
      <c r="DH82" s="31"/>
      <c r="DI82" s="130"/>
      <c r="DJ82" s="38"/>
      <c r="DK82" s="38"/>
      <c r="DL82" s="38"/>
      <c r="DM82" s="31"/>
      <c r="DN82" s="130"/>
      <c r="DO82" s="38"/>
      <c r="DP82" s="38"/>
      <c r="DQ82" s="38"/>
      <c r="DR82" s="31"/>
      <c r="DS82" s="130"/>
      <c r="DT82" s="38"/>
      <c r="DU82" s="38"/>
      <c r="DV82" s="38"/>
      <c r="DW82" s="31"/>
      <c r="DX82" s="130"/>
      <c r="DY82" s="38"/>
      <c r="DZ82" s="38"/>
      <c r="EA82" s="38"/>
      <c r="EB82" s="31"/>
      <c r="EC82" s="130"/>
      <c r="ED82" s="38"/>
      <c r="EE82" s="38"/>
      <c r="EF82" s="38"/>
      <c r="EG82" s="31"/>
      <c r="EH82" s="130"/>
      <c r="EI82" s="38"/>
      <c r="EJ82" s="38"/>
      <c r="EK82" s="38"/>
      <c r="EL82" s="31"/>
      <c r="EM82" s="131"/>
      <c r="EN82" s="132"/>
      <c r="EO82" s="132"/>
      <c r="EP82" s="132"/>
      <c r="EQ82" s="132"/>
      <c r="ER82" s="39"/>
      <c r="ES82" s="131"/>
      <c r="ET82" s="132"/>
      <c r="EU82" s="132"/>
      <c r="EV82" s="132"/>
      <c r="EW82" s="132"/>
    </row>
    <row r="83" spans="1:153" s="8" customFormat="1" ht="14.25" customHeight="1">
      <c r="A83" s="10"/>
      <c r="B83" s="10"/>
      <c r="C83" s="10"/>
      <c r="D83" s="10"/>
      <c r="E83" s="122"/>
      <c r="F83" s="122"/>
      <c r="G83" s="122"/>
      <c r="H83" s="122"/>
      <c r="I83" s="122"/>
      <c r="J83" s="10"/>
      <c r="K83" s="10"/>
      <c r="L83" s="122"/>
      <c r="M83" s="10"/>
      <c r="N83" s="10"/>
      <c r="O83" s="10"/>
      <c r="P83" s="10"/>
      <c r="Q83" s="122"/>
      <c r="R83" s="130"/>
      <c r="S83" s="38"/>
      <c r="T83" s="38"/>
      <c r="U83" s="38"/>
      <c r="V83" s="37"/>
      <c r="W83" s="130"/>
      <c r="X83" s="38"/>
      <c r="Y83" s="38"/>
      <c r="Z83" s="38"/>
      <c r="AA83" s="37"/>
      <c r="AB83" s="130"/>
      <c r="AC83" s="38"/>
      <c r="AD83" s="38"/>
      <c r="AE83" s="38"/>
      <c r="AF83" s="38"/>
      <c r="AG83" s="130"/>
      <c r="AH83" s="38"/>
      <c r="AI83" s="38"/>
      <c r="AJ83" s="38"/>
      <c r="AK83" s="37"/>
      <c r="AL83" s="130"/>
      <c r="AM83" s="38"/>
      <c r="AN83" s="38"/>
      <c r="AO83" s="38"/>
      <c r="AP83" s="38"/>
      <c r="AQ83" s="130"/>
      <c r="AR83" s="38"/>
      <c r="AS83" s="38"/>
      <c r="AT83" s="38"/>
      <c r="AU83" s="38"/>
      <c r="AZ83" s="38"/>
      <c r="BA83" s="130"/>
      <c r="BB83" s="38"/>
      <c r="BC83" s="38"/>
      <c r="BD83" s="38"/>
      <c r="BE83" s="38"/>
      <c r="BF83" s="130"/>
      <c r="BG83" s="38"/>
      <c r="BH83" s="38"/>
      <c r="BI83" s="38"/>
      <c r="BJ83" s="786"/>
      <c r="BK83" s="130"/>
      <c r="BL83" s="38"/>
      <c r="BM83" s="38"/>
      <c r="BN83" s="38"/>
      <c r="BO83" s="786"/>
      <c r="BP83" s="130"/>
      <c r="BQ83" s="38"/>
      <c r="BR83" s="38"/>
      <c r="BS83" s="38"/>
      <c r="BT83" s="786"/>
      <c r="BU83" s="130"/>
      <c r="BV83" s="38"/>
      <c r="BW83" s="38"/>
      <c r="BX83" s="38"/>
      <c r="BY83" s="31"/>
      <c r="BZ83" s="130"/>
      <c r="CA83" s="38"/>
      <c r="CB83" s="38"/>
      <c r="CC83" s="38"/>
      <c r="CD83" s="38"/>
      <c r="CE83" s="130"/>
      <c r="CF83" s="38"/>
      <c r="CG83" s="38"/>
      <c r="CH83" s="38"/>
      <c r="CI83" s="31"/>
      <c r="CO83" s="130"/>
      <c r="CP83" s="38"/>
      <c r="CQ83" s="38"/>
      <c r="CR83" s="38"/>
      <c r="CS83" s="31"/>
      <c r="CT83" s="130"/>
      <c r="CU83" s="38"/>
      <c r="CV83" s="38"/>
      <c r="CW83" s="38"/>
      <c r="CX83" s="31"/>
      <c r="CY83" s="130"/>
      <c r="CZ83" s="38"/>
      <c r="DA83" s="38"/>
      <c r="DB83" s="38"/>
      <c r="DC83" s="31"/>
      <c r="DD83" s="130"/>
      <c r="DE83" s="38"/>
      <c r="DF83" s="38"/>
      <c r="DG83" s="38"/>
      <c r="DH83" s="31"/>
      <c r="DI83" s="130"/>
      <c r="DJ83" s="38"/>
      <c r="DK83" s="38"/>
      <c r="DL83" s="38"/>
      <c r="DM83" s="31"/>
      <c r="DN83" s="130"/>
      <c r="DO83" s="38"/>
      <c r="DP83" s="38"/>
      <c r="DQ83" s="38"/>
      <c r="DR83" s="31"/>
      <c r="DS83" s="130"/>
      <c r="DT83" s="38"/>
      <c r="DU83" s="38"/>
      <c r="DV83" s="38"/>
      <c r="DW83" s="31"/>
      <c r="DX83" s="130"/>
      <c r="DY83" s="38"/>
      <c r="DZ83" s="38"/>
      <c r="EA83" s="38"/>
      <c r="EB83" s="31"/>
      <c r="EC83" s="130"/>
      <c r="ED83" s="38"/>
      <c r="EE83" s="38"/>
      <c r="EF83" s="38"/>
      <c r="EG83" s="31"/>
      <c r="EH83" s="130"/>
      <c r="EI83" s="38"/>
      <c r="EJ83" s="38"/>
      <c r="EK83" s="38"/>
      <c r="EL83" s="31"/>
      <c r="EM83" s="131"/>
      <c r="EN83" s="132"/>
      <c r="EO83" s="132"/>
      <c r="EP83" s="132"/>
      <c r="EQ83" s="132"/>
      <c r="ER83" s="39"/>
      <c r="ES83" s="131"/>
      <c r="ET83" s="132"/>
      <c r="EU83" s="132"/>
      <c r="EV83" s="132"/>
      <c r="EW83" s="132"/>
    </row>
    <row r="84" spans="1:153" s="8" customFormat="1" ht="14.25" customHeight="1">
      <c r="A84" s="10"/>
      <c r="B84" s="10"/>
      <c r="C84" s="10"/>
      <c r="D84" s="10"/>
      <c r="E84" s="122"/>
      <c r="F84" s="122"/>
      <c r="G84" s="122"/>
      <c r="H84" s="122"/>
      <c r="I84" s="122"/>
      <c r="J84" s="10"/>
      <c r="K84" s="10"/>
      <c r="L84" s="122"/>
      <c r="M84" s="10"/>
      <c r="N84" s="10"/>
      <c r="O84" s="10"/>
      <c r="P84" s="10"/>
      <c r="Q84" s="122"/>
      <c r="R84" s="130"/>
      <c r="S84" s="38"/>
      <c r="T84" s="38"/>
      <c r="U84" s="38"/>
      <c r="V84" s="37"/>
      <c r="W84" s="130"/>
      <c r="X84" s="38"/>
      <c r="Y84" s="38"/>
      <c r="Z84" s="38"/>
      <c r="AA84" s="37"/>
      <c r="AB84" s="130"/>
      <c r="AC84" s="38"/>
      <c r="AD84" s="38"/>
      <c r="AE84" s="38"/>
      <c r="AF84" s="38"/>
      <c r="AG84" s="130"/>
      <c r="AH84" s="38"/>
      <c r="AI84" s="38"/>
      <c r="AJ84" s="38"/>
      <c r="AK84" s="37"/>
      <c r="AL84" s="130"/>
      <c r="AM84" s="38"/>
      <c r="AN84" s="38"/>
      <c r="AO84" s="38"/>
      <c r="AP84" s="38"/>
      <c r="AQ84" s="130"/>
      <c r="AR84" s="38"/>
      <c r="AS84" s="38"/>
      <c r="AT84" s="38"/>
      <c r="AU84" s="38"/>
      <c r="AZ84" s="38"/>
      <c r="BA84" s="130"/>
      <c r="BB84" s="38"/>
      <c r="BC84" s="38"/>
      <c r="BD84" s="38"/>
      <c r="BE84" s="38"/>
      <c r="BF84" s="130"/>
      <c r="BG84" s="38"/>
      <c r="BH84" s="38"/>
      <c r="BI84" s="38"/>
      <c r="BJ84" s="786"/>
      <c r="BK84" s="130"/>
      <c r="BL84" s="38"/>
      <c r="BM84" s="38"/>
      <c r="BN84" s="38"/>
      <c r="BO84" s="786"/>
      <c r="BP84" s="130"/>
      <c r="BQ84" s="38"/>
      <c r="BR84" s="38"/>
      <c r="BS84" s="38"/>
      <c r="BT84" s="786"/>
      <c r="BU84" s="130"/>
      <c r="BV84" s="38"/>
      <c r="BW84" s="38"/>
      <c r="BX84" s="38"/>
      <c r="BY84" s="31"/>
      <c r="BZ84" s="130"/>
      <c r="CA84" s="38"/>
      <c r="CB84" s="38"/>
      <c r="CC84" s="38"/>
      <c r="CD84" s="38"/>
      <c r="CE84" s="130"/>
      <c r="CF84" s="38"/>
      <c r="CG84" s="38"/>
      <c r="CH84" s="38"/>
      <c r="CI84" s="31"/>
      <c r="CO84" s="130"/>
      <c r="CP84" s="38"/>
      <c r="CQ84" s="38"/>
      <c r="CR84" s="38"/>
      <c r="CS84" s="31"/>
      <c r="CT84" s="130"/>
      <c r="CU84" s="38"/>
      <c r="CV84" s="38"/>
      <c r="CW84" s="38"/>
      <c r="CX84" s="31"/>
      <c r="CY84" s="130"/>
      <c r="CZ84" s="38"/>
      <c r="DA84" s="38"/>
      <c r="DB84" s="38"/>
      <c r="DC84" s="31"/>
      <c r="DD84" s="130"/>
      <c r="DE84" s="38"/>
      <c r="DF84" s="38"/>
      <c r="DG84" s="38"/>
      <c r="DH84" s="31"/>
      <c r="DI84" s="130"/>
      <c r="DJ84" s="38"/>
      <c r="DK84" s="38"/>
      <c r="DL84" s="38"/>
      <c r="DM84" s="31"/>
      <c r="DN84" s="130"/>
      <c r="DO84" s="38"/>
      <c r="DP84" s="38"/>
      <c r="DQ84" s="38"/>
      <c r="DR84" s="31"/>
      <c r="DS84" s="130"/>
      <c r="DT84" s="38"/>
      <c r="DU84" s="38"/>
      <c r="DV84" s="38"/>
      <c r="DW84" s="31"/>
      <c r="DX84" s="130"/>
      <c r="DY84" s="38"/>
      <c r="DZ84" s="38"/>
      <c r="EA84" s="38"/>
      <c r="EB84" s="31"/>
      <c r="EC84" s="130"/>
      <c r="ED84" s="38"/>
      <c r="EE84" s="38"/>
      <c r="EF84" s="38"/>
      <c r="EG84" s="31"/>
      <c r="EH84" s="130"/>
      <c r="EI84" s="38"/>
      <c r="EJ84" s="38"/>
      <c r="EK84" s="38"/>
      <c r="EL84" s="31"/>
      <c r="EM84" s="131"/>
      <c r="EN84" s="132"/>
      <c r="EO84" s="132"/>
      <c r="EP84" s="132"/>
      <c r="EQ84" s="132"/>
      <c r="ER84" s="39"/>
      <c r="ES84" s="131"/>
      <c r="ET84" s="132"/>
      <c r="EU84" s="132"/>
      <c r="EV84" s="132"/>
      <c r="EW84" s="132"/>
    </row>
    <row r="85" spans="1:153" s="8" customFormat="1" ht="14.25" customHeight="1">
      <c r="A85" s="10"/>
      <c r="B85" s="10"/>
      <c r="C85" s="10"/>
      <c r="D85" s="10"/>
      <c r="E85" s="122"/>
      <c r="F85" s="122"/>
      <c r="G85" s="122"/>
      <c r="H85" s="122"/>
      <c r="I85" s="122"/>
      <c r="J85" s="10"/>
      <c r="K85" s="10"/>
      <c r="L85" s="122"/>
      <c r="M85" s="10"/>
      <c r="N85" s="10"/>
      <c r="O85" s="10"/>
      <c r="P85" s="10"/>
      <c r="Q85" s="122"/>
      <c r="R85" s="130"/>
      <c r="S85" s="38"/>
      <c r="T85" s="38"/>
      <c r="U85" s="38"/>
      <c r="V85" s="37"/>
      <c r="W85" s="130"/>
      <c r="X85" s="38"/>
      <c r="Y85" s="38"/>
      <c r="Z85" s="38"/>
      <c r="AA85" s="37"/>
      <c r="AB85" s="130"/>
      <c r="AC85" s="38"/>
      <c r="AD85" s="38"/>
      <c r="AE85" s="38"/>
      <c r="AF85" s="38"/>
      <c r="AG85" s="130"/>
      <c r="AH85" s="38"/>
      <c r="AI85" s="38"/>
      <c r="AJ85" s="38"/>
      <c r="AK85" s="37"/>
      <c r="AL85" s="130"/>
      <c r="AM85" s="38"/>
      <c r="AN85" s="38"/>
      <c r="AO85" s="38"/>
      <c r="AP85" s="38"/>
      <c r="AQ85" s="130"/>
      <c r="AR85" s="38"/>
      <c r="AS85" s="38"/>
      <c r="AT85" s="38"/>
      <c r="AU85" s="38"/>
      <c r="AZ85" s="38"/>
      <c r="BA85" s="130"/>
      <c r="BB85" s="38"/>
      <c r="BC85" s="38"/>
      <c r="BD85" s="38"/>
      <c r="BE85" s="38"/>
      <c r="BF85" s="130"/>
      <c r="BG85" s="38"/>
      <c r="BH85" s="38"/>
      <c r="BI85" s="38"/>
      <c r="BJ85" s="786"/>
      <c r="BK85" s="130"/>
      <c r="BL85" s="38"/>
      <c r="BM85" s="38"/>
      <c r="BN85" s="38"/>
      <c r="BO85" s="786"/>
      <c r="BP85" s="130"/>
      <c r="BQ85" s="38"/>
      <c r="BR85" s="38"/>
      <c r="BS85" s="38"/>
      <c r="BT85" s="786"/>
      <c r="BU85" s="130"/>
      <c r="BV85" s="38"/>
      <c r="BW85" s="38"/>
      <c r="BX85" s="38"/>
      <c r="BY85" s="31"/>
      <c r="BZ85" s="130"/>
      <c r="CA85" s="38"/>
      <c r="CB85" s="38"/>
      <c r="CC85" s="38"/>
      <c r="CD85" s="38"/>
      <c r="CE85" s="130"/>
      <c r="CF85" s="38"/>
      <c r="CG85" s="38"/>
      <c r="CH85" s="38"/>
      <c r="CI85" s="31"/>
      <c r="CO85" s="130"/>
      <c r="CP85" s="38"/>
      <c r="CQ85" s="38"/>
      <c r="CR85" s="38"/>
      <c r="CS85" s="31"/>
      <c r="CT85" s="130"/>
      <c r="CU85" s="38"/>
      <c r="CV85" s="38"/>
      <c r="CW85" s="38"/>
      <c r="CX85" s="31"/>
      <c r="CY85" s="130"/>
      <c r="CZ85" s="38"/>
      <c r="DA85" s="38"/>
      <c r="DB85" s="38"/>
      <c r="DC85" s="31"/>
      <c r="DD85" s="130"/>
      <c r="DE85" s="38"/>
      <c r="DF85" s="38"/>
      <c r="DG85" s="38"/>
      <c r="DH85" s="31"/>
      <c r="DI85" s="130"/>
      <c r="DJ85" s="38"/>
      <c r="DK85" s="38"/>
      <c r="DL85" s="38"/>
      <c r="DM85" s="31"/>
      <c r="DN85" s="130"/>
      <c r="DO85" s="38"/>
      <c r="DP85" s="38"/>
      <c r="DQ85" s="38"/>
      <c r="DR85" s="31"/>
      <c r="DS85" s="130"/>
      <c r="DT85" s="38"/>
      <c r="DU85" s="38"/>
      <c r="DV85" s="38"/>
      <c r="DW85" s="31"/>
      <c r="DX85" s="130"/>
      <c r="DY85" s="38"/>
      <c r="DZ85" s="38"/>
      <c r="EA85" s="38"/>
      <c r="EB85" s="31"/>
      <c r="EC85" s="130"/>
      <c r="ED85" s="38"/>
      <c r="EE85" s="38"/>
      <c r="EF85" s="38"/>
      <c r="EG85" s="31"/>
      <c r="EH85" s="130"/>
      <c r="EI85" s="38"/>
      <c r="EJ85" s="38"/>
      <c r="EK85" s="38"/>
      <c r="EL85" s="31"/>
      <c r="EM85" s="131"/>
      <c r="EN85" s="132"/>
      <c r="EO85" s="132"/>
      <c r="EP85" s="132"/>
      <c r="EQ85" s="132"/>
      <c r="ER85" s="39"/>
      <c r="ES85" s="131"/>
      <c r="ET85" s="132"/>
      <c r="EU85" s="132"/>
      <c r="EV85" s="132"/>
      <c r="EW85" s="132"/>
    </row>
    <row r="86" spans="1:153" s="8" customFormat="1" ht="14.25" customHeight="1">
      <c r="A86" s="10"/>
      <c r="B86" s="10"/>
      <c r="C86" s="10"/>
      <c r="D86" s="10"/>
      <c r="E86" s="122"/>
      <c r="F86" s="122"/>
      <c r="G86" s="122"/>
      <c r="H86" s="122"/>
      <c r="I86" s="122"/>
      <c r="J86" s="10"/>
      <c r="K86" s="10"/>
      <c r="L86" s="122"/>
      <c r="M86" s="10"/>
      <c r="N86" s="10"/>
      <c r="O86" s="10"/>
      <c r="P86" s="10"/>
      <c r="Q86" s="122"/>
      <c r="R86" s="130"/>
      <c r="S86" s="38"/>
      <c r="T86" s="38"/>
      <c r="U86" s="38"/>
      <c r="V86" s="37"/>
      <c r="W86" s="130"/>
      <c r="X86" s="38"/>
      <c r="Y86" s="38"/>
      <c r="Z86" s="38"/>
      <c r="AA86" s="37"/>
      <c r="AB86" s="130"/>
      <c r="AC86" s="38"/>
      <c r="AD86" s="38"/>
      <c r="AE86" s="38"/>
      <c r="AF86" s="38"/>
      <c r="AG86" s="130"/>
      <c r="AH86" s="38"/>
      <c r="AI86" s="38"/>
      <c r="AJ86" s="38"/>
      <c r="AK86" s="37"/>
      <c r="AL86" s="130"/>
      <c r="AM86" s="38"/>
      <c r="AN86" s="38"/>
      <c r="AO86" s="38"/>
      <c r="AP86" s="38"/>
      <c r="AQ86" s="130"/>
      <c r="AR86" s="38"/>
      <c r="AS86" s="38"/>
      <c r="AT86" s="38"/>
      <c r="AU86" s="38"/>
      <c r="AZ86" s="38"/>
      <c r="BA86" s="130"/>
      <c r="BB86" s="38"/>
      <c r="BC86" s="38"/>
      <c r="BD86" s="38"/>
      <c r="BE86" s="38"/>
      <c r="BF86" s="130"/>
      <c r="BG86" s="38"/>
      <c r="BH86" s="38"/>
      <c r="BI86" s="38"/>
      <c r="BJ86" s="786"/>
      <c r="BK86" s="130"/>
      <c r="BL86" s="38"/>
      <c r="BM86" s="38"/>
      <c r="BN86" s="38"/>
      <c r="BO86" s="786"/>
      <c r="BP86" s="130"/>
      <c r="BQ86" s="38"/>
      <c r="BR86" s="38"/>
      <c r="BS86" s="38"/>
      <c r="BT86" s="786"/>
      <c r="BU86" s="130"/>
      <c r="BV86" s="38"/>
      <c r="BW86" s="38"/>
      <c r="BX86" s="38"/>
      <c r="BY86" s="31"/>
      <c r="BZ86" s="130"/>
      <c r="CA86" s="38"/>
      <c r="CB86" s="38"/>
      <c r="CC86" s="38"/>
      <c r="CD86" s="38"/>
      <c r="CE86" s="130"/>
      <c r="CF86" s="38"/>
      <c r="CG86" s="38"/>
      <c r="CH86" s="38"/>
      <c r="CI86" s="31"/>
      <c r="CO86" s="130"/>
      <c r="CP86" s="38"/>
      <c r="CQ86" s="38"/>
      <c r="CR86" s="38"/>
      <c r="CS86" s="31"/>
      <c r="CT86" s="130"/>
      <c r="CU86" s="38"/>
      <c r="CV86" s="38"/>
      <c r="CW86" s="38"/>
      <c r="CX86" s="31"/>
      <c r="CY86" s="130"/>
      <c r="CZ86" s="38"/>
      <c r="DA86" s="38"/>
      <c r="DB86" s="38"/>
      <c r="DC86" s="31"/>
      <c r="DD86" s="130"/>
      <c r="DE86" s="38"/>
      <c r="DF86" s="38"/>
      <c r="DG86" s="38"/>
      <c r="DH86" s="31"/>
      <c r="DI86" s="130"/>
      <c r="DJ86" s="38"/>
      <c r="DK86" s="38"/>
      <c r="DL86" s="38"/>
      <c r="DM86" s="31"/>
      <c r="DN86" s="130"/>
      <c r="DO86" s="38"/>
      <c r="DP86" s="38"/>
      <c r="DQ86" s="38"/>
      <c r="DR86" s="31"/>
      <c r="DS86" s="130"/>
      <c r="DT86" s="38"/>
      <c r="DU86" s="38"/>
      <c r="DV86" s="38"/>
      <c r="DW86" s="31"/>
      <c r="DX86" s="130"/>
      <c r="DY86" s="38"/>
      <c r="DZ86" s="38"/>
      <c r="EA86" s="38"/>
      <c r="EB86" s="31"/>
      <c r="EC86" s="130"/>
      <c r="ED86" s="38"/>
      <c r="EE86" s="38"/>
      <c r="EF86" s="38"/>
      <c r="EG86" s="31"/>
      <c r="EH86" s="130"/>
      <c r="EI86" s="38"/>
      <c r="EJ86" s="38"/>
      <c r="EK86" s="38"/>
      <c r="EL86" s="31"/>
      <c r="EM86" s="131"/>
      <c r="EN86" s="132"/>
      <c r="EO86" s="132"/>
      <c r="EP86" s="132"/>
      <c r="EQ86" s="132"/>
      <c r="ER86" s="39"/>
      <c r="ES86" s="131"/>
      <c r="ET86" s="132"/>
      <c r="EU86" s="132"/>
      <c r="EV86" s="132"/>
      <c r="EW86" s="132"/>
    </row>
    <row r="87" spans="1:153" s="8" customFormat="1" ht="14.25" customHeight="1">
      <c r="A87" s="10"/>
      <c r="B87" s="10"/>
      <c r="C87" s="10"/>
      <c r="D87" s="10"/>
      <c r="E87" s="122"/>
      <c r="F87" s="122"/>
      <c r="G87" s="122"/>
      <c r="H87" s="122"/>
      <c r="I87" s="122"/>
      <c r="J87" s="10"/>
      <c r="K87" s="10"/>
      <c r="L87" s="122"/>
      <c r="M87" s="10"/>
      <c r="N87" s="10"/>
      <c r="O87" s="10"/>
      <c r="P87" s="10"/>
      <c r="Q87" s="122"/>
      <c r="R87" s="130"/>
      <c r="S87" s="38"/>
      <c r="T87" s="38"/>
      <c r="U87" s="38"/>
      <c r="V87" s="37"/>
      <c r="W87" s="130"/>
      <c r="X87" s="38"/>
      <c r="Y87" s="38"/>
      <c r="Z87" s="38"/>
      <c r="AA87" s="37"/>
      <c r="AB87" s="130"/>
      <c r="AC87" s="38"/>
      <c r="AD87" s="38"/>
      <c r="AE87" s="38"/>
      <c r="AF87" s="38"/>
      <c r="AG87" s="130"/>
      <c r="AH87" s="38"/>
      <c r="AI87" s="38"/>
      <c r="AJ87" s="38"/>
      <c r="AK87" s="37"/>
      <c r="AL87" s="130"/>
      <c r="AM87" s="38"/>
      <c r="AN87" s="38"/>
      <c r="AO87" s="38"/>
      <c r="AP87" s="38"/>
      <c r="AQ87" s="130"/>
      <c r="AR87" s="38"/>
      <c r="AS87" s="38"/>
      <c r="AT87" s="38"/>
      <c r="AU87" s="38"/>
      <c r="AZ87" s="38"/>
      <c r="BA87" s="130"/>
      <c r="BB87" s="38"/>
      <c r="BC87" s="38"/>
      <c r="BD87" s="38"/>
      <c r="BE87" s="38"/>
      <c r="BF87" s="130"/>
      <c r="BG87" s="38"/>
      <c r="BH87" s="38"/>
      <c r="BI87" s="38"/>
      <c r="BJ87" s="786"/>
      <c r="BK87" s="130"/>
      <c r="BL87" s="38"/>
      <c r="BM87" s="38"/>
      <c r="BN87" s="38"/>
      <c r="BO87" s="786"/>
      <c r="BP87" s="130"/>
      <c r="BQ87" s="38"/>
      <c r="BR87" s="38"/>
      <c r="BS87" s="38"/>
      <c r="BT87" s="786"/>
      <c r="BU87" s="130"/>
      <c r="BV87" s="38"/>
      <c r="BW87" s="38"/>
      <c r="BX87" s="38"/>
      <c r="BY87" s="31"/>
      <c r="BZ87" s="130"/>
      <c r="CA87" s="38"/>
      <c r="CB87" s="38"/>
      <c r="CC87" s="38"/>
      <c r="CD87" s="38"/>
      <c r="CE87" s="130"/>
      <c r="CF87" s="38"/>
      <c r="CG87" s="38"/>
      <c r="CH87" s="38"/>
      <c r="CI87" s="31"/>
      <c r="CO87" s="130"/>
      <c r="CP87" s="38"/>
      <c r="CQ87" s="38"/>
      <c r="CR87" s="38"/>
      <c r="CS87" s="31"/>
      <c r="CT87" s="130"/>
      <c r="CU87" s="38"/>
      <c r="CV87" s="38"/>
      <c r="CW87" s="38"/>
      <c r="CX87" s="31"/>
      <c r="CY87" s="130"/>
      <c r="CZ87" s="38"/>
      <c r="DA87" s="38"/>
      <c r="DB87" s="38"/>
      <c r="DC87" s="31"/>
      <c r="DD87" s="130"/>
      <c r="DE87" s="38"/>
      <c r="DF87" s="38"/>
      <c r="DG87" s="38"/>
      <c r="DH87" s="31"/>
      <c r="DI87" s="130"/>
      <c r="DJ87" s="38"/>
      <c r="DK87" s="38"/>
      <c r="DL87" s="38"/>
      <c r="DM87" s="31"/>
      <c r="DN87" s="130"/>
      <c r="DO87" s="38"/>
      <c r="DP87" s="38"/>
      <c r="DQ87" s="38"/>
      <c r="DR87" s="31"/>
      <c r="DS87" s="130"/>
      <c r="DT87" s="38"/>
      <c r="DU87" s="38"/>
      <c r="DV87" s="38"/>
      <c r="DW87" s="31"/>
      <c r="DX87" s="130"/>
      <c r="DY87" s="38"/>
      <c r="DZ87" s="38"/>
      <c r="EA87" s="38"/>
      <c r="EB87" s="31"/>
      <c r="EC87" s="130"/>
      <c r="ED87" s="38"/>
      <c r="EE87" s="38"/>
      <c r="EF87" s="38"/>
      <c r="EG87" s="31"/>
      <c r="EH87" s="130"/>
      <c r="EI87" s="38"/>
      <c r="EJ87" s="38"/>
      <c r="EK87" s="38"/>
      <c r="EL87" s="31"/>
      <c r="EM87" s="131"/>
      <c r="EN87" s="132"/>
      <c r="EO87" s="132"/>
      <c r="EP87" s="132"/>
      <c r="EQ87" s="132"/>
      <c r="ER87" s="39"/>
      <c r="ES87" s="131"/>
      <c r="ET87" s="132"/>
      <c r="EU87" s="132"/>
      <c r="EV87" s="132"/>
      <c r="EW87" s="132"/>
    </row>
    <row r="88" spans="1:153" s="8" customFormat="1" ht="14.25" customHeight="1">
      <c r="A88" s="10"/>
      <c r="B88" s="10"/>
      <c r="C88" s="10"/>
      <c r="D88" s="10"/>
      <c r="E88" s="122"/>
      <c r="F88" s="122"/>
      <c r="G88" s="122"/>
      <c r="H88" s="122"/>
      <c r="I88" s="122"/>
      <c r="J88" s="10"/>
      <c r="K88" s="10"/>
      <c r="L88" s="122"/>
      <c r="M88" s="10"/>
      <c r="N88" s="10"/>
      <c r="O88" s="10"/>
      <c r="P88" s="10"/>
      <c r="Q88" s="122"/>
      <c r="R88" s="130"/>
      <c r="S88" s="38"/>
      <c r="T88" s="38"/>
      <c r="U88" s="38"/>
      <c r="V88" s="37"/>
      <c r="W88" s="130"/>
      <c r="X88" s="38"/>
      <c r="Y88" s="38"/>
      <c r="Z88" s="38"/>
      <c r="AA88" s="37"/>
      <c r="AB88" s="130"/>
      <c r="AC88" s="38"/>
      <c r="AD88" s="38"/>
      <c r="AE88" s="38"/>
      <c r="AF88" s="38"/>
      <c r="AG88" s="130"/>
      <c r="AH88" s="38"/>
      <c r="AI88" s="38"/>
      <c r="AJ88" s="38"/>
      <c r="AK88" s="37"/>
      <c r="AL88" s="130"/>
      <c r="AM88" s="38"/>
      <c r="AN88" s="38"/>
      <c r="AO88" s="38"/>
      <c r="AP88" s="38"/>
      <c r="AQ88" s="130"/>
      <c r="AR88" s="38"/>
      <c r="AS88" s="38"/>
      <c r="AT88" s="38"/>
      <c r="AU88" s="38"/>
      <c r="AZ88" s="38"/>
      <c r="BA88" s="130"/>
      <c r="BB88" s="38"/>
      <c r="BC88" s="38"/>
      <c r="BD88" s="38"/>
      <c r="BE88" s="38"/>
      <c r="BF88" s="130"/>
      <c r="BG88" s="38"/>
      <c r="BH88" s="38"/>
      <c r="BI88" s="38"/>
      <c r="BJ88" s="786"/>
      <c r="BK88" s="130"/>
      <c r="BL88" s="38"/>
      <c r="BM88" s="38"/>
      <c r="BN88" s="38"/>
      <c r="BO88" s="786"/>
      <c r="BP88" s="130"/>
      <c r="BQ88" s="38"/>
      <c r="BR88" s="38"/>
      <c r="BS88" s="38"/>
      <c r="BT88" s="786"/>
      <c r="BU88" s="130"/>
      <c r="BV88" s="38"/>
      <c r="BW88" s="38"/>
      <c r="BX88" s="38"/>
      <c r="BY88" s="31"/>
      <c r="BZ88" s="130"/>
      <c r="CA88" s="38"/>
      <c r="CB88" s="38"/>
      <c r="CC88" s="38"/>
      <c r="CD88" s="38"/>
      <c r="CE88" s="130"/>
      <c r="CF88" s="38"/>
      <c r="CG88" s="38"/>
      <c r="CH88" s="38"/>
      <c r="CI88" s="31"/>
      <c r="CO88" s="130"/>
      <c r="CP88" s="38"/>
      <c r="CQ88" s="38"/>
      <c r="CR88" s="38"/>
      <c r="CS88" s="31"/>
      <c r="CT88" s="130"/>
      <c r="CU88" s="38"/>
      <c r="CV88" s="38"/>
      <c r="CW88" s="38"/>
      <c r="CX88" s="31"/>
      <c r="CY88" s="130"/>
      <c r="CZ88" s="38"/>
      <c r="DA88" s="38"/>
      <c r="DB88" s="38"/>
      <c r="DC88" s="31"/>
      <c r="DD88" s="130"/>
      <c r="DE88" s="38"/>
      <c r="DF88" s="38"/>
      <c r="DG88" s="38"/>
      <c r="DH88" s="31"/>
      <c r="DI88" s="130"/>
      <c r="DJ88" s="38"/>
      <c r="DK88" s="38"/>
      <c r="DL88" s="38"/>
      <c r="DM88" s="31"/>
      <c r="DN88" s="130"/>
      <c r="DO88" s="38"/>
      <c r="DP88" s="38"/>
      <c r="DQ88" s="38"/>
      <c r="DR88" s="31"/>
      <c r="DS88" s="130"/>
      <c r="DT88" s="38"/>
      <c r="DU88" s="38"/>
      <c r="DV88" s="38"/>
      <c r="DW88" s="31"/>
      <c r="DX88" s="130"/>
      <c r="DY88" s="38"/>
      <c r="DZ88" s="38"/>
      <c r="EA88" s="38"/>
      <c r="EB88" s="31"/>
      <c r="EC88" s="130"/>
      <c r="ED88" s="38"/>
      <c r="EE88" s="38"/>
      <c r="EF88" s="38"/>
      <c r="EG88" s="31"/>
      <c r="EH88" s="130"/>
      <c r="EI88" s="38"/>
      <c r="EJ88" s="38"/>
      <c r="EK88" s="38"/>
      <c r="EL88" s="31"/>
      <c r="EM88" s="131"/>
      <c r="EN88" s="132"/>
      <c r="EO88" s="132"/>
      <c r="EP88" s="132"/>
      <c r="EQ88" s="132"/>
      <c r="ER88" s="39"/>
      <c r="ES88" s="131"/>
      <c r="ET88" s="132"/>
      <c r="EU88" s="132"/>
      <c r="EV88" s="132"/>
      <c r="EW88" s="132"/>
    </row>
    <row r="89" spans="1:153" s="8" customFormat="1" ht="14.25" customHeight="1">
      <c r="A89" s="10"/>
      <c r="B89" s="10"/>
      <c r="C89" s="10"/>
      <c r="D89" s="10"/>
      <c r="E89" s="122"/>
      <c r="F89" s="122"/>
      <c r="G89" s="122"/>
      <c r="H89" s="122"/>
      <c r="I89" s="122"/>
      <c r="J89" s="10"/>
      <c r="K89" s="10"/>
      <c r="L89" s="122"/>
      <c r="M89" s="10"/>
      <c r="N89" s="10"/>
      <c r="O89" s="10"/>
      <c r="P89" s="10"/>
      <c r="Q89" s="122"/>
      <c r="R89" s="130"/>
      <c r="S89" s="38"/>
      <c r="T89" s="38"/>
      <c r="U89" s="38"/>
      <c r="V89" s="37"/>
      <c r="W89" s="130"/>
      <c r="X89" s="38"/>
      <c r="Y89" s="38"/>
      <c r="Z89" s="38"/>
      <c r="AA89" s="37"/>
      <c r="AB89" s="130"/>
      <c r="AC89" s="38"/>
      <c r="AD89" s="38"/>
      <c r="AE89" s="38"/>
      <c r="AF89" s="38"/>
      <c r="AG89" s="130"/>
      <c r="AH89" s="38"/>
      <c r="AI89" s="38"/>
      <c r="AJ89" s="38"/>
      <c r="AK89" s="37"/>
      <c r="AL89" s="130"/>
      <c r="AM89" s="38"/>
      <c r="AN89" s="38"/>
      <c r="AO89" s="38"/>
      <c r="AP89" s="38"/>
      <c r="AQ89" s="130"/>
      <c r="AR89" s="38"/>
      <c r="AS89" s="38"/>
      <c r="AT89" s="38"/>
      <c r="AU89" s="38"/>
      <c r="AZ89" s="38"/>
      <c r="BA89" s="130"/>
      <c r="BB89" s="38"/>
      <c r="BC89" s="38"/>
      <c r="BD89" s="38"/>
      <c r="BE89" s="38"/>
      <c r="BF89" s="130"/>
      <c r="BG89" s="38"/>
      <c r="BH89" s="38"/>
      <c r="BI89" s="38"/>
      <c r="BJ89" s="786"/>
      <c r="BK89" s="130"/>
      <c r="BL89" s="38"/>
      <c r="BM89" s="38"/>
      <c r="BN89" s="38"/>
      <c r="BO89" s="786"/>
      <c r="BP89" s="130"/>
      <c r="BQ89" s="38"/>
      <c r="BR89" s="38"/>
      <c r="BS89" s="38"/>
      <c r="BT89" s="786"/>
      <c r="BU89" s="130"/>
      <c r="BV89" s="38"/>
      <c r="BW89" s="38"/>
      <c r="BX89" s="38"/>
      <c r="BY89" s="31"/>
      <c r="BZ89" s="130"/>
      <c r="CA89" s="38"/>
      <c r="CB89" s="38"/>
      <c r="CC89" s="38"/>
      <c r="CD89" s="38"/>
      <c r="CE89" s="130"/>
      <c r="CF89" s="38"/>
      <c r="CG89" s="38"/>
      <c r="CH89" s="38"/>
      <c r="CI89" s="31"/>
      <c r="CO89" s="130"/>
      <c r="CP89" s="38"/>
      <c r="CQ89" s="38"/>
      <c r="CR89" s="38"/>
      <c r="CS89" s="31"/>
      <c r="CT89" s="130"/>
      <c r="CU89" s="38"/>
      <c r="CV89" s="38"/>
      <c r="CW89" s="38"/>
      <c r="CX89" s="31"/>
      <c r="CY89" s="130"/>
      <c r="CZ89" s="38"/>
      <c r="DA89" s="38"/>
      <c r="DB89" s="38"/>
      <c r="DC89" s="31"/>
      <c r="DD89" s="130"/>
      <c r="DE89" s="38"/>
      <c r="DF89" s="38"/>
      <c r="DG89" s="38"/>
      <c r="DH89" s="31"/>
      <c r="DI89" s="130"/>
      <c r="DJ89" s="38"/>
      <c r="DK89" s="38"/>
      <c r="DL89" s="38"/>
      <c r="DM89" s="31"/>
      <c r="DN89" s="130"/>
      <c r="DO89" s="38"/>
      <c r="DP89" s="38"/>
      <c r="DQ89" s="38"/>
      <c r="DR89" s="31"/>
      <c r="DS89" s="130"/>
      <c r="DT89" s="38"/>
      <c r="DU89" s="38"/>
      <c r="DV89" s="38"/>
      <c r="DW89" s="31"/>
      <c r="DX89" s="130"/>
      <c r="DY89" s="38"/>
      <c r="DZ89" s="38"/>
      <c r="EA89" s="38"/>
      <c r="EB89" s="31"/>
      <c r="EC89" s="130"/>
      <c r="ED89" s="38"/>
      <c r="EE89" s="38"/>
      <c r="EF89" s="38"/>
      <c r="EG89" s="31"/>
      <c r="EH89" s="130"/>
      <c r="EI89" s="38"/>
      <c r="EJ89" s="38"/>
      <c r="EK89" s="38"/>
      <c r="EL89" s="31"/>
      <c r="EM89" s="131"/>
      <c r="EN89" s="132"/>
      <c r="EO89" s="132"/>
      <c r="EP89" s="132"/>
      <c r="EQ89" s="132"/>
      <c r="ER89" s="39"/>
      <c r="ES89" s="131"/>
      <c r="ET89" s="132"/>
      <c r="EU89" s="132"/>
      <c r="EV89" s="132"/>
      <c r="EW89" s="132"/>
    </row>
    <row r="90" spans="1:153" s="8" customFormat="1" ht="14.25" customHeight="1">
      <c r="A90" s="10"/>
      <c r="B90" s="10"/>
      <c r="C90" s="10"/>
      <c r="D90" s="10"/>
      <c r="E90" s="122"/>
      <c r="F90" s="122"/>
      <c r="G90" s="122"/>
      <c r="H90" s="122"/>
      <c r="I90" s="122"/>
      <c r="J90" s="10"/>
      <c r="K90" s="10"/>
      <c r="L90" s="122"/>
      <c r="M90" s="10"/>
      <c r="N90" s="10"/>
      <c r="O90" s="10"/>
      <c r="P90" s="10"/>
      <c r="Q90" s="122"/>
      <c r="R90" s="130"/>
      <c r="S90" s="38"/>
      <c r="T90" s="38"/>
      <c r="U90" s="38"/>
      <c r="V90" s="37"/>
      <c r="W90" s="130"/>
      <c r="X90" s="38"/>
      <c r="Y90" s="38"/>
      <c r="Z90" s="38"/>
      <c r="AA90" s="37"/>
      <c r="AB90" s="130"/>
      <c r="AC90" s="38"/>
      <c r="AD90" s="38"/>
      <c r="AE90" s="38"/>
      <c r="AF90" s="38"/>
      <c r="AG90" s="130"/>
      <c r="AH90" s="38"/>
      <c r="AI90" s="38"/>
      <c r="AJ90" s="38"/>
      <c r="AK90" s="37"/>
      <c r="AL90" s="130"/>
      <c r="AM90" s="38"/>
      <c r="AN90" s="38"/>
      <c r="AO90" s="38"/>
      <c r="AP90" s="38"/>
      <c r="AQ90" s="130"/>
      <c r="AR90" s="38"/>
      <c r="AS90" s="38"/>
      <c r="AT90" s="38"/>
      <c r="AU90" s="38"/>
      <c r="AZ90" s="38"/>
      <c r="BA90" s="130"/>
      <c r="BB90" s="38"/>
      <c r="BC90" s="38"/>
      <c r="BD90" s="38"/>
      <c r="BE90" s="38"/>
      <c r="BF90" s="130"/>
      <c r="BG90" s="38"/>
      <c r="BH90" s="38"/>
      <c r="BI90" s="38"/>
      <c r="BJ90" s="786"/>
      <c r="BK90" s="130"/>
      <c r="BL90" s="38"/>
      <c r="BM90" s="38"/>
      <c r="BN90" s="38"/>
      <c r="BO90" s="786"/>
      <c r="BP90" s="130"/>
      <c r="BQ90" s="38"/>
      <c r="BR90" s="38"/>
      <c r="BS90" s="38"/>
      <c r="BT90" s="786"/>
      <c r="BU90" s="130"/>
      <c r="BV90" s="38"/>
      <c r="BW90" s="38"/>
      <c r="BX90" s="38"/>
      <c r="BY90" s="31"/>
      <c r="BZ90" s="130"/>
      <c r="CA90" s="38"/>
      <c r="CB90" s="38"/>
      <c r="CC90" s="38"/>
      <c r="CD90" s="38"/>
      <c r="CE90" s="130"/>
      <c r="CF90" s="38"/>
      <c r="CG90" s="38"/>
      <c r="CH90" s="38"/>
      <c r="CI90" s="31"/>
      <c r="CO90" s="130"/>
      <c r="CP90" s="38"/>
      <c r="CQ90" s="38"/>
      <c r="CR90" s="38"/>
      <c r="CS90" s="31"/>
      <c r="CT90" s="130"/>
      <c r="CU90" s="38"/>
      <c r="CV90" s="38"/>
      <c r="CW90" s="38"/>
      <c r="CX90" s="31"/>
      <c r="CY90" s="130"/>
      <c r="CZ90" s="38"/>
      <c r="DA90" s="38"/>
      <c r="DB90" s="38"/>
      <c r="DC90" s="31"/>
      <c r="DD90" s="130"/>
      <c r="DE90" s="38"/>
      <c r="DF90" s="38"/>
      <c r="DG90" s="38"/>
      <c r="DH90" s="31"/>
      <c r="DI90" s="130"/>
      <c r="DJ90" s="38"/>
      <c r="DK90" s="38"/>
      <c r="DL90" s="38"/>
      <c r="DM90" s="31"/>
      <c r="DN90" s="130"/>
      <c r="DO90" s="38"/>
      <c r="DP90" s="38"/>
      <c r="DQ90" s="38"/>
      <c r="DR90" s="31"/>
      <c r="DS90" s="130"/>
      <c r="DT90" s="38"/>
      <c r="DU90" s="38"/>
      <c r="DV90" s="38"/>
      <c r="DW90" s="31"/>
      <c r="DX90" s="130"/>
      <c r="DY90" s="38"/>
      <c r="DZ90" s="38"/>
      <c r="EA90" s="38"/>
      <c r="EB90" s="31"/>
      <c r="EC90" s="130"/>
      <c r="ED90" s="38"/>
      <c r="EE90" s="38"/>
      <c r="EF90" s="38"/>
      <c r="EG90" s="31"/>
      <c r="EH90" s="130"/>
      <c r="EI90" s="38"/>
      <c r="EJ90" s="38"/>
      <c r="EK90" s="38"/>
      <c r="EL90" s="31"/>
      <c r="EM90" s="131"/>
      <c r="EN90" s="132"/>
      <c r="EO90" s="132"/>
      <c r="EP90" s="132"/>
      <c r="EQ90" s="132"/>
      <c r="ER90" s="39"/>
      <c r="ES90" s="131"/>
      <c r="ET90" s="132"/>
      <c r="EU90" s="132"/>
      <c r="EV90" s="132"/>
      <c r="EW90" s="132"/>
    </row>
    <row r="91" spans="1:153" s="8" customFormat="1" ht="14.25" customHeight="1">
      <c r="A91" s="10"/>
      <c r="B91" s="10"/>
      <c r="C91" s="10"/>
      <c r="D91" s="10"/>
      <c r="E91" s="122"/>
      <c r="F91" s="122"/>
      <c r="G91" s="122"/>
      <c r="H91" s="122"/>
      <c r="I91" s="122"/>
      <c r="J91" s="10"/>
      <c r="K91" s="10"/>
      <c r="L91" s="122"/>
      <c r="M91" s="10"/>
      <c r="N91" s="10"/>
      <c r="O91" s="10"/>
      <c r="P91" s="10"/>
      <c r="Q91" s="122"/>
      <c r="R91" s="130"/>
      <c r="S91" s="38"/>
      <c r="T91" s="38"/>
      <c r="U91" s="38"/>
      <c r="V91" s="37"/>
      <c r="W91" s="130"/>
      <c r="X91" s="38"/>
      <c r="Y91" s="38"/>
      <c r="Z91" s="38"/>
      <c r="AA91" s="37"/>
      <c r="AB91" s="130"/>
      <c r="AC91" s="38"/>
      <c r="AD91" s="38"/>
      <c r="AE91" s="38"/>
      <c r="AF91" s="38"/>
      <c r="AG91" s="130"/>
      <c r="AH91" s="38"/>
      <c r="AI91" s="38"/>
      <c r="AJ91" s="38"/>
      <c r="AK91" s="37"/>
      <c r="AL91" s="130"/>
      <c r="AM91" s="38"/>
      <c r="AN91" s="38"/>
      <c r="AO91" s="38"/>
      <c r="AP91" s="38"/>
      <c r="AQ91" s="130"/>
      <c r="AR91" s="38"/>
      <c r="AS91" s="38"/>
      <c r="AT91" s="38"/>
      <c r="AU91" s="38"/>
      <c r="AZ91" s="38"/>
      <c r="BA91" s="130"/>
      <c r="BB91" s="38"/>
      <c r="BC91" s="38"/>
      <c r="BD91" s="38"/>
      <c r="BE91" s="38"/>
      <c r="BF91" s="130"/>
      <c r="BG91" s="38"/>
      <c r="BH91" s="38"/>
      <c r="BI91" s="38"/>
      <c r="BJ91" s="786"/>
      <c r="BK91" s="130"/>
      <c r="BL91" s="38"/>
      <c r="BM91" s="38"/>
      <c r="BN91" s="38"/>
      <c r="BO91" s="786"/>
      <c r="BP91" s="130"/>
      <c r="BQ91" s="38"/>
      <c r="BR91" s="38"/>
      <c r="BS91" s="38"/>
      <c r="BT91" s="786"/>
      <c r="BU91" s="130"/>
      <c r="BV91" s="38"/>
      <c r="BW91" s="38"/>
      <c r="BX91" s="38"/>
      <c r="BY91" s="31"/>
      <c r="BZ91" s="130"/>
      <c r="CA91" s="38"/>
      <c r="CB91" s="38"/>
      <c r="CC91" s="38"/>
      <c r="CD91" s="38"/>
      <c r="CE91" s="130"/>
      <c r="CF91" s="38"/>
      <c r="CG91" s="38"/>
      <c r="CH91" s="38"/>
      <c r="CI91" s="31"/>
      <c r="CO91" s="130"/>
      <c r="CP91" s="38"/>
      <c r="CQ91" s="38"/>
      <c r="CR91" s="38"/>
      <c r="CS91" s="31"/>
      <c r="CT91" s="130"/>
      <c r="CU91" s="38"/>
      <c r="CV91" s="38"/>
      <c r="CW91" s="38"/>
      <c r="CX91" s="31"/>
      <c r="CY91" s="130"/>
      <c r="CZ91" s="38"/>
      <c r="DA91" s="38"/>
      <c r="DB91" s="38"/>
      <c r="DC91" s="31"/>
      <c r="DD91" s="130"/>
      <c r="DE91" s="38"/>
      <c r="DF91" s="38"/>
      <c r="DG91" s="38"/>
      <c r="DH91" s="31"/>
      <c r="DI91" s="130"/>
      <c r="DJ91" s="38"/>
      <c r="DK91" s="38"/>
      <c r="DL91" s="38"/>
      <c r="DM91" s="31"/>
      <c r="DN91" s="130"/>
      <c r="DO91" s="38"/>
      <c r="DP91" s="38"/>
      <c r="DQ91" s="38"/>
      <c r="DR91" s="31"/>
      <c r="DS91" s="130"/>
      <c r="DT91" s="38"/>
      <c r="DU91" s="38"/>
      <c r="DV91" s="38"/>
      <c r="DW91" s="31"/>
      <c r="DX91" s="130"/>
      <c r="DY91" s="38"/>
      <c r="DZ91" s="38"/>
      <c r="EA91" s="38"/>
      <c r="EB91" s="31"/>
      <c r="EC91" s="130"/>
      <c r="ED91" s="38"/>
      <c r="EE91" s="38"/>
      <c r="EF91" s="38"/>
      <c r="EG91" s="31"/>
      <c r="EH91" s="130"/>
      <c r="EI91" s="38"/>
      <c r="EJ91" s="38"/>
      <c r="EK91" s="38"/>
      <c r="EL91" s="31"/>
      <c r="EM91" s="131"/>
      <c r="EN91" s="132"/>
      <c r="EO91" s="132"/>
      <c r="EP91" s="132"/>
      <c r="EQ91" s="132"/>
      <c r="ER91" s="39"/>
      <c r="ES91" s="131"/>
      <c r="ET91" s="132"/>
      <c r="EU91" s="132"/>
      <c r="EV91" s="132"/>
      <c r="EW91" s="132"/>
    </row>
    <row r="92" spans="1:153" s="8" customFormat="1" ht="14.25" customHeight="1">
      <c r="A92" s="10"/>
      <c r="B92" s="10"/>
      <c r="C92" s="10"/>
      <c r="D92" s="10"/>
      <c r="E92" s="122"/>
      <c r="F92" s="122"/>
      <c r="G92" s="122"/>
      <c r="H92" s="122"/>
      <c r="I92" s="122"/>
      <c r="J92" s="10"/>
      <c r="K92" s="10"/>
      <c r="L92" s="122"/>
      <c r="M92" s="10"/>
      <c r="N92" s="10"/>
      <c r="O92" s="10"/>
      <c r="P92" s="10"/>
      <c r="Q92" s="122"/>
      <c r="R92" s="130"/>
      <c r="S92" s="38"/>
      <c r="T92" s="38"/>
      <c r="U92" s="38"/>
      <c r="V92" s="37"/>
      <c r="W92" s="130"/>
      <c r="X92" s="38"/>
      <c r="Y92" s="38"/>
      <c r="Z92" s="38"/>
      <c r="AA92" s="37"/>
      <c r="AB92" s="130"/>
      <c r="AC92" s="38"/>
      <c r="AD92" s="38"/>
      <c r="AE92" s="38"/>
      <c r="AF92" s="38"/>
      <c r="AG92" s="130"/>
      <c r="AH92" s="38"/>
      <c r="AI92" s="38"/>
      <c r="AJ92" s="38"/>
      <c r="AK92" s="37"/>
      <c r="AL92" s="130"/>
      <c r="AM92" s="38"/>
      <c r="AN92" s="38"/>
      <c r="AO92" s="38"/>
      <c r="AP92" s="38"/>
      <c r="AQ92" s="130"/>
      <c r="AR92" s="38"/>
      <c r="AS92" s="38"/>
      <c r="AT92" s="38"/>
      <c r="AU92" s="38"/>
      <c r="AZ92" s="38"/>
      <c r="BA92" s="130"/>
      <c r="BB92" s="38"/>
      <c r="BC92" s="38"/>
      <c r="BD92" s="38"/>
      <c r="BE92" s="38"/>
      <c r="BF92" s="130"/>
      <c r="BG92" s="38"/>
      <c r="BH92" s="38"/>
      <c r="BI92" s="38"/>
      <c r="BJ92" s="786"/>
      <c r="BK92" s="130"/>
      <c r="BL92" s="38"/>
      <c r="BM92" s="38"/>
      <c r="BN92" s="38"/>
      <c r="BO92" s="786"/>
      <c r="BP92" s="130"/>
      <c r="BQ92" s="38"/>
      <c r="BR92" s="38"/>
      <c r="BS92" s="38"/>
      <c r="BT92" s="786"/>
      <c r="BU92" s="130"/>
      <c r="BV92" s="38"/>
      <c r="BW92" s="38"/>
      <c r="BX92" s="38"/>
      <c r="BY92" s="31"/>
      <c r="BZ92" s="130"/>
      <c r="CA92" s="38"/>
      <c r="CB92" s="38"/>
      <c r="CC92" s="38"/>
      <c r="CD92" s="38"/>
      <c r="CE92" s="130"/>
      <c r="CF92" s="38"/>
      <c r="CG92" s="38"/>
      <c r="CH92" s="38"/>
      <c r="CI92" s="31"/>
      <c r="CO92" s="130"/>
      <c r="CP92" s="38"/>
      <c r="CQ92" s="38"/>
      <c r="CR92" s="38"/>
      <c r="CS92" s="31"/>
      <c r="CT92" s="130"/>
      <c r="CU92" s="38"/>
      <c r="CV92" s="38"/>
      <c r="CW92" s="38"/>
      <c r="CX92" s="31"/>
      <c r="CY92" s="130"/>
      <c r="CZ92" s="38"/>
      <c r="DA92" s="38"/>
      <c r="DB92" s="38"/>
      <c r="DC92" s="31"/>
      <c r="DD92" s="130"/>
      <c r="DE92" s="38"/>
      <c r="DF92" s="38"/>
      <c r="DG92" s="38"/>
      <c r="DH92" s="31"/>
      <c r="DI92" s="130"/>
      <c r="DJ92" s="38"/>
      <c r="DK92" s="38"/>
      <c r="DL92" s="38"/>
      <c r="DM92" s="31"/>
      <c r="DN92" s="130"/>
      <c r="DO92" s="38"/>
      <c r="DP92" s="38"/>
      <c r="DQ92" s="38"/>
      <c r="DR92" s="31"/>
      <c r="DS92" s="130"/>
      <c r="DT92" s="38"/>
      <c r="DU92" s="38"/>
      <c r="DV92" s="38"/>
      <c r="DW92" s="31"/>
      <c r="DX92" s="130"/>
      <c r="DY92" s="38"/>
      <c r="DZ92" s="38"/>
      <c r="EA92" s="38"/>
      <c r="EB92" s="31"/>
      <c r="EC92" s="130"/>
      <c r="ED92" s="38"/>
      <c r="EE92" s="38"/>
      <c r="EF92" s="38"/>
      <c r="EG92" s="31"/>
      <c r="EH92" s="130"/>
      <c r="EI92" s="38"/>
      <c r="EJ92" s="38"/>
      <c r="EK92" s="38"/>
      <c r="EL92" s="31"/>
      <c r="EM92" s="131"/>
      <c r="EN92" s="132"/>
      <c r="EO92" s="132"/>
      <c r="EP92" s="132"/>
      <c r="EQ92" s="132"/>
      <c r="ER92" s="39"/>
      <c r="ES92" s="131"/>
      <c r="ET92" s="132"/>
      <c r="EU92" s="132"/>
      <c r="EV92" s="132"/>
      <c r="EW92" s="132"/>
    </row>
    <row r="93" spans="1:153" s="8" customFormat="1" ht="14.25" customHeight="1">
      <c r="A93" s="10"/>
      <c r="B93" s="10"/>
      <c r="C93" s="10"/>
      <c r="D93" s="10"/>
      <c r="E93" s="122"/>
      <c r="F93" s="122"/>
      <c r="G93" s="122"/>
      <c r="H93" s="122"/>
      <c r="I93" s="122"/>
      <c r="J93" s="10"/>
      <c r="K93" s="10"/>
      <c r="L93" s="122"/>
      <c r="M93" s="10"/>
      <c r="N93" s="10"/>
      <c r="O93" s="10"/>
      <c r="P93" s="10"/>
      <c r="Q93" s="122"/>
      <c r="R93" s="130"/>
      <c r="S93" s="38"/>
      <c r="T93" s="38"/>
      <c r="U93" s="38"/>
      <c r="V93" s="37"/>
      <c r="W93" s="130"/>
      <c r="X93" s="38"/>
      <c r="Y93" s="38"/>
      <c r="Z93" s="38"/>
      <c r="AA93" s="37"/>
      <c r="AB93" s="130"/>
      <c r="AC93" s="38"/>
      <c r="AD93" s="38"/>
      <c r="AE93" s="38"/>
      <c r="AF93" s="38"/>
      <c r="AG93" s="130"/>
      <c r="AH93" s="38"/>
      <c r="AI93" s="38"/>
      <c r="AJ93" s="38"/>
      <c r="AK93" s="37"/>
      <c r="AL93" s="130"/>
      <c r="AM93" s="38"/>
      <c r="AN93" s="38"/>
      <c r="AO93" s="38"/>
      <c r="AP93" s="38"/>
      <c r="AQ93" s="130"/>
      <c r="AR93" s="38"/>
      <c r="AS93" s="38"/>
      <c r="AT93" s="38"/>
      <c r="AU93" s="38"/>
      <c r="AZ93" s="38"/>
      <c r="BA93" s="130"/>
      <c r="BB93" s="38"/>
      <c r="BC93" s="38"/>
      <c r="BD93" s="38"/>
      <c r="BE93" s="38"/>
      <c r="BF93" s="130"/>
      <c r="BG93" s="38"/>
      <c r="BH93" s="38"/>
      <c r="BI93" s="38"/>
      <c r="BJ93" s="786"/>
      <c r="BK93" s="130"/>
      <c r="BL93" s="38"/>
      <c r="BM93" s="38"/>
      <c r="BN93" s="38"/>
      <c r="BO93" s="786"/>
      <c r="BP93" s="130"/>
      <c r="BQ93" s="38"/>
      <c r="BR93" s="38"/>
      <c r="BS93" s="38"/>
      <c r="BT93" s="786"/>
      <c r="BU93" s="130"/>
      <c r="BV93" s="38"/>
      <c r="BW93" s="38"/>
      <c r="BX93" s="38"/>
      <c r="BY93" s="31"/>
      <c r="BZ93" s="130"/>
      <c r="CA93" s="38"/>
      <c r="CB93" s="38"/>
      <c r="CC93" s="38"/>
      <c r="CD93" s="38"/>
      <c r="CE93" s="130"/>
      <c r="CF93" s="38"/>
      <c r="CG93" s="38"/>
      <c r="CH93" s="38"/>
      <c r="CI93" s="31"/>
      <c r="CO93" s="130"/>
      <c r="CP93" s="38"/>
      <c r="CQ93" s="38"/>
      <c r="CR93" s="38"/>
      <c r="CS93" s="31"/>
      <c r="CT93" s="130"/>
      <c r="CU93" s="38"/>
      <c r="CV93" s="38"/>
      <c r="CW93" s="38"/>
      <c r="CX93" s="31"/>
      <c r="CY93" s="130"/>
      <c r="CZ93" s="38"/>
      <c r="DA93" s="38"/>
      <c r="DB93" s="38"/>
      <c r="DC93" s="31"/>
      <c r="DD93" s="130"/>
      <c r="DE93" s="38"/>
      <c r="DF93" s="38"/>
      <c r="DG93" s="38"/>
      <c r="DH93" s="31"/>
      <c r="DI93" s="130"/>
      <c r="DJ93" s="38"/>
      <c r="DK93" s="38"/>
      <c r="DL93" s="38"/>
      <c r="DM93" s="31"/>
      <c r="DN93" s="130"/>
      <c r="DO93" s="38"/>
      <c r="DP93" s="38"/>
      <c r="DQ93" s="38"/>
      <c r="DR93" s="31"/>
      <c r="DS93" s="130"/>
      <c r="DT93" s="38"/>
      <c r="DU93" s="38"/>
      <c r="DV93" s="38"/>
      <c r="DW93" s="31"/>
      <c r="DX93" s="130"/>
      <c r="DY93" s="38"/>
      <c r="DZ93" s="38"/>
      <c r="EA93" s="38"/>
      <c r="EB93" s="31"/>
      <c r="EC93" s="130"/>
      <c r="ED93" s="38"/>
      <c r="EE93" s="38"/>
      <c r="EF93" s="38"/>
      <c r="EG93" s="31"/>
      <c r="EH93" s="130"/>
      <c r="EI93" s="38"/>
      <c r="EJ93" s="38"/>
      <c r="EK93" s="38"/>
      <c r="EL93" s="31"/>
      <c r="EM93" s="131"/>
      <c r="EN93" s="132"/>
      <c r="EO93" s="132"/>
      <c r="EP93" s="132"/>
      <c r="EQ93" s="132"/>
      <c r="ER93" s="39"/>
      <c r="ES93" s="131"/>
      <c r="ET93" s="132"/>
      <c r="EU93" s="132"/>
      <c r="EV93" s="132"/>
      <c r="EW93" s="132"/>
    </row>
    <row r="94" spans="1:153" s="8" customFormat="1" ht="14.25" customHeight="1">
      <c r="A94" s="10"/>
      <c r="B94" s="10"/>
      <c r="C94" s="10"/>
      <c r="D94" s="10"/>
      <c r="E94" s="122"/>
      <c r="F94" s="122"/>
      <c r="G94" s="122"/>
      <c r="H94" s="122"/>
      <c r="I94" s="122"/>
      <c r="J94" s="10"/>
      <c r="K94" s="10"/>
      <c r="L94" s="122"/>
      <c r="M94" s="10"/>
      <c r="N94" s="10"/>
      <c r="O94" s="10"/>
      <c r="P94" s="10"/>
      <c r="Q94" s="122"/>
      <c r="R94" s="130"/>
      <c r="S94" s="38"/>
      <c r="T94" s="38"/>
      <c r="U94" s="38"/>
      <c r="V94" s="37"/>
      <c r="W94" s="130"/>
      <c r="X94" s="38"/>
      <c r="Y94" s="38"/>
      <c r="Z94" s="38"/>
      <c r="AA94" s="37"/>
      <c r="AB94" s="130"/>
      <c r="AC94" s="38"/>
      <c r="AD94" s="38"/>
      <c r="AE94" s="38"/>
      <c r="AF94" s="38"/>
      <c r="AG94" s="130"/>
      <c r="AH94" s="38"/>
      <c r="AI94" s="38"/>
      <c r="AJ94" s="38"/>
      <c r="AK94" s="37"/>
      <c r="AL94" s="130"/>
      <c r="AM94" s="38"/>
      <c r="AN94" s="38"/>
      <c r="AO94" s="38"/>
      <c r="AP94" s="38"/>
      <c r="AQ94" s="130"/>
      <c r="AR94" s="38"/>
      <c r="AS94" s="38"/>
      <c r="AT94" s="38"/>
      <c r="AU94" s="38"/>
      <c r="AZ94" s="38"/>
      <c r="BA94" s="130"/>
      <c r="BB94" s="38"/>
      <c r="BC94" s="38"/>
      <c r="BD94" s="38"/>
      <c r="BE94" s="38"/>
      <c r="BF94" s="130"/>
      <c r="BG94" s="38"/>
      <c r="BH94" s="38"/>
      <c r="BI94" s="38"/>
      <c r="BJ94" s="786"/>
      <c r="BK94" s="130"/>
      <c r="BL94" s="38"/>
      <c r="BM94" s="38"/>
      <c r="BN94" s="38"/>
      <c r="BO94" s="786"/>
      <c r="BP94" s="130"/>
      <c r="BQ94" s="38"/>
      <c r="BR94" s="38"/>
      <c r="BS94" s="38"/>
      <c r="BT94" s="786"/>
      <c r="BU94" s="130"/>
      <c r="BV94" s="38"/>
      <c r="BW94" s="38"/>
      <c r="BX94" s="38"/>
      <c r="BY94" s="31"/>
      <c r="BZ94" s="130"/>
      <c r="CA94" s="38"/>
      <c r="CB94" s="38"/>
      <c r="CC94" s="38"/>
      <c r="CD94" s="38"/>
      <c r="CE94" s="130"/>
      <c r="CF94" s="38"/>
      <c r="CG94" s="38"/>
      <c r="CH94" s="38"/>
      <c r="CI94" s="31"/>
      <c r="CO94" s="130"/>
      <c r="CP94" s="38"/>
      <c r="CQ94" s="38"/>
      <c r="CR94" s="38"/>
      <c r="CS94" s="31"/>
      <c r="CT94" s="130"/>
      <c r="CU94" s="38"/>
      <c r="CV94" s="38"/>
      <c r="CW94" s="38"/>
      <c r="CX94" s="31"/>
      <c r="CY94" s="130"/>
      <c r="CZ94" s="38"/>
      <c r="DA94" s="38"/>
      <c r="DB94" s="38"/>
      <c r="DC94" s="31"/>
      <c r="DD94" s="130"/>
      <c r="DE94" s="38"/>
      <c r="DF94" s="38"/>
      <c r="DG94" s="38"/>
      <c r="DH94" s="31"/>
      <c r="DI94" s="130"/>
      <c r="DJ94" s="38"/>
      <c r="DK94" s="38"/>
      <c r="DL94" s="38"/>
      <c r="DM94" s="31"/>
      <c r="DN94" s="130"/>
      <c r="DO94" s="38"/>
      <c r="DP94" s="38"/>
      <c r="DQ94" s="38"/>
      <c r="DR94" s="31"/>
      <c r="DS94" s="130"/>
      <c r="DT94" s="38"/>
      <c r="DU94" s="38"/>
      <c r="DV94" s="38"/>
      <c r="DW94" s="31"/>
      <c r="DX94" s="130"/>
      <c r="DY94" s="38"/>
      <c r="DZ94" s="38"/>
      <c r="EA94" s="38"/>
      <c r="EB94" s="31"/>
      <c r="EC94" s="130"/>
      <c r="ED94" s="38"/>
      <c r="EE94" s="38"/>
      <c r="EF94" s="38"/>
      <c r="EG94" s="31"/>
      <c r="EH94" s="130"/>
      <c r="EI94" s="38"/>
      <c r="EJ94" s="38"/>
      <c r="EK94" s="38"/>
      <c r="EL94" s="31"/>
      <c r="EM94" s="131"/>
      <c r="EN94" s="132"/>
      <c r="EO94" s="132"/>
      <c r="EP94" s="132"/>
      <c r="EQ94" s="132"/>
      <c r="ER94" s="39"/>
      <c r="ES94" s="131"/>
      <c r="ET94" s="132"/>
      <c r="EU94" s="132"/>
      <c r="EV94" s="132"/>
      <c r="EW94" s="132"/>
    </row>
    <row r="95" spans="1:153" s="8" customFormat="1" ht="14.25" customHeight="1">
      <c r="A95" s="10"/>
      <c r="B95" s="10"/>
      <c r="C95" s="10"/>
      <c r="D95" s="10"/>
      <c r="E95" s="122"/>
      <c r="F95" s="122"/>
      <c r="G95" s="122"/>
      <c r="H95" s="122"/>
      <c r="I95" s="122"/>
      <c r="J95" s="10"/>
      <c r="K95" s="10"/>
      <c r="L95" s="122"/>
      <c r="M95" s="10"/>
      <c r="N95" s="10"/>
      <c r="O95" s="10"/>
      <c r="P95" s="10"/>
      <c r="Q95" s="122"/>
      <c r="R95" s="130"/>
      <c r="S95" s="38"/>
      <c r="T95" s="38"/>
      <c r="U95" s="38"/>
      <c r="V95" s="37"/>
      <c r="W95" s="130"/>
      <c r="X95" s="38"/>
      <c r="Y95" s="38"/>
      <c r="Z95" s="38"/>
      <c r="AA95" s="37"/>
      <c r="AB95" s="130"/>
      <c r="AC95" s="38"/>
      <c r="AD95" s="38"/>
      <c r="AE95" s="38"/>
      <c r="AF95" s="38"/>
      <c r="AG95" s="130"/>
      <c r="AH95" s="38"/>
      <c r="AI95" s="38"/>
      <c r="AJ95" s="38"/>
      <c r="AK95" s="37"/>
      <c r="AL95" s="130"/>
      <c r="AM95" s="38"/>
      <c r="AN95" s="38"/>
      <c r="AO95" s="38"/>
      <c r="AP95" s="38"/>
      <c r="AQ95" s="130"/>
      <c r="AR95" s="38"/>
      <c r="AS95" s="38"/>
      <c r="AT95" s="38"/>
      <c r="AU95" s="38"/>
      <c r="AZ95" s="38"/>
      <c r="BA95" s="130"/>
      <c r="BB95" s="38"/>
      <c r="BC95" s="38"/>
      <c r="BD95" s="38"/>
      <c r="BE95" s="38"/>
      <c r="BF95" s="130"/>
      <c r="BG95" s="38"/>
      <c r="BH95" s="38"/>
      <c r="BI95" s="38"/>
      <c r="BJ95" s="786"/>
      <c r="BK95" s="130"/>
      <c r="BL95" s="38"/>
      <c r="BM95" s="38"/>
      <c r="BN95" s="38"/>
      <c r="BO95" s="786"/>
      <c r="BP95" s="130"/>
      <c r="BQ95" s="38"/>
      <c r="BR95" s="38"/>
      <c r="BS95" s="38"/>
      <c r="BT95" s="786"/>
      <c r="BU95" s="130"/>
      <c r="BV95" s="38"/>
      <c r="BW95" s="38"/>
      <c r="BX95" s="38"/>
      <c r="BY95" s="31"/>
      <c r="BZ95" s="130"/>
      <c r="CA95" s="38"/>
      <c r="CB95" s="38"/>
      <c r="CC95" s="38"/>
      <c r="CD95" s="38"/>
      <c r="CE95" s="130"/>
      <c r="CF95" s="38"/>
      <c r="CG95" s="38"/>
      <c r="CH95" s="38"/>
      <c r="CI95" s="31"/>
      <c r="CO95" s="130"/>
      <c r="CP95" s="38"/>
      <c r="CQ95" s="38"/>
      <c r="CR95" s="38"/>
      <c r="CS95" s="31"/>
      <c r="CT95" s="130"/>
      <c r="CU95" s="38"/>
      <c r="CV95" s="38"/>
      <c r="CW95" s="38"/>
      <c r="CX95" s="31"/>
      <c r="CY95" s="130"/>
      <c r="CZ95" s="38"/>
      <c r="DA95" s="38"/>
      <c r="DB95" s="38"/>
      <c r="DC95" s="31"/>
      <c r="DD95" s="130"/>
      <c r="DE95" s="38"/>
      <c r="DF95" s="38"/>
      <c r="DG95" s="38"/>
      <c r="DH95" s="31"/>
      <c r="DI95" s="130"/>
      <c r="DJ95" s="38"/>
      <c r="DK95" s="38"/>
      <c r="DL95" s="38"/>
      <c r="DM95" s="31"/>
      <c r="DN95" s="130"/>
      <c r="DO95" s="38"/>
      <c r="DP95" s="38"/>
      <c r="DQ95" s="38"/>
      <c r="DR95" s="31"/>
      <c r="DS95" s="130"/>
      <c r="DT95" s="38"/>
      <c r="DU95" s="38"/>
      <c r="DV95" s="38"/>
      <c r="DW95" s="31"/>
      <c r="DX95" s="130"/>
      <c r="DY95" s="38"/>
      <c r="DZ95" s="38"/>
      <c r="EA95" s="38"/>
      <c r="EB95" s="31"/>
      <c r="EC95" s="130"/>
      <c r="ED95" s="38"/>
      <c r="EE95" s="38"/>
      <c r="EF95" s="38"/>
      <c r="EG95" s="31"/>
      <c r="EH95" s="130"/>
      <c r="EI95" s="38"/>
      <c r="EJ95" s="38"/>
      <c r="EK95" s="38"/>
      <c r="EL95" s="31"/>
      <c r="EM95" s="131"/>
      <c r="EN95" s="132"/>
      <c r="EO95" s="132"/>
      <c r="EP95" s="132"/>
      <c r="EQ95" s="132"/>
      <c r="ER95" s="39"/>
      <c r="ES95" s="131"/>
      <c r="ET95" s="132"/>
      <c r="EU95" s="132"/>
      <c r="EV95" s="132"/>
      <c r="EW95" s="132"/>
    </row>
    <row r="96" spans="1:153" s="8" customFormat="1" ht="14.25" customHeight="1">
      <c r="A96" s="10"/>
      <c r="B96" s="10"/>
      <c r="C96" s="10"/>
      <c r="D96" s="10"/>
      <c r="E96" s="122"/>
      <c r="F96" s="122"/>
      <c r="G96" s="122"/>
      <c r="H96" s="122"/>
      <c r="I96" s="122"/>
      <c r="J96" s="10"/>
      <c r="K96" s="10"/>
      <c r="L96" s="122"/>
      <c r="M96" s="10"/>
      <c r="N96" s="10"/>
      <c r="O96" s="10"/>
      <c r="P96" s="10"/>
      <c r="Q96" s="122"/>
      <c r="R96" s="130"/>
      <c r="S96" s="38"/>
      <c r="T96" s="38"/>
      <c r="U96" s="38"/>
      <c r="V96" s="37"/>
      <c r="W96" s="130"/>
      <c r="X96" s="38"/>
      <c r="Y96" s="38"/>
      <c r="Z96" s="38"/>
      <c r="AA96" s="37"/>
      <c r="AB96" s="130"/>
      <c r="AC96" s="38"/>
      <c r="AD96" s="38"/>
      <c r="AE96" s="38"/>
      <c r="AF96" s="38"/>
      <c r="AG96" s="130"/>
      <c r="AH96" s="38"/>
      <c r="AI96" s="38"/>
      <c r="AJ96" s="38"/>
      <c r="AK96" s="37"/>
      <c r="AL96" s="130"/>
      <c r="AM96" s="38"/>
      <c r="AN96" s="38"/>
      <c r="AO96" s="38"/>
      <c r="AP96" s="38"/>
      <c r="AQ96" s="130"/>
      <c r="AR96" s="38"/>
      <c r="AS96" s="38"/>
      <c r="AT96" s="38"/>
      <c r="AU96" s="38"/>
      <c r="AZ96" s="38"/>
      <c r="BA96" s="130"/>
      <c r="BB96" s="38"/>
      <c r="BC96" s="38"/>
      <c r="BD96" s="38"/>
      <c r="BE96" s="38"/>
      <c r="BF96" s="130"/>
      <c r="BG96" s="38"/>
      <c r="BH96" s="38"/>
      <c r="BI96" s="38"/>
      <c r="BJ96" s="786"/>
      <c r="BK96" s="130"/>
      <c r="BL96" s="38"/>
      <c r="BM96" s="38"/>
      <c r="BN96" s="38"/>
      <c r="BO96" s="786"/>
      <c r="BP96" s="130"/>
      <c r="BQ96" s="38"/>
      <c r="BR96" s="38"/>
      <c r="BS96" s="38"/>
      <c r="BT96" s="786"/>
      <c r="BU96" s="130"/>
      <c r="BV96" s="38"/>
      <c r="BW96" s="38"/>
      <c r="BX96" s="38"/>
      <c r="BY96" s="31"/>
      <c r="BZ96" s="130"/>
      <c r="CA96" s="38"/>
      <c r="CB96" s="38"/>
      <c r="CC96" s="38"/>
      <c r="CD96" s="38"/>
      <c r="CE96" s="130"/>
      <c r="CF96" s="38"/>
      <c r="CG96" s="38"/>
      <c r="CH96" s="38"/>
      <c r="CI96" s="31"/>
      <c r="CO96" s="130"/>
      <c r="CP96" s="38"/>
      <c r="CQ96" s="38"/>
      <c r="CR96" s="38"/>
      <c r="CS96" s="31"/>
      <c r="CT96" s="130"/>
      <c r="CU96" s="38"/>
      <c r="CV96" s="38"/>
      <c r="CW96" s="38"/>
      <c r="CX96" s="31"/>
      <c r="CY96" s="130"/>
      <c r="CZ96" s="38"/>
      <c r="DA96" s="38"/>
      <c r="DB96" s="38"/>
      <c r="DC96" s="31"/>
      <c r="DD96" s="130"/>
      <c r="DE96" s="38"/>
      <c r="DF96" s="38"/>
      <c r="DG96" s="38"/>
      <c r="DH96" s="31"/>
      <c r="DI96" s="130"/>
      <c r="DJ96" s="38"/>
      <c r="DK96" s="38"/>
      <c r="DL96" s="38"/>
      <c r="DM96" s="31"/>
      <c r="DN96" s="130"/>
      <c r="DO96" s="38"/>
      <c r="DP96" s="38"/>
      <c r="DQ96" s="38"/>
      <c r="DR96" s="31"/>
      <c r="DS96" s="130"/>
      <c r="DT96" s="38"/>
      <c r="DU96" s="38"/>
      <c r="DV96" s="38"/>
      <c r="DW96" s="31"/>
      <c r="DX96" s="130"/>
      <c r="DY96" s="38"/>
      <c r="DZ96" s="38"/>
      <c r="EA96" s="38"/>
      <c r="EB96" s="31"/>
      <c r="EC96" s="130"/>
      <c r="ED96" s="38"/>
      <c r="EE96" s="38"/>
      <c r="EF96" s="38"/>
      <c r="EG96" s="31"/>
      <c r="EH96" s="130"/>
      <c r="EI96" s="38"/>
      <c r="EJ96" s="38"/>
      <c r="EK96" s="38"/>
      <c r="EL96" s="31"/>
      <c r="EM96" s="131"/>
      <c r="EN96" s="132"/>
      <c r="EO96" s="132"/>
      <c r="EP96" s="132"/>
      <c r="EQ96" s="132"/>
      <c r="ER96" s="39"/>
      <c r="ES96" s="131"/>
      <c r="ET96" s="132"/>
      <c r="EU96" s="132"/>
      <c r="EV96" s="132"/>
      <c r="EW96" s="132"/>
    </row>
    <row r="97" spans="1:153" s="8" customFormat="1" ht="14.25" customHeight="1">
      <c r="A97" s="10"/>
      <c r="B97" s="10"/>
      <c r="C97" s="10"/>
      <c r="D97" s="10"/>
      <c r="E97" s="122"/>
      <c r="F97" s="122"/>
      <c r="G97" s="122"/>
      <c r="H97" s="122"/>
      <c r="I97" s="122"/>
      <c r="J97" s="10"/>
      <c r="K97" s="10"/>
      <c r="L97" s="122"/>
      <c r="M97" s="10"/>
      <c r="N97" s="10"/>
      <c r="O97" s="10"/>
      <c r="P97" s="10"/>
      <c r="Q97" s="122"/>
      <c r="R97" s="130"/>
      <c r="S97" s="38"/>
      <c r="T97" s="38"/>
      <c r="U97" s="38"/>
      <c r="V97" s="37"/>
      <c r="W97" s="130"/>
      <c r="X97" s="38"/>
      <c r="Y97" s="38"/>
      <c r="Z97" s="38"/>
      <c r="AA97" s="37"/>
      <c r="AB97" s="130"/>
      <c r="AC97" s="38"/>
      <c r="AD97" s="38"/>
      <c r="AE97" s="38"/>
      <c r="AF97" s="38"/>
      <c r="AG97" s="130"/>
      <c r="AH97" s="38"/>
      <c r="AI97" s="38"/>
      <c r="AJ97" s="38"/>
      <c r="AK97" s="37"/>
      <c r="AL97" s="130"/>
      <c r="AM97" s="38"/>
      <c r="AN97" s="38"/>
      <c r="AO97" s="38"/>
      <c r="AP97" s="38"/>
      <c r="AQ97" s="130"/>
      <c r="AR97" s="38"/>
      <c r="AS97" s="38"/>
      <c r="AT97" s="38"/>
      <c r="AU97" s="38"/>
      <c r="AZ97" s="38"/>
      <c r="BA97" s="130"/>
      <c r="BB97" s="38"/>
      <c r="BC97" s="38"/>
      <c r="BD97" s="38"/>
      <c r="BE97" s="38"/>
      <c r="BF97" s="130"/>
      <c r="BG97" s="38"/>
      <c r="BH97" s="38"/>
      <c r="BI97" s="38"/>
      <c r="BJ97" s="786"/>
      <c r="BK97" s="130"/>
      <c r="BL97" s="38"/>
      <c r="BM97" s="38"/>
      <c r="BN97" s="38"/>
      <c r="BO97" s="786"/>
      <c r="BP97" s="130"/>
      <c r="BQ97" s="38"/>
      <c r="BR97" s="38"/>
      <c r="BS97" s="38"/>
      <c r="BT97" s="786"/>
      <c r="BU97" s="130"/>
      <c r="BV97" s="38"/>
      <c r="BW97" s="38"/>
      <c r="BX97" s="38"/>
      <c r="BY97" s="31"/>
      <c r="BZ97" s="130"/>
      <c r="CA97" s="38"/>
      <c r="CB97" s="38"/>
      <c r="CC97" s="38"/>
      <c r="CD97" s="38"/>
      <c r="CE97" s="130"/>
      <c r="CF97" s="38"/>
      <c r="CG97" s="38"/>
      <c r="CH97" s="38"/>
      <c r="CI97" s="31"/>
      <c r="CO97" s="130"/>
      <c r="CP97" s="38"/>
      <c r="CQ97" s="38"/>
      <c r="CR97" s="38"/>
      <c r="CS97" s="31"/>
      <c r="CT97" s="130"/>
      <c r="CU97" s="38"/>
      <c r="CV97" s="38"/>
      <c r="CW97" s="38"/>
      <c r="CX97" s="31"/>
      <c r="CY97" s="130"/>
      <c r="CZ97" s="38"/>
      <c r="DA97" s="38"/>
      <c r="DB97" s="38"/>
      <c r="DC97" s="31"/>
      <c r="DD97" s="130"/>
      <c r="DE97" s="38"/>
      <c r="DF97" s="38"/>
      <c r="DG97" s="38"/>
      <c r="DH97" s="31"/>
      <c r="DI97" s="130"/>
      <c r="DJ97" s="38"/>
      <c r="DK97" s="38"/>
      <c r="DL97" s="38"/>
      <c r="DM97" s="31"/>
      <c r="DN97" s="130"/>
      <c r="DO97" s="38"/>
      <c r="DP97" s="38"/>
      <c r="DQ97" s="38"/>
      <c r="DR97" s="31"/>
      <c r="DS97" s="130"/>
      <c r="DT97" s="38"/>
      <c r="DU97" s="38"/>
      <c r="DV97" s="38"/>
      <c r="DW97" s="31"/>
      <c r="DX97" s="130"/>
      <c r="DY97" s="38"/>
      <c r="DZ97" s="38"/>
      <c r="EA97" s="38"/>
      <c r="EB97" s="31"/>
      <c r="EC97" s="130"/>
      <c r="ED97" s="38"/>
      <c r="EE97" s="38"/>
      <c r="EF97" s="38"/>
      <c r="EG97" s="31"/>
      <c r="EH97" s="130"/>
      <c r="EI97" s="38"/>
      <c r="EJ97" s="38"/>
      <c r="EK97" s="38"/>
      <c r="EL97" s="31"/>
      <c r="EM97" s="131"/>
      <c r="EN97" s="132"/>
      <c r="EO97" s="132"/>
      <c r="EP97" s="132"/>
      <c r="EQ97" s="132"/>
      <c r="ER97" s="39"/>
      <c r="ES97" s="131"/>
      <c r="ET97" s="132"/>
      <c r="EU97" s="132"/>
      <c r="EV97" s="132"/>
      <c r="EW97" s="132"/>
    </row>
    <row r="98" spans="1:153" s="8" customFormat="1" ht="14.25" customHeight="1">
      <c r="A98" s="10"/>
      <c r="B98" s="10"/>
      <c r="C98" s="10"/>
      <c r="D98" s="10"/>
      <c r="E98" s="122"/>
      <c r="F98" s="122"/>
      <c r="G98" s="122"/>
      <c r="H98" s="122"/>
      <c r="I98" s="122"/>
      <c r="J98" s="10"/>
      <c r="K98" s="10"/>
      <c r="L98" s="122"/>
      <c r="M98" s="10"/>
      <c r="N98" s="10"/>
      <c r="O98" s="10"/>
      <c r="P98" s="10"/>
      <c r="Q98" s="122"/>
      <c r="R98" s="130"/>
      <c r="S98" s="38"/>
      <c r="T98" s="38"/>
      <c r="U98" s="38"/>
      <c r="V98" s="37"/>
      <c r="W98" s="130"/>
      <c r="X98" s="38"/>
      <c r="Y98" s="38"/>
      <c r="Z98" s="38"/>
      <c r="AA98" s="37"/>
      <c r="AB98" s="130"/>
      <c r="AC98" s="38"/>
      <c r="AD98" s="38"/>
      <c r="AE98" s="38"/>
      <c r="AF98" s="38"/>
      <c r="AG98" s="130"/>
      <c r="AH98" s="38"/>
      <c r="AI98" s="38"/>
      <c r="AJ98" s="38"/>
      <c r="AK98" s="37"/>
      <c r="AL98" s="130"/>
      <c r="AM98" s="38"/>
      <c r="AN98" s="38"/>
      <c r="AO98" s="38"/>
      <c r="AP98" s="38"/>
      <c r="AQ98" s="130"/>
      <c r="AR98" s="38"/>
      <c r="AS98" s="38"/>
      <c r="AT98" s="38"/>
      <c r="AU98" s="38"/>
      <c r="AZ98" s="38"/>
      <c r="BA98" s="130"/>
      <c r="BB98" s="38"/>
      <c r="BC98" s="38"/>
      <c r="BD98" s="38"/>
      <c r="BE98" s="38"/>
      <c r="BF98" s="130"/>
      <c r="BG98" s="38"/>
      <c r="BH98" s="38"/>
      <c r="BI98" s="38"/>
      <c r="BJ98" s="786"/>
      <c r="BK98" s="130"/>
      <c r="BL98" s="38"/>
      <c r="BM98" s="38"/>
      <c r="BN98" s="38"/>
      <c r="BO98" s="786"/>
      <c r="BP98" s="130"/>
      <c r="BQ98" s="38"/>
      <c r="BR98" s="38"/>
      <c r="BS98" s="38"/>
      <c r="BT98" s="786"/>
      <c r="BU98" s="130"/>
      <c r="BV98" s="38"/>
      <c r="BW98" s="38"/>
      <c r="BX98" s="38"/>
      <c r="BY98" s="31"/>
      <c r="BZ98" s="130"/>
      <c r="CA98" s="38"/>
      <c r="CB98" s="38"/>
      <c r="CC98" s="38"/>
      <c r="CD98" s="38"/>
      <c r="CE98" s="130"/>
      <c r="CF98" s="38"/>
      <c r="CG98" s="38"/>
      <c r="CH98" s="38"/>
      <c r="CI98" s="31"/>
      <c r="CO98" s="130"/>
      <c r="CP98" s="38"/>
      <c r="CQ98" s="38"/>
      <c r="CR98" s="38"/>
      <c r="CS98" s="31"/>
      <c r="CT98" s="130"/>
      <c r="CU98" s="38"/>
      <c r="CV98" s="38"/>
      <c r="CW98" s="38"/>
      <c r="CX98" s="31"/>
      <c r="CY98" s="130"/>
      <c r="CZ98" s="38"/>
      <c r="DA98" s="38"/>
      <c r="DB98" s="38"/>
      <c r="DC98" s="31"/>
      <c r="DD98" s="130"/>
      <c r="DE98" s="38"/>
      <c r="DF98" s="38"/>
      <c r="DG98" s="38"/>
      <c r="DH98" s="31"/>
      <c r="DI98" s="130"/>
      <c r="DJ98" s="38"/>
      <c r="DK98" s="38"/>
      <c r="DL98" s="38"/>
      <c r="DM98" s="31"/>
      <c r="DN98" s="130"/>
      <c r="DO98" s="38"/>
      <c r="DP98" s="38"/>
      <c r="DQ98" s="38"/>
      <c r="DR98" s="31"/>
      <c r="DS98" s="130"/>
      <c r="DT98" s="38"/>
      <c r="DU98" s="38"/>
      <c r="DV98" s="38"/>
      <c r="DW98" s="31"/>
      <c r="DX98" s="130"/>
      <c r="DY98" s="38"/>
      <c r="DZ98" s="38"/>
      <c r="EA98" s="38"/>
      <c r="EB98" s="31"/>
      <c r="EC98" s="130"/>
      <c r="ED98" s="38"/>
      <c r="EE98" s="38"/>
      <c r="EF98" s="38"/>
      <c r="EG98" s="31"/>
      <c r="EH98" s="130"/>
      <c r="EI98" s="38"/>
      <c r="EJ98" s="38"/>
      <c r="EK98" s="38"/>
      <c r="EL98" s="31"/>
      <c r="EM98" s="131"/>
      <c r="EN98" s="132"/>
      <c r="EO98" s="132"/>
      <c r="EP98" s="132"/>
      <c r="EQ98" s="132"/>
      <c r="ER98" s="39"/>
      <c r="ES98" s="131"/>
      <c r="ET98" s="132"/>
      <c r="EU98" s="132"/>
      <c r="EV98" s="132"/>
      <c r="EW98" s="132"/>
    </row>
    <row r="99" spans="1:153" s="8" customFormat="1" ht="14.25" customHeight="1">
      <c r="A99" s="10"/>
      <c r="B99" s="10"/>
      <c r="C99" s="10"/>
      <c r="D99" s="10"/>
      <c r="E99" s="122"/>
      <c r="F99" s="122"/>
      <c r="G99" s="122"/>
      <c r="H99" s="122"/>
      <c r="I99" s="122"/>
      <c r="J99" s="10"/>
      <c r="K99" s="10"/>
      <c r="L99" s="122"/>
      <c r="M99" s="10"/>
      <c r="N99" s="10"/>
      <c r="O99" s="10"/>
      <c r="P99" s="10"/>
      <c r="Q99" s="122"/>
      <c r="R99" s="130"/>
      <c r="S99" s="38"/>
      <c r="T99" s="38"/>
      <c r="U99" s="38"/>
      <c r="V99" s="37"/>
      <c r="W99" s="130"/>
      <c r="X99" s="38"/>
      <c r="Y99" s="38"/>
      <c r="Z99" s="38"/>
      <c r="AA99" s="37"/>
      <c r="AB99" s="130"/>
      <c r="AC99" s="38"/>
      <c r="AD99" s="38"/>
      <c r="AE99" s="38"/>
      <c r="AF99" s="38"/>
      <c r="AG99" s="130"/>
      <c r="AH99" s="38"/>
      <c r="AI99" s="38"/>
      <c r="AJ99" s="38"/>
      <c r="AK99" s="37"/>
      <c r="AL99" s="130"/>
      <c r="AM99" s="38"/>
      <c r="AN99" s="38"/>
      <c r="AO99" s="38"/>
      <c r="AP99" s="38"/>
      <c r="AQ99" s="130"/>
      <c r="AR99" s="38"/>
      <c r="AS99" s="38"/>
      <c r="AT99" s="38"/>
      <c r="AU99" s="38"/>
      <c r="AZ99" s="38"/>
      <c r="BA99" s="130"/>
      <c r="BB99" s="38"/>
      <c r="BC99" s="38"/>
      <c r="BD99" s="38"/>
      <c r="BE99" s="38"/>
      <c r="BF99" s="130"/>
      <c r="BG99" s="38"/>
      <c r="BH99" s="38"/>
      <c r="BI99" s="38"/>
      <c r="BJ99" s="786"/>
      <c r="BK99" s="130"/>
      <c r="BL99" s="38"/>
      <c r="BM99" s="38"/>
      <c r="BN99" s="38"/>
      <c r="BO99" s="786"/>
      <c r="BP99" s="130"/>
      <c r="BQ99" s="38"/>
      <c r="BR99" s="38"/>
      <c r="BS99" s="38"/>
      <c r="BT99" s="786"/>
      <c r="BU99" s="130"/>
      <c r="BV99" s="38"/>
      <c r="BW99" s="38"/>
      <c r="BX99" s="38"/>
      <c r="BY99" s="31"/>
      <c r="BZ99" s="130"/>
      <c r="CA99" s="38"/>
      <c r="CB99" s="38"/>
      <c r="CC99" s="38"/>
      <c r="CD99" s="38"/>
      <c r="CE99" s="130"/>
      <c r="CF99" s="38"/>
      <c r="CG99" s="38"/>
      <c r="CH99" s="38"/>
      <c r="CI99" s="31"/>
      <c r="CO99" s="130"/>
      <c r="CP99" s="38"/>
      <c r="CQ99" s="38"/>
      <c r="CR99" s="38"/>
      <c r="CS99" s="31"/>
      <c r="CT99" s="130"/>
      <c r="CU99" s="38"/>
      <c r="CV99" s="38"/>
      <c r="CW99" s="38"/>
      <c r="CX99" s="31"/>
      <c r="CY99" s="130"/>
      <c r="CZ99" s="38"/>
      <c r="DA99" s="38"/>
      <c r="DB99" s="38"/>
      <c r="DC99" s="31"/>
      <c r="DD99" s="130"/>
      <c r="DE99" s="38"/>
      <c r="DF99" s="38"/>
      <c r="DG99" s="38"/>
      <c r="DH99" s="31"/>
      <c r="DI99" s="130"/>
      <c r="DJ99" s="38"/>
      <c r="DK99" s="38"/>
      <c r="DL99" s="38"/>
      <c r="DM99" s="31"/>
      <c r="DN99" s="130"/>
      <c r="DO99" s="38"/>
      <c r="DP99" s="38"/>
      <c r="DQ99" s="38"/>
      <c r="DR99" s="31"/>
      <c r="DS99" s="130"/>
      <c r="DT99" s="38"/>
      <c r="DU99" s="38"/>
      <c r="DV99" s="38"/>
      <c r="DW99" s="31"/>
      <c r="DX99" s="130"/>
      <c r="DY99" s="38"/>
      <c r="DZ99" s="38"/>
      <c r="EA99" s="38"/>
      <c r="EB99" s="31"/>
      <c r="EC99" s="130"/>
      <c r="ED99" s="38"/>
      <c r="EE99" s="38"/>
      <c r="EF99" s="38"/>
      <c r="EG99" s="31"/>
      <c r="EH99" s="130"/>
      <c r="EI99" s="38"/>
      <c r="EJ99" s="38"/>
      <c r="EK99" s="38"/>
      <c r="EL99" s="31"/>
      <c r="EM99" s="131"/>
      <c r="EN99" s="132"/>
      <c r="EO99" s="132"/>
      <c r="EP99" s="132"/>
      <c r="EQ99" s="132"/>
      <c r="ER99" s="39"/>
      <c r="ES99" s="131"/>
      <c r="ET99" s="132"/>
      <c r="EU99" s="132"/>
      <c r="EV99" s="132"/>
      <c r="EW99" s="132"/>
    </row>
    <row r="100" spans="1:153" s="8" customFormat="1" ht="14.25" customHeight="1">
      <c r="A100" s="10"/>
      <c r="B100" s="10"/>
      <c r="C100" s="10"/>
      <c r="D100" s="10"/>
      <c r="E100" s="122"/>
      <c r="F100" s="122"/>
      <c r="G100" s="122"/>
      <c r="H100" s="122"/>
      <c r="I100" s="122"/>
      <c r="J100" s="10"/>
      <c r="K100" s="10"/>
      <c r="L100" s="122"/>
      <c r="M100" s="10"/>
      <c r="N100" s="10"/>
      <c r="O100" s="10"/>
      <c r="P100" s="10"/>
      <c r="Q100" s="122"/>
      <c r="R100" s="130"/>
      <c r="S100" s="38"/>
      <c r="T100" s="38"/>
      <c r="U100" s="38"/>
      <c r="V100" s="37"/>
      <c r="W100" s="130"/>
      <c r="X100" s="38"/>
      <c r="Y100" s="38"/>
      <c r="Z100" s="38"/>
      <c r="AA100" s="37"/>
      <c r="AB100" s="130"/>
      <c r="AC100" s="38"/>
      <c r="AD100" s="38"/>
      <c r="AE100" s="38"/>
      <c r="AF100" s="38"/>
      <c r="AG100" s="130"/>
      <c r="AH100" s="38"/>
      <c r="AI100" s="38"/>
      <c r="AJ100" s="38"/>
      <c r="AK100" s="37"/>
      <c r="AL100" s="130"/>
      <c r="AM100" s="38"/>
      <c r="AN100" s="38"/>
      <c r="AO100" s="38"/>
      <c r="AP100" s="38"/>
      <c r="AQ100" s="130"/>
      <c r="AR100" s="38"/>
      <c r="AS100" s="38"/>
      <c r="AT100" s="38"/>
      <c r="AU100" s="38"/>
      <c r="AZ100" s="38"/>
      <c r="BA100" s="130"/>
      <c r="BB100" s="38"/>
      <c r="BC100" s="38"/>
      <c r="BD100" s="38"/>
      <c r="BE100" s="38"/>
      <c r="BF100" s="130"/>
      <c r="BG100" s="38"/>
      <c r="BH100" s="38"/>
      <c r="BI100" s="38"/>
      <c r="BJ100" s="786"/>
      <c r="BK100" s="130"/>
      <c r="BL100" s="38"/>
      <c r="BM100" s="38"/>
      <c r="BN100" s="38"/>
      <c r="BO100" s="786"/>
      <c r="BP100" s="130"/>
      <c r="BQ100" s="38"/>
      <c r="BR100" s="38"/>
      <c r="BS100" s="38"/>
      <c r="BT100" s="786"/>
      <c r="BU100" s="130"/>
      <c r="BV100" s="38"/>
      <c r="BW100" s="38"/>
      <c r="BX100" s="38"/>
      <c r="BY100" s="31"/>
      <c r="BZ100" s="130"/>
      <c r="CA100" s="38"/>
      <c r="CB100" s="38"/>
      <c r="CC100" s="38"/>
      <c r="CD100" s="38"/>
      <c r="CE100" s="130"/>
      <c r="CF100" s="38"/>
      <c r="CG100" s="38"/>
      <c r="CH100" s="38"/>
      <c r="CI100" s="31"/>
      <c r="CO100" s="130"/>
      <c r="CP100" s="38"/>
      <c r="CQ100" s="38"/>
      <c r="CR100" s="38"/>
      <c r="CS100" s="31"/>
      <c r="CT100" s="130"/>
      <c r="CU100" s="38"/>
      <c r="CV100" s="38"/>
      <c r="CW100" s="38"/>
      <c r="CX100" s="31"/>
      <c r="CY100" s="130"/>
      <c r="CZ100" s="38"/>
      <c r="DA100" s="38"/>
      <c r="DB100" s="38"/>
      <c r="DC100" s="31"/>
      <c r="DD100" s="130"/>
      <c r="DE100" s="38"/>
      <c r="DF100" s="38"/>
      <c r="DG100" s="38"/>
      <c r="DH100" s="31"/>
      <c r="DI100" s="130"/>
      <c r="DJ100" s="38"/>
      <c r="DK100" s="38"/>
      <c r="DL100" s="38"/>
      <c r="DM100" s="31"/>
      <c r="DN100" s="130"/>
      <c r="DO100" s="38"/>
      <c r="DP100" s="38"/>
      <c r="DQ100" s="38"/>
      <c r="DR100" s="31"/>
      <c r="DS100" s="130"/>
      <c r="DT100" s="38"/>
      <c r="DU100" s="38"/>
      <c r="DV100" s="38"/>
      <c r="DW100" s="31"/>
      <c r="DX100" s="130"/>
      <c r="DY100" s="38"/>
      <c r="DZ100" s="38"/>
      <c r="EA100" s="38"/>
      <c r="EB100" s="31"/>
      <c r="EC100" s="130"/>
      <c r="ED100" s="38"/>
      <c r="EE100" s="38"/>
      <c r="EF100" s="38"/>
      <c r="EG100" s="31"/>
      <c r="EH100" s="130"/>
      <c r="EI100" s="38"/>
      <c r="EJ100" s="38"/>
      <c r="EK100" s="38"/>
      <c r="EL100" s="31"/>
      <c r="EM100" s="131"/>
      <c r="EN100" s="132"/>
      <c r="EO100" s="132"/>
      <c r="EP100" s="132"/>
      <c r="EQ100" s="132"/>
      <c r="ER100" s="39"/>
      <c r="ES100" s="131"/>
      <c r="ET100" s="132"/>
      <c r="EU100" s="132"/>
      <c r="EV100" s="132"/>
      <c r="EW100" s="132"/>
    </row>
    <row r="101" spans="1:153" s="8" customFormat="1" ht="14.25" customHeight="1">
      <c r="A101" s="10"/>
      <c r="B101" s="10"/>
      <c r="C101" s="10"/>
      <c r="D101" s="10"/>
      <c r="E101" s="122"/>
      <c r="F101" s="122"/>
      <c r="G101" s="122"/>
      <c r="H101" s="122"/>
      <c r="I101" s="122"/>
      <c r="J101" s="10"/>
      <c r="K101" s="10"/>
      <c r="L101" s="122"/>
      <c r="M101" s="10"/>
      <c r="N101" s="10"/>
      <c r="O101" s="10"/>
      <c r="P101" s="10"/>
      <c r="Q101" s="122"/>
      <c r="R101" s="130"/>
      <c r="S101" s="38"/>
      <c r="T101" s="38"/>
      <c r="U101" s="38"/>
      <c r="V101" s="37"/>
      <c r="W101" s="130"/>
      <c r="X101" s="38"/>
      <c r="Y101" s="38"/>
      <c r="Z101" s="38"/>
      <c r="AA101" s="37"/>
      <c r="AB101" s="130"/>
      <c r="AC101" s="38"/>
      <c r="AD101" s="38"/>
      <c r="AE101" s="38"/>
      <c r="AF101" s="38"/>
      <c r="AG101" s="130"/>
      <c r="AH101" s="38"/>
      <c r="AI101" s="38"/>
      <c r="AJ101" s="38"/>
      <c r="AK101" s="37"/>
      <c r="AL101" s="130"/>
      <c r="AM101" s="38"/>
      <c r="AN101" s="38"/>
      <c r="AO101" s="38"/>
      <c r="AP101" s="38"/>
      <c r="AQ101" s="130"/>
      <c r="AR101" s="38"/>
      <c r="AS101" s="38"/>
      <c r="AT101" s="38"/>
      <c r="AU101" s="38"/>
      <c r="AZ101" s="38"/>
      <c r="BA101" s="130"/>
      <c r="BB101" s="38"/>
      <c r="BC101" s="38"/>
      <c r="BD101" s="38"/>
      <c r="BE101" s="38"/>
      <c r="BF101" s="130"/>
      <c r="BG101" s="38"/>
      <c r="BH101" s="38"/>
      <c r="BI101" s="38"/>
      <c r="BJ101" s="786"/>
      <c r="BK101" s="130"/>
      <c r="BL101" s="38"/>
      <c r="BM101" s="38"/>
      <c r="BN101" s="38"/>
      <c r="BO101" s="786"/>
      <c r="BP101" s="130"/>
      <c r="BQ101" s="38"/>
      <c r="BR101" s="38"/>
      <c r="BS101" s="38"/>
      <c r="BT101" s="786"/>
      <c r="BU101" s="130"/>
      <c r="BV101" s="38"/>
      <c r="BW101" s="38"/>
      <c r="BX101" s="38"/>
      <c r="BY101" s="31"/>
      <c r="BZ101" s="130"/>
      <c r="CA101" s="38"/>
      <c r="CB101" s="38"/>
      <c r="CC101" s="38"/>
      <c r="CD101" s="38"/>
      <c r="CE101" s="130"/>
      <c r="CF101" s="38"/>
      <c r="CG101" s="38"/>
      <c r="CH101" s="38"/>
      <c r="CI101" s="31"/>
      <c r="CO101" s="130"/>
      <c r="CP101" s="38"/>
      <c r="CQ101" s="38"/>
      <c r="CR101" s="38"/>
      <c r="CS101" s="31"/>
      <c r="CT101" s="130"/>
      <c r="CU101" s="38"/>
      <c r="CV101" s="38"/>
      <c r="CW101" s="38"/>
      <c r="CX101" s="31"/>
      <c r="CY101" s="130"/>
      <c r="CZ101" s="38"/>
      <c r="DA101" s="38"/>
      <c r="DB101" s="38"/>
      <c r="DC101" s="31"/>
      <c r="DD101" s="130"/>
      <c r="DE101" s="38"/>
      <c r="DF101" s="38"/>
      <c r="DG101" s="38"/>
      <c r="DH101" s="31"/>
      <c r="DI101" s="130"/>
      <c r="DJ101" s="38"/>
      <c r="DK101" s="38"/>
      <c r="DL101" s="38"/>
      <c r="DM101" s="31"/>
      <c r="DN101" s="130"/>
      <c r="DO101" s="38"/>
      <c r="DP101" s="38"/>
      <c r="DQ101" s="38"/>
      <c r="DR101" s="31"/>
      <c r="DS101" s="130"/>
      <c r="DT101" s="38"/>
      <c r="DU101" s="38"/>
      <c r="DV101" s="38"/>
      <c r="DW101" s="31"/>
      <c r="DX101" s="130"/>
      <c r="DY101" s="38"/>
      <c r="DZ101" s="38"/>
      <c r="EA101" s="38"/>
      <c r="EB101" s="31"/>
      <c r="EC101" s="130"/>
      <c r="ED101" s="38"/>
      <c r="EE101" s="38"/>
      <c r="EF101" s="38"/>
      <c r="EG101" s="31"/>
      <c r="EH101" s="130"/>
      <c r="EI101" s="38"/>
      <c r="EJ101" s="38"/>
      <c r="EK101" s="38"/>
      <c r="EL101" s="31"/>
      <c r="EM101" s="131"/>
      <c r="EN101" s="132"/>
      <c r="EO101" s="132"/>
      <c r="EP101" s="132"/>
      <c r="EQ101" s="132"/>
      <c r="ER101" s="39"/>
      <c r="ES101" s="131"/>
      <c r="ET101" s="132"/>
      <c r="EU101" s="132"/>
      <c r="EV101" s="132"/>
      <c r="EW101" s="132"/>
    </row>
    <row r="102" spans="1:153" s="8" customFormat="1" ht="14.25" customHeight="1">
      <c r="A102" s="10"/>
      <c r="B102" s="10"/>
      <c r="C102" s="10"/>
      <c r="D102" s="10"/>
      <c r="E102" s="122"/>
      <c r="F102" s="122"/>
      <c r="G102" s="122"/>
      <c r="H102" s="122"/>
      <c r="I102" s="122"/>
      <c r="J102" s="10"/>
      <c r="K102" s="10"/>
      <c r="L102" s="122"/>
      <c r="M102" s="10"/>
      <c r="N102" s="10"/>
      <c r="O102" s="10"/>
      <c r="P102" s="10"/>
      <c r="Q102" s="122"/>
      <c r="R102" s="130"/>
      <c r="S102" s="38"/>
      <c r="T102" s="38"/>
      <c r="U102" s="38"/>
      <c r="V102" s="37"/>
      <c r="W102" s="130"/>
      <c r="X102" s="38"/>
      <c r="Y102" s="38"/>
      <c r="Z102" s="38"/>
      <c r="AA102" s="37"/>
      <c r="AB102" s="130"/>
      <c r="AC102" s="38"/>
      <c r="AD102" s="38"/>
      <c r="AE102" s="38"/>
      <c r="AF102" s="38"/>
      <c r="AG102" s="130"/>
      <c r="AH102" s="38"/>
      <c r="AI102" s="38"/>
      <c r="AJ102" s="38"/>
      <c r="AK102" s="37"/>
      <c r="AL102" s="130"/>
      <c r="AM102" s="38"/>
      <c r="AN102" s="38"/>
      <c r="AO102" s="38"/>
      <c r="AP102" s="38"/>
      <c r="AQ102" s="130"/>
      <c r="AR102" s="38"/>
      <c r="AS102" s="38"/>
      <c r="AT102" s="38"/>
      <c r="AU102" s="38"/>
      <c r="AZ102" s="38"/>
      <c r="BA102" s="130"/>
      <c r="BB102" s="38"/>
      <c r="BC102" s="38"/>
      <c r="BD102" s="38"/>
      <c r="BE102" s="38"/>
      <c r="BF102" s="130"/>
      <c r="BG102" s="38"/>
      <c r="BH102" s="38"/>
      <c r="BI102" s="38"/>
      <c r="BJ102" s="786"/>
      <c r="BK102" s="130"/>
      <c r="BL102" s="38"/>
      <c r="BM102" s="38"/>
      <c r="BN102" s="38"/>
      <c r="BO102" s="786"/>
      <c r="BP102" s="130"/>
      <c r="BQ102" s="38"/>
      <c r="BR102" s="38"/>
      <c r="BS102" s="38"/>
      <c r="BT102" s="786"/>
      <c r="BU102" s="130"/>
      <c r="BV102" s="38"/>
      <c r="BW102" s="38"/>
      <c r="BX102" s="38"/>
      <c r="BY102" s="31"/>
      <c r="BZ102" s="130"/>
      <c r="CA102" s="38"/>
      <c r="CB102" s="38"/>
      <c r="CC102" s="38"/>
      <c r="CD102" s="38"/>
      <c r="CE102" s="130"/>
      <c r="CF102" s="38"/>
      <c r="CG102" s="38"/>
      <c r="CH102" s="38"/>
      <c r="CI102" s="31"/>
      <c r="CO102" s="130"/>
      <c r="CP102" s="38"/>
      <c r="CQ102" s="38"/>
      <c r="CR102" s="38"/>
      <c r="CS102" s="31"/>
      <c r="CT102" s="130"/>
      <c r="CU102" s="38"/>
      <c r="CV102" s="38"/>
      <c r="CW102" s="38"/>
      <c r="CX102" s="31"/>
      <c r="CY102" s="130"/>
      <c r="CZ102" s="38"/>
      <c r="DA102" s="38"/>
      <c r="DB102" s="38"/>
      <c r="DC102" s="31"/>
      <c r="DD102" s="130"/>
      <c r="DE102" s="38"/>
      <c r="DF102" s="38"/>
      <c r="DG102" s="38"/>
      <c r="DH102" s="31"/>
      <c r="DI102" s="130"/>
      <c r="DJ102" s="38"/>
      <c r="DK102" s="38"/>
      <c r="DL102" s="38"/>
      <c r="DM102" s="31"/>
      <c r="DN102" s="130"/>
      <c r="DO102" s="38"/>
      <c r="DP102" s="38"/>
      <c r="DQ102" s="38"/>
      <c r="DR102" s="31"/>
      <c r="DS102" s="130"/>
      <c r="DT102" s="38"/>
      <c r="DU102" s="38"/>
      <c r="DV102" s="38"/>
      <c r="DW102" s="31"/>
      <c r="DX102" s="130"/>
      <c r="DY102" s="38"/>
      <c r="DZ102" s="38"/>
      <c r="EA102" s="38"/>
      <c r="EB102" s="31"/>
      <c r="EC102" s="130"/>
      <c r="ED102" s="38"/>
      <c r="EE102" s="38"/>
      <c r="EF102" s="38"/>
      <c r="EG102" s="31"/>
      <c r="EH102" s="130"/>
      <c r="EI102" s="38"/>
      <c r="EJ102" s="38"/>
      <c r="EK102" s="38"/>
      <c r="EL102" s="31"/>
      <c r="EM102" s="131"/>
      <c r="EN102" s="132"/>
      <c r="EO102" s="132"/>
      <c r="EP102" s="132"/>
      <c r="EQ102" s="132"/>
      <c r="ER102" s="39"/>
      <c r="ES102" s="131"/>
      <c r="ET102" s="132"/>
      <c r="EU102" s="132"/>
      <c r="EV102" s="132"/>
      <c r="EW102" s="132"/>
    </row>
    <row r="103" spans="1:153" s="8" customFormat="1" ht="14.25" customHeight="1">
      <c r="A103" s="10"/>
      <c r="B103" s="10"/>
      <c r="C103" s="10"/>
      <c r="D103" s="10"/>
      <c r="E103" s="122"/>
      <c r="F103" s="122"/>
      <c r="G103" s="122"/>
      <c r="H103" s="122"/>
      <c r="I103" s="122"/>
      <c r="J103" s="10"/>
      <c r="K103" s="10"/>
      <c r="L103" s="122"/>
      <c r="M103" s="10"/>
      <c r="N103" s="10"/>
      <c r="O103" s="10"/>
      <c r="P103" s="10"/>
      <c r="Q103" s="122"/>
      <c r="R103" s="130"/>
      <c r="S103" s="38"/>
      <c r="T103" s="38"/>
      <c r="U103" s="38"/>
      <c r="V103" s="37"/>
      <c r="W103" s="130"/>
      <c r="X103" s="38"/>
      <c r="Y103" s="38"/>
      <c r="Z103" s="38"/>
      <c r="AA103" s="37"/>
      <c r="AB103" s="130"/>
      <c r="AC103" s="38"/>
      <c r="AD103" s="38"/>
      <c r="AE103" s="38"/>
      <c r="AF103" s="38"/>
      <c r="AG103" s="130"/>
      <c r="AH103" s="38"/>
      <c r="AI103" s="38"/>
      <c r="AJ103" s="38"/>
      <c r="AK103" s="37"/>
      <c r="AL103" s="130"/>
      <c r="AM103" s="38"/>
      <c r="AN103" s="38"/>
      <c r="AO103" s="38"/>
      <c r="AP103" s="38"/>
      <c r="AQ103" s="130"/>
      <c r="AR103" s="38"/>
      <c r="AS103" s="38"/>
      <c r="AT103" s="38"/>
      <c r="AU103" s="38"/>
      <c r="AZ103" s="38"/>
      <c r="BA103" s="130"/>
      <c r="BB103" s="38"/>
      <c r="BC103" s="38"/>
      <c r="BD103" s="38"/>
      <c r="BE103" s="38"/>
      <c r="BF103" s="130"/>
      <c r="BG103" s="38"/>
      <c r="BH103" s="38"/>
      <c r="BI103" s="38"/>
      <c r="BJ103" s="786"/>
      <c r="BK103" s="130"/>
      <c r="BL103" s="38"/>
      <c r="BM103" s="38"/>
      <c r="BN103" s="38"/>
      <c r="BO103" s="786"/>
      <c r="BP103" s="130"/>
      <c r="BQ103" s="38"/>
      <c r="BR103" s="38"/>
      <c r="BS103" s="38"/>
      <c r="BT103" s="786"/>
      <c r="BU103" s="130"/>
      <c r="BV103" s="38"/>
      <c r="BW103" s="38"/>
      <c r="BX103" s="38"/>
      <c r="BY103" s="31"/>
      <c r="BZ103" s="130"/>
      <c r="CA103" s="38"/>
      <c r="CB103" s="38"/>
      <c r="CC103" s="38"/>
      <c r="CD103" s="38"/>
      <c r="CE103" s="130"/>
      <c r="CF103" s="38"/>
      <c r="CG103" s="38"/>
      <c r="CH103" s="38"/>
      <c r="CI103" s="31"/>
      <c r="CO103" s="130"/>
      <c r="CP103" s="38"/>
      <c r="CQ103" s="38"/>
      <c r="CR103" s="38"/>
      <c r="CS103" s="31"/>
      <c r="CT103" s="130"/>
      <c r="CU103" s="38"/>
      <c r="CV103" s="38"/>
      <c r="CW103" s="38"/>
      <c r="CX103" s="31"/>
      <c r="CY103" s="130"/>
      <c r="CZ103" s="38"/>
      <c r="DA103" s="38"/>
      <c r="DB103" s="38"/>
      <c r="DC103" s="31"/>
      <c r="DD103" s="130"/>
      <c r="DE103" s="38"/>
      <c r="DF103" s="38"/>
      <c r="DG103" s="38"/>
      <c r="DH103" s="31"/>
      <c r="DI103" s="130"/>
      <c r="DJ103" s="38"/>
      <c r="DK103" s="38"/>
      <c r="DL103" s="38"/>
      <c r="DM103" s="31"/>
      <c r="DN103" s="130"/>
      <c r="DO103" s="38"/>
      <c r="DP103" s="38"/>
      <c r="DQ103" s="38"/>
      <c r="DR103" s="31"/>
      <c r="DS103" s="130"/>
      <c r="DT103" s="38"/>
      <c r="DU103" s="38"/>
      <c r="DV103" s="38"/>
      <c r="DW103" s="31"/>
      <c r="DX103" s="130"/>
      <c r="DY103" s="38"/>
      <c r="DZ103" s="38"/>
      <c r="EA103" s="38"/>
      <c r="EB103" s="31"/>
      <c r="EC103" s="130"/>
      <c r="ED103" s="38"/>
      <c r="EE103" s="38"/>
      <c r="EF103" s="38"/>
      <c r="EG103" s="31"/>
      <c r="EH103" s="130"/>
      <c r="EI103" s="38"/>
      <c r="EJ103" s="38"/>
      <c r="EK103" s="38"/>
      <c r="EL103" s="31"/>
      <c r="EM103" s="131"/>
      <c r="EN103" s="132"/>
      <c r="EO103" s="132"/>
      <c r="EP103" s="132"/>
      <c r="EQ103" s="132"/>
      <c r="ER103" s="39"/>
      <c r="ES103" s="131"/>
      <c r="ET103" s="132"/>
      <c r="EU103" s="132"/>
      <c r="EV103" s="132"/>
      <c r="EW103" s="132"/>
    </row>
    <row r="104" spans="1:153" s="8" customFormat="1" ht="14.25" customHeight="1">
      <c r="A104" s="10"/>
      <c r="B104" s="10"/>
      <c r="C104" s="10"/>
      <c r="D104" s="10"/>
      <c r="E104" s="122"/>
      <c r="F104" s="122"/>
      <c r="G104" s="122"/>
      <c r="H104" s="122"/>
      <c r="I104" s="122"/>
      <c r="J104" s="10"/>
      <c r="K104" s="10"/>
      <c r="L104" s="122"/>
      <c r="M104" s="10"/>
      <c r="N104" s="10"/>
      <c r="O104" s="10"/>
      <c r="P104" s="10"/>
      <c r="Q104" s="122"/>
      <c r="R104" s="130"/>
      <c r="S104" s="38"/>
      <c r="T104" s="38"/>
      <c r="U104" s="38"/>
      <c r="V104" s="37"/>
      <c r="W104" s="130"/>
      <c r="X104" s="38"/>
      <c r="Y104" s="38"/>
      <c r="Z104" s="38"/>
      <c r="AA104" s="37"/>
      <c r="AB104" s="130"/>
      <c r="AC104" s="38"/>
      <c r="AD104" s="38"/>
      <c r="AE104" s="38"/>
      <c r="AF104" s="38"/>
      <c r="AG104" s="130"/>
      <c r="AH104" s="38"/>
      <c r="AI104" s="38"/>
      <c r="AJ104" s="38"/>
      <c r="AK104" s="37"/>
      <c r="AL104" s="130"/>
      <c r="AM104" s="38"/>
      <c r="AN104" s="38"/>
      <c r="AO104" s="38"/>
      <c r="AP104" s="38"/>
      <c r="AQ104" s="130"/>
      <c r="AR104" s="38"/>
      <c r="AS104" s="38"/>
      <c r="AT104" s="38"/>
      <c r="AU104" s="38"/>
      <c r="AZ104" s="38"/>
      <c r="BA104" s="130"/>
      <c r="BB104" s="38"/>
      <c r="BC104" s="38"/>
      <c r="BD104" s="38"/>
      <c r="BE104" s="38"/>
      <c r="BF104" s="130"/>
      <c r="BG104" s="38"/>
      <c r="BH104" s="38"/>
      <c r="BI104" s="38"/>
      <c r="BJ104" s="786"/>
      <c r="BK104" s="130"/>
      <c r="BL104" s="38"/>
      <c r="BM104" s="38"/>
      <c r="BN104" s="38"/>
      <c r="BO104" s="786"/>
      <c r="BP104" s="130"/>
      <c r="BQ104" s="38"/>
      <c r="BR104" s="38"/>
      <c r="BS104" s="38"/>
      <c r="BT104" s="786"/>
      <c r="BU104" s="130"/>
      <c r="BV104" s="38"/>
      <c r="BW104" s="38"/>
      <c r="BX104" s="38"/>
      <c r="BY104" s="31"/>
      <c r="BZ104" s="130"/>
      <c r="CA104" s="38"/>
      <c r="CB104" s="38"/>
      <c r="CC104" s="38"/>
      <c r="CD104" s="38"/>
      <c r="CE104" s="130"/>
      <c r="CF104" s="38"/>
      <c r="CG104" s="38"/>
      <c r="CH104" s="38"/>
      <c r="CI104" s="31"/>
      <c r="CO104" s="130"/>
      <c r="CP104" s="38"/>
      <c r="CQ104" s="38"/>
      <c r="CR104" s="38"/>
      <c r="CS104" s="31"/>
      <c r="CT104" s="130"/>
      <c r="CU104" s="38"/>
      <c r="CV104" s="38"/>
      <c r="CW104" s="38"/>
      <c r="CX104" s="31"/>
      <c r="CY104" s="130"/>
      <c r="CZ104" s="38"/>
      <c r="DA104" s="38"/>
      <c r="DB104" s="38"/>
      <c r="DC104" s="31"/>
      <c r="DD104" s="130"/>
      <c r="DE104" s="38"/>
      <c r="DF104" s="38"/>
      <c r="DG104" s="38"/>
      <c r="DH104" s="31"/>
      <c r="DI104" s="130"/>
      <c r="DJ104" s="38"/>
      <c r="DK104" s="38"/>
      <c r="DL104" s="38"/>
      <c r="DM104" s="31"/>
      <c r="DN104" s="130"/>
      <c r="DO104" s="38"/>
      <c r="DP104" s="38"/>
      <c r="DQ104" s="38"/>
      <c r="DR104" s="31"/>
      <c r="DS104" s="130"/>
      <c r="DT104" s="38"/>
      <c r="DU104" s="38"/>
      <c r="DV104" s="38"/>
      <c r="DW104" s="31"/>
      <c r="DX104" s="130"/>
      <c r="DY104" s="38"/>
      <c r="DZ104" s="38"/>
      <c r="EA104" s="38"/>
      <c r="EB104" s="31"/>
      <c r="EC104" s="130"/>
      <c r="ED104" s="38"/>
      <c r="EE104" s="38"/>
      <c r="EF104" s="38"/>
      <c r="EG104" s="31"/>
      <c r="EH104" s="130"/>
      <c r="EI104" s="38"/>
      <c r="EJ104" s="38"/>
      <c r="EK104" s="38"/>
      <c r="EL104" s="31"/>
      <c r="EM104" s="131"/>
      <c r="EN104" s="132"/>
      <c r="EO104" s="132"/>
      <c r="EP104" s="132"/>
      <c r="EQ104" s="132"/>
      <c r="ER104" s="39"/>
      <c r="ES104" s="131"/>
      <c r="ET104" s="132"/>
      <c r="EU104" s="132"/>
      <c r="EV104" s="132"/>
      <c r="EW104" s="132"/>
    </row>
    <row r="105" spans="1:153" s="8" customFormat="1" ht="14.25" customHeight="1">
      <c r="A105" s="10"/>
      <c r="B105" s="10"/>
      <c r="C105" s="10"/>
      <c r="D105" s="10"/>
      <c r="E105" s="122"/>
      <c r="F105" s="122"/>
      <c r="G105" s="122"/>
      <c r="H105" s="122"/>
      <c r="I105" s="122"/>
      <c r="J105" s="10"/>
      <c r="K105" s="10"/>
      <c r="L105" s="122"/>
      <c r="M105" s="10"/>
      <c r="N105" s="10"/>
      <c r="O105" s="10"/>
      <c r="P105" s="10"/>
      <c r="Q105" s="122"/>
      <c r="R105" s="130"/>
      <c r="S105" s="38"/>
      <c r="T105" s="38"/>
      <c r="U105" s="38"/>
      <c r="V105" s="37"/>
      <c r="W105" s="130"/>
      <c r="X105" s="38"/>
      <c r="Y105" s="38"/>
      <c r="Z105" s="38"/>
      <c r="AA105" s="37"/>
      <c r="AB105" s="130"/>
      <c r="AC105" s="38"/>
      <c r="AD105" s="38"/>
      <c r="AE105" s="38"/>
      <c r="AF105" s="38"/>
      <c r="AG105" s="130"/>
      <c r="AH105" s="38"/>
      <c r="AI105" s="38"/>
      <c r="AJ105" s="38"/>
      <c r="AK105" s="37"/>
      <c r="AL105" s="130"/>
      <c r="AM105" s="38"/>
      <c r="AN105" s="38"/>
      <c r="AO105" s="38"/>
      <c r="AP105" s="38"/>
      <c r="AQ105" s="130"/>
      <c r="AR105" s="38"/>
      <c r="AS105" s="38"/>
      <c r="AT105" s="38"/>
      <c r="AU105" s="38"/>
      <c r="AZ105" s="38"/>
      <c r="BA105" s="130"/>
      <c r="BB105" s="38"/>
      <c r="BC105" s="38"/>
      <c r="BD105" s="38"/>
      <c r="BE105" s="38"/>
      <c r="BF105" s="130"/>
      <c r="BG105" s="38"/>
      <c r="BH105" s="38"/>
      <c r="BI105" s="38"/>
      <c r="BJ105" s="786"/>
      <c r="BK105" s="130"/>
      <c r="BL105" s="38"/>
      <c r="BM105" s="38"/>
      <c r="BN105" s="38"/>
      <c r="BO105" s="786"/>
      <c r="BP105" s="130"/>
      <c r="BQ105" s="38"/>
      <c r="BR105" s="38"/>
      <c r="BS105" s="38"/>
      <c r="BT105" s="786"/>
      <c r="BU105" s="130"/>
      <c r="BV105" s="38"/>
      <c r="BW105" s="38"/>
      <c r="BX105" s="38"/>
      <c r="BY105" s="31"/>
      <c r="BZ105" s="130"/>
      <c r="CA105" s="38"/>
      <c r="CB105" s="38"/>
      <c r="CC105" s="38"/>
      <c r="CD105" s="38"/>
      <c r="CE105" s="130"/>
      <c r="CF105" s="38"/>
      <c r="CG105" s="38"/>
      <c r="CH105" s="38"/>
      <c r="CI105" s="31"/>
      <c r="CO105" s="130"/>
      <c r="CP105" s="38"/>
      <c r="CQ105" s="38"/>
      <c r="CR105" s="38"/>
      <c r="CS105" s="31"/>
      <c r="CT105" s="130"/>
      <c r="CU105" s="38"/>
      <c r="CV105" s="38"/>
      <c r="CW105" s="38"/>
      <c r="CX105" s="31"/>
      <c r="CY105" s="130"/>
      <c r="CZ105" s="38"/>
      <c r="DA105" s="38"/>
      <c r="DB105" s="38"/>
      <c r="DC105" s="31"/>
      <c r="DD105" s="130"/>
      <c r="DE105" s="38"/>
      <c r="DF105" s="38"/>
      <c r="DG105" s="38"/>
      <c r="DH105" s="31"/>
      <c r="DI105" s="130"/>
      <c r="DJ105" s="38"/>
      <c r="DK105" s="38"/>
      <c r="DL105" s="38"/>
      <c r="DM105" s="31"/>
      <c r="DN105" s="130"/>
      <c r="DO105" s="38"/>
      <c r="DP105" s="38"/>
      <c r="DQ105" s="38"/>
      <c r="DR105" s="31"/>
      <c r="DS105" s="130"/>
      <c r="DT105" s="38"/>
      <c r="DU105" s="38"/>
      <c r="DV105" s="38"/>
      <c r="DW105" s="31"/>
      <c r="DX105" s="130"/>
      <c r="DY105" s="38"/>
      <c r="DZ105" s="38"/>
      <c r="EA105" s="38"/>
      <c r="EB105" s="31"/>
      <c r="EC105" s="130"/>
      <c r="ED105" s="38"/>
      <c r="EE105" s="38"/>
      <c r="EF105" s="38"/>
      <c r="EG105" s="31"/>
      <c r="EH105" s="130"/>
      <c r="EI105" s="38"/>
      <c r="EJ105" s="38"/>
      <c r="EK105" s="38"/>
      <c r="EL105" s="31"/>
      <c r="EM105" s="131"/>
      <c r="EN105" s="132"/>
      <c r="EO105" s="132"/>
      <c r="EP105" s="132"/>
      <c r="EQ105" s="132"/>
      <c r="ER105" s="39"/>
      <c r="ES105" s="131"/>
      <c r="ET105" s="132"/>
      <c r="EU105" s="132"/>
      <c r="EV105" s="132"/>
      <c r="EW105" s="132"/>
    </row>
    <row r="106" spans="1:153" s="8" customFormat="1" ht="14.25" customHeight="1">
      <c r="A106" s="10"/>
      <c r="B106" s="10"/>
      <c r="C106" s="10"/>
      <c r="D106" s="10"/>
      <c r="E106" s="122"/>
      <c r="F106" s="122"/>
      <c r="G106" s="122"/>
      <c r="H106" s="122"/>
      <c r="I106" s="122"/>
      <c r="J106" s="10"/>
      <c r="K106" s="10"/>
      <c r="L106" s="122"/>
      <c r="M106" s="10"/>
      <c r="N106" s="10"/>
      <c r="O106" s="10"/>
      <c r="P106" s="10"/>
      <c r="Q106" s="122"/>
      <c r="R106" s="130"/>
      <c r="S106" s="38"/>
      <c r="T106" s="38"/>
      <c r="U106" s="38"/>
      <c r="V106" s="37"/>
      <c r="W106" s="130"/>
      <c r="X106" s="38"/>
      <c r="Y106" s="38"/>
      <c r="Z106" s="38"/>
      <c r="AA106" s="37"/>
      <c r="AB106" s="130"/>
      <c r="AC106" s="38"/>
      <c r="AD106" s="38"/>
      <c r="AE106" s="38"/>
      <c r="AF106" s="38"/>
      <c r="AG106" s="130"/>
      <c r="AH106" s="38"/>
      <c r="AI106" s="38"/>
      <c r="AJ106" s="38"/>
      <c r="AK106" s="37"/>
      <c r="AL106" s="130"/>
      <c r="AM106" s="38"/>
      <c r="AN106" s="38"/>
      <c r="AO106" s="38"/>
      <c r="AP106" s="38"/>
      <c r="AQ106" s="130"/>
      <c r="AR106" s="38"/>
      <c r="AS106" s="38"/>
      <c r="AT106" s="38"/>
      <c r="AU106" s="38"/>
      <c r="AZ106" s="38"/>
      <c r="BA106" s="130"/>
      <c r="BB106" s="38"/>
      <c r="BC106" s="38"/>
      <c r="BD106" s="38"/>
      <c r="BE106" s="38"/>
      <c r="BF106" s="130"/>
      <c r="BG106" s="38"/>
      <c r="BH106" s="38"/>
      <c r="BI106" s="38"/>
      <c r="BJ106" s="786"/>
      <c r="BK106" s="130"/>
      <c r="BL106" s="38"/>
      <c r="BM106" s="38"/>
      <c r="BN106" s="38"/>
      <c r="BO106" s="786"/>
      <c r="BP106" s="130"/>
      <c r="BQ106" s="38"/>
      <c r="BR106" s="38"/>
      <c r="BS106" s="38"/>
      <c r="BT106" s="786"/>
      <c r="BU106" s="130"/>
      <c r="BV106" s="38"/>
      <c r="BW106" s="38"/>
      <c r="BX106" s="38"/>
      <c r="BY106" s="31"/>
      <c r="BZ106" s="130"/>
      <c r="CA106" s="38"/>
      <c r="CB106" s="38"/>
      <c r="CC106" s="38"/>
      <c r="CD106" s="38"/>
      <c r="CE106" s="130"/>
      <c r="CF106" s="38"/>
      <c r="CG106" s="38"/>
      <c r="CH106" s="38"/>
      <c r="CI106" s="31"/>
      <c r="CO106" s="130"/>
      <c r="CP106" s="38"/>
      <c r="CQ106" s="38"/>
      <c r="CR106" s="38"/>
      <c r="CS106" s="31"/>
      <c r="CT106" s="130"/>
      <c r="CU106" s="38"/>
      <c r="CV106" s="38"/>
      <c r="CW106" s="38"/>
      <c r="CX106" s="31"/>
      <c r="CY106" s="130"/>
      <c r="CZ106" s="38"/>
      <c r="DA106" s="38"/>
      <c r="DB106" s="38"/>
      <c r="DC106" s="31"/>
      <c r="DD106" s="130"/>
      <c r="DE106" s="38"/>
      <c r="DF106" s="38"/>
      <c r="DG106" s="38"/>
      <c r="DH106" s="31"/>
      <c r="DI106" s="130"/>
      <c r="DJ106" s="38"/>
      <c r="DK106" s="38"/>
      <c r="DL106" s="38"/>
      <c r="DM106" s="31"/>
      <c r="DN106" s="130"/>
      <c r="DO106" s="38"/>
      <c r="DP106" s="38"/>
      <c r="DQ106" s="38"/>
      <c r="DR106" s="31"/>
      <c r="DS106" s="130"/>
      <c r="DT106" s="38"/>
      <c r="DU106" s="38"/>
      <c r="DV106" s="38"/>
      <c r="DW106" s="31"/>
      <c r="DX106" s="130"/>
      <c r="DY106" s="38"/>
      <c r="DZ106" s="38"/>
      <c r="EA106" s="38"/>
      <c r="EB106" s="31"/>
      <c r="EC106" s="130"/>
      <c r="ED106" s="38"/>
      <c r="EE106" s="38"/>
      <c r="EF106" s="38"/>
      <c r="EG106" s="31"/>
      <c r="EH106" s="130"/>
      <c r="EI106" s="38"/>
      <c r="EJ106" s="38"/>
      <c r="EK106" s="38"/>
      <c r="EL106" s="31"/>
      <c r="EM106" s="131"/>
      <c r="EN106" s="132"/>
      <c r="EO106" s="132"/>
      <c r="EP106" s="132"/>
      <c r="EQ106" s="132"/>
      <c r="ER106" s="39"/>
      <c r="ES106" s="131"/>
      <c r="ET106" s="132"/>
      <c r="EU106" s="132"/>
      <c r="EV106" s="132"/>
      <c r="EW106" s="132"/>
    </row>
    <row r="107" spans="1:153" s="8" customFormat="1" ht="14.25" customHeight="1">
      <c r="A107" s="10"/>
      <c r="B107" s="10"/>
      <c r="C107" s="10"/>
      <c r="D107" s="10"/>
      <c r="E107" s="122"/>
      <c r="F107" s="122"/>
      <c r="G107" s="122"/>
      <c r="H107" s="122"/>
      <c r="I107" s="122"/>
      <c r="J107" s="10"/>
      <c r="K107" s="10"/>
      <c r="L107" s="122"/>
      <c r="M107" s="10"/>
      <c r="N107" s="10"/>
      <c r="O107" s="10"/>
      <c r="P107" s="10"/>
      <c r="Q107" s="122"/>
      <c r="R107" s="130"/>
      <c r="S107" s="38"/>
      <c r="T107" s="38"/>
      <c r="U107" s="38"/>
      <c r="V107" s="37"/>
      <c r="W107" s="130"/>
      <c r="X107" s="38"/>
      <c r="Y107" s="38"/>
      <c r="Z107" s="38"/>
      <c r="AA107" s="37"/>
      <c r="AB107" s="130"/>
      <c r="AC107" s="38"/>
      <c r="AD107" s="38"/>
      <c r="AE107" s="38"/>
      <c r="AF107" s="38"/>
      <c r="AG107" s="130"/>
      <c r="AH107" s="38"/>
      <c r="AI107" s="38"/>
      <c r="AJ107" s="38"/>
      <c r="AK107" s="37"/>
      <c r="AL107" s="130"/>
      <c r="AM107" s="38"/>
      <c r="AN107" s="38"/>
      <c r="AO107" s="38"/>
      <c r="AP107" s="38"/>
      <c r="AQ107" s="130"/>
      <c r="AR107" s="38"/>
      <c r="AS107" s="38"/>
      <c r="AT107" s="38"/>
      <c r="AU107" s="38"/>
      <c r="AZ107" s="38"/>
      <c r="BA107" s="130"/>
      <c r="BB107" s="38"/>
      <c r="BC107" s="38"/>
      <c r="BD107" s="38"/>
      <c r="BE107" s="38"/>
      <c r="BF107" s="130"/>
      <c r="BG107" s="38"/>
      <c r="BH107" s="38"/>
      <c r="BI107" s="38"/>
      <c r="BJ107" s="786"/>
      <c r="BK107" s="130"/>
      <c r="BL107" s="38"/>
      <c r="BM107" s="38"/>
      <c r="BN107" s="38"/>
      <c r="BO107" s="786"/>
      <c r="BP107" s="130"/>
      <c r="BQ107" s="38"/>
      <c r="BR107" s="38"/>
      <c r="BS107" s="38"/>
      <c r="BT107" s="786"/>
      <c r="BU107" s="130"/>
      <c r="BV107" s="38"/>
      <c r="BW107" s="38"/>
      <c r="BX107" s="38"/>
      <c r="BY107" s="31"/>
      <c r="BZ107" s="130"/>
      <c r="CA107" s="38"/>
      <c r="CB107" s="38"/>
      <c r="CC107" s="38"/>
      <c r="CD107" s="38"/>
      <c r="CE107" s="130"/>
      <c r="CF107" s="38"/>
      <c r="CG107" s="38"/>
      <c r="CH107" s="38"/>
      <c r="CI107" s="31"/>
      <c r="CO107" s="130"/>
      <c r="CP107" s="38"/>
      <c r="CQ107" s="38"/>
      <c r="CR107" s="38"/>
      <c r="CS107" s="31"/>
      <c r="CT107" s="130"/>
      <c r="CU107" s="38"/>
      <c r="CV107" s="38"/>
      <c r="CW107" s="38"/>
      <c r="CX107" s="31"/>
      <c r="CY107" s="130"/>
      <c r="CZ107" s="38"/>
      <c r="DA107" s="38"/>
      <c r="DB107" s="38"/>
      <c r="DC107" s="31"/>
      <c r="DD107" s="130"/>
      <c r="DE107" s="38"/>
      <c r="DF107" s="38"/>
      <c r="DG107" s="38"/>
      <c r="DH107" s="31"/>
      <c r="DI107" s="130"/>
      <c r="DJ107" s="38"/>
      <c r="DK107" s="38"/>
      <c r="DL107" s="38"/>
      <c r="DM107" s="31"/>
      <c r="DN107" s="130"/>
      <c r="DO107" s="38"/>
      <c r="DP107" s="38"/>
      <c r="DQ107" s="38"/>
      <c r="DR107" s="31"/>
      <c r="DS107" s="130"/>
      <c r="DT107" s="38"/>
      <c r="DU107" s="38"/>
      <c r="DV107" s="38"/>
      <c r="DW107" s="31"/>
      <c r="DX107" s="130"/>
      <c r="DY107" s="38"/>
      <c r="DZ107" s="38"/>
      <c r="EA107" s="38"/>
      <c r="EB107" s="31"/>
      <c r="EC107" s="130"/>
      <c r="ED107" s="38"/>
      <c r="EE107" s="38"/>
      <c r="EF107" s="38"/>
      <c r="EG107" s="31"/>
      <c r="EH107" s="130"/>
      <c r="EI107" s="38"/>
      <c r="EJ107" s="38"/>
      <c r="EK107" s="38"/>
      <c r="EL107" s="31"/>
      <c r="EM107" s="131"/>
      <c r="EN107" s="132"/>
      <c r="EO107" s="132"/>
      <c r="EP107" s="132"/>
      <c r="EQ107" s="132"/>
      <c r="ER107" s="39"/>
      <c r="ES107" s="131"/>
      <c r="ET107" s="132"/>
      <c r="EU107" s="132"/>
      <c r="EV107" s="132"/>
      <c r="EW107" s="132"/>
    </row>
    <row r="108" spans="1:153" s="8" customFormat="1" ht="14.25" customHeight="1">
      <c r="A108" s="10"/>
      <c r="B108" s="10"/>
      <c r="C108" s="10"/>
      <c r="D108" s="10"/>
      <c r="E108" s="122"/>
      <c r="F108" s="122"/>
      <c r="G108" s="122"/>
      <c r="H108" s="122"/>
      <c r="I108" s="122"/>
      <c r="J108" s="10"/>
      <c r="K108" s="10"/>
      <c r="L108" s="122"/>
      <c r="M108" s="10"/>
      <c r="N108" s="10"/>
      <c r="O108" s="10"/>
      <c r="P108" s="10"/>
      <c r="Q108" s="122"/>
      <c r="R108" s="130"/>
      <c r="S108" s="38"/>
      <c r="T108" s="38"/>
      <c r="U108" s="38"/>
      <c r="V108" s="37"/>
      <c r="W108" s="130"/>
      <c r="X108" s="38"/>
      <c r="Y108" s="38"/>
      <c r="Z108" s="38"/>
      <c r="AA108" s="37"/>
      <c r="AB108" s="130"/>
      <c r="AC108" s="38"/>
      <c r="AD108" s="38"/>
      <c r="AE108" s="38"/>
      <c r="AF108" s="38"/>
      <c r="AG108" s="130"/>
      <c r="AH108" s="38"/>
      <c r="AI108" s="38"/>
      <c r="AJ108" s="38"/>
      <c r="AK108" s="37"/>
      <c r="AL108" s="130"/>
      <c r="AM108" s="38"/>
      <c r="AN108" s="38"/>
      <c r="AO108" s="38"/>
      <c r="AP108" s="38"/>
      <c r="AQ108" s="130"/>
      <c r="AR108" s="38"/>
      <c r="AS108" s="38"/>
      <c r="AT108" s="38"/>
      <c r="AU108" s="38"/>
      <c r="AZ108" s="38"/>
      <c r="BA108" s="130"/>
      <c r="BB108" s="38"/>
      <c r="BC108" s="38"/>
      <c r="BD108" s="38"/>
      <c r="BE108" s="38"/>
      <c r="BF108" s="130"/>
      <c r="BG108" s="38"/>
      <c r="BH108" s="38"/>
      <c r="BI108" s="38"/>
      <c r="BJ108" s="786"/>
      <c r="BK108" s="130"/>
      <c r="BL108" s="38"/>
      <c r="BM108" s="38"/>
      <c r="BN108" s="38"/>
      <c r="BO108" s="786"/>
      <c r="BP108" s="130"/>
      <c r="BQ108" s="38"/>
      <c r="BR108" s="38"/>
      <c r="BS108" s="38"/>
      <c r="BT108" s="786"/>
      <c r="BU108" s="130"/>
      <c r="BV108" s="38"/>
      <c r="BW108" s="38"/>
      <c r="BX108" s="38"/>
      <c r="BY108" s="31"/>
      <c r="BZ108" s="130"/>
      <c r="CA108" s="38"/>
      <c r="CB108" s="38"/>
      <c r="CC108" s="38"/>
      <c r="CD108" s="38"/>
      <c r="CE108" s="130"/>
      <c r="CF108" s="38"/>
      <c r="CG108" s="38"/>
      <c r="CH108" s="38"/>
      <c r="CI108" s="31"/>
      <c r="CO108" s="130"/>
      <c r="CP108" s="38"/>
      <c r="CQ108" s="38"/>
      <c r="CR108" s="38"/>
      <c r="CS108" s="31"/>
      <c r="CT108" s="130"/>
      <c r="CU108" s="38"/>
      <c r="CV108" s="38"/>
      <c r="CW108" s="38"/>
      <c r="CX108" s="31"/>
      <c r="CY108" s="130"/>
      <c r="CZ108" s="38"/>
      <c r="DA108" s="38"/>
      <c r="DB108" s="38"/>
      <c r="DC108" s="31"/>
      <c r="DD108" s="130"/>
      <c r="DE108" s="38"/>
      <c r="DF108" s="38"/>
      <c r="DG108" s="38"/>
      <c r="DH108" s="31"/>
      <c r="DI108" s="130"/>
      <c r="DJ108" s="38"/>
      <c r="DK108" s="38"/>
      <c r="DL108" s="38"/>
      <c r="DM108" s="31"/>
      <c r="DN108" s="130"/>
      <c r="DO108" s="38"/>
      <c r="DP108" s="38"/>
      <c r="DQ108" s="38"/>
      <c r="DR108" s="31"/>
      <c r="DS108" s="130"/>
      <c r="DT108" s="38"/>
      <c r="DU108" s="38"/>
      <c r="DV108" s="38"/>
      <c r="DW108" s="31"/>
      <c r="DX108" s="130"/>
      <c r="DY108" s="38"/>
      <c r="DZ108" s="38"/>
      <c r="EA108" s="38"/>
      <c r="EB108" s="31"/>
      <c r="EC108" s="130"/>
      <c r="ED108" s="38"/>
      <c r="EE108" s="38"/>
      <c r="EF108" s="38"/>
      <c r="EG108" s="31"/>
      <c r="EH108" s="130"/>
      <c r="EI108" s="38"/>
      <c r="EJ108" s="38"/>
      <c r="EK108" s="38"/>
      <c r="EL108" s="31"/>
      <c r="EM108" s="131"/>
      <c r="EN108" s="132"/>
      <c r="EO108" s="132"/>
      <c r="EP108" s="132"/>
      <c r="EQ108" s="132"/>
      <c r="ER108" s="39"/>
      <c r="ES108" s="131"/>
      <c r="ET108" s="132"/>
      <c r="EU108" s="132"/>
      <c r="EV108" s="132"/>
      <c r="EW108" s="132"/>
    </row>
    <row r="109" spans="1:153" s="8" customFormat="1" ht="14.25" customHeight="1">
      <c r="A109" s="10"/>
      <c r="B109" s="10"/>
      <c r="C109" s="10"/>
      <c r="D109" s="10"/>
      <c r="E109" s="122"/>
      <c r="F109" s="122"/>
      <c r="G109" s="122"/>
      <c r="H109" s="122"/>
      <c r="I109" s="122"/>
      <c r="J109" s="10"/>
      <c r="K109" s="10"/>
      <c r="L109" s="122"/>
      <c r="M109" s="10"/>
      <c r="N109" s="10"/>
      <c r="O109" s="10"/>
      <c r="P109" s="10"/>
      <c r="Q109" s="122"/>
      <c r="R109" s="130"/>
      <c r="S109" s="38"/>
      <c r="T109" s="38"/>
      <c r="U109" s="38"/>
      <c r="V109" s="37"/>
      <c r="W109" s="130"/>
      <c r="X109" s="38"/>
      <c r="Y109" s="38"/>
      <c r="Z109" s="38"/>
      <c r="AA109" s="37"/>
      <c r="AB109" s="130"/>
      <c r="AC109" s="38"/>
      <c r="AD109" s="38"/>
      <c r="AE109" s="38"/>
      <c r="AF109" s="38"/>
      <c r="AG109" s="130"/>
      <c r="AH109" s="38"/>
      <c r="AI109" s="38"/>
      <c r="AJ109" s="38"/>
      <c r="AK109" s="37"/>
      <c r="AL109" s="130"/>
      <c r="AM109" s="38"/>
      <c r="AN109" s="38"/>
      <c r="AO109" s="38"/>
      <c r="AP109" s="38"/>
      <c r="AQ109" s="130"/>
      <c r="AR109" s="38"/>
      <c r="AS109" s="38"/>
      <c r="AT109" s="38"/>
      <c r="AU109" s="38"/>
      <c r="AZ109" s="38"/>
      <c r="BA109" s="130"/>
      <c r="BB109" s="38"/>
      <c r="BC109" s="38"/>
      <c r="BD109" s="38"/>
      <c r="BE109" s="38"/>
      <c r="BF109" s="130"/>
      <c r="BG109" s="38"/>
      <c r="BH109" s="38"/>
      <c r="BI109" s="38"/>
      <c r="BJ109" s="786"/>
      <c r="BK109" s="130"/>
      <c r="BL109" s="38"/>
      <c r="BM109" s="38"/>
      <c r="BN109" s="38"/>
      <c r="BO109" s="786"/>
      <c r="BP109" s="130"/>
      <c r="BQ109" s="38"/>
      <c r="BR109" s="38"/>
      <c r="BS109" s="38"/>
      <c r="BT109" s="786"/>
      <c r="BU109" s="130"/>
      <c r="BV109" s="38"/>
      <c r="BW109" s="38"/>
      <c r="BX109" s="38"/>
      <c r="BY109" s="31"/>
      <c r="BZ109" s="130"/>
      <c r="CA109" s="38"/>
      <c r="CB109" s="38"/>
      <c r="CC109" s="38"/>
      <c r="CD109" s="38"/>
      <c r="CE109" s="130"/>
      <c r="CF109" s="38"/>
      <c r="CG109" s="38"/>
      <c r="CH109" s="38"/>
      <c r="CI109" s="31"/>
      <c r="CO109" s="130"/>
      <c r="CP109" s="38"/>
      <c r="CQ109" s="38"/>
      <c r="CR109" s="38"/>
      <c r="CS109" s="31"/>
      <c r="CT109" s="130"/>
      <c r="CU109" s="38"/>
      <c r="CV109" s="38"/>
      <c r="CW109" s="38"/>
      <c r="CX109" s="31"/>
      <c r="CY109" s="130"/>
      <c r="CZ109" s="38"/>
      <c r="DA109" s="38"/>
      <c r="DB109" s="38"/>
      <c r="DC109" s="31"/>
      <c r="DD109" s="130"/>
      <c r="DE109" s="38"/>
      <c r="DF109" s="38"/>
      <c r="DG109" s="38"/>
      <c r="DH109" s="31"/>
      <c r="DI109" s="130"/>
      <c r="DJ109" s="38"/>
      <c r="DK109" s="38"/>
      <c r="DL109" s="38"/>
      <c r="DM109" s="31"/>
      <c r="DN109" s="130"/>
      <c r="DO109" s="38"/>
      <c r="DP109" s="38"/>
      <c r="DQ109" s="38"/>
      <c r="DR109" s="31"/>
      <c r="DS109" s="130"/>
      <c r="DT109" s="38"/>
      <c r="DU109" s="38"/>
      <c r="DV109" s="38"/>
      <c r="DW109" s="31"/>
      <c r="DX109" s="130"/>
      <c r="DY109" s="38"/>
      <c r="DZ109" s="38"/>
      <c r="EA109" s="38"/>
      <c r="EB109" s="31"/>
      <c r="EC109" s="130"/>
      <c r="ED109" s="38"/>
      <c r="EE109" s="38"/>
      <c r="EF109" s="38"/>
      <c r="EG109" s="31"/>
      <c r="EH109" s="130"/>
      <c r="EI109" s="38"/>
      <c r="EJ109" s="38"/>
      <c r="EK109" s="38"/>
      <c r="EL109" s="31"/>
      <c r="EM109" s="131"/>
      <c r="EN109" s="132"/>
      <c r="EO109" s="132"/>
      <c r="EP109" s="132"/>
      <c r="EQ109" s="132"/>
      <c r="ER109" s="39"/>
      <c r="ES109" s="131"/>
      <c r="ET109" s="132"/>
      <c r="EU109" s="132"/>
      <c r="EV109" s="132"/>
      <c r="EW109" s="132"/>
    </row>
    <row r="110" spans="1:153" s="8" customFormat="1" ht="14.25" customHeight="1">
      <c r="A110" s="10"/>
      <c r="B110" s="10"/>
      <c r="C110" s="10"/>
      <c r="D110" s="10"/>
      <c r="E110" s="122"/>
      <c r="F110" s="122"/>
      <c r="G110" s="122"/>
      <c r="H110" s="122"/>
      <c r="I110" s="122"/>
      <c r="J110" s="10"/>
      <c r="K110" s="10"/>
      <c r="L110" s="122"/>
      <c r="M110" s="10"/>
      <c r="N110" s="10"/>
      <c r="O110" s="10"/>
      <c r="P110" s="10"/>
      <c r="Q110" s="122"/>
      <c r="R110" s="130"/>
      <c r="S110" s="38"/>
      <c r="T110" s="38"/>
      <c r="U110" s="38"/>
      <c r="V110" s="37"/>
      <c r="W110" s="130"/>
      <c r="X110" s="38"/>
      <c r="Y110" s="38"/>
      <c r="Z110" s="38"/>
      <c r="AA110" s="37"/>
      <c r="AB110" s="130"/>
      <c r="AC110" s="38"/>
      <c r="AD110" s="38"/>
      <c r="AE110" s="38"/>
      <c r="AF110" s="38"/>
      <c r="AG110" s="130"/>
      <c r="AH110" s="38"/>
      <c r="AI110" s="38"/>
      <c r="AJ110" s="38"/>
      <c r="AK110" s="37"/>
      <c r="AL110" s="130"/>
      <c r="AM110" s="38"/>
      <c r="AN110" s="38"/>
      <c r="AO110" s="38"/>
      <c r="AP110" s="38"/>
      <c r="AQ110" s="130"/>
      <c r="AR110" s="38"/>
      <c r="AS110" s="38"/>
      <c r="AT110" s="38"/>
      <c r="AU110" s="38"/>
      <c r="AZ110" s="38"/>
      <c r="BA110" s="130"/>
      <c r="BB110" s="38"/>
      <c r="BC110" s="38"/>
      <c r="BD110" s="38"/>
      <c r="BE110" s="38"/>
      <c r="BF110" s="130"/>
      <c r="BG110" s="38"/>
      <c r="BH110" s="38"/>
      <c r="BI110" s="38"/>
      <c r="BJ110" s="786"/>
      <c r="BK110" s="130"/>
      <c r="BL110" s="38"/>
      <c r="BM110" s="38"/>
      <c r="BN110" s="38"/>
      <c r="BO110" s="786"/>
      <c r="BP110" s="130"/>
      <c r="BQ110" s="38"/>
      <c r="BR110" s="38"/>
      <c r="BS110" s="38"/>
      <c r="BT110" s="786"/>
      <c r="BU110" s="130"/>
      <c r="BV110" s="38"/>
      <c r="BW110" s="38"/>
      <c r="BX110" s="38"/>
      <c r="BY110" s="31"/>
      <c r="BZ110" s="130"/>
      <c r="CA110" s="38"/>
      <c r="CB110" s="38"/>
      <c r="CC110" s="38"/>
      <c r="CD110" s="38"/>
      <c r="CE110" s="130"/>
      <c r="CF110" s="38"/>
      <c r="CG110" s="38"/>
      <c r="CH110" s="38"/>
      <c r="CI110" s="31"/>
      <c r="CO110" s="130"/>
      <c r="CP110" s="38"/>
      <c r="CQ110" s="38"/>
      <c r="CR110" s="38"/>
      <c r="CS110" s="31"/>
      <c r="CT110" s="130"/>
      <c r="CU110" s="38"/>
      <c r="CV110" s="38"/>
      <c r="CW110" s="38"/>
      <c r="CX110" s="31"/>
      <c r="CY110" s="130"/>
      <c r="CZ110" s="38"/>
      <c r="DA110" s="38"/>
      <c r="DB110" s="38"/>
      <c r="DC110" s="31"/>
      <c r="DD110" s="130"/>
      <c r="DE110" s="38"/>
      <c r="DF110" s="38"/>
      <c r="DG110" s="38"/>
      <c r="DH110" s="31"/>
      <c r="DI110" s="130"/>
      <c r="DJ110" s="38"/>
      <c r="DK110" s="38"/>
      <c r="DL110" s="38"/>
      <c r="DM110" s="31"/>
      <c r="DN110" s="130"/>
      <c r="DO110" s="38"/>
      <c r="DP110" s="38"/>
      <c r="DQ110" s="38"/>
      <c r="DR110" s="31"/>
      <c r="DS110" s="130"/>
      <c r="DT110" s="38"/>
      <c r="DU110" s="38"/>
      <c r="DV110" s="38"/>
      <c r="DW110" s="31"/>
      <c r="DX110" s="130"/>
      <c r="DY110" s="38"/>
      <c r="DZ110" s="38"/>
      <c r="EA110" s="38"/>
      <c r="EB110" s="31"/>
      <c r="EC110" s="130"/>
      <c r="ED110" s="38"/>
      <c r="EE110" s="38"/>
      <c r="EF110" s="38"/>
      <c r="EG110" s="31"/>
      <c r="EH110" s="130"/>
      <c r="EI110" s="38"/>
      <c r="EJ110" s="38"/>
      <c r="EK110" s="38"/>
      <c r="EL110" s="31"/>
      <c r="EM110" s="131"/>
      <c r="EN110" s="132"/>
      <c r="EO110" s="132"/>
      <c r="EP110" s="132"/>
      <c r="EQ110" s="132"/>
      <c r="ER110" s="39"/>
      <c r="ES110" s="131"/>
      <c r="ET110" s="132"/>
      <c r="EU110" s="132"/>
      <c r="EV110" s="132"/>
      <c r="EW110" s="132"/>
    </row>
    <row r="111" spans="1:153" s="8" customFormat="1" ht="14.25" customHeight="1">
      <c r="A111" s="10"/>
      <c r="B111" s="10"/>
      <c r="C111" s="10"/>
      <c r="D111" s="10"/>
      <c r="E111" s="122"/>
      <c r="F111" s="122"/>
      <c r="G111" s="122"/>
      <c r="H111" s="122"/>
      <c r="I111" s="122"/>
      <c r="J111" s="10"/>
      <c r="K111" s="10"/>
      <c r="L111" s="122"/>
      <c r="M111" s="10"/>
      <c r="N111" s="10"/>
      <c r="O111" s="10"/>
      <c r="P111" s="10"/>
      <c r="Q111" s="122"/>
      <c r="R111" s="130"/>
      <c r="S111" s="38"/>
      <c r="T111" s="38"/>
      <c r="U111" s="38"/>
      <c r="V111" s="37"/>
      <c r="W111" s="130"/>
      <c r="X111" s="38"/>
      <c r="Y111" s="38"/>
      <c r="Z111" s="38"/>
      <c r="AA111" s="37"/>
      <c r="AB111" s="130"/>
      <c r="AC111" s="38"/>
      <c r="AD111" s="38"/>
      <c r="AE111" s="38"/>
      <c r="AF111" s="38"/>
      <c r="AG111" s="130"/>
      <c r="AH111" s="38"/>
      <c r="AI111" s="38"/>
      <c r="AJ111" s="38"/>
      <c r="AK111" s="37"/>
      <c r="AL111" s="130"/>
      <c r="AM111" s="38"/>
      <c r="AN111" s="38"/>
      <c r="AO111" s="38"/>
      <c r="AP111" s="38"/>
      <c r="AQ111" s="130"/>
      <c r="AR111" s="38"/>
      <c r="AS111" s="38"/>
      <c r="AT111" s="38"/>
      <c r="AU111" s="38"/>
      <c r="AZ111" s="38"/>
      <c r="BA111" s="130"/>
      <c r="BB111" s="38"/>
      <c r="BC111" s="38"/>
      <c r="BD111" s="38"/>
      <c r="BE111" s="38"/>
      <c r="BF111" s="130"/>
      <c r="BG111" s="38"/>
      <c r="BH111" s="38"/>
      <c r="BI111" s="38"/>
      <c r="BJ111" s="786"/>
      <c r="BK111" s="130"/>
      <c r="BL111" s="38"/>
      <c r="BM111" s="38"/>
      <c r="BN111" s="38"/>
      <c r="BO111" s="786"/>
      <c r="BP111" s="130"/>
      <c r="BQ111" s="38"/>
      <c r="BR111" s="38"/>
      <c r="BS111" s="38"/>
      <c r="BT111" s="786"/>
      <c r="BU111" s="130"/>
      <c r="BV111" s="38"/>
      <c r="BW111" s="38"/>
      <c r="BX111" s="38"/>
      <c r="BY111" s="31"/>
      <c r="BZ111" s="130"/>
      <c r="CA111" s="38"/>
      <c r="CB111" s="38"/>
      <c r="CC111" s="38"/>
      <c r="CD111" s="38"/>
      <c r="CE111" s="130"/>
      <c r="CF111" s="38"/>
      <c r="CG111" s="38"/>
      <c r="CH111" s="38"/>
      <c r="CI111" s="31"/>
      <c r="CO111" s="130"/>
      <c r="CP111" s="38"/>
      <c r="CQ111" s="38"/>
      <c r="CR111" s="38"/>
      <c r="CS111" s="31"/>
      <c r="CT111" s="130"/>
      <c r="CU111" s="38"/>
      <c r="CV111" s="38"/>
      <c r="CW111" s="38"/>
      <c r="CX111" s="31"/>
      <c r="CY111" s="130"/>
      <c r="CZ111" s="38"/>
      <c r="DA111" s="38"/>
      <c r="DB111" s="38"/>
      <c r="DC111" s="31"/>
      <c r="DD111" s="130"/>
      <c r="DE111" s="38"/>
      <c r="DF111" s="38"/>
      <c r="DG111" s="38"/>
      <c r="DH111" s="31"/>
      <c r="DI111" s="130"/>
      <c r="DJ111" s="38"/>
      <c r="DK111" s="38"/>
      <c r="DL111" s="38"/>
      <c r="DM111" s="31"/>
      <c r="DN111" s="130"/>
      <c r="DO111" s="38"/>
      <c r="DP111" s="38"/>
      <c r="DQ111" s="38"/>
      <c r="DR111" s="31"/>
      <c r="DS111" s="130"/>
      <c r="DT111" s="38"/>
      <c r="DU111" s="38"/>
      <c r="DV111" s="38"/>
      <c r="DW111" s="31"/>
      <c r="DX111" s="130"/>
      <c r="DY111" s="38"/>
      <c r="DZ111" s="38"/>
      <c r="EA111" s="38"/>
      <c r="EB111" s="31"/>
      <c r="EC111" s="130"/>
      <c r="ED111" s="38"/>
      <c r="EE111" s="38"/>
      <c r="EF111" s="38"/>
      <c r="EG111" s="31"/>
      <c r="EH111" s="130"/>
      <c r="EI111" s="38"/>
      <c r="EJ111" s="38"/>
      <c r="EK111" s="38"/>
      <c r="EL111" s="31"/>
      <c r="EM111" s="131"/>
      <c r="EN111" s="132"/>
      <c r="EO111" s="132"/>
      <c r="EP111" s="132"/>
      <c r="EQ111" s="132"/>
      <c r="ER111" s="39"/>
      <c r="ES111" s="131"/>
      <c r="ET111" s="132"/>
      <c r="EU111" s="132"/>
      <c r="EV111" s="132"/>
      <c r="EW111" s="132"/>
    </row>
    <row r="112" spans="1:153" s="8" customFormat="1" ht="14.25" customHeight="1">
      <c r="A112" s="10"/>
      <c r="B112" s="10"/>
      <c r="C112" s="10"/>
      <c r="D112" s="10"/>
      <c r="E112" s="122"/>
      <c r="F112" s="122"/>
      <c r="G112" s="122"/>
      <c r="H112" s="122"/>
      <c r="I112" s="122"/>
      <c r="J112" s="10"/>
      <c r="K112" s="10"/>
      <c r="L112" s="122"/>
      <c r="M112" s="10"/>
      <c r="N112" s="10"/>
      <c r="O112" s="10"/>
      <c r="P112" s="10"/>
      <c r="Q112" s="122"/>
      <c r="R112" s="130"/>
      <c r="S112" s="38"/>
      <c r="T112" s="38"/>
      <c r="U112" s="38"/>
      <c r="V112" s="37"/>
      <c r="W112" s="130"/>
      <c r="X112" s="38"/>
      <c r="Y112" s="38"/>
      <c r="Z112" s="38"/>
      <c r="AA112" s="37"/>
      <c r="AB112" s="130"/>
      <c r="AC112" s="38"/>
      <c r="AD112" s="38"/>
      <c r="AE112" s="38"/>
      <c r="AF112" s="38"/>
      <c r="AG112" s="130"/>
      <c r="AH112" s="38"/>
      <c r="AI112" s="38"/>
      <c r="AJ112" s="38"/>
      <c r="AK112" s="37"/>
      <c r="AL112" s="130"/>
      <c r="AM112" s="38"/>
      <c r="AN112" s="38"/>
      <c r="AO112" s="38"/>
      <c r="AP112" s="38"/>
      <c r="AQ112" s="130"/>
      <c r="AR112" s="38"/>
      <c r="AS112" s="38"/>
      <c r="AT112" s="38"/>
      <c r="AU112" s="38"/>
      <c r="AZ112" s="38"/>
      <c r="BA112" s="130"/>
      <c r="BB112" s="38"/>
      <c r="BC112" s="38"/>
      <c r="BD112" s="38"/>
      <c r="BE112" s="38"/>
      <c r="BF112" s="130"/>
      <c r="BG112" s="38"/>
      <c r="BH112" s="38"/>
      <c r="BI112" s="38"/>
      <c r="BJ112" s="786"/>
      <c r="BK112" s="130"/>
      <c r="BL112" s="38"/>
      <c r="BM112" s="38"/>
      <c r="BN112" s="38"/>
      <c r="BO112" s="786"/>
      <c r="BP112" s="130"/>
      <c r="BQ112" s="38"/>
      <c r="BR112" s="38"/>
      <c r="BS112" s="38"/>
      <c r="BT112" s="786"/>
      <c r="BU112" s="130"/>
      <c r="BV112" s="38"/>
      <c r="BW112" s="38"/>
      <c r="BX112" s="38"/>
      <c r="BY112" s="31"/>
      <c r="BZ112" s="130"/>
      <c r="CA112" s="38"/>
      <c r="CB112" s="38"/>
      <c r="CC112" s="38"/>
      <c r="CD112" s="38"/>
      <c r="CE112" s="130"/>
      <c r="CF112" s="38"/>
      <c r="CG112" s="38"/>
      <c r="CH112" s="38"/>
      <c r="CI112" s="31"/>
      <c r="CO112" s="130"/>
      <c r="CP112" s="38"/>
      <c r="CQ112" s="38"/>
      <c r="CR112" s="38"/>
      <c r="CS112" s="31"/>
      <c r="CT112" s="130"/>
      <c r="CU112" s="38"/>
      <c r="CV112" s="38"/>
      <c r="CW112" s="38"/>
      <c r="CX112" s="31"/>
      <c r="CY112" s="130"/>
      <c r="CZ112" s="38"/>
      <c r="DA112" s="38"/>
      <c r="DB112" s="38"/>
      <c r="DC112" s="31"/>
      <c r="DD112" s="130"/>
      <c r="DE112" s="38"/>
      <c r="DF112" s="38"/>
      <c r="DG112" s="38"/>
      <c r="DH112" s="31"/>
      <c r="DI112" s="130"/>
      <c r="DJ112" s="38"/>
      <c r="DK112" s="38"/>
      <c r="DL112" s="38"/>
      <c r="DM112" s="31"/>
      <c r="DN112" s="130"/>
      <c r="DO112" s="38"/>
      <c r="DP112" s="38"/>
      <c r="DQ112" s="38"/>
      <c r="DR112" s="31"/>
      <c r="DS112" s="130"/>
      <c r="DT112" s="38"/>
      <c r="DU112" s="38"/>
      <c r="DV112" s="38"/>
      <c r="DW112" s="31"/>
      <c r="DX112" s="130"/>
      <c r="DY112" s="38"/>
      <c r="DZ112" s="38"/>
      <c r="EA112" s="38"/>
      <c r="EB112" s="31"/>
      <c r="EC112" s="130"/>
      <c r="ED112" s="38"/>
      <c r="EE112" s="38"/>
      <c r="EF112" s="38"/>
      <c r="EG112" s="31"/>
      <c r="EH112" s="130"/>
      <c r="EI112" s="38"/>
      <c r="EJ112" s="38"/>
      <c r="EK112" s="38"/>
      <c r="EL112" s="31"/>
      <c r="EM112" s="131"/>
      <c r="EN112" s="132"/>
      <c r="EO112" s="132"/>
      <c r="EP112" s="132"/>
      <c r="EQ112" s="132"/>
      <c r="ER112" s="39"/>
      <c r="ES112" s="131"/>
      <c r="ET112" s="132"/>
      <c r="EU112" s="132"/>
      <c r="EV112" s="132"/>
      <c r="EW112" s="132"/>
    </row>
    <row r="113" spans="1:153" s="8" customFormat="1" ht="14.25" customHeight="1">
      <c r="A113" s="10"/>
      <c r="B113" s="10"/>
      <c r="C113" s="10"/>
      <c r="D113" s="10"/>
      <c r="E113" s="122"/>
      <c r="F113" s="122"/>
      <c r="G113" s="122"/>
      <c r="H113" s="122"/>
      <c r="I113" s="122"/>
      <c r="J113" s="10"/>
      <c r="K113" s="10"/>
      <c r="L113" s="122"/>
      <c r="M113" s="10"/>
      <c r="N113" s="10"/>
      <c r="O113" s="10"/>
      <c r="P113" s="10"/>
      <c r="Q113" s="122"/>
      <c r="R113" s="130"/>
      <c r="S113" s="38"/>
      <c r="T113" s="38"/>
      <c r="U113" s="38"/>
      <c r="V113" s="37"/>
      <c r="W113" s="130"/>
      <c r="X113" s="38"/>
      <c r="Y113" s="38"/>
      <c r="Z113" s="38"/>
      <c r="AA113" s="37"/>
      <c r="AB113" s="130"/>
      <c r="AC113" s="38"/>
      <c r="AD113" s="38"/>
      <c r="AE113" s="38"/>
      <c r="AF113" s="38"/>
      <c r="AG113" s="130"/>
      <c r="AH113" s="38"/>
      <c r="AI113" s="38"/>
      <c r="AJ113" s="38"/>
      <c r="AK113" s="37"/>
      <c r="AL113" s="130"/>
      <c r="AM113" s="38"/>
      <c r="AN113" s="38"/>
      <c r="AO113" s="38"/>
      <c r="AP113" s="38"/>
      <c r="AQ113" s="130"/>
      <c r="AR113" s="38"/>
      <c r="AS113" s="38"/>
      <c r="AT113" s="38"/>
      <c r="AU113" s="38"/>
      <c r="AZ113" s="38"/>
      <c r="BA113" s="130"/>
      <c r="BB113" s="38"/>
      <c r="BC113" s="38"/>
      <c r="BD113" s="38"/>
      <c r="BE113" s="38"/>
      <c r="BF113" s="130"/>
      <c r="BG113" s="38"/>
      <c r="BH113" s="38"/>
      <c r="BI113" s="38"/>
      <c r="BJ113" s="786"/>
      <c r="BK113" s="130"/>
      <c r="BL113" s="38"/>
      <c r="BM113" s="38"/>
      <c r="BN113" s="38"/>
      <c r="BO113" s="786"/>
      <c r="BP113" s="130"/>
      <c r="BQ113" s="38"/>
      <c r="BR113" s="38"/>
      <c r="BS113" s="38"/>
      <c r="BT113" s="786"/>
      <c r="BU113" s="130"/>
      <c r="BV113" s="38"/>
      <c r="BW113" s="38"/>
      <c r="BX113" s="38"/>
      <c r="BY113" s="31"/>
      <c r="BZ113" s="130"/>
      <c r="CA113" s="38"/>
      <c r="CB113" s="38"/>
      <c r="CC113" s="38"/>
      <c r="CD113" s="38"/>
      <c r="CE113" s="130"/>
      <c r="CF113" s="38"/>
      <c r="CG113" s="38"/>
      <c r="CH113" s="38"/>
      <c r="CI113" s="31"/>
      <c r="CO113" s="130"/>
      <c r="CP113" s="38"/>
      <c r="CQ113" s="38"/>
      <c r="CR113" s="38"/>
      <c r="CS113" s="31"/>
      <c r="CT113" s="130"/>
      <c r="CU113" s="38"/>
      <c r="CV113" s="38"/>
      <c r="CW113" s="38"/>
      <c r="CX113" s="31"/>
      <c r="CY113" s="130"/>
      <c r="CZ113" s="38"/>
      <c r="DA113" s="38"/>
      <c r="DB113" s="38"/>
      <c r="DC113" s="31"/>
      <c r="DD113" s="130"/>
      <c r="DE113" s="38"/>
      <c r="DF113" s="38"/>
      <c r="DG113" s="38"/>
      <c r="DH113" s="31"/>
      <c r="DI113" s="130"/>
      <c r="DJ113" s="38"/>
      <c r="DK113" s="38"/>
      <c r="DL113" s="38"/>
      <c r="DM113" s="31"/>
      <c r="DN113" s="130"/>
      <c r="DO113" s="38"/>
      <c r="DP113" s="38"/>
      <c r="DQ113" s="38"/>
      <c r="DR113" s="31"/>
      <c r="DS113" s="130"/>
      <c r="DT113" s="38"/>
      <c r="DU113" s="38"/>
      <c r="DV113" s="38"/>
      <c r="DW113" s="31"/>
      <c r="DX113" s="130"/>
      <c r="DY113" s="38"/>
      <c r="DZ113" s="38"/>
      <c r="EA113" s="38"/>
      <c r="EB113" s="31"/>
      <c r="EC113" s="130"/>
      <c r="ED113" s="38"/>
      <c r="EE113" s="38"/>
      <c r="EF113" s="38"/>
      <c r="EG113" s="31"/>
      <c r="EH113" s="130"/>
      <c r="EI113" s="38"/>
      <c r="EJ113" s="38"/>
      <c r="EK113" s="38"/>
      <c r="EL113" s="31"/>
      <c r="EM113" s="131"/>
      <c r="EN113" s="132"/>
      <c r="EO113" s="132"/>
      <c r="EP113" s="132"/>
      <c r="EQ113" s="132"/>
      <c r="ER113" s="39"/>
      <c r="ES113" s="131"/>
      <c r="ET113" s="132"/>
      <c r="EU113" s="132"/>
      <c r="EV113" s="132"/>
      <c r="EW113" s="132"/>
    </row>
    <row r="114" spans="1:153" s="8" customFormat="1" ht="14.25" customHeight="1">
      <c r="A114" s="10"/>
      <c r="B114" s="10"/>
      <c r="C114" s="10"/>
      <c r="D114" s="10"/>
      <c r="E114" s="122"/>
      <c r="F114" s="122"/>
      <c r="G114" s="122"/>
      <c r="H114" s="122"/>
      <c r="I114" s="122"/>
      <c r="J114" s="10"/>
      <c r="K114" s="10"/>
      <c r="L114" s="122"/>
      <c r="M114" s="10"/>
      <c r="N114" s="10"/>
      <c r="O114" s="10"/>
      <c r="P114" s="10"/>
      <c r="Q114" s="122"/>
      <c r="R114" s="130"/>
      <c r="S114" s="38"/>
      <c r="T114" s="38"/>
      <c r="U114" s="38"/>
      <c r="V114" s="37"/>
      <c r="W114" s="130"/>
      <c r="X114" s="38"/>
      <c r="Y114" s="38"/>
      <c r="Z114" s="38"/>
      <c r="AA114" s="37"/>
      <c r="AB114" s="130"/>
      <c r="AC114" s="38"/>
      <c r="AD114" s="38"/>
      <c r="AE114" s="38"/>
      <c r="AF114" s="38"/>
      <c r="AG114" s="130"/>
      <c r="AH114" s="38"/>
      <c r="AI114" s="38"/>
      <c r="AJ114" s="38"/>
      <c r="AK114" s="37"/>
      <c r="AL114" s="130"/>
      <c r="AM114" s="38"/>
      <c r="AN114" s="38"/>
      <c r="AO114" s="38"/>
      <c r="AP114" s="38"/>
      <c r="AQ114" s="130"/>
      <c r="AR114" s="38"/>
      <c r="AS114" s="38"/>
      <c r="AT114" s="38"/>
      <c r="AU114" s="38"/>
      <c r="AZ114" s="38"/>
      <c r="BA114" s="130"/>
      <c r="BB114" s="38"/>
      <c r="BC114" s="38"/>
      <c r="BD114" s="38"/>
      <c r="BE114" s="38"/>
      <c r="BF114" s="130"/>
      <c r="BG114" s="38"/>
      <c r="BH114" s="38"/>
      <c r="BI114" s="38"/>
      <c r="BJ114" s="786"/>
      <c r="BK114" s="130"/>
      <c r="BL114" s="38"/>
      <c r="BM114" s="38"/>
      <c r="BN114" s="38"/>
      <c r="BO114" s="786"/>
      <c r="BP114" s="130"/>
      <c r="BQ114" s="38"/>
      <c r="BR114" s="38"/>
      <c r="BS114" s="38"/>
      <c r="BT114" s="786"/>
      <c r="BU114" s="130"/>
      <c r="BV114" s="38"/>
      <c r="BW114" s="38"/>
      <c r="BX114" s="38"/>
      <c r="BY114" s="31"/>
      <c r="BZ114" s="130"/>
      <c r="CA114" s="38"/>
      <c r="CB114" s="38"/>
      <c r="CC114" s="38"/>
      <c r="CD114" s="38"/>
      <c r="CE114" s="130"/>
      <c r="CF114" s="38"/>
      <c r="CG114" s="38"/>
      <c r="CH114" s="38"/>
      <c r="CI114" s="31"/>
      <c r="CO114" s="130"/>
      <c r="CP114" s="38"/>
      <c r="CQ114" s="38"/>
      <c r="CR114" s="38"/>
      <c r="CS114" s="31"/>
      <c r="CT114" s="130"/>
      <c r="CU114" s="38"/>
      <c r="CV114" s="38"/>
      <c r="CW114" s="38"/>
      <c r="CX114" s="31"/>
      <c r="CY114" s="130"/>
      <c r="CZ114" s="38"/>
      <c r="DA114" s="38"/>
      <c r="DB114" s="38"/>
      <c r="DC114" s="31"/>
      <c r="DD114" s="130"/>
      <c r="DE114" s="38"/>
      <c r="DF114" s="38"/>
      <c r="DG114" s="38"/>
      <c r="DH114" s="31"/>
      <c r="DI114" s="130"/>
      <c r="DJ114" s="38"/>
      <c r="DK114" s="38"/>
      <c r="DL114" s="38"/>
      <c r="DM114" s="31"/>
      <c r="DN114" s="130"/>
      <c r="DO114" s="38"/>
      <c r="DP114" s="38"/>
      <c r="DQ114" s="38"/>
      <c r="DR114" s="31"/>
      <c r="DS114" s="130"/>
      <c r="DT114" s="38"/>
      <c r="DU114" s="38"/>
      <c r="DV114" s="38"/>
      <c r="DW114" s="31"/>
      <c r="DX114" s="130"/>
      <c r="DY114" s="38"/>
      <c r="DZ114" s="38"/>
      <c r="EA114" s="38"/>
      <c r="EB114" s="31"/>
      <c r="EC114" s="130"/>
      <c r="ED114" s="38"/>
      <c r="EE114" s="38"/>
      <c r="EF114" s="38"/>
      <c r="EG114" s="31"/>
      <c r="EH114" s="130"/>
      <c r="EI114" s="38"/>
      <c r="EJ114" s="38"/>
      <c r="EK114" s="38"/>
      <c r="EL114" s="31"/>
      <c r="EM114" s="131"/>
      <c r="EN114" s="132"/>
      <c r="EO114" s="132"/>
      <c r="EP114" s="132"/>
      <c r="EQ114" s="132"/>
      <c r="ER114" s="39"/>
      <c r="ES114" s="131"/>
      <c r="ET114" s="132"/>
      <c r="EU114" s="132"/>
      <c r="EV114" s="132"/>
      <c r="EW114" s="132"/>
    </row>
    <row r="115" spans="1:153" s="8" customFormat="1" ht="14.25" customHeight="1">
      <c r="A115" s="10"/>
      <c r="B115" s="10"/>
      <c r="C115" s="10"/>
      <c r="D115" s="10"/>
      <c r="E115" s="122"/>
      <c r="F115" s="122"/>
      <c r="G115" s="122"/>
      <c r="H115" s="122"/>
      <c r="I115" s="122"/>
      <c r="J115" s="10"/>
      <c r="K115" s="10"/>
      <c r="L115" s="122"/>
      <c r="M115" s="10"/>
      <c r="N115" s="10"/>
      <c r="O115" s="10"/>
      <c r="P115" s="10"/>
      <c r="Q115" s="122"/>
      <c r="R115" s="130"/>
      <c r="S115" s="38"/>
      <c r="T115" s="38"/>
      <c r="U115" s="38"/>
      <c r="V115" s="37"/>
      <c r="W115" s="130"/>
      <c r="X115" s="38"/>
      <c r="Y115" s="38"/>
      <c r="Z115" s="38"/>
      <c r="AA115" s="37"/>
      <c r="AB115" s="130"/>
      <c r="AC115" s="38"/>
      <c r="AD115" s="38"/>
      <c r="AE115" s="38"/>
      <c r="AF115" s="38"/>
      <c r="AG115" s="130"/>
      <c r="AH115" s="38"/>
      <c r="AI115" s="38"/>
      <c r="AJ115" s="38"/>
      <c r="AK115" s="37"/>
      <c r="AL115" s="130"/>
      <c r="AM115" s="38"/>
      <c r="AN115" s="38"/>
      <c r="AO115" s="38"/>
      <c r="AP115" s="38"/>
      <c r="AQ115" s="130"/>
      <c r="AR115" s="38"/>
      <c r="AS115" s="38"/>
      <c r="AT115" s="38"/>
      <c r="AU115" s="38"/>
      <c r="AZ115" s="38"/>
      <c r="BA115" s="130"/>
      <c r="BB115" s="38"/>
      <c r="BC115" s="38"/>
      <c r="BD115" s="38"/>
      <c r="BE115" s="38"/>
      <c r="BF115" s="130"/>
      <c r="BG115" s="38"/>
      <c r="BH115" s="38"/>
      <c r="BI115" s="38"/>
      <c r="BJ115" s="786"/>
      <c r="BK115" s="130"/>
      <c r="BL115" s="38"/>
      <c r="BM115" s="38"/>
      <c r="BN115" s="38"/>
      <c r="BO115" s="786"/>
      <c r="BP115" s="130"/>
      <c r="BQ115" s="38"/>
      <c r="BR115" s="38"/>
      <c r="BS115" s="38"/>
      <c r="BT115" s="786"/>
      <c r="BU115" s="130"/>
      <c r="BV115" s="38"/>
      <c r="BW115" s="38"/>
      <c r="BX115" s="38"/>
      <c r="BY115" s="31"/>
      <c r="BZ115" s="130"/>
      <c r="CA115" s="38"/>
      <c r="CB115" s="38"/>
      <c r="CC115" s="38"/>
      <c r="CD115" s="38"/>
      <c r="CE115" s="130"/>
      <c r="CF115" s="38"/>
      <c r="CG115" s="38"/>
      <c r="CH115" s="38"/>
      <c r="CI115" s="31"/>
      <c r="CO115" s="130"/>
      <c r="CP115" s="38"/>
      <c r="CQ115" s="38"/>
      <c r="CR115" s="38"/>
      <c r="CS115" s="31"/>
      <c r="CT115" s="130"/>
      <c r="CU115" s="38"/>
      <c r="CV115" s="38"/>
      <c r="CW115" s="38"/>
      <c r="CX115" s="31"/>
      <c r="CY115" s="130"/>
      <c r="CZ115" s="38"/>
      <c r="DA115" s="38"/>
      <c r="DB115" s="38"/>
      <c r="DC115" s="31"/>
      <c r="DD115" s="130"/>
      <c r="DE115" s="38"/>
      <c r="DF115" s="38"/>
      <c r="DG115" s="38"/>
      <c r="DH115" s="31"/>
      <c r="DI115" s="130"/>
      <c r="DJ115" s="38"/>
      <c r="DK115" s="38"/>
      <c r="DL115" s="38"/>
      <c r="DM115" s="31"/>
      <c r="DN115" s="130"/>
      <c r="DO115" s="38"/>
      <c r="DP115" s="38"/>
      <c r="DQ115" s="38"/>
      <c r="DR115" s="31"/>
      <c r="DS115" s="130"/>
      <c r="DT115" s="38"/>
      <c r="DU115" s="38"/>
      <c r="DV115" s="38"/>
      <c r="DW115" s="31"/>
      <c r="DX115" s="130"/>
      <c r="DY115" s="38"/>
      <c r="DZ115" s="38"/>
      <c r="EA115" s="38"/>
      <c r="EB115" s="31"/>
      <c r="EC115" s="130"/>
      <c r="ED115" s="38"/>
      <c r="EE115" s="38"/>
      <c r="EF115" s="38"/>
      <c r="EG115" s="31"/>
      <c r="EH115" s="130"/>
      <c r="EI115" s="38"/>
      <c r="EJ115" s="38"/>
      <c r="EK115" s="38"/>
      <c r="EL115" s="31"/>
      <c r="EM115" s="131"/>
      <c r="EN115" s="132"/>
      <c r="EO115" s="132"/>
      <c r="EP115" s="132"/>
      <c r="EQ115" s="132"/>
      <c r="ER115" s="39"/>
      <c r="ES115" s="131"/>
      <c r="ET115" s="132"/>
      <c r="EU115" s="132"/>
      <c r="EV115" s="132"/>
      <c r="EW115" s="132"/>
    </row>
    <row r="116" spans="1:153" s="8" customFormat="1" ht="14.25" customHeight="1">
      <c r="A116" s="10"/>
      <c r="B116" s="10"/>
      <c r="C116" s="10"/>
      <c r="D116" s="10"/>
      <c r="E116" s="122"/>
      <c r="F116" s="122"/>
      <c r="G116" s="122"/>
      <c r="H116" s="122"/>
      <c r="I116" s="122"/>
      <c r="J116" s="10"/>
      <c r="K116" s="10"/>
      <c r="L116" s="122"/>
      <c r="M116" s="10"/>
      <c r="N116" s="10"/>
      <c r="O116" s="10"/>
      <c r="P116" s="10"/>
      <c r="Q116" s="122"/>
      <c r="R116" s="130"/>
      <c r="S116" s="38"/>
      <c r="T116" s="38"/>
      <c r="U116" s="38"/>
      <c r="V116" s="37"/>
      <c r="W116" s="130"/>
      <c r="X116" s="38"/>
      <c r="Y116" s="38"/>
      <c r="Z116" s="38"/>
      <c r="AA116" s="37"/>
      <c r="AB116" s="130"/>
      <c r="AC116" s="38"/>
      <c r="AD116" s="38"/>
      <c r="AE116" s="38"/>
      <c r="AF116" s="38"/>
      <c r="AG116" s="130"/>
      <c r="AH116" s="38"/>
      <c r="AI116" s="38"/>
      <c r="AJ116" s="38"/>
      <c r="AK116" s="37"/>
      <c r="AL116" s="130"/>
      <c r="AM116" s="38"/>
      <c r="AN116" s="38"/>
      <c r="AO116" s="38"/>
      <c r="AP116" s="38"/>
      <c r="AQ116" s="130"/>
      <c r="AR116" s="38"/>
      <c r="AS116" s="38"/>
      <c r="AT116" s="38"/>
      <c r="AU116" s="38"/>
      <c r="AZ116" s="38"/>
      <c r="BA116" s="130"/>
      <c r="BB116" s="38"/>
      <c r="BC116" s="38"/>
      <c r="BD116" s="38"/>
      <c r="BE116" s="38"/>
      <c r="BF116" s="130"/>
      <c r="BG116" s="38"/>
      <c r="BH116" s="38"/>
      <c r="BI116" s="38"/>
      <c r="BJ116" s="786"/>
      <c r="BK116" s="130"/>
      <c r="BL116" s="38"/>
      <c r="BM116" s="38"/>
      <c r="BN116" s="38"/>
      <c r="BO116" s="786"/>
      <c r="BP116" s="130"/>
      <c r="BQ116" s="38"/>
      <c r="BR116" s="38"/>
      <c r="BS116" s="38"/>
      <c r="BT116" s="786"/>
      <c r="BU116" s="130"/>
      <c r="BV116" s="38"/>
      <c r="BW116" s="38"/>
      <c r="BX116" s="38"/>
      <c r="BY116" s="31"/>
      <c r="BZ116" s="130"/>
      <c r="CA116" s="38"/>
      <c r="CB116" s="38"/>
      <c r="CC116" s="38"/>
      <c r="CD116" s="38"/>
      <c r="CE116" s="130"/>
      <c r="CF116" s="38"/>
      <c r="CG116" s="38"/>
      <c r="CH116" s="38"/>
      <c r="CI116" s="31"/>
      <c r="CO116" s="130"/>
      <c r="CP116" s="38"/>
      <c r="CQ116" s="38"/>
      <c r="CR116" s="38"/>
      <c r="CS116" s="31"/>
      <c r="CT116" s="130"/>
      <c r="CU116" s="38"/>
      <c r="CV116" s="38"/>
      <c r="CW116" s="38"/>
      <c r="CX116" s="31"/>
      <c r="CY116" s="130"/>
      <c r="CZ116" s="38"/>
      <c r="DA116" s="38"/>
      <c r="DB116" s="38"/>
      <c r="DC116" s="31"/>
      <c r="DD116" s="130"/>
      <c r="DE116" s="38"/>
      <c r="DF116" s="38"/>
      <c r="DG116" s="38"/>
      <c r="DH116" s="31"/>
      <c r="DI116" s="130"/>
      <c r="DJ116" s="38"/>
      <c r="DK116" s="38"/>
      <c r="DL116" s="38"/>
      <c r="DM116" s="31"/>
      <c r="DN116" s="130"/>
      <c r="DO116" s="38"/>
      <c r="DP116" s="38"/>
      <c r="DQ116" s="38"/>
      <c r="DR116" s="31"/>
      <c r="DS116" s="130"/>
      <c r="DT116" s="38"/>
      <c r="DU116" s="38"/>
      <c r="DV116" s="38"/>
      <c r="DW116" s="31"/>
      <c r="DX116" s="130"/>
      <c r="DY116" s="38"/>
      <c r="DZ116" s="38"/>
      <c r="EA116" s="38"/>
      <c r="EB116" s="31"/>
      <c r="EC116" s="130"/>
      <c r="ED116" s="38"/>
      <c r="EE116" s="38"/>
      <c r="EF116" s="38"/>
      <c r="EG116" s="31"/>
      <c r="EH116" s="130"/>
      <c r="EI116" s="38"/>
      <c r="EJ116" s="38"/>
      <c r="EK116" s="38"/>
      <c r="EL116" s="31"/>
      <c r="EM116" s="131"/>
      <c r="EN116" s="132"/>
      <c r="EO116" s="132"/>
      <c r="EP116" s="132"/>
      <c r="EQ116" s="132"/>
      <c r="ER116" s="39"/>
      <c r="ES116" s="131"/>
      <c r="ET116" s="132"/>
      <c r="EU116" s="132"/>
      <c r="EV116" s="132"/>
      <c r="EW116" s="132"/>
    </row>
    <row r="117" spans="1:153" s="8" customFormat="1" ht="14.25" customHeight="1">
      <c r="A117" s="10"/>
      <c r="B117" s="10"/>
      <c r="C117" s="10"/>
      <c r="D117" s="10"/>
      <c r="E117" s="122"/>
      <c r="F117" s="122"/>
      <c r="G117" s="122"/>
      <c r="H117" s="122"/>
      <c r="I117" s="122"/>
      <c r="J117" s="10"/>
      <c r="K117" s="10"/>
      <c r="L117" s="122"/>
      <c r="M117" s="10"/>
      <c r="N117" s="10"/>
      <c r="O117" s="10"/>
      <c r="P117" s="10"/>
      <c r="Q117" s="122"/>
      <c r="R117" s="130"/>
      <c r="S117" s="38"/>
      <c r="T117" s="38"/>
      <c r="U117" s="38"/>
      <c r="V117" s="37"/>
      <c r="W117" s="130"/>
      <c r="X117" s="38"/>
      <c r="Y117" s="38"/>
      <c r="Z117" s="38"/>
      <c r="AA117" s="37"/>
      <c r="AB117" s="130"/>
      <c r="AC117" s="38"/>
      <c r="AD117" s="38"/>
      <c r="AE117" s="38"/>
      <c r="AF117" s="38"/>
      <c r="AG117" s="130"/>
      <c r="AH117" s="38"/>
      <c r="AI117" s="38"/>
      <c r="AJ117" s="38"/>
      <c r="AK117" s="37"/>
      <c r="AL117" s="130"/>
      <c r="AM117" s="38"/>
      <c r="AN117" s="38"/>
      <c r="AO117" s="38"/>
      <c r="AP117" s="38"/>
      <c r="AQ117" s="130"/>
      <c r="AR117" s="38"/>
      <c r="AS117" s="38"/>
      <c r="AT117" s="38"/>
      <c r="AU117" s="38"/>
      <c r="AZ117" s="38"/>
      <c r="BA117" s="130"/>
      <c r="BB117" s="38"/>
      <c r="BC117" s="38"/>
      <c r="BD117" s="38"/>
      <c r="BE117" s="38"/>
      <c r="BF117" s="130"/>
      <c r="BG117" s="38"/>
      <c r="BH117" s="38"/>
      <c r="BI117" s="38"/>
      <c r="BJ117" s="786"/>
      <c r="BK117" s="130"/>
      <c r="BL117" s="38"/>
      <c r="BM117" s="38"/>
      <c r="BN117" s="38"/>
      <c r="BO117" s="786"/>
      <c r="BP117" s="130"/>
      <c r="BQ117" s="38"/>
      <c r="BR117" s="38"/>
      <c r="BS117" s="38"/>
      <c r="BT117" s="786"/>
      <c r="BU117" s="130"/>
      <c r="BV117" s="38"/>
      <c r="BW117" s="38"/>
      <c r="BX117" s="38"/>
      <c r="BY117" s="31"/>
      <c r="BZ117" s="130"/>
      <c r="CA117" s="38"/>
      <c r="CB117" s="38"/>
      <c r="CC117" s="38"/>
      <c r="CD117" s="38"/>
      <c r="CE117" s="130"/>
      <c r="CF117" s="38"/>
      <c r="CG117" s="38"/>
      <c r="CH117" s="38"/>
      <c r="CI117" s="31"/>
      <c r="CO117" s="130"/>
      <c r="CP117" s="38"/>
      <c r="CQ117" s="38"/>
      <c r="CR117" s="38"/>
      <c r="CS117" s="31"/>
      <c r="CT117" s="130"/>
      <c r="CU117" s="38"/>
      <c r="CV117" s="38"/>
      <c r="CW117" s="38"/>
      <c r="CX117" s="31"/>
      <c r="CY117" s="130"/>
      <c r="CZ117" s="38"/>
      <c r="DA117" s="38"/>
      <c r="DB117" s="38"/>
      <c r="DC117" s="31"/>
      <c r="DD117" s="130"/>
      <c r="DE117" s="38"/>
      <c r="DF117" s="38"/>
      <c r="DG117" s="38"/>
      <c r="DH117" s="31"/>
      <c r="DI117" s="130"/>
      <c r="DJ117" s="38"/>
      <c r="DK117" s="38"/>
      <c r="DL117" s="38"/>
      <c r="DM117" s="31"/>
      <c r="DN117" s="130"/>
      <c r="DO117" s="38"/>
      <c r="DP117" s="38"/>
      <c r="DQ117" s="38"/>
      <c r="DR117" s="31"/>
      <c r="DS117" s="130"/>
      <c r="DT117" s="38"/>
      <c r="DU117" s="38"/>
      <c r="DV117" s="38"/>
      <c r="DW117" s="31"/>
      <c r="DX117" s="130"/>
      <c r="DY117" s="38"/>
      <c r="DZ117" s="38"/>
      <c r="EA117" s="38"/>
      <c r="EB117" s="31"/>
      <c r="EC117" s="130"/>
      <c r="ED117" s="38"/>
      <c r="EE117" s="38"/>
      <c r="EF117" s="38"/>
      <c r="EG117" s="31"/>
      <c r="EH117" s="130"/>
      <c r="EI117" s="38"/>
      <c r="EJ117" s="38"/>
      <c r="EK117" s="38"/>
      <c r="EL117" s="31"/>
      <c r="EM117" s="131"/>
      <c r="EN117" s="132"/>
      <c r="EO117" s="132"/>
      <c r="EP117" s="132"/>
      <c r="EQ117" s="132"/>
      <c r="ER117" s="39"/>
      <c r="ES117" s="131"/>
      <c r="ET117" s="132"/>
      <c r="EU117" s="132"/>
      <c r="EV117" s="132"/>
      <c r="EW117" s="132"/>
    </row>
    <row r="118" spans="1:153" s="8" customFormat="1" ht="14.25" customHeight="1">
      <c r="A118" s="10"/>
      <c r="B118" s="10"/>
      <c r="C118" s="10"/>
      <c r="D118" s="10"/>
      <c r="E118" s="122"/>
      <c r="F118" s="122"/>
      <c r="G118" s="122"/>
      <c r="H118" s="122"/>
      <c r="I118" s="122"/>
      <c r="J118" s="10"/>
      <c r="K118" s="10"/>
      <c r="L118" s="122"/>
      <c r="M118" s="10"/>
      <c r="N118" s="10"/>
      <c r="O118" s="10"/>
      <c r="P118" s="10"/>
      <c r="Q118" s="122"/>
      <c r="R118" s="130"/>
      <c r="S118" s="38"/>
      <c r="T118" s="38"/>
      <c r="U118" s="38"/>
      <c r="V118" s="37"/>
      <c r="W118" s="130"/>
      <c r="X118" s="38"/>
      <c r="Y118" s="38"/>
      <c r="Z118" s="38"/>
      <c r="AA118" s="37"/>
      <c r="AB118" s="130"/>
      <c r="AC118" s="38"/>
      <c r="AD118" s="38"/>
      <c r="AE118" s="38"/>
      <c r="AF118" s="38"/>
      <c r="AG118" s="130"/>
      <c r="AH118" s="38"/>
      <c r="AI118" s="38"/>
      <c r="AJ118" s="38"/>
      <c r="AK118" s="37"/>
      <c r="AL118" s="130"/>
      <c r="AM118" s="38"/>
      <c r="AN118" s="38"/>
      <c r="AO118" s="38"/>
      <c r="AP118" s="38"/>
      <c r="AQ118" s="130"/>
      <c r="AR118" s="38"/>
      <c r="AS118" s="38"/>
      <c r="AT118" s="38"/>
      <c r="AU118" s="38"/>
      <c r="AZ118" s="38"/>
      <c r="BA118" s="130"/>
      <c r="BB118" s="38"/>
      <c r="BC118" s="38"/>
      <c r="BD118" s="38"/>
      <c r="BE118" s="38"/>
      <c r="BF118" s="130"/>
      <c r="BG118" s="38"/>
      <c r="BH118" s="38"/>
      <c r="BI118" s="38"/>
      <c r="BJ118" s="786"/>
      <c r="BK118" s="130"/>
      <c r="BL118" s="38"/>
      <c r="BM118" s="38"/>
      <c r="BN118" s="38"/>
      <c r="BO118" s="786"/>
      <c r="BP118" s="130"/>
      <c r="BQ118" s="38"/>
      <c r="BR118" s="38"/>
      <c r="BS118" s="38"/>
      <c r="BT118" s="786"/>
      <c r="BU118" s="130"/>
      <c r="BV118" s="38"/>
      <c r="BW118" s="38"/>
      <c r="BX118" s="38"/>
      <c r="BY118" s="31"/>
      <c r="BZ118" s="130"/>
      <c r="CA118" s="38"/>
      <c r="CB118" s="38"/>
      <c r="CC118" s="38"/>
      <c r="CD118" s="38"/>
      <c r="CE118" s="130"/>
      <c r="CF118" s="38"/>
      <c r="CG118" s="38"/>
      <c r="CH118" s="38"/>
      <c r="CI118" s="31"/>
      <c r="CO118" s="130"/>
      <c r="CP118" s="38"/>
      <c r="CQ118" s="38"/>
      <c r="CR118" s="38"/>
      <c r="CS118" s="31"/>
      <c r="CT118" s="130"/>
      <c r="CU118" s="38"/>
      <c r="CV118" s="38"/>
      <c r="CW118" s="38"/>
      <c r="CX118" s="31"/>
      <c r="CY118" s="130"/>
      <c r="CZ118" s="38"/>
      <c r="DA118" s="38"/>
      <c r="DB118" s="38"/>
      <c r="DC118" s="31"/>
      <c r="DD118" s="130"/>
      <c r="DE118" s="38"/>
      <c r="DF118" s="38"/>
      <c r="DG118" s="38"/>
      <c r="DH118" s="31"/>
      <c r="DI118" s="130"/>
      <c r="DJ118" s="38"/>
      <c r="DK118" s="38"/>
      <c r="DL118" s="38"/>
      <c r="DM118" s="31"/>
      <c r="DN118" s="130"/>
      <c r="DO118" s="38"/>
      <c r="DP118" s="38"/>
      <c r="DQ118" s="38"/>
      <c r="DR118" s="31"/>
      <c r="DS118" s="130"/>
      <c r="DT118" s="38"/>
      <c r="DU118" s="38"/>
      <c r="DV118" s="38"/>
      <c r="DW118" s="31"/>
      <c r="DX118" s="130"/>
      <c r="DY118" s="38"/>
      <c r="DZ118" s="38"/>
      <c r="EA118" s="38"/>
      <c r="EB118" s="31"/>
      <c r="EC118" s="130"/>
      <c r="ED118" s="38"/>
      <c r="EE118" s="38"/>
      <c r="EF118" s="38"/>
      <c r="EG118" s="31"/>
      <c r="EH118" s="130"/>
      <c r="EI118" s="38"/>
      <c r="EJ118" s="38"/>
      <c r="EK118" s="38"/>
      <c r="EL118" s="31"/>
      <c r="EM118" s="131"/>
      <c r="EN118" s="132"/>
      <c r="EO118" s="132"/>
      <c r="EP118" s="132"/>
      <c r="EQ118" s="132"/>
      <c r="ER118" s="39"/>
      <c r="ES118" s="131"/>
      <c r="ET118" s="132"/>
      <c r="EU118" s="132"/>
      <c r="EV118" s="132"/>
      <c r="EW118" s="132"/>
    </row>
    <row r="119" spans="1:153" s="8" customFormat="1" ht="14.25" customHeight="1">
      <c r="A119" s="10"/>
      <c r="B119" s="10"/>
      <c r="C119" s="10"/>
      <c r="D119" s="10"/>
      <c r="E119" s="122"/>
      <c r="F119" s="122"/>
      <c r="G119" s="122"/>
      <c r="H119" s="122"/>
      <c r="I119" s="122"/>
      <c r="J119" s="10"/>
      <c r="K119" s="10"/>
      <c r="L119" s="122"/>
      <c r="M119" s="10"/>
      <c r="N119" s="10"/>
      <c r="O119" s="10"/>
      <c r="P119" s="10"/>
      <c r="Q119" s="122"/>
      <c r="R119" s="130"/>
      <c r="S119" s="38"/>
      <c r="T119" s="38"/>
      <c r="U119" s="38"/>
      <c r="V119" s="37"/>
      <c r="W119" s="130"/>
      <c r="X119" s="38"/>
      <c r="Y119" s="38"/>
      <c r="Z119" s="38"/>
      <c r="AA119" s="37"/>
      <c r="AB119" s="130"/>
      <c r="AC119" s="38"/>
      <c r="AD119" s="38"/>
      <c r="AE119" s="38"/>
      <c r="AF119" s="38"/>
      <c r="AG119" s="130"/>
      <c r="AH119" s="38"/>
      <c r="AI119" s="38"/>
      <c r="AJ119" s="38"/>
      <c r="AK119" s="37"/>
      <c r="AL119" s="130"/>
      <c r="AM119" s="38"/>
      <c r="AN119" s="38"/>
      <c r="AO119" s="38"/>
      <c r="AP119" s="38"/>
      <c r="AQ119" s="130"/>
      <c r="AR119" s="38"/>
      <c r="AS119" s="38"/>
      <c r="AT119" s="38"/>
      <c r="AU119" s="38"/>
      <c r="AZ119" s="38"/>
      <c r="BA119" s="130"/>
      <c r="BB119" s="38"/>
      <c r="BC119" s="38"/>
      <c r="BD119" s="38"/>
      <c r="BE119" s="38"/>
      <c r="BF119" s="130"/>
      <c r="BG119" s="38"/>
      <c r="BH119" s="38"/>
      <c r="BI119" s="38"/>
      <c r="BJ119" s="786"/>
      <c r="BK119" s="130"/>
      <c r="BL119" s="38"/>
      <c r="BM119" s="38"/>
      <c r="BN119" s="38"/>
      <c r="BO119" s="786"/>
      <c r="BP119" s="130"/>
      <c r="BQ119" s="38"/>
      <c r="BR119" s="38"/>
      <c r="BS119" s="38"/>
      <c r="BT119" s="786"/>
      <c r="BU119" s="130"/>
      <c r="BV119" s="38"/>
      <c r="BW119" s="38"/>
      <c r="BX119" s="38"/>
      <c r="BY119" s="31"/>
      <c r="BZ119" s="130"/>
      <c r="CA119" s="38"/>
      <c r="CB119" s="38"/>
      <c r="CC119" s="38"/>
      <c r="CD119" s="38"/>
      <c r="CE119" s="130"/>
      <c r="CF119" s="38"/>
      <c r="CG119" s="38"/>
      <c r="CH119" s="38"/>
      <c r="CI119" s="31"/>
      <c r="CO119" s="130"/>
      <c r="CP119" s="38"/>
      <c r="CQ119" s="38"/>
      <c r="CR119" s="38"/>
      <c r="CS119" s="31"/>
      <c r="CT119" s="130"/>
      <c r="CU119" s="38"/>
      <c r="CV119" s="38"/>
      <c r="CW119" s="38"/>
      <c r="CX119" s="31"/>
      <c r="CY119" s="130"/>
      <c r="CZ119" s="38"/>
      <c r="DA119" s="38"/>
      <c r="DB119" s="38"/>
      <c r="DC119" s="31"/>
      <c r="DD119" s="130"/>
      <c r="DE119" s="38"/>
      <c r="DF119" s="38"/>
      <c r="DG119" s="38"/>
      <c r="DH119" s="31"/>
      <c r="DI119" s="130"/>
      <c r="DJ119" s="38"/>
      <c r="DK119" s="38"/>
      <c r="DL119" s="38"/>
      <c r="DM119" s="31"/>
      <c r="DN119" s="130"/>
      <c r="DO119" s="38"/>
      <c r="DP119" s="38"/>
      <c r="DQ119" s="38"/>
      <c r="DR119" s="31"/>
      <c r="DS119" s="130"/>
      <c r="DT119" s="38"/>
      <c r="DU119" s="38"/>
      <c r="DV119" s="38"/>
      <c r="DW119" s="31"/>
      <c r="DX119" s="130"/>
      <c r="DY119" s="38"/>
      <c r="DZ119" s="38"/>
      <c r="EA119" s="38"/>
      <c r="EB119" s="31"/>
      <c r="EC119" s="130"/>
      <c r="ED119" s="38"/>
      <c r="EE119" s="38"/>
      <c r="EF119" s="38"/>
      <c r="EG119" s="31"/>
      <c r="EH119" s="130"/>
      <c r="EI119" s="38"/>
      <c r="EJ119" s="38"/>
      <c r="EK119" s="38"/>
      <c r="EL119" s="31"/>
      <c r="EM119" s="131"/>
      <c r="EN119" s="132"/>
      <c r="EO119" s="132"/>
      <c r="EP119" s="132"/>
      <c r="EQ119" s="132"/>
      <c r="ER119" s="39"/>
      <c r="ES119" s="131"/>
      <c r="ET119" s="132"/>
      <c r="EU119" s="132"/>
      <c r="EV119" s="132"/>
      <c r="EW119" s="132"/>
    </row>
    <row r="120" spans="1:153" s="8" customFormat="1" ht="14.25" customHeight="1">
      <c r="A120" s="10"/>
      <c r="B120" s="10"/>
      <c r="C120" s="10"/>
      <c r="D120" s="10"/>
      <c r="E120" s="122"/>
      <c r="F120" s="122"/>
      <c r="G120" s="122"/>
      <c r="H120" s="122"/>
      <c r="I120" s="122"/>
      <c r="J120" s="10"/>
      <c r="K120" s="10"/>
      <c r="L120" s="122"/>
      <c r="M120" s="10"/>
      <c r="N120" s="10"/>
      <c r="O120" s="10"/>
      <c r="P120" s="10"/>
      <c r="Q120" s="122"/>
      <c r="R120" s="130"/>
      <c r="S120" s="38"/>
      <c r="T120" s="38"/>
      <c r="U120" s="38"/>
      <c r="V120" s="37"/>
      <c r="W120" s="130"/>
      <c r="X120" s="38"/>
      <c r="Y120" s="38"/>
      <c r="Z120" s="38"/>
      <c r="AA120" s="37"/>
      <c r="AB120" s="130"/>
      <c r="AC120" s="38"/>
      <c r="AD120" s="38"/>
      <c r="AE120" s="38"/>
      <c r="AF120" s="38"/>
      <c r="AG120" s="130"/>
      <c r="AH120" s="38"/>
      <c r="AI120" s="38"/>
      <c r="AJ120" s="38"/>
      <c r="AK120" s="37"/>
      <c r="AL120" s="130"/>
      <c r="AM120" s="38"/>
      <c r="AN120" s="38"/>
      <c r="AO120" s="38"/>
      <c r="AP120" s="38"/>
      <c r="AQ120" s="130"/>
      <c r="AR120" s="38"/>
      <c r="AS120" s="38"/>
      <c r="AT120" s="38"/>
      <c r="AU120" s="38"/>
      <c r="AZ120" s="38"/>
      <c r="BA120" s="130"/>
      <c r="BB120" s="38"/>
      <c r="BC120" s="38"/>
      <c r="BD120" s="38"/>
      <c r="BE120" s="38"/>
      <c r="BF120" s="130"/>
      <c r="BG120" s="38"/>
      <c r="BH120" s="38"/>
      <c r="BI120" s="38"/>
      <c r="BJ120" s="786"/>
      <c r="BK120" s="130"/>
      <c r="BL120" s="38"/>
      <c r="BM120" s="38"/>
      <c r="BN120" s="38"/>
      <c r="BO120" s="786"/>
      <c r="BP120" s="130"/>
      <c r="BQ120" s="38"/>
      <c r="BR120" s="38"/>
      <c r="BS120" s="38"/>
      <c r="BT120" s="786"/>
      <c r="BU120" s="130"/>
      <c r="BV120" s="38"/>
      <c r="BW120" s="38"/>
      <c r="BX120" s="38"/>
      <c r="BY120" s="31"/>
      <c r="BZ120" s="130"/>
      <c r="CA120" s="38"/>
      <c r="CB120" s="38"/>
      <c r="CC120" s="38"/>
      <c r="CD120" s="38"/>
      <c r="CE120" s="130"/>
      <c r="CF120" s="38"/>
      <c r="CG120" s="38"/>
      <c r="CH120" s="38"/>
      <c r="CI120" s="31"/>
      <c r="CO120" s="130"/>
      <c r="CP120" s="38"/>
      <c r="CQ120" s="38"/>
      <c r="CR120" s="38"/>
      <c r="CS120" s="31"/>
      <c r="CT120" s="130"/>
      <c r="CU120" s="38"/>
      <c r="CV120" s="38"/>
      <c r="CW120" s="38"/>
      <c r="CX120" s="31"/>
      <c r="CY120" s="130"/>
      <c r="CZ120" s="38"/>
      <c r="DA120" s="38"/>
      <c r="DB120" s="38"/>
      <c r="DC120" s="31"/>
      <c r="DD120" s="130"/>
      <c r="DE120" s="38"/>
      <c r="DF120" s="38"/>
      <c r="DG120" s="38"/>
      <c r="DH120" s="31"/>
      <c r="DI120" s="130"/>
      <c r="DJ120" s="38"/>
      <c r="DK120" s="38"/>
      <c r="DL120" s="38"/>
      <c r="DM120" s="31"/>
      <c r="DN120" s="130"/>
      <c r="DO120" s="38"/>
      <c r="DP120" s="38"/>
      <c r="DQ120" s="38"/>
      <c r="DR120" s="31"/>
      <c r="DS120" s="130"/>
      <c r="DT120" s="38"/>
      <c r="DU120" s="38"/>
      <c r="DV120" s="38"/>
      <c r="DW120" s="31"/>
      <c r="DX120" s="130"/>
      <c r="DY120" s="38"/>
      <c r="DZ120" s="38"/>
      <c r="EA120" s="38"/>
      <c r="EB120" s="31"/>
      <c r="EC120" s="130"/>
      <c r="ED120" s="38"/>
      <c r="EE120" s="38"/>
      <c r="EF120" s="38"/>
      <c r="EG120" s="31"/>
      <c r="EH120" s="130"/>
      <c r="EI120" s="38"/>
      <c r="EJ120" s="38"/>
      <c r="EK120" s="38"/>
      <c r="EL120" s="31"/>
      <c r="EM120" s="131"/>
      <c r="EN120" s="132"/>
      <c r="EO120" s="132"/>
      <c r="EP120" s="132"/>
      <c r="EQ120" s="132"/>
      <c r="ER120" s="39"/>
      <c r="ES120" s="131"/>
      <c r="ET120" s="132"/>
      <c r="EU120" s="132"/>
      <c r="EV120" s="132"/>
      <c r="EW120" s="132"/>
    </row>
    <row r="121" spans="1:153" s="8" customFormat="1" ht="14.25" customHeight="1">
      <c r="A121" s="10"/>
      <c r="B121" s="10"/>
      <c r="C121" s="10"/>
      <c r="D121" s="10"/>
      <c r="E121" s="122"/>
      <c r="F121" s="122"/>
      <c r="G121" s="122"/>
      <c r="H121" s="122"/>
      <c r="I121" s="122"/>
      <c r="J121" s="10"/>
      <c r="K121" s="10"/>
      <c r="L121" s="122"/>
      <c r="M121" s="10"/>
      <c r="N121" s="10"/>
      <c r="O121" s="10"/>
      <c r="P121" s="10"/>
      <c r="Q121" s="122"/>
      <c r="R121" s="130"/>
      <c r="S121" s="38"/>
      <c r="T121" s="38"/>
      <c r="U121" s="38"/>
      <c r="V121" s="37"/>
      <c r="W121" s="130"/>
      <c r="X121" s="38"/>
      <c r="Y121" s="38"/>
      <c r="Z121" s="38"/>
      <c r="AA121" s="37"/>
      <c r="AB121" s="130"/>
      <c r="AC121" s="38"/>
      <c r="AD121" s="38"/>
      <c r="AE121" s="38"/>
      <c r="AF121" s="38"/>
      <c r="AG121" s="130"/>
      <c r="AH121" s="38"/>
      <c r="AI121" s="38"/>
      <c r="AJ121" s="38"/>
      <c r="AK121" s="37"/>
      <c r="AL121" s="130"/>
      <c r="AM121" s="38"/>
      <c r="AN121" s="38"/>
      <c r="AO121" s="38"/>
      <c r="AP121" s="38"/>
      <c r="AQ121" s="130"/>
      <c r="AR121" s="38"/>
      <c r="AS121" s="38"/>
      <c r="AT121" s="38"/>
      <c r="AU121" s="38"/>
      <c r="AZ121" s="38"/>
      <c r="BA121" s="130"/>
      <c r="BB121" s="38"/>
      <c r="BC121" s="38"/>
      <c r="BD121" s="38"/>
      <c r="BE121" s="38"/>
      <c r="BF121" s="130"/>
      <c r="BG121" s="38"/>
      <c r="BH121" s="38"/>
      <c r="BI121" s="38"/>
      <c r="BJ121" s="786"/>
      <c r="BK121" s="130"/>
      <c r="BL121" s="38"/>
      <c r="BM121" s="38"/>
      <c r="BN121" s="38"/>
      <c r="BO121" s="786"/>
      <c r="BP121" s="130"/>
      <c r="BQ121" s="38"/>
      <c r="BR121" s="38"/>
      <c r="BS121" s="38"/>
      <c r="BT121" s="786"/>
      <c r="BU121" s="130"/>
      <c r="BV121" s="38"/>
      <c r="BW121" s="38"/>
      <c r="BX121" s="38"/>
      <c r="BY121" s="31"/>
      <c r="BZ121" s="130"/>
      <c r="CA121" s="38"/>
      <c r="CB121" s="38"/>
      <c r="CC121" s="38"/>
      <c r="CD121" s="38"/>
      <c r="CE121" s="130"/>
      <c r="CF121" s="38"/>
      <c r="CG121" s="38"/>
      <c r="CH121" s="38"/>
      <c r="CI121" s="31"/>
      <c r="CO121" s="130"/>
      <c r="CP121" s="38"/>
      <c r="CQ121" s="38"/>
      <c r="CR121" s="38"/>
      <c r="CS121" s="31"/>
      <c r="CT121" s="130"/>
      <c r="CU121" s="38"/>
      <c r="CV121" s="38"/>
      <c r="CW121" s="38"/>
      <c r="CX121" s="31"/>
      <c r="CY121" s="130"/>
      <c r="CZ121" s="38"/>
      <c r="DA121" s="38"/>
      <c r="DB121" s="38"/>
      <c r="DC121" s="31"/>
      <c r="DD121" s="130"/>
      <c r="DE121" s="38"/>
      <c r="DF121" s="38"/>
      <c r="DG121" s="38"/>
      <c r="DH121" s="31"/>
      <c r="DI121" s="130"/>
      <c r="DJ121" s="38"/>
      <c r="DK121" s="38"/>
      <c r="DL121" s="38"/>
      <c r="DM121" s="31"/>
      <c r="DN121" s="130"/>
      <c r="DO121" s="38"/>
      <c r="DP121" s="38"/>
      <c r="DQ121" s="38"/>
      <c r="DR121" s="31"/>
      <c r="DS121" s="130"/>
      <c r="DT121" s="38"/>
      <c r="DU121" s="38"/>
      <c r="DV121" s="38"/>
      <c r="DW121" s="31"/>
      <c r="DX121" s="130"/>
      <c r="DY121" s="38"/>
      <c r="DZ121" s="38"/>
      <c r="EA121" s="38"/>
      <c r="EB121" s="31"/>
      <c r="EC121" s="130"/>
      <c r="ED121" s="38"/>
      <c r="EE121" s="38"/>
      <c r="EF121" s="38"/>
      <c r="EG121" s="31"/>
      <c r="EH121" s="130"/>
      <c r="EI121" s="38"/>
      <c r="EJ121" s="38"/>
      <c r="EK121" s="38"/>
      <c r="EL121" s="31"/>
      <c r="EM121" s="131"/>
      <c r="EN121" s="132"/>
      <c r="EO121" s="132"/>
      <c r="EP121" s="132"/>
      <c r="EQ121" s="132"/>
      <c r="ER121" s="39"/>
      <c r="ES121" s="131"/>
      <c r="ET121" s="132"/>
      <c r="EU121" s="132"/>
      <c r="EV121" s="132"/>
      <c r="EW121" s="132"/>
    </row>
    <row r="122" spans="1:153" s="8" customFormat="1" ht="14.25" customHeight="1">
      <c r="A122" s="10"/>
      <c r="B122" s="10"/>
      <c r="C122" s="10"/>
      <c r="D122" s="10"/>
      <c r="E122" s="122"/>
      <c r="F122" s="122"/>
      <c r="G122" s="122"/>
      <c r="H122" s="122"/>
      <c r="I122" s="122"/>
      <c r="J122" s="10"/>
      <c r="K122" s="10"/>
      <c r="L122" s="122"/>
      <c r="M122" s="10"/>
      <c r="N122" s="10"/>
      <c r="O122" s="10"/>
      <c r="P122" s="10"/>
      <c r="Q122" s="122"/>
      <c r="R122" s="130"/>
      <c r="S122" s="38"/>
      <c r="T122" s="38"/>
      <c r="U122" s="38"/>
      <c r="V122" s="37"/>
      <c r="W122" s="130"/>
      <c r="X122" s="38"/>
      <c r="Y122" s="38"/>
      <c r="Z122" s="38"/>
      <c r="AA122" s="37"/>
      <c r="AB122" s="130"/>
      <c r="AC122" s="38"/>
      <c r="AD122" s="38"/>
      <c r="AE122" s="38"/>
      <c r="AF122" s="38"/>
      <c r="AG122" s="130"/>
      <c r="AH122" s="38"/>
      <c r="AI122" s="38"/>
      <c r="AJ122" s="38"/>
      <c r="AK122" s="37"/>
      <c r="AL122" s="130"/>
      <c r="AM122" s="38"/>
      <c r="AN122" s="38"/>
      <c r="AO122" s="38"/>
      <c r="AP122" s="38"/>
      <c r="AQ122" s="130"/>
      <c r="AR122" s="38"/>
      <c r="AS122" s="38"/>
      <c r="AT122" s="38"/>
      <c r="AU122" s="38"/>
      <c r="AZ122" s="38"/>
      <c r="BA122" s="130"/>
      <c r="BB122" s="38"/>
      <c r="BC122" s="38"/>
      <c r="BD122" s="38"/>
      <c r="BE122" s="38"/>
      <c r="BF122" s="130"/>
      <c r="BG122" s="38"/>
      <c r="BH122" s="38"/>
      <c r="BI122" s="38"/>
      <c r="BJ122" s="786"/>
      <c r="BK122" s="130"/>
      <c r="BL122" s="38"/>
      <c r="BM122" s="38"/>
      <c r="BN122" s="38"/>
      <c r="BO122" s="786"/>
      <c r="BP122" s="130"/>
      <c r="BQ122" s="38"/>
      <c r="BR122" s="38"/>
      <c r="BS122" s="38"/>
      <c r="BT122" s="786"/>
      <c r="BU122" s="130"/>
      <c r="BV122" s="38"/>
      <c r="BW122" s="38"/>
      <c r="BX122" s="38"/>
      <c r="BY122" s="31"/>
      <c r="BZ122" s="130"/>
      <c r="CA122" s="38"/>
      <c r="CB122" s="38"/>
      <c r="CC122" s="38"/>
      <c r="CD122" s="38"/>
      <c r="CE122" s="130"/>
      <c r="CF122" s="38"/>
      <c r="CG122" s="38"/>
      <c r="CH122" s="38"/>
      <c r="CI122" s="31"/>
      <c r="CO122" s="130"/>
      <c r="CP122" s="38"/>
      <c r="CQ122" s="38"/>
      <c r="CR122" s="38"/>
      <c r="CS122" s="31"/>
      <c r="CT122" s="130"/>
      <c r="CU122" s="38"/>
      <c r="CV122" s="38"/>
      <c r="CW122" s="38"/>
      <c r="CX122" s="31"/>
      <c r="CY122" s="130"/>
      <c r="CZ122" s="38"/>
      <c r="DA122" s="38"/>
      <c r="DB122" s="38"/>
      <c r="DC122" s="31"/>
      <c r="DD122" s="130"/>
      <c r="DE122" s="38"/>
      <c r="DF122" s="38"/>
      <c r="DG122" s="38"/>
      <c r="DH122" s="31"/>
      <c r="DI122" s="130"/>
      <c r="DJ122" s="38"/>
      <c r="DK122" s="38"/>
      <c r="DL122" s="38"/>
      <c r="DM122" s="31"/>
      <c r="DN122" s="130"/>
      <c r="DO122" s="38"/>
      <c r="DP122" s="38"/>
      <c r="DQ122" s="38"/>
      <c r="DR122" s="31"/>
      <c r="DS122" s="130"/>
      <c r="DT122" s="38"/>
      <c r="DU122" s="38"/>
      <c r="DV122" s="38"/>
      <c r="DW122" s="31"/>
      <c r="DX122" s="130"/>
      <c r="DY122" s="38"/>
      <c r="DZ122" s="38"/>
      <c r="EA122" s="38"/>
      <c r="EB122" s="31"/>
      <c r="EC122" s="130"/>
      <c r="ED122" s="38"/>
      <c r="EE122" s="38"/>
      <c r="EF122" s="38"/>
      <c r="EG122" s="31"/>
      <c r="EH122" s="130"/>
      <c r="EI122" s="38"/>
      <c r="EJ122" s="38"/>
      <c r="EK122" s="38"/>
      <c r="EL122" s="31"/>
      <c r="EM122" s="131"/>
      <c r="EN122" s="132"/>
      <c r="EO122" s="132"/>
      <c r="EP122" s="132"/>
      <c r="EQ122" s="132"/>
      <c r="ER122" s="39"/>
      <c r="ES122" s="131"/>
      <c r="ET122" s="132"/>
      <c r="EU122" s="132"/>
      <c r="EV122" s="132"/>
      <c r="EW122" s="132"/>
    </row>
    <row r="123" spans="1:153" s="8" customFormat="1" ht="14.25" customHeight="1">
      <c r="A123" s="10"/>
      <c r="B123" s="10"/>
      <c r="C123" s="10"/>
      <c r="D123" s="10"/>
      <c r="E123" s="122"/>
      <c r="F123" s="122"/>
      <c r="G123" s="122"/>
      <c r="H123" s="122"/>
      <c r="I123" s="122"/>
      <c r="J123" s="10"/>
      <c r="K123" s="10"/>
      <c r="L123" s="122"/>
      <c r="M123" s="10"/>
      <c r="N123" s="10"/>
      <c r="O123" s="10"/>
      <c r="P123" s="10"/>
      <c r="Q123" s="122"/>
      <c r="R123" s="130"/>
      <c r="S123" s="38"/>
      <c r="T123" s="38"/>
      <c r="U123" s="38"/>
      <c r="V123" s="37"/>
      <c r="W123" s="130"/>
      <c r="X123" s="38"/>
      <c r="Y123" s="38"/>
      <c r="Z123" s="38"/>
      <c r="AA123" s="37"/>
      <c r="AB123" s="130"/>
      <c r="AC123" s="38"/>
      <c r="AD123" s="38"/>
      <c r="AE123" s="38"/>
      <c r="AF123" s="38"/>
      <c r="AG123" s="130"/>
      <c r="AH123" s="38"/>
      <c r="AI123" s="38"/>
      <c r="AJ123" s="38"/>
      <c r="AK123" s="37"/>
      <c r="AL123" s="130"/>
      <c r="AM123" s="38"/>
      <c r="AN123" s="38"/>
      <c r="AO123" s="38"/>
      <c r="AP123" s="38"/>
      <c r="AQ123" s="130"/>
      <c r="AR123" s="38"/>
      <c r="AS123" s="38"/>
      <c r="AT123" s="38"/>
      <c r="AU123" s="38"/>
      <c r="AZ123" s="38"/>
      <c r="BA123" s="130"/>
      <c r="BB123" s="38"/>
      <c r="BC123" s="38"/>
      <c r="BD123" s="38"/>
      <c r="BE123" s="38"/>
      <c r="BF123" s="130"/>
      <c r="BG123" s="38"/>
      <c r="BH123" s="38"/>
      <c r="BI123" s="38"/>
      <c r="BJ123" s="786"/>
      <c r="BK123" s="130"/>
      <c r="BL123" s="38"/>
      <c r="BM123" s="38"/>
      <c r="BN123" s="38"/>
      <c r="BO123" s="786"/>
      <c r="BP123" s="130"/>
      <c r="BQ123" s="38"/>
      <c r="BR123" s="38"/>
      <c r="BS123" s="38"/>
      <c r="BT123" s="786"/>
      <c r="BU123" s="130"/>
      <c r="BV123" s="38"/>
      <c r="BW123" s="38"/>
      <c r="BX123" s="38"/>
      <c r="BY123" s="31"/>
      <c r="BZ123" s="130"/>
      <c r="CA123" s="38"/>
      <c r="CB123" s="38"/>
      <c r="CC123" s="38"/>
      <c r="CD123" s="38"/>
      <c r="CE123" s="130"/>
      <c r="CF123" s="38"/>
      <c r="CG123" s="38"/>
      <c r="CH123" s="38"/>
      <c r="CI123" s="31"/>
      <c r="CO123" s="130"/>
      <c r="CP123" s="38"/>
      <c r="CQ123" s="38"/>
      <c r="CR123" s="38"/>
      <c r="CS123" s="31"/>
      <c r="CT123" s="130"/>
      <c r="CU123" s="38"/>
      <c r="CV123" s="38"/>
      <c r="CW123" s="38"/>
      <c r="CX123" s="31"/>
      <c r="CY123" s="130"/>
      <c r="CZ123" s="38"/>
      <c r="DA123" s="38"/>
      <c r="DB123" s="38"/>
      <c r="DC123" s="31"/>
      <c r="DD123" s="130"/>
      <c r="DE123" s="38"/>
      <c r="DF123" s="38"/>
      <c r="DG123" s="38"/>
      <c r="DH123" s="31"/>
      <c r="DI123" s="130"/>
      <c r="DJ123" s="38"/>
      <c r="DK123" s="38"/>
      <c r="DL123" s="38"/>
      <c r="DM123" s="31"/>
      <c r="DN123" s="130"/>
      <c r="DO123" s="38"/>
      <c r="DP123" s="38"/>
      <c r="DQ123" s="38"/>
      <c r="DR123" s="31"/>
      <c r="DS123" s="130"/>
      <c r="DT123" s="38"/>
      <c r="DU123" s="38"/>
      <c r="DV123" s="38"/>
      <c r="DW123" s="31"/>
      <c r="DX123" s="130"/>
      <c r="DY123" s="38"/>
      <c r="DZ123" s="38"/>
      <c r="EA123" s="38"/>
      <c r="EB123" s="31"/>
      <c r="EC123" s="130"/>
      <c r="ED123" s="38"/>
      <c r="EE123" s="38"/>
      <c r="EF123" s="38"/>
      <c r="EG123" s="31"/>
      <c r="EH123" s="130"/>
      <c r="EI123" s="38"/>
      <c r="EJ123" s="38"/>
      <c r="EK123" s="38"/>
      <c r="EL123" s="31"/>
      <c r="EM123" s="131"/>
      <c r="EN123" s="132"/>
      <c r="EO123" s="132"/>
      <c r="EP123" s="132"/>
      <c r="EQ123" s="132"/>
      <c r="ER123" s="39"/>
      <c r="ES123" s="131"/>
      <c r="ET123" s="132"/>
      <c r="EU123" s="132"/>
      <c r="EV123" s="132"/>
      <c r="EW123" s="132"/>
    </row>
    <row r="124" spans="1:153" s="8" customFormat="1" ht="14.25" customHeight="1">
      <c r="A124" s="10"/>
      <c r="B124" s="10"/>
      <c r="C124" s="10"/>
      <c r="D124" s="10"/>
      <c r="E124" s="122"/>
      <c r="F124" s="122"/>
      <c r="G124" s="122"/>
      <c r="H124" s="122"/>
      <c r="I124" s="122"/>
      <c r="J124" s="10"/>
      <c r="K124" s="10"/>
      <c r="L124" s="122"/>
      <c r="M124" s="10"/>
      <c r="N124" s="10"/>
      <c r="O124" s="10"/>
      <c r="P124" s="10"/>
      <c r="Q124" s="122"/>
      <c r="R124" s="130"/>
      <c r="S124" s="38"/>
      <c r="T124" s="38"/>
      <c r="U124" s="38"/>
      <c r="V124" s="37"/>
      <c r="W124" s="130"/>
      <c r="X124" s="38"/>
      <c r="Y124" s="38"/>
      <c r="Z124" s="38"/>
      <c r="AA124" s="37"/>
      <c r="AB124" s="130"/>
      <c r="AC124" s="38"/>
      <c r="AD124" s="38"/>
      <c r="AE124" s="38"/>
      <c r="AF124" s="38"/>
      <c r="AG124" s="130"/>
      <c r="AH124" s="38"/>
      <c r="AI124" s="38"/>
      <c r="AJ124" s="38"/>
      <c r="AK124" s="37"/>
      <c r="AL124" s="130"/>
      <c r="AM124" s="38"/>
      <c r="AN124" s="38"/>
      <c r="AO124" s="38"/>
      <c r="AP124" s="38"/>
      <c r="AQ124" s="130"/>
      <c r="AR124" s="38"/>
      <c r="AS124" s="38"/>
      <c r="AT124" s="38"/>
      <c r="AU124" s="38"/>
      <c r="AZ124" s="38"/>
      <c r="BA124" s="130"/>
      <c r="BB124" s="38"/>
      <c r="BC124" s="38"/>
      <c r="BD124" s="38"/>
      <c r="BE124" s="38"/>
      <c r="BF124" s="130"/>
      <c r="BG124" s="38"/>
      <c r="BH124" s="38"/>
      <c r="BI124" s="38"/>
      <c r="BJ124" s="786"/>
      <c r="BK124" s="130"/>
      <c r="BL124" s="38"/>
      <c r="BM124" s="38"/>
      <c r="BN124" s="38"/>
      <c r="BO124" s="786"/>
      <c r="BP124" s="130"/>
      <c r="BQ124" s="38"/>
      <c r="BR124" s="38"/>
      <c r="BS124" s="38"/>
      <c r="BT124" s="786"/>
      <c r="BU124" s="130"/>
      <c r="BV124" s="38"/>
      <c r="BW124" s="38"/>
      <c r="BX124" s="38"/>
      <c r="BY124" s="31"/>
      <c r="BZ124" s="130"/>
      <c r="CA124" s="38"/>
      <c r="CB124" s="38"/>
      <c r="CC124" s="38"/>
      <c r="CD124" s="38"/>
      <c r="CE124" s="130"/>
      <c r="CF124" s="38"/>
      <c r="CG124" s="38"/>
      <c r="CH124" s="38"/>
      <c r="CI124" s="31"/>
      <c r="CO124" s="130"/>
      <c r="CP124" s="38"/>
      <c r="CQ124" s="38"/>
      <c r="CR124" s="38"/>
      <c r="CS124" s="31"/>
      <c r="CT124" s="130"/>
      <c r="CU124" s="38"/>
      <c r="CV124" s="38"/>
      <c r="CW124" s="38"/>
      <c r="CX124" s="31"/>
      <c r="CY124" s="130"/>
      <c r="CZ124" s="38"/>
      <c r="DA124" s="38"/>
      <c r="DB124" s="38"/>
      <c r="DC124" s="31"/>
      <c r="DD124" s="130"/>
      <c r="DE124" s="38"/>
      <c r="DF124" s="38"/>
      <c r="DG124" s="38"/>
      <c r="DH124" s="31"/>
      <c r="DI124" s="130"/>
      <c r="DJ124" s="38"/>
      <c r="DK124" s="38"/>
      <c r="DL124" s="38"/>
      <c r="DM124" s="31"/>
      <c r="DN124" s="130"/>
      <c r="DO124" s="38"/>
      <c r="DP124" s="38"/>
      <c r="DQ124" s="38"/>
      <c r="DR124" s="31"/>
      <c r="DS124" s="130"/>
      <c r="DT124" s="38"/>
      <c r="DU124" s="38"/>
      <c r="DV124" s="38"/>
      <c r="DW124" s="31"/>
      <c r="DX124" s="130"/>
      <c r="DY124" s="38"/>
      <c r="DZ124" s="38"/>
      <c r="EA124" s="38"/>
      <c r="EB124" s="31"/>
      <c r="EC124" s="130"/>
      <c r="ED124" s="38"/>
      <c r="EE124" s="38"/>
      <c r="EF124" s="38"/>
      <c r="EG124" s="31"/>
      <c r="EH124" s="130"/>
      <c r="EI124" s="38"/>
      <c r="EJ124" s="38"/>
      <c r="EK124" s="38"/>
      <c r="EL124" s="31"/>
      <c r="EM124" s="131"/>
      <c r="EN124" s="132"/>
      <c r="EO124" s="132"/>
      <c r="EP124" s="132"/>
      <c r="EQ124" s="132"/>
      <c r="ER124" s="39"/>
      <c r="ES124" s="131"/>
      <c r="ET124" s="132"/>
      <c r="EU124" s="132"/>
      <c r="EV124" s="132"/>
      <c r="EW124" s="132"/>
    </row>
    <row r="125" spans="1:153" s="8" customFormat="1" ht="14.25" customHeight="1">
      <c r="A125" s="10"/>
      <c r="B125" s="10"/>
      <c r="C125" s="10"/>
      <c r="D125" s="10"/>
      <c r="E125" s="122"/>
      <c r="F125" s="122"/>
      <c r="G125" s="122"/>
      <c r="H125" s="122"/>
      <c r="I125" s="122"/>
      <c r="J125" s="10"/>
      <c r="K125" s="10"/>
      <c r="L125" s="122"/>
      <c r="M125" s="10"/>
      <c r="N125" s="10"/>
      <c r="O125" s="10"/>
      <c r="P125" s="10"/>
      <c r="Q125" s="122"/>
      <c r="R125" s="130"/>
      <c r="S125" s="38"/>
      <c r="T125" s="38"/>
      <c r="U125" s="38"/>
      <c r="V125" s="37"/>
      <c r="W125" s="130"/>
      <c r="X125" s="38"/>
      <c r="Y125" s="38"/>
      <c r="Z125" s="38"/>
      <c r="AA125" s="37"/>
      <c r="AB125" s="130"/>
      <c r="AC125" s="38"/>
      <c r="AD125" s="38"/>
      <c r="AE125" s="38"/>
      <c r="AF125" s="38"/>
      <c r="AG125" s="130"/>
      <c r="AH125" s="38"/>
      <c r="AI125" s="38"/>
      <c r="AJ125" s="38"/>
      <c r="AK125" s="37"/>
      <c r="AL125" s="130"/>
      <c r="AM125" s="38"/>
      <c r="AN125" s="38"/>
      <c r="AO125" s="38"/>
      <c r="AP125" s="38"/>
      <c r="AQ125" s="130"/>
      <c r="AR125" s="38"/>
      <c r="AS125" s="38"/>
      <c r="AT125" s="38"/>
      <c r="AU125" s="38"/>
      <c r="AZ125" s="38"/>
      <c r="BA125" s="130"/>
      <c r="BB125" s="38"/>
      <c r="BC125" s="38"/>
      <c r="BD125" s="38"/>
      <c r="BE125" s="38"/>
      <c r="BF125" s="130"/>
      <c r="BG125" s="38"/>
      <c r="BH125" s="38"/>
      <c r="BI125" s="38"/>
      <c r="BJ125" s="786"/>
      <c r="BK125" s="130"/>
      <c r="BL125" s="38"/>
      <c r="BM125" s="38"/>
      <c r="BN125" s="38"/>
      <c r="BO125" s="786"/>
      <c r="BP125" s="130"/>
      <c r="BQ125" s="38"/>
      <c r="BR125" s="38"/>
      <c r="BS125" s="38"/>
      <c r="BT125" s="786"/>
      <c r="BU125" s="130"/>
      <c r="BV125" s="38"/>
      <c r="BW125" s="38"/>
      <c r="BX125" s="38"/>
      <c r="BY125" s="31"/>
      <c r="BZ125" s="130"/>
      <c r="CA125" s="38"/>
      <c r="CB125" s="38"/>
      <c r="CC125" s="38"/>
      <c r="CD125" s="38"/>
      <c r="CE125" s="130"/>
      <c r="CF125" s="38"/>
      <c r="CG125" s="38"/>
      <c r="CH125" s="38"/>
      <c r="CI125" s="31"/>
      <c r="CO125" s="130"/>
      <c r="CP125" s="38"/>
      <c r="CQ125" s="38"/>
      <c r="CR125" s="38"/>
      <c r="CS125" s="31"/>
      <c r="CT125" s="130"/>
      <c r="CU125" s="38"/>
      <c r="CV125" s="38"/>
      <c r="CW125" s="38"/>
      <c r="CX125" s="31"/>
      <c r="CY125" s="130"/>
      <c r="CZ125" s="38"/>
      <c r="DA125" s="38"/>
      <c r="DB125" s="38"/>
      <c r="DC125" s="31"/>
      <c r="DD125" s="130"/>
      <c r="DE125" s="38"/>
      <c r="DF125" s="38"/>
      <c r="DG125" s="38"/>
      <c r="DH125" s="31"/>
      <c r="DI125" s="130"/>
      <c r="DJ125" s="38"/>
      <c r="DK125" s="38"/>
      <c r="DL125" s="38"/>
      <c r="DM125" s="31"/>
      <c r="DN125" s="130"/>
      <c r="DO125" s="38"/>
      <c r="DP125" s="38"/>
      <c r="DQ125" s="38"/>
      <c r="DR125" s="31"/>
      <c r="DS125" s="130"/>
      <c r="DT125" s="38"/>
      <c r="DU125" s="38"/>
      <c r="DV125" s="38"/>
      <c r="DW125" s="31"/>
      <c r="DX125" s="130"/>
      <c r="DY125" s="38"/>
      <c r="DZ125" s="38"/>
      <c r="EA125" s="38"/>
      <c r="EB125" s="31"/>
      <c r="EC125" s="130"/>
      <c r="ED125" s="38"/>
      <c r="EE125" s="38"/>
      <c r="EF125" s="38"/>
      <c r="EG125" s="31"/>
      <c r="EH125" s="130"/>
      <c r="EI125" s="38"/>
      <c r="EJ125" s="38"/>
      <c r="EK125" s="38"/>
      <c r="EL125" s="31"/>
      <c r="EM125" s="131"/>
      <c r="EN125" s="132"/>
      <c r="EO125" s="132"/>
      <c r="EP125" s="132"/>
      <c r="EQ125" s="132"/>
      <c r="ER125" s="39"/>
      <c r="ES125" s="131"/>
      <c r="ET125" s="132"/>
      <c r="EU125" s="132"/>
      <c r="EV125" s="132"/>
      <c r="EW125" s="132"/>
    </row>
    <row r="126" spans="1:153" s="8" customFormat="1" ht="14.25" customHeight="1">
      <c r="A126" s="10"/>
      <c r="B126" s="10"/>
      <c r="C126" s="10"/>
      <c r="D126" s="10"/>
      <c r="E126" s="122"/>
      <c r="F126" s="122"/>
      <c r="G126" s="122"/>
      <c r="H126" s="122"/>
      <c r="I126" s="122"/>
      <c r="J126" s="10"/>
      <c r="K126" s="10"/>
      <c r="L126" s="122"/>
      <c r="M126" s="10"/>
      <c r="N126" s="10"/>
      <c r="O126" s="10"/>
      <c r="P126" s="10"/>
      <c r="Q126" s="122"/>
      <c r="R126" s="130"/>
      <c r="S126" s="38"/>
      <c r="T126" s="38"/>
      <c r="U126" s="38"/>
      <c r="V126" s="37"/>
      <c r="W126" s="130"/>
      <c r="X126" s="38"/>
      <c r="Y126" s="38"/>
      <c r="Z126" s="38"/>
      <c r="AA126" s="37"/>
      <c r="AB126" s="130"/>
      <c r="AC126" s="38"/>
      <c r="AD126" s="38"/>
      <c r="AE126" s="38"/>
      <c r="AF126" s="38"/>
      <c r="AG126" s="130"/>
      <c r="AH126" s="38"/>
      <c r="AI126" s="38"/>
      <c r="AJ126" s="38"/>
      <c r="AK126" s="37"/>
      <c r="AL126" s="130"/>
      <c r="AM126" s="38"/>
      <c r="AN126" s="38"/>
      <c r="AO126" s="38"/>
      <c r="AP126" s="38"/>
      <c r="AQ126" s="130"/>
      <c r="AR126" s="38"/>
      <c r="AS126" s="38"/>
      <c r="AT126" s="38"/>
      <c r="AU126" s="38"/>
      <c r="AZ126" s="38"/>
      <c r="BA126" s="130"/>
      <c r="BB126" s="38"/>
      <c r="BC126" s="38"/>
      <c r="BD126" s="38"/>
      <c r="BE126" s="38"/>
      <c r="BF126" s="130"/>
      <c r="BG126" s="38"/>
      <c r="BH126" s="38"/>
      <c r="BI126" s="38"/>
      <c r="BJ126" s="786"/>
      <c r="BK126" s="130"/>
      <c r="BL126" s="38"/>
      <c r="BM126" s="38"/>
      <c r="BN126" s="38"/>
      <c r="BO126" s="786"/>
      <c r="BP126" s="130"/>
      <c r="BQ126" s="38"/>
      <c r="BR126" s="38"/>
      <c r="BS126" s="38"/>
      <c r="BT126" s="786"/>
      <c r="BU126" s="130"/>
      <c r="BV126" s="38"/>
      <c r="BW126" s="38"/>
      <c r="BX126" s="38"/>
      <c r="BY126" s="31"/>
      <c r="BZ126" s="130"/>
      <c r="CA126" s="38"/>
      <c r="CB126" s="38"/>
      <c r="CC126" s="38"/>
      <c r="CD126" s="38"/>
      <c r="CE126" s="130"/>
      <c r="CF126" s="38"/>
      <c r="CG126" s="38"/>
      <c r="CH126" s="38"/>
      <c r="CI126" s="31"/>
      <c r="CO126" s="130"/>
      <c r="CP126" s="38"/>
      <c r="CQ126" s="38"/>
      <c r="CR126" s="38"/>
      <c r="CS126" s="31"/>
      <c r="CT126" s="130"/>
      <c r="CU126" s="38"/>
      <c r="CV126" s="38"/>
      <c r="CW126" s="38"/>
      <c r="CX126" s="31"/>
      <c r="CY126" s="130"/>
      <c r="CZ126" s="38"/>
      <c r="DA126" s="38"/>
      <c r="DB126" s="38"/>
      <c r="DC126" s="31"/>
      <c r="DD126" s="130"/>
      <c r="DE126" s="38"/>
      <c r="DF126" s="38"/>
      <c r="DG126" s="38"/>
      <c r="DH126" s="31"/>
      <c r="DI126" s="130"/>
      <c r="DJ126" s="38"/>
      <c r="DK126" s="38"/>
      <c r="DL126" s="38"/>
      <c r="DM126" s="31"/>
      <c r="DN126" s="130"/>
      <c r="DO126" s="38"/>
      <c r="DP126" s="38"/>
      <c r="DQ126" s="38"/>
      <c r="DR126" s="31"/>
      <c r="DS126" s="130"/>
      <c r="DT126" s="38"/>
      <c r="DU126" s="38"/>
      <c r="DV126" s="38"/>
      <c r="DW126" s="31"/>
      <c r="DX126" s="130"/>
      <c r="DY126" s="38"/>
      <c r="DZ126" s="38"/>
      <c r="EA126" s="38"/>
      <c r="EB126" s="31"/>
      <c r="EC126" s="130"/>
      <c r="ED126" s="38"/>
      <c r="EE126" s="38"/>
      <c r="EF126" s="38"/>
      <c r="EG126" s="31"/>
      <c r="EH126" s="130"/>
      <c r="EI126" s="38"/>
      <c r="EJ126" s="38"/>
      <c r="EK126" s="38"/>
      <c r="EL126" s="31"/>
      <c r="EM126" s="131"/>
      <c r="EN126" s="132"/>
      <c r="EO126" s="132"/>
      <c r="EP126" s="132"/>
      <c r="EQ126" s="132"/>
      <c r="ER126" s="39"/>
      <c r="ES126" s="131"/>
      <c r="ET126" s="132"/>
      <c r="EU126" s="132"/>
      <c r="EV126" s="132"/>
      <c r="EW126" s="132"/>
    </row>
    <row r="127" spans="1:153" s="8" customFormat="1" ht="14.25" customHeight="1">
      <c r="A127" s="10"/>
      <c r="B127" s="10"/>
      <c r="C127" s="10"/>
      <c r="D127" s="10"/>
      <c r="E127" s="122"/>
      <c r="F127" s="122"/>
      <c r="G127" s="122"/>
      <c r="H127" s="122"/>
      <c r="I127" s="122"/>
      <c r="J127" s="10"/>
      <c r="K127" s="10"/>
      <c r="L127" s="122"/>
      <c r="M127" s="10"/>
      <c r="N127" s="10"/>
      <c r="O127" s="10"/>
      <c r="P127" s="10"/>
      <c r="Q127" s="122"/>
      <c r="R127" s="130"/>
      <c r="S127" s="38"/>
      <c r="T127" s="38"/>
      <c r="U127" s="38"/>
      <c r="V127" s="37"/>
      <c r="W127" s="130"/>
      <c r="X127" s="38"/>
      <c r="Y127" s="38"/>
      <c r="Z127" s="38"/>
      <c r="AA127" s="37"/>
      <c r="AB127" s="130"/>
      <c r="AC127" s="38"/>
      <c r="AD127" s="38"/>
      <c r="AE127" s="38"/>
      <c r="AF127" s="38"/>
      <c r="AG127" s="130"/>
      <c r="AH127" s="38"/>
      <c r="AI127" s="38"/>
      <c r="AJ127" s="38"/>
      <c r="AK127" s="37"/>
      <c r="AL127" s="130"/>
      <c r="AM127" s="38"/>
      <c r="AN127" s="38"/>
      <c r="AO127" s="38"/>
      <c r="AP127" s="38"/>
      <c r="AQ127" s="130"/>
      <c r="AR127" s="38"/>
      <c r="AS127" s="38"/>
      <c r="AT127" s="38"/>
      <c r="AU127" s="38"/>
      <c r="AZ127" s="38"/>
      <c r="BA127" s="130"/>
      <c r="BB127" s="38"/>
      <c r="BC127" s="38"/>
      <c r="BD127" s="38"/>
      <c r="BE127" s="38"/>
      <c r="BF127" s="130"/>
      <c r="BG127" s="38"/>
      <c r="BH127" s="38"/>
      <c r="BI127" s="38"/>
      <c r="BJ127" s="786"/>
      <c r="BK127" s="130"/>
      <c r="BL127" s="38"/>
      <c r="BM127" s="38"/>
      <c r="BN127" s="38"/>
      <c r="BO127" s="786"/>
      <c r="BP127" s="130"/>
      <c r="BQ127" s="38"/>
      <c r="BR127" s="38"/>
      <c r="BS127" s="38"/>
      <c r="BT127" s="786"/>
      <c r="BU127" s="130"/>
      <c r="BV127" s="38"/>
      <c r="BW127" s="38"/>
      <c r="BX127" s="38"/>
      <c r="BY127" s="31"/>
      <c r="BZ127" s="130"/>
      <c r="CA127" s="38"/>
      <c r="CB127" s="38"/>
      <c r="CC127" s="38"/>
      <c r="CD127" s="38"/>
      <c r="CE127" s="130"/>
      <c r="CF127" s="38"/>
      <c r="CG127" s="38"/>
      <c r="CH127" s="38"/>
      <c r="CI127" s="31"/>
      <c r="CO127" s="130"/>
      <c r="CP127" s="38"/>
      <c r="CQ127" s="38"/>
      <c r="CR127" s="38"/>
      <c r="CS127" s="31"/>
      <c r="CT127" s="130"/>
      <c r="CU127" s="38"/>
      <c r="CV127" s="38"/>
      <c r="CW127" s="38"/>
      <c r="CX127" s="31"/>
      <c r="CY127" s="130"/>
      <c r="CZ127" s="38"/>
      <c r="DA127" s="38"/>
      <c r="DB127" s="38"/>
      <c r="DC127" s="31"/>
      <c r="DD127" s="130"/>
      <c r="DE127" s="38"/>
      <c r="DF127" s="38"/>
      <c r="DG127" s="38"/>
      <c r="DH127" s="31"/>
      <c r="DI127" s="130"/>
      <c r="DJ127" s="38"/>
      <c r="DK127" s="38"/>
      <c r="DL127" s="38"/>
      <c r="DM127" s="31"/>
      <c r="DN127" s="130"/>
      <c r="DO127" s="38"/>
      <c r="DP127" s="38"/>
      <c r="DQ127" s="38"/>
      <c r="DR127" s="31"/>
      <c r="DS127" s="130"/>
      <c r="DT127" s="38"/>
      <c r="DU127" s="38"/>
      <c r="DV127" s="38"/>
      <c r="DW127" s="31"/>
      <c r="DX127" s="130"/>
      <c r="DY127" s="38"/>
      <c r="DZ127" s="38"/>
      <c r="EA127" s="38"/>
      <c r="EB127" s="31"/>
      <c r="EC127" s="130"/>
      <c r="ED127" s="38"/>
      <c r="EE127" s="38"/>
      <c r="EF127" s="38"/>
      <c r="EG127" s="31"/>
      <c r="EH127" s="130"/>
      <c r="EI127" s="38"/>
      <c r="EJ127" s="38"/>
      <c r="EK127" s="38"/>
      <c r="EL127" s="31"/>
      <c r="EM127" s="131"/>
      <c r="EN127" s="132"/>
      <c r="EO127" s="132"/>
      <c r="EP127" s="132"/>
      <c r="EQ127" s="132"/>
      <c r="ER127" s="39"/>
      <c r="ES127" s="131"/>
      <c r="ET127" s="132"/>
      <c r="EU127" s="132"/>
      <c r="EV127" s="132"/>
      <c r="EW127" s="132"/>
    </row>
    <row r="128" spans="1:153" s="8" customFormat="1" ht="14.25" customHeight="1">
      <c r="A128" s="10"/>
      <c r="B128" s="10"/>
      <c r="C128" s="10"/>
      <c r="D128" s="10"/>
      <c r="E128" s="122"/>
      <c r="F128" s="122"/>
      <c r="G128" s="122"/>
      <c r="H128" s="122"/>
      <c r="I128" s="122"/>
      <c r="J128" s="10"/>
      <c r="K128" s="10"/>
      <c r="L128" s="122"/>
      <c r="M128" s="10"/>
      <c r="N128" s="10"/>
      <c r="O128" s="10"/>
      <c r="P128" s="10"/>
      <c r="Q128" s="122"/>
      <c r="R128" s="130"/>
      <c r="S128" s="38"/>
      <c r="T128" s="38"/>
      <c r="U128" s="38"/>
      <c r="V128" s="37"/>
      <c r="W128" s="130"/>
      <c r="X128" s="38"/>
      <c r="Y128" s="38"/>
      <c r="Z128" s="38"/>
      <c r="AA128" s="37"/>
      <c r="AB128" s="130"/>
      <c r="AC128" s="38"/>
      <c r="AD128" s="38"/>
      <c r="AE128" s="38"/>
      <c r="AF128" s="38"/>
      <c r="AG128" s="130"/>
      <c r="AH128" s="38"/>
      <c r="AI128" s="38"/>
      <c r="AJ128" s="38"/>
      <c r="AK128" s="37"/>
      <c r="AL128" s="130"/>
      <c r="AM128" s="38"/>
      <c r="AN128" s="38"/>
      <c r="AO128" s="38"/>
      <c r="AP128" s="38"/>
      <c r="AQ128" s="130"/>
      <c r="AR128" s="38"/>
      <c r="AS128" s="38"/>
      <c r="AT128" s="38"/>
      <c r="AU128" s="38"/>
      <c r="AZ128" s="38"/>
      <c r="BA128" s="130"/>
      <c r="BB128" s="38"/>
      <c r="BC128" s="38"/>
      <c r="BD128" s="38"/>
      <c r="BE128" s="38"/>
      <c r="BF128" s="130"/>
      <c r="BG128" s="38"/>
      <c r="BH128" s="38"/>
      <c r="BI128" s="38"/>
      <c r="BJ128" s="786"/>
      <c r="BK128" s="130"/>
      <c r="BL128" s="38"/>
      <c r="BM128" s="38"/>
      <c r="BN128" s="38"/>
      <c r="BO128" s="786"/>
      <c r="BP128" s="130"/>
      <c r="BQ128" s="38"/>
      <c r="BR128" s="38"/>
      <c r="BS128" s="38"/>
      <c r="BT128" s="786"/>
      <c r="BU128" s="130"/>
      <c r="BV128" s="38"/>
      <c r="BW128" s="38"/>
      <c r="BX128" s="38"/>
      <c r="BY128" s="31"/>
      <c r="BZ128" s="130"/>
      <c r="CA128" s="38"/>
      <c r="CB128" s="38"/>
      <c r="CC128" s="38"/>
      <c r="CD128" s="38"/>
      <c r="CE128" s="130"/>
      <c r="CF128" s="38"/>
      <c r="CG128" s="38"/>
      <c r="CH128" s="38"/>
      <c r="CI128" s="31"/>
      <c r="CO128" s="130"/>
      <c r="CP128" s="38"/>
      <c r="CQ128" s="38"/>
      <c r="CR128" s="38"/>
      <c r="CS128" s="31"/>
      <c r="CT128" s="130"/>
      <c r="CU128" s="38"/>
      <c r="CV128" s="38"/>
      <c r="CW128" s="38"/>
      <c r="CX128" s="31"/>
      <c r="CY128" s="130"/>
      <c r="CZ128" s="38"/>
      <c r="DA128" s="38"/>
      <c r="DB128" s="38"/>
      <c r="DC128" s="31"/>
      <c r="DD128" s="130"/>
      <c r="DE128" s="38"/>
      <c r="DF128" s="38"/>
      <c r="DG128" s="38"/>
      <c r="DH128" s="31"/>
      <c r="DI128" s="130"/>
      <c r="DJ128" s="38"/>
      <c r="DK128" s="38"/>
      <c r="DL128" s="38"/>
      <c r="DM128" s="31"/>
      <c r="DN128" s="130"/>
      <c r="DO128" s="38"/>
      <c r="DP128" s="38"/>
      <c r="DQ128" s="38"/>
      <c r="DR128" s="31"/>
      <c r="DS128" s="130"/>
      <c r="DT128" s="38"/>
      <c r="DU128" s="38"/>
      <c r="DV128" s="38"/>
      <c r="DW128" s="31"/>
      <c r="DX128" s="130"/>
      <c r="DY128" s="38"/>
      <c r="DZ128" s="38"/>
      <c r="EA128" s="38"/>
      <c r="EB128" s="31"/>
      <c r="EC128" s="130"/>
      <c r="ED128" s="38"/>
      <c r="EE128" s="38"/>
      <c r="EF128" s="38"/>
      <c r="EG128" s="31"/>
      <c r="EH128" s="130"/>
      <c r="EI128" s="38"/>
      <c r="EJ128" s="38"/>
      <c r="EK128" s="38"/>
      <c r="EL128" s="31"/>
      <c r="EM128" s="131"/>
      <c r="EN128" s="132"/>
      <c r="EO128" s="132"/>
      <c r="EP128" s="132"/>
      <c r="EQ128" s="132"/>
      <c r="ER128" s="39"/>
      <c r="ES128" s="131"/>
      <c r="ET128" s="132"/>
      <c r="EU128" s="132"/>
      <c r="EV128" s="132"/>
      <c r="EW128" s="132"/>
    </row>
    <row r="129" spans="1:154" s="8" customFormat="1" ht="14.25" customHeight="1">
      <c r="A129" s="10"/>
      <c r="B129" s="10"/>
      <c r="C129" s="10"/>
      <c r="D129" s="10"/>
      <c r="E129" s="122"/>
      <c r="F129" s="122"/>
      <c r="G129" s="122"/>
      <c r="H129" s="122"/>
      <c r="I129" s="122"/>
      <c r="J129" s="10"/>
      <c r="K129" s="10"/>
      <c r="L129" s="122"/>
      <c r="M129" s="10"/>
      <c r="N129" s="10"/>
      <c r="O129" s="10"/>
      <c r="P129" s="10"/>
      <c r="Q129" s="122"/>
      <c r="R129" s="130"/>
      <c r="S129" s="38"/>
      <c r="T129" s="38"/>
      <c r="U129" s="38"/>
      <c r="V129" s="37"/>
      <c r="W129" s="130"/>
      <c r="X129" s="38"/>
      <c r="Y129" s="38"/>
      <c r="Z129" s="38"/>
      <c r="AA129" s="37"/>
      <c r="AB129" s="130"/>
      <c r="AC129" s="38"/>
      <c r="AD129" s="38"/>
      <c r="AE129" s="38"/>
      <c r="AF129" s="38"/>
      <c r="AG129" s="130"/>
      <c r="AH129" s="38"/>
      <c r="AI129" s="38"/>
      <c r="AJ129" s="38"/>
      <c r="AK129" s="37"/>
      <c r="AL129" s="130"/>
      <c r="AM129" s="38"/>
      <c r="AN129" s="38"/>
      <c r="AO129" s="38"/>
      <c r="AP129" s="38"/>
      <c r="AQ129" s="130"/>
      <c r="AR129" s="38"/>
      <c r="AS129" s="38"/>
      <c r="AT129" s="38"/>
      <c r="AU129" s="38"/>
      <c r="AZ129" s="38"/>
      <c r="BA129" s="130"/>
      <c r="BB129" s="38"/>
      <c r="BC129" s="38"/>
      <c r="BD129" s="38"/>
      <c r="BE129" s="38"/>
      <c r="BF129" s="130"/>
      <c r="BG129" s="38"/>
      <c r="BH129" s="38"/>
      <c r="BI129" s="38"/>
      <c r="BJ129" s="786"/>
      <c r="BK129" s="130"/>
      <c r="BL129" s="38"/>
      <c r="BM129" s="38"/>
      <c r="BN129" s="38"/>
      <c r="BO129" s="786"/>
      <c r="BP129" s="130"/>
      <c r="BQ129" s="38"/>
      <c r="BR129" s="38"/>
      <c r="BS129" s="38"/>
      <c r="BT129" s="786"/>
      <c r="BU129" s="130"/>
      <c r="BV129" s="38"/>
      <c r="BW129" s="38"/>
      <c r="BX129" s="38"/>
      <c r="BY129" s="31"/>
      <c r="BZ129" s="130"/>
      <c r="CA129" s="38"/>
      <c r="CB129" s="38"/>
      <c r="CC129" s="38"/>
      <c r="CD129" s="38"/>
      <c r="CE129" s="130"/>
      <c r="CF129" s="38"/>
      <c r="CG129" s="38"/>
      <c r="CH129" s="38"/>
      <c r="CI129" s="31"/>
      <c r="CO129" s="130"/>
      <c r="CP129" s="38"/>
      <c r="CQ129" s="38"/>
      <c r="CR129" s="38"/>
      <c r="CS129" s="31"/>
      <c r="CT129" s="130"/>
      <c r="CU129" s="38"/>
      <c r="CV129" s="38"/>
      <c r="CW129" s="38"/>
      <c r="CX129" s="31"/>
      <c r="CY129" s="130"/>
      <c r="CZ129" s="38"/>
      <c r="DA129" s="38"/>
      <c r="DB129" s="38"/>
      <c r="DC129" s="31"/>
      <c r="DD129" s="130"/>
      <c r="DE129" s="38"/>
      <c r="DF129" s="38"/>
      <c r="DG129" s="38"/>
      <c r="DH129" s="31"/>
      <c r="DI129" s="130"/>
      <c r="DJ129" s="38"/>
      <c r="DK129" s="38"/>
      <c r="DL129" s="38"/>
      <c r="DM129" s="31"/>
      <c r="DN129" s="130"/>
      <c r="DO129" s="38"/>
      <c r="DP129" s="38"/>
      <c r="DQ129" s="38"/>
      <c r="DR129" s="31"/>
      <c r="DS129" s="130"/>
      <c r="DT129" s="38"/>
      <c r="DU129" s="38"/>
      <c r="DV129" s="38"/>
      <c r="DW129" s="31"/>
      <c r="DX129" s="130"/>
      <c r="DY129" s="38"/>
      <c r="DZ129" s="38"/>
      <c r="EA129" s="38"/>
      <c r="EB129" s="31"/>
      <c r="EC129" s="130"/>
      <c r="ED129" s="38"/>
      <c r="EE129" s="38"/>
      <c r="EF129" s="38"/>
      <c r="EG129" s="31"/>
      <c r="EH129" s="130"/>
      <c r="EI129" s="38"/>
      <c r="EJ129" s="38"/>
      <c r="EK129" s="38"/>
      <c r="EL129" s="31"/>
      <c r="EM129" s="131"/>
      <c r="EN129" s="132"/>
      <c r="EO129" s="132"/>
      <c r="EP129" s="132"/>
      <c r="EQ129" s="132"/>
      <c r="ER129" s="39"/>
      <c r="ES129" s="131"/>
      <c r="ET129" s="132"/>
      <c r="EU129" s="132"/>
      <c r="EV129" s="132"/>
      <c r="EW129" s="132"/>
    </row>
    <row r="130" spans="1:154" s="8" customFormat="1" ht="14.25" customHeight="1">
      <c r="A130" s="10"/>
      <c r="B130" s="10"/>
      <c r="C130" s="10"/>
      <c r="D130" s="10"/>
      <c r="E130" s="122"/>
      <c r="F130" s="122"/>
      <c r="G130" s="122"/>
      <c r="H130" s="122"/>
      <c r="I130" s="122"/>
      <c r="J130" s="10"/>
      <c r="K130" s="10"/>
      <c r="L130" s="122"/>
      <c r="M130" s="10"/>
      <c r="N130" s="10"/>
      <c r="O130" s="10"/>
      <c r="P130" s="10"/>
      <c r="Q130" s="122"/>
      <c r="R130" s="130"/>
      <c r="S130" s="38"/>
      <c r="T130" s="38"/>
      <c r="U130" s="38"/>
      <c r="V130" s="37"/>
      <c r="W130" s="130"/>
      <c r="X130" s="38"/>
      <c r="Y130" s="38"/>
      <c r="Z130" s="38"/>
      <c r="AA130" s="37"/>
      <c r="AB130" s="130"/>
      <c r="AC130" s="38"/>
      <c r="AD130" s="38"/>
      <c r="AE130" s="38"/>
      <c r="AF130" s="38"/>
      <c r="AG130" s="130"/>
      <c r="AH130" s="38"/>
      <c r="AI130" s="38"/>
      <c r="AJ130" s="38"/>
      <c r="AK130" s="37"/>
      <c r="AL130" s="130"/>
      <c r="AM130" s="38"/>
      <c r="AN130" s="38"/>
      <c r="AO130" s="38"/>
      <c r="AP130" s="38"/>
      <c r="AQ130" s="130"/>
      <c r="AR130" s="38"/>
      <c r="AS130" s="38"/>
      <c r="AT130" s="38"/>
      <c r="AU130" s="38"/>
      <c r="AZ130" s="38"/>
      <c r="BA130" s="130"/>
      <c r="BB130" s="38"/>
      <c r="BC130" s="38"/>
      <c r="BD130" s="38"/>
      <c r="BE130" s="38"/>
      <c r="BF130" s="130"/>
      <c r="BG130" s="38"/>
      <c r="BH130" s="38"/>
      <c r="BI130" s="38"/>
      <c r="BJ130" s="786"/>
      <c r="BK130" s="130"/>
      <c r="BL130" s="38"/>
      <c r="BM130" s="38"/>
      <c r="BN130" s="38"/>
      <c r="BO130" s="786"/>
      <c r="BP130" s="130"/>
      <c r="BQ130" s="38"/>
      <c r="BR130" s="38"/>
      <c r="BS130" s="38"/>
      <c r="BT130" s="786"/>
      <c r="BU130" s="130"/>
      <c r="BV130" s="38"/>
      <c r="BW130" s="38"/>
      <c r="BX130" s="38"/>
      <c r="BY130" s="31"/>
      <c r="BZ130" s="130"/>
      <c r="CA130" s="38"/>
      <c r="CB130" s="38"/>
      <c r="CC130" s="38"/>
      <c r="CD130" s="38"/>
      <c r="CE130" s="130"/>
      <c r="CF130" s="38"/>
      <c r="CG130" s="38"/>
      <c r="CH130" s="38"/>
      <c r="CI130" s="31"/>
      <c r="CO130" s="130"/>
      <c r="CP130" s="38"/>
      <c r="CQ130" s="38"/>
      <c r="CR130" s="38"/>
      <c r="CS130" s="31"/>
      <c r="CT130" s="130"/>
      <c r="CU130" s="38"/>
      <c r="CV130" s="38"/>
      <c r="CW130" s="38"/>
      <c r="CX130" s="31"/>
      <c r="CY130" s="130"/>
      <c r="CZ130" s="38"/>
      <c r="DA130" s="38"/>
      <c r="DB130" s="38"/>
      <c r="DC130" s="31"/>
      <c r="DD130" s="130"/>
      <c r="DE130" s="38"/>
      <c r="DF130" s="38"/>
      <c r="DG130" s="38"/>
      <c r="DH130" s="31"/>
      <c r="DI130" s="130"/>
      <c r="DJ130" s="38"/>
      <c r="DK130" s="38"/>
      <c r="DL130" s="38"/>
      <c r="DM130" s="31"/>
      <c r="DN130" s="130"/>
      <c r="DO130" s="38"/>
      <c r="DP130" s="38"/>
      <c r="DQ130" s="38"/>
      <c r="DR130" s="31"/>
      <c r="DS130" s="130"/>
      <c r="DT130" s="38"/>
      <c r="DU130" s="38"/>
      <c r="DV130" s="38"/>
      <c r="DW130" s="31"/>
      <c r="DX130" s="130"/>
      <c r="DY130" s="38"/>
      <c r="DZ130" s="38"/>
      <c r="EA130" s="38"/>
      <c r="EB130" s="31"/>
      <c r="EC130" s="130"/>
      <c r="ED130" s="38"/>
      <c r="EE130" s="38"/>
      <c r="EF130" s="38"/>
      <c r="EG130" s="31"/>
      <c r="EH130" s="130"/>
      <c r="EI130" s="38"/>
      <c r="EJ130" s="38"/>
      <c r="EK130" s="38"/>
      <c r="EL130" s="31"/>
      <c r="EM130" s="131"/>
      <c r="EN130" s="132"/>
      <c r="EO130" s="132"/>
      <c r="EP130" s="132"/>
      <c r="EQ130" s="132"/>
      <c r="ER130" s="39"/>
      <c r="ES130" s="131"/>
      <c r="ET130" s="132"/>
      <c r="EU130" s="132"/>
      <c r="EV130" s="132"/>
      <c r="EW130" s="132"/>
    </row>
    <row r="131" spans="1:154" s="8" customFormat="1" ht="14.25" customHeight="1">
      <c r="A131" s="10"/>
      <c r="B131" s="10"/>
      <c r="C131" s="10"/>
      <c r="D131" s="10"/>
      <c r="E131" s="122"/>
      <c r="F131" s="122"/>
      <c r="G131" s="122"/>
      <c r="H131" s="122"/>
      <c r="I131" s="122"/>
      <c r="J131" s="10"/>
      <c r="K131" s="10"/>
      <c r="L131" s="122"/>
      <c r="M131" s="10"/>
      <c r="N131" s="10"/>
      <c r="O131" s="10"/>
      <c r="P131" s="10"/>
      <c r="Q131" s="122"/>
      <c r="R131" s="130"/>
      <c r="S131" s="38"/>
      <c r="T131" s="38"/>
      <c r="U131" s="38"/>
      <c r="V131" s="37"/>
      <c r="W131" s="130"/>
      <c r="X131" s="38"/>
      <c r="Y131" s="38"/>
      <c r="Z131" s="38"/>
      <c r="AA131" s="37"/>
      <c r="AB131" s="130"/>
      <c r="AC131" s="38"/>
      <c r="AD131" s="38"/>
      <c r="AE131" s="38"/>
      <c r="AF131" s="38"/>
      <c r="AG131" s="130"/>
      <c r="AH131" s="38"/>
      <c r="AI131" s="38"/>
      <c r="AJ131" s="38"/>
      <c r="AK131" s="37"/>
      <c r="AL131" s="130"/>
      <c r="AM131" s="38"/>
      <c r="AN131" s="38"/>
      <c r="AO131" s="38"/>
      <c r="AP131" s="38"/>
      <c r="AQ131" s="130"/>
      <c r="AR131" s="38"/>
      <c r="AS131" s="38"/>
      <c r="AT131" s="38"/>
      <c r="AU131" s="38"/>
      <c r="AZ131" s="38"/>
      <c r="BA131" s="130"/>
      <c r="BB131" s="38"/>
      <c r="BC131" s="38"/>
      <c r="BD131" s="38"/>
      <c r="BE131" s="38"/>
      <c r="BF131" s="130"/>
      <c r="BG131" s="38"/>
      <c r="BH131" s="38"/>
      <c r="BI131" s="38"/>
      <c r="BJ131" s="786"/>
      <c r="BK131" s="130"/>
      <c r="BL131" s="38"/>
      <c r="BM131" s="38"/>
      <c r="BN131" s="38"/>
      <c r="BO131" s="786"/>
      <c r="BP131" s="130"/>
      <c r="BQ131" s="38"/>
      <c r="BR131" s="38"/>
      <c r="BS131" s="38"/>
      <c r="BT131" s="786"/>
      <c r="BU131" s="130"/>
      <c r="BV131" s="38"/>
      <c r="BW131" s="38"/>
      <c r="BX131" s="38"/>
      <c r="BY131" s="31"/>
      <c r="BZ131" s="130"/>
      <c r="CA131" s="38"/>
      <c r="CB131" s="38"/>
      <c r="CC131" s="38"/>
      <c r="CD131" s="38"/>
      <c r="CE131" s="130"/>
      <c r="CF131" s="38"/>
      <c r="CG131" s="38"/>
      <c r="CH131" s="38"/>
      <c r="CI131" s="31"/>
      <c r="CO131" s="130"/>
      <c r="CP131" s="38"/>
      <c r="CQ131" s="38"/>
      <c r="CR131" s="38"/>
      <c r="CS131" s="31"/>
      <c r="CT131" s="130"/>
      <c r="CU131" s="38"/>
      <c r="CV131" s="38"/>
      <c r="CW131" s="38"/>
      <c r="CX131" s="31"/>
      <c r="CY131" s="130"/>
      <c r="CZ131" s="38"/>
      <c r="DA131" s="38"/>
      <c r="DB131" s="38"/>
      <c r="DC131" s="31"/>
      <c r="DD131" s="130"/>
      <c r="DE131" s="38"/>
      <c r="DF131" s="38"/>
      <c r="DG131" s="38"/>
      <c r="DH131" s="31"/>
      <c r="DI131" s="130"/>
      <c r="DJ131" s="38"/>
      <c r="DK131" s="38"/>
      <c r="DL131" s="38"/>
      <c r="DM131" s="31"/>
      <c r="DN131" s="130"/>
      <c r="DO131" s="38"/>
      <c r="DP131" s="38"/>
      <c r="DQ131" s="38"/>
      <c r="DR131" s="31"/>
      <c r="DS131" s="130"/>
      <c r="DT131" s="38"/>
      <c r="DU131" s="38"/>
      <c r="DV131" s="38"/>
      <c r="DW131" s="31"/>
      <c r="DX131" s="130"/>
      <c r="DY131" s="38"/>
      <c r="DZ131" s="38"/>
      <c r="EA131" s="38"/>
      <c r="EB131" s="31"/>
      <c r="EC131" s="130"/>
      <c r="ED131" s="38"/>
      <c r="EE131" s="38"/>
      <c r="EF131" s="38"/>
      <c r="EG131" s="31"/>
      <c r="EH131" s="130"/>
      <c r="EI131" s="38"/>
      <c r="EJ131" s="38"/>
      <c r="EK131" s="38"/>
      <c r="EL131" s="31"/>
      <c r="EM131" s="131"/>
      <c r="EN131" s="132"/>
      <c r="EO131" s="132"/>
      <c r="EP131" s="132"/>
      <c r="EQ131" s="132"/>
      <c r="ER131" s="39"/>
      <c r="ES131" s="131"/>
      <c r="ET131" s="132"/>
      <c r="EU131" s="132"/>
      <c r="EV131" s="132"/>
      <c r="EW131" s="132"/>
    </row>
    <row r="132" spans="1:154" s="8" customFormat="1" ht="14.25" customHeight="1">
      <c r="A132" s="10"/>
      <c r="B132" s="10"/>
      <c r="C132" s="10"/>
      <c r="D132" s="10"/>
      <c r="E132" s="122"/>
      <c r="F132" s="122"/>
      <c r="G132" s="122"/>
      <c r="H132" s="122"/>
      <c r="I132" s="122"/>
      <c r="J132" s="10"/>
      <c r="K132" s="10"/>
      <c r="L132" s="122"/>
      <c r="M132" s="10"/>
      <c r="N132" s="10"/>
      <c r="O132" s="10"/>
      <c r="P132" s="10"/>
      <c r="Q132" s="122"/>
      <c r="R132" s="130"/>
      <c r="S132" s="38"/>
      <c r="T132" s="38"/>
      <c r="U132" s="38"/>
      <c r="V132" s="37"/>
      <c r="W132" s="130"/>
      <c r="X132" s="38"/>
      <c r="Y132" s="38"/>
      <c r="Z132" s="38"/>
      <c r="AA132" s="37"/>
      <c r="AB132" s="130"/>
      <c r="AC132" s="38"/>
      <c r="AD132" s="38"/>
      <c r="AE132" s="38"/>
      <c r="AF132" s="38"/>
      <c r="AG132" s="130"/>
      <c r="AH132" s="38"/>
      <c r="AI132" s="38"/>
      <c r="AJ132" s="38"/>
      <c r="AK132" s="37"/>
      <c r="AL132" s="130"/>
      <c r="AM132" s="38"/>
      <c r="AN132" s="38"/>
      <c r="AO132" s="38"/>
      <c r="AP132" s="38"/>
      <c r="AQ132" s="130"/>
      <c r="AR132" s="38"/>
      <c r="AS132" s="38"/>
      <c r="AT132" s="38"/>
      <c r="AU132" s="38"/>
      <c r="AZ132" s="38"/>
      <c r="BA132" s="130"/>
      <c r="BB132" s="38"/>
      <c r="BC132" s="38"/>
      <c r="BD132" s="38"/>
      <c r="BE132" s="38"/>
      <c r="BF132" s="130"/>
      <c r="BG132" s="38"/>
      <c r="BH132" s="38"/>
      <c r="BI132" s="38"/>
      <c r="BJ132" s="786"/>
      <c r="BK132" s="130"/>
      <c r="BL132" s="38"/>
      <c r="BM132" s="38"/>
      <c r="BN132" s="38"/>
      <c r="BO132" s="786"/>
      <c r="BP132" s="130"/>
      <c r="BQ132" s="38"/>
      <c r="BR132" s="38"/>
      <c r="BS132" s="38"/>
      <c r="BT132" s="786"/>
      <c r="BU132" s="130"/>
      <c r="BV132" s="38"/>
      <c r="BW132" s="38"/>
      <c r="BX132" s="38"/>
      <c r="BY132" s="31"/>
      <c r="BZ132" s="130"/>
      <c r="CA132" s="38"/>
      <c r="CB132" s="38"/>
      <c r="CC132" s="38"/>
      <c r="CD132" s="38"/>
      <c r="CE132" s="130"/>
      <c r="CF132" s="38"/>
      <c r="CG132" s="38"/>
      <c r="CH132" s="38"/>
      <c r="CI132" s="31"/>
      <c r="CO132" s="130"/>
      <c r="CP132" s="38"/>
      <c r="CQ132" s="38"/>
      <c r="CR132" s="38"/>
      <c r="CS132" s="31"/>
      <c r="CT132" s="130"/>
      <c r="CU132" s="38"/>
      <c r="CV132" s="38"/>
      <c r="CW132" s="38"/>
      <c r="CX132" s="31"/>
      <c r="CY132" s="130"/>
      <c r="CZ132" s="38"/>
      <c r="DA132" s="38"/>
      <c r="DB132" s="38"/>
      <c r="DC132" s="31"/>
      <c r="DD132" s="130"/>
      <c r="DE132" s="38"/>
      <c r="DF132" s="38"/>
      <c r="DG132" s="38"/>
      <c r="DH132" s="31"/>
      <c r="DI132" s="130"/>
      <c r="DJ132" s="38"/>
      <c r="DK132" s="38"/>
      <c r="DL132" s="38"/>
      <c r="DM132" s="31"/>
      <c r="DN132" s="130"/>
      <c r="DO132" s="38"/>
      <c r="DP132" s="38"/>
      <c r="DQ132" s="38"/>
      <c r="DR132" s="31"/>
      <c r="DS132" s="130"/>
      <c r="DT132" s="38"/>
      <c r="DU132" s="38"/>
      <c r="DV132" s="38"/>
      <c r="DW132" s="31"/>
      <c r="DX132" s="130"/>
      <c r="DY132" s="38"/>
      <c r="DZ132" s="38"/>
      <c r="EA132" s="38"/>
      <c r="EB132" s="31"/>
      <c r="EC132" s="130"/>
      <c r="ED132" s="38"/>
      <c r="EE132" s="38"/>
      <c r="EF132" s="38"/>
      <c r="EG132" s="31"/>
      <c r="EH132" s="130"/>
      <c r="EI132" s="38"/>
      <c r="EJ132" s="38"/>
      <c r="EK132" s="38"/>
      <c r="EL132" s="31"/>
      <c r="EM132" s="131"/>
      <c r="EN132" s="132"/>
      <c r="EO132" s="132"/>
      <c r="EP132" s="132"/>
      <c r="EQ132" s="132"/>
      <c r="ER132" s="39"/>
      <c r="ES132" s="131"/>
      <c r="ET132" s="132"/>
      <c r="EU132" s="132"/>
      <c r="EV132" s="132"/>
      <c r="EW132" s="132"/>
    </row>
    <row r="133" spans="1:154" s="8" customFormat="1" ht="14.25" customHeight="1">
      <c r="A133" s="10"/>
      <c r="B133" s="10"/>
      <c r="C133" s="10"/>
      <c r="D133" s="10"/>
      <c r="E133" s="122"/>
      <c r="F133" s="122"/>
      <c r="G133" s="122"/>
      <c r="H133" s="122"/>
      <c r="I133" s="122"/>
      <c r="J133" s="10"/>
      <c r="K133" s="10"/>
      <c r="L133" s="122"/>
      <c r="M133" s="10"/>
      <c r="N133" s="10"/>
      <c r="O133" s="10"/>
      <c r="P133" s="10"/>
      <c r="Q133" s="122"/>
      <c r="R133" s="130"/>
      <c r="S133" s="38"/>
      <c r="T133" s="38"/>
      <c r="U133" s="38"/>
      <c r="V133" s="37"/>
      <c r="W133" s="130"/>
      <c r="X133" s="38"/>
      <c r="Y133" s="38"/>
      <c r="Z133" s="38"/>
      <c r="AA133" s="37"/>
      <c r="AB133" s="130"/>
      <c r="AC133" s="38"/>
      <c r="AD133" s="38"/>
      <c r="AE133" s="38"/>
      <c r="AF133" s="38"/>
      <c r="AG133" s="130"/>
      <c r="AH133" s="38"/>
      <c r="AI133" s="38"/>
      <c r="AJ133" s="38"/>
      <c r="AK133" s="37"/>
      <c r="AL133" s="130"/>
      <c r="AM133" s="38"/>
      <c r="AN133" s="38"/>
      <c r="AO133" s="38"/>
      <c r="AP133" s="38"/>
      <c r="AQ133" s="130"/>
      <c r="AR133" s="38"/>
      <c r="AS133" s="38"/>
      <c r="AT133" s="38"/>
      <c r="AU133" s="38"/>
      <c r="AZ133" s="38"/>
      <c r="BA133" s="130"/>
      <c r="BB133" s="38"/>
      <c r="BC133" s="38"/>
      <c r="BD133" s="38"/>
      <c r="BE133" s="38"/>
      <c r="BF133" s="130"/>
      <c r="BG133" s="38"/>
      <c r="BH133" s="38"/>
      <c r="BI133" s="38"/>
      <c r="BJ133" s="786"/>
      <c r="BK133" s="130"/>
      <c r="BL133" s="38"/>
      <c r="BM133" s="38"/>
      <c r="BN133" s="38"/>
      <c r="BO133" s="786"/>
      <c r="BP133" s="130"/>
      <c r="BQ133" s="38"/>
      <c r="BR133" s="38"/>
      <c r="BS133" s="38"/>
      <c r="BT133" s="786"/>
      <c r="BU133" s="130"/>
      <c r="BV133" s="38"/>
      <c r="BW133" s="38"/>
      <c r="BX133" s="38"/>
      <c r="BY133" s="31"/>
      <c r="BZ133" s="130"/>
      <c r="CA133" s="38"/>
      <c r="CB133" s="38"/>
      <c r="CC133" s="38"/>
      <c r="CD133" s="38"/>
      <c r="CE133" s="130"/>
      <c r="CF133" s="38"/>
      <c r="CG133" s="38"/>
      <c r="CH133" s="38"/>
      <c r="CI133" s="31"/>
      <c r="CO133" s="130"/>
      <c r="CP133" s="38"/>
      <c r="CQ133" s="38"/>
      <c r="CR133" s="38"/>
      <c r="CS133" s="31"/>
      <c r="CT133" s="130"/>
      <c r="CU133" s="38"/>
      <c r="CV133" s="38"/>
      <c r="CW133" s="38"/>
      <c r="CX133" s="31"/>
      <c r="CY133" s="130"/>
      <c r="CZ133" s="38"/>
      <c r="DA133" s="38"/>
      <c r="DB133" s="38"/>
      <c r="DC133" s="31"/>
      <c r="DD133" s="130"/>
      <c r="DE133" s="38"/>
      <c r="DF133" s="38"/>
      <c r="DG133" s="38"/>
      <c r="DH133" s="31"/>
      <c r="DI133" s="130"/>
      <c r="DJ133" s="38"/>
      <c r="DK133" s="38"/>
      <c r="DL133" s="38"/>
      <c r="DM133" s="31"/>
      <c r="DN133" s="130"/>
      <c r="DO133" s="38"/>
      <c r="DP133" s="38"/>
      <c r="DQ133" s="38"/>
      <c r="DR133" s="31"/>
      <c r="DS133" s="130"/>
      <c r="DT133" s="38"/>
      <c r="DU133" s="38"/>
      <c r="DV133" s="38"/>
      <c r="DW133" s="31"/>
      <c r="DX133" s="130"/>
      <c r="DY133" s="38"/>
      <c r="DZ133" s="38"/>
      <c r="EA133" s="38"/>
      <c r="EB133" s="31"/>
      <c r="EC133" s="130"/>
      <c r="ED133" s="38"/>
      <c r="EE133" s="38"/>
      <c r="EF133" s="38"/>
      <c r="EG133" s="31"/>
      <c r="EH133" s="130"/>
      <c r="EI133" s="38"/>
      <c r="EJ133" s="38"/>
      <c r="EK133" s="38"/>
      <c r="EL133" s="31"/>
      <c r="EM133" s="131"/>
      <c r="EN133" s="132"/>
      <c r="EO133" s="132"/>
      <c r="EP133" s="132"/>
      <c r="EQ133" s="132"/>
      <c r="ER133" s="39"/>
      <c r="ES133" s="131"/>
      <c r="ET133" s="132"/>
      <c r="EU133" s="132"/>
      <c r="EV133" s="132"/>
      <c r="EW133" s="132"/>
    </row>
    <row r="134" spans="1:154" s="8" customFormat="1" ht="14.25" customHeight="1">
      <c r="A134" s="10"/>
      <c r="B134" s="10"/>
      <c r="C134" s="10"/>
      <c r="D134" s="10"/>
      <c r="E134" s="122"/>
      <c r="F134" s="122"/>
      <c r="G134" s="122"/>
      <c r="H134" s="122"/>
      <c r="I134" s="122"/>
      <c r="J134" s="10"/>
      <c r="K134" s="10"/>
      <c r="L134" s="122"/>
      <c r="M134" s="10"/>
      <c r="N134" s="10"/>
      <c r="O134" s="10"/>
      <c r="P134" s="10"/>
      <c r="Q134" s="122"/>
      <c r="R134" s="130"/>
      <c r="S134" s="38"/>
      <c r="T134" s="38"/>
      <c r="U134" s="38"/>
      <c r="V134" s="37"/>
      <c r="W134" s="130"/>
      <c r="X134" s="38"/>
      <c r="Y134" s="38"/>
      <c r="Z134" s="38"/>
      <c r="AA134" s="37"/>
      <c r="AB134" s="130"/>
      <c r="AC134" s="38"/>
      <c r="AD134" s="38"/>
      <c r="AE134" s="38"/>
      <c r="AF134" s="38"/>
      <c r="AG134" s="130"/>
      <c r="AH134" s="38"/>
      <c r="AI134" s="38"/>
      <c r="AJ134" s="38"/>
      <c r="AK134" s="37"/>
      <c r="AL134" s="130"/>
      <c r="AM134" s="38"/>
      <c r="AN134" s="38"/>
      <c r="AO134" s="38"/>
      <c r="AP134" s="38"/>
      <c r="AQ134" s="130"/>
      <c r="AR134" s="38"/>
      <c r="AS134" s="38"/>
      <c r="AT134" s="38"/>
      <c r="AU134" s="38"/>
      <c r="AZ134" s="38"/>
      <c r="BA134" s="130"/>
      <c r="BB134" s="38"/>
      <c r="BC134" s="38"/>
      <c r="BD134" s="38"/>
      <c r="BE134" s="38"/>
      <c r="BF134" s="130"/>
      <c r="BG134" s="38"/>
      <c r="BH134" s="38"/>
      <c r="BI134" s="38"/>
      <c r="BJ134" s="786"/>
      <c r="BK134" s="130"/>
      <c r="BL134" s="38"/>
      <c r="BM134" s="38"/>
      <c r="BN134" s="38"/>
      <c r="BO134" s="786"/>
      <c r="BP134" s="130"/>
      <c r="BQ134" s="38"/>
      <c r="BR134" s="38"/>
      <c r="BS134" s="38"/>
      <c r="BT134" s="786"/>
      <c r="BU134" s="130"/>
      <c r="BV134" s="38"/>
      <c r="BW134" s="38"/>
      <c r="BX134" s="38"/>
      <c r="BY134" s="31"/>
      <c r="BZ134" s="130"/>
      <c r="CA134" s="38"/>
      <c r="CB134" s="38"/>
      <c r="CC134" s="38"/>
      <c r="CD134" s="38"/>
      <c r="CE134" s="130"/>
      <c r="CF134" s="38"/>
      <c r="CG134" s="38"/>
      <c r="CH134" s="38"/>
      <c r="CI134" s="31"/>
      <c r="CO134" s="130"/>
      <c r="CP134" s="38"/>
      <c r="CQ134" s="38"/>
      <c r="CR134" s="38"/>
      <c r="CS134" s="31"/>
      <c r="CT134" s="130"/>
      <c r="CU134" s="38"/>
      <c r="CV134" s="38"/>
      <c r="CW134" s="38"/>
      <c r="CX134" s="31"/>
      <c r="CY134" s="130"/>
      <c r="CZ134" s="38"/>
      <c r="DA134" s="38"/>
      <c r="DB134" s="38"/>
      <c r="DC134" s="31"/>
      <c r="DD134" s="130"/>
      <c r="DE134" s="38"/>
      <c r="DF134" s="38"/>
      <c r="DG134" s="38"/>
      <c r="DH134" s="31"/>
      <c r="DI134" s="130"/>
      <c r="DJ134" s="38"/>
      <c r="DK134" s="38"/>
      <c r="DL134" s="38"/>
      <c r="DM134" s="31"/>
      <c r="DN134" s="130"/>
      <c r="DO134" s="38"/>
      <c r="DP134" s="38"/>
      <c r="DQ134" s="38"/>
      <c r="DR134" s="31"/>
      <c r="DS134" s="130"/>
      <c r="DT134" s="38"/>
      <c r="DU134" s="38"/>
      <c r="DV134" s="38"/>
      <c r="DW134" s="31"/>
      <c r="DX134" s="130"/>
      <c r="DY134" s="38"/>
      <c r="DZ134" s="38"/>
      <c r="EA134" s="38"/>
      <c r="EB134" s="31"/>
      <c r="EC134" s="130"/>
      <c r="ED134" s="38"/>
      <c r="EE134" s="38"/>
      <c r="EF134" s="38"/>
      <c r="EG134" s="31"/>
      <c r="EH134" s="130"/>
      <c r="EI134" s="38"/>
      <c r="EJ134" s="38"/>
      <c r="EK134" s="38"/>
      <c r="EL134" s="31"/>
      <c r="EM134" s="131"/>
      <c r="EN134" s="132"/>
      <c r="EO134" s="132"/>
      <c r="EP134" s="132"/>
      <c r="EQ134" s="132"/>
      <c r="ER134" s="39"/>
      <c r="ES134" s="131"/>
      <c r="ET134" s="132"/>
      <c r="EU134" s="132"/>
      <c r="EV134" s="132"/>
      <c r="EW134" s="132"/>
    </row>
    <row r="135" spans="1:154" s="8" customFormat="1" ht="14.25" customHeight="1">
      <c r="A135" s="10"/>
      <c r="B135" s="10"/>
      <c r="C135" s="10"/>
      <c r="D135" s="10"/>
      <c r="E135" s="122"/>
      <c r="F135" s="122"/>
      <c r="G135" s="122"/>
      <c r="H135" s="122"/>
      <c r="I135" s="122"/>
      <c r="J135" s="10"/>
      <c r="K135" s="10"/>
      <c r="L135" s="122"/>
      <c r="M135" s="10"/>
      <c r="N135" s="10"/>
      <c r="O135" s="10"/>
      <c r="P135" s="10"/>
      <c r="Q135" s="122"/>
      <c r="R135" s="130"/>
      <c r="S135" s="38"/>
      <c r="T135" s="38"/>
      <c r="U135" s="38"/>
      <c r="V135" s="37"/>
      <c r="W135" s="130"/>
      <c r="X135" s="38"/>
      <c r="Y135" s="38"/>
      <c r="Z135" s="38"/>
      <c r="AA135" s="37"/>
      <c r="AB135" s="130"/>
      <c r="AC135" s="38"/>
      <c r="AD135" s="38"/>
      <c r="AE135" s="38"/>
      <c r="AF135" s="38"/>
      <c r="AG135" s="130"/>
      <c r="AH135" s="38"/>
      <c r="AI135" s="38"/>
      <c r="AJ135" s="38"/>
      <c r="AK135" s="37"/>
      <c r="AL135" s="130"/>
      <c r="AM135" s="38"/>
      <c r="AN135" s="38"/>
      <c r="AO135" s="38"/>
      <c r="AP135" s="38"/>
      <c r="AQ135" s="130"/>
      <c r="AR135" s="38"/>
      <c r="AS135" s="38"/>
      <c r="AT135" s="38"/>
      <c r="AU135" s="38"/>
      <c r="AZ135" s="38"/>
      <c r="BA135" s="130"/>
      <c r="BB135" s="38"/>
      <c r="BC135" s="38"/>
      <c r="BD135" s="38"/>
      <c r="BE135" s="38"/>
      <c r="BF135" s="130"/>
      <c r="BG135" s="38"/>
      <c r="BH135" s="38"/>
      <c r="BI135" s="38"/>
      <c r="BJ135" s="786"/>
      <c r="BK135" s="130"/>
      <c r="BL135" s="38"/>
      <c r="BM135" s="38"/>
      <c r="BN135" s="38"/>
      <c r="BO135" s="786"/>
      <c r="BP135" s="130"/>
      <c r="BQ135" s="38"/>
      <c r="BR135" s="38"/>
      <c r="BS135" s="38"/>
      <c r="BT135" s="786"/>
      <c r="BU135" s="130"/>
      <c r="BV135" s="38"/>
      <c r="BW135" s="38"/>
      <c r="BX135" s="38"/>
      <c r="BY135" s="31"/>
      <c r="BZ135" s="130"/>
      <c r="CA135" s="38"/>
      <c r="CB135" s="38"/>
      <c r="CC135" s="38"/>
      <c r="CD135" s="38"/>
      <c r="CE135" s="130"/>
      <c r="CF135" s="38"/>
      <c r="CG135" s="38"/>
      <c r="CH135" s="38"/>
      <c r="CI135" s="31"/>
      <c r="CO135" s="130"/>
      <c r="CP135" s="38"/>
      <c r="CQ135" s="38"/>
      <c r="CR135" s="38"/>
      <c r="CS135" s="31"/>
      <c r="CT135" s="130"/>
      <c r="CU135" s="38"/>
      <c r="CV135" s="38"/>
      <c r="CW135" s="38"/>
      <c r="CX135" s="31"/>
      <c r="CY135" s="130"/>
      <c r="CZ135" s="38"/>
      <c r="DA135" s="38"/>
      <c r="DB135" s="38"/>
      <c r="DC135" s="31"/>
      <c r="DD135" s="130"/>
      <c r="DE135" s="38"/>
      <c r="DF135" s="38"/>
      <c r="DG135" s="38"/>
      <c r="DH135" s="31"/>
      <c r="DI135" s="130"/>
      <c r="DJ135" s="38"/>
      <c r="DK135" s="38"/>
      <c r="DL135" s="38"/>
      <c r="DM135" s="31"/>
      <c r="DN135" s="130"/>
      <c r="DO135" s="38"/>
      <c r="DP135" s="38"/>
      <c r="DQ135" s="38"/>
      <c r="DR135" s="31"/>
      <c r="DS135" s="130"/>
      <c r="DT135" s="38"/>
      <c r="DU135" s="38"/>
      <c r="DV135" s="38"/>
      <c r="DW135" s="31"/>
      <c r="DX135" s="130"/>
      <c r="DY135" s="38"/>
      <c r="DZ135" s="38"/>
      <c r="EA135" s="38"/>
      <c r="EB135" s="31"/>
      <c r="EC135" s="130"/>
      <c r="ED135" s="38"/>
      <c r="EE135" s="38"/>
      <c r="EF135" s="38"/>
      <c r="EG135" s="31"/>
      <c r="EH135" s="130"/>
      <c r="EI135" s="38"/>
      <c r="EJ135" s="38"/>
      <c r="EK135" s="38"/>
      <c r="EL135" s="31"/>
      <c r="EM135" s="131"/>
      <c r="EN135" s="132"/>
      <c r="EO135" s="132"/>
      <c r="EP135" s="132"/>
      <c r="EQ135" s="132"/>
      <c r="ER135" s="39"/>
      <c r="ES135" s="131"/>
      <c r="ET135" s="132"/>
      <c r="EU135" s="132"/>
      <c r="EV135" s="132"/>
      <c r="EW135" s="132"/>
    </row>
    <row r="136" spans="1:154" s="8" customFormat="1" ht="14.25" customHeight="1">
      <c r="A136" s="10"/>
      <c r="B136" s="10"/>
      <c r="C136" s="10"/>
      <c r="D136" s="10"/>
      <c r="E136" s="122"/>
      <c r="F136" s="122"/>
      <c r="G136" s="122"/>
      <c r="H136" s="122"/>
      <c r="I136" s="122"/>
      <c r="J136" s="10"/>
      <c r="K136" s="10"/>
      <c r="L136" s="122"/>
      <c r="M136" s="10"/>
      <c r="N136" s="10"/>
      <c r="O136" s="10"/>
      <c r="P136" s="10"/>
      <c r="Q136" s="122"/>
      <c r="R136" s="130"/>
      <c r="S136" s="38"/>
      <c r="T136" s="38"/>
      <c r="U136" s="38"/>
      <c r="V136" s="37"/>
      <c r="W136" s="130"/>
      <c r="X136" s="38"/>
      <c r="Y136" s="38"/>
      <c r="Z136" s="38"/>
      <c r="AA136" s="37"/>
      <c r="AB136" s="130"/>
      <c r="AC136" s="38"/>
      <c r="AD136" s="38"/>
      <c r="AE136" s="38"/>
      <c r="AF136" s="38"/>
      <c r="AG136" s="130"/>
      <c r="AH136" s="38"/>
      <c r="AI136" s="38"/>
      <c r="AJ136" s="38"/>
      <c r="AK136" s="37"/>
      <c r="AL136" s="130"/>
      <c r="AM136" s="38"/>
      <c r="AN136" s="38"/>
      <c r="AO136" s="38"/>
      <c r="AP136" s="38"/>
      <c r="AQ136" s="130"/>
      <c r="AR136" s="38"/>
      <c r="AS136" s="38"/>
      <c r="AT136" s="38"/>
      <c r="AU136" s="38"/>
      <c r="AZ136" s="38"/>
      <c r="BA136" s="130"/>
      <c r="BB136" s="38"/>
      <c r="BC136" s="38"/>
      <c r="BD136" s="38"/>
      <c r="BE136" s="38"/>
      <c r="BF136" s="130"/>
      <c r="BG136" s="38"/>
      <c r="BH136" s="38"/>
      <c r="BI136" s="38"/>
      <c r="BJ136" s="786"/>
      <c r="BK136" s="130"/>
      <c r="BL136" s="38"/>
      <c r="BM136" s="38"/>
      <c r="BN136" s="38"/>
      <c r="BO136" s="786"/>
      <c r="BP136" s="130"/>
      <c r="BQ136" s="38"/>
      <c r="BR136" s="38"/>
      <c r="BS136" s="38"/>
      <c r="BT136" s="786"/>
      <c r="BU136" s="130"/>
      <c r="BV136" s="38"/>
      <c r="BW136" s="38"/>
      <c r="BX136" s="38"/>
      <c r="BY136" s="31"/>
      <c r="BZ136" s="130"/>
      <c r="CA136" s="38"/>
      <c r="CB136" s="38"/>
      <c r="CC136" s="38"/>
      <c r="CD136" s="38"/>
      <c r="CE136" s="130"/>
      <c r="CF136" s="38"/>
      <c r="CG136" s="38"/>
      <c r="CH136" s="38"/>
      <c r="CI136" s="31"/>
      <c r="CO136" s="130"/>
      <c r="CP136" s="38"/>
      <c r="CQ136" s="38"/>
      <c r="CR136" s="38"/>
      <c r="CS136" s="31"/>
      <c r="CT136" s="130"/>
      <c r="CU136" s="38"/>
      <c r="CV136" s="38"/>
      <c r="CW136" s="38"/>
      <c r="CX136" s="31"/>
      <c r="CY136" s="130"/>
      <c r="CZ136" s="38"/>
      <c r="DA136" s="38"/>
      <c r="DB136" s="38"/>
      <c r="DC136" s="31"/>
      <c r="DD136" s="130"/>
      <c r="DE136" s="38"/>
      <c r="DF136" s="38"/>
      <c r="DG136" s="38"/>
      <c r="DH136" s="31"/>
      <c r="DI136" s="130"/>
      <c r="DJ136" s="38"/>
      <c r="DK136" s="38"/>
      <c r="DL136" s="38"/>
      <c r="DM136" s="31"/>
      <c r="DN136" s="130"/>
      <c r="DO136" s="38"/>
      <c r="DP136" s="38"/>
      <c r="DQ136" s="38"/>
      <c r="DR136" s="31"/>
      <c r="DS136" s="130"/>
      <c r="DT136" s="38"/>
      <c r="DU136" s="38"/>
      <c r="DV136" s="38"/>
      <c r="DW136" s="31"/>
      <c r="DX136" s="130"/>
      <c r="DY136" s="38"/>
      <c r="DZ136" s="38"/>
      <c r="EA136" s="38"/>
      <c r="EB136" s="31"/>
      <c r="EC136" s="130"/>
      <c r="ED136" s="38"/>
      <c r="EE136" s="38"/>
      <c r="EF136" s="38"/>
      <c r="EG136" s="31"/>
      <c r="EH136" s="130"/>
      <c r="EI136" s="38"/>
      <c r="EJ136" s="38"/>
      <c r="EK136" s="38"/>
      <c r="EL136" s="31"/>
      <c r="EM136" s="131"/>
      <c r="EN136" s="132"/>
      <c r="EO136" s="132"/>
      <c r="EP136" s="132"/>
      <c r="EQ136" s="132"/>
      <c r="ER136" s="39"/>
      <c r="ES136" s="131"/>
      <c r="ET136" s="132"/>
      <c r="EU136" s="132"/>
      <c r="EV136" s="132"/>
      <c r="EW136" s="132"/>
    </row>
    <row r="137" spans="1:154" s="8" customFormat="1" ht="14.25" customHeight="1">
      <c r="A137" s="10"/>
      <c r="B137" s="10"/>
      <c r="C137" s="10"/>
      <c r="D137" s="10"/>
      <c r="E137" s="122"/>
      <c r="F137" s="122"/>
      <c r="G137" s="122"/>
      <c r="H137" s="122"/>
      <c r="I137" s="122"/>
      <c r="J137" s="10"/>
      <c r="K137" s="10"/>
      <c r="L137" s="122"/>
      <c r="M137" s="10"/>
      <c r="N137" s="10"/>
      <c r="O137" s="10"/>
      <c r="P137" s="10"/>
      <c r="Q137" s="122"/>
      <c r="R137" s="130"/>
      <c r="S137" s="38"/>
      <c r="T137" s="38"/>
      <c r="U137" s="38"/>
      <c r="V137" s="37"/>
      <c r="W137" s="130"/>
      <c r="X137" s="38"/>
      <c r="Y137" s="38"/>
      <c r="Z137" s="38"/>
      <c r="AA137" s="37"/>
      <c r="AB137" s="130"/>
      <c r="AC137" s="38"/>
      <c r="AD137" s="38"/>
      <c r="AE137" s="38"/>
      <c r="AF137" s="38"/>
      <c r="AG137" s="130"/>
      <c r="AH137" s="38"/>
      <c r="AI137" s="38"/>
      <c r="AJ137" s="38"/>
      <c r="AK137" s="37"/>
      <c r="AL137" s="130"/>
      <c r="AM137" s="38"/>
      <c r="AN137" s="38"/>
      <c r="AO137" s="38"/>
      <c r="AP137" s="38"/>
      <c r="AQ137" s="130"/>
      <c r="AR137" s="38"/>
      <c r="AS137" s="38"/>
      <c r="AT137" s="38"/>
      <c r="AU137" s="38"/>
      <c r="AZ137" s="38"/>
      <c r="BA137" s="130"/>
      <c r="BB137" s="38"/>
      <c r="BC137" s="38"/>
      <c r="BD137" s="38"/>
      <c r="BE137" s="38"/>
      <c r="BF137" s="130"/>
      <c r="BG137" s="38"/>
      <c r="BH137" s="38"/>
      <c r="BI137" s="38"/>
      <c r="BJ137" s="786"/>
      <c r="BK137" s="130"/>
      <c r="BL137" s="38"/>
      <c r="BM137" s="38"/>
      <c r="BN137" s="38"/>
      <c r="BO137" s="786"/>
      <c r="BP137" s="130"/>
      <c r="BQ137" s="38"/>
      <c r="BR137" s="38"/>
      <c r="BS137" s="38"/>
      <c r="BT137" s="786"/>
      <c r="BU137" s="130"/>
      <c r="BV137" s="38"/>
      <c r="BW137" s="38"/>
      <c r="BX137" s="38"/>
      <c r="BY137" s="31"/>
      <c r="BZ137" s="130"/>
      <c r="CA137" s="38"/>
      <c r="CB137" s="38"/>
      <c r="CC137" s="38"/>
      <c r="CD137" s="38"/>
      <c r="CE137" s="130"/>
      <c r="CF137" s="38"/>
      <c r="CG137" s="38"/>
      <c r="CH137" s="38"/>
      <c r="CI137" s="31"/>
      <c r="CO137" s="130"/>
      <c r="CP137" s="38"/>
      <c r="CQ137" s="38"/>
      <c r="CR137" s="38"/>
      <c r="CS137" s="31"/>
      <c r="CT137" s="130"/>
      <c r="CU137" s="38"/>
      <c r="CV137" s="38"/>
      <c r="CW137" s="38"/>
      <c r="CX137" s="31"/>
      <c r="CY137" s="130"/>
      <c r="CZ137" s="38"/>
      <c r="DA137" s="38"/>
      <c r="DB137" s="38"/>
      <c r="DC137" s="31"/>
      <c r="DD137" s="130"/>
      <c r="DE137" s="38"/>
      <c r="DF137" s="38"/>
      <c r="DG137" s="38"/>
      <c r="DH137" s="31"/>
      <c r="DI137" s="130"/>
      <c r="DJ137" s="38"/>
      <c r="DK137" s="38"/>
      <c r="DL137" s="38"/>
      <c r="DM137" s="31"/>
      <c r="DN137" s="130"/>
      <c r="DO137" s="38"/>
      <c r="DP137" s="38"/>
      <c r="DQ137" s="38"/>
      <c r="DR137" s="31"/>
      <c r="DS137" s="130"/>
      <c r="DT137" s="38"/>
      <c r="DU137" s="38"/>
      <c r="DV137" s="38"/>
      <c r="DW137" s="31"/>
      <c r="DX137" s="130"/>
      <c r="DY137" s="38"/>
      <c r="DZ137" s="38"/>
      <c r="EA137" s="38"/>
      <c r="EB137" s="31"/>
      <c r="EC137" s="130"/>
      <c r="ED137" s="38"/>
      <c r="EE137" s="38"/>
      <c r="EF137" s="38"/>
      <c r="EG137" s="31"/>
      <c r="EH137" s="130"/>
      <c r="EI137" s="38"/>
      <c r="EJ137" s="38"/>
      <c r="EK137" s="38"/>
      <c r="EL137" s="31"/>
      <c r="EM137" s="131"/>
      <c r="EN137" s="132"/>
      <c r="EO137" s="132"/>
      <c r="EP137" s="132"/>
      <c r="EQ137" s="132"/>
      <c r="ER137" s="39"/>
      <c r="ES137" s="131"/>
      <c r="ET137" s="132"/>
      <c r="EU137" s="132"/>
      <c r="EV137" s="132"/>
      <c r="EW137" s="132"/>
    </row>
    <row r="138" spans="1:154" s="8" customFormat="1" ht="14.25" customHeight="1">
      <c r="A138" s="10"/>
      <c r="B138" s="10"/>
      <c r="C138" s="10"/>
      <c r="D138" s="10"/>
      <c r="E138" s="122"/>
      <c r="F138" s="122"/>
      <c r="G138" s="122"/>
      <c r="H138" s="122"/>
      <c r="I138" s="122"/>
      <c r="J138" s="10"/>
      <c r="K138" s="10"/>
      <c r="L138" s="122"/>
      <c r="M138" s="10"/>
      <c r="N138" s="10"/>
      <c r="O138" s="10"/>
      <c r="P138" s="10"/>
      <c r="Q138" s="122"/>
      <c r="R138" s="130"/>
      <c r="S138" s="38"/>
      <c r="T138" s="38"/>
      <c r="U138" s="38"/>
      <c r="V138" s="37"/>
      <c r="W138" s="130"/>
      <c r="X138" s="38"/>
      <c r="Y138" s="38"/>
      <c r="Z138" s="38"/>
      <c r="AA138" s="37"/>
      <c r="AB138" s="130"/>
      <c r="AC138" s="38"/>
      <c r="AD138" s="38"/>
      <c r="AE138" s="38"/>
      <c r="AF138" s="38"/>
      <c r="AG138" s="130"/>
      <c r="AH138" s="38"/>
      <c r="AI138" s="38"/>
      <c r="AJ138" s="38"/>
      <c r="AK138" s="37"/>
      <c r="AL138" s="130"/>
      <c r="AM138" s="38"/>
      <c r="AN138" s="38"/>
      <c r="AO138" s="38"/>
      <c r="AP138" s="38"/>
      <c r="AQ138" s="130"/>
      <c r="AR138" s="38"/>
      <c r="AS138" s="38"/>
      <c r="AT138" s="38"/>
      <c r="AU138" s="38"/>
      <c r="AZ138" s="38"/>
      <c r="BA138" s="130"/>
      <c r="BB138" s="38"/>
      <c r="BC138" s="38"/>
      <c r="BD138" s="38"/>
      <c r="BE138" s="38"/>
      <c r="BF138" s="130"/>
      <c r="BG138" s="38"/>
      <c r="BH138" s="38"/>
      <c r="BI138" s="38"/>
      <c r="BJ138" s="786"/>
      <c r="BK138" s="130"/>
      <c r="BL138" s="38"/>
      <c r="BM138" s="38"/>
      <c r="BN138" s="38"/>
      <c r="BO138" s="786"/>
      <c r="BP138" s="130"/>
      <c r="BQ138" s="38"/>
      <c r="BR138" s="38"/>
      <c r="BS138" s="38"/>
      <c r="BT138" s="786"/>
      <c r="BU138" s="130"/>
      <c r="BV138" s="38"/>
      <c r="BW138" s="38"/>
      <c r="BX138" s="38"/>
      <c r="BY138" s="31"/>
      <c r="BZ138" s="130"/>
      <c r="CA138" s="38"/>
      <c r="CB138" s="38"/>
      <c r="CC138" s="38"/>
      <c r="CD138" s="38"/>
      <c r="CE138" s="130"/>
      <c r="CF138" s="38"/>
      <c r="CG138" s="38"/>
      <c r="CH138" s="38"/>
      <c r="CI138" s="31"/>
      <c r="CO138" s="130"/>
      <c r="CP138" s="38"/>
      <c r="CQ138" s="38"/>
      <c r="CR138" s="38"/>
      <c r="CS138" s="31"/>
      <c r="CT138" s="130"/>
      <c r="CU138" s="38"/>
      <c r="CV138" s="38"/>
      <c r="CW138" s="38"/>
      <c r="CX138" s="31"/>
      <c r="CY138" s="130"/>
      <c r="CZ138" s="38"/>
      <c r="DA138" s="38"/>
      <c r="DB138" s="38"/>
      <c r="DC138" s="31"/>
      <c r="DD138" s="130"/>
      <c r="DE138" s="38"/>
      <c r="DF138" s="38"/>
      <c r="DG138" s="38"/>
      <c r="DH138" s="31"/>
      <c r="DI138" s="130"/>
      <c r="DJ138" s="38"/>
      <c r="DK138" s="38"/>
      <c r="DL138" s="38"/>
      <c r="DM138" s="31"/>
      <c r="DN138" s="130"/>
      <c r="DO138" s="38"/>
      <c r="DP138" s="38"/>
      <c r="DQ138" s="38"/>
      <c r="DR138" s="31"/>
      <c r="DS138" s="130"/>
      <c r="DT138" s="38"/>
      <c r="DU138" s="38"/>
      <c r="DV138" s="38"/>
      <c r="DW138" s="31"/>
      <c r="DX138" s="130"/>
      <c r="DY138" s="38"/>
      <c r="DZ138" s="38"/>
      <c r="EA138" s="38"/>
      <c r="EB138" s="31"/>
      <c r="EC138" s="130"/>
      <c r="ED138" s="38"/>
      <c r="EE138" s="38"/>
      <c r="EF138" s="38"/>
      <c r="EG138" s="31"/>
      <c r="EH138" s="130"/>
      <c r="EI138" s="38"/>
      <c r="EJ138" s="38"/>
      <c r="EK138" s="38"/>
      <c r="EL138" s="31"/>
      <c r="EM138" s="131"/>
      <c r="EN138" s="132"/>
      <c r="EO138" s="132"/>
      <c r="EP138" s="132"/>
      <c r="EQ138" s="132"/>
      <c r="ER138" s="39"/>
      <c r="ES138" s="131"/>
      <c r="ET138" s="132"/>
      <c r="EU138" s="132"/>
      <c r="EV138" s="132"/>
      <c r="EW138" s="132"/>
    </row>
    <row r="139" spans="1:154" s="8" customFormat="1" ht="14.25" customHeight="1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ER139" s="890"/>
    </row>
    <row r="140" spans="1:154" s="8" customFormat="1" ht="12.95" customHeight="1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DI140" s="78"/>
      <c r="DJ140" s="78"/>
      <c r="DK140" s="78"/>
      <c r="DL140" s="78"/>
      <c r="DN140" s="78"/>
      <c r="DO140" s="78"/>
      <c r="DP140" s="78"/>
      <c r="DQ140" s="78"/>
      <c r="DS140" s="78"/>
      <c r="DT140" s="78"/>
      <c r="DU140" s="78"/>
      <c r="DV140" s="78"/>
      <c r="DX140" s="78"/>
      <c r="DY140" s="78"/>
      <c r="DZ140" s="78"/>
      <c r="EA140" s="78"/>
      <c r="EC140" s="78"/>
      <c r="ED140" s="78"/>
      <c r="EE140" s="78"/>
      <c r="EF140" s="78"/>
      <c r="EH140" s="78"/>
      <c r="EI140" s="78"/>
      <c r="EJ140" s="78"/>
      <c r="EK140" s="78"/>
      <c r="ER140" s="890"/>
    </row>
    <row r="141" spans="1:154" s="6" customFormat="1" ht="15" customHeight="1">
      <c r="A141" s="90" t="s">
        <v>209</v>
      </c>
      <c r="B141" s="210" t="s">
        <v>209</v>
      </c>
      <c r="C141" s="473" t="s">
        <v>515</v>
      </c>
      <c r="D141" s="138"/>
      <c r="E141" s="40"/>
      <c r="F141" s="40"/>
      <c r="G141" s="889"/>
      <c r="H141" s="889"/>
      <c r="I141" s="85"/>
      <c r="J141" s="20"/>
      <c r="K141" s="20"/>
      <c r="L141" s="85"/>
      <c r="M141" s="20"/>
      <c r="N141" s="20"/>
      <c r="O141" s="20"/>
      <c r="P141" s="20"/>
      <c r="Q141" s="85"/>
      <c r="R141" s="40"/>
      <c r="S141" s="41"/>
      <c r="T141" s="140"/>
      <c r="U141" s="41"/>
      <c r="W141" s="40"/>
      <c r="X141" s="41"/>
      <c r="Y141" s="41"/>
      <c r="Z141" s="41"/>
      <c r="AB141" s="46">
        <v>2</v>
      </c>
      <c r="AC141" s="41">
        <f>AC26*AB141+AC5*AB141+AC6*AB141+AC7*AB141+AC8*AB141+AC9*AB141+AC10*AB141+AC11*AB141+AC12*AB141+AC13*AB141+AC14*AB141+AC15*AB141+AC16*AB141+AC17*AB141+AC18*AB141+AC19*AB141+AC20*AB141+AC21*AB141+AC22*AB141+AC23*AB141+AC24*AB141+AC25*AB141+AD26*AB141+AD5*AB141+AD6*AB141+AD7*AB141+AD8*AB141+AD9*AB141+AD10*AB141+AD11*AB141+AD12*AB141+AD13*AB141+AD14*AB141+AD15*AB141+AD16*AB141+AD17*AB141+AD18*AB141+AD19*AB141+AD20*AB141+AD21*AB141+AD22*AB141+AD23*AB141+AD24*AB141+AD25*AB141+AE26*AB141+AE5*AB141+AE6*AB141+AE7*AB141+AE8*AB141+AE9*AB141+AE10*AB141+AE11*AB141+AE12*AB141+AE13*AB141+AE14*AB141+AE15*AB141+AE16*AB141+AE17*AB141+AE18*AB141+AE19*AB141+AE20*AB141+AE21*AB141+AE22*AB141+AE23*AB141+AE24*AB141+AE25*AB141</f>
        <v>0</v>
      </c>
      <c r="AD141" s="41"/>
      <c r="AE141" s="41"/>
      <c r="AG141" s="40"/>
      <c r="AH141" s="41"/>
      <c r="AI141" s="41"/>
      <c r="AJ141" s="41"/>
      <c r="AL141" s="40"/>
      <c r="AM141" s="41"/>
      <c r="AN141" s="41"/>
      <c r="AO141" s="41"/>
      <c r="AQ141" s="40"/>
      <c r="AR141" s="41"/>
      <c r="AS141" s="41"/>
      <c r="AT141" s="41"/>
      <c r="AV141" s="139"/>
      <c r="AW141" s="139"/>
      <c r="AX141" s="139"/>
      <c r="AY141" s="140"/>
      <c r="BA141" s="139"/>
      <c r="BB141" s="139"/>
      <c r="BC141" s="139"/>
      <c r="BD141" s="41"/>
      <c r="BF141" s="40"/>
      <c r="BG141" s="40"/>
      <c r="BH141" s="40"/>
      <c r="BI141" s="41"/>
      <c r="BK141" s="139"/>
      <c r="BL141" s="139"/>
      <c r="BM141" s="40"/>
      <c r="BN141" s="41"/>
      <c r="BP141" s="40"/>
      <c r="BQ141" s="40"/>
      <c r="BR141" s="40"/>
      <c r="BS141" s="41"/>
      <c r="BU141" s="40"/>
      <c r="BV141" s="40"/>
      <c r="BW141" s="40"/>
      <c r="BX141" s="41"/>
      <c r="BZ141" s="40"/>
      <c r="CA141" s="40"/>
      <c r="CB141" s="40"/>
      <c r="CC141" s="41"/>
      <c r="CD141" s="140"/>
      <c r="CE141" s="40"/>
      <c r="CF141" s="40"/>
      <c r="CG141" s="40"/>
      <c r="CH141" s="41"/>
      <c r="CJ141" s="139"/>
      <c r="CK141" s="139"/>
      <c r="CL141" s="139"/>
      <c r="CM141" s="140"/>
      <c r="CO141" s="222"/>
      <c r="CP141" s="40"/>
      <c r="CQ141" s="40"/>
      <c r="CR141" s="41"/>
      <c r="CT141" s="40"/>
      <c r="CU141" s="40"/>
      <c r="CV141" s="40"/>
      <c r="CW141" s="41"/>
      <c r="CY141" s="40"/>
      <c r="CZ141" s="40"/>
      <c r="DA141" s="40"/>
      <c r="DB141" s="41"/>
      <c r="DD141" s="40"/>
      <c r="DE141" s="40"/>
      <c r="DF141" s="40"/>
      <c r="DG141" s="41"/>
      <c r="DI141" s="64"/>
      <c r="DJ141" s="64"/>
      <c r="DK141" s="64"/>
      <c r="DL141" s="64"/>
      <c r="DN141" s="64"/>
      <c r="DO141" s="64"/>
      <c r="DP141" s="64"/>
      <c r="DQ141" s="64"/>
      <c r="DS141" s="64"/>
      <c r="DT141" s="64"/>
      <c r="DU141" s="64"/>
      <c r="DV141" s="64"/>
      <c r="DX141" s="64"/>
      <c r="DY141" s="64"/>
      <c r="DZ141" s="64"/>
      <c r="EA141" s="64"/>
      <c r="EC141" s="64"/>
      <c r="ED141" s="64"/>
      <c r="EE141" s="64"/>
      <c r="EF141" s="64"/>
      <c r="EH141" s="64"/>
      <c r="EI141" s="64"/>
      <c r="EJ141" s="64"/>
      <c r="EK141" s="64"/>
      <c r="ER141" s="855"/>
      <c r="EX141" s="203">
        <f>IF(EY141=13,0,K141+N141+O141+P141+S141+T141+X141+EN141+AC141+AH141+AM141+AR141+AW141+BB141+BG141+ET141+BL141+BQ141+BV141+CA141+CF141+CK141+CP141+CU141+CZ141+DE141+DJ141+DO141+DT141+DY141+ED141+EI141+EU141+F141+EV141)</f>
        <v>0</v>
      </c>
    </row>
    <row r="142" spans="1:154" s="6" customFormat="1" ht="15" customHeight="1">
      <c r="A142" s="90"/>
      <c r="B142" s="167" t="s">
        <v>1030</v>
      </c>
      <c r="C142" s="400" t="s">
        <v>0</v>
      </c>
      <c r="D142" s="138"/>
      <c r="E142" s="40"/>
      <c r="F142" s="40"/>
      <c r="G142" s="889"/>
      <c r="H142" s="889"/>
      <c r="I142" s="85"/>
      <c r="J142" s="20"/>
      <c r="K142" s="20"/>
      <c r="L142" s="85"/>
      <c r="M142" s="20"/>
      <c r="N142" s="20"/>
      <c r="O142" s="20"/>
      <c r="P142" s="20"/>
      <c r="Q142" s="85"/>
      <c r="R142" s="40"/>
      <c r="S142" s="41"/>
      <c r="T142" s="140"/>
      <c r="U142" s="41"/>
      <c r="W142" s="40"/>
      <c r="X142" s="41"/>
      <c r="Y142" s="41"/>
      <c r="Z142" s="41"/>
      <c r="AB142" s="46"/>
      <c r="AC142" s="41"/>
      <c r="AD142" s="41"/>
      <c r="AE142" s="41"/>
      <c r="AG142" s="40"/>
      <c r="AH142" s="41"/>
      <c r="AI142" s="41"/>
      <c r="AJ142" s="41"/>
      <c r="AL142" s="40"/>
      <c r="AM142" s="41"/>
      <c r="AN142" s="41"/>
      <c r="AO142" s="41"/>
      <c r="AQ142" s="40"/>
      <c r="AR142" s="41"/>
      <c r="AS142" s="41"/>
      <c r="AT142" s="41"/>
      <c r="AV142" s="139"/>
      <c r="AW142" s="139"/>
      <c r="AX142" s="139"/>
      <c r="AY142" s="140"/>
      <c r="BA142" s="139"/>
      <c r="BB142" s="139"/>
      <c r="BC142" s="139"/>
      <c r="BD142" s="41"/>
      <c r="BF142" s="40"/>
      <c r="BG142" s="40"/>
      <c r="BH142" s="40"/>
      <c r="BI142" s="41"/>
      <c r="BK142" s="139"/>
      <c r="BL142" s="139"/>
      <c r="BM142" s="40"/>
      <c r="BN142" s="41"/>
      <c r="BP142" s="40"/>
      <c r="BQ142" s="40"/>
      <c r="BR142" s="40"/>
      <c r="BS142" s="41"/>
      <c r="BU142" s="40"/>
      <c r="BV142" s="40"/>
      <c r="BW142" s="40"/>
      <c r="BX142" s="41"/>
      <c r="BZ142" s="40"/>
      <c r="CA142" s="40"/>
      <c r="CB142" s="40"/>
      <c r="CC142" s="41"/>
      <c r="CD142" s="140"/>
      <c r="CE142" s="40"/>
      <c r="CF142" s="40"/>
      <c r="CG142" s="40"/>
      <c r="CH142" s="41"/>
      <c r="CJ142" s="139"/>
      <c r="CK142" s="139"/>
      <c r="CL142" s="139"/>
      <c r="CM142" s="140"/>
      <c r="CO142" s="222"/>
      <c r="CP142" s="40"/>
      <c r="CQ142" s="40"/>
      <c r="CR142" s="41"/>
      <c r="CT142" s="40"/>
      <c r="CU142" s="40"/>
      <c r="CV142" s="40"/>
      <c r="CW142" s="41"/>
      <c r="CY142" s="40"/>
      <c r="CZ142" s="40"/>
      <c r="DA142" s="40"/>
      <c r="DB142" s="41"/>
      <c r="DD142" s="40"/>
      <c r="DE142" s="40"/>
      <c r="DF142" s="40"/>
      <c r="DG142" s="41"/>
      <c r="DI142" s="64"/>
      <c r="DJ142" s="64"/>
      <c r="DK142" s="64"/>
      <c r="DL142" s="64"/>
      <c r="DN142" s="64"/>
      <c r="DO142" s="64"/>
      <c r="DP142" s="64"/>
      <c r="DQ142" s="64"/>
      <c r="DS142" s="64"/>
      <c r="DT142" s="64"/>
      <c r="DU142" s="64"/>
      <c r="DV142" s="64"/>
      <c r="DX142" s="64"/>
      <c r="DY142" s="64"/>
      <c r="DZ142" s="64"/>
      <c r="EA142" s="64"/>
      <c r="EC142" s="64"/>
      <c r="ED142" s="64"/>
      <c r="EE142" s="64"/>
      <c r="EF142" s="64"/>
      <c r="EH142" s="64"/>
      <c r="EI142" s="64"/>
      <c r="EJ142" s="64"/>
      <c r="EK142" s="64"/>
      <c r="ER142" s="855"/>
      <c r="EX142" s="203">
        <f t="shared" ref="EX142:EX210" si="0">IF(EY142=13,0,K142+N142+O142+P142+S142+T142+X142+EN142+AC142+AH142+AM142+AR142+AW142+BB142+BG142+ET142+BL142+BQ142+BV142+CA142+CF142+CK142+CP142+CU142+CZ142+DE142+DJ142+DO142+DT142+DY142+ED142+EI142+EU142+F142+EV142)</f>
        <v>0</v>
      </c>
    </row>
    <row r="143" spans="1:154" s="6" customFormat="1" ht="15" customHeight="1">
      <c r="A143" s="90"/>
      <c r="B143" s="167" t="s">
        <v>1252</v>
      </c>
      <c r="C143" s="400" t="s">
        <v>0</v>
      </c>
      <c r="D143" s="138"/>
      <c r="E143" s="40"/>
      <c r="F143" s="40"/>
      <c r="G143" s="889"/>
      <c r="H143" s="889"/>
      <c r="I143" s="85"/>
      <c r="J143" s="20">
        <v>4</v>
      </c>
      <c r="K143" s="657">
        <f>SUM(K5:K26)*J143</f>
        <v>0</v>
      </c>
      <c r="L143" s="85"/>
      <c r="M143" s="657"/>
      <c r="N143" s="657">
        <f>SUM(N5:N26,O5:O26,P5:P26)*M143</f>
        <v>0</v>
      </c>
      <c r="O143" s="20"/>
      <c r="P143" s="20"/>
      <c r="Q143" s="85"/>
      <c r="R143" s="40"/>
      <c r="S143" s="41"/>
      <c r="T143" s="140"/>
      <c r="U143" s="41"/>
      <c r="W143" s="40"/>
      <c r="X143" s="41"/>
      <c r="Y143" s="41"/>
      <c r="Z143" s="41"/>
      <c r="AB143" s="46"/>
      <c r="AC143" s="41"/>
      <c r="AD143" s="41"/>
      <c r="AE143" s="41"/>
      <c r="AG143" s="40"/>
      <c r="AH143" s="41"/>
      <c r="AI143" s="41"/>
      <c r="AJ143" s="41"/>
      <c r="AL143" s="40"/>
      <c r="AM143" s="41"/>
      <c r="AN143" s="41"/>
      <c r="AO143" s="41"/>
      <c r="AQ143" s="40"/>
      <c r="AR143" s="41"/>
      <c r="AS143" s="41"/>
      <c r="AT143" s="41"/>
      <c r="AV143" s="139"/>
      <c r="AW143" s="139"/>
      <c r="AX143" s="139"/>
      <c r="AY143" s="140"/>
      <c r="BA143" s="139"/>
      <c r="BB143" s="139"/>
      <c r="BC143" s="139"/>
      <c r="BD143" s="41"/>
      <c r="BF143" s="40"/>
      <c r="BG143" s="40"/>
      <c r="BH143" s="40"/>
      <c r="BI143" s="41"/>
      <c r="BK143" s="139"/>
      <c r="BL143" s="139"/>
      <c r="BM143" s="40"/>
      <c r="BN143" s="41"/>
      <c r="BP143" s="40"/>
      <c r="BQ143" s="40"/>
      <c r="BR143" s="40"/>
      <c r="BS143" s="41"/>
      <c r="BU143" s="40"/>
      <c r="BV143" s="40"/>
      <c r="BW143" s="40"/>
      <c r="BX143" s="41"/>
      <c r="BZ143" s="40"/>
      <c r="CA143" s="40"/>
      <c r="CB143" s="40"/>
      <c r="CC143" s="41"/>
      <c r="CD143" s="140"/>
      <c r="CE143" s="40"/>
      <c r="CF143" s="40"/>
      <c r="CG143" s="40"/>
      <c r="CH143" s="41"/>
      <c r="CJ143" s="139"/>
      <c r="CK143" s="139"/>
      <c r="CL143" s="139"/>
      <c r="CM143" s="140"/>
      <c r="CO143" s="222"/>
      <c r="CP143" s="40"/>
      <c r="CQ143" s="40"/>
      <c r="CR143" s="41"/>
      <c r="CT143" s="40"/>
      <c r="CU143" s="40"/>
      <c r="CV143" s="40"/>
      <c r="CW143" s="41"/>
      <c r="CY143" s="40"/>
      <c r="CZ143" s="40"/>
      <c r="DA143" s="40"/>
      <c r="DB143" s="41"/>
      <c r="DD143" s="40"/>
      <c r="DE143" s="40"/>
      <c r="DF143" s="40"/>
      <c r="DG143" s="41"/>
      <c r="DI143" s="64"/>
      <c r="DJ143" s="64"/>
      <c r="DK143" s="64"/>
      <c r="DL143" s="64"/>
      <c r="DN143" s="64"/>
      <c r="DO143" s="64"/>
      <c r="DP143" s="64"/>
      <c r="DQ143" s="64"/>
      <c r="DS143" s="64"/>
      <c r="DT143" s="64"/>
      <c r="DU143" s="64"/>
      <c r="DV143" s="64"/>
      <c r="DX143" s="64"/>
      <c r="DY143" s="64"/>
      <c r="DZ143" s="64"/>
      <c r="EA143" s="64"/>
      <c r="EC143" s="64"/>
      <c r="ED143" s="64"/>
      <c r="EE143" s="64"/>
      <c r="EF143" s="64"/>
      <c r="EH143" s="64"/>
      <c r="EI143" s="64"/>
      <c r="EJ143" s="64"/>
      <c r="EK143" s="64"/>
      <c r="ER143" s="855"/>
      <c r="EX143" s="203">
        <f t="shared" si="0"/>
        <v>0</v>
      </c>
    </row>
    <row r="144" spans="1:154" s="6" customFormat="1" ht="15" customHeight="1">
      <c r="A144" s="90" t="s">
        <v>55</v>
      </c>
      <c r="B144" s="210" t="s">
        <v>1175</v>
      </c>
      <c r="C144" s="473" t="s">
        <v>515</v>
      </c>
      <c r="D144" s="138"/>
      <c r="E144" s="40"/>
      <c r="F144" s="40"/>
      <c r="G144" s="222"/>
      <c r="H144" s="222"/>
      <c r="I144" s="86"/>
      <c r="J144" s="4"/>
      <c r="K144" s="4"/>
      <c r="L144" s="86"/>
      <c r="M144" s="4"/>
      <c r="N144" s="4"/>
      <c r="O144" s="4"/>
      <c r="P144" s="4"/>
      <c r="Q144" s="86"/>
      <c r="R144" s="40"/>
      <c r="S144" s="41"/>
      <c r="T144" s="140"/>
      <c r="U144" s="41"/>
      <c r="W144" s="40"/>
      <c r="X144" s="41"/>
      <c r="Y144" s="41"/>
      <c r="Z144" s="41"/>
      <c r="AB144" s="40"/>
      <c r="AC144" s="41"/>
      <c r="AD144" s="41"/>
      <c r="AE144" s="41"/>
      <c r="AG144" s="40"/>
      <c r="AH144" s="41"/>
      <c r="AI144" s="41"/>
      <c r="AJ144" s="41"/>
      <c r="AL144" s="40"/>
      <c r="AM144" s="41"/>
      <c r="AN144" s="41"/>
      <c r="AO144" s="41"/>
      <c r="AQ144" s="40"/>
      <c r="AR144" s="41"/>
      <c r="AS144" s="41"/>
      <c r="AT144" s="41"/>
      <c r="AV144" s="139"/>
      <c r="AW144" s="139"/>
      <c r="AX144" s="139"/>
      <c r="AY144" s="140"/>
      <c r="BA144" s="139"/>
      <c r="BB144" s="139"/>
      <c r="BC144" s="139"/>
      <c r="BD144" s="41"/>
      <c r="BF144" s="40"/>
      <c r="BG144" s="40"/>
      <c r="BH144" s="40"/>
      <c r="BI144" s="41"/>
      <c r="BK144" s="139"/>
      <c r="BL144" s="139"/>
      <c r="BM144" s="40"/>
      <c r="BN144" s="41"/>
      <c r="BP144" s="40"/>
      <c r="BQ144" s="40"/>
      <c r="BR144" s="40"/>
      <c r="BS144" s="41"/>
      <c r="BU144" s="40"/>
      <c r="BV144" s="40"/>
      <c r="BW144" s="40"/>
      <c r="BX144" s="41"/>
      <c r="BZ144" s="40"/>
      <c r="CA144" s="40"/>
      <c r="CB144" s="40"/>
      <c r="CC144" s="41"/>
      <c r="CD144" s="140"/>
      <c r="CE144" s="40"/>
      <c r="CF144" s="40"/>
      <c r="CG144" s="40"/>
      <c r="CH144" s="41"/>
      <c r="CJ144" s="139"/>
      <c r="CK144" s="139"/>
      <c r="CL144" s="139"/>
      <c r="CM144" s="140"/>
      <c r="CO144" s="222"/>
      <c r="CP144" s="40"/>
      <c r="CQ144" s="40"/>
      <c r="CR144" s="41"/>
      <c r="CT144" s="40"/>
      <c r="CU144" s="40"/>
      <c r="CV144" s="40"/>
      <c r="CW144" s="41"/>
      <c r="CY144" s="40"/>
      <c r="CZ144" s="40"/>
      <c r="DA144" s="40"/>
      <c r="DB144" s="41"/>
      <c r="DD144" s="40"/>
      <c r="DE144" s="40"/>
      <c r="DF144" s="40"/>
      <c r="DG144" s="41"/>
      <c r="DI144" s="64"/>
      <c r="DJ144" s="64"/>
      <c r="DK144" s="64"/>
      <c r="DL144" s="64"/>
      <c r="DN144" s="64"/>
      <c r="DO144" s="64"/>
      <c r="DP144" s="64"/>
      <c r="DQ144" s="64"/>
      <c r="DS144" s="64"/>
      <c r="DT144" s="64"/>
      <c r="DU144" s="64"/>
      <c r="DV144" s="64"/>
      <c r="DX144" s="64"/>
      <c r="DY144" s="64"/>
      <c r="DZ144" s="64"/>
      <c r="EA144" s="64"/>
      <c r="EC144" s="64"/>
      <c r="ED144" s="64"/>
      <c r="EE144" s="64"/>
      <c r="EF144" s="64"/>
      <c r="EH144" s="64"/>
      <c r="EI144" s="64"/>
      <c r="EJ144" s="64"/>
      <c r="EK144" s="64"/>
      <c r="EN144" s="6">
        <f>SUM(EP5:EQ5)*4</f>
        <v>0</v>
      </c>
      <c r="ER144" s="855"/>
      <c r="EX144" s="203">
        <f t="shared" si="0"/>
        <v>0</v>
      </c>
    </row>
    <row r="145" spans="1:155" s="6" customFormat="1" ht="15" customHeight="1">
      <c r="A145" s="90" t="s">
        <v>56</v>
      </c>
      <c r="B145" s="210" t="s">
        <v>1176</v>
      </c>
      <c r="C145" s="473" t="s">
        <v>515</v>
      </c>
      <c r="D145" s="138"/>
      <c r="E145" s="40"/>
      <c r="F145" s="40"/>
      <c r="G145" s="40"/>
      <c r="H145" s="40"/>
      <c r="I145" s="4"/>
      <c r="J145" s="4"/>
      <c r="K145" s="4"/>
      <c r="L145" s="4"/>
      <c r="M145" s="4"/>
      <c r="N145" s="4"/>
      <c r="O145" s="4"/>
      <c r="P145" s="4"/>
      <c r="Q145" s="4"/>
      <c r="R145" s="40"/>
      <c r="S145" s="41"/>
      <c r="T145" s="140"/>
      <c r="U145" s="41"/>
      <c r="W145" s="40"/>
      <c r="X145" s="41"/>
      <c r="Y145" s="41"/>
      <c r="Z145" s="41"/>
      <c r="AB145" s="40"/>
      <c r="AC145" s="41"/>
      <c r="AD145" s="41"/>
      <c r="AE145" s="41"/>
      <c r="AG145" s="40"/>
      <c r="AH145" s="41"/>
      <c r="AI145" s="41"/>
      <c r="AJ145" s="41"/>
      <c r="AL145" s="40"/>
      <c r="AM145" s="41"/>
      <c r="AN145" s="41"/>
      <c r="AO145" s="41"/>
      <c r="AQ145" s="40"/>
      <c r="AR145" s="41"/>
      <c r="AS145" s="41"/>
      <c r="AT145" s="41"/>
      <c r="AV145" s="139"/>
      <c r="AW145" s="139"/>
      <c r="AX145" s="139"/>
      <c r="AY145" s="140"/>
      <c r="BA145" s="139"/>
      <c r="BB145" s="139"/>
      <c r="BC145" s="139"/>
      <c r="BD145" s="41"/>
      <c r="BF145" s="40"/>
      <c r="BG145" s="40"/>
      <c r="BH145" s="40"/>
      <c r="BI145" s="41"/>
      <c r="BK145" s="139"/>
      <c r="BL145" s="139"/>
      <c r="BM145" s="40"/>
      <c r="BN145" s="41"/>
      <c r="BP145" s="40"/>
      <c r="BQ145" s="40"/>
      <c r="BR145" s="40"/>
      <c r="BS145" s="41"/>
      <c r="BU145" s="40"/>
      <c r="BV145" s="40"/>
      <c r="BW145" s="40"/>
      <c r="BX145" s="41"/>
      <c r="BZ145" s="40"/>
      <c r="CA145" s="40"/>
      <c r="CB145" s="40"/>
      <c r="CC145" s="41"/>
      <c r="CD145" s="140"/>
      <c r="CE145" s="40"/>
      <c r="CF145" s="40"/>
      <c r="CG145" s="40"/>
      <c r="CH145" s="41"/>
      <c r="CJ145" s="139"/>
      <c r="CK145" s="139"/>
      <c r="CL145" s="139"/>
      <c r="CM145" s="140"/>
      <c r="CO145" s="222"/>
      <c r="CP145" s="40"/>
      <c r="CQ145" s="40"/>
      <c r="CR145" s="41"/>
      <c r="CT145" s="40"/>
      <c r="CU145" s="40"/>
      <c r="CV145" s="40"/>
      <c r="CW145" s="41"/>
      <c r="CY145" s="40"/>
      <c r="CZ145" s="40"/>
      <c r="DA145" s="40"/>
      <c r="DB145" s="41"/>
      <c r="DD145" s="40"/>
      <c r="DE145" s="40"/>
      <c r="DF145" s="40"/>
      <c r="DG145" s="41"/>
      <c r="DI145" s="64"/>
      <c r="DJ145" s="64"/>
      <c r="DK145" s="64"/>
      <c r="DL145" s="64"/>
      <c r="DN145" s="64"/>
      <c r="DO145" s="64"/>
      <c r="DP145" s="64"/>
      <c r="DQ145" s="64"/>
      <c r="DS145" s="64"/>
      <c r="DT145" s="64"/>
      <c r="DU145" s="64"/>
      <c r="DV145" s="64"/>
      <c r="DX145" s="64"/>
      <c r="DY145" s="64"/>
      <c r="DZ145" s="64"/>
      <c r="EA145" s="64"/>
      <c r="EC145" s="64"/>
      <c r="ED145" s="64"/>
      <c r="EE145" s="64"/>
      <c r="EF145" s="64"/>
      <c r="EH145" s="64"/>
      <c r="EI145" s="64"/>
      <c r="EJ145" s="64"/>
      <c r="EK145" s="64"/>
      <c r="EN145" s="6">
        <f>SUM(EP$6:EQ$6)+SUM(EN5:EO5)*4</f>
        <v>0</v>
      </c>
      <c r="ER145" s="855"/>
      <c r="EX145" s="203">
        <f t="shared" si="0"/>
        <v>0</v>
      </c>
    </row>
    <row r="146" spans="1:155" s="6" customFormat="1" ht="15" customHeight="1">
      <c r="A146" s="90" t="s">
        <v>57</v>
      </c>
      <c r="B146" s="210" t="s">
        <v>1177</v>
      </c>
      <c r="C146" s="473" t="s">
        <v>515</v>
      </c>
      <c r="D146" s="138"/>
      <c r="E146" s="40"/>
      <c r="F146" s="40"/>
      <c r="G146" s="40"/>
      <c r="H146" s="40"/>
      <c r="I146" s="4"/>
      <c r="J146" s="4"/>
      <c r="K146" s="4"/>
      <c r="L146" s="4"/>
      <c r="M146" s="4"/>
      <c r="N146" s="4"/>
      <c r="O146" s="4"/>
      <c r="P146" s="4"/>
      <c r="Q146" s="4"/>
      <c r="R146" s="40"/>
      <c r="S146" s="41"/>
      <c r="T146" s="140"/>
      <c r="U146" s="41"/>
      <c r="W146" s="40"/>
      <c r="X146" s="41"/>
      <c r="Y146" s="41"/>
      <c r="Z146" s="41"/>
      <c r="AB146" s="40"/>
      <c r="AC146" s="41"/>
      <c r="AD146" s="41"/>
      <c r="AE146" s="41"/>
      <c r="AG146" s="40"/>
      <c r="AH146" s="41"/>
      <c r="AI146" s="41"/>
      <c r="AJ146" s="41"/>
      <c r="AL146" s="40"/>
      <c r="AM146" s="41"/>
      <c r="AN146" s="41"/>
      <c r="AO146" s="41"/>
      <c r="AQ146" s="40"/>
      <c r="AR146" s="41"/>
      <c r="AS146" s="41"/>
      <c r="AT146" s="41"/>
      <c r="AV146" s="139"/>
      <c r="AW146" s="139"/>
      <c r="AX146" s="139"/>
      <c r="AY146" s="140"/>
      <c r="BA146" s="139"/>
      <c r="BB146" s="139"/>
      <c r="BC146" s="139"/>
      <c r="BD146" s="41"/>
      <c r="BF146" s="40"/>
      <c r="BG146" s="40"/>
      <c r="BH146" s="40"/>
      <c r="BI146" s="41"/>
      <c r="BK146" s="139"/>
      <c r="BL146" s="139"/>
      <c r="BM146" s="40"/>
      <c r="BN146" s="41"/>
      <c r="BP146" s="40"/>
      <c r="BQ146" s="40"/>
      <c r="BR146" s="40"/>
      <c r="BS146" s="41"/>
      <c r="BU146" s="40"/>
      <c r="BV146" s="40"/>
      <c r="BW146" s="40"/>
      <c r="BX146" s="41"/>
      <c r="BZ146" s="40"/>
      <c r="CA146" s="40"/>
      <c r="CB146" s="40"/>
      <c r="CC146" s="41"/>
      <c r="CD146" s="140"/>
      <c r="CE146" s="40"/>
      <c r="CF146" s="40"/>
      <c r="CG146" s="40"/>
      <c r="CH146" s="41"/>
      <c r="CJ146" s="139"/>
      <c r="CK146" s="139"/>
      <c r="CL146" s="139"/>
      <c r="CM146" s="140"/>
      <c r="CO146" s="222"/>
      <c r="CP146" s="40"/>
      <c r="CQ146" s="40"/>
      <c r="CR146" s="41"/>
      <c r="CT146" s="40"/>
      <c r="CU146" s="40"/>
      <c r="CV146" s="40"/>
      <c r="CW146" s="41"/>
      <c r="CY146" s="40"/>
      <c r="CZ146" s="40"/>
      <c r="DA146" s="40"/>
      <c r="DB146" s="41"/>
      <c r="DD146" s="40"/>
      <c r="DE146" s="40"/>
      <c r="DF146" s="40"/>
      <c r="DG146" s="41"/>
      <c r="DI146" s="64"/>
      <c r="DJ146" s="64"/>
      <c r="DK146" s="64"/>
      <c r="DL146" s="64"/>
      <c r="DN146" s="64"/>
      <c r="DO146" s="64"/>
      <c r="DP146" s="64"/>
      <c r="DQ146" s="64"/>
      <c r="DS146" s="64"/>
      <c r="DT146" s="64"/>
      <c r="DU146" s="64"/>
      <c r="DV146" s="64"/>
      <c r="DX146" s="64"/>
      <c r="DY146" s="64"/>
      <c r="DZ146" s="64"/>
      <c r="EA146" s="64"/>
      <c r="EC146" s="64"/>
      <c r="ED146" s="64"/>
      <c r="EE146" s="64"/>
      <c r="EF146" s="64"/>
      <c r="EH146" s="64"/>
      <c r="EI146" s="64"/>
      <c r="EJ146" s="64"/>
      <c r="EK146" s="64"/>
      <c r="EN146" s="6">
        <f>SUM(EN$6:EO$6,EU6,EW6)*4</f>
        <v>0</v>
      </c>
      <c r="ER146" s="855"/>
      <c r="EX146" s="203">
        <f t="shared" si="0"/>
        <v>0</v>
      </c>
    </row>
    <row r="147" spans="1:155" s="6" customFormat="1" ht="15" customHeight="1">
      <c r="A147" s="90" t="s">
        <v>189</v>
      </c>
      <c r="B147" s="210" t="s">
        <v>1171</v>
      </c>
      <c r="C147" s="473" t="s">
        <v>515</v>
      </c>
      <c r="D147" s="929"/>
      <c r="E147" s="62"/>
      <c r="F147" s="41">
        <f>SUM(F5:F26)*E147</f>
        <v>0</v>
      </c>
      <c r="G147" s="41"/>
      <c r="H147" s="41"/>
      <c r="I147" s="4"/>
      <c r="J147" s="4"/>
      <c r="K147" s="4"/>
      <c r="L147" s="4"/>
      <c r="M147" s="658">
        <v>6</v>
      </c>
      <c r="N147" s="658">
        <f>SUM(N5:N26)*M147</f>
        <v>0</v>
      </c>
      <c r="O147" s="4"/>
      <c r="P147" s="4"/>
      <c r="Q147" s="4"/>
      <c r="R147" s="40"/>
      <c r="S147" s="41"/>
      <c r="T147" s="140"/>
      <c r="U147" s="41"/>
      <c r="W147" s="40"/>
      <c r="X147" s="41"/>
      <c r="Y147" s="41"/>
      <c r="Z147" s="41"/>
      <c r="AB147" s="40"/>
      <c r="AC147" s="41"/>
      <c r="AD147" s="41"/>
      <c r="AE147" s="41"/>
      <c r="AG147" s="46">
        <v>3</v>
      </c>
      <c r="AH147" s="41">
        <f>AH5*AG147+AH6*AG147+AH7*AG147+AH8*AG147+AH9*AG147+AH10*AG147+AH11*AG147+AH12*AG147+AH13*AG147+AH14*AG147+AH15*AG147+AH16*AG147+AH17*AG147+AH18*AG147+AH19*AG147+AH20*AG147+AH21*AG147+AH22*AG147+AH23*AG147+AH24*AG147+AH25*AG147+AH26*AG147</f>
        <v>0</v>
      </c>
      <c r="AI147" s="41"/>
      <c r="AJ147" s="41"/>
      <c r="AL147" s="46">
        <v>6</v>
      </c>
      <c r="AM147" s="41">
        <f>AM5*AL147+AM6*AL147+AM7*AL147+AM8*AL147+AM9*AL147+AM10*AL147+AM11*AL147+AM12*AL147+AM13*AL147+AM14*AL147+AM15*AL147+AM16*AL147+AM17*AL147+AM18*AL147+AM19*AL147+AM20*AL147+AM21*AL147+AM22*AL147+AM23*AL147+AM24*AL147+AM25*AL147+AM26*AL147</f>
        <v>0</v>
      </c>
      <c r="AN147" s="41"/>
      <c r="AO147" s="41"/>
      <c r="AQ147" s="46">
        <v>6</v>
      </c>
      <c r="AR147" s="41">
        <f>AR5*AQ147+AR6*AQ147+AR7*AQ147+AR8*AQ147+AR9*AQ147+AR10*AQ147+AR11*AQ147+AR12*AQ147+AR13*AQ147+AR14*AQ147+AR15*AQ147+AR16*AQ147+AR17*AQ147+AR18*AQ147+AR19*AQ147+AR20*AQ147+AR21*AQ147+AR22*AQ147+AR23*AQ147+AR24*AQ147+AR25*AQ147+AR26*AQ147</f>
        <v>0</v>
      </c>
      <c r="AS147" s="41"/>
      <c r="AT147" s="41"/>
      <c r="AV147" s="139"/>
      <c r="AW147" s="139"/>
      <c r="AX147" s="139"/>
      <c r="AY147" s="140"/>
      <c r="BA147" s="139"/>
      <c r="BB147" s="139"/>
      <c r="BC147" s="139"/>
      <c r="BD147" s="41"/>
      <c r="BF147" s="60">
        <v>3</v>
      </c>
      <c r="BG147" s="41">
        <f>SUM(BG5:BG26)*BF147</f>
        <v>0</v>
      </c>
      <c r="BH147" s="40"/>
      <c r="BI147" s="41"/>
      <c r="BK147" s="142">
        <v>3</v>
      </c>
      <c r="BL147" s="41">
        <f>SUM(BL5:BL26)*BK147</f>
        <v>0</v>
      </c>
      <c r="BM147" s="40"/>
      <c r="BN147" s="41"/>
      <c r="BP147" s="62">
        <v>3</v>
      </c>
      <c r="BQ147" s="41">
        <f>SUM(BQ5:BQ26)*BP147</f>
        <v>0</v>
      </c>
      <c r="BR147" s="40"/>
      <c r="BS147" s="41"/>
      <c r="BU147" s="62">
        <v>3</v>
      </c>
      <c r="BV147" s="41">
        <f>SUM(BV5:BV26)*BU147</f>
        <v>0</v>
      </c>
      <c r="BW147" s="40"/>
      <c r="BX147" s="41"/>
      <c r="BZ147" s="61">
        <v>6</v>
      </c>
      <c r="CA147" s="41">
        <f>SUM(CA5:CA26)*BZ147</f>
        <v>0</v>
      </c>
      <c r="CB147" s="40"/>
      <c r="CC147" s="41"/>
      <c r="CD147" s="140"/>
      <c r="CE147" s="61">
        <v>6</v>
      </c>
      <c r="CF147" s="41">
        <f>SUM(CF5:CF26)*CE147</f>
        <v>0</v>
      </c>
      <c r="CG147" s="40"/>
      <c r="CH147" s="41"/>
      <c r="CJ147" s="141">
        <v>3</v>
      </c>
      <c r="CK147" s="140">
        <f>CK5*CJ147+CK6*CJ147+CK7*CJ147+CK8*CJ147+CK9*CJ147+CK10*CJ147+CK11*CJ147+CK12*CJ147+CK13*CJ147+CK14*CJ147+CK15*CJ147+CK16*CJ147+CK17*CJ147+CK18*CJ147+CK19*CJ147+CK20*CJ147+CK21*CJ147+CK22*CJ147+CK23*CJ147+CK24*CJ147+CK25*CJ147+CK26*CJ147</f>
        <v>0</v>
      </c>
      <c r="CL147" s="139"/>
      <c r="CM147" s="140"/>
      <c r="CO147" s="223">
        <v>6</v>
      </c>
      <c r="CP147" s="41">
        <f>CP5*CO147+CP6*CO147+CP7*CO147+CP8*CO147+CP9*CO147+CP10*CO147+CP11*CO147+CP12*CO147+CP13*CO147+CP14*CO147+CP15*CO147+CP16*CO147+CP17*CO147+CP18*CO147+CP19*CO147+CP20*CO147+CP21*CO147+CP22*CO147+CP23*CO147+CP24*CO147+CP25*CO147+CP26*CO147</f>
        <v>0</v>
      </c>
      <c r="CQ147" s="40"/>
      <c r="CR147" s="41"/>
      <c r="CT147" s="62">
        <v>6</v>
      </c>
      <c r="CU147" s="41">
        <f>SUM(CU5:CU26)*CT147</f>
        <v>0</v>
      </c>
      <c r="CV147" s="40"/>
      <c r="CW147" s="41"/>
      <c r="CY147" s="62">
        <v>6</v>
      </c>
      <c r="CZ147" s="41">
        <f>SUM(CZ5:CZ26)*CY147</f>
        <v>0</v>
      </c>
      <c r="DA147" s="40"/>
      <c r="DB147" s="41"/>
      <c r="DD147" s="46">
        <v>6</v>
      </c>
      <c r="DE147" s="41">
        <f>SUM(DE5:DE26)*DD147</f>
        <v>0</v>
      </c>
      <c r="DF147" s="40"/>
      <c r="DG147" s="41"/>
      <c r="DI147" s="60">
        <v>3</v>
      </c>
      <c r="DJ147" s="41">
        <f>SUM(DJ5:DJ26)*DI147</f>
        <v>0</v>
      </c>
      <c r="DK147" s="64"/>
      <c r="DL147" s="64"/>
      <c r="DN147" s="60"/>
      <c r="DO147" s="41">
        <f>SUM(DO5:DO26)*DN147</f>
        <v>0</v>
      </c>
      <c r="DP147" s="64"/>
      <c r="DQ147" s="64"/>
      <c r="DS147" s="60">
        <v>3</v>
      </c>
      <c r="DT147" s="41">
        <f>SUM(DT5:DT26)*DS147</f>
        <v>0</v>
      </c>
      <c r="DU147" s="64"/>
      <c r="DV147" s="64"/>
      <c r="DX147" s="60">
        <v>3</v>
      </c>
      <c r="DY147" s="41">
        <f>SUM(DY5:DY26)*DX147</f>
        <v>0</v>
      </c>
      <c r="DZ147" s="64"/>
      <c r="EA147" s="64"/>
      <c r="EC147" s="60">
        <v>3</v>
      </c>
      <c r="ED147" s="41">
        <f>SUM(ED5:ED26)*EC147</f>
        <v>0</v>
      </c>
      <c r="EE147" s="64"/>
      <c r="EF147" s="64"/>
      <c r="EH147" s="60">
        <v>3</v>
      </c>
      <c r="EI147" s="41">
        <f>SUM(EI5:EI26)*EH147</f>
        <v>0</v>
      </c>
      <c r="EJ147" s="64"/>
      <c r="EK147" s="64"/>
      <c r="EN147" s="6">
        <f>SUM(ET6+EV6)*4</f>
        <v>0</v>
      </c>
      <c r="ER147" s="855"/>
      <c r="EX147" s="203">
        <f t="shared" si="0"/>
        <v>0</v>
      </c>
    </row>
    <row r="148" spans="1:155" s="44" customFormat="1" ht="15" customHeight="1">
      <c r="A148" s="143" t="s">
        <v>190</v>
      </c>
      <c r="B148" s="210" t="s">
        <v>1172</v>
      </c>
      <c r="C148" s="473" t="s">
        <v>515</v>
      </c>
      <c r="D148" s="930"/>
      <c r="E148" s="62"/>
      <c r="F148" s="41">
        <f>SUM(G5:G26)*E148</f>
        <v>0</v>
      </c>
      <c r="G148" s="41"/>
      <c r="H148" s="41"/>
      <c r="I148" s="42"/>
      <c r="J148" s="4"/>
      <c r="K148" s="4"/>
      <c r="L148" s="42"/>
      <c r="M148" s="658">
        <v>6</v>
      </c>
      <c r="N148" s="658">
        <f>SUM(O5:O26)*M148</f>
        <v>0</v>
      </c>
      <c r="O148" s="4"/>
      <c r="P148" s="4"/>
      <c r="Q148" s="42"/>
      <c r="R148" s="43"/>
      <c r="S148" s="43"/>
      <c r="U148" s="43"/>
      <c r="W148" s="43"/>
      <c r="X148" s="43"/>
      <c r="Y148" s="43"/>
      <c r="Z148" s="43"/>
      <c r="AB148" s="43"/>
      <c r="AC148" s="43"/>
      <c r="AD148" s="43"/>
      <c r="AE148" s="43"/>
      <c r="AG148" s="46">
        <v>3</v>
      </c>
      <c r="AH148" s="41">
        <f>AI5*AG148+AI6*AG148+AI7*AG148+AI8*AG148+AI9*AG148+AI10*AG148+AI11*AG148+AI12*AG148+AI13*AG148+AI14*AG148+AI15*AG148+AI16*AG148+AI17*AG148+AI18*AG148+AI19*AG148+AI20*AG148+AI21*AG148+AI22*AG148+AI23*AG148+AI24*AG148+AI25*AG148+AI26*AG148</f>
        <v>0</v>
      </c>
      <c r="AI148" s="43"/>
      <c r="AJ148" s="43"/>
      <c r="AL148" s="46">
        <v>6</v>
      </c>
      <c r="AM148" s="41">
        <f>AN5*AL148+AN6*AL148+AN7*AL148+AN8*AL148+AN9*AL148+AN10*AL148+AN11*AL148+AN12*AL148+AN13*AL148+AN14*AL148+AN15*AL148+AN16*AL148+AN17*AL148+AN18*AL148+AN19*AL148+AN20*AL148+AN21*AL148+AN22*AL148+AN23*AL148+AN24*AL148+AN25*AL148+AN26*AL148</f>
        <v>0</v>
      </c>
      <c r="AN148" s="43"/>
      <c r="AO148" s="43"/>
      <c r="AP148" s="6"/>
      <c r="AQ148" s="46">
        <v>6</v>
      </c>
      <c r="AR148" s="41">
        <f>AS5*AQ148+AS6*AQ148+AS7*AQ148+AS8*AQ148+AS9*AQ148+AS10*AQ148+AS11*AQ148+AS12*AQ148+AS13*AQ148+AS14*AQ148+AS15*AQ148+AS16*AQ148+AS17*AQ148+AS18*AQ148+AS19*AQ148+AS20*AQ148+AS21*AQ148+AS22*AQ148+AS23*AQ148+AS24*AQ148+AS25*AQ148+AS26*AQ148</f>
        <v>0</v>
      </c>
      <c r="AS148" s="43"/>
      <c r="AT148" s="43"/>
      <c r="AU148" s="6"/>
      <c r="AZ148" s="6"/>
      <c r="BD148" s="43"/>
      <c r="BF148" s="60">
        <v>3</v>
      </c>
      <c r="BG148" s="41">
        <f>SUM(BH5:BH26)*BF148</f>
        <v>0</v>
      </c>
      <c r="BH148" s="43"/>
      <c r="BI148" s="43"/>
      <c r="BK148" s="142">
        <v>3</v>
      </c>
      <c r="BL148" s="41">
        <f>SUM(BM5:BM26)*BK148</f>
        <v>0</v>
      </c>
      <c r="BM148" s="43"/>
      <c r="BN148" s="43"/>
      <c r="BP148" s="62">
        <v>3</v>
      </c>
      <c r="BQ148" s="41">
        <f>SUM(BR5:BR26)*BP148</f>
        <v>0</v>
      </c>
      <c r="BR148" s="43"/>
      <c r="BS148" s="43"/>
      <c r="BU148" s="62">
        <v>3</v>
      </c>
      <c r="BV148" s="41">
        <f>SUM(BW5:BW26)*BU148</f>
        <v>0</v>
      </c>
      <c r="BW148" s="43"/>
      <c r="BX148" s="43"/>
      <c r="BZ148" s="61">
        <v>6</v>
      </c>
      <c r="CA148" s="41">
        <f>SUM(CB5:CB26)*BZ148</f>
        <v>0</v>
      </c>
      <c r="CB148" s="43"/>
      <c r="CC148" s="43"/>
      <c r="CE148" s="61">
        <v>6</v>
      </c>
      <c r="CF148" s="41">
        <f>SUM(CG5:CG26)*CE148</f>
        <v>0</v>
      </c>
      <c r="CG148" s="43"/>
      <c r="CH148" s="43"/>
      <c r="CJ148" s="141">
        <v>3</v>
      </c>
      <c r="CK148" s="140">
        <f>CL5*CJ148+CL6*CJ148+CL7*CJ148+CL8*CJ148+CL9*CJ148+CL10*CJ148+CL11*CJ148+CL12*CJ148+CL13*CJ148+CL14*CJ148+CL15*CJ148+CL16*CJ148+CL17*CJ148+CL18*CJ148+CL19*CJ148+CL20*CJ148+CL21*CJ148+CL22*CJ148+CL23*CJ148+CL24*CJ148+CL25*CJ148+CL26*CJ148</f>
        <v>0</v>
      </c>
      <c r="CN148" s="6"/>
      <c r="CO148" s="223">
        <v>6</v>
      </c>
      <c r="CP148" s="41">
        <f>CQ5*CO148+CQ6*CO148+CQ7*CO148+CQ8*CO148+CQ9*CO148+CQ10*CO148+CQ11*CO148+CQ12*CO148+CQ13*CO148+CQ14*CO148+CQ15*CO148+CQ16*CO148+CQ17*CO148+CQ18*CO148+CQ19*CO148+CQ20*CO148+CQ21*CO148+CQ22*CO148+CQ23*CO148+CQ24*CO148+CQ25*CO148+CQ26*CO148</f>
        <v>0</v>
      </c>
      <c r="CQ148" s="43"/>
      <c r="CR148" s="43"/>
      <c r="CT148" s="62">
        <v>6</v>
      </c>
      <c r="CU148" s="41">
        <f>SUM(CV5:CV26)*CT148</f>
        <v>0</v>
      </c>
      <c r="CV148" s="43"/>
      <c r="CW148" s="43"/>
      <c r="CY148" s="62">
        <v>6</v>
      </c>
      <c r="CZ148" s="41">
        <f>SUM(DA5:DA26)*CY148</f>
        <v>0</v>
      </c>
      <c r="DA148" s="43"/>
      <c r="DB148" s="43"/>
      <c r="DD148" s="46">
        <v>6</v>
      </c>
      <c r="DE148" s="41">
        <f>SUM(DF5:DF26)*DD148</f>
        <v>0</v>
      </c>
      <c r="DF148" s="43"/>
      <c r="DG148" s="43"/>
      <c r="DI148" s="60">
        <v>3</v>
      </c>
      <c r="DJ148" s="41">
        <f>SUM(DK5:DK26)*DI148</f>
        <v>0</v>
      </c>
      <c r="DK148" s="64"/>
      <c r="DL148" s="64"/>
      <c r="DN148" s="60"/>
      <c r="DO148" s="41">
        <f>SUM(DP5:DP26)*DN148</f>
        <v>0</v>
      </c>
      <c r="DP148" s="64"/>
      <c r="DQ148" s="64"/>
      <c r="DS148" s="60">
        <v>3</v>
      </c>
      <c r="DT148" s="41">
        <f>SUM(DU5:DU26)*DS148</f>
        <v>0</v>
      </c>
      <c r="DU148" s="64"/>
      <c r="DV148" s="64"/>
      <c r="DX148" s="60">
        <v>3</v>
      </c>
      <c r="DY148" s="41">
        <f>SUM(DZ5:DZ26)*DX148</f>
        <v>0</v>
      </c>
      <c r="DZ148" s="64"/>
      <c r="EA148" s="64"/>
      <c r="EC148" s="60">
        <v>3</v>
      </c>
      <c r="ED148" s="41">
        <f>SUM(EE5:EE26)*EC148</f>
        <v>0</v>
      </c>
      <c r="EE148" s="64"/>
      <c r="EF148" s="64"/>
      <c r="EH148" s="60">
        <v>3</v>
      </c>
      <c r="EI148" s="41">
        <f>SUM(EJ5:EJ26)*EH148</f>
        <v>0</v>
      </c>
      <c r="EJ148" s="64"/>
      <c r="EK148" s="64"/>
      <c r="ER148" s="856"/>
      <c r="EX148" s="203">
        <f t="shared" si="0"/>
        <v>0</v>
      </c>
      <c r="EY148" s="6"/>
    </row>
    <row r="149" spans="1:155" s="44" customFormat="1" ht="15" customHeight="1">
      <c r="A149" s="143" t="s">
        <v>191</v>
      </c>
      <c r="B149" s="210" t="s">
        <v>1173</v>
      </c>
      <c r="C149" s="473" t="s">
        <v>515</v>
      </c>
      <c r="D149" s="930"/>
      <c r="E149" s="62"/>
      <c r="F149" s="41">
        <f>SUM(H5:H26)*E149</f>
        <v>0</v>
      </c>
      <c r="G149" s="41"/>
      <c r="H149" s="41"/>
      <c r="I149" s="42"/>
      <c r="J149" s="4"/>
      <c r="K149" s="4"/>
      <c r="L149" s="42"/>
      <c r="M149" s="658">
        <v>6</v>
      </c>
      <c r="N149" s="658">
        <f>SUM(P5:P26)*M149</f>
        <v>0</v>
      </c>
      <c r="O149" s="4"/>
      <c r="P149" s="4"/>
      <c r="Q149" s="42"/>
      <c r="R149" s="43"/>
      <c r="S149" s="43"/>
      <c r="U149" s="43"/>
      <c r="W149" s="43"/>
      <c r="X149" s="43"/>
      <c r="Y149" s="43"/>
      <c r="Z149" s="43"/>
      <c r="AB149" s="43"/>
      <c r="AC149" s="43"/>
      <c r="AD149" s="43"/>
      <c r="AE149" s="43"/>
      <c r="AG149" s="46">
        <v>3</v>
      </c>
      <c r="AH149" s="41">
        <f>AJ6*AG149+AJ7*AG149+AJ8*AG149+AJ9*AG149+AJ10*AG149+AJ11*AG149+AJ12*AG149+AJ13*AG149+AJ14*AG149+AJ15*AG149+AJ16*AG149+AJ17*AG149+AJ18*AG149+AJ19*AG149+AJ20*AG149+AJ21*AG149+AJ22*AG149+AJ23*AG149+AJ24*AG149+AJ25*AG149+AJ26*AG149+AJ5*AG149</f>
        <v>0</v>
      </c>
      <c r="AI149" s="43"/>
      <c r="AJ149" s="43"/>
      <c r="AL149" s="46">
        <v>6</v>
      </c>
      <c r="AM149" s="41">
        <f>AO6*AL149+AO7*AL149+AO8*AL149+AO9*AL149+AO10*AL149+AO11*AL149+AO12*AL149+AO13*AL149+AO14*AL149+AO15*AL149+AO16*AL149+AO17*AL149+AO18*AL149+AO19*AL149+AO20*AL149+AO21*AL149+AO22*AL149+AO23*AL149+AO24*AL149+AO25*AL149+AO26*AL149+AO5*AL149</f>
        <v>0</v>
      </c>
      <c r="AN149" s="43"/>
      <c r="AO149" s="43"/>
      <c r="AP149" s="6"/>
      <c r="AQ149" s="46">
        <v>6</v>
      </c>
      <c r="AR149" s="41">
        <f>AT6*AQ149+AT7*AQ149+AT8*AQ149+AT9*AQ149+AT10*AQ149+AT11*AQ149+AT12*AQ149+AT13*AQ149+AT14*AQ149+AT15*AQ149+AT16*AQ149+AT17*AQ149+AT18*AQ149+AT19*AQ149+AT20*AQ149+AT21*AQ149+AT22*AQ149+AT23*AQ149+AT24*AQ149+AT25*AQ149+AT26*AQ149+AT5*AQ149</f>
        <v>0</v>
      </c>
      <c r="AS149" s="43"/>
      <c r="AT149" s="43"/>
      <c r="AU149" s="6"/>
      <c r="AZ149" s="6"/>
      <c r="BD149" s="43"/>
      <c r="BF149" s="60">
        <v>3</v>
      </c>
      <c r="BG149" s="41">
        <f>SUM(BI5:BI26)*BF149</f>
        <v>0</v>
      </c>
      <c r="BH149" s="43"/>
      <c r="BI149" s="43"/>
      <c r="BK149" s="142">
        <v>3</v>
      </c>
      <c r="BL149" s="41">
        <f>SUM(BN5:BN26)*BK149</f>
        <v>0</v>
      </c>
      <c r="BM149" s="43"/>
      <c r="BN149" s="43"/>
      <c r="BP149" s="62">
        <v>3</v>
      </c>
      <c r="BQ149" s="41">
        <f>SUM(BS5:BS26)*BP149</f>
        <v>0</v>
      </c>
      <c r="BR149" s="43"/>
      <c r="BS149" s="43"/>
      <c r="BU149" s="62">
        <v>3</v>
      </c>
      <c r="BV149" s="41">
        <f>SUM(BX5:BX26)*BU149</f>
        <v>0</v>
      </c>
      <c r="BW149" s="43"/>
      <c r="BX149" s="43"/>
      <c r="BZ149" s="61">
        <v>6</v>
      </c>
      <c r="CA149" s="41">
        <f>SUM(CC5:CC26)*BZ149</f>
        <v>0</v>
      </c>
      <c r="CB149" s="43"/>
      <c r="CC149" s="43"/>
      <c r="CE149" s="61">
        <v>6</v>
      </c>
      <c r="CF149" s="41">
        <f>SUM(CH5:CH26)*CE149</f>
        <v>0</v>
      </c>
      <c r="CG149" s="43"/>
      <c r="CH149" s="43"/>
      <c r="CJ149" s="141">
        <v>3</v>
      </c>
      <c r="CK149" s="140">
        <f>CM6*CJ149+CM7*CJ149+CM8*CJ149+CM9*CJ149+CM10*CJ149+CM11*CJ149+CM12*CJ149+CM13*CJ149+CM14*CJ149+CM15*CJ149+CM16*CJ149+CM17*CJ149+CM18*CJ149+CM19*CJ149+CM20*CJ149+CM21*CJ149+CM22*CJ149+CM23*CJ149+CM24*CJ149+CM25*CJ149+CM26*CJ149+CM5*CJ149</f>
        <v>0</v>
      </c>
      <c r="CN149" s="6"/>
      <c r="CO149" s="223">
        <v>6</v>
      </c>
      <c r="CP149" s="41">
        <f>CR6*CO149+CR7*CO149+CR8*CO149+CR9*CO149+CR10*CO149+CR11*CO149+CR12*CO149+CR13*CO149+CR14*CO149+CR15*CO149+CR16*CO149+CR17*CO149+CR18*CO149+CR19*CO149+CR20*CO149+CR21*CO149+CR22*CO149+CR23*CO149+CR24*CO149+CR25*CO149+CR26*CO149+CR5*CO149</f>
        <v>0</v>
      </c>
      <c r="CQ149" s="43"/>
      <c r="CR149" s="43"/>
      <c r="CT149" s="62">
        <v>6</v>
      </c>
      <c r="CU149" s="41">
        <f>SUM(CW5:CW26)*CT149</f>
        <v>0</v>
      </c>
      <c r="CV149" s="43"/>
      <c r="CW149" s="43"/>
      <c r="CY149" s="62">
        <v>6</v>
      </c>
      <c r="CZ149" s="41">
        <f>SUM(DB5:DB26)*CY149</f>
        <v>0</v>
      </c>
      <c r="DA149" s="43"/>
      <c r="DB149" s="43"/>
      <c r="DD149" s="46">
        <v>6</v>
      </c>
      <c r="DE149" s="41">
        <f>SUM(DG5:DG26)*DD149</f>
        <v>0</v>
      </c>
      <c r="DF149" s="43"/>
      <c r="DG149" s="43"/>
      <c r="DI149" s="60">
        <v>3</v>
      </c>
      <c r="DJ149" s="41">
        <f>SUM(DL5:DL26)*DI149</f>
        <v>0</v>
      </c>
      <c r="DK149" s="64"/>
      <c r="DL149" s="64"/>
      <c r="DN149" s="60"/>
      <c r="DO149" s="41">
        <f>SUM(DQ5:DQ26)*DN149</f>
        <v>0</v>
      </c>
      <c r="DP149" s="64"/>
      <c r="DQ149" s="64"/>
      <c r="DS149" s="60">
        <v>3</v>
      </c>
      <c r="DT149" s="41">
        <f>SUM(DV5:DV26)*DS149</f>
        <v>0</v>
      </c>
      <c r="DU149" s="64"/>
      <c r="DV149" s="64"/>
      <c r="DX149" s="60">
        <v>3</v>
      </c>
      <c r="DY149" s="41">
        <f>SUM(EA5:EA26)*DX149</f>
        <v>0</v>
      </c>
      <c r="DZ149" s="64"/>
      <c r="EA149" s="64"/>
      <c r="EC149" s="60">
        <v>3</v>
      </c>
      <c r="ED149" s="41">
        <f>SUM(EF5:EF26)*EC149</f>
        <v>0</v>
      </c>
      <c r="EE149" s="64"/>
      <c r="EF149" s="64"/>
      <c r="EH149" s="60">
        <v>3</v>
      </c>
      <c r="EI149" s="41">
        <f>SUM(EK5:EK26)*EH149</f>
        <v>0</v>
      </c>
      <c r="EJ149" s="64"/>
      <c r="EK149" s="64"/>
      <c r="ER149" s="856"/>
      <c r="EX149" s="203">
        <f t="shared" si="0"/>
        <v>0</v>
      </c>
      <c r="EY149" s="6"/>
    </row>
    <row r="150" spans="1:155" s="44" customFormat="1" ht="15" customHeight="1">
      <c r="A150" s="143" t="s">
        <v>316</v>
      </c>
      <c r="B150" s="210" t="s">
        <v>1174</v>
      </c>
      <c r="C150" s="473" t="s">
        <v>515</v>
      </c>
      <c r="D150" s="930"/>
      <c r="E150" s="62"/>
      <c r="F150" s="41"/>
      <c r="G150" s="41"/>
      <c r="H150" s="41"/>
      <c r="I150" s="42"/>
      <c r="J150" s="4"/>
      <c r="K150" s="4"/>
      <c r="L150" s="42"/>
      <c r="M150" s="4"/>
      <c r="N150" s="4"/>
      <c r="O150" s="4"/>
      <c r="P150" s="4"/>
      <c r="Q150" s="42"/>
      <c r="R150" s="43"/>
      <c r="S150" s="43"/>
      <c r="U150" s="43"/>
      <c r="W150" s="43"/>
      <c r="X150" s="43"/>
      <c r="Y150" s="43"/>
      <c r="Z150" s="43"/>
      <c r="AB150" s="43"/>
      <c r="AC150" s="43"/>
      <c r="AD150" s="43"/>
      <c r="AE150" s="43"/>
      <c r="AG150" s="46"/>
      <c r="AH150" s="41"/>
      <c r="AI150" s="43"/>
      <c r="AJ150" s="43"/>
      <c r="AL150" s="46"/>
      <c r="AM150" s="41"/>
      <c r="AN150" s="43"/>
      <c r="AO150" s="43"/>
      <c r="AP150" s="6"/>
      <c r="AQ150" s="46"/>
      <c r="AR150" s="41"/>
      <c r="AS150" s="43"/>
      <c r="AT150" s="43"/>
      <c r="AU150" s="6"/>
      <c r="AZ150" s="6"/>
      <c r="BD150" s="43"/>
      <c r="BF150" s="60"/>
      <c r="BG150" s="41"/>
      <c r="BH150" s="43"/>
      <c r="BI150" s="43"/>
      <c r="BK150" s="142"/>
      <c r="BL150" s="140"/>
      <c r="BM150" s="43"/>
      <c r="BN150" s="43"/>
      <c r="BP150" s="62"/>
      <c r="BQ150" s="41"/>
      <c r="BR150" s="43"/>
      <c r="BS150" s="43"/>
      <c r="BU150" s="62"/>
      <c r="BV150" s="41"/>
      <c r="BW150" s="43"/>
      <c r="BX150" s="43"/>
      <c r="BZ150" s="61"/>
      <c r="CA150" s="41"/>
      <c r="CB150" s="43"/>
      <c r="CC150" s="43"/>
      <c r="CE150" s="61"/>
      <c r="CF150" s="41"/>
      <c r="CG150" s="43"/>
      <c r="CH150" s="43"/>
      <c r="CJ150" s="141"/>
      <c r="CK150" s="140"/>
      <c r="CN150" s="6"/>
      <c r="CO150" s="223"/>
      <c r="CP150" s="41"/>
      <c r="CQ150" s="43"/>
      <c r="CR150" s="43"/>
      <c r="CT150" s="62"/>
      <c r="CU150" s="41"/>
      <c r="CV150" s="43"/>
      <c r="CW150" s="43"/>
      <c r="CY150" s="62"/>
      <c r="CZ150" s="41"/>
      <c r="DA150" s="43"/>
      <c r="DB150" s="43"/>
      <c r="DD150" s="46"/>
      <c r="DE150" s="41"/>
      <c r="DF150" s="43"/>
      <c r="DG150" s="43"/>
      <c r="DI150" s="60"/>
      <c r="DJ150" s="64"/>
      <c r="DK150" s="64"/>
      <c r="DL150" s="64"/>
      <c r="DN150" s="60"/>
      <c r="DO150" s="64"/>
      <c r="DP150" s="64"/>
      <c r="DQ150" s="64"/>
      <c r="DS150" s="60"/>
      <c r="DT150" s="64"/>
      <c r="DU150" s="64"/>
      <c r="DV150" s="64"/>
      <c r="DX150" s="60"/>
      <c r="DY150" s="64"/>
      <c r="DZ150" s="64"/>
      <c r="EA150" s="64"/>
      <c r="EC150" s="60"/>
      <c r="ED150" s="64"/>
      <c r="EE150" s="64"/>
      <c r="EF150" s="64"/>
      <c r="EH150" s="60"/>
      <c r="EI150" s="64"/>
      <c r="EJ150" s="64"/>
      <c r="EK150" s="64"/>
      <c r="ER150" s="856"/>
      <c r="EX150" s="203">
        <f t="shared" si="0"/>
        <v>0</v>
      </c>
      <c r="EY150" s="6"/>
    </row>
    <row r="151" spans="1:155" s="6" customFormat="1" ht="15" customHeight="1">
      <c r="A151" s="90" t="s">
        <v>42</v>
      </c>
      <c r="B151" s="210" t="s">
        <v>42</v>
      </c>
      <c r="C151" s="473" t="s">
        <v>515</v>
      </c>
      <c r="D151" s="138"/>
      <c r="E151" s="40"/>
      <c r="F151" s="40"/>
      <c r="G151" s="40"/>
      <c r="H151" s="40"/>
      <c r="I151" s="4"/>
      <c r="J151" s="4"/>
      <c r="K151" s="4"/>
      <c r="L151" s="4"/>
      <c r="M151" s="4"/>
      <c r="N151" s="4"/>
      <c r="O151" s="4"/>
      <c r="P151" s="4"/>
      <c r="Q151" s="4"/>
      <c r="R151" s="40"/>
      <c r="S151" s="41"/>
      <c r="T151" s="140"/>
      <c r="U151" s="41"/>
      <c r="W151" s="40"/>
      <c r="X151" s="41"/>
      <c r="Y151" s="41"/>
      <c r="Z151" s="41"/>
      <c r="AB151" s="40"/>
      <c r="AC151" s="41"/>
      <c r="AD151" s="41"/>
      <c r="AE151" s="41"/>
      <c r="AG151" s="40"/>
      <c r="AH151" s="41"/>
      <c r="AI151" s="41"/>
      <c r="AJ151" s="41"/>
      <c r="AL151" s="40"/>
      <c r="AM151" s="41"/>
      <c r="AN151" s="41"/>
      <c r="AO151" s="41"/>
      <c r="AQ151" s="40"/>
      <c r="AR151" s="41"/>
      <c r="AS151" s="41"/>
      <c r="AT151" s="41"/>
      <c r="AV151" s="139"/>
      <c r="AW151" s="139"/>
      <c r="AX151" s="139"/>
      <c r="AY151" s="140"/>
      <c r="BA151" s="139"/>
      <c r="BB151" s="139"/>
      <c r="BC151" s="139"/>
      <c r="BD151" s="41"/>
      <c r="BF151" s="40"/>
      <c r="BG151" s="40"/>
      <c r="BH151" s="40"/>
      <c r="BI151" s="41"/>
      <c r="BK151" s="139"/>
      <c r="BL151" s="139"/>
      <c r="BM151" s="40"/>
      <c r="BN151" s="41"/>
      <c r="BP151" s="40"/>
      <c r="BQ151" s="40"/>
      <c r="BR151" s="40"/>
      <c r="BS151" s="41"/>
      <c r="BU151" s="40"/>
      <c r="BV151" s="40"/>
      <c r="BW151" s="40"/>
      <c r="BX151" s="41"/>
      <c r="BZ151" s="40"/>
      <c r="CA151" s="40"/>
      <c r="CB151" s="40"/>
      <c r="CC151" s="41"/>
      <c r="CD151" s="140"/>
      <c r="CE151" s="40"/>
      <c r="CF151" s="40"/>
      <c r="CG151" s="40"/>
      <c r="CH151" s="41"/>
      <c r="CJ151" s="139"/>
      <c r="CK151" s="139"/>
      <c r="CL151" s="139"/>
      <c r="CM151" s="140"/>
      <c r="CO151" s="222"/>
      <c r="CP151" s="40"/>
      <c r="CQ151" s="40"/>
      <c r="CR151" s="41"/>
      <c r="CT151" s="40"/>
      <c r="CU151" s="40"/>
      <c r="CV151" s="40"/>
      <c r="CW151" s="41"/>
      <c r="CY151" s="40"/>
      <c r="CZ151" s="40"/>
      <c r="DA151" s="40"/>
      <c r="DB151" s="41"/>
      <c r="DD151" s="40"/>
      <c r="DE151" s="40"/>
      <c r="DF151" s="40"/>
      <c r="DG151" s="41"/>
      <c r="DI151" s="64"/>
      <c r="DJ151" s="64"/>
      <c r="DK151" s="64"/>
      <c r="DL151" s="64"/>
      <c r="DN151" s="64"/>
      <c r="DO151" s="64"/>
      <c r="DP151" s="64"/>
      <c r="DQ151" s="64"/>
      <c r="DS151" s="64"/>
      <c r="DT151" s="64"/>
      <c r="DU151" s="64"/>
      <c r="DV151" s="64"/>
      <c r="DX151" s="64"/>
      <c r="DY151" s="64"/>
      <c r="DZ151" s="64"/>
      <c r="EA151" s="64"/>
      <c r="EC151" s="64"/>
      <c r="ED151" s="64"/>
      <c r="EE151" s="64"/>
      <c r="EF151" s="64"/>
      <c r="EH151" s="64"/>
      <c r="EI151" s="64"/>
      <c r="EJ151" s="64"/>
      <c r="EK151" s="64"/>
      <c r="ER151" s="855"/>
      <c r="EX151" s="203">
        <f t="shared" si="0"/>
        <v>0</v>
      </c>
    </row>
    <row r="152" spans="1:155" s="6" customFormat="1" ht="15" customHeight="1">
      <c r="A152" s="90" t="s">
        <v>36</v>
      </c>
      <c r="B152" s="210" t="s">
        <v>36</v>
      </c>
      <c r="C152" s="473" t="s">
        <v>516</v>
      </c>
      <c r="D152" s="138"/>
      <c r="E152" s="40"/>
      <c r="F152" s="40"/>
      <c r="G152" s="40"/>
      <c r="H152" s="40"/>
      <c r="I152" s="4"/>
      <c r="J152" s="4"/>
      <c r="K152" s="4"/>
      <c r="L152" s="4"/>
      <c r="M152" s="4"/>
      <c r="N152" s="4"/>
      <c r="O152" s="4"/>
      <c r="P152" s="4"/>
      <c r="Q152" s="4"/>
      <c r="R152" s="40"/>
      <c r="S152" s="41"/>
      <c r="T152" s="140">
        <f>C14*0.03</f>
        <v>0</v>
      </c>
      <c r="U152" s="41"/>
      <c r="W152" s="40"/>
      <c r="X152" s="41"/>
      <c r="Y152" s="41"/>
      <c r="Z152" s="41"/>
      <c r="AB152" s="40"/>
      <c r="AC152" s="41"/>
      <c r="AD152" s="41"/>
      <c r="AE152" s="41"/>
      <c r="AG152" s="40"/>
      <c r="AH152" s="41"/>
      <c r="AI152" s="41"/>
      <c r="AJ152" s="41"/>
      <c r="AL152" s="40"/>
      <c r="AM152" s="41"/>
      <c r="AN152" s="41"/>
      <c r="AO152" s="41"/>
      <c r="AQ152" s="40"/>
      <c r="AR152" s="41"/>
      <c r="AS152" s="41"/>
      <c r="AT152" s="41"/>
      <c r="AV152" s="139"/>
      <c r="AW152" s="139"/>
      <c r="AX152" s="139"/>
      <c r="AY152" s="140"/>
      <c r="BA152" s="139"/>
      <c r="BB152" s="139"/>
      <c r="BC152" s="139"/>
      <c r="BD152" s="41"/>
      <c r="BF152" s="40"/>
      <c r="BG152" s="40"/>
      <c r="BH152" s="40"/>
      <c r="BI152" s="41"/>
      <c r="BK152" s="139"/>
      <c r="BL152" s="139"/>
      <c r="BM152" s="40"/>
      <c r="BN152" s="41"/>
      <c r="BP152" s="40"/>
      <c r="BQ152" s="40"/>
      <c r="BR152" s="40"/>
      <c r="BS152" s="41"/>
      <c r="BU152" s="40"/>
      <c r="BV152" s="40"/>
      <c r="BW152" s="40"/>
      <c r="BX152" s="41"/>
      <c r="BZ152" s="40"/>
      <c r="CA152" s="40"/>
      <c r="CB152" s="40"/>
      <c r="CC152" s="41"/>
      <c r="CD152" s="140"/>
      <c r="CE152" s="40"/>
      <c r="CF152" s="40"/>
      <c r="CG152" s="40"/>
      <c r="CH152" s="41"/>
      <c r="CJ152" s="139"/>
      <c r="CK152" s="139"/>
      <c r="CL152" s="139"/>
      <c r="CM152" s="140"/>
      <c r="CO152" s="222"/>
      <c r="CP152" s="40"/>
      <c r="CQ152" s="40"/>
      <c r="CR152" s="41"/>
      <c r="CT152" s="40"/>
      <c r="CU152" s="40"/>
      <c r="CV152" s="40"/>
      <c r="CW152" s="41"/>
      <c r="CY152" s="40"/>
      <c r="CZ152" s="40"/>
      <c r="DA152" s="40"/>
      <c r="DB152" s="41"/>
      <c r="DD152" s="40"/>
      <c r="DE152" s="40"/>
      <c r="DF152" s="40"/>
      <c r="DG152" s="41"/>
      <c r="DI152" s="64"/>
      <c r="DJ152" s="64"/>
      <c r="DK152" s="64"/>
      <c r="DL152" s="64"/>
      <c r="DN152" s="64"/>
      <c r="DO152" s="64"/>
      <c r="DP152" s="64"/>
      <c r="DQ152" s="64"/>
      <c r="DS152" s="64"/>
      <c r="DT152" s="64"/>
      <c r="DU152" s="64"/>
      <c r="DV152" s="64"/>
      <c r="DX152" s="64"/>
      <c r="DY152" s="64"/>
      <c r="DZ152" s="64"/>
      <c r="EA152" s="64"/>
      <c r="EC152" s="64"/>
      <c r="ED152" s="64"/>
      <c r="EE152" s="64"/>
      <c r="EF152" s="64"/>
      <c r="EH152" s="64"/>
      <c r="EI152" s="64"/>
      <c r="EJ152" s="64"/>
      <c r="EK152" s="64"/>
      <c r="ER152" s="855"/>
      <c r="EX152" s="203">
        <f t="shared" si="0"/>
        <v>0</v>
      </c>
    </row>
    <row r="153" spans="1:155" s="6" customFormat="1" ht="15" customHeight="1">
      <c r="A153" s="90" t="s">
        <v>1</v>
      </c>
      <c r="B153" s="210" t="s">
        <v>1</v>
      </c>
      <c r="C153" s="473" t="s">
        <v>515</v>
      </c>
      <c r="D153" s="138"/>
      <c r="E153" s="40"/>
      <c r="F153" s="40"/>
      <c r="G153" s="40"/>
      <c r="H153" s="40"/>
      <c r="I153" s="4"/>
      <c r="J153" s="4"/>
      <c r="K153" s="4"/>
      <c r="L153" s="4"/>
      <c r="M153" s="4"/>
      <c r="N153" s="4"/>
      <c r="O153" s="4"/>
      <c r="P153" s="4"/>
      <c r="Q153" s="4"/>
      <c r="R153" s="40"/>
      <c r="S153" s="41"/>
      <c r="T153" s="140"/>
      <c r="U153" s="41"/>
      <c r="W153" s="40"/>
      <c r="X153" s="41"/>
      <c r="Y153" s="41"/>
      <c r="Z153" s="41"/>
      <c r="AB153" s="40"/>
      <c r="AC153" s="41"/>
      <c r="AD153" s="41"/>
      <c r="AE153" s="41"/>
      <c r="AG153" s="40"/>
      <c r="AH153" s="41"/>
      <c r="AI153" s="41"/>
      <c r="AJ153" s="41"/>
      <c r="AL153" s="40"/>
      <c r="AM153" s="41"/>
      <c r="AN153" s="41"/>
      <c r="AO153" s="41"/>
      <c r="AQ153" s="40"/>
      <c r="AR153" s="41"/>
      <c r="AS153" s="41"/>
      <c r="AT153" s="41"/>
      <c r="AV153" s="139"/>
      <c r="AW153" s="139"/>
      <c r="AX153" s="139"/>
      <c r="AY153" s="140"/>
      <c r="BA153" s="139"/>
      <c r="BB153" s="139"/>
      <c r="BC153" s="139"/>
      <c r="BD153" s="41"/>
      <c r="BF153" s="40"/>
      <c r="BG153" s="40"/>
      <c r="BH153" s="40"/>
      <c r="BI153" s="41"/>
      <c r="BK153" s="139"/>
      <c r="BL153" s="139"/>
      <c r="BM153" s="40"/>
      <c r="BN153" s="41"/>
      <c r="BP153" s="40"/>
      <c r="BQ153" s="40"/>
      <c r="BR153" s="40"/>
      <c r="BS153" s="41"/>
      <c r="BU153" s="40"/>
      <c r="BV153" s="40"/>
      <c r="BW153" s="40"/>
      <c r="BX153" s="41"/>
      <c r="BZ153" s="40"/>
      <c r="CA153" s="40"/>
      <c r="CB153" s="40"/>
      <c r="CC153" s="41"/>
      <c r="CD153" s="140"/>
      <c r="CE153" s="40"/>
      <c r="CF153" s="40"/>
      <c r="CG153" s="40"/>
      <c r="CH153" s="41"/>
      <c r="CJ153" s="139"/>
      <c r="CK153" s="139"/>
      <c r="CL153" s="139"/>
      <c r="CM153" s="140"/>
      <c r="CO153" s="222"/>
      <c r="CP153" s="40"/>
      <c r="CQ153" s="40"/>
      <c r="CR153" s="41"/>
      <c r="CT153" s="40"/>
      <c r="CU153" s="40"/>
      <c r="CV153" s="40"/>
      <c r="CW153" s="41"/>
      <c r="CY153" s="40"/>
      <c r="CZ153" s="40"/>
      <c r="DA153" s="40"/>
      <c r="DB153" s="41"/>
      <c r="DD153" s="40"/>
      <c r="DE153" s="40"/>
      <c r="DF153" s="40"/>
      <c r="DG153" s="41"/>
      <c r="DI153" s="64"/>
      <c r="DJ153" s="64"/>
      <c r="DK153" s="64"/>
      <c r="DL153" s="64"/>
      <c r="DN153" s="64"/>
      <c r="DO153" s="64"/>
      <c r="DP153" s="64"/>
      <c r="DQ153" s="64"/>
      <c r="DS153" s="64"/>
      <c r="DT153" s="64"/>
      <c r="DU153" s="64"/>
      <c r="DV153" s="64"/>
      <c r="DX153" s="64"/>
      <c r="DY153" s="64"/>
      <c r="DZ153" s="64"/>
      <c r="EA153" s="64"/>
      <c r="EC153" s="64"/>
      <c r="ED153" s="64"/>
      <c r="EE153" s="64"/>
      <c r="EF153" s="64"/>
      <c r="EH153" s="64"/>
      <c r="EI153" s="64"/>
      <c r="EJ153" s="64"/>
      <c r="EK153" s="64"/>
      <c r="EN153" s="6">
        <f>SUM(EN5:EQ6,ET6:EW6)</f>
        <v>0</v>
      </c>
      <c r="ER153" s="855"/>
      <c r="EX153" s="203">
        <f t="shared" si="0"/>
        <v>0</v>
      </c>
    </row>
    <row r="154" spans="1:155" s="6" customFormat="1" ht="15" customHeight="1">
      <c r="A154" s="90" t="s">
        <v>2</v>
      </c>
      <c r="B154" s="210" t="s">
        <v>2</v>
      </c>
      <c r="C154" s="473" t="s">
        <v>515</v>
      </c>
      <c r="D154" s="138"/>
      <c r="E154" s="62"/>
      <c r="F154" s="41">
        <f>SUM(F5:F26,G5:G26,H5:H26)*E154</f>
        <v>0</v>
      </c>
      <c r="G154" s="41"/>
      <c r="H154" s="41"/>
      <c r="I154" s="4"/>
      <c r="J154" s="4">
        <v>1</v>
      </c>
      <c r="K154" s="658">
        <f>SUM(K5:K15)*J154</f>
        <v>0</v>
      </c>
      <c r="L154" s="4"/>
      <c r="M154" s="658">
        <v>4</v>
      </c>
      <c r="N154" s="658">
        <f>SUM(N5:N15,O5:O15,P5:P15)*M154</f>
        <v>0</v>
      </c>
      <c r="O154" s="4"/>
      <c r="P154" s="4"/>
      <c r="Q154" s="4"/>
      <c r="R154" s="40"/>
      <c r="S154" s="41"/>
      <c r="T154" s="140"/>
      <c r="U154" s="41"/>
      <c r="W154" s="46">
        <v>2</v>
      </c>
      <c r="X154" s="41">
        <f>X5*W154+Y5*W154+X6*W154+Y6*W154+X7*W154+Y7*W154+X8*W154+Y8*W154+X9*W154+Y9*W154+X10*W154+Y10*W154+X11*W154+Y11*W154+X12*W154+Y12*W154+X13*W154+Y13*W154+X14*W154+Y14*W154+X15*W154+Y15*W154+Z5*W154+Z6*W154+Z7*W154+Z8*W154+Z9*W154+Z10*W154+Z11*W154+Z12*W154+Z13*W154+Z14*W154+Z14*W154+Z15*W154</f>
        <v>0</v>
      </c>
      <c r="Y154" s="41"/>
      <c r="Z154" s="41"/>
      <c r="AB154" s="46">
        <v>2</v>
      </c>
      <c r="AC154" s="41">
        <f>AC5*AB154+AD5*AB154+AC6*AB154+AD6*AB154+AC7*AB154+AD7*AB154+AC8*AB154+AD8*AB154+AC9*AB154+AD9*AB154+AC10*AB154+AD10*AB154+AC11*AB154+AD11*AB154+AC12*AB154+AD12*AB154+AC13*AB154+AD13*AB154+AC14*AB154+AD14*AB154+AC15*AB154+AD15*AB154+AE5*AB154+AE6*AB154+AE7*AB154+AE8*AB154+AE9*AB154+AE10*AB154+AE11*AB154+AE12*AB154+AE13*AB154+AE14*AB154+AE14*AB154+AE15*AB154</f>
        <v>0</v>
      </c>
      <c r="AD154" s="41"/>
      <c r="AE154" s="41"/>
      <c r="AG154" s="46">
        <v>3</v>
      </c>
      <c r="AH154" s="41">
        <f>AH5*AG154+AI5*AG154+AH6*AG154+AI6*AG154+AH7*AG154+AI7*AG154+AH8*AG154+AI8*AG154+AH9*AG154+AI9*AG154+AH10*AG154+AI10*AG154+AH11*AG154+AI11*AG154+AH12*AG154+AI12*AG154+AH13*AG154+AI13*AG154+AH14*AG154+AI14*AG154+AH15*AG154+AI15*AG154+AH26*AG154+AH16*AG154+AI16*AG154+AH17*AG154+AI17*AG154+AH18*AG154+AI18*AG154+AH19*AG154+AI19*AG154+AH20*AG154+AI20*AG154+AH21*AG154+AI21*AG154+AH22*AG154+AI22*AG154+AH23*AG154+AI23*AG154+AH24*AG154+AI24*AG154+AH25*AG154+AI25*AG154+AJ5*AG154+AJ6*AG154+AJ7*AG154+AJ8*AG154+AJ9*AG154+AJ10*AG154+AJ11*AG154+AJ12*AG154+AJ13*AG154+AJ14*AG154+AJ15*AG154+AJ16*AG154+AJ17*AG154+AJ18*AG154+AJ19*AG154+AJ20*AG154+AJ21*AG154+AJ22*AG154+AJ23*AG154+AJ24*AG154+AJ25*AG154+AJ26*AG154</f>
        <v>0</v>
      </c>
      <c r="AI154" s="41"/>
      <c r="AJ154" s="41"/>
      <c r="AL154" s="46">
        <v>6</v>
      </c>
      <c r="AM154" s="41">
        <f>AM5*AL154+AN5*AL154+AM6*AL154+AN6*AL154+AM7*AL154+AN7*AL154+AM8*AL154+AN8*AL154+AM9*AL154+AN9*AL154+AM10*AL154+AN10*AL154+AM11*AL154+AN11*AL154+AM12*AL154+AN12*AL154+AM13*AL154+AN13*AL154+AM14*AL154+AN14*AL154+AM15*AL154+AN15*AL154+AM26*AL154+AM16*AL154+AN16*AL154+AM17*AL154+AN17*AL154+AM18*AL154+AN18*AL154+AM19*AL154+AN19*AL154+AM20*AL154+AN20*AL154+AM21*AL154+AN21*AL154+AM22*AL154+AN22*AL154+AM23*AL154+AN23*AL154+AM24*AL154+AN24*AL154+AM25*AL154+AN25*AL154+AO5*AL154+AO6*AL154+AO7*AL154+AO8*AL154+AO9*AL154+AO10*AL154+AO11*AL154+AO12*AL154+AO13*AL154+AO14*AL154+AO15*AL154+AO16*AL154+AO17*AL154+AO18*AL154+AO19*AL154+AO20*AL154+AO21*AL154+AO22*AL154+AO23*AL154+AO24*AL154+AO25*AL154+AO26*AL154</f>
        <v>0</v>
      </c>
      <c r="AN154" s="41"/>
      <c r="AO154" s="41"/>
      <c r="AQ154" s="40"/>
      <c r="AR154" s="41"/>
      <c r="AS154" s="41"/>
      <c r="AT154" s="41"/>
      <c r="AV154" s="141" t="s">
        <v>155</v>
      </c>
      <c r="AW154" s="140">
        <f>SUM(AW5:AW15,AX5:AX15,AY5:AY15)*5+SUM(AW16:AW26,AX16:AX26,AY16:AY26)*3</f>
        <v>0</v>
      </c>
      <c r="AX154" s="139"/>
      <c r="AY154" s="140"/>
      <c r="BA154" s="141" t="s">
        <v>155</v>
      </c>
      <c r="BB154" s="140">
        <f>SUM(BB5:BB15,BC5:BC15,BD5:BD15)*5+SUM(BB16:BB26,BC16:BC26,BD16:BD26)*3</f>
        <v>0</v>
      </c>
      <c r="BC154" s="139"/>
      <c r="BD154" s="41"/>
      <c r="BF154" s="60">
        <v>11</v>
      </c>
      <c r="BG154" s="41">
        <f>SUM(BG5:BG26,BH5:BH26,BI5:BI26)*BF154</f>
        <v>0</v>
      </c>
      <c r="BH154" s="40"/>
      <c r="BI154" s="41"/>
      <c r="BK154" s="142">
        <v>11</v>
      </c>
      <c r="BL154" s="41">
        <f>SUM(BL5:BL26,BM5:BM26,BN5:BN26)*BK154</f>
        <v>0</v>
      </c>
      <c r="BM154" s="40"/>
      <c r="BN154" s="41"/>
      <c r="BP154" s="62">
        <v>11</v>
      </c>
      <c r="BQ154" s="41">
        <f>SUM(BQ5:BQ26,BR5:BR26,BS5:BS26)*BP154</f>
        <v>0</v>
      </c>
      <c r="BR154" s="40"/>
      <c r="BS154" s="41"/>
      <c r="BU154" s="62">
        <v>21</v>
      </c>
      <c r="BV154" s="41">
        <f>SUM(BV5:BV26,BW5:BW26,BX5:BX26)*BU154</f>
        <v>0</v>
      </c>
      <c r="BW154" s="40"/>
      <c r="BX154" s="41"/>
      <c r="BZ154" s="61">
        <v>22</v>
      </c>
      <c r="CA154" s="41">
        <f>SUM(CA5:CA26,CB5:CB26,CC5:CC26)*BZ154</f>
        <v>0</v>
      </c>
      <c r="CB154" s="40"/>
      <c r="CC154" s="41"/>
      <c r="CD154" s="140"/>
      <c r="CE154" s="61">
        <v>22</v>
      </c>
      <c r="CF154" s="41">
        <f>SUM(CF5:CF26,CG5:CG26,CH5:CH26)*CE154</f>
        <v>0</v>
      </c>
      <c r="CG154" s="40"/>
      <c r="CH154" s="41"/>
      <c r="CJ154" s="141"/>
      <c r="CK154" s="140">
        <f>CK5*CJ154+CL5*CJ154+CK6*CJ154+CL6*CJ154+CK7*CJ154+CL7*CJ154+CK8*CJ154+CL8*CJ154+CK9*CJ154+CL9*CJ154+CK10*CJ154+CL10*CJ154+CK11*CJ154+CL11*CJ154+CK12*CJ154+CL12*CJ154+CK13*CJ154+CL13*CJ154+CK14*CJ154+CL14*CJ154+CK15*CJ154+CL15*CJ154+CK26*CJ154+CK26*CJ154+CK16*CJ154+CL16*CJ154+CK17*CJ154+CL17*CJ154+CK18*CJ154+CL18*CJ154+CK19*CJ154+CL19*CJ154+CK20*CJ154+CL20*CJ154+CK21*CJ154+CL21*CJ154+CK22*CJ154+CL22*CJ154+CK23*CJ154+CL23*CJ154+CK24*CJ154+CL24*CJ154+CK25*CJ154+CL25*CJ154+CM5*CJ154+CM6*CJ154+CM7*CJ154+CM8*CJ154+CM9*CJ154+CM10*CJ154+CM11*CJ154+CM12*CJ154+CM13*CJ154+CM14*CJ154+CM15*CJ154+CM16*CJ154+CM17*CJ154+CM18*CJ154+CM19*CJ154+CM20*CJ154+CM21*CJ154+CM22*CJ154+CM23*CJ154+CM24*CJ154+CM25*CJ154+CM26*CJ154</f>
        <v>0</v>
      </c>
      <c r="CL154" s="139"/>
      <c r="CM154" s="140"/>
      <c r="CO154" s="223">
        <v>8</v>
      </c>
      <c r="CP154" s="41">
        <f>CP5*CO154+CQ5*CO154+CP6*CO154+CQ6*CO154+CP7*CO154+CQ7*CO154+CP8*CO154+CQ8*CO154+CP9*CO154+CQ9*CO154+CP10*CO154+CQ10*CO154+CP11*CO154+CQ11*CO154+CP12*CO154+CQ12*CO154+CP13*CO154+CQ13*CO154+CP14*CO154+CQ14*CO154+CP15*CO154+CQ15*CO154+CP26*CO154+CP26*CO154+CP16*CO154+CQ16*CO154+CP17*CO154+CQ17*CO154+CP18*CO154+CQ18*CO154+CP19*CO154+CQ19*CO154+CP20*CO154+CQ20*CO154+CP21*CO154+CQ21*CO154+CP22*CO154+CQ22*CO154+CP23*CO154+CQ23*CO154+CP24*CO154+CQ24*CO154+CP25*CO154+CQ25*CO154+CR5*CO154+CR6*CO154+CR7*CO154+CR8*CO154+CR9*CO154+CR10*CO154+CR11*CO154+CR12*CO154+CR13*CO154+CR14*CO154+CR15*CO154+CR16*CO154+CR17*CO154+CR18*CO154+CR19*CO154+CR20*CO154+CR21*CO154+CR22*CO154+CR23*CO154+CR24*CO154+CR25*CO154+CR26*CO154</f>
        <v>0</v>
      </c>
      <c r="CQ154" s="40"/>
      <c r="CR154" s="41"/>
      <c r="CT154" s="62">
        <v>13</v>
      </c>
      <c r="CU154" s="41">
        <f>SUM(CU5:CU26,CV5:CV26,CW5:CW26)*CT154</f>
        <v>0</v>
      </c>
      <c r="CV154" s="40"/>
      <c r="CW154" s="41"/>
      <c r="CY154" s="62">
        <v>21</v>
      </c>
      <c r="CZ154" s="41">
        <f>SUM(CZ5:CZ26,DA5:DA26,DB5:DB26)*CY154</f>
        <v>0</v>
      </c>
      <c r="DA154" s="40"/>
      <c r="DB154" s="41"/>
      <c r="DD154" s="46">
        <v>6</v>
      </c>
      <c r="DE154" s="41">
        <f>DE5*DD154+DF5*DD154+DE6*DD154+DF6*DD154+DE7*DD154+DF7*DD154+DE8*DD154+DF8*DD154+DE9*DD154+DF9*DD154+DE10*DD154+DF10*DD154+DE11*DD154+DF11*DD154+DE12*DD154+DF12*DD154+DE13*DD154+DF13*DD154+DE14*DD154+DF14*DD154+DE15*DD154+DF15*DD154+DE26*DD154+DE26*DD154+DE16*DD154+DF16*DD154+DE17*DD154+DF17*DD154+DE18*DD154+DF18*DD154+DE19*DD154+DF19*DD154+DE20*DD154+DF20*DD154+DE21*DD154+DF21*DD154+DE22*DD154+DF22*DD154+DE23*DD154+DF23*DD154+DE24*DD154+DF24*DD154+DE25*DD154+DF25*DD154+DG5*DD154+DG6*DD154+DG7*DD154+DG8*DD154+DG9*DD154+DG10*DD154+DG11*DD154+DG12*DD154+DG13*DD154+DG14*DD154+DG15*DD154+DG16*DD154+DG17*DD154+DG18*DD154+DG19*DD154+DG20*DD154+DG21*DD154+DG22*DD154+DG23*DD154+DG24*DD154+DG25*DD154+DG26*DD154</f>
        <v>0</v>
      </c>
      <c r="DF154" s="40"/>
      <c r="DG154" s="41"/>
      <c r="DI154" s="71">
        <v>13</v>
      </c>
      <c r="DJ154" s="41">
        <f>DJ5*DI154+DK5*DI154+DJ6*DI154+DK6*DI154+DJ7*DI154+DK7*DI154+DJ8*DI154+DK8*DI154+DJ9*DI154+DK9*DI154+DJ10*DI154+DK10*DI154+DJ11*DI154+DK11*DI154+DJ12*DI154+DK12*DI154+DJ13*DI154+DK13*DI154+DJ14*DI154+DK14*DI154+DJ15*DI154+DK15*DI154+DJ26*13+DJ16*5+DK16*5+DJ17*5+DK17*5+DJ18*5+DK18*5+DJ19*5+DK19*5+DJ20*5+DK20*5+DJ21*5+DK21*5+DJ22*5+DK22*5+DJ23*5+DK23*5+DJ24*5+DK24*5+DJ25*5+DK25*5+DL5*DI154+DL6*DI154+DL7*DI154+DL8*DI154+DL9*DI154+DL10*DI154+DL11*DI154+DL12*DI154+DL13*DI154+DL14*DI154+DL15*DI154+DL16*5+DL17*5+DL18*5+DL19*5+DL20*5+DL21*5+DL22*5+DL23*5+DL24*5+DL25*5+DL26*5</f>
        <v>0</v>
      </c>
      <c r="DK154" s="64"/>
      <c r="DL154" s="64"/>
      <c r="DN154" s="71">
        <v>13</v>
      </c>
      <c r="DO154" s="41">
        <f>DO5*DN154+DP5*DN154+DO6*DN154+DP6*DN154+DO7*DN154+DP7*DN154+DO8*DN154+DP8*DN154+DO9*DN154+DP9*DN154+DO10*DN154+DP10*DN154+DO11*DN154+DP11*DN154+DO12*DN154+DP12*DN154+DO13*DN154+DP13*DN154+DO14*DN154+DP14*DN154+DO15*DN154+DP15*DN154+DO26*13+DO16*5+DP16*5+DO17*5+DP17*5+DO18*5+DP18*5+DO19*5+DP19*5+DO20*5+DP20*5+DO21*5+DP21*5+DO22*5+DP22*5+DO23*5+DP23*5+DO24*5+DP24*5+DO25*5+DP25*5+DQ5*DN154+DQ6*DN154+DQ7*DN154+DQ8*DN154+DQ9*DN154+DQ10*DN154+DQ11*DN154+DQ12*DN154+DQ13*DN154+DQ14*DN154+DQ15*DN154+DQ16*5+DQ17*5+DQ18*5+DQ19*5+DQ20*5+DQ21*5+DQ22*5+DQ23*5+DQ24*5+DQ25*5+DQ26*5</f>
        <v>0</v>
      </c>
      <c r="DP154" s="64"/>
      <c r="DQ154" s="64"/>
      <c r="DS154" s="60">
        <v>22</v>
      </c>
      <c r="DT154" s="41">
        <f>DT5*DS154+DU5*DS154+DT6*DS154+DU6*DS154+DT7*DS154+DU7*DS154+DT8*DS154+DU8*DS154+DT9*DS154+DU9*DS154+DT10*DS154+DU10*DS154+DT11*DS154+DU11*DS154+DT12*DS154+DU12*DS154+DT13*DS154+DU13*DS154+DT14*DS154+DU14*DS154+DT15*DS154+DU15*DS154+DT26*13+DT16*13+DU16*13+DT17*13+DU17*13+DT18*13+DU18*13+DT19*13+DU19*13+DT20*13+DU20*13+DT21*13+DU21*13+DT22*13+DU22*13+DT23*13+DU23*13+DT24*13+DU24*13+DT25*13+DU25*13+DV5*DS154+DV6*DS154+DV7*DS154+DV8*DS154+DV9*DS154+DV10*DS154+DV11*DS154+DV12*DS154+DV13*DS154+DV14*DS154+DV15*DS154+DV16*13+DV17*13+DV18*13+DV19*13+DV20*13+DV21*13+DV22*13+DV23*13+DV24*13+DV25*13+DV26*13</f>
        <v>0</v>
      </c>
      <c r="DU154" s="64"/>
      <c r="DV154" s="64"/>
      <c r="DX154" s="60">
        <v>19</v>
      </c>
      <c r="DY154" s="41">
        <f>DY5*DX154+DZ5*DX154+DY6*DX154+DZ6*DX154+DY7*DX154+DZ7*DX154+DY8*DX154+DZ8*DX154+DY9*DX154+DZ9*DX154+DY10*DX154+DZ10*DX154+DY11*DX154+DZ11*DX154+DY12*DX154+DZ12*DX154+DY13*DX154+DZ13*DX154+DY14*DX154+DZ14*DX154+DY15*DX154+DZ15*DX154+DY26*13+DY16*13+DZ16*13+DY17*13+DZ17*13+DY18*13+DZ18*13+DY19*13+DZ19*13+DY20*13+DZ20*13+DY21*13+DZ21*13+DY22*13+DZ22*13+DY23*13+DZ23*13+DY24*13+DZ24*13+DY25*13+DZ25*13+EA5*DX154+EA6*DX154+EA7*DX154+EA8*DX154+EA9*DX154+EA10*DX154+EA11*DX154+EA12*DX154+EA13*DX154+EA14*DX154+EA15*DX154+EA16*13+EA17*13+EA18*13+EA19*13+EA20*13+EA21*13+EA22*13+EA23*13+EA24*13+EA25*13+EA26*13</f>
        <v>0</v>
      </c>
      <c r="DZ154" s="64"/>
      <c r="EA154" s="64"/>
      <c r="EC154" s="60">
        <v>16</v>
      </c>
      <c r="ED154" s="41">
        <f>ED5*EC154+EE5*EC154+ED6*EC154+EE6*EC154+ED7*EC154+EE7*EC154+ED8*EC154+EE8*EC154+ED9*EC154+EE9*EC154+ED10*EC154+EE10*EC154+ED11*EC154+EE11*EC154+ED12*EC154+EE12*EC154+ED13*EC154+EE13*EC154+ED14*EC154+EE14*EC154+ED15*EC154+EE15*EC154+ED26*13+ED16*13+EE16*13+ED17*13+EE17*13+ED18*13+EE18*13+ED19*13+EE19*13+ED20*13+EE20*13+ED21*13+EE21*13+ED22*13+EE22*13+ED23*13+EE23*13+ED24*13+EE24*13+ED25*13+EE25*13+EF5*EC154+EF6*EC154+EF7*EC154+EF8*EC154+EF9*EC154+EF10*EC154+EF11*EC154+EF12*EC154+EF13*EC154+EF14*EC154+EF15*EC154+EF16*13+EF17*13+EF18*13+EF19*13+EF20*13+EF21*13+EF22*13+EF23*13+EF24*13+EF25*13+EF26*13</f>
        <v>0</v>
      </c>
      <c r="EE154" s="64"/>
      <c r="EF154" s="64"/>
      <c r="EH154" s="60">
        <v>16</v>
      </c>
      <c r="EI154" s="41">
        <f>EI5*EH154+EJ5*EH154+EI6*EH154+EJ6*EH154+EI7*EH154+EJ7*EH154+EI8*EH154+EJ8*EH154+EI9*EH154+EJ9*EH154+EI10*EH154+EJ10*EH154+EI11*EH154+EJ11*EH154+EI12*EH154+EJ12*EH154+EI13*EH154+EJ13*EH154+EI14*EH154+EJ14*EH154+EI15*EH154+EJ15*EH154+EI26*13+EI16*13+EJ16*13+EI17*13+EJ17*13+EI18*13+EJ18*13+EI19*13+EJ19*13+EI20*13+EJ20*13+EI21*13+EJ21*13+EI22*13+EJ22*13+EI23*13+EJ23*13+EI24*13+EJ24*13+EI25*13+EJ25*13+EK5*EH154+EK6*EH154+EK7*EH154+EK8*EH154+EK9*EH154+EK10*EH154+EK11*EH154+EK12*EH154+EK13*EH154+EK14*EH154+EK15*EH154+EK16*13+EK17*13+EK18*13+EK19*13+EK20*13+EK21*13+EK22*13+EK23*13+EK24*13+EK25*13+EK26*13</f>
        <v>0</v>
      </c>
      <c r="EJ154" s="64"/>
      <c r="EK154" s="64"/>
      <c r="ER154" s="855"/>
      <c r="EX154" s="203">
        <f t="shared" si="0"/>
        <v>0</v>
      </c>
    </row>
    <row r="155" spans="1:155" s="6" customFormat="1" ht="15" customHeight="1">
      <c r="A155" s="146" t="s">
        <v>312</v>
      </c>
      <c r="B155" s="210" t="s">
        <v>312</v>
      </c>
      <c r="C155" s="473" t="s">
        <v>515</v>
      </c>
      <c r="D155" s="138"/>
      <c r="E155" s="62"/>
      <c r="F155" s="41"/>
      <c r="G155" s="41"/>
      <c r="H155" s="41"/>
      <c r="I155" s="4"/>
      <c r="J155" s="4"/>
      <c r="K155" s="4"/>
      <c r="L155" s="4"/>
      <c r="M155" s="4"/>
      <c r="N155" s="4"/>
      <c r="O155" s="4"/>
      <c r="P155" s="4"/>
      <c r="Q155" s="4"/>
      <c r="R155" s="40"/>
      <c r="S155" s="41"/>
      <c r="T155" s="140"/>
      <c r="U155" s="41"/>
      <c r="W155" s="46"/>
      <c r="X155" s="41"/>
      <c r="Y155" s="41"/>
      <c r="Z155" s="41"/>
      <c r="AB155" s="46"/>
      <c r="AC155" s="41"/>
      <c r="AD155" s="41"/>
      <c r="AE155" s="41"/>
      <c r="AG155" s="46"/>
      <c r="AH155" s="41"/>
      <c r="AI155" s="41"/>
      <c r="AJ155" s="41"/>
      <c r="AL155" s="46"/>
      <c r="AM155" s="41"/>
      <c r="AN155" s="41"/>
      <c r="AO155" s="41"/>
      <c r="AQ155" s="40"/>
      <c r="AR155" s="41"/>
      <c r="AS155" s="41"/>
      <c r="AT155" s="41"/>
      <c r="AV155" s="141"/>
      <c r="AW155" s="140"/>
      <c r="AX155" s="139"/>
      <c r="AY155" s="140"/>
      <c r="BA155" s="141"/>
      <c r="BB155" s="140"/>
      <c r="BC155" s="139"/>
      <c r="BD155" s="41"/>
      <c r="BF155" s="60"/>
      <c r="BG155" s="41"/>
      <c r="BH155" s="40"/>
      <c r="BI155" s="41"/>
      <c r="BK155" s="142"/>
      <c r="BL155" s="140"/>
      <c r="BM155" s="40"/>
      <c r="BN155" s="41"/>
      <c r="BP155" s="62"/>
      <c r="BQ155" s="41"/>
      <c r="BR155" s="40"/>
      <c r="BS155" s="41"/>
      <c r="BU155" s="62"/>
      <c r="BV155" s="41"/>
      <c r="BW155" s="40"/>
      <c r="BX155" s="41"/>
      <c r="BZ155" s="61"/>
      <c r="CA155" s="41"/>
      <c r="CB155" s="40"/>
      <c r="CC155" s="41"/>
      <c r="CD155" s="140"/>
      <c r="CE155" s="61"/>
      <c r="CF155" s="41"/>
      <c r="CG155" s="40"/>
      <c r="CH155" s="41"/>
      <c r="CJ155" s="141"/>
      <c r="CK155" s="140"/>
      <c r="CL155" s="139"/>
      <c r="CM155" s="140"/>
      <c r="CO155" s="223"/>
      <c r="CP155" s="41"/>
      <c r="CQ155" s="40"/>
      <c r="CR155" s="41"/>
      <c r="CT155" s="62"/>
      <c r="CU155" s="41"/>
      <c r="CV155" s="40"/>
      <c r="CW155" s="41"/>
      <c r="CY155" s="62"/>
      <c r="CZ155" s="41"/>
      <c r="DA155" s="40"/>
      <c r="DB155" s="41"/>
      <c r="DD155" s="46"/>
      <c r="DE155" s="41"/>
      <c r="DF155" s="40"/>
      <c r="DG155" s="41"/>
      <c r="DI155" s="71"/>
      <c r="DJ155" s="41"/>
      <c r="DK155" s="64"/>
      <c r="DL155" s="64"/>
      <c r="DN155" s="71"/>
      <c r="DO155" s="41"/>
      <c r="DP155" s="64"/>
      <c r="DQ155" s="64"/>
      <c r="DS155" s="60"/>
      <c r="DT155" s="41"/>
      <c r="DU155" s="64"/>
      <c r="DV155" s="64"/>
      <c r="DX155" s="60"/>
      <c r="DY155" s="41"/>
      <c r="DZ155" s="64"/>
      <c r="EA155" s="64"/>
      <c r="EC155" s="60"/>
      <c r="ED155" s="41"/>
      <c r="EE155" s="64"/>
      <c r="EF155" s="64"/>
      <c r="EH155" s="60"/>
      <c r="EI155" s="41"/>
      <c r="EJ155" s="64"/>
      <c r="EK155" s="64"/>
      <c r="ER155" s="855"/>
      <c r="EX155" s="203">
        <f t="shared" si="0"/>
        <v>0</v>
      </c>
    </row>
    <row r="156" spans="1:155" s="6" customFormat="1" ht="15" customHeight="1">
      <c r="A156" s="146"/>
      <c r="B156" s="210" t="s">
        <v>1424</v>
      </c>
      <c r="C156" s="473" t="s">
        <v>168</v>
      </c>
      <c r="D156" s="138"/>
      <c r="E156" s="62"/>
      <c r="F156" s="41"/>
      <c r="G156" s="41"/>
      <c r="H156" s="41"/>
      <c r="I156" s="4"/>
      <c r="J156" s="4"/>
      <c r="K156" s="4"/>
      <c r="L156" s="4"/>
      <c r="M156" s="4"/>
      <c r="N156" s="4"/>
      <c r="O156" s="4"/>
      <c r="P156" s="4"/>
      <c r="Q156" s="4"/>
      <c r="R156" s="40"/>
      <c r="S156" s="41"/>
      <c r="T156" s="140"/>
      <c r="U156" s="41"/>
      <c r="W156" s="46"/>
      <c r="X156" s="41"/>
      <c r="Y156" s="41"/>
      <c r="Z156" s="41"/>
      <c r="AB156" s="46"/>
      <c r="AC156" s="41"/>
      <c r="AD156" s="41"/>
      <c r="AE156" s="41"/>
      <c r="AG156" s="46"/>
      <c r="AH156" s="41"/>
      <c r="AI156" s="41"/>
      <c r="AJ156" s="41"/>
      <c r="AL156" s="46"/>
      <c r="AM156" s="41"/>
      <c r="AN156" s="41"/>
      <c r="AO156" s="41"/>
      <c r="AQ156" s="40"/>
      <c r="AR156" s="41"/>
      <c r="AS156" s="41"/>
      <c r="AT156" s="41"/>
      <c r="AV156" s="141"/>
      <c r="AW156" s="140"/>
      <c r="AX156" s="139"/>
      <c r="AY156" s="140"/>
      <c r="BA156" s="141"/>
      <c r="BB156" s="140"/>
      <c r="BC156" s="139"/>
      <c r="BD156" s="41"/>
      <c r="BF156" s="60"/>
      <c r="BG156" s="41"/>
      <c r="BH156" s="40"/>
      <c r="BI156" s="41"/>
      <c r="BK156" s="142"/>
      <c r="BL156" s="140"/>
      <c r="BM156" s="40"/>
      <c r="BN156" s="41"/>
      <c r="BP156" s="62"/>
      <c r="BQ156" s="41"/>
      <c r="BR156" s="40"/>
      <c r="BS156" s="41"/>
      <c r="BU156" s="62"/>
      <c r="BV156" s="41"/>
      <c r="BW156" s="40"/>
      <c r="BX156" s="41"/>
      <c r="BZ156" s="61"/>
      <c r="CA156" s="41"/>
      <c r="CB156" s="40"/>
      <c r="CC156" s="41"/>
      <c r="CD156" s="140"/>
      <c r="CE156" s="61"/>
      <c r="CF156" s="41"/>
      <c r="CG156" s="40"/>
      <c r="CH156" s="41"/>
      <c r="CJ156" s="141"/>
      <c r="CK156" s="140"/>
      <c r="CL156" s="139"/>
      <c r="CM156" s="140"/>
      <c r="CO156" s="223"/>
      <c r="CP156" s="41"/>
      <c r="CQ156" s="40"/>
      <c r="CR156" s="41"/>
      <c r="CT156" s="62"/>
      <c r="CU156" s="41"/>
      <c r="CV156" s="40"/>
      <c r="CW156" s="41"/>
      <c r="CY156" s="62"/>
      <c r="CZ156" s="41"/>
      <c r="DA156" s="40"/>
      <c r="DB156" s="41"/>
      <c r="DD156" s="46"/>
      <c r="DE156" s="41"/>
      <c r="DF156" s="40"/>
      <c r="DG156" s="41"/>
      <c r="DI156" s="71"/>
      <c r="DJ156" s="41"/>
      <c r="DK156" s="64"/>
      <c r="DL156" s="64"/>
      <c r="DN156" s="71"/>
      <c r="DO156" s="41"/>
      <c r="DP156" s="64"/>
      <c r="DQ156" s="64"/>
      <c r="DS156" s="60"/>
      <c r="DT156" s="41"/>
      <c r="DU156" s="64"/>
      <c r="DV156" s="64"/>
      <c r="DX156" s="60"/>
      <c r="DY156" s="41"/>
      <c r="DZ156" s="64"/>
      <c r="EA156" s="64"/>
      <c r="EC156" s="60"/>
      <c r="ED156" s="41"/>
      <c r="EE156" s="64"/>
      <c r="EF156" s="64"/>
      <c r="EH156" s="60"/>
      <c r="EI156" s="41"/>
      <c r="EJ156" s="64"/>
      <c r="EK156" s="64"/>
      <c r="EN156" s="6">
        <f>SUM(EP5:EQ5)*50</f>
        <v>0</v>
      </c>
      <c r="ER156" s="855"/>
      <c r="EX156" s="203">
        <f t="shared" si="0"/>
        <v>0</v>
      </c>
    </row>
    <row r="157" spans="1:155" s="6" customFormat="1" ht="15" customHeight="1">
      <c r="A157" s="146"/>
      <c r="B157" s="210" t="s">
        <v>313</v>
      </c>
      <c r="C157" s="473" t="s">
        <v>168</v>
      </c>
      <c r="D157" s="138"/>
      <c r="E157" s="62"/>
      <c r="F157" s="41"/>
      <c r="G157" s="41"/>
      <c r="H157" s="41"/>
      <c r="I157" s="4"/>
      <c r="J157" s="4"/>
      <c r="K157" s="4"/>
      <c r="L157" s="4"/>
      <c r="M157" s="4"/>
      <c r="N157" s="4"/>
      <c r="O157" s="4"/>
      <c r="P157" s="4"/>
      <c r="Q157" s="4"/>
      <c r="R157" s="40"/>
      <c r="S157" s="41"/>
      <c r="T157" s="140"/>
      <c r="U157" s="41"/>
      <c r="W157" s="46"/>
      <c r="X157" s="41"/>
      <c r="Y157" s="41"/>
      <c r="Z157" s="41"/>
      <c r="AB157" s="46"/>
      <c r="AC157" s="41"/>
      <c r="AD157" s="41"/>
      <c r="AE157" s="41"/>
      <c r="AG157" s="46"/>
      <c r="AH157" s="41"/>
      <c r="AI157" s="41"/>
      <c r="AJ157" s="41"/>
      <c r="AL157" s="46"/>
      <c r="AM157" s="41"/>
      <c r="AN157" s="41"/>
      <c r="AO157" s="41"/>
      <c r="AQ157" s="40"/>
      <c r="AR157" s="41"/>
      <c r="AS157" s="41"/>
      <c r="AT157" s="41"/>
      <c r="AV157" s="141"/>
      <c r="AW157" s="140"/>
      <c r="AX157" s="139"/>
      <c r="AY157" s="140"/>
      <c r="BA157" s="141"/>
      <c r="BB157" s="140"/>
      <c r="BC157" s="139"/>
      <c r="BD157" s="41"/>
      <c r="BF157" s="60"/>
      <c r="BG157" s="41"/>
      <c r="BH157" s="40"/>
      <c r="BI157" s="41"/>
      <c r="BK157" s="142"/>
      <c r="BL157" s="140"/>
      <c r="BM157" s="40"/>
      <c r="BN157" s="41"/>
      <c r="BP157" s="62"/>
      <c r="BQ157" s="41"/>
      <c r="BR157" s="40"/>
      <c r="BS157" s="41"/>
      <c r="BU157" s="62"/>
      <c r="BV157" s="41"/>
      <c r="BW157" s="40"/>
      <c r="BX157" s="41"/>
      <c r="BZ157" s="61"/>
      <c r="CA157" s="41"/>
      <c r="CB157" s="40"/>
      <c r="CC157" s="41"/>
      <c r="CD157" s="140"/>
      <c r="CE157" s="61"/>
      <c r="CF157" s="41"/>
      <c r="CG157" s="40"/>
      <c r="CH157" s="41"/>
      <c r="CJ157" s="141"/>
      <c r="CK157" s="140"/>
      <c r="CL157" s="139"/>
      <c r="CM157" s="140"/>
      <c r="CO157" s="223"/>
      <c r="CP157" s="41"/>
      <c r="CQ157" s="40"/>
      <c r="CR157" s="41"/>
      <c r="CT157" s="62"/>
      <c r="CU157" s="41"/>
      <c r="CV157" s="40"/>
      <c r="CW157" s="41"/>
      <c r="CY157" s="62"/>
      <c r="CZ157" s="41"/>
      <c r="DA157" s="40"/>
      <c r="DB157" s="41"/>
      <c r="DD157" s="46"/>
      <c r="DE157" s="41"/>
      <c r="DF157" s="40"/>
      <c r="DG157" s="41"/>
      <c r="DI157" s="71"/>
      <c r="DJ157" s="41"/>
      <c r="DK157" s="64"/>
      <c r="DL157" s="64"/>
      <c r="DN157" s="71"/>
      <c r="DO157" s="41"/>
      <c r="DP157" s="64"/>
      <c r="DQ157" s="64"/>
      <c r="DS157" s="60"/>
      <c r="DT157" s="41"/>
      <c r="DU157" s="64"/>
      <c r="DV157" s="64"/>
      <c r="DX157" s="60"/>
      <c r="DY157" s="41"/>
      <c r="DZ157" s="64"/>
      <c r="EA157" s="64"/>
      <c r="EC157" s="60"/>
      <c r="ED157" s="41"/>
      <c r="EE157" s="64"/>
      <c r="EF157" s="64"/>
      <c r="EH157" s="60"/>
      <c r="EI157" s="41"/>
      <c r="EJ157" s="64"/>
      <c r="EK157" s="64"/>
      <c r="EN157" s="6">
        <f>IF(SUM(EP$6:EQ$6)*50+SUM(EN5:EO5)*50&lt;=0,0)</f>
        <v>0</v>
      </c>
      <c r="ER157" s="855"/>
      <c r="EX157" s="203">
        <f t="shared" si="0"/>
        <v>0</v>
      </c>
    </row>
    <row r="158" spans="1:155" s="6" customFormat="1" ht="15" customHeight="1">
      <c r="A158" s="82" t="s">
        <v>313</v>
      </c>
      <c r="B158" s="210" t="s">
        <v>409</v>
      </c>
      <c r="C158" s="473" t="s">
        <v>168</v>
      </c>
      <c r="D158" s="138"/>
      <c r="E158" s="62"/>
      <c r="F158" s="41"/>
      <c r="G158" s="41"/>
      <c r="H158" s="41"/>
      <c r="I158" s="4"/>
      <c r="J158" s="4"/>
      <c r="K158" s="4"/>
      <c r="L158" s="4"/>
      <c r="M158" s="4"/>
      <c r="N158" s="4"/>
      <c r="O158" s="4"/>
      <c r="P158" s="4"/>
      <c r="Q158" s="4"/>
      <c r="R158" s="40"/>
      <c r="S158" s="41"/>
      <c r="T158" s="140"/>
      <c r="U158" s="41"/>
      <c r="W158" s="46"/>
      <c r="X158" s="41"/>
      <c r="Y158" s="41"/>
      <c r="Z158" s="41"/>
      <c r="AB158" s="46"/>
      <c r="AC158" s="41"/>
      <c r="AD158" s="41"/>
      <c r="AE158" s="41"/>
      <c r="AG158" s="46"/>
      <c r="AH158" s="41"/>
      <c r="AI158" s="41"/>
      <c r="AJ158" s="41"/>
      <c r="AL158" s="46"/>
      <c r="AM158" s="41"/>
      <c r="AN158" s="41"/>
      <c r="AO158" s="41"/>
      <c r="AQ158" s="40"/>
      <c r="AR158" s="41"/>
      <c r="AS158" s="41"/>
      <c r="AT158" s="41"/>
      <c r="AV158" s="141"/>
      <c r="AW158" s="140"/>
      <c r="AX158" s="139"/>
      <c r="AY158" s="140"/>
      <c r="BA158" s="141"/>
      <c r="BB158" s="140"/>
      <c r="BC158" s="139"/>
      <c r="BD158" s="41"/>
      <c r="BF158" s="60"/>
      <c r="BG158" s="41"/>
      <c r="BH158" s="40"/>
      <c r="BI158" s="41"/>
      <c r="BK158" s="142"/>
      <c r="BL158" s="140"/>
      <c r="BM158" s="40"/>
      <c r="BN158" s="41"/>
      <c r="BP158" s="62"/>
      <c r="BQ158" s="41"/>
      <c r="BR158" s="40"/>
      <c r="BS158" s="41"/>
      <c r="BU158" s="62"/>
      <c r="BV158" s="41"/>
      <c r="BW158" s="40"/>
      <c r="BX158" s="41"/>
      <c r="BZ158" s="61"/>
      <c r="CA158" s="41"/>
      <c r="CB158" s="40"/>
      <c r="CC158" s="41"/>
      <c r="CD158" s="140"/>
      <c r="CE158" s="61"/>
      <c r="CF158" s="41"/>
      <c r="CG158" s="40"/>
      <c r="CH158" s="41"/>
      <c r="CJ158" s="141"/>
      <c r="CK158" s="140"/>
      <c r="CL158" s="139"/>
      <c r="CM158" s="140"/>
      <c r="CO158" s="223"/>
      <c r="CP158" s="41"/>
      <c r="CQ158" s="40"/>
      <c r="CR158" s="41"/>
      <c r="CT158" s="62"/>
      <c r="CU158" s="41"/>
      <c r="CV158" s="40"/>
      <c r="CW158" s="41"/>
      <c r="CY158" s="62"/>
      <c r="CZ158" s="41"/>
      <c r="DA158" s="40"/>
      <c r="DB158" s="41"/>
      <c r="DD158" s="46"/>
      <c r="DE158" s="41"/>
      <c r="DF158" s="40"/>
      <c r="DG158" s="41"/>
      <c r="DI158" s="71"/>
      <c r="DJ158" s="41"/>
      <c r="DK158" s="64"/>
      <c r="DL158" s="64"/>
      <c r="DN158" s="71"/>
      <c r="DO158" s="41"/>
      <c r="DP158" s="64"/>
      <c r="DQ158" s="64"/>
      <c r="DS158" s="60"/>
      <c r="DT158" s="41"/>
      <c r="DU158" s="64"/>
      <c r="DV158" s="64"/>
      <c r="DX158" s="60"/>
      <c r="DY158" s="41"/>
      <c r="DZ158" s="64"/>
      <c r="EA158" s="64"/>
      <c r="EC158" s="60"/>
      <c r="ED158" s="41"/>
      <c r="EE158" s="64"/>
      <c r="EF158" s="64"/>
      <c r="EH158" s="60"/>
      <c r="EI158" s="41"/>
      <c r="EJ158" s="64"/>
      <c r="EK158" s="64"/>
      <c r="EN158" s="6">
        <f>SUM(EN$6:EO$6,EU6+EW6)*50</f>
        <v>0</v>
      </c>
      <c r="ER158" s="855"/>
      <c r="EX158" s="203">
        <f t="shared" si="0"/>
        <v>0</v>
      </c>
    </row>
    <row r="159" spans="1:155" s="6" customFormat="1" ht="15" customHeight="1">
      <c r="A159" s="82" t="s">
        <v>313</v>
      </c>
      <c r="B159" s="210" t="s">
        <v>1382</v>
      </c>
      <c r="C159" s="473" t="s">
        <v>168</v>
      </c>
      <c r="D159" s="4"/>
      <c r="E159" s="62"/>
      <c r="F159" s="41"/>
      <c r="G159" s="41"/>
      <c r="H159" s="41"/>
      <c r="I159" s="4"/>
      <c r="J159" s="4"/>
      <c r="K159" s="4"/>
      <c r="L159" s="4"/>
      <c r="M159" s="4"/>
      <c r="N159" s="4"/>
      <c r="O159" s="4"/>
      <c r="P159" s="4"/>
      <c r="Q159" s="4"/>
      <c r="R159" s="40"/>
      <c r="S159" s="41"/>
      <c r="T159" s="140"/>
      <c r="U159" s="41"/>
      <c r="W159" s="46"/>
      <c r="X159" s="41"/>
      <c r="Y159" s="41"/>
      <c r="Z159" s="41"/>
      <c r="AB159" s="46"/>
      <c r="AC159" s="41"/>
      <c r="AD159" s="41"/>
      <c r="AE159" s="41"/>
      <c r="AG159" s="46"/>
      <c r="AH159" s="41"/>
      <c r="AI159" s="41"/>
      <c r="AJ159" s="41"/>
      <c r="AL159" s="46"/>
      <c r="AM159" s="41"/>
      <c r="AN159" s="41"/>
      <c r="AO159" s="41"/>
      <c r="AQ159" s="40"/>
      <c r="AR159" s="41"/>
      <c r="AS159" s="41"/>
      <c r="AT159" s="41"/>
      <c r="AV159" s="141"/>
      <c r="AW159" s="140"/>
      <c r="AX159" s="139"/>
      <c r="AY159" s="140"/>
      <c r="BA159" s="141"/>
      <c r="BB159" s="140"/>
      <c r="BC159" s="139"/>
      <c r="BD159" s="41"/>
      <c r="BF159" s="60"/>
      <c r="BG159" s="41"/>
      <c r="BH159" s="40"/>
      <c r="BI159" s="41"/>
      <c r="BK159" s="62"/>
      <c r="BL159" s="41"/>
      <c r="BM159" s="40"/>
      <c r="BN159" s="41"/>
      <c r="BP159" s="62"/>
      <c r="BQ159" s="41"/>
      <c r="BR159" s="40"/>
      <c r="BS159" s="41"/>
      <c r="BU159" s="62"/>
      <c r="BV159" s="41"/>
      <c r="BW159" s="40"/>
      <c r="BX159" s="41"/>
      <c r="BZ159" s="61"/>
      <c r="CA159" s="41"/>
      <c r="CB159" s="40"/>
      <c r="CC159" s="41"/>
      <c r="CD159" s="140"/>
      <c r="CE159" s="61"/>
      <c r="CF159" s="41"/>
      <c r="CG159" s="40"/>
      <c r="CH159" s="41"/>
      <c r="CJ159" s="141"/>
      <c r="CK159" s="140"/>
      <c r="CL159" s="139"/>
      <c r="CM159" s="140"/>
      <c r="CO159" s="223"/>
      <c r="CP159" s="41"/>
      <c r="CQ159" s="40"/>
      <c r="CR159" s="41"/>
      <c r="CT159" s="62"/>
      <c r="CU159" s="41"/>
      <c r="CV159" s="40"/>
      <c r="CW159" s="41"/>
      <c r="CY159" s="62"/>
      <c r="CZ159" s="41"/>
      <c r="DA159" s="40"/>
      <c r="DB159" s="41"/>
      <c r="DD159" s="46"/>
      <c r="DE159" s="41"/>
      <c r="DF159" s="40"/>
      <c r="DG159" s="41"/>
      <c r="DI159" s="71"/>
      <c r="DJ159" s="41"/>
      <c r="DK159" s="64"/>
      <c r="DL159" s="64"/>
      <c r="DN159" s="71"/>
      <c r="DO159" s="41"/>
      <c r="DP159" s="64"/>
      <c r="DQ159" s="64"/>
      <c r="DS159" s="60"/>
      <c r="DT159" s="41"/>
      <c r="DU159" s="64"/>
      <c r="DV159" s="64"/>
      <c r="DX159" s="60"/>
      <c r="DY159" s="41"/>
      <c r="DZ159" s="64"/>
      <c r="EA159" s="64"/>
      <c r="EC159" s="60"/>
      <c r="ED159" s="41"/>
      <c r="EE159" s="64"/>
      <c r="EF159" s="64"/>
      <c r="EH159" s="60"/>
      <c r="EI159" s="41"/>
      <c r="EJ159" s="64"/>
      <c r="EK159" s="64"/>
      <c r="EN159" s="6">
        <f>SUM(ET6+EU6)*50</f>
        <v>0</v>
      </c>
      <c r="ER159" s="855"/>
      <c r="EX159" s="203">
        <f t="shared" si="0"/>
        <v>0</v>
      </c>
    </row>
    <row r="160" spans="1:155" s="6" customFormat="1" ht="15" customHeight="1">
      <c r="A160" s="82"/>
      <c r="B160" s="210" t="s">
        <v>1425</v>
      </c>
      <c r="C160" s="473" t="s">
        <v>168</v>
      </c>
      <c r="D160" s="4"/>
      <c r="E160" s="62"/>
      <c r="F160" s="41"/>
      <c r="G160" s="41"/>
      <c r="H160" s="41"/>
      <c r="I160" s="4"/>
      <c r="J160" s="4"/>
      <c r="K160" s="4"/>
      <c r="L160" s="4"/>
      <c r="M160" s="4"/>
      <c r="N160" s="4"/>
      <c r="O160" s="4"/>
      <c r="P160" s="4"/>
      <c r="Q160" s="4"/>
      <c r="R160" s="40"/>
      <c r="S160" s="41"/>
      <c r="T160" s="140"/>
      <c r="U160" s="41"/>
      <c r="W160" s="46"/>
      <c r="X160" s="41"/>
      <c r="Y160" s="41"/>
      <c r="Z160" s="41"/>
      <c r="AB160" s="46"/>
      <c r="AC160" s="41"/>
      <c r="AD160" s="41"/>
      <c r="AE160" s="41"/>
      <c r="AG160" s="46"/>
      <c r="AH160" s="41"/>
      <c r="AI160" s="41"/>
      <c r="AJ160" s="41"/>
      <c r="AL160" s="46"/>
      <c r="AM160" s="41"/>
      <c r="AN160" s="41"/>
      <c r="AO160" s="41"/>
      <c r="AQ160" s="40"/>
      <c r="AR160" s="41"/>
      <c r="AS160" s="41"/>
      <c r="AT160" s="41"/>
      <c r="AV160" s="141"/>
      <c r="AW160" s="140"/>
      <c r="AX160" s="139"/>
      <c r="AY160" s="140"/>
      <c r="BA160" s="141"/>
      <c r="BB160" s="140"/>
      <c r="BC160" s="139"/>
      <c r="BD160" s="41"/>
      <c r="BF160" s="60"/>
      <c r="BG160" s="41"/>
      <c r="BH160" s="40"/>
      <c r="BI160" s="41"/>
      <c r="BK160" s="62"/>
      <c r="BL160" s="41"/>
      <c r="BM160" s="40"/>
      <c r="BN160" s="41"/>
      <c r="BP160" s="62"/>
      <c r="BQ160" s="41"/>
      <c r="BR160" s="40"/>
      <c r="BS160" s="41"/>
      <c r="BU160" s="62"/>
      <c r="BV160" s="41"/>
      <c r="BW160" s="40"/>
      <c r="BX160" s="41"/>
      <c r="BZ160" s="61"/>
      <c r="CA160" s="41"/>
      <c r="CB160" s="40"/>
      <c r="CC160" s="41"/>
      <c r="CD160" s="140"/>
      <c r="CE160" s="61"/>
      <c r="CF160" s="41"/>
      <c r="CG160" s="40"/>
      <c r="CH160" s="41"/>
      <c r="CJ160" s="141"/>
      <c r="CK160" s="140"/>
      <c r="CL160" s="139"/>
      <c r="CM160" s="140"/>
      <c r="CO160" s="223"/>
      <c r="CP160" s="41"/>
      <c r="CQ160" s="40"/>
      <c r="CR160" s="41"/>
      <c r="CT160" s="62"/>
      <c r="CU160" s="41"/>
      <c r="CV160" s="40"/>
      <c r="CW160" s="41"/>
      <c r="CY160" s="62"/>
      <c r="CZ160" s="41"/>
      <c r="DA160" s="40"/>
      <c r="DB160" s="41"/>
      <c r="DD160" s="46"/>
      <c r="DE160" s="41"/>
      <c r="DF160" s="40"/>
      <c r="DG160" s="41"/>
      <c r="DI160" s="71"/>
      <c r="DJ160" s="41"/>
      <c r="DK160" s="64"/>
      <c r="DL160" s="64"/>
      <c r="DN160" s="71"/>
      <c r="DO160" s="41"/>
      <c r="DP160" s="64"/>
      <c r="DQ160" s="64"/>
      <c r="DS160" s="60"/>
      <c r="DT160" s="41"/>
      <c r="DU160" s="64"/>
      <c r="DV160" s="64"/>
      <c r="DX160" s="60"/>
      <c r="DY160" s="41"/>
      <c r="DZ160" s="64"/>
      <c r="EA160" s="64"/>
      <c r="EC160" s="60"/>
      <c r="ED160" s="41"/>
      <c r="EE160" s="64"/>
      <c r="EF160" s="64"/>
      <c r="EH160" s="60"/>
      <c r="EI160" s="41"/>
      <c r="EJ160" s="64"/>
      <c r="EK160" s="64"/>
      <c r="ER160" s="855"/>
      <c r="EX160" s="203">
        <f t="shared" si="0"/>
        <v>0</v>
      </c>
    </row>
    <row r="161" spans="1:154" s="6" customFormat="1" ht="15" customHeight="1">
      <c r="A161" s="82"/>
      <c r="B161" s="210" t="s">
        <v>1380</v>
      </c>
      <c r="C161" s="473" t="s">
        <v>168</v>
      </c>
      <c r="D161" s="4"/>
      <c r="E161" s="62"/>
      <c r="F161" s="41"/>
      <c r="G161" s="41"/>
      <c r="H161" s="41"/>
      <c r="I161" s="4"/>
      <c r="J161" s="4"/>
      <c r="K161" s="4"/>
      <c r="L161" s="4"/>
      <c r="M161" s="4"/>
      <c r="N161" s="4"/>
      <c r="O161" s="4"/>
      <c r="P161" s="4"/>
      <c r="Q161" s="4"/>
      <c r="R161" s="40"/>
      <c r="S161" s="41"/>
      <c r="T161" s="140"/>
      <c r="U161" s="41"/>
      <c r="W161" s="46"/>
      <c r="X161" s="41"/>
      <c r="Y161" s="41"/>
      <c r="Z161" s="41"/>
      <c r="AB161" s="46"/>
      <c r="AC161" s="41"/>
      <c r="AD161" s="41"/>
      <c r="AE161" s="41"/>
      <c r="AG161" s="46"/>
      <c r="AH161" s="41"/>
      <c r="AI161" s="41"/>
      <c r="AJ161" s="41"/>
      <c r="AL161" s="46"/>
      <c r="AM161" s="41"/>
      <c r="AN161" s="41"/>
      <c r="AO161" s="41"/>
      <c r="AQ161" s="40"/>
      <c r="AR161" s="41"/>
      <c r="AS161" s="41"/>
      <c r="AT161" s="41"/>
      <c r="AV161" s="141"/>
      <c r="AW161" s="140"/>
      <c r="AX161" s="139"/>
      <c r="AY161" s="140"/>
      <c r="BA161" s="141"/>
      <c r="BB161" s="140"/>
      <c r="BC161" s="139"/>
      <c r="BD161" s="41"/>
      <c r="BF161" s="60"/>
      <c r="BG161" s="41"/>
      <c r="BH161" s="40"/>
      <c r="BI161" s="41"/>
      <c r="BK161" s="62"/>
      <c r="BL161" s="41"/>
      <c r="BM161" s="40"/>
      <c r="BN161" s="41"/>
      <c r="BP161" s="62"/>
      <c r="BQ161" s="41"/>
      <c r="BR161" s="40"/>
      <c r="BS161" s="41"/>
      <c r="BU161" s="62"/>
      <c r="BV161" s="41"/>
      <c r="BW161" s="40"/>
      <c r="BX161" s="41"/>
      <c r="BZ161" s="61"/>
      <c r="CA161" s="41"/>
      <c r="CB161" s="40"/>
      <c r="CC161" s="41"/>
      <c r="CD161" s="140"/>
      <c r="CE161" s="61"/>
      <c r="CF161" s="41"/>
      <c r="CG161" s="40"/>
      <c r="CH161" s="41"/>
      <c r="CJ161" s="141"/>
      <c r="CK161" s="140"/>
      <c r="CL161" s="139"/>
      <c r="CM161" s="140"/>
      <c r="CO161" s="223"/>
      <c r="CP161" s="41"/>
      <c r="CQ161" s="40"/>
      <c r="CR161" s="41"/>
      <c r="CT161" s="62"/>
      <c r="CU161" s="41"/>
      <c r="CV161" s="40"/>
      <c r="CW161" s="41"/>
      <c r="CY161" s="62"/>
      <c r="CZ161" s="41"/>
      <c r="DA161" s="40"/>
      <c r="DB161" s="41"/>
      <c r="DD161" s="46"/>
      <c r="DE161" s="41"/>
      <c r="DF161" s="40"/>
      <c r="DG161" s="41"/>
      <c r="DI161" s="71"/>
      <c r="DJ161" s="41"/>
      <c r="DK161" s="64"/>
      <c r="DL161" s="64"/>
      <c r="DN161" s="71"/>
      <c r="DO161" s="41"/>
      <c r="DP161" s="64"/>
      <c r="DQ161" s="64"/>
      <c r="DS161" s="60"/>
      <c r="DT161" s="41"/>
      <c r="DU161" s="64"/>
      <c r="DV161" s="64"/>
      <c r="DX161" s="60"/>
      <c r="DY161" s="41"/>
      <c r="DZ161" s="64"/>
      <c r="EA161" s="64"/>
      <c r="EC161" s="60"/>
      <c r="ED161" s="41"/>
      <c r="EE161" s="64"/>
      <c r="EF161" s="64"/>
      <c r="EH161" s="60"/>
      <c r="EI161" s="41"/>
      <c r="EJ161" s="64"/>
      <c r="EK161" s="64"/>
      <c r="ER161" s="855"/>
      <c r="EX161" s="203">
        <f t="shared" si="0"/>
        <v>0</v>
      </c>
    </row>
    <row r="162" spans="1:154" s="6" customFormat="1" ht="15" customHeight="1">
      <c r="A162" s="90" t="s">
        <v>58</v>
      </c>
      <c r="B162" s="210" t="s">
        <v>58</v>
      </c>
      <c r="C162" s="473" t="s">
        <v>386</v>
      </c>
      <c r="D162" s="138"/>
      <c r="E162" s="40"/>
      <c r="F162" s="40"/>
      <c r="G162" s="40"/>
      <c r="H162" s="40"/>
      <c r="I162" s="4"/>
      <c r="J162" s="4"/>
      <c r="K162" s="4"/>
      <c r="L162" s="4"/>
      <c r="M162" s="4"/>
      <c r="N162" s="4"/>
      <c r="O162" s="4"/>
      <c r="P162" s="4"/>
      <c r="Q162" s="4"/>
      <c r="R162" s="40"/>
      <c r="S162" s="41"/>
      <c r="T162" s="140"/>
      <c r="U162" s="41"/>
      <c r="W162" s="40"/>
      <c r="X162" s="41"/>
      <c r="Y162" s="41"/>
      <c r="Z162" s="41"/>
      <c r="AB162" s="40"/>
      <c r="AC162" s="41"/>
      <c r="AD162" s="41"/>
      <c r="AE162" s="41"/>
      <c r="AG162" s="40"/>
      <c r="AH162" s="41"/>
      <c r="AI162" s="41"/>
      <c r="AJ162" s="41"/>
      <c r="AL162" s="40"/>
      <c r="AM162" s="41"/>
      <c r="AN162" s="41"/>
      <c r="AO162" s="41"/>
      <c r="AQ162" s="40"/>
      <c r="AR162" s="41"/>
      <c r="AS162" s="41"/>
      <c r="AT162" s="41"/>
      <c r="AV162" s="139"/>
      <c r="AW162" s="139"/>
      <c r="AX162" s="139"/>
      <c r="AY162" s="140"/>
      <c r="BA162" s="139"/>
      <c r="BB162" s="139"/>
      <c r="BC162" s="139"/>
      <c r="BD162" s="41"/>
      <c r="BF162" s="40"/>
      <c r="BG162" s="40"/>
      <c r="BH162" s="40"/>
      <c r="BI162" s="41"/>
      <c r="BK162" s="139"/>
      <c r="BL162" s="139"/>
      <c r="BM162" s="40"/>
      <c r="BN162" s="41"/>
      <c r="BP162" s="40"/>
      <c r="BQ162" s="40"/>
      <c r="BR162" s="40"/>
      <c r="BS162" s="41"/>
      <c r="BU162" s="40"/>
      <c r="BV162" s="40"/>
      <c r="BW162" s="40"/>
      <c r="BX162" s="41"/>
      <c r="BZ162" s="40"/>
      <c r="CA162" s="40"/>
      <c r="CB162" s="40"/>
      <c r="CC162" s="41"/>
      <c r="CD162" s="140"/>
      <c r="CE162" s="40"/>
      <c r="CF162" s="40"/>
      <c r="CG162" s="40"/>
      <c r="CH162" s="41"/>
      <c r="CJ162" s="139"/>
      <c r="CK162" s="139"/>
      <c r="CL162" s="139"/>
      <c r="CM162" s="140"/>
      <c r="CO162" s="222"/>
      <c r="CP162" s="40"/>
      <c r="CQ162" s="40"/>
      <c r="CR162" s="41"/>
      <c r="CT162" s="40"/>
      <c r="CU162" s="40"/>
      <c r="CV162" s="40"/>
      <c r="CW162" s="41"/>
      <c r="CY162" s="40"/>
      <c r="CZ162" s="40"/>
      <c r="DA162" s="40"/>
      <c r="DB162" s="41"/>
      <c r="DD162" s="40"/>
      <c r="DE162" s="40"/>
      <c r="DF162" s="40"/>
      <c r="DG162" s="41"/>
      <c r="DI162" s="64"/>
      <c r="DJ162" s="64"/>
      <c r="DK162" s="64"/>
      <c r="DL162" s="64"/>
      <c r="DN162" s="64"/>
      <c r="DO162" s="64"/>
      <c r="DP162" s="64"/>
      <c r="DQ162" s="64"/>
      <c r="DS162" s="64"/>
      <c r="DT162" s="64"/>
      <c r="DU162" s="64"/>
      <c r="DV162" s="64"/>
      <c r="DX162" s="64"/>
      <c r="DY162" s="64"/>
      <c r="DZ162" s="64"/>
      <c r="EA162" s="64"/>
      <c r="EC162" s="64"/>
      <c r="ED162" s="64"/>
      <c r="EE162" s="64"/>
      <c r="EF162" s="64"/>
      <c r="EH162" s="64"/>
      <c r="EI162" s="64"/>
      <c r="EJ162" s="64"/>
      <c r="EK162" s="64"/>
      <c r="ER162" s="855"/>
      <c r="EX162" s="203">
        <f t="shared" si="0"/>
        <v>0</v>
      </c>
    </row>
    <row r="163" spans="1:154" s="6" customFormat="1" ht="15" customHeight="1">
      <c r="A163" s="90" t="s">
        <v>59</v>
      </c>
      <c r="B163" s="210" t="s">
        <v>59</v>
      </c>
      <c r="C163" s="473" t="s">
        <v>386</v>
      </c>
      <c r="D163" s="138"/>
      <c r="E163" s="40"/>
      <c r="F163" s="40"/>
      <c r="G163" s="40"/>
      <c r="H163" s="40"/>
      <c r="I163" s="4"/>
      <c r="J163" s="4"/>
      <c r="K163" s="4"/>
      <c r="L163" s="4"/>
      <c r="M163" s="4"/>
      <c r="N163" s="4"/>
      <c r="O163" s="4"/>
      <c r="P163" s="4"/>
      <c r="Q163" s="4"/>
      <c r="R163" s="40"/>
      <c r="S163" s="41"/>
      <c r="T163" s="140"/>
      <c r="U163" s="41"/>
      <c r="W163" s="40"/>
      <c r="X163" s="41"/>
      <c r="Y163" s="41"/>
      <c r="Z163" s="41"/>
      <c r="AB163" s="40"/>
      <c r="AC163" s="41"/>
      <c r="AD163" s="41"/>
      <c r="AE163" s="41"/>
      <c r="AG163" s="40"/>
      <c r="AH163" s="41"/>
      <c r="AI163" s="41"/>
      <c r="AJ163" s="41"/>
      <c r="AL163" s="40"/>
      <c r="AM163" s="41"/>
      <c r="AN163" s="41"/>
      <c r="AO163" s="41"/>
      <c r="AQ163" s="40"/>
      <c r="AR163" s="41"/>
      <c r="AS163" s="41"/>
      <c r="AT163" s="41"/>
      <c r="AV163" s="139"/>
      <c r="AW163" s="139"/>
      <c r="AX163" s="139"/>
      <c r="AY163" s="140"/>
      <c r="BA163" s="139"/>
      <c r="BB163" s="139"/>
      <c r="BC163" s="139"/>
      <c r="BD163" s="41"/>
      <c r="BF163" s="40"/>
      <c r="BG163" s="40"/>
      <c r="BH163" s="40"/>
      <c r="BI163" s="41"/>
      <c r="BK163" s="139"/>
      <c r="BL163" s="139"/>
      <c r="BM163" s="40"/>
      <c r="BN163" s="41"/>
      <c r="BP163" s="40"/>
      <c r="BQ163" s="40"/>
      <c r="BR163" s="40"/>
      <c r="BS163" s="41"/>
      <c r="BU163" s="40"/>
      <c r="BV163" s="40"/>
      <c r="BW163" s="40"/>
      <c r="BX163" s="41"/>
      <c r="BZ163" s="40"/>
      <c r="CA163" s="40"/>
      <c r="CB163" s="40"/>
      <c r="CC163" s="41"/>
      <c r="CD163" s="140"/>
      <c r="CE163" s="40"/>
      <c r="CF163" s="40"/>
      <c r="CG163" s="40"/>
      <c r="CH163" s="41"/>
      <c r="CJ163" s="139"/>
      <c r="CK163" s="139"/>
      <c r="CL163" s="139"/>
      <c r="CM163" s="140"/>
      <c r="CO163" s="222"/>
      <c r="CP163" s="40"/>
      <c r="CQ163" s="40"/>
      <c r="CR163" s="41"/>
      <c r="CT163" s="40"/>
      <c r="CU163" s="40"/>
      <c r="CV163" s="40"/>
      <c r="CW163" s="41"/>
      <c r="CY163" s="40"/>
      <c r="CZ163" s="40"/>
      <c r="DA163" s="40"/>
      <c r="DB163" s="41"/>
      <c r="DD163" s="40"/>
      <c r="DE163" s="40"/>
      <c r="DF163" s="40"/>
      <c r="DG163" s="41"/>
      <c r="DI163" s="64"/>
      <c r="DJ163" s="64"/>
      <c r="DK163" s="64"/>
      <c r="DL163" s="64"/>
      <c r="DN163" s="64"/>
      <c r="DO163" s="64"/>
      <c r="DP163" s="64"/>
      <c r="DQ163" s="64"/>
      <c r="DS163" s="64"/>
      <c r="DT163" s="64"/>
      <c r="DU163" s="64"/>
      <c r="DV163" s="64"/>
      <c r="DX163" s="64"/>
      <c r="DY163" s="64"/>
      <c r="DZ163" s="64"/>
      <c r="EA163" s="64"/>
      <c r="EC163" s="64"/>
      <c r="ED163" s="64"/>
      <c r="EE163" s="64"/>
      <c r="EF163" s="64"/>
      <c r="EH163" s="64"/>
      <c r="EI163" s="64"/>
      <c r="EJ163" s="64"/>
      <c r="EK163" s="64"/>
      <c r="ER163" s="855"/>
      <c r="EX163" s="203">
        <f t="shared" si="0"/>
        <v>0</v>
      </c>
    </row>
    <row r="164" spans="1:154" s="6" customFormat="1" ht="15" customHeight="1">
      <c r="A164" s="90" t="s">
        <v>60</v>
      </c>
      <c r="B164" s="210" t="s">
        <v>60</v>
      </c>
      <c r="C164" s="473" t="s">
        <v>386</v>
      </c>
      <c r="D164" s="138"/>
      <c r="E164" s="40"/>
      <c r="F164" s="40"/>
      <c r="G164" s="40"/>
      <c r="H164" s="40"/>
      <c r="I164" s="4"/>
      <c r="J164" s="4"/>
      <c r="K164" s="4"/>
      <c r="L164" s="4"/>
      <c r="M164" s="4"/>
      <c r="N164" s="4"/>
      <c r="O164" s="4"/>
      <c r="P164" s="4"/>
      <c r="Q164" s="4"/>
      <c r="R164" s="40"/>
      <c r="S164" s="41"/>
      <c r="T164" s="140"/>
      <c r="U164" s="41"/>
      <c r="W164" s="40"/>
      <c r="X164" s="41"/>
      <c r="Y164" s="41"/>
      <c r="Z164" s="41"/>
      <c r="AB164" s="40"/>
      <c r="AC164" s="41"/>
      <c r="AD164" s="41"/>
      <c r="AE164" s="41"/>
      <c r="AG164" s="40"/>
      <c r="AH164" s="41"/>
      <c r="AI164" s="41"/>
      <c r="AJ164" s="41"/>
      <c r="AL164" s="40"/>
      <c r="AM164" s="41"/>
      <c r="AN164" s="41"/>
      <c r="AO164" s="41"/>
      <c r="AQ164" s="40"/>
      <c r="AR164" s="41"/>
      <c r="AS164" s="41"/>
      <c r="AT164" s="41"/>
      <c r="AV164" s="139"/>
      <c r="AW164" s="139"/>
      <c r="AX164" s="139"/>
      <c r="AY164" s="140"/>
      <c r="BA164" s="139"/>
      <c r="BB164" s="139"/>
      <c r="BC164" s="139"/>
      <c r="BD164" s="41"/>
      <c r="BF164" s="40"/>
      <c r="BG164" s="40"/>
      <c r="BH164" s="40"/>
      <c r="BI164" s="41"/>
      <c r="BK164" s="139"/>
      <c r="BL164" s="139"/>
      <c r="BM164" s="40"/>
      <c r="BN164" s="41"/>
      <c r="BP164" s="40"/>
      <c r="BQ164" s="40"/>
      <c r="BR164" s="40"/>
      <c r="BS164" s="41"/>
      <c r="BU164" s="40"/>
      <c r="BV164" s="40"/>
      <c r="BW164" s="40"/>
      <c r="BX164" s="41"/>
      <c r="BZ164" s="40"/>
      <c r="CA164" s="40"/>
      <c r="CB164" s="40"/>
      <c r="CC164" s="41"/>
      <c r="CD164" s="140"/>
      <c r="CE164" s="40"/>
      <c r="CF164" s="40"/>
      <c r="CG164" s="40"/>
      <c r="CH164" s="41"/>
      <c r="CJ164" s="139"/>
      <c r="CK164" s="139"/>
      <c r="CL164" s="139"/>
      <c r="CM164" s="140"/>
      <c r="CO164" s="222"/>
      <c r="CP164" s="40"/>
      <c r="CQ164" s="40"/>
      <c r="CR164" s="41"/>
      <c r="CT164" s="40"/>
      <c r="CU164" s="40"/>
      <c r="CV164" s="40"/>
      <c r="CW164" s="41"/>
      <c r="CY164" s="40"/>
      <c r="CZ164" s="40"/>
      <c r="DA164" s="40"/>
      <c r="DB164" s="41"/>
      <c r="DD164" s="40"/>
      <c r="DE164" s="40"/>
      <c r="DF164" s="40"/>
      <c r="DG164" s="41"/>
      <c r="DI164" s="64"/>
      <c r="DJ164" s="64"/>
      <c r="DK164" s="64"/>
      <c r="DL164" s="64"/>
      <c r="DN164" s="64"/>
      <c r="DO164" s="64"/>
      <c r="DP164" s="64"/>
      <c r="DQ164" s="64"/>
      <c r="DS164" s="64"/>
      <c r="DT164" s="64"/>
      <c r="DU164" s="64"/>
      <c r="DV164" s="64"/>
      <c r="DX164" s="64"/>
      <c r="DY164" s="64"/>
      <c r="DZ164" s="64"/>
      <c r="EA164" s="64"/>
      <c r="EC164" s="64"/>
      <c r="ED164" s="64"/>
      <c r="EE164" s="64"/>
      <c r="EF164" s="64"/>
      <c r="EH164" s="64"/>
      <c r="EI164" s="64"/>
      <c r="EJ164" s="64"/>
      <c r="EK164" s="64"/>
      <c r="ER164" s="855"/>
      <c r="EX164" s="203">
        <f t="shared" si="0"/>
        <v>0</v>
      </c>
    </row>
    <row r="165" spans="1:154" s="6" customFormat="1" ht="15" customHeight="1">
      <c r="A165" s="90" t="s">
        <v>61</v>
      </c>
      <c r="B165" s="210" t="s">
        <v>61</v>
      </c>
      <c r="C165" s="473" t="s">
        <v>386</v>
      </c>
      <c r="D165" s="138"/>
      <c r="E165" s="40"/>
      <c r="F165" s="40"/>
      <c r="G165" s="40"/>
      <c r="H165" s="40"/>
      <c r="I165" s="4"/>
      <c r="J165" s="4"/>
      <c r="K165" s="4"/>
      <c r="L165" s="4"/>
      <c r="M165" s="4"/>
      <c r="N165" s="4"/>
      <c r="O165" s="4"/>
      <c r="P165" s="4"/>
      <c r="Q165" s="4"/>
      <c r="R165" s="40"/>
      <c r="S165" s="41"/>
      <c r="T165" s="140"/>
      <c r="U165" s="41"/>
      <c r="W165" s="40"/>
      <c r="X165" s="41"/>
      <c r="Y165" s="41"/>
      <c r="Z165" s="41"/>
      <c r="AB165" s="40"/>
      <c r="AC165" s="41"/>
      <c r="AD165" s="41"/>
      <c r="AE165" s="41"/>
      <c r="AG165" s="40"/>
      <c r="AH165" s="41"/>
      <c r="AI165" s="41"/>
      <c r="AJ165" s="41"/>
      <c r="AL165" s="40"/>
      <c r="AM165" s="41"/>
      <c r="AN165" s="41"/>
      <c r="AO165" s="41"/>
      <c r="AQ165" s="40"/>
      <c r="AR165" s="41"/>
      <c r="AS165" s="41"/>
      <c r="AT165" s="41"/>
      <c r="AV165" s="139"/>
      <c r="AW165" s="139"/>
      <c r="AX165" s="139"/>
      <c r="AY165" s="140"/>
      <c r="BA165" s="139"/>
      <c r="BB165" s="139"/>
      <c r="BC165" s="139"/>
      <c r="BD165" s="41"/>
      <c r="BF165" s="40"/>
      <c r="BG165" s="40"/>
      <c r="BH165" s="40"/>
      <c r="BI165" s="41"/>
      <c r="BK165" s="139"/>
      <c r="BL165" s="139"/>
      <c r="BM165" s="40"/>
      <c r="BN165" s="41"/>
      <c r="BP165" s="40"/>
      <c r="BQ165" s="40"/>
      <c r="BR165" s="40"/>
      <c r="BS165" s="41"/>
      <c r="BU165" s="40"/>
      <c r="BV165" s="40"/>
      <c r="BW165" s="40"/>
      <c r="BX165" s="41"/>
      <c r="BZ165" s="40"/>
      <c r="CA165" s="40"/>
      <c r="CB165" s="40"/>
      <c r="CC165" s="41"/>
      <c r="CD165" s="140"/>
      <c r="CE165" s="40"/>
      <c r="CF165" s="40"/>
      <c r="CG165" s="40"/>
      <c r="CH165" s="41"/>
      <c r="CJ165" s="139"/>
      <c r="CK165" s="139"/>
      <c r="CL165" s="139"/>
      <c r="CM165" s="140"/>
      <c r="CO165" s="222"/>
      <c r="CP165" s="40"/>
      <c r="CQ165" s="40"/>
      <c r="CR165" s="41"/>
      <c r="CT165" s="40"/>
      <c r="CU165" s="40"/>
      <c r="CV165" s="40"/>
      <c r="CW165" s="41"/>
      <c r="CY165" s="40"/>
      <c r="CZ165" s="40"/>
      <c r="DA165" s="40"/>
      <c r="DB165" s="41"/>
      <c r="DD165" s="40"/>
      <c r="DE165" s="40"/>
      <c r="DF165" s="40"/>
      <c r="DG165" s="41"/>
      <c r="DI165" s="64"/>
      <c r="DJ165" s="64"/>
      <c r="DK165" s="64"/>
      <c r="DL165" s="64"/>
      <c r="DN165" s="64"/>
      <c r="DO165" s="64"/>
      <c r="DP165" s="64"/>
      <c r="DQ165" s="64"/>
      <c r="DS165" s="64"/>
      <c r="DT165" s="64"/>
      <c r="DU165" s="64"/>
      <c r="DV165" s="64"/>
      <c r="DX165" s="64"/>
      <c r="DY165" s="64"/>
      <c r="DZ165" s="64"/>
      <c r="EA165" s="64"/>
      <c r="EC165" s="64"/>
      <c r="ED165" s="64"/>
      <c r="EE165" s="64"/>
      <c r="EF165" s="64"/>
      <c r="EH165" s="64"/>
      <c r="EI165" s="64"/>
      <c r="EJ165" s="64"/>
      <c r="EK165" s="64"/>
      <c r="ER165" s="855"/>
      <c r="EX165" s="203">
        <f t="shared" si="0"/>
        <v>0</v>
      </c>
    </row>
    <row r="166" spans="1:154" s="6" customFormat="1" ht="15" customHeight="1">
      <c r="A166" s="90"/>
      <c r="B166" s="210" t="s">
        <v>1534</v>
      </c>
      <c r="C166" s="473" t="s">
        <v>168</v>
      </c>
      <c r="D166" s="138"/>
      <c r="E166" s="40"/>
      <c r="F166" s="40"/>
      <c r="G166" s="40"/>
      <c r="H166" s="40"/>
      <c r="I166" s="4"/>
      <c r="J166" s="4"/>
      <c r="K166" s="4"/>
      <c r="L166" s="4"/>
      <c r="M166" s="4"/>
      <c r="N166" s="4"/>
      <c r="O166" s="4"/>
      <c r="P166" s="4"/>
      <c r="Q166" s="4"/>
      <c r="R166" s="40"/>
      <c r="S166" s="41"/>
      <c r="T166" s="140"/>
      <c r="U166" s="41"/>
      <c r="W166" s="40"/>
      <c r="X166" s="41"/>
      <c r="Y166" s="41"/>
      <c r="Z166" s="41"/>
      <c r="AB166" s="40"/>
      <c r="AC166" s="41"/>
      <c r="AD166" s="41"/>
      <c r="AE166" s="41"/>
      <c r="AG166" s="40"/>
      <c r="AH166" s="41"/>
      <c r="AI166" s="41"/>
      <c r="AJ166" s="41"/>
      <c r="AL166" s="40"/>
      <c r="AM166" s="41"/>
      <c r="AN166" s="41"/>
      <c r="AO166" s="41"/>
      <c r="AQ166" s="40"/>
      <c r="AR166" s="41"/>
      <c r="AS166" s="41"/>
      <c r="AT166" s="41"/>
      <c r="AV166" s="139"/>
      <c r="AW166" s="139"/>
      <c r="AX166" s="139"/>
      <c r="AY166" s="140"/>
      <c r="BA166" s="139"/>
      <c r="BB166" s="139"/>
      <c r="BC166" s="139"/>
      <c r="BD166" s="41"/>
      <c r="BF166" s="40"/>
      <c r="BG166" s="40"/>
      <c r="BH166" s="40"/>
      <c r="BI166" s="41"/>
      <c r="BK166" s="139"/>
      <c r="BL166" s="139"/>
      <c r="BM166" s="40"/>
      <c r="BN166" s="41"/>
      <c r="BP166" s="40"/>
      <c r="BQ166" s="40"/>
      <c r="BR166" s="40"/>
      <c r="BS166" s="41"/>
      <c r="BU166" s="40"/>
      <c r="BV166" s="40"/>
      <c r="BW166" s="40"/>
      <c r="BX166" s="41"/>
      <c r="BZ166" s="40"/>
      <c r="CA166" s="40"/>
      <c r="CB166" s="40"/>
      <c r="CC166" s="41"/>
      <c r="CD166" s="140"/>
      <c r="CE166" s="40"/>
      <c r="CF166" s="40"/>
      <c r="CG166" s="40"/>
      <c r="CH166" s="41"/>
      <c r="CJ166" s="139"/>
      <c r="CK166" s="139"/>
      <c r="CL166" s="139"/>
      <c r="CM166" s="140"/>
      <c r="CO166" s="222"/>
      <c r="CP166" s="40"/>
      <c r="CQ166" s="40"/>
      <c r="CR166" s="41"/>
      <c r="CT166" s="40"/>
      <c r="CU166" s="40"/>
      <c r="CV166" s="40"/>
      <c r="CW166" s="41"/>
      <c r="CY166" s="40"/>
      <c r="CZ166" s="40"/>
      <c r="DA166" s="40"/>
      <c r="DB166" s="41"/>
      <c r="DD166" s="40"/>
      <c r="DE166" s="40"/>
      <c r="DF166" s="40"/>
      <c r="DG166" s="41"/>
      <c r="DI166" s="64"/>
      <c r="DJ166" s="64"/>
      <c r="DK166" s="64"/>
      <c r="DL166" s="64"/>
      <c r="DN166" s="64"/>
      <c r="DO166" s="64"/>
      <c r="DP166" s="64"/>
      <c r="DQ166" s="64"/>
      <c r="DS166" s="64"/>
      <c r="DT166" s="64"/>
      <c r="DU166" s="64"/>
      <c r="DV166" s="64"/>
      <c r="DX166" s="64"/>
      <c r="DY166" s="64"/>
      <c r="DZ166" s="64"/>
      <c r="EA166" s="64"/>
      <c r="EC166" s="64"/>
      <c r="ED166" s="64"/>
      <c r="EE166" s="64"/>
      <c r="EF166" s="64"/>
      <c r="EH166" s="64"/>
      <c r="EI166" s="64"/>
      <c r="EJ166" s="64"/>
      <c r="EK166" s="64"/>
      <c r="ER166" s="855"/>
      <c r="EX166" s="203">
        <f t="shared" si="0"/>
        <v>0</v>
      </c>
    </row>
    <row r="167" spans="1:154" s="6" customFormat="1" ht="15" customHeight="1">
      <c r="A167" s="90"/>
      <c r="B167" s="210" t="s">
        <v>1556</v>
      </c>
      <c r="C167" s="473" t="s">
        <v>386</v>
      </c>
      <c r="D167" s="138"/>
      <c r="E167" s="40"/>
      <c r="F167" s="40"/>
      <c r="G167" s="40"/>
      <c r="H167" s="40"/>
      <c r="I167" s="4"/>
      <c r="J167" s="4"/>
      <c r="K167" s="4"/>
      <c r="L167" s="4"/>
      <c r="M167" s="4"/>
      <c r="N167" s="4"/>
      <c r="O167" s="4"/>
      <c r="P167" s="4"/>
      <c r="Q167" s="4"/>
      <c r="R167" s="40"/>
      <c r="S167" s="41"/>
      <c r="T167" s="140"/>
      <c r="U167" s="41"/>
      <c r="W167" s="40"/>
      <c r="X167" s="41"/>
      <c r="Y167" s="41"/>
      <c r="Z167" s="41"/>
      <c r="AB167" s="40"/>
      <c r="AC167" s="41"/>
      <c r="AD167" s="41"/>
      <c r="AE167" s="41"/>
      <c r="AG167" s="40"/>
      <c r="AH167" s="41"/>
      <c r="AI167" s="41"/>
      <c r="AJ167" s="41"/>
      <c r="AL167" s="40"/>
      <c r="AM167" s="41"/>
      <c r="AN167" s="41"/>
      <c r="AO167" s="41"/>
      <c r="AQ167" s="40"/>
      <c r="AR167" s="41"/>
      <c r="AS167" s="41"/>
      <c r="AT167" s="41"/>
      <c r="AV167" s="139"/>
      <c r="AW167" s="139"/>
      <c r="AX167" s="139"/>
      <c r="AY167" s="140"/>
      <c r="BA167" s="139"/>
      <c r="BB167" s="139"/>
      <c r="BC167" s="139"/>
      <c r="BD167" s="41"/>
      <c r="BF167" s="40"/>
      <c r="BG167" s="40"/>
      <c r="BH167" s="40"/>
      <c r="BI167" s="41"/>
      <c r="BK167" s="139"/>
      <c r="BL167" s="139"/>
      <c r="BM167" s="40"/>
      <c r="BN167" s="41"/>
      <c r="BP167" s="40"/>
      <c r="BQ167" s="40"/>
      <c r="BR167" s="40"/>
      <c r="BS167" s="41"/>
      <c r="BU167" s="40"/>
      <c r="BV167" s="40"/>
      <c r="BW167" s="40"/>
      <c r="BX167" s="41"/>
      <c r="BZ167" s="40"/>
      <c r="CA167" s="40"/>
      <c r="CB167" s="40"/>
      <c r="CC167" s="41"/>
      <c r="CD167" s="140"/>
      <c r="CE167" s="40"/>
      <c r="CF167" s="40"/>
      <c r="CG167" s="40"/>
      <c r="CH167" s="41"/>
      <c r="CJ167" s="139"/>
      <c r="CK167" s="139"/>
      <c r="CL167" s="139"/>
      <c r="CM167" s="140"/>
      <c r="CO167" s="222"/>
      <c r="CP167" s="40"/>
      <c r="CQ167" s="40"/>
      <c r="CR167" s="41"/>
      <c r="CT167" s="40"/>
      <c r="CU167" s="40"/>
      <c r="CV167" s="40"/>
      <c r="CW167" s="41"/>
      <c r="CY167" s="40"/>
      <c r="CZ167" s="40"/>
      <c r="DA167" s="40"/>
      <c r="DB167" s="41"/>
      <c r="DD167" s="40"/>
      <c r="DE167" s="40"/>
      <c r="DF167" s="40"/>
      <c r="DG167" s="41"/>
      <c r="DI167" s="64"/>
      <c r="DJ167" s="64"/>
      <c r="DK167" s="64"/>
      <c r="DL167" s="64"/>
      <c r="DN167" s="64"/>
      <c r="DO167" s="64"/>
      <c r="DP167" s="64"/>
      <c r="DQ167" s="64"/>
      <c r="DS167" s="64"/>
      <c r="DT167" s="64"/>
      <c r="DU167" s="64"/>
      <c r="DV167" s="64"/>
      <c r="DX167" s="64"/>
      <c r="DY167" s="64"/>
      <c r="DZ167" s="64"/>
      <c r="EA167" s="64"/>
      <c r="EC167" s="64"/>
      <c r="ED167" s="64"/>
      <c r="EE167" s="64"/>
      <c r="EF167" s="64"/>
      <c r="EH167" s="64"/>
      <c r="EI167" s="64"/>
      <c r="EJ167" s="64"/>
      <c r="EK167" s="64"/>
      <c r="ER167" s="855"/>
      <c r="EX167" s="203">
        <f t="shared" si="0"/>
        <v>0</v>
      </c>
    </row>
    <row r="168" spans="1:154" s="6" customFormat="1" ht="15" customHeight="1">
      <c r="A168" s="90" t="s">
        <v>64</v>
      </c>
      <c r="B168" s="210" t="s">
        <v>64</v>
      </c>
      <c r="C168" s="473" t="s">
        <v>386</v>
      </c>
      <c r="D168" s="138"/>
      <c r="E168" s="40"/>
      <c r="F168" s="40"/>
      <c r="G168" s="40"/>
      <c r="H168" s="40"/>
      <c r="I168" s="4"/>
      <c r="J168" s="4"/>
      <c r="K168" s="4"/>
      <c r="L168" s="4"/>
      <c r="M168" s="4"/>
      <c r="N168" s="4"/>
      <c r="O168" s="4"/>
      <c r="P168" s="4"/>
      <c r="Q168" s="4"/>
      <c r="R168" s="40"/>
      <c r="S168" s="41"/>
      <c r="T168" s="139">
        <f>C12*1.8</f>
        <v>0</v>
      </c>
      <c r="U168" s="41"/>
      <c r="W168" s="40"/>
      <c r="X168" s="41"/>
      <c r="Y168" s="41"/>
      <c r="Z168" s="41"/>
      <c r="AB168" s="40"/>
      <c r="AC168" s="41"/>
      <c r="AD168" s="41"/>
      <c r="AE168" s="41"/>
      <c r="AG168" s="40"/>
      <c r="AH168" s="41"/>
      <c r="AI168" s="41"/>
      <c r="AJ168" s="41"/>
      <c r="AL168" s="40"/>
      <c r="AM168" s="41"/>
      <c r="AN168" s="41"/>
      <c r="AO168" s="41"/>
      <c r="AQ168" s="40"/>
      <c r="AR168" s="41"/>
      <c r="AS168" s="41"/>
      <c r="AT168" s="41"/>
      <c r="AV168" s="139"/>
      <c r="AW168" s="139"/>
      <c r="AX168" s="139"/>
      <c r="AY168" s="140"/>
      <c r="BA168" s="139"/>
      <c r="BB168" s="139"/>
      <c r="BC168" s="139"/>
      <c r="BD168" s="41"/>
      <c r="BF168" s="40"/>
      <c r="BG168" s="40"/>
      <c r="BH168" s="40"/>
      <c r="BI168" s="41"/>
      <c r="BK168" s="139"/>
      <c r="BL168" s="139"/>
      <c r="BM168" s="40"/>
      <c r="BN168" s="41"/>
      <c r="BP168" s="40"/>
      <c r="BQ168" s="40"/>
      <c r="BR168" s="40"/>
      <c r="BS168" s="41"/>
      <c r="BU168" s="40"/>
      <c r="BV168" s="40"/>
      <c r="BW168" s="40"/>
      <c r="BX168" s="41"/>
      <c r="BZ168" s="40"/>
      <c r="CA168" s="40"/>
      <c r="CB168" s="40"/>
      <c r="CC168" s="41"/>
      <c r="CD168" s="140"/>
      <c r="CE168" s="40"/>
      <c r="CF168" s="40"/>
      <c r="CG168" s="40"/>
      <c r="CH168" s="41"/>
      <c r="CJ168" s="139"/>
      <c r="CK168" s="139"/>
      <c r="CL168" s="139"/>
      <c r="CM168" s="140"/>
      <c r="CO168" s="222"/>
      <c r="CP168" s="40"/>
      <c r="CQ168" s="40"/>
      <c r="CR168" s="41"/>
      <c r="CT168" s="40"/>
      <c r="CU168" s="40"/>
      <c r="CV168" s="40"/>
      <c r="CW168" s="41"/>
      <c r="CY168" s="40"/>
      <c r="CZ168" s="40"/>
      <c r="DA168" s="40"/>
      <c r="DB168" s="41"/>
      <c r="DD168" s="40"/>
      <c r="DE168" s="40"/>
      <c r="DF168" s="40"/>
      <c r="DG168" s="41"/>
      <c r="DI168" s="62" t="s">
        <v>1568</v>
      </c>
      <c r="DJ168" s="62"/>
      <c r="DK168" s="62"/>
      <c r="DL168" s="62"/>
      <c r="DM168" s="142"/>
      <c r="DN168" s="62"/>
      <c r="DO168" s="62"/>
      <c r="DP168" s="62"/>
      <c r="DQ168" s="62"/>
      <c r="DR168" s="142"/>
      <c r="DS168" s="62"/>
      <c r="DT168" s="62"/>
      <c r="DU168" s="62"/>
      <c r="DV168" s="62"/>
      <c r="DW168" s="142"/>
      <c r="DX168" s="62"/>
      <c r="DY168" s="62"/>
      <c r="DZ168" s="62"/>
      <c r="EA168" s="62"/>
      <c r="EB168" s="142"/>
      <c r="EC168" s="62"/>
      <c r="ED168" s="62"/>
      <c r="EE168" s="62"/>
      <c r="EF168" s="62"/>
      <c r="EG168" s="142"/>
      <c r="EH168" s="62"/>
      <c r="EI168" s="62"/>
      <c r="EJ168" s="62"/>
      <c r="EK168" s="62"/>
      <c r="EL168" s="142"/>
      <c r="EM168" s="142"/>
      <c r="EN168" s="142"/>
      <c r="EO168" s="142"/>
      <c r="ER168" s="855"/>
      <c r="EX168" s="203">
        <f t="shared" si="0"/>
        <v>0</v>
      </c>
    </row>
    <row r="169" spans="1:154" s="6" customFormat="1" ht="15" customHeight="1">
      <c r="A169" s="90"/>
      <c r="B169" s="210" t="s">
        <v>453</v>
      </c>
      <c r="C169" s="473" t="s">
        <v>386</v>
      </c>
      <c r="D169" s="138"/>
      <c r="E169" s="40"/>
      <c r="F169" s="40"/>
      <c r="G169" s="40"/>
      <c r="H169" s="40"/>
      <c r="I169" s="4"/>
      <c r="J169" s="4" t="s">
        <v>1253</v>
      </c>
      <c r="K169" s="658">
        <f>SUM(K5:K8,K16:K19)*10+SUM(K9:K12,K20:K23)*11+SUM(K13:K15,K24:K26)*12</f>
        <v>0</v>
      </c>
      <c r="L169" s="4"/>
      <c r="M169" s="658">
        <v>4</v>
      </c>
      <c r="N169" s="658">
        <f>SUM(N5:N26,O5:O26,P5:P26)*M169+SUM(N5:N8,O5:O8,P5:P8,N16:N19,O16:O19,P16:P19)*20+SUM(N9:N12,O9:O12,P9:P12,N20:N23,O20:O23,P20:P23)*22+SUM(N13:N15,O13:O15,P13:P15,N24:N26,O24:O26,P24:P26)*24</f>
        <v>0</v>
      </c>
      <c r="O169" s="4"/>
      <c r="P169" s="4"/>
      <c r="Q169" s="4"/>
      <c r="R169" s="40"/>
      <c r="S169" s="41"/>
      <c r="T169" s="140"/>
      <c r="U169" s="41"/>
      <c r="W169" s="40"/>
      <c r="X169" s="41"/>
      <c r="Y169" s="41"/>
      <c r="Z169" s="41"/>
      <c r="AB169" s="40"/>
      <c r="AC169" s="41"/>
      <c r="AD169" s="41"/>
      <c r="AE169" s="41"/>
      <c r="AG169" s="40"/>
      <c r="AH169" s="41"/>
      <c r="AI169" s="41"/>
      <c r="AJ169" s="41"/>
      <c r="AL169" s="40"/>
      <c r="AM169" s="41"/>
      <c r="AN169" s="41"/>
      <c r="AO169" s="41"/>
      <c r="AQ169" s="40"/>
      <c r="AR169" s="41"/>
      <c r="AS169" s="41"/>
      <c r="AT169" s="41"/>
      <c r="AV169" s="139"/>
      <c r="AW169" s="139"/>
      <c r="AX169" s="139"/>
      <c r="AY169" s="140"/>
      <c r="BA169" s="139"/>
      <c r="BB169" s="139"/>
      <c r="BC169" s="139"/>
      <c r="BD169" s="41"/>
      <c r="BF169" s="40"/>
      <c r="BG169" s="40"/>
      <c r="BH169" s="40"/>
      <c r="BI169" s="41"/>
      <c r="BK169" s="139"/>
      <c r="BL169" s="139"/>
      <c r="BM169" s="40"/>
      <c r="BN169" s="41"/>
      <c r="BP169" s="40"/>
      <c r="BQ169" s="40"/>
      <c r="BR169" s="40"/>
      <c r="BS169" s="41"/>
      <c r="BU169" s="40"/>
      <c r="BV169" s="40"/>
      <c r="BW169" s="40"/>
      <c r="BX169" s="41"/>
      <c r="BZ169" s="40"/>
      <c r="CA169" s="40"/>
      <c r="CB169" s="40"/>
      <c r="CC169" s="41"/>
      <c r="CD169" s="140"/>
      <c r="CE169" s="40"/>
      <c r="CF169" s="40"/>
      <c r="CG169" s="40"/>
      <c r="CH169" s="41"/>
      <c r="CJ169" s="139"/>
      <c r="CK169" s="139"/>
      <c r="CL169" s="139"/>
      <c r="CM169" s="140"/>
      <c r="CO169" s="222"/>
      <c r="CP169" s="40"/>
      <c r="CQ169" s="40"/>
      <c r="CR169" s="41"/>
      <c r="CT169" s="40"/>
      <c r="CU169" s="40"/>
      <c r="CV169" s="40"/>
      <c r="CW169" s="41"/>
      <c r="CY169" s="40"/>
      <c r="CZ169" s="40"/>
      <c r="DA169" s="40"/>
      <c r="DB169" s="41"/>
      <c r="DD169" s="40"/>
      <c r="DE169" s="40"/>
      <c r="DF169" s="40"/>
      <c r="DG169" s="41"/>
      <c r="DI169" s="60"/>
      <c r="DJ169" s="64"/>
      <c r="DK169" s="64"/>
      <c r="DL169" s="64"/>
      <c r="DN169" s="60"/>
      <c r="DO169" s="64"/>
      <c r="DP169" s="64"/>
      <c r="DQ169" s="64"/>
      <c r="DS169" s="60"/>
      <c r="DT169" s="64"/>
      <c r="DU169" s="64"/>
      <c r="DV169" s="64"/>
      <c r="DX169" s="60"/>
      <c r="DY169" s="64"/>
      <c r="DZ169" s="64"/>
      <c r="EA169" s="64"/>
      <c r="EC169" s="60"/>
      <c r="ED169" s="64"/>
      <c r="EE169" s="64"/>
      <c r="EF169" s="64"/>
      <c r="EH169" s="60"/>
      <c r="EI169" s="64"/>
      <c r="EJ169" s="64"/>
      <c r="EK169" s="64"/>
      <c r="EN169" s="136"/>
      <c r="ER169" s="855"/>
      <c r="EX169" s="203">
        <f t="shared" si="0"/>
        <v>0</v>
      </c>
    </row>
    <row r="170" spans="1:154" s="6" customFormat="1" ht="15" customHeight="1">
      <c r="A170" s="90" t="s">
        <v>3</v>
      </c>
      <c r="B170" s="210" t="s">
        <v>3</v>
      </c>
      <c r="C170" s="473" t="s">
        <v>516</v>
      </c>
      <c r="D170" s="138"/>
      <c r="E170" s="40"/>
      <c r="F170" s="40"/>
      <c r="G170" s="40"/>
      <c r="H170" s="40"/>
      <c r="I170" s="4"/>
      <c r="J170" s="4"/>
      <c r="K170" s="4"/>
      <c r="L170" s="4"/>
      <c r="M170" s="4"/>
      <c r="N170" s="4"/>
      <c r="O170" s="4"/>
      <c r="P170" s="4"/>
      <c r="Q170" s="4"/>
      <c r="R170" s="94">
        <f>C8*0.136*3</f>
        <v>0</v>
      </c>
      <c r="S170" s="41"/>
      <c r="T170" s="147">
        <f>R170+R170*3%</f>
        <v>0</v>
      </c>
      <c r="U170" s="41"/>
      <c r="W170" s="40"/>
      <c r="X170" s="41"/>
      <c r="Y170" s="41"/>
      <c r="Z170" s="41"/>
      <c r="AB170" s="40"/>
      <c r="AC170" s="41"/>
      <c r="AD170" s="41"/>
      <c r="AE170" s="41"/>
      <c r="AG170" s="40"/>
      <c r="AH170" s="41"/>
      <c r="AI170" s="41"/>
      <c r="AJ170" s="41"/>
      <c r="AL170" s="40"/>
      <c r="AM170" s="41"/>
      <c r="AN170" s="41"/>
      <c r="AO170" s="41"/>
      <c r="AQ170" s="40"/>
      <c r="AR170" s="41"/>
      <c r="AS170" s="41"/>
      <c r="AT170" s="41"/>
      <c r="AV170" s="139"/>
      <c r="AW170" s="139"/>
      <c r="AX170" s="139"/>
      <c r="AY170" s="140"/>
      <c r="BA170" s="139"/>
      <c r="BB170" s="139"/>
      <c r="BC170" s="139"/>
      <c r="BD170" s="41"/>
      <c r="BF170" s="40"/>
      <c r="BG170" s="40"/>
      <c r="BH170" s="40"/>
      <c r="BI170" s="41"/>
      <c r="BK170" s="139"/>
      <c r="BL170" s="139"/>
      <c r="BM170" s="40"/>
      <c r="BN170" s="41"/>
      <c r="BP170" s="40"/>
      <c r="BQ170" s="40"/>
      <c r="BR170" s="40"/>
      <c r="BS170" s="41"/>
      <c r="BU170" s="40"/>
      <c r="BV170" s="40"/>
      <c r="BW170" s="40"/>
      <c r="BX170" s="41"/>
      <c r="BZ170" s="40"/>
      <c r="CA170" s="40"/>
      <c r="CB170" s="40"/>
      <c r="CC170" s="41"/>
      <c r="CD170" s="140"/>
      <c r="CE170" s="40"/>
      <c r="CF170" s="40"/>
      <c r="CG170" s="40"/>
      <c r="CH170" s="41"/>
      <c r="CJ170" s="139"/>
      <c r="CK170" s="139"/>
      <c r="CL170" s="139"/>
      <c r="CM170" s="140"/>
      <c r="CO170" s="222"/>
      <c r="CP170" s="40"/>
      <c r="CQ170" s="40"/>
      <c r="CR170" s="41"/>
      <c r="CT170" s="40"/>
      <c r="CU170" s="40"/>
      <c r="CV170" s="40"/>
      <c r="CW170" s="41"/>
      <c r="CY170" s="40"/>
      <c r="CZ170" s="40"/>
      <c r="DA170" s="40"/>
      <c r="DB170" s="41"/>
      <c r="DD170" s="40"/>
      <c r="DE170" s="40"/>
      <c r="DF170" s="40"/>
      <c r="DG170" s="41"/>
      <c r="DI170" s="64"/>
      <c r="DJ170" s="64"/>
      <c r="DK170" s="64"/>
      <c r="DL170" s="64"/>
      <c r="DN170" s="64"/>
      <c r="DO170" s="64"/>
      <c r="DP170" s="64"/>
      <c r="DQ170" s="64"/>
      <c r="DS170" s="64"/>
      <c r="DT170" s="64"/>
      <c r="DU170" s="64"/>
      <c r="DV170" s="64"/>
      <c r="DX170" s="64"/>
      <c r="DY170" s="64"/>
      <c r="DZ170" s="64"/>
      <c r="EA170" s="64"/>
      <c r="EC170" s="64"/>
      <c r="ED170" s="64"/>
      <c r="EE170" s="64"/>
      <c r="EF170" s="64"/>
      <c r="EH170" s="64"/>
      <c r="EI170" s="64"/>
      <c r="EJ170" s="64"/>
      <c r="EK170" s="64"/>
      <c r="ER170" s="855"/>
      <c r="EX170" s="203">
        <f t="shared" si="0"/>
        <v>0</v>
      </c>
    </row>
    <row r="171" spans="1:154" s="6" customFormat="1" ht="15" customHeight="1">
      <c r="A171" s="143" t="s">
        <v>187</v>
      </c>
      <c r="B171" s="210" t="s">
        <v>187</v>
      </c>
      <c r="C171" s="473" t="s">
        <v>516</v>
      </c>
      <c r="D171" s="144"/>
      <c r="E171" s="43"/>
      <c r="F171" s="43"/>
      <c r="G171" s="43"/>
      <c r="H171" s="43"/>
      <c r="I171" s="42"/>
      <c r="J171" s="4"/>
      <c r="K171" s="4"/>
      <c r="L171" s="42"/>
      <c r="M171" s="4"/>
      <c r="N171" s="4"/>
      <c r="O171" s="4"/>
      <c r="P171" s="4"/>
      <c r="Q171" s="42"/>
      <c r="R171" s="40">
        <f>C9*0.216*3</f>
        <v>0</v>
      </c>
      <c r="S171" s="43"/>
      <c r="T171" s="140">
        <f>R171+R171*3%</f>
        <v>0</v>
      </c>
      <c r="U171" s="41"/>
      <c r="V171" s="44"/>
      <c r="W171" s="43"/>
      <c r="X171" s="43"/>
      <c r="Y171" s="43"/>
      <c r="Z171" s="43"/>
      <c r="AA171" s="44"/>
      <c r="AB171" s="43"/>
      <c r="AC171" s="43"/>
      <c r="AD171" s="43"/>
      <c r="AE171" s="43"/>
      <c r="AF171" s="44"/>
      <c r="AG171" s="43"/>
      <c r="AH171" s="43"/>
      <c r="AI171" s="43"/>
      <c r="AJ171" s="43"/>
      <c r="AK171" s="44"/>
      <c r="AL171" s="43"/>
      <c r="AM171" s="43"/>
      <c r="AN171" s="43"/>
      <c r="AO171" s="43"/>
      <c r="AQ171" s="40"/>
      <c r="AR171" s="43"/>
      <c r="AS171" s="43"/>
      <c r="AT171" s="43"/>
      <c r="AV171" s="44"/>
      <c r="AW171" s="44"/>
      <c r="AX171" s="44"/>
      <c r="AY171" s="44"/>
      <c r="BA171" s="44"/>
      <c r="BB171" s="44"/>
      <c r="BC171" s="44"/>
      <c r="BD171" s="43"/>
      <c r="BE171" s="44"/>
      <c r="BF171" s="43"/>
      <c r="BG171" s="43"/>
      <c r="BH171" s="43"/>
      <c r="BI171" s="43"/>
      <c r="BJ171" s="44"/>
      <c r="BK171" s="44"/>
      <c r="BL171" s="44"/>
      <c r="BM171" s="43"/>
      <c r="BN171" s="43"/>
      <c r="BO171" s="44"/>
      <c r="BP171" s="43"/>
      <c r="BQ171" s="43"/>
      <c r="BR171" s="43"/>
      <c r="BS171" s="43"/>
      <c r="BT171" s="44"/>
      <c r="BU171" s="40"/>
      <c r="BV171" s="43"/>
      <c r="BW171" s="43"/>
      <c r="BX171" s="43"/>
      <c r="BY171" s="44"/>
      <c r="BZ171" s="43"/>
      <c r="CA171" s="43"/>
      <c r="CB171" s="43"/>
      <c r="CC171" s="43"/>
      <c r="CD171" s="44"/>
      <c r="CE171" s="43"/>
      <c r="CF171" s="43"/>
      <c r="CG171" s="43"/>
      <c r="CH171" s="43"/>
      <c r="CI171" s="44"/>
      <c r="CJ171" s="139"/>
      <c r="CK171" s="44"/>
      <c r="CL171" s="44"/>
      <c r="CM171" s="44"/>
      <c r="CO171" s="222"/>
      <c r="CP171" s="43"/>
      <c r="CQ171" s="43"/>
      <c r="CR171" s="43"/>
      <c r="CS171" s="44"/>
      <c r="CT171" s="40"/>
      <c r="CU171" s="43"/>
      <c r="CV171" s="43"/>
      <c r="CW171" s="43"/>
      <c r="CX171" s="44"/>
      <c r="CY171" s="40"/>
      <c r="CZ171" s="43"/>
      <c r="DA171" s="43"/>
      <c r="DB171" s="43"/>
      <c r="DC171" s="44"/>
      <c r="DD171" s="40"/>
      <c r="DE171" s="43"/>
      <c r="DF171" s="43"/>
      <c r="DG171" s="43"/>
      <c r="DH171" s="44"/>
      <c r="DI171" s="64"/>
      <c r="DJ171" s="64"/>
      <c r="DK171" s="64"/>
      <c r="DL171" s="64"/>
      <c r="DM171" s="44"/>
      <c r="DN171" s="64"/>
      <c r="DO171" s="64"/>
      <c r="DP171" s="64"/>
      <c r="DQ171" s="64"/>
      <c r="DR171" s="44"/>
      <c r="DS171" s="64"/>
      <c r="DT171" s="64"/>
      <c r="DU171" s="64"/>
      <c r="DV171" s="64"/>
      <c r="DW171" s="44"/>
      <c r="DX171" s="64"/>
      <c r="DY171" s="64"/>
      <c r="DZ171" s="64"/>
      <c r="EA171" s="64"/>
      <c r="EB171" s="44"/>
      <c r="EC171" s="64"/>
      <c r="ED171" s="64"/>
      <c r="EE171" s="64"/>
      <c r="EF171" s="64"/>
      <c r="EG171" s="44"/>
      <c r="EH171" s="64"/>
      <c r="EI171" s="64"/>
      <c r="EJ171" s="64"/>
      <c r="EK171" s="64"/>
      <c r="EL171" s="44"/>
      <c r="EM171" s="44"/>
      <c r="EN171" s="44"/>
      <c r="EO171" s="44"/>
      <c r="EP171" s="44"/>
      <c r="EQ171" s="44"/>
      <c r="ER171" s="856"/>
      <c r="EX171" s="203">
        <f t="shared" si="0"/>
        <v>0</v>
      </c>
    </row>
    <row r="172" spans="1:154" s="6" customFormat="1" ht="15" customHeight="1">
      <c r="A172" s="143" t="s">
        <v>192</v>
      </c>
      <c r="B172" s="210" t="s">
        <v>192</v>
      </c>
      <c r="C172" s="473" t="s">
        <v>516</v>
      </c>
      <c r="D172" s="144"/>
      <c r="E172" s="43"/>
      <c r="F172" s="43"/>
      <c r="G172" s="43"/>
      <c r="H172" s="43"/>
      <c r="I172" s="42"/>
      <c r="J172" s="4"/>
      <c r="K172" s="4"/>
      <c r="L172" s="42"/>
      <c r="M172" s="4"/>
      <c r="N172" s="4"/>
      <c r="O172" s="4"/>
      <c r="P172" s="4"/>
      <c r="Q172" s="42"/>
      <c r="R172" s="40">
        <f>C10*0.433*3</f>
        <v>0</v>
      </c>
      <c r="S172" s="43"/>
      <c r="T172" s="140">
        <f>R172+R172*3%</f>
        <v>0</v>
      </c>
      <c r="U172" s="43"/>
      <c r="V172" s="44"/>
      <c r="W172" s="43"/>
      <c r="X172" s="43"/>
      <c r="Y172" s="43"/>
      <c r="Z172" s="43"/>
      <c r="AA172" s="44"/>
      <c r="AB172" s="43"/>
      <c r="AC172" s="43"/>
      <c r="AD172" s="43"/>
      <c r="AE172" s="43"/>
      <c r="AF172" s="44"/>
      <c r="AG172" s="43"/>
      <c r="AH172" s="43"/>
      <c r="AI172" s="43"/>
      <c r="AJ172" s="43"/>
      <c r="AK172" s="44"/>
      <c r="AL172" s="43"/>
      <c r="AM172" s="43"/>
      <c r="AN172" s="43"/>
      <c r="AO172" s="43"/>
      <c r="AQ172" s="40"/>
      <c r="AR172" s="43"/>
      <c r="AS172" s="43"/>
      <c r="AT172" s="43"/>
      <c r="AV172" s="44"/>
      <c r="AW172" s="44"/>
      <c r="AX172" s="44"/>
      <c r="AY172" s="44"/>
      <c r="BA172" s="44"/>
      <c r="BB172" s="44"/>
      <c r="BC172" s="44"/>
      <c r="BD172" s="43"/>
      <c r="BE172" s="44"/>
      <c r="BF172" s="43"/>
      <c r="BG172" s="43"/>
      <c r="BH172" s="43"/>
      <c r="BI172" s="43"/>
      <c r="BJ172" s="44"/>
      <c r="BK172" s="44"/>
      <c r="BL172" s="44"/>
      <c r="BM172" s="43"/>
      <c r="BN172" s="43"/>
      <c r="BO172" s="44"/>
      <c r="BP172" s="43"/>
      <c r="BQ172" s="43"/>
      <c r="BR172" s="43"/>
      <c r="BS172" s="43"/>
      <c r="BT172" s="44"/>
      <c r="BU172" s="40"/>
      <c r="BV172" s="43"/>
      <c r="BW172" s="43"/>
      <c r="BX172" s="43"/>
      <c r="BY172" s="44"/>
      <c r="BZ172" s="43"/>
      <c r="CA172" s="43"/>
      <c r="CB172" s="43"/>
      <c r="CC172" s="43"/>
      <c r="CD172" s="44"/>
      <c r="CE172" s="43"/>
      <c r="CF172" s="43"/>
      <c r="CG172" s="43"/>
      <c r="CH172" s="43"/>
      <c r="CI172" s="44"/>
      <c r="CJ172" s="139"/>
      <c r="CK172" s="44"/>
      <c r="CL172" s="44"/>
      <c r="CM172" s="44"/>
      <c r="CO172" s="222"/>
      <c r="CP172" s="43"/>
      <c r="CQ172" s="43"/>
      <c r="CR172" s="43"/>
      <c r="CS172" s="44"/>
      <c r="CT172" s="40"/>
      <c r="CU172" s="43"/>
      <c r="CV172" s="43"/>
      <c r="CW172" s="43"/>
      <c r="CX172" s="44"/>
      <c r="CY172" s="40"/>
      <c r="CZ172" s="43"/>
      <c r="DA172" s="43"/>
      <c r="DB172" s="43"/>
      <c r="DC172" s="44"/>
      <c r="DD172" s="40"/>
      <c r="DE172" s="43"/>
      <c r="DF172" s="43"/>
      <c r="DG172" s="43"/>
      <c r="DH172" s="44"/>
      <c r="DI172" s="64"/>
      <c r="DJ172" s="64"/>
      <c r="DK172" s="64"/>
      <c r="DL172" s="64"/>
      <c r="DM172" s="44"/>
      <c r="DN172" s="64"/>
      <c r="DO172" s="64"/>
      <c r="DP172" s="64"/>
      <c r="DQ172" s="64"/>
      <c r="DR172" s="44"/>
      <c r="DS172" s="64"/>
      <c r="DT172" s="64"/>
      <c r="DU172" s="64"/>
      <c r="DV172" s="64"/>
      <c r="DW172" s="44"/>
      <c r="DX172" s="64"/>
      <c r="DY172" s="64"/>
      <c r="DZ172" s="64"/>
      <c r="EA172" s="64"/>
      <c r="EB172" s="44"/>
      <c r="EC172" s="64"/>
      <c r="ED172" s="64"/>
      <c r="EE172" s="64"/>
      <c r="EF172" s="64"/>
      <c r="EG172" s="44"/>
      <c r="EH172" s="64"/>
      <c r="EI172" s="64"/>
      <c r="EJ172" s="64"/>
      <c r="EK172" s="64"/>
      <c r="EL172" s="44"/>
      <c r="EM172" s="44"/>
      <c r="EN172" s="44"/>
      <c r="EO172" s="44"/>
      <c r="EP172" s="44"/>
      <c r="EQ172" s="44"/>
      <c r="ER172" s="856"/>
      <c r="EX172" s="203">
        <f t="shared" si="0"/>
        <v>0</v>
      </c>
    </row>
    <row r="173" spans="1:154" s="6" customFormat="1" ht="15" customHeight="1">
      <c r="A173" s="143" t="s">
        <v>314</v>
      </c>
      <c r="B173" s="210" t="s">
        <v>314</v>
      </c>
      <c r="C173" s="473" t="s">
        <v>516</v>
      </c>
      <c r="D173" s="144"/>
      <c r="E173" s="43"/>
      <c r="F173" s="43"/>
      <c r="G173" s="43"/>
      <c r="H173" s="43"/>
      <c r="I173" s="42"/>
      <c r="J173" s="4"/>
      <c r="K173" s="4"/>
      <c r="L173" s="42"/>
      <c r="M173" s="4"/>
      <c r="N173" s="4"/>
      <c r="O173" s="4"/>
      <c r="P173" s="4"/>
      <c r="Q173" s="42"/>
      <c r="R173" s="40">
        <f>C11*0.688*3</f>
        <v>0</v>
      </c>
      <c r="S173" s="43"/>
      <c r="T173" s="140">
        <f>R173+R173*3%</f>
        <v>0</v>
      </c>
      <c r="U173" s="43"/>
      <c r="V173" s="44"/>
      <c r="W173" s="43"/>
      <c r="X173" s="43"/>
      <c r="Y173" s="43"/>
      <c r="Z173" s="43"/>
      <c r="AA173" s="44"/>
      <c r="AB173" s="43"/>
      <c r="AC173" s="43"/>
      <c r="AD173" s="43"/>
      <c r="AE173" s="43"/>
      <c r="AF173" s="44"/>
      <c r="AG173" s="43"/>
      <c r="AH173" s="43"/>
      <c r="AI173" s="43"/>
      <c r="AJ173" s="43"/>
      <c r="AK173" s="44"/>
      <c r="AL173" s="43"/>
      <c r="AM173" s="43"/>
      <c r="AN173" s="43"/>
      <c r="AO173" s="43"/>
      <c r="AQ173" s="40"/>
      <c r="AR173" s="43"/>
      <c r="AS173" s="43"/>
      <c r="AT173" s="43"/>
      <c r="AV173" s="44"/>
      <c r="AW173" s="44"/>
      <c r="AX173" s="44"/>
      <c r="AY173" s="44"/>
      <c r="BA173" s="44"/>
      <c r="BB173" s="44"/>
      <c r="BC173" s="44"/>
      <c r="BD173" s="43"/>
      <c r="BE173" s="44"/>
      <c r="BF173" s="43"/>
      <c r="BG173" s="43"/>
      <c r="BH173" s="43"/>
      <c r="BI173" s="43"/>
      <c r="BJ173" s="44"/>
      <c r="BK173" s="44"/>
      <c r="BL173" s="44"/>
      <c r="BM173" s="43"/>
      <c r="BN173" s="43"/>
      <c r="BO173" s="44"/>
      <c r="BP173" s="43"/>
      <c r="BQ173" s="43"/>
      <c r="BR173" s="43"/>
      <c r="BS173" s="43"/>
      <c r="BT173" s="44"/>
      <c r="BU173" s="40"/>
      <c r="BV173" s="43"/>
      <c r="BW173" s="43"/>
      <c r="BX173" s="43"/>
      <c r="BY173" s="44"/>
      <c r="BZ173" s="43"/>
      <c r="CA173" s="43"/>
      <c r="CB173" s="43"/>
      <c r="CC173" s="43"/>
      <c r="CD173" s="44"/>
      <c r="CE173" s="43"/>
      <c r="CF173" s="43"/>
      <c r="CG173" s="43"/>
      <c r="CH173" s="43"/>
      <c r="CI173" s="44"/>
      <c r="CJ173" s="139"/>
      <c r="CK173" s="44"/>
      <c r="CL173" s="44"/>
      <c r="CM173" s="44"/>
      <c r="CO173" s="222"/>
      <c r="CP173" s="43"/>
      <c r="CQ173" s="43"/>
      <c r="CR173" s="43"/>
      <c r="CS173" s="44"/>
      <c r="CT173" s="40"/>
      <c r="CU173" s="43"/>
      <c r="CV173" s="43"/>
      <c r="CW173" s="43"/>
      <c r="CX173" s="44"/>
      <c r="CY173" s="40"/>
      <c r="CZ173" s="43"/>
      <c r="DA173" s="43"/>
      <c r="DB173" s="43"/>
      <c r="DC173" s="44"/>
      <c r="DD173" s="40"/>
      <c r="DE173" s="43"/>
      <c r="DF173" s="43"/>
      <c r="DG173" s="43"/>
      <c r="DH173" s="44"/>
      <c r="DI173" s="64"/>
      <c r="DJ173" s="64"/>
      <c r="DK173" s="64"/>
      <c r="DL173" s="64"/>
      <c r="DM173" s="44"/>
      <c r="DN173" s="64"/>
      <c r="DO173" s="64"/>
      <c r="DP173" s="64"/>
      <c r="DQ173" s="64"/>
      <c r="DR173" s="44"/>
      <c r="DS173" s="64"/>
      <c r="DT173" s="64"/>
      <c r="DU173" s="64"/>
      <c r="DV173" s="64"/>
      <c r="DW173" s="44"/>
      <c r="DX173" s="64"/>
      <c r="DY173" s="64"/>
      <c r="DZ173" s="64"/>
      <c r="EA173" s="64"/>
      <c r="EB173" s="44"/>
      <c r="EC173" s="64"/>
      <c r="ED173" s="64"/>
      <c r="EE173" s="64"/>
      <c r="EF173" s="64"/>
      <c r="EG173" s="44"/>
      <c r="EH173" s="64"/>
      <c r="EI173" s="64"/>
      <c r="EJ173" s="64"/>
      <c r="EK173" s="64"/>
      <c r="EL173" s="44"/>
      <c r="EM173" s="44"/>
      <c r="EN173" s="44"/>
      <c r="EO173" s="44"/>
      <c r="EP173" s="44"/>
      <c r="EQ173" s="44"/>
      <c r="ER173" s="856"/>
      <c r="EX173" s="203">
        <f t="shared" si="0"/>
        <v>0</v>
      </c>
    </row>
    <row r="174" spans="1:154" s="6" customFormat="1" ht="15" customHeight="1">
      <c r="A174" s="90" t="s">
        <v>62</v>
      </c>
      <c r="B174" s="210" t="s">
        <v>62</v>
      </c>
      <c r="C174" s="473" t="s">
        <v>386</v>
      </c>
      <c r="D174" s="138"/>
      <c r="E174" s="62">
        <v>6</v>
      </c>
      <c r="F174" s="41">
        <f>IF(SUM($ER$5:$ER$15)&gt;=1000,0,SUM(F5:F23,G5:G26,H5:H26)*E174)</f>
        <v>0</v>
      </c>
      <c r="G174" s="41"/>
      <c r="H174" s="41"/>
      <c r="I174" s="4"/>
      <c r="J174" s="4"/>
      <c r="K174" s="4"/>
      <c r="L174" s="4"/>
      <c r="M174" s="4"/>
      <c r="N174" s="4"/>
      <c r="O174" s="4"/>
      <c r="P174" s="4"/>
      <c r="Q174" s="4"/>
      <c r="R174" s="40"/>
      <c r="S174" s="41"/>
      <c r="T174" s="140"/>
      <c r="U174" s="41"/>
      <c r="W174" s="40"/>
      <c r="X174" s="41"/>
      <c r="Y174" s="41"/>
      <c r="Z174" s="41"/>
      <c r="AB174" s="40"/>
      <c r="AC174" s="41"/>
      <c r="AD174" s="41"/>
      <c r="AE174" s="41"/>
      <c r="AG174" s="40"/>
      <c r="AH174" s="41"/>
      <c r="AI174" s="41"/>
      <c r="AJ174" s="41"/>
      <c r="AL174" s="40"/>
      <c r="AM174" s="41"/>
      <c r="AN174" s="41"/>
      <c r="AO174" s="41"/>
      <c r="AQ174" s="40"/>
      <c r="AR174" s="41"/>
      <c r="AS174" s="41"/>
      <c r="AT174" s="41"/>
      <c r="AV174" s="139"/>
      <c r="AW174" s="139"/>
      <c r="AX174" s="139"/>
      <c r="AY174" s="140"/>
      <c r="BA174" s="139"/>
      <c r="BB174" s="139"/>
      <c r="BC174" s="139"/>
      <c r="BD174" s="41"/>
      <c r="BF174" s="40"/>
      <c r="BG174" s="40"/>
      <c r="BH174" s="40"/>
      <c r="BI174" s="41"/>
      <c r="BK174" s="139"/>
      <c r="BL174" s="139"/>
      <c r="BM174" s="40"/>
      <c r="BN174" s="41"/>
      <c r="BP174" s="62">
        <v>6</v>
      </c>
      <c r="BQ174" s="41">
        <f>IF(SUM($ER$5:$ER$15)&gt;=1000,0,SUM(BQ5:BQ23,BR5:BR26,BS5:BS26)*BP174)</f>
        <v>0</v>
      </c>
      <c r="BR174" s="40"/>
      <c r="BS174" s="41"/>
      <c r="BU174" s="62">
        <v>6</v>
      </c>
      <c r="BV174" s="41">
        <f>IF(SUM($ER$5:$ER$15)&gt;=1000,0,SUM(BV5:BV23,BW5:BW26,BX5:BX26)*BU174)</f>
        <v>0</v>
      </c>
      <c r="BW174" s="40"/>
      <c r="BX174" s="41"/>
      <c r="BZ174" s="62"/>
      <c r="CA174" s="41"/>
      <c r="CB174" s="40"/>
      <c r="CC174" s="41"/>
      <c r="CD174" s="140"/>
      <c r="CE174" s="62">
        <v>6</v>
      </c>
      <c r="CF174" s="41">
        <f>IF(SUM($ER$5:$ER$15)&gt;=1000,0,SUM(CF5:CF23,CG5:CG26,CH5:CH26)*CE174)</f>
        <v>0</v>
      </c>
      <c r="CG174" s="40"/>
      <c r="CH174" s="41"/>
      <c r="CJ174" s="139"/>
      <c r="CK174" s="139"/>
      <c r="CL174" s="139"/>
      <c r="CM174" s="140"/>
      <c r="CO174" s="222"/>
      <c r="CP174" s="40"/>
      <c r="CQ174" s="40"/>
      <c r="CR174" s="41"/>
      <c r="CT174" s="62">
        <v>6</v>
      </c>
      <c r="CU174" s="41">
        <f>IF(SUM($ER$5:$ER$15)&gt;=1000,0,SUM(CU5:CU23,CV5:CV26,CW5:CW26)*CT174)</f>
        <v>0</v>
      </c>
      <c r="CV174" s="40"/>
      <c r="CW174" s="41"/>
      <c r="CY174" s="62">
        <v>6</v>
      </c>
      <c r="CZ174" s="41">
        <f>IF(SUM($ER$5:$ER$15)&gt;=1000,0,SUM(CZ5:CZ23,DA5:DA26,DB5:DB26)*CY174)</f>
        <v>0</v>
      </c>
      <c r="DA174" s="40"/>
      <c r="DB174" s="41"/>
      <c r="DD174" s="40"/>
      <c r="DE174" s="40"/>
      <c r="DF174" s="40"/>
      <c r="DG174" s="41"/>
      <c r="DI174" s="71">
        <v>12</v>
      </c>
      <c r="DJ174" s="64">
        <f>SUM(DJ5:DJ26,DK5:DK26,DL5:DL26)*DI174</f>
        <v>0</v>
      </c>
      <c r="DK174" s="64"/>
      <c r="DL174" s="64"/>
      <c r="DN174" s="71">
        <v>12</v>
      </c>
      <c r="DO174" s="64">
        <f>SUM(DO5:DO26,DP5:DP26,DQ5:DQ26)*DN174</f>
        <v>0</v>
      </c>
      <c r="DP174" s="64"/>
      <c r="DQ174" s="64"/>
      <c r="DS174" s="60">
        <v>12</v>
      </c>
      <c r="DT174" s="64">
        <f>DT5*DS174+DU5*DS174+DT6*DS174+DU6*DS174+DT7*DS174+DU7*DS174+DT8*DS174+DU8*DS174+DT9*DS174+DU9*DS174+DT10*DS174+DU10*DS174+DT11*DS174+DU11*DS174+DT12*DS174+DU12*DS174+DT13*DS174+DU13*DS174+DT14*DS174+DU14*DS174+DT15*DS174+DU15*DS174+DT16*DS174+DU16*DS174+DT17*DS174+DU17*DS174+DT18*DS174+DU18*DS174+DT19*DS174+DU19*DS174+DT20*DS174+DU20*DS174+DT21*DS174+DU21*DS174+DT22*DS174+DU22*DS174+DT23*DS174+DU23*DS174+DT24*DS174+DU24*DS174+DT25*DS174+DU25*DS174+DT26*DS174+DU26*DS174+DV5*DS174+DV6*DS174+DV7*DS174+DV8*DS174+DV9*DS174+DV10*DS174+DV11*DS174+DV12*DS174+DV13*DS174+DV14*DS174+DV15*DS174+DV16*DS174+DV17*DS174+DV18*DS174+DV19*DS174+DV20*DS174+DV21*DS174+DV22*DS174+DV23*DS174+DV24*DS174+DV25*DS174+DV26*DS174</f>
        <v>0</v>
      </c>
      <c r="DU174" s="64"/>
      <c r="DV174" s="64"/>
      <c r="DX174" s="60">
        <v>12</v>
      </c>
      <c r="DY174" s="64">
        <f>DY5*DX174+DZ5*DX174+DY6*DX174+DZ6*DX174+DY7*DX174+DZ7*DX174+DY8*DX174+DZ8*DX174+DY9*DX174+DZ9*DX174+DY10*DX174+DZ10*DX174+DY11*DX174+DZ11*DX174+DY12*DX174+DZ12*DX174+DY13*DX174+DZ13*DX174+DY14*DX174+DZ14*DX174+DY15*DX174+DZ15*DX174+DY16*DX174+DZ16*DX174+DY17*DX174+DZ17*DX174+DY18*DX174+DZ18*DX174+DY19*DX174+DZ19*DX174+DY20*DX174+DZ20*DX174+DY21*DX174+DZ21*DX174+DY22*DX174+DZ22*DX174+DY23*DX174+DZ23*DX174+DY24*DX174+DZ24*DX174+DY25*DX174+DZ25*DX174+DY26*DX174+DZ26*DX174+EA5*DX174+EA6*DX174+EA7*DX174+EA8*DX174+EA9*DX174+EA10*DX174+EA11*DX174+EA12*DX174+EA13*DX174+EA14*DX174+EA15*DX174+EA16*DX174+EA17*DX174+EA18*DX174+EA19*DX174+EA20*DX174+EA21*DX174+EA22*DX174+EA23*DX174+EA24*DX174+EA25*DX174+EA26*DX174</f>
        <v>0</v>
      </c>
      <c r="DZ174" s="64"/>
      <c r="EA174" s="64"/>
      <c r="EC174" s="60">
        <v>12</v>
      </c>
      <c r="ED174" s="64">
        <f>ED5*EC174+EE5*EC174+ED6*EC174+EE6*EC174+ED7*EC174+EE7*EC174+ED8*EC174+EE8*EC174+ED9*EC174+EE9*EC174+ED10*EC174+EE10*EC174+ED11*EC174+EE11*EC174+ED12*EC174+EE12*EC174+ED13*EC174+EE13*EC174+ED14*EC174+EE14*EC174+ED15*EC174+EE15*EC174+ED16*EC174+EE16*EC174+ED17*EC174+EE17*EC174+ED18*EC174+EE18*EC174+ED19*EC174+EE19*EC174+ED20*EC174+EE20*EC174+ED21*EC174+EE21*EC174+ED22*EC174+EE22*EC174+ED23*EC174+EE23*EC174+ED24*EC174+EE24*EC174+ED25*EC174+EE25*EC174+ED26*EC174+EE26*EC174+EF5*EC174+EF6*EC174+EF7*EC174+EF8*EC174+EF9*EC174+EF10*EC174+EF11*EC174+EF12*EC174+EF13*EC174+EF14*EC174+EF15*EC174+EF16*EC174+EF17*EC174+EF18*EC174+EF19*EC174+EF20*EC174+EF21*EC174+EF22*EC174+EF23*EC174+EF24*EC174+EF25*EC174+EF26*EC174</f>
        <v>0</v>
      </c>
      <c r="EE174" s="64"/>
      <c r="EF174" s="64"/>
      <c r="EH174" s="60">
        <v>12</v>
      </c>
      <c r="EI174" s="64">
        <f>EI5*EH174+EJ5*EH174+EI6*EH174+EJ6*EH174+EI7*EH174+EJ7*EH174+EI8*EH174+EJ8*EH174+EI9*EH174+EJ9*EH174+EI10*EH174+EJ10*EH174+EI11*EH174+EJ11*EH174+EI12*EH174+EJ12*EH174+EI13*EH174+EJ13*EH174+EI14*EH174+EJ14*EH174+EI15*EH174+EJ15*EH174+EI16*EH174+EJ16*EH174+EI17*EH174+EJ17*EH174+EI18*EH174+EJ18*EH174+EI19*EH174+EJ19*EH174+EI20*EH174+EJ20*EH174+EI21*EH174+EJ21*EH174+EI22*EH174+EJ22*EH174+EI23*EH174+EJ23*EH174+EI24*EH174+EJ24*EH174+EI25*EH174+EJ25*EH174+EI26*EH174+EJ26*EH174+EK5*EH174+EK6*EH174+EK7*EH174+EK8*EH174+EK9*EH174+EK10*EH174+EK11*EH174+EK12*EH174+EK13*EH174+EK14*EH174+EK15*EH174+EK16*EH174+EK17*EH174+EK18*EH174+EK19*EH174+EK20*EH174+EK21*EH174+EK22*EH174+EK23*EH174+EK24*EH174+EK25*EH174+EK26*EH174</f>
        <v>0</v>
      </c>
      <c r="EJ174" s="64"/>
      <c r="EK174" s="64"/>
      <c r="ER174" s="855"/>
      <c r="EX174" s="203">
        <f t="shared" si="0"/>
        <v>0</v>
      </c>
    </row>
    <row r="175" spans="1:154" s="6" customFormat="1" ht="15" customHeight="1">
      <c r="A175" s="90"/>
      <c r="B175" s="210" t="s">
        <v>1508</v>
      </c>
      <c r="C175" s="473" t="s">
        <v>386</v>
      </c>
      <c r="D175" s="138"/>
      <c r="E175" s="62"/>
      <c r="F175" s="41"/>
      <c r="G175" s="41"/>
      <c r="H175" s="41"/>
      <c r="I175" s="4"/>
      <c r="J175" s="4"/>
      <c r="K175" s="4"/>
      <c r="L175" s="4"/>
      <c r="M175" s="4"/>
      <c r="N175" s="4"/>
      <c r="O175" s="4"/>
      <c r="P175" s="4"/>
      <c r="Q175" s="4"/>
      <c r="R175" s="40"/>
      <c r="S175" s="41"/>
      <c r="T175" s="140"/>
      <c r="U175" s="41"/>
      <c r="W175" s="40"/>
      <c r="X175" s="41"/>
      <c r="Y175" s="41"/>
      <c r="Z175" s="41"/>
      <c r="AB175" s="40"/>
      <c r="AC175" s="41"/>
      <c r="AD175" s="41"/>
      <c r="AE175" s="41"/>
      <c r="AG175" s="40"/>
      <c r="AH175" s="41"/>
      <c r="AI175" s="41"/>
      <c r="AJ175" s="41"/>
      <c r="AL175" s="40"/>
      <c r="AM175" s="41"/>
      <c r="AN175" s="41"/>
      <c r="AO175" s="41"/>
      <c r="AQ175" s="40"/>
      <c r="AR175" s="41"/>
      <c r="AS175" s="41"/>
      <c r="AT175" s="41"/>
      <c r="AV175" s="139"/>
      <c r="AW175" s="139"/>
      <c r="AX175" s="139"/>
      <c r="AY175" s="140"/>
      <c r="BA175" s="139"/>
      <c r="BB175" s="139"/>
      <c r="BC175" s="139"/>
      <c r="BD175" s="41"/>
      <c r="BF175" s="40"/>
      <c r="BG175" s="40"/>
      <c r="BH175" s="40"/>
      <c r="BI175" s="41"/>
      <c r="BK175" s="139"/>
      <c r="BL175" s="139"/>
      <c r="BM175" s="40"/>
      <c r="BN175" s="41"/>
      <c r="BP175" s="62"/>
      <c r="BQ175" s="41"/>
      <c r="BR175" s="40"/>
      <c r="BS175" s="41"/>
      <c r="BU175" s="62"/>
      <c r="BV175" s="41"/>
      <c r="BW175" s="40"/>
      <c r="BX175" s="41"/>
      <c r="BZ175" s="62"/>
      <c r="CA175" s="41"/>
      <c r="CB175" s="40"/>
      <c r="CC175" s="41"/>
      <c r="CD175" s="140"/>
      <c r="CE175" s="62"/>
      <c r="CF175" s="41"/>
      <c r="CG175" s="40"/>
      <c r="CH175" s="41"/>
      <c r="CJ175" s="139"/>
      <c r="CK175" s="139"/>
      <c r="CL175" s="139"/>
      <c r="CM175" s="140"/>
      <c r="CO175" s="222"/>
      <c r="CP175" s="40"/>
      <c r="CQ175" s="40"/>
      <c r="CR175" s="41"/>
      <c r="CT175" s="62"/>
      <c r="CU175" s="41"/>
      <c r="CV175" s="40"/>
      <c r="CW175" s="41"/>
      <c r="CY175" s="62"/>
      <c r="CZ175" s="41"/>
      <c r="DA175" s="40"/>
      <c r="DB175" s="41"/>
      <c r="DD175" s="40"/>
      <c r="DE175" s="40"/>
      <c r="DF175" s="40"/>
      <c r="DG175" s="41"/>
      <c r="DI175" s="71"/>
      <c r="DJ175" s="64"/>
      <c r="DK175" s="64"/>
      <c r="DL175" s="64"/>
      <c r="DN175" s="71"/>
      <c r="DO175" s="64"/>
      <c r="DP175" s="64"/>
      <c r="DQ175" s="64"/>
      <c r="DS175" s="60"/>
      <c r="DT175" s="64"/>
      <c r="DU175" s="64"/>
      <c r="DV175" s="64"/>
      <c r="DX175" s="60"/>
      <c r="DY175" s="64"/>
      <c r="DZ175" s="64"/>
      <c r="EA175" s="64"/>
      <c r="EC175" s="60"/>
      <c r="ED175" s="64"/>
      <c r="EE175" s="64"/>
      <c r="EF175" s="64"/>
      <c r="EH175" s="60"/>
      <c r="EI175" s="64"/>
      <c r="EJ175" s="64"/>
      <c r="EK175" s="64"/>
      <c r="ER175" s="855"/>
      <c r="EX175" s="203">
        <f t="shared" si="0"/>
        <v>0</v>
      </c>
    </row>
    <row r="176" spans="1:154" s="6" customFormat="1" ht="15" customHeight="1">
      <c r="A176" s="90" t="s">
        <v>5</v>
      </c>
      <c r="B176" s="210" t="s">
        <v>5</v>
      </c>
      <c r="C176" s="473" t="s">
        <v>386</v>
      </c>
      <c r="D176" s="138"/>
      <c r="E176" s="40"/>
      <c r="F176" s="40"/>
      <c r="G176" s="40"/>
      <c r="H176" s="40"/>
      <c r="I176" s="4"/>
      <c r="J176" s="4"/>
      <c r="K176" s="4"/>
      <c r="L176" s="4"/>
      <c r="M176" s="4"/>
      <c r="N176" s="4"/>
      <c r="O176" s="4"/>
      <c r="P176" s="4"/>
      <c r="Q176" s="4"/>
      <c r="R176" s="40"/>
      <c r="S176" s="41"/>
      <c r="T176" s="140"/>
      <c r="U176" s="41"/>
      <c r="W176" s="40"/>
      <c r="X176" s="41"/>
      <c r="Y176" s="41"/>
      <c r="Z176" s="41"/>
      <c r="AB176" s="40"/>
      <c r="AC176" s="41"/>
      <c r="AD176" s="41"/>
      <c r="AE176" s="41"/>
      <c r="AG176" s="40"/>
      <c r="AH176" s="41"/>
      <c r="AI176" s="41"/>
      <c r="AJ176" s="41"/>
      <c r="AL176" s="40"/>
      <c r="AM176" s="41"/>
      <c r="AN176" s="41"/>
      <c r="AO176" s="41"/>
      <c r="AQ176" s="40"/>
      <c r="AR176" s="41"/>
      <c r="AS176" s="41"/>
      <c r="AT176" s="41"/>
      <c r="AV176" s="139"/>
      <c r="AW176" s="139"/>
      <c r="AX176" s="139"/>
      <c r="AY176" s="140"/>
      <c r="BA176" s="139"/>
      <c r="BB176" s="139"/>
      <c r="BC176" s="139"/>
      <c r="BD176" s="41"/>
      <c r="BF176" s="40"/>
      <c r="BG176" s="40"/>
      <c r="BH176" s="40"/>
      <c r="BI176" s="41"/>
      <c r="BK176" s="139"/>
      <c r="BL176" s="139"/>
      <c r="BM176" s="40"/>
      <c r="BN176" s="41"/>
      <c r="BP176" s="40"/>
      <c r="BQ176" s="40"/>
      <c r="BR176" s="40"/>
      <c r="BS176" s="41"/>
      <c r="BU176" s="40"/>
      <c r="BV176" s="40"/>
      <c r="BW176" s="40"/>
      <c r="BX176" s="41"/>
      <c r="BZ176" s="40"/>
      <c r="CA176" s="40"/>
      <c r="CB176" s="40"/>
      <c r="CC176" s="41"/>
      <c r="CD176" s="140"/>
      <c r="CE176" s="40"/>
      <c r="CF176" s="40"/>
      <c r="CG176" s="40"/>
      <c r="CH176" s="41"/>
      <c r="CJ176" s="139"/>
      <c r="CK176" s="139"/>
      <c r="CL176" s="139"/>
      <c r="CM176" s="140"/>
      <c r="CO176" s="222"/>
      <c r="CP176" s="40"/>
      <c r="CQ176" s="40"/>
      <c r="CR176" s="41"/>
      <c r="CT176" s="40"/>
      <c r="CU176" s="40"/>
      <c r="CV176" s="40"/>
      <c r="CW176" s="41"/>
      <c r="CY176" s="40"/>
      <c r="CZ176" s="40"/>
      <c r="DA176" s="40"/>
      <c r="DB176" s="41"/>
      <c r="DD176" s="40"/>
      <c r="DE176" s="40"/>
      <c r="DF176" s="40"/>
      <c r="DG176" s="41"/>
      <c r="DI176" s="71">
        <v>6</v>
      </c>
      <c r="DJ176" s="41">
        <f>SUM(DJ5:DJ26,DK5:DK26,DL5:DL26)*DI176</f>
        <v>0</v>
      </c>
      <c r="DK176" s="64"/>
      <c r="DL176" s="64"/>
      <c r="DN176" s="71">
        <v>6</v>
      </c>
      <c r="DO176" s="41">
        <f>SUM(DO5:DO26,DP5:DP26,DQ5:DQ26)*DN176</f>
        <v>0</v>
      </c>
      <c r="DP176" s="64"/>
      <c r="DQ176" s="64"/>
      <c r="DS176" s="60">
        <v>5</v>
      </c>
      <c r="DT176" s="41">
        <f>DT6*DS176+DU6*DS176+DT7*DS176+DU7*DS176+DT8*DS176+DU8*DS176+DT9*DS176+DU9*DS176+DT10*DS176+DU10*DS176+DT11*DS176+DU11*DS176+DT12*DS176+DU12*DS176+DT13*DS176+DU13*DS176+DT14*DS176+DU14*DS176+DT15*DS176+DU15*DS176+DT16*DS176+DU16*DS176+DT17*DS176+DU17*DS176+DT18*DS176+DU18*DS176+DT19*DS176+DU19*DS176+DT20*DS176+DU20*DS176+DT21*DS176+DU21*DS176+DT22*DS176+DU22*DS176+DT23*DS176+DU23*DS176+DT24*DS176+DU24*DS176+DT25*DS176+DU25*DS176+DT26*DS176+DU26*DS176+DT5*DS176+DU5*DS176+DV5*DS176+DV6*DS176+DV7*DS176+DV15*DS176+DV8*DS176+DV16*DS176+DV9*DS176+DV17*DS176+DV10*DS176+DV18*DS176+DV11*DS176+DV19*DS176+DV12*DS176+DV20*DS176+DV13*DS176+DV21*DS176+DV14*DS176+DV21*DS176+DV22*DS176+DV23*DS176+DV24*DS176+DV22*DS176+DV25*DS176+DV26*DS176</f>
        <v>0</v>
      </c>
      <c r="DU176" s="64"/>
      <c r="DV176" s="64"/>
      <c r="DX176" s="60">
        <v>6</v>
      </c>
      <c r="DY176" s="41">
        <f>DY6*DX176+DZ6*DX176+DY7*DX176+DZ7*DX176+DY8*DX176+DZ8*DX176+DY9*DX176+DZ9*DX176+DY10*DX176+DZ10*DX176+DY11*DX176+DZ11*DX176+DY12*DX176+DZ12*DX176+DY13*DX176+DZ13*DX176+DY14*DX176+DZ14*DX176+DY15*DX176+DZ15*DX176+DY16*DX176+DZ16*DX176+DY17*DX176+DZ17*DX176+DY18*DX176+DZ18*DX176+DY19*DX176+DZ19*DX176+DY20*DX176+DZ20*DX176+DY21*DX176+DZ21*DX176+DY22*DX176+DZ22*DX176+DY23*DX176+DZ23*DX176+DY24*DX176+DZ24*DX176+DY25*DX176+DZ25*DX176+DY26*DX176+DZ26*DX176+DY5*DX176+DZ5*DX176+EA5*DX176+EA6*DX176+EA7*DX176+EA15*DX176+EA8*DX176+EA16*DX176+EA9*DX176+EA17*DX176+EA10*DX176+EA18*DX176+EA11*DX176+EA19*DX176+EA12*DX176+EA20*DX176+EA13*DX176+EA21*DX176+EA14*DX176+EA21*DX176+EA22*DX176+EA23*DX176+EA24*DX176+EA22*DX176+EA25*DX176+EA26*DX176</f>
        <v>0</v>
      </c>
      <c r="DZ176" s="64"/>
      <c r="EA176" s="64"/>
      <c r="EC176" s="60">
        <v>5</v>
      </c>
      <c r="ED176" s="41">
        <f>ED6*EC176+EE6*EC176+ED7*EC176+EE7*EC176+ED8*EC176+EE8*EC176+ED9*EC176+EE9*EC176+ED10*EC176+EE10*EC176+ED11*EC176+EE11*EC176+ED12*EC176+EE12*EC176+ED13*EC176+EE13*EC176+ED14*EC176+EE14*EC176+ED15*EC176+EE15*EC176+ED16*EC176+EE16*EC176+ED17*EC176+EE17*EC176+ED18*EC176+EE18*EC176+ED19*EC176+EE19*EC176+ED20*EC176+EE20*EC176+ED21*EC176+EE21*EC176+ED22*EC176+EE22*EC176+ED23*EC176+EE23*EC176+ED24*EC176+EE24*EC176+ED25*EC176+EE25*EC176+ED26*EC176+EE26*EC176+ED5*EC176+EE5*EC176+EF5*EC176+EF6*EC176+EF7*EC176+EF15*EC176+EF8*EC176+EF16*EC176+EF9*EC176+EF17*EC176+EF10*EC176+EF18*EC176+EF11*EC176+EF19*EC176+EF12*EC176+EF20*EC176+EF13*EC176+EF21*EC176+EF14*EC176+EF21*EC176+EF22*EC176+EF23*EC176+EF24*EC176+EF22*EC176+EF25*EC176+EF26*EC176</f>
        <v>0</v>
      </c>
      <c r="EE176" s="64"/>
      <c r="EF176" s="64"/>
      <c r="EH176" s="60">
        <v>6</v>
      </c>
      <c r="EI176" s="41">
        <f>EI6*EH176+EJ6*EH176+EI7*EH176+EJ7*EH176+EI8*EH176+EJ8*EH176+EI9*EH176+EJ9*EH176+EI10*EH176+EJ10*EH176+EI11*EH176+EJ11*EH176+EI12*EH176+EJ12*EH176+EI13*EH176+EJ13*EH176+EI14*EH176+EJ14*EH176+EI15*EH176+EJ15*EH176+EI16*EH176+EJ16*EH176+EI17*EH176+EJ17*EH176+EI18*EH176+EJ18*EH176+EI19*EH176+EJ19*EH176+EI20*EH176+EJ20*EH176+EI21*EH176+EJ21*EH176+EI22*EH176+EJ22*EH176+EI23*EH176+EJ23*EH176+EI24*EH176+EJ24*EH176+EI25*EH176+EJ25*EH176+EI26*EH176+EJ26*EH176+EI5*EH176+EJ5*EH176+EK5*EH176+EK6*EH176+EK7*EH176+EK15*EH176+EK8*EH176+EK16*EH176+EK9*EH176+EK17*EH176+EK10*EH176+EK18*EH176+EK11*EH176+EK19*EH176+EK12*EH176+EK20*EH176+EK13*EH176+EK21*EH176+EK14*EH176+EK21*EH176+EK22*EH176+EK23*EH176+EK24*EH176+EK22*EH176+EK25*EH176+EK26*EH176</f>
        <v>0</v>
      </c>
      <c r="EJ176" s="64"/>
      <c r="EK176" s="64"/>
      <c r="ER176" s="855"/>
      <c r="EX176" s="203">
        <f t="shared" si="0"/>
        <v>0</v>
      </c>
    </row>
    <row r="177" spans="1:155" s="6" customFormat="1" ht="15" customHeight="1">
      <c r="A177" s="90"/>
      <c r="B177" s="210" t="s">
        <v>1736</v>
      </c>
      <c r="C177" s="473" t="s">
        <v>168</v>
      </c>
      <c r="D177" s="138"/>
      <c r="E177" s="40"/>
      <c r="F177" s="40"/>
      <c r="G177" s="40"/>
      <c r="H177" s="40"/>
      <c r="I177" s="4"/>
      <c r="J177" s="4"/>
      <c r="K177" s="4"/>
      <c r="L177" s="4"/>
      <c r="M177" s="4"/>
      <c r="N177" s="4"/>
      <c r="O177" s="4"/>
      <c r="P177" s="4"/>
      <c r="Q177" s="4"/>
      <c r="R177" s="40"/>
      <c r="S177" s="41"/>
      <c r="T177" s="140"/>
      <c r="U177" s="41"/>
      <c r="W177" s="40"/>
      <c r="X177" s="41"/>
      <c r="Y177" s="41"/>
      <c r="Z177" s="41"/>
      <c r="AB177" s="40"/>
      <c r="AC177" s="41"/>
      <c r="AD177" s="41"/>
      <c r="AE177" s="41"/>
      <c r="AG177" s="40"/>
      <c r="AH177" s="41"/>
      <c r="AI177" s="41"/>
      <c r="AJ177" s="41"/>
      <c r="AL177" s="40"/>
      <c r="AM177" s="41"/>
      <c r="AN177" s="41"/>
      <c r="AO177" s="41"/>
      <c r="AQ177" s="40"/>
      <c r="AR177" s="41"/>
      <c r="AS177" s="41"/>
      <c r="AT177" s="41"/>
      <c r="AV177" s="139"/>
      <c r="AW177" s="139"/>
      <c r="AX177" s="139"/>
      <c r="AY177" s="140"/>
      <c r="BA177" s="139"/>
      <c r="BB177" s="139"/>
      <c r="BC177" s="139"/>
      <c r="BD177" s="41"/>
      <c r="BF177" s="40"/>
      <c r="BG177" s="40"/>
      <c r="BH177" s="40"/>
      <c r="BI177" s="41"/>
      <c r="BK177" s="139"/>
      <c r="BL177" s="139"/>
      <c r="BM177" s="40"/>
      <c r="BN177" s="41"/>
      <c r="BP177" s="40"/>
      <c r="BQ177" s="40"/>
      <c r="BR177" s="40"/>
      <c r="BS177" s="41"/>
      <c r="BU177" s="40"/>
      <c r="BV177" s="40"/>
      <c r="BW177" s="40"/>
      <c r="BX177" s="41"/>
      <c r="BZ177" s="40"/>
      <c r="CA177" s="40"/>
      <c r="CB177" s="40"/>
      <c r="CC177" s="41"/>
      <c r="CD177" s="140"/>
      <c r="CE177" s="40"/>
      <c r="CF177" s="40"/>
      <c r="CG177" s="40"/>
      <c r="CH177" s="41"/>
      <c r="CJ177" s="139"/>
      <c r="CK177" s="139"/>
      <c r="CL177" s="139"/>
      <c r="CM177" s="140"/>
      <c r="CO177" s="222"/>
      <c r="CP177" s="40"/>
      <c r="CQ177" s="40"/>
      <c r="CR177" s="41"/>
      <c r="CT177" s="40"/>
      <c r="CU177" s="40"/>
      <c r="CV177" s="40"/>
      <c r="CW177" s="41"/>
      <c r="CY177" s="40"/>
      <c r="CZ177" s="40"/>
      <c r="DA177" s="40"/>
      <c r="DB177" s="41"/>
      <c r="DD177" s="40"/>
      <c r="DE177" s="40"/>
      <c r="DF177" s="40"/>
      <c r="DG177" s="41"/>
      <c r="DI177" s="71"/>
      <c r="DJ177" s="41"/>
      <c r="DK177" s="64"/>
      <c r="DL177" s="64"/>
      <c r="DN177" s="62" t="s">
        <v>1085</v>
      </c>
      <c r="DO177" s="834">
        <f>IF(SUM(ET5:ET12,EU5:EU12,EV5:EV12,EW5:EW12)&gt;=1,SUM(EN5:EN12,EO5:EO12,EP5:EP12,EQ5:EQ12)*60,SUM(EN5:EN12,EO5:EO12,EP5:EP12,EQ5:EQ12)*25+SUM(EN295:EN308)*35)</f>
        <v>0</v>
      </c>
      <c r="DP177" s="62"/>
      <c r="DQ177" s="62"/>
      <c r="DR177" s="142"/>
      <c r="DS177" s="62" t="s">
        <v>1568</v>
      </c>
      <c r="DT177" s="62"/>
      <c r="DU177" s="62"/>
      <c r="DV177" s="62"/>
      <c r="DW177" s="142"/>
      <c r="DX177" s="62" t="s">
        <v>1568</v>
      </c>
      <c r="DY177" s="62"/>
      <c r="DZ177" s="62"/>
      <c r="EA177" s="62"/>
      <c r="EB177" s="142"/>
      <c r="EC177" s="62" t="s">
        <v>1568</v>
      </c>
      <c r="ED177" s="62"/>
      <c r="EE177" s="62"/>
      <c r="EF177" s="62"/>
      <c r="EG177" s="142"/>
      <c r="EH177" s="62" t="s">
        <v>1568</v>
      </c>
      <c r="EI177" s="62"/>
      <c r="EJ177" s="62"/>
      <c r="EK177" s="62"/>
      <c r="ER177" s="855"/>
      <c r="EX177" s="203">
        <f t="shared" si="0"/>
        <v>0</v>
      </c>
    </row>
    <row r="178" spans="1:155" s="6" customFormat="1" ht="15" customHeight="1">
      <c r="A178" s="90"/>
      <c r="B178" s="210" t="s">
        <v>1689</v>
      </c>
      <c r="C178" s="473" t="s">
        <v>0</v>
      </c>
      <c r="D178" s="138"/>
      <c r="E178" s="40"/>
      <c r="F178" s="40"/>
      <c r="G178" s="40"/>
      <c r="H178" s="40"/>
      <c r="I178" s="4"/>
      <c r="J178" s="4"/>
      <c r="K178" s="4"/>
      <c r="L178" s="4"/>
      <c r="M178" s="4"/>
      <c r="N178" s="4"/>
      <c r="O178" s="4"/>
      <c r="P178" s="4"/>
      <c r="Q178" s="4"/>
      <c r="R178" s="40"/>
      <c r="S178" s="41"/>
      <c r="T178" s="140"/>
      <c r="U178" s="41"/>
      <c r="W178" s="40"/>
      <c r="X178" s="41"/>
      <c r="Y178" s="41"/>
      <c r="Z178" s="41"/>
      <c r="AB178" s="40"/>
      <c r="AC178" s="41"/>
      <c r="AD178" s="41"/>
      <c r="AE178" s="41"/>
      <c r="AG178" s="40"/>
      <c r="AH178" s="41"/>
      <c r="AI178" s="41"/>
      <c r="AJ178" s="41"/>
      <c r="AL178" s="40"/>
      <c r="AM178" s="41"/>
      <c r="AN178" s="41"/>
      <c r="AO178" s="41"/>
      <c r="AQ178" s="40"/>
      <c r="AR178" s="41"/>
      <c r="AS178" s="41"/>
      <c r="AT178" s="41"/>
      <c r="AV178" s="139"/>
      <c r="AW178" s="139"/>
      <c r="AX178" s="139"/>
      <c r="AY178" s="140"/>
      <c r="BA178" s="139"/>
      <c r="BB178" s="139"/>
      <c r="BC178" s="139"/>
      <c r="BD178" s="41"/>
      <c r="BF178" s="40"/>
      <c r="BG178" s="40"/>
      <c r="BH178" s="40"/>
      <c r="BI178" s="41"/>
      <c r="BK178" s="139"/>
      <c r="BL178" s="139"/>
      <c r="BM178" s="40"/>
      <c r="BN178" s="41"/>
      <c r="BP178" s="40"/>
      <c r="BQ178" s="40"/>
      <c r="BR178" s="40"/>
      <c r="BS178" s="41"/>
      <c r="BU178" s="40"/>
      <c r="BV178" s="40"/>
      <c r="BW178" s="40"/>
      <c r="BX178" s="41"/>
      <c r="BZ178" s="40"/>
      <c r="CA178" s="40"/>
      <c r="CB178" s="40"/>
      <c r="CC178" s="41"/>
      <c r="CD178" s="140"/>
      <c r="CE178" s="40"/>
      <c r="CF178" s="40"/>
      <c r="CG178" s="40"/>
      <c r="CH178" s="41"/>
      <c r="CJ178" s="139"/>
      <c r="CK178" s="139"/>
      <c r="CL178" s="139"/>
      <c r="CM178" s="140"/>
      <c r="CO178" s="222"/>
      <c r="CP178" s="40"/>
      <c r="CQ178" s="40"/>
      <c r="CR178" s="41"/>
      <c r="CT178" s="40"/>
      <c r="CU178" s="40"/>
      <c r="CV178" s="40"/>
      <c r="CW178" s="41"/>
      <c r="CY178" s="40"/>
      <c r="CZ178" s="40"/>
      <c r="DA178" s="40"/>
      <c r="DB178" s="41"/>
      <c r="DD178" s="40"/>
      <c r="DE178" s="40"/>
      <c r="DF178" s="40"/>
      <c r="DG178" s="41"/>
      <c r="DI178" s="71"/>
      <c r="DJ178" s="41"/>
      <c r="DK178" s="64"/>
      <c r="DL178" s="64"/>
      <c r="DN178" s="71"/>
      <c r="DO178" s="41"/>
      <c r="DP178" s="64"/>
      <c r="DQ178" s="64"/>
      <c r="DS178" s="60"/>
      <c r="DT178" s="41"/>
      <c r="DU178" s="64"/>
      <c r="DV178" s="64"/>
      <c r="DX178" s="60"/>
      <c r="DY178" s="41"/>
      <c r="DZ178" s="64"/>
      <c r="EA178" s="64"/>
      <c r="EC178" s="60"/>
      <c r="ED178" s="41"/>
      <c r="EE178" s="64"/>
      <c r="EF178" s="64"/>
      <c r="EH178" s="60"/>
      <c r="EI178" s="41"/>
      <c r="EJ178" s="64"/>
      <c r="EK178" s="64"/>
      <c r="EN178" s="6">
        <f>SUM(EN295:EN300)*1</f>
        <v>0</v>
      </c>
      <c r="ER178" s="855"/>
      <c r="EX178" s="203">
        <f t="shared" si="0"/>
        <v>0</v>
      </c>
    </row>
    <row r="179" spans="1:155" s="6" customFormat="1" ht="15" customHeight="1">
      <c r="A179" s="90" t="s">
        <v>6</v>
      </c>
      <c r="B179" s="210" t="s">
        <v>455</v>
      </c>
      <c r="C179" s="473" t="s">
        <v>515</v>
      </c>
      <c r="D179" s="138"/>
      <c r="E179" s="62">
        <v>3</v>
      </c>
      <c r="F179" s="41">
        <f>IF(SUM($ER$5:$ER$15)&gt;=1000,0,SUM(G5:G26,H5:H26)*E179)</f>
        <v>0</v>
      </c>
      <c r="G179" s="41"/>
      <c r="H179" s="41"/>
      <c r="I179" s="4"/>
      <c r="J179" s="4"/>
      <c r="K179" s="4"/>
      <c r="L179" s="4"/>
      <c r="M179" s="46">
        <v>3</v>
      </c>
      <c r="N179" s="41">
        <f>SUM(O5:O26,P5:P26)*M179</f>
        <v>0</v>
      </c>
      <c r="O179" s="4"/>
      <c r="P179" s="4"/>
      <c r="Q179" s="4"/>
      <c r="R179" s="40"/>
      <c r="S179" s="41"/>
      <c r="T179" s="140"/>
      <c r="U179" s="41"/>
      <c r="W179" s="40"/>
      <c r="X179" s="41"/>
      <c r="Y179" s="41"/>
      <c r="Z179" s="41"/>
      <c r="AB179" s="40"/>
      <c r="AC179" s="41"/>
      <c r="AD179" s="41"/>
      <c r="AE179" s="41"/>
      <c r="AG179" s="46">
        <v>3</v>
      </c>
      <c r="AH179" s="41">
        <f>SUM(AI5:AI26,AJ5:AJ26)*AG179</f>
        <v>0</v>
      </c>
      <c r="AI179" s="41"/>
      <c r="AJ179" s="41"/>
      <c r="AL179" s="46">
        <v>3</v>
      </c>
      <c r="AM179" s="41">
        <f>SUM(AN5:AN26,AO5:AO26)*AL179</f>
        <v>0</v>
      </c>
      <c r="AN179" s="41"/>
      <c r="AO179" s="41"/>
      <c r="AQ179" s="46">
        <v>3</v>
      </c>
      <c r="AR179" s="41">
        <f>SUM(AS5:AS26,AT5:AT26)*AQ179</f>
        <v>0</v>
      </c>
      <c r="AS179" s="41"/>
      <c r="AT179" s="41"/>
      <c r="AV179" s="139"/>
      <c r="AW179" s="139"/>
      <c r="AX179" s="139"/>
      <c r="AY179" s="140"/>
      <c r="BA179" s="139"/>
      <c r="BB179" s="139"/>
      <c r="BC179" s="139"/>
      <c r="BD179" s="41"/>
      <c r="BF179" s="40"/>
      <c r="BG179" s="40"/>
      <c r="BH179" s="40"/>
      <c r="BI179" s="41"/>
      <c r="BK179" s="46">
        <v>3</v>
      </c>
      <c r="BL179" s="41">
        <f>SUM(BM5:BM26,BN5:BN26)*BK179</f>
        <v>0</v>
      </c>
      <c r="BM179" s="40"/>
      <c r="BN179" s="41"/>
      <c r="BP179" s="46">
        <v>3</v>
      </c>
      <c r="BQ179" s="41">
        <f>IF(SUM($ER$5:$ER$15)&gt;=1000,0,SUM(BR5:BR26,BS5:BS26)*BP179)</f>
        <v>0</v>
      </c>
      <c r="BR179" s="40"/>
      <c r="BS179" s="41"/>
      <c r="BU179" s="62">
        <v>3</v>
      </c>
      <c r="BV179" s="41">
        <f>IF(SUM($ER$5:$ER$15)&gt;=1000,0,SUM(BW5:BW26,BX5:BX26)*BU179)</f>
        <v>0</v>
      </c>
      <c r="BW179" s="40"/>
      <c r="BX179" s="41"/>
      <c r="BZ179" s="62">
        <v>3</v>
      </c>
      <c r="CA179" s="41">
        <f>SUM(CB5:CB26,CC5:CC26)*BZ179</f>
        <v>0</v>
      </c>
      <c r="CB179" s="40"/>
      <c r="CC179" s="41"/>
      <c r="CD179" s="140"/>
      <c r="CE179" s="62">
        <v>3</v>
      </c>
      <c r="CF179" s="41">
        <f>IF(SUM($ER$5:$ER$15)&gt;=1000,0,SUM(CG5:CG26,CH5:CH26)*CE179)</f>
        <v>0</v>
      </c>
      <c r="CG179" s="40"/>
      <c r="CH179" s="41"/>
      <c r="CJ179" s="139">
        <v>3</v>
      </c>
      <c r="CK179" s="140">
        <f>CL18*CJ179+CL19*CJ179+CL20*CJ179+CL21*CJ179+CL22*CJ179+CL23*CJ179+CL24*CJ179+CL25*CJ179+CL26*CJ179+CL5*CJ179+CL6*CJ179+CL7*CJ179+CL8*CJ179+CL9*CJ179+CL10*CJ179+CL11*CJ179+CL12*CJ179+CL13*CJ179+CL14*CJ179+CL15*CJ179+CL16*CJ179+CL17*CJ179+CM18*CJ179+CM19*CJ179+CM20*CJ179+CM21*CJ179+CM22*CJ179+CM23*CJ179+CM24*CJ179+CM25*CJ179+CM26*CJ179+CM5*CJ179+CM6*CJ179+CM7*CJ179+CM8*CJ179+CM9*CJ179+CM10*CJ179+CM11*CJ179+CM12*CJ179+CM13*CJ179+CM14*CJ179+CM15*CJ179+CM16*CJ179+CM17*CJ179</f>
        <v>0</v>
      </c>
      <c r="CL179" s="139"/>
      <c r="CM179" s="140"/>
      <c r="CO179" s="222">
        <v>3</v>
      </c>
      <c r="CP179" s="41">
        <f>CQ18*CO179+CQ19*CO179+CQ20*CO179+CQ21*CO179+CQ22*CO179+CQ23*CO179+CQ24*CO179+CQ25*CO179+CQ26*CO179+CQ5*CO179+CQ6*CO179+CQ7*CO179+CQ8*CO179+CQ9*CO179+CQ10*CO179+CQ11*CO179+CQ12*CO179+CQ13*CO179+CQ14*CO179+CQ15*CO179+CQ16*CO179+CQ17*CO179+CR18*CO179+CR19*CO179+CR20*CO179+CR21*CO179+CR22*CO179+CR23*CO179+CR24*CO179+CR25*CO179+CR26*CO179+CR5*CO179+CR6*CO179+CR7*CO179+CR8*CO179+CR9*CO179+CR10*CO179+CR11*CO179+CR12*CO179+CR13*CO179+CR14*CO179+CR15*CO179+CR16*CO179+CR17*CO179</f>
        <v>0</v>
      </c>
      <c r="CQ179" s="40"/>
      <c r="CR179" s="41"/>
      <c r="CT179" s="62">
        <v>3</v>
      </c>
      <c r="CU179" s="41">
        <f>IF(SUM($ER$5:$ER$15)&gt;=1000,0,SUM(CV5:CV26,CW5:CW26)*CT179)</f>
        <v>0</v>
      </c>
      <c r="CV179" s="40"/>
      <c r="CW179" s="41"/>
      <c r="CY179" s="62">
        <v>3</v>
      </c>
      <c r="CZ179" s="41">
        <f>IF(SUM($ER$5:$ER$15)&gt;=1000,0,SUM(DA5:DA26,DB5:DB26)*CY179)</f>
        <v>0</v>
      </c>
      <c r="DA179" s="40"/>
      <c r="DB179" s="41"/>
      <c r="DD179" s="46">
        <v>6</v>
      </c>
      <c r="DE179" s="41">
        <f>SUM(DF5:DF26,DG5:DG26,DE5:DE26)*DD179</f>
        <v>0</v>
      </c>
      <c r="DF179" s="40"/>
      <c r="DG179" s="41"/>
      <c r="DI179" s="71">
        <v>3</v>
      </c>
      <c r="DJ179" s="41">
        <f>SUM(DK5:DK26,DL5:DL26)*DI179</f>
        <v>0</v>
      </c>
      <c r="DK179" s="64"/>
      <c r="DL179" s="64"/>
      <c r="DN179" s="71">
        <v>3</v>
      </c>
      <c r="DO179" s="41">
        <f>SUM(DP5:DP26,DQ5:DQ26)*DN179</f>
        <v>0</v>
      </c>
      <c r="DP179" s="64"/>
      <c r="DQ179" s="64"/>
      <c r="DS179" s="60">
        <v>3</v>
      </c>
      <c r="DT179" s="41">
        <f>SUM(DU5:DU26,DV5:DV26)*DS179</f>
        <v>0</v>
      </c>
      <c r="DU179" s="64"/>
      <c r="DV179" s="64"/>
      <c r="DX179" s="60">
        <v>3</v>
      </c>
      <c r="DY179" s="41">
        <f>SUM(DZ5:DZ26,EA5:EA26)*DX179</f>
        <v>0</v>
      </c>
      <c r="DZ179" s="64"/>
      <c r="EA179" s="64"/>
      <c r="EC179" s="60">
        <v>3</v>
      </c>
      <c r="ED179" s="41">
        <f>SUM(EE5:EE26,EF5:EF26)*EC179</f>
        <v>0</v>
      </c>
      <c r="EE179" s="64"/>
      <c r="EF179" s="64"/>
      <c r="EH179" s="60">
        <v>3</v>
      </c>
      <c r="EI179" s="41">
        <f>SUM(EJ5:EJ26,EK5:EK26)*EH179</f>
        <v>0</v>
      </c>
      <c r="EJ179" s="64"/>
      <c r="EK179" s="64"/>
      <c r="ER179" s="855"/>
      <c r="EX179" s="203">
        <f t="shared" si="0"/>
        <v>0</v>
      </c>
    </row>
    <row r="180" spans="1:155" s="6" customFormat="1" ht="15" customHeight="1">
      <c r="A180" s="90" t="s">
        <v>37</v>
      </c>
      <c r="B180" s="210" t="s">
        <v>454</v>
      </c>
      <c r="C180" s="473" t="s">
        <v>515</v>
      </c>
      <c r="D180" s="138"/>
      <c r="E180" s="62">
        <v>3</v>
      </c>
      <c r="F180" s="41">
        <f>IF(SUM($ER$5:$ER$15)&gt;=1000,0,SUM(F5:F23)*E180)</f>
        <v>0</v>
      </c>
      <c r="G180" s="41"/>
      <c r="H180" s="41"/>
      <c r="I180" s="4"/>
      <c r="J180" s="4"/>
      <c r="K180" s="4"/>
      <c r="L180" s="4"/>
      <c r="M180" s="46">
        <v>3</v>
      </c>
      <c r="N180" s="41">
        <f>SUM(N5:N26)*M180</f>
        <v>0</v>
      </c>
      <c r="O180" s="4"/>
      <c r="P180" s="4"/>
      <c r="Q180" s="4"/>
      <c r="R180" s="40"/>
      <c r="S180" s="41"/>
      <c r="T180" s="140"/>
      <c r="U180" s="41"/>
      <c r="W180" s="40"/>
      <c r="X180" s="41"/>
      <c r="Y180" s="41"/>
      <c r="Z180" s="41"/>
      <c r="AB180" s="40"/>
      <c r="AC180" s="41"/>
      <c r="AD180" s="41"/>
      <c r="AE180" s="41"/>
      <c r="AG180" s="46">
        <v>3</v>
      </c>
      <c r="AH180" s="41">
        <f>SUM(AH5:AH26)*AG180</f>
        <v>0</v>
      </c>
      <c r="AI180" s="41"/>
      <c r="AJ180" s="41"/>
      <c r="AL180" s="46">
        <v>3</v>
      </c>
      <c r="AM180" s="41">
        <f>SUM(AM5:AM26)*AL180</f>
        <v>0</v>
      </c>
      <c r="AN180" s="41"/>
      <c r="AO180" s="41"/>
      <c r="AQ180" s="46">
        <v>3</v>
      </c>
      <c r="AR180" s="41">
        <f>SUM(AR5:AR26)*AQ180</f>
        <v>0</v>
      </c>
      <c r="AS180" s="41"/>
      <c r="AT180" s="41"/>
      <c r="AV180" s="139"/>
      <c r="AW180" s="139"/>
      <c r="AX180" s="139"/>
      <c r="AY180" s="140"/>
      <c r="BA180" s="139"/>
      <c r="BB180" s="139"/>
      <c r="BC180" s="139"/>
      <c r="BD180" s="41"/>
      <c r="BF180" s="40"/>
      <c r="BG180" s="40"/>
      <c r="BH180" s="40"/>
      <c r="BI180" s="41"/>
      <c r="BK180" s="46">
        <v>3</v>
      </c>
      <c r="BL180" s="41">
        <f>SUM(BL5:BL26)*BK180</f>
        <v>0</v>
      </c>
      <c r="BM180" s="40"/>
      <c r="BN180" s="41"/>
      <c r="BP180" s="46">
        <v>3</v>
      </c>
      <c r="BQ180" s="41">
        <f>IF(SUM($ER$5:$ER$15)&gt;=1000,0,SUM(BQ5:BQ23)*BP180)</f>
        <v>0</v>
      </c>
      <c r="BR180" s="62"/>
      <c r="BS180" s="41"/>
      <c r="BT180" s="389">
        <f>IF(SUM(EN5:EQ5)*(15)+SUM(EN6:EQ6)*(30)+SUM(EN7:EQ7)*(45)+SUM(EN8:EQ8)*(75)+SUM(EN9:EQ9)*(113)+SUM(EN10:EQ10)*(150)+SUM(EN11:EQ11)*(225)+SUM(EN12:EQ12)*(300)&gt;749,3,0)</f>
        <v>0</v>
      </c>
      <c r="BU180" s="62">
        <v>3</v>
      </c>
      <c r="BV180" s="41">
        <f>IF(SUM($ER$5:$ER$15)&gt;=1000,0,SUM(BV5:BV23)*BU180)</f>
        <v>0</v>
      </c>
      <c r="BW180" s="40"/>
      <c r="BX180" s="41"/>
      <c r="BY180" s="142"/>
      <c r="BZ180" s="62">
        <v>3</v>
      </c>
      <c r="CA180" s="41">
        <f>SUM(CA5:CA26)*BZ180</f>
        <v>0</v>
      </c>
      <c r="CB180" s="40"/>
      <c r="CC180" s="41"/>
      <c r="CD180" s="140"/>
      <c r="CE180" s="62">
        <v>3</v>
      </c>
      <c r="CF180" s="41">
        <f>IF(SUM($ER$5:$ER$15)&gt;=1000,0,SUM(CF5:CF23)*CE180)</f>
        <v>0</v>
      </c>
      <c r="CG180" s="40"/>
      <c r="CH180" s="41"/>
      <c r="CI180" s="142"/>
      <c r="CJ180" s="139">
        <v>3</v>
      </c>
      <c r="CK180" s="140">
        <f>CK18*CJ180+CK19*CJ180+CK20*CJ180+CK21*CJ180+CK22*CJ180+CK23*CJ180+CK24*CJ180+CK25*CJ180+CK26*CJ180+CK5*CJ180+CK6*CJ180+CK7*CJ180+CK8*CJ180+CK9*CJ180+CK10*CJ180+CK11*CJ180+CK12*CJ180+CK13*CJ180+CK14*CJ180+CK15*CJ180+CK16*CJ180+CK17*CJ180</f>
        <v>0</v>
      </c>
      <c r="CL180" s="139"/>
      <c r="CM180" s="140"/>
      <c r="CO180" s="222">
        <v>3</v>
      </c>
      <c r="CP180" s="41">
        <f>CP18*CO180+CP19*CO180+CP20*CO180+CP21*CO180+CP22*CO180+CP23*CO180+CP24*CO180+CP25*CO180+CP26*CO180+CP5*CO180+CP6*CO180+CP7*CO180+CP8*CO180+CP9*CO180+CP10*CO180+CP11*CO180+CP12*CO180+CP13*CO180+CP14*CO180+CP15*CO180+CP16*CO180+CP17*CO180</f>
        <v>0</v>
      </c>
      <c r="CQ180" s="40"/>
      <c r="CR180" s="41"/>
      <c r="CT180" s="62">
        <v>3</v>
      </c>
      <c r="CU180" s="41">
        <f>IF(SUM($ER$5:$ER$15)&gt;=1000,0,SUM(CU5:CU23)*CT180)</f>
        <v>0</v>
      </c>
      <c r="CV180" s="40"/>
      <c r="CW180" s="41"/>
      <c r="CX180" s="142"/>
      <c r="CY180" s="62">
        <v>3</v>
      </c>
      <c r="CZ180" s="41">
        <f>IF(SUM($ER$5:$ER$15)&gt;=1000,0,SUM(CZ5:CZ23)*CY180)</f>
        <v>0</v>
      </c>
      <c r="DA180" s="40"/>
      <c r="DB180" s="41"/>
      <c r="DC180" s="142"/>
      <c r="DD180" s="46"/>
      <c r="DE180" s="41"/>
      <c r="DF180" s="40"/>
      <c r="DG180" s="41"/>
      <c r="DI180" s="71">
        <v>3</v>
      </c>
      <c r="DJ180" s="41">
        <f>SUM(DJ5:DJ26)*DI180</f>
        <v>0</v>
      </c>
      <c r="DK180" s="64"/>
      <c r="DL180" s="64"/>
      <c r="DN180" s="71">
        <v>3</v>
      </c>
      <c r="DO180" s="41">
        <f>SUM(DO5:DO26)*DN180</f>
        <v>0</v>
      </c>
      <c r="DP180" s="64"/>
      <c r="DQ180" s="64"/>
      <c r="DS180" s="60">
        <v>3</v>
      </c>
      <c r="DT180" s="41">
        <f>SUM(DT5:DT26)*DS180</f>
        <v>0</v>
      </c>
      <c r="DU180" s="64"/>
      <c r="DV180" s="64"/>
      <c r="DX180" s="60">
        <v>3</v>
      </c>
      <c r="DY180" s="41">
        <f>SUM(DY5:DY26)*DX180</f>
        <v>0</v>
      </c>
      <c r="DZ180" s="64"/>
      <c r="EA180" s="64"/>
      <c r="EC180" s="60">
        <v>3</v>
      </c>
      <c r="ED180" s="41">
        <f>SUM(ED5:ED26)*EC180</f>
        <v>0</v>
      </c>
      <c r="EE180" s="64"/>
      <c r="EF180" s="64"/>
      <c r="EH180" s="60">
        <v>3</v>
      </c>
      <c r="EI180" s="41">
        <f>SUM(EI5:EI26)*EH180</f>
        <v>0</v>
      </c>
      <c r="EJ180" s="64"/>
      <c r="EK180" s="64"/>
      <c r="ER180" s="855"/>
      <c r="EX180" s="203">
        <f t="shared" si="0"/>
        <v>0</v>
      </c>
    </row>
    <row r="181" spans="1:155" s="6" customFormat="1" ht="15" customHeight="1">
      <c r="A181" s="90"/>
      <c r="B181" s="117" t="s">
        <v>1254</v>
      </c>
      <c r="C181" s="4" t="s">
        <v>0</v>
      </c>
      <c r="D181" s="138"/>
      <c r="E181" s="62"/>
      <c r="F181" s="41"/>
      <c r="G181" s="41"/>
      <c r="H181" s="41"/>
      <c r="I181" s="4"/>
      <c r="J181" s="4">
        <v>1</v>
      </c>
      <c r="K181" s="658">
        <f>SUM(K5:K26)*J181</f>
        <v>0</v>
      </c>
      <c r="L181" s="4"/>
      <c r="M181" s="4"/>
      <c r="N181" s="661">
        <f>SUM(N5:N26,O5:O26,P5:P26)*M181</f>
        <v>0</v>
      </c>
      <c r="O181" s="4"/>
      <c r="P181" s="4"/>
      <c r="Q181" s="4"/>
      <c r="R181" s="40"/>
      <c r="S181" s="41"/>
      <c r="T181" s="140"/>
      <c r="U181" s="41"/>
      <c r="W181" s="40"/>
      <c r="X181" s="41"/>
      <c r="Y181" s="41"/>
      <c r="Z181" s="41"/>
      <c r="AB181" s="40"/>
      <c r="AC181" s="41"/>
      <c r="AD181" s="41"/>
      <c r="AE181" s="41"/>
      <c r="AG181" s="40"/>
      <c r="AH181" s="41"/>
      <c r="AI181" s="41"/>
      <c r="AJ181" s="41"/>
      <c r="AL181" s="46"/>
      <c r="AM181" s="41"/>
      <c r="AN181" s="41"/>
      <c r="AO181" s="41"/>
      <c r="AQ181" s="40"/>
      <c r="AR181" s="41"/>
      <c r="AS181" s="41"/>
      <c r="AT181" s="41"/>
      <c r="AV181" s="139"/>
      <c r="AW181" s="139"/>
      <c r="AX181" s="139"/>
      <c r="AY181" s="140"/>
      <c r="BA181" s="139"/>
      <c r="BB181" s="139"/>
      <c r="BC181" s="139"/>
      <c r="BD181" s="41"/>
      <c r="BF181" s="40"/>
      <c r="BG181" s="40"/>
      <c r="BH181" s="40"/>
      <c r="BI181" s="41"/>
      <c r="BK181" s="142"/>
      <c r="BL181" s="140"/>
      <c r="BM181" s="40"/>
      <c r="BN181" s="41"/>
      <c r="BP181" s="62"/>
      <c r="BQ181" s="41"/>
      <c r="BR181" s="40"/>
      <c r="BS181" s="41"/>
      <c r="BU181" s="62"/>
      <c r="BV181" s="41"/>
      <c r="BW181" s="40"/>
      <c r="BX181" s="41"/>
      <c r="BZ181" s="62"/>
      <c r="CA181" s="41"/>
      <c r="CB181" s="40"/>
      <c r="CC181" s="41"/>
      <c r="CD181" s="140"/>
      <c r="CE181" s="62"/>
      <c r="CF181" s="41"/>
      <c r="CG181" s="40"/>
      <c r="CH181" s="41"/>
      <c r="CJ181" s="139"/>
      <c r="CK181" s="140"/>
      <c r="CL181" s="139"/>
      <c r="CM181" s="140"/>
      <c r="CO181" s="222"/>
      <c r="CP181" s="41"/>
      <c r="CQ181" s="40"/>
      <c r="CR181" s="41"/>
      <c r="CT181" s="62"/>
      <c r="CU181" s="41"/>
      <c r="CV181" s="40"/>
      <c r="CW181" s="41"/>
      <c r="CY181" s="62"/>
      <c r="CZ181" s="41"/>
      <c r="DA181" s="40"/>
      <c r="DB181" s="41"/>
      <c r="DD181" s="46"/>
      <c r="DE181" s="41"/>
      <c r="DF181" s="40"/>
      <c r="DG181" s="41"/>
      <c r="DI181" s="71"/>
      <c r="DJ181" s="64"/>
      <c r="DK181" s="64"/>
      <c r="DL181" s="64"/>
      <c r="DN181" s="71"/>
      <c r="DO181" s="64"/>
      <c r="DP181" s="64"/>
      <c r="DQ181" s="64"/>
      <c r="DS181" s="60"/>
      <c r="DT181" s="64"/>
      <c r="DU181" s="64"/>
      <c r="DV181" s="64"/>
      <c r="DX181" s="60"/>
      <c r="DY181" s="64"/>
      <c r="DZ181" s="64"/>
      <c r="EA181" s="64"/>
      <c r="EC181" s="60"/>
      <c r="ED181" s="64"/>
      <c r="EE181" s="64"/>
      <c r="EF181" s="64"/>
      <c r="EH181" s="60"/>
      <c r="EI181" s="64"/>
      <c r="EJ181" s="64"/>
      <c r="EK181" s="64"/>
      <c r="ER181" s="855"/>
      <c r="EX181" s="203">
        <f t="shared" si="0"/>
        <v>0</v>
      </c>
    </row>
    <row r="182" spans="1:155" s="6" customFormat="1" ht="15" customHeight="1">
      <c r="A182" s="90" t="s">
        <v>170</v>
      </c>
      <c r="B182" s="210" t="s">
        <v>457</v>
      </c>
      <c r="C182" s="473" t="s">
        <v>515</v>
      </c>
      <c r="D182" s="138"/>
      <c r="E182" s="40">
        <v>3</v>
      </c>
      <c r="F182" s="40">
        <f>IF(SUM($ER$5:$ER$15)&lt;=1000,0,SUM(F5:F23,G5:G26,H5:H26)*E182)</f>
        <v>0</v>
      </c>
      <c r="G182" s="40"/>
      <c r="H182" s="40"/>
      <c r="I182" s="4"/>
      <c r="J182" s="4"/>
      <c r="K182" s="4"/>
      <c r="L182" s="4"/>
      <c r="M182" s="4"/>
      <c r="N182" s="4"/>
      <c r="O182" s="4"/>
      <c r="P182" s="4"/>
      <c r="Q182" s="4"/>
      <c r="R182" s="40"/>
      <c r="S182" s="41"/>
      <c r="T182" s="140"/>
      <c r="U182" s="41"/>
      <c r="W182" s="40"/>
      <c r="X182" s="41"/>
      <c r="Y182" s="41"/>
      <c r="Z182" s="41"/>
      <c r="AB182" s="40"/>
      <c r="AC182" s="41"/>
      <c r="AD182" s="41"/>
      <c r="AE182" s="41"/>
      <c r="AG182" s="40"/>
      <c r="AH182" s="41"/>
      <c r="AI182" s="41"/>
      <c r="AJ182" s="41"/>
      <c r="AL182" s="40"/>
      <c r="AM182" s="41"/>
      <c r="AN182" s="41"/>
      <c r="AO182" s="41"/>
      <c r="AQ182" s="40"/>
      <c r="AR182" s="41"/>
      <c r="AS182" s="41"/>
      <c r="AT182" s="41"/>
      <c r="AV182" s="139"/>
      <c r="AW182" s="139"/>
      <c r="AX182" s="139"/>
      <c r="AY182" s="140"/>
      <c r="BA182" s="139"/>
      <c r="BB182" s="139"/>
      <c r="BC182" s="139"/>
      <c r="BD182" s="41"/>
      <c r="BF182" s="40"/>
      <c r="BG182" s="40"/>
      <c r="BH182" s="40"/>
      <c r="BI182" s="41"/>
      <c r="BK182" s="139"/>
      <c r="BL182" s="139"/>
      <c r="BM182" s="40"/>
      <c r="BN182" s="41"/>
      <c r="BP182" s="40">
        <v>3</v>
      </c>
      <c r="BQ182" s="40">
        <f>IF(SUM($ER$5:$ER$15)&lt;=1000,0,SUM(BQ5:BQ23,BR5:BR26,BS5:BS26)*BP182)</f>
        <v>0</v>
      </c>
      <c r="BR182" s="40"/>
      <c r="BS182" s="40"/>
      <c r="BT182" s="6">
        <f>IF(SUM($ER$5:$ER$12)&gt;750,SUM(,BQ5:BQ26)*3,0)</f>
        <v>0</v>
      </c>
      <c r="BU182" s="40">
        <v>3</v>
      </c>
      <c r="BV182" s="40">
        <f>IF(SUM($ER$5:$ER$15)&lt;=1000,0,SUM(BV5:BV23,BW5:BW26,BX5:BX26)*BU182)</f>
        <v>0</v>
      </c>
      <c r="BW182" s="40"/>
      <c r="BX182" s="40"/>
      <c r="BZ182" s="40"/>
      <c r="CA182" s="40"/>
      <c r="CB182" s="40"/>
      <c r="CC182" s="41"/>
      <c r="CD182" s="140"/>
      <c r="CE182" s="40">
        <v>3</v>
      </c>
      <c r="CF182" s="40">
        <f>IF(SUM($ER$5:$ER$15)&lt;=1000,0,SUM(CF5:CF23,CG5:CG26,CH5:CH26)*CE182)</f>
        <v>0</v>
      </c>
      <c r="CG182" s="40"/>
      <c r="CH182" s="40"/>
      <c r="CJ182" s="139"/>
      <c r="CK182" s="139"/>
      <c r="CL182" s="139"/>
      <c r="CM182" s="140"/>
      <c r="CO182" s="222"/>
      <c r="CP182" s="40"/>
      <c r="CQ182" s="40"/>
      <c r="CR182" s="41"/>
      <c r="CT182" s="40">
        <v>3</v>
      </c>
      <c r="CU182" s="40">
        <f>IF(SUM($ER$5:$ER$15)&lt;=1000,0,SUM(CU5:CU23,CV5:CV26,CW5:CW26)*CT182)</f>
        <v>0</v>
      </c>
      <c r="CV182" s="40"/>
      <c r="CW182" s="40"/>
      <c r="CY182" s="40">
        <v>3</v>
      </c>
      <c r="CZ182" s="40">
        <f>IF(SUM($ER$5:$ER$15)&lt;=1000,0,SUM(CZ5:CZ23,DA5:DA26,DB5:DB26)*CY182)</f>
        <v>0</v>
      </c>
      <c r="DA182" s="40"/>
      <c r="DB182" s="40"/>
      <c r="DD182" s="46">
        <v>3</v>
      </c>
      <c r="DE182" s="41">
        <f>DE6*DD182+DF6*DD182+DE7*DD182+DF7*DD182+DE8*DD182+DF8*DD182+DE9*DD182+DF9*DD182+DE10*DD182+DF10*DD182+DE11*DD182+DF11*DD182+DE12*DD182+DF12*DD182+DE13*DD182+DF13*DD182+DE14*DD182+DF14*DD182+DE15*DD182+DF15*DD182+DE16*DD182+DF16*DD182+DE17*DD182+DF17*DD182+DE18*DD182+DF18*DD182+DE19*DD182+DF19*DD182+DE20*DD182+DF20*DD182+DE21*DD182+DF21*DD182+DE22*DD182+DF22*DD182+DE23*DD182+DF23*DD182+DE24*DD182+DF24*DD182+DE25*DD182+DF25*DD182+DE26*DD182+DF26*DD182+DE5*DD182+DF5*DD182+DG5*DD182+DG6*DD182+DG7*DD182+DG8*DD182+DG9*DD182+DG10*DD182+DG11*DD182+DG12*DD182+DG13*DD182+DG14*DD182+DG15*DD182+DG16*DD182+DG17*DD182+DG18*DD182+DG19*DD182+DG20*DD182+DG21*DD182+DG22*DD182+DG23*DD182+DG24*DD182+DG25*DD182+DG26*DD182</f>
        <v>0</v>
      </c>
      <c r="DF182" s="40"/>
      <c r="DG182" s="41"/>
      <c r="DI182" s="64"/>
      <c r="DJ182" s="64"/>
      <c r="DK182" s="64"/>
      <c r="DL182" s="64"/>
      <c r="DN182" s="64"/>
      <c r="DO182" s="64"/>
      <c r="DP182" s="64"/>
      <c r="DQ182" s="64"/>
      <c r="DS182" s="64"/>
      <c r="DT182" s="64"/>
      <c r="DU182" s="64"/>
      <c r="DV182" s="64"/>
      <c r="DX182" s="64"/>
      <c r="DY182" s="64"/>
      <c r="DZ182" s="64"/>
      <c r="EA182" s="64"/>
      <c r="EC182" s="64"/>
      <c r="ED182" s="64"/>
      <c r="EE182" s="64"/>
      <c r="EF182" s="64"/>
      <c r="EH182" s="64"/>
      <c r="EI182" s="64"/>
      <c r="EJ182" s="64"/>
      <c r="EK182" s="64"/>
      <c r="ER182" s="855"/>
      <c r="EX182" s="203">
        <f t="shared" si="0"/>
        <v>0</v>
      </c>
      <c r="EY182" s="142">
        <v>13</v>
      </c>
    </row>
    <row r="183" spans="1:155" s="6" customFormat="1" ht="15" customHeight="1">
      <c r="A183" s="3" t="s">
        <v>65</v>
      </c>
      <c r="B183" s="210" t="s">
        <v>456</v>
      </c>
      <c r="C183" s="473" t="s">
        <v>515</v>
      </c>
      <c r="D183" s="138"/>
      <c r="E183" s="5">
        <v>3</v>
      </c>
      <c r="F183" s="5">
        <f>IF(SUM($ER$5:$ER$15)&lt;=2000,0,SUM(F5:F23,G5:G26,H5:H26)*E183)</f>
        <v>0</v>
      </c>
      <c r="G183" s="5"/>
      <c r="H183" s="5"/>
      <c r="I183" s="4"/>
      <c r="J183" s="4"/>
      <c r="K183" s="4"/>
      <c r="L183" s="4"/>
      <c r="M183" s="4"/>
      <c r="N183" s="4"/>
      <c r="O183" s="4"/>
      <c r="P183" s="4"/>
      <c r="Q183" s="4"/>
      <c r="R183" s="5"/>
      <c r="S183" s="5"/>
      <c r="U183" s="5"/>
      <c r="W183" s="5"/>
      <c r="X183" s="5"/>
      <c r="Y183" s="5"/>
      <c r="Z183" s="5"/>
      <c r="AB183" s="5"/>
      <c r="AC183" s="5"/>
      <c r="AD183" s="5"/>
      <c r="AE183" s="5"/>
      <c r="AG183" s="5"/>
      <c r="AH183" s="5"/>
      <c r="AI183" s="5"/>
      <c r="AJ183" s="5"/>
      <c r="AL183" s="5"/>
      <c r="AM183" s="5"/>
      <c r="AN183" s="5"/>
      <c r="AO183" s="5"/>
      <c r="AQ183" s="5"/>
      <c r="AR183" s="5"/>
      <c r="AS183" s="5"/>
      <c r="AT183" s="5"/>
      <c r="BD183" s="5"/>
      <c r="BF183" s="5"/>
      <c r="BG183" s="5"/>
      <c r="BH183" s="5"/>
      <c r="BI183" s="5"/>
      <c r="BM183" s="5"/>
      <c r="BN183" s="5"/>
      <c r="BP183" s="5">
        <v>3</v>
      </c>
      <c r="BQ183" s="5">
        <f>IF(SUM($ER$5:$ER$15)&lt;=2000,0,SUM(BQ5:BQ23,BR5:BR26,BS5:BS26)*BP183)</f>
        <v>0</v>
      </c>
      <c r="BR183" s="5"/>
      <c r="BS183" s="5"/>
      <c r="BT183" s="6">
        <f>IF(SUM($ER$5:$ER$12)&gt;750,SUM(,BQ5:BQ26)*3,0)</f>
        <v>0</v>
      </c>
      <c r="BU183" s="5">
        <v>3</v>
      </c>
      <c r="BV183" s="5">
        <f>IF(SUM($ER$5:$ER$15)&lt;=2000,0,SUM(BV5:BV23,BW5:BW26,BX5:BX26)*BU183)</f>
        <v>0</v>
      </c>
      <c r="BW183" s="5"/>
      <c r="BX183" s="5"/>
      <c r="BZ183" s="5"/>
      <c r="CA183" s="5"/>
      <c r="CB183" s="5"/>
      <c r="CC183" s="5"/>
      <c r="CE183" s="5">
        <v>3</v>
      </c>
      <c r="CF183" s="5">
        <f>IF(SUM($ER$5:$ER$15)&lt;=2000,0,SUM(CF5:CF23,CG5:CG26,CH5:CH26)*CE183)</f>
        <v>0</v>
      </c>
      <c r="CG183" s="5"/>
      <c r="CH183" s="5"/>
      <c r="CI183" s="6">
        <f>IF(SUM($ER$5:$ER$12)&gt;749,SUM(CF5:CF26)*3,0)</f>
        <v>0</v>
      </c>
      <c r="CO183" s="13"/>
      <c r="CP183" s="5"/>
      <c r="CQ183" s="5"/>
      <c r="CR183" s="5"/>
      <c r="CT183" s="5">
        <v>3</v>
      </c>
      <c r="CU183" s="5">
        <f>IF(SUM($ER$5:$ER$15)&lt;=2000,0,SUM(CU5:CU23,CV5:CV26,CW5:CW26)*CT183)</f>
        <v>0</v>
      </c>
      <c r="CV183" s="5"/>
      <c r="CW183" s="5"/>
      <c r="CY183" s="5">
        <v>3</v>
      </c>
      <c r="CZ183" s="5">
        <f>IF(SUM($ER$5:$ER$15)&lt;=2000,0,SUM(CZ5:CZ23,DA5:DA26,DB5:DB26)*CY183)</f>
        <v>0</v>
      </c>
      <c r="DA183" s="5"/>
      <c r="DB183" s="5"/>
      <c r="DD183" s="5">
        <v>3</v>
      </c>
      <c r="DE183" s="5">
        <f>DE7*DD183+DF7*DD183+DE8*DD183+DF8*DD183+DE9*DD183+DF9*DD183+DE10*DD183+DF10*DD183+DE11*DD183+DF11*DD183+DE12*DD183+DF12*DD183+DE13*DD183+DF13*DD183+DE14*DD183+DF14*DD183+DE15*DD183+DF15*DD183+DE16*DD183+DF16*DD183+DE17*DD183+DF17*DD183+DE18*DD183+DF18*DD183+DE19*DD183+DF19*DD183+DE20*DD183+DF20*DD183+DE21*DD183+DF21*DD183+DE22*DD183+DF22*DD183+DE23*DD183+DF23*DD183+DE24*DD183+DF24*DD183+DE25*DD183+DF25*DD183+DE26*DD183+DF26*DD183+DE5*DD183+DF5*DD183+DE6*DD183+DF6*DD183+DE5*DD183+DF5*DD183+DG5*DD183+DG6*DD183+DG7*DD183+DG8*DD183+DG9*DD183+DG10*DD183+DG11*DD183+DG12*DD183+DG13*DD183+DG14*DD183+DG15*DD183+DG16*DD183+DG17*DD183+DG18*DD183+DG19*DD183+DG20*DD183+DG21*DD183+DG22*DD183+DG23*DD183+DG24*DD183+DG25*DD183+DG26*DD183</f>
        <v>0</v>
      </c>
      <c r="DF183" s="5"/>
      <c r="DG183" s="5"/>
      <c r="DI183" s="64"/>
      <c r="DJ183" s="64"/>
      <c r="DK183" s="64"/>
      <c r="DL183" s="64"/>
      <c r="DN183" s="64"/>
      <c r="DO183" s="64"/>
      <c r="DP183" s="64"/>
      <c r="DQ183" s="64"/>
      <c r="DS183" s="64"/>
      <c r="DT183" s="64"/>
      <c r="DU183" s="64"/>
      <c r="DV183" s="64"/>
      <c r="DX183" s="64"/>
      <c r="DY183" s="64"/>
      <c r="DZ183" s="64"/>
      <c r="EA183" s="64"/>
      <c r="EC183" s="64"/>
      <c r="ED183" s="64"/>
      <c r="EE183" s="64"/>
      <c r="EF183" s="64"/>
      <c r="EH183" s="64"/>
      <c r="EI183" s="64"/>
      <c r="EJ183" s="64"/>
      <c r="EK183" s="64"/>
      <c r="ER183" s="855"/>
      <c r="EX183" s="203">
        <f t="shared" si="0"/>
        <v>0</v>
      </c>
      <c r="EY183" s="116">
        <v>34</v>
      </c>
    </row>
    <row r="184" spans="1:155" s="6" customFormat="1" ht="15" customHeight="1">
      <c r="A184" s="90" t="s">
        <v>163</v>
      </c>
      <c r="B184" s="210" t="s">
        <v>505</v>
      </c>
      <c r="C184" s="473" t="s">
        <v>515</v>
      </c>
      <c r="D184" s="138"/>
      <c r="E184" s="40"/>
      <c r="F184" s="40"/>
      <c r="G184" s="40"/>
      <c r="H184" s="40"/>
      <c r="I184" s="4"/>
      <c r="J184" s="4"/>
      <c r="K184" s="4"/>
      <c r="L184" s="4"/>
      <c r="M184" s="4"/>
      <c r="N184" s="4"/>
      <c r="O184" s="4"/>
      <c r="P184" s="4"/>
      <c r="Q184" s="4"/>
      <c r="R184" s="40"/>
      <c r="S184" s="41"/>
      <c r="T184" s="140"/>
      <c r="U184" s="41"/>
      <c r="W184" s="40"/>
      <c r="X184" s="41"/>
      <c r="Y184" s="41"/>
      <c r="Z184" s="41"/>
      <c r="AB184" s="40"/>
      <c r="AC184" s="41"/>
      <c r="AD184" s="41"/>
      <c r="AE184" s="41"/>
      <c r="AG184" s="40"/>
      <c r="AH184" s="41"/>
      <c r="AI184" s="41"/>
      <c r="AJ184" s="41"/>
      <c r="AL184" s="40"/>
      <c r="AM184" s="41"/>
      <c r="AN184" s="41"/>
      <c r="AO184" s="41"/>
      <c r="AQ184" s="40"/>
      <c r="AR184" s="41"/>
      <c r="AS184" s="41"/>
      <c r="AT184" s="41"/>
      <c r="AV184" s="139"/>
      <c r="AW184" s="139"/>
      <c r="AX184" s="139"/>
      <c r="AY184" s="140"/>
      <c r="BA184" s="139"/>
      <c r="BB184" s="139"/>
      <c r="BC184" s="139"/>
      <c r="BD184" s="41"/>
      <c r="BF184" s="40"/>
      <c r="BG184" s="40"/>
      <c r="BH184" s="40"/>
      <c r="BI184" s="41"/>
      <c r="BK184" s="139"/>
      <c r="BL184" s="139"/>
      <c r="BM184" s="40"/>
      <c r="BN184" s="41"/>
      <c r="BP184" s="40"/>
      <c r="BQ184" s="40"/>
      <c r="BR184" s="40"/>
      <c r="BS184" s="41"/>
      <c r="BU184" s="40">
        <v>3</v>
      </c>
      <c r="BV184" s="40">
        <f>IF(SUM($ER$5:$ER$15)&gt;=1000,0,SUM(BV5:BV23,BW5:BW26,BX5:BX26)*BU184)</f>
        <v>0</v>
      </c>
      <c r="BW184" s="40"/>
      <c r="BX184" s="41"/>
      <c r="BZ184" s="40"/>
      <c r="CA184" s="40"/>
      <c r="CB184" s="40"/>
      <c r="CC184" s="41"/>
      <c r="CD184" s="140"/>
      <c r="CE184" s="40"/>
      <c r="CF184" s="40"/>
      <c r="CG184" s="40"/>
      <c r="CH184" s="41"/>
      <c r="CJ184" s="139"/>
      <c r="CK184" s="139"/>
      <c r="CL184" s="139"/>
      <c r="CM184" s="140"/>
      <c r="CO184" s="222"/>
      <c r="CP184" s="40"/>
      <c r="CQ184" s="40"/>
      <c r="CR184" s="41"/>
      <c r="CT184" s="40"/>
      <c r="CU184" s="40"/>
      <c r="CV184" s="40"/>
      <c r="CW184" s="41"/>
      <c r="CY184" s="40">
        <v>3</v>
      </c>
      <c r="CZ184" s="40">
        <f>IF(SUM($ER$5:$ER$15)&gt;=750,0,SUM(CZ5:CZ23,DA5:DA26,DB5:DB26)*CY184)</f>
        <v>0</v>
      </c>
      <c r="DA184" s="40"/>
      <c r="DB184" s="41"/>
      <c r="DD184" s="40"/>
      <c r="DE184" s="40"/>
      <c r="DF184" s="40"/>
      <c r="DG184" s="41"/>
      <c r="DI184" s="64"/>
      <c r="DJ184" s="64"/>
      <c r="DK184" s="64"/>
      <c r="DL184" s="64"/>
      <c r="DN184" s="64"/>
      <c r="DO184" s="64"/>
      <c r="DP184" s="64"/>
      <c r="DQ184" s="64"/>
      <c r="DS184" s="64"/>
      <c r="DT184" s="64"/>
      <c r="DU184" s="64"/>
      <c r="DV184" s="64"/>
      <c r="DX184" s="64"/>
      <c r="DY184" s="64"/>
      <c r="DZ184" s="64"/>
      <c r="EA184" s="64"/>
      <c r="EC184" s="64"/>
      <c r="ED184" s="64"/>
      <c r="EE184" s="64"/>
      <c r="EF184" s="64"/>
      <c r="EH184" s="64"/>
      <c r="EI184" s="64"/>
      <c r="EJ184" s="64"/>
      <c r="EK184" s="64"/>
      <c r="ER184" s="855"/>
      <c r="EX184" s="203">
        <f t="shared" si="0"/>
        <v>0</v>
      </c>
      <c r="EY184" s="142">
        <v>13</v>
      </c>
    </row>
    <row r="185" spans="1:155" s="6" customFormat="1" ht="15" customHeight="1">
      <c r="A185" s="90" t="s">
        <v>149</v>
      </c>
      <c r="B185" s="210" t="s">
        <v>506</v>
      </c>
      <c r="C185" s="473" t="s">
        <v>515</v>
      </c>
      <c r="D185" s="138"/>
      <c r="E185" s="40"/>
      <c r="F185" s="40"/>
      <c r="G185" s="40"/>
      <c r="H185" s="40"/>
      <c r="I185" s="4"/>
      <c r="J185" s="4"/>
      <c r="K185" s="4"/>
      <c r="L185" s="4"/>
      <c r="M185" s="4"/>
      <c r="N185" s="4"/>
      <c r="O185" s="4"/>
      <c r="P185" s="4"/>
      <c r="Q185" s="4"/>
      <c r="R185" s="40"/>
      <c r="S185" s="41"/>
      <c r="T185" s="140"/>
      <c r="U185" s="41"/>
      <c r="W185" s="40"/>
      <c r="X185" s="41"/>
      <c r="Y185" s="41"/>
      <c r="Z185" s="41"/>
      <c r="AB185" s="40"/>
      <c r="AC185" s="41"/>
      <c r="AD185" s="41"/>
      <c r="AE185" s="41"/>
      <c r="AG185" s="40"/>
      <c r="AH185" s="41"/>
      <c r="AI185" s="41"/>
      <c r="AJ185" s="41"/>
      <c r="AL185" s="40"/>
      <c r="AM185" s="41"/>
      <c r="AN185" s="41"/>
      <c r="AO185" s="41"/>
      <c r="AQ185" s="40"/>
      <c r="AR185" s="41"/>
      <c r="AS185" s="41"/>
      <c r="AT185" s="41"/>
      <c r="AV185" s="139"/>
      <c r="AW185" s="139"/>
      <c r="AX185" s="139"/>
      <c r="AY185" s="140"/>
      <c r="BA185" s="139"/>
      <c r="BB185" s="139"/>
      <c r="BC185" s="139"/>
      <c r="BD185" s="41"/>
      <c r="BF185" s="40"/>
      <c r="BG185" s="40"/>
      <c r="BH185" s="40"/>
      <c r="BI185" s="41"/>
      <c r="BK185" s="139"/>
      <c r="BL185" s="139"/>
      <c r="BM185" s="40"/>
      <c r="BN185" s="41"/>
      <c r="BP185" s="40"/>
      <c r="BQ185" s="40"/>
      <c r="BR185" s="40"/>
      <c r="BS185" s="41"/>
      <c r="BU185" s="40">
        <v>3</v>
      </c>
      <c r="BV185" s="40">
        <f>IF(SUM($ER$5:$ER$15)&gt;=1000,0,SUM(BV5:BV23,BW5:BW26,BX5:BX26)*BU185)</f>
        <v>0</v>
      </c>
      <c r="BW185" s="40"/>
      <c r="BX185" s="41"/>
      <c r="BZ185" s="40"/>
      <c r="CA185" s="40"/>
      <c r="CB185" s="40"/>
      <c r="CC185" s="41"/>
      <c r="CD185" s="140"/>
      <c r="CE185" s="40"/>
      <c r="CF185" s="40"/>
      <c r="CG185" s="40"/>
      <c r="CH185" s="41"/>
      <c r="CJ185" s="139"/>
      <c r="CK185" s="139"/>
      <c r="CL185" s="139"/>
      <c r="CM185" s="140"/>
      <c r="CO185" s="222"/>
      <c r="CP185" s="40"/>
      <c r="CQ185" s="40"/>
      <c r="CR185" s="41"/>
      <c r="CT185" s="40"/>
      <c r="CU185" s="40"/>
      <c r="CV185" s="40"/>
      <c r="CW185" s="41"/>
      <c r="CY185" s="40">
        <v>3</v>
      </c>
      <c r="CZ185" s="40">
        <f>IF(SUM($ER$5:$ER$15)&gt;=2000,0,SUM(CZ5:CZ23,DA5:DA26,DB5:DB26)*CY185)</f>
        <v>0</v>
      </c>
      <c r="DA185" s="40"/>
      <c r="DB185" s="41"/>
      <c r="DD185" s="40"/>
      <c r="DE185" s="40"/>
      <c r="DF185" s="40"/>
      <c r="DG185" s="41"/>
      <c r="DI185" s="64"/>
      <c r="DJ185" s="64"/>
      <c r="DK185" s="64"/>
      <c r="DL185" s="64"/>
      <c r="DN185" s="64"/>
      <c r="DO185" s="64"/>
      <c r="DP185" s="64"/>
      <c r="DQ185" s="64"/>
      <c r="DS185" s="64"/>
      <c r="DT185" s="64"/>
      <c r="DU185" s="64"/>
      <c r="DV185" s="64"/>
      <c r="DX185" s="64"/>
      <c r="DY185" s="64"/>
      <c r="DZ185" s="64"/>
      <c r="EA185" s="64"/>
      <c r="EC185" s="64"/>
      <c r="ED185" s="64"/>
      <c r="EE185" s="64"/>
      <c r="EF185" s="64"/>
      <c r="EH185" s="64"/>
      <c r="EI185" s="64"/>
      <c r="EJ185" s="64"/>
      <c r="EK185" s="64"/>
      <c r="ER185" s="855"/>
      <c r="EX185" s="203">
        <f t="shared" si="0"/>
        <v>0</v>
      </c>
      <c r="EY185" s="116">
        <v>34</v>
      </c>
    </row>
    <row r="186" spans="1:155" s="6" customFormat="1" ht="15" customHeight="1">
      <c r="A186" s="90" t="s">
        <v>164</v>
      </c>
      <c r="B186" s="210" t="s">
        <v>467</v>
      </c>
      <c r="C186" s="473" t="s">
        <v>515</v>
      </c>
      <c r="D186" s="138"/>
      <c r="E186" s="207">
        <v>3</v>
      </c>
      <c r="F186" s="207">
        <f>IF(SUM($ER$5:$ER$15)&gt;=1000,0,SUM(F5:F23,G5:G26,H5:H26)*E186)</f>
        <v>0</v>
      </c>
      <c r="G186" s="207"/>
      <c r="H186" s="207"/>
      <c r="I186" s="4"/>
      <c r="J186" s="4"/>
      <c r="K186" s="4"/>
      <c r="L186" s="4"/>
      <c r="M186" s="4"/>
      <c r="N186" s="4"/>
      <c r="O186" s="4"/>
      <c r="P186" s="4"/>
      <c r="Q186" s="4"/>
      <c r="R186" s="40"/>
      <c r="S186" s="41"/>
      <c r="T186" s="140"/>
      <c r="U186" s="41"/>
      <c r="W186" s="40"/>
      <c r="X186" s="41"/>
      <c r="Y186" s="41"/>
      <c r="Z186" s="41"/>
      <c r="AB186" s="40"/>
      <c r="AC186" s="41"/>
      <c r="AD186" s="41"/>
      <c r="AE186" s="41"/>
      <c r="AG186" s="40"/>
      <c r="AH186" s="41"/>
      <c r="AI186" s="41"/>
      <c r="AJ186" s="41"/>
      <c r="AL186" s="40"/>
      <c r="AM186" s="41"/>
      <c r="AN186" s="41"/>
      <c r="AO186" s="41"/>
      <c r="AQ186" s="40"/>
      <c r="AR186" s="41"/>
      <c r="AS186" s="41"/>
      <c r="AT186" s="41"/>
      <c r="AV186" s="139"/>
      <c r="AW186" s="139"/>
      <c r="AX186" s="139"/>
      <c r="AY186" s="140"/>
      <c r="BA186" s="139"/>
      <c r="BB186" s="139"/>
      <c r="BC186" s="139"/>
      <c r="BD186" s="41"/>
      <c r="BF186" s="40"/>
      <c r="BG186" s="40"/>
      <c r="BH186" s="40"/>
      <c r="BI186" s="41"/>
      <c r="BK186" s="139"/>
      <c r="BL186" s="139"/>
      <c r="BM186" s="40"/>
      <c r="BN186" s="41"/>
      <c r="BP186" s="207">
        <v>3</v>
      </c>
      <c r="BQ186" s="207">
        <f>IF(SUM($ER$5:$ER$15)&gt;=1000,0,SUM(BQ5:BQ23,BR5:BR26,BS5:BS26)*BP186)</f>
        <v>0</v>
      </c>
      <c r="BR186" s="40"/>
      <c r="BS186" s="41"/>
      <c r="BU186" s="207"/>
      <c r="BV186" s="207"/>
      <c r="BW186" s="40"/>
      <c r="BX186" s="41"/>
      <c r="BZ186" s="40"/>
      <c r="CA186" s="40"/>
      <c r="CB186" s="40"/>
      <c r="CC186" s="41"/>
      <c r="CD186" s="140"/>
      <c r="CE186" s="207">
        <v>3</v>
      </c>
      <c r="CF186" s="207">
        <f>IF(SUM($ER$5:$ER$15)&gt;=1000,0,SUM(CF5:CF23,CG5:CG26,CH5:CH26)*CE186)</f>
        <v>0</v>
      </c>
      <c r="CG186" s="40"/>
      <c r="CH186" s="41"/>
      <c r="CJ186" s="139"/>
      <c r="CK186" s="139"/>
      <c r="CL186" s="139"/>
      <c r="CM186" s="140"/>
      <c r="CO186" s="222"/>
      <c r="CP186" s="40"/>
      <c r="CQ186" s="40"/>
      <c r="CR186" s="41"/>
      <c r="CT186" s="207">
        <v>3</v>
      </c>
      <c r="CU186" s="207">
        <f>IF(SUM($ER$5:$ER$15)&gt;=1000,0,SUM(CU5:CU23,CV5:CV26,CW5:CW26)*CT186)</f>
        <v>0</v>
      </c>
      <c r="CV186" s="40"/>
      <c r="CW186" s="41"/>
      <c r="CY186" s="207"/>
      <c r="CZ186" s="207"/>
      <c r="DA186" s="40"/>
      <c r="DB186" s="41"/>
      <c r="DD186" s="40"/>
      <c r="DE186" s="40"/>
      <c r="DF186" s="40"/>
      <c r="DG186" s="41"/>
      <c r="DI186" s="207"/>
      <c r="DJ186" s="207"/>
      <c r="DK186" s="136"/>
      <c r="DL186" s="136"/>
      <c r="DN186" s="207">
        <v>3</v>
      </c>
      <c r="DO186" s="207">
        <f>DO7*DN186+DP7*DN186+DO8*DN186+DP8*DN186+DO9*DN186+DP9*DN186+DO10*DN186+DP10*DN186+DO11*DN186+DP11*DN186+DO12*DN186+DP12*DN186+DO13*DN186+DP13*DN186+DO14*DN186+DP14*DN186+DO15*DN186+DP15*DN186+DO16*DN186+DP16*DN186+DO17*DN186+DP17*DN186+DO18*DN186+DP18*DN186+DO19*DN186+DP19*DN186+DO20*DN186+DP20*DN186+DO21*DN186+DP21*DN186+DO22*DN186+DP22*DN186+DO23*DN186+DP23*DN186+DO24*DN186+DP24*DN186+DO25*DN186+DP25*DN186+DO26*DN186+DP26*DN186+DO5*DN186+DP5*DN186+DO6*DN186+DP6*DN186+DQ5*DN186+DQ6*DN186+DQ7*DN186+DQ8*DN186+DQ9*DN186+DQ10*DN186+DQ11*DN186+DQ12*DN186+DQ13*DN186+DQ14*DN186+DQ15*DN186+DQ16*DN186+DQ17*DN186+DQ18*DN186+DQ19*DN186+DQ20*DN186+DQ21*DN186+DQ22*DN186+DQ23*DN186+DQ24*DN186+DQ25*DN186+DQ26*DN186</f>
        <v>0</v>
      </c>
      <c r="DP186" s="136"/>
      <c r="DQ186" s="136"/>
      <c r="DS186" s="207"/>
      <c r="DT186" s="207"/>
      <c r="DU186" s="136"/>
      <c r="DV186" s="136"/>
      <c r="DX186" s="207">
        <v>3</v>
      </c>
      <c r="DY186" s="207">
        <f>DY7*DX186+DZ7*DX186+DY8*DX186+DZ8*DX186+DY9*DX186+DZ9*DX186+DY10*DX186+DZ10*DX186+DY11*DX186+DZ11*DX186+DY12*DX186+DZ12*DX186+DY13*DX186+DZ13*DX186+DY14*DX186+DZ14*DX186+DY15*DX186+DZ15*DX186+DY16*DX186+DZ16*DX186+DY17*DX186+DZ17*DX186+DY18*DX186+DZ18*DX186+DY19*DX186+DZ19*DX186+DY20*DX186+DZ20*DX186+DY21*DX186+DZ21*DX186+DY22*DX186+DZ22*DX186+DY23*DX186+DZ23*DX186+DY24*DX186+DZ24*DX186+DY25*DX186+DZ25*DX186+DY26*DX186+DZ26*DX186+DY5*DX186+DZ5*DX186+DY6*DX186+DZ6*DX186+EA5*DX186+EA6*DX186+EA7*DX186+EA8*DX186+EA9*DX186+EA10*DX186+EA11*DX186+EA12*DX186+EA13*DX186+EA14*DX186+EA15*DX186+EA16*DX186+EA17*DX186+EA18*DX186+EA19*DX186+EA20*DX186+EA21*DX186+EA22*DX186+EA23*DX186+EA24*DX186+EA25*DX186+EA26*DX186</f>
        <v>0</v>
      </c>
      <c r="DZ186" s="136"/>
      <c r="EA186" s="136"/>
      <c r="EC186" s="207"/>
      <c r="ED186" s="207"/>
      <c r="EE186" s="136"/>
      <c r="EF186" s="136"/>
      <c r="EH186" s="207">
        <v>3</v>
      </c>
      <c r="EI186" s="207">
        <f>EI7*EH186+EJ7*EH186+EI8*EH186+EJ8*EH186+EI9*EH186+EJ9*EH186+EI10*EH186+EJ10*EH186+EI11*EH186+EJ11*EH186+EI12*EH186+EJ12*EH186+EI13*EH186+EJ13*EH186+EI14*EH186+EJ14*EH186+EI15*EH186+EJ15*EH186+EI16*EH186+EJ16*EH186+EI17*EH186+EJ17*EH186+EI18*EH186+EJ18*EH186+EI19*EH186+EJ19*EH186+EI20*EH186+EJ20*EH186+EI21*EH186+EJ21*EH186+EI22*EH186+EJ22*EH186+EI23*EH186+EJ23*EH186+EI24*EH186+EJ24*EH186+EI25*EH186+EJ25*EH186+EI26*EH186+EJ26*EH186+EI5*EH186+EJ5*EH186+EI6*EH186+EJ6*EH186+EK5*EH186+EK6*EH186+EK7*EH186+EK8*EH186+EK9*EH186+EK10*EH186+EK11*EH186+EK12*EH186+EK13*EH186+EK14*EH186+EK15*EH186+EK16*EH186+EK17*EH186+EK18*EH186+EK19*EH186+EK20*EH186+EK21*EH186+EK22*EH186+EK23*EH186+EK24*EH186+EK25*EH186+EK26*EH186</f>
        <v>0</v>
      </c>
      <c r="EJ186" s="136"/>
      <c r="EK186" s="136"/>
      <c r="ER186" s="855"/>
      <c r="EX186" s="203">
        <f t="shared" si="0"/>
        <v>0</v>
      </c>
      <c r="EY186" s="142">
        <v>13</v>
      </c>
    </row>
    <row r="187" spans="1:155" s="6" customFormat="1" ht="15" customHeight="1">
      <c r="A187" s="90"/>
      <c r="B187" s="210" t="s">
        <v>468</v>
      </c>
      <c r="C187" s="473" t="s">
        <v>515</v>
      </c>
      <c r="D187" s="138"/>
      <c r="E187" s="207"/>
      <c r="F187" s="207"/>
      <c r="G187" s="207"/>
      <c r="H187" s="207"/>
      <c r="I187" s="4"/>
      <c r="J187" s="4"/>
      <c r="K187" s="4"/>
      <c r="L187" s="4"/>
      <c r="M187" s="4"/>
      <c r="N187" s="4"/>
      <c r="O187" s="4"/>
      <c r="P187" s="4"/>
      <c r="Q187" s="4"/>
      <c r="R187" s="40"/>
      <c r="S187" s="41"/>
      <c r="T187" s="140"/>
      <c r="U187" s="41"/>
      <c r="W187" s="40"/>
      <c r="X187" s="41"/>
      <c r="Y187" s="41"/>
      <c r="Z187" s="41"/>
      <c r="AB187" s="40"/>
      <c r="AC187" s="41"/>
      <c r="AD187" s="41"/>
      <c r="AE187" s="41"/>
      <c r="AG187" s="40"/>
      <c r="AH187" s="41"/>
      <c r="AI187" s="41"/>
      <c r="AJ187" s="41"/>
      <c r="AL187" s="40"/>
      <c r="AM187" s="41"/>
      <c r="AN187" s="41"/>
      <c r="AO187" s="41"/>
      <c r="AQ187" s="40"/>
      <c r="AR187" s="41"/>
      <c r="AS187" s="41"/>
      <c r="AT187" s="41"/>
      <c r="AV187" s="139"/>
      <c r="AW187" s="139"/>
      <c r="AX187" s="139"/>
      <c r="AY187" s="140"/>
      <c r="BA187" s="139"/>
      <c r="BB187" s="139"/>
      <c r="BC187" s="139"/>
      <c r="BD187" s="41"/>
      <c r="BF187" s="40"/>
      <c r="BG187" s="40"/>
      <c r="BH187" s="40"/>
      <c r="BI187" s="41"/>
      <c r="BK187" s="139"/>
      <c r="BL187" s="139"/>
      <c r="BM187" s="40"/>
      <c r="BN187" s="41"/>
      <c r="BP187" s="207"/>
      <c r="BQ187" s="207"/>
      <c r="BR187" s="40"/>
      <c r="BS187" s="41"/>
      <c r="BU187" s="207"/>
      <c r="BV187" s="207"/>
      <c r="BW187" s="40"/>
      <c r="BX187" s="41"/>
      <c r="BZ187" s="40"/>
      <c r="CA187" s="40"/>
      <c r="CB187" s="40"/>
      <c r="CC187" s="41"/>
      <c r="CD187" s="140"/>
      <c r="CE187" s="207"/>
      <c r="CF187" s="207"/>
      <c r="CG187" s="40"/>
      <c r="CH187" s="41"/>
      <c r="CJ187" s="139"/>
      <c r="CK187" s="139"/>
      <c r="CL187" s="139"/>
      <c r="CM187" s="140"/>
      <c r="CO187" s="222"/>
      <c r="CP187" s="40"/>
      <c r="CQ187" s="40"/>
      <c r="CR187" s="41"/>
      <c r="CT187" s="207"/>
      <c r="CU187" s="207"/>
      <c r="CV187" s="40"/>
      <c r="CW187" s="41"/>
      <c r="CY187" s="207"/>
      <c r="CZ187" s="207"/>
      <c r="DA187" s="40"/>
      <c r="DB187" s="41"/>
      <c r="DD187" s="40"/>
      <c r="DE187" s="40"/>
      <c r="DF187" s="40"/>
      <c r="DG187" s="41"/>
      <c r="DI187" s="207"/>
      <c r="DJ187" s="207"/>
      <c r="DK187" s="136"/>
      <c r="DL187" s="136"/>
      <c r="DN187" s="207"/>
      <c r="DO187" s="207"/>
      <c r="DP187" s="136"/>
      <c r="DQ187" s="136"/>
      <c r="DS187" s="207"/>
      <c r="DT187" s="207"/>
      <c r="DU187" s="136"/>
      <c r="DV187" s="136"/>
      <c r="DX187" s="207"/>
      <c r="DY187" s="207"/>
      <c r="DZ187" s="136"/>
      <c r="EA187" s="136"/>
      <c r="EC187" s="207"/>
      <c r="ED187" s="207"/>
      <c r="EE187" s="136"/>
      <c r="EF187" s="136"/>
      <c r="EH187" s="207"/>
      <c r="EI187" s="207"/>
      <c r="EJ187" s="136"/>
      <c r="EK187" s="136"/>
      <c r="ER187" s="855"/>
      <c r="EX187" s="203">
        <f t="shared" si="0"/>
        <v>0</v>
      </c>
      <c r="EY187" s="142">
        <v>13</v>
      </c>
    </row>
    <row r="188" spans="1:155" s="6" customFormat="1" ht="15" customHeight="1">
      <c r="A188" s="3" t="s">
        <v>66</v>
      </c>
      <c r="B188" s="210" t="s">
        <v>469</v>
      </c>
      <c r="C188" s="473" t="s">
        <v>515</v>
      </c>
      <c r="D188" s="138"/>
      <c r="E188" s="5">
        <v>3</v>
      </c>
      <c r="F188" s="5">
        <f>IF(SUM($ER$5:$ER$15)&gt;=2000,0,SUM(F5:F23,G5:G26,H5:H26)*E186)</f>
        <v>0</v>
      </c>
      <c r="G188" s="5"/>
      <c r="H188" s="5"/>
      <c r="I188" s="4"/>
      <c r="J188" s="4"/>
      <c r="K188" s="4"/>
      <c r="L188" s="4"/>
      <c r="M188" s="4"/>
      <c r="N188" s="4"/>
      <c r="O188" s="4"/>
      <c r="P188" s="4"/>
      <c r="Q188" s="4"/>
      <c r="R188" s="5"/>
      <c r="S188" s="5"/>
      <c r="U188" s="5"/>
      <c r="W188" s="5"/>
      <c r="X188" s="5"/>
      <c r="Y188" s="5"/>
      <c r="Z188" s="5"/>
      <c r="AB188" s="5"/>
      <c r="AC188" s="5"/>
      <c r="AD188" s="5"/>
      <c r="AE188" s="5"/>
      <c r="AG188" s="5"/>
      <c r="AH188" s="5"/>
      <c r="AI188" s="5"/>
      <c r="AJ188" s="5"/>
      <c r="AL188" s="5"/>
      <c r="AM188" s="5"/>
      <c r="AN188" s="5"/>
      <c r="AO188" s="5"/>
      <c r="AQ188" s="5"/>
      <c r="AR188" s="5"/>
      <c r="AS188" s="5"/>
      <c r="AT188" s="5"/>
      <c r="BD188" s="5"/>
      <c r="BF188" s="5"/>
      <c r="BG188" s="5"/>
      <c r="BH188" s="5"/>
      <c r="BI188" s="5"/>
      <c r="BM188" s="5"/>
      <c r="BN188" s="5"/>
      <c r="BP188" s="5">
        <v>3</v>
      </c>
      <c r="BQ188" s="5">
        <f>IF(SUM($ER$5:$ER$15)&gt;=2000,0,SUM(BQ5:BQ23,BR5:BR26,BS5:BS26)*BP186)</f>
        <v>0</v>
      </c>
      <c r="BR188" s="5"/>
      <c r="BS188" s="5"/>
      <c r="BU188" s="5"/>
      <c r="BV188" s="5"/>
      <c r="BW188" s="5"/>
      <c r="BX188" s="5"/>
      <c r="BZ188" s="5"/>
      <c r="CA188" s="5"/>
      <c r="CB188" s="5"/>
      <c r="CC188" s="5"/>
      <c r="CE188" s="5">
        <v>3</v>
      </c>
      <c r="CF188" s="5">
        <f>IF(SUM($ER$5:$ER$15)&gt;=2000,0,SUM(CF5:CF23,CG5:CG26,CH5:CH26)*CE186)</f>
        <v>0</v>
      </c>
      <c r="CG188" s="5"/>
      <c r="CH188" s="5"/>
      <c r="CO188" s="13"/>
      <c r="CP188" s="5"/>
      <c r="CQ188" s="5"/>
      <c r="CR188" s="5"/>
      <c r="CT188" s="5">
        <v>3</v>
      </c>
      <c r="CU188" s="5">
        <f>IF(SUM($ER$5:$ER$15)&gt;=2000,0,SUM(CU5:CU23,CV5:CV26,CW5:CW26)*CT186)</f>
        <v>0</v>
      </c>
      <c r="CV188" s="5"/>
      <c r="CW188" s="5"/>
      <c r="CY188" s="5"/>
      <c r="CZ188" s="5"/>
      <c r="DA188" s="5"/>
      <c r="DB188" s="5"/>
      <c r="DD188" s="40"/>
      <c r="DE188" s="40"/>
      <c r="DF188" s="40"/>
      <c r="DG188" s="41"/>
      <c r="DI188" s="207"/>
      <c r="DJ188" s="207"/>
      <c r="DK188" s="136"/>
      <c r="DL188" s="136"/>
      <c r="DN188" s="207">
        <v>3</v>
      </c>
      <c r="DO188" s="207">
        <f>DO8*DN188+DP8*DN188+DO9*DN188+DP9*DN188+DO10*DN188+DP10*DN188+DO11*DN188+DP11*DN188+DO12*DN188+DP12*DN188+DO13*DN188+DP13*DN188+DO14*DN188+DP14*DN188+DO15*DN188+DP15*DN188+DO16*DN188+DP16*DN188+DO17*DN188+DP17*DN188+DO18*DN188+DP18*DN188+DO19*DN188+DP19*DN188+DO20*DN188+DP20*DN188+DO21*DN188+DP21*DN188+DO22*DN188+DP22*DN188+DO23*DN188+DP23*DN188+DO24*DN188+DP24*DN188+DO25*DN188+DP25*DN188+DO26*DN188+DP26*DN188+DO5*DN188+DP5*DN188+DP6*DN188+DO7*DN188+DP7*DN188+DO6*DN188+DQ6*DN188+DQ7*DN188+DQ8*DN188+DQ9*DN188+DQ10*DN188+DQ11*DN188+DQ12*DN188+DQ13*DN188+DQ14*DN188+DQ15*DN188+DQ16*DN188+DQ17*DN188+DQ18*DN188+DQ19*DN188+DQ20*DN188+DQ21*DN188+DQ22*DN188+DQ23*DN188+DQ24*DN188+DQ25*DN188+DQ26*DN188+DQ5*DN188</f>
        <v>0</v>
      </c>
      <c r="DP188" s="136"/>
      <c r="DQ188" s="136"/>
      <c r="DS188" s="207"/>
      <c r="DT188" s="207"/>
      <c r="DU188" s="136"/>
      <c r="DV188" s="136"/>
      <c r="DX188" s="207">
        <v>3</v>
      </c>
      <c r="DY188" s="207">
        <f>DY8*DX188+DZ8*DX188+DY9*DX188+DZ9*DX188+DY10*DX188+DZ10*DX188+DY11*DX188+DZ11*DX188+DY12*DX188+DZ12*DX188+DY13*DX188+DZ13*DX188+DY14*DX188+DZ14*DX188+DY15*DX188+DZ15*DX188+DY16*DX188+DZ16*DX188+DY17*DX188+DZ17*DX188+DY18*DX188+DZ18*DX188+DY19*DX188+DZ19*DX188+DY20*DX188+DZ20*DX188+DY21*DX188+DZ21*DX188+DY22*DX188+DZ22*DX188+DY23*DX188+DZ23*DX188+DY24*DX188+DZ24*DX188+DY25*DX188+DZ25*DX188+DY26*DX188+DZ26*DX188+DY5*DX188+DZ5*DX188+DZ6*DX188+DY7*DX188+DZ7*DX188+DY6*DX188+EA6*DX188+EA7*DX188+EA8*DX188+EA9*DX188+EA10*DX188+EA11*DX188+EA12*DX188+EA13*DX188+EA14*DX188+EA15*DX188+EA16*DX188+EA17*DX188+EA18*DX188+EA19*DX188+EA20*DX188+EA21*DX188+EA22*DX188+EA23*DX188+EA24*DX188+EA25*DX188+EA26*DX188+EA5*DX188</f>
        <v>0</v>
      </c>
      <c r="DZ188" s="136"/>
      <c r="EA188" s="136"/>
      <c r="EC188" s="207"/>
      <c r="ED188" s="207"/>
      <c r="EE188" s="136"/>
      <c r="EF188" s="136"/>
      <c r="EH188" s="207">
        <v>3</v>
      </c>
      <c r="EI188" s="207">
        <f>EI8*EH188+EJ8*EH188+EI9*EH188+EJ9*EH188+EI10*EH188+EJ10*EH188+EI11*EH188+EJ11*EH188+EI12*EH188+EJ12*EH188+EI13*EH188+EJ13*EH188+EI14*EH188+EJ14*EH188+EI15*EH188+EJ15*EH188+EI16*EH188+EJ16*EH188+EI17*EH188+EJ17*EH188+EI18*EH188+EJ18*EH188+EI19*EH188+EJ19*EH188+EI20*EH188+EJ20*EH188+EI21*EH188+EJ21*EH188+EI22*EH188+EJ22*EH188+EI23*EH188+EJ23*EH188+EI24*EH188+EJ24*EH188+EI25*EH188+EJ25*EH188+EI26*EH188+EJ26*EH188+EI5*EH188+EJ5*EH188+EJ6*EH188+EI7*EH188+EJ7*EH188+EI6*EH188+EK6*EH188+EK7*EH188+EK8*EH188+EK9*EH188+EK10*EH188+EK11*EH188+EK12*EH188+EK13*EH188+EK14*EH188+EK15*EH188+EK16*EH188+EK17*EH188+EK18*EH188+EK19*EH188+EK20*EH188+EK21*EH188+EK22*EH188+EK23*EH188+EK24*EH188+EK25*EH188+EK26*EH188+EK5*EH188</f>
        <v>0</v>
      </c>
      <c r="EJ188" s="136"/>
      <c r="EK188" s="136"/>
      <c r="ER188" s="855"/>
      <c r="EX188" s="203">
        <f t="shared" si="0"/>
        <v>0</v>
      </c>
      <c r="EY188" s="116">
        <v>34</v>
      </c>
    </row>
    <row r="189" spans="1:155" s="6" customFormat="1" ht="15" customHeight="1">
      <c r="A189" s="90"/>
      <c r="B189" s="210" t="s">
        <v>470</v>
      </c>
      <c r="C189" s="473" t="s">
        <v>515</v>
      </c>
      <c r="D189" s="138"/>
      <c r="E189" s="47"/>
      <c r="F189" s="41"/>
      <c r="G189" s="41"/>
      <c r="H189" s="41"/>
      <c r="I189" s="4"/>
      <c r="J189" s="4"/>
      <c r="K189" s="4"/>
      <c r="L189" s="4"/>
      <c r="M189" s="4"/>
      <c r="N189" s="4"/>
      <c r="O189" s="4"/>
      <c r="P189" s="4"/>
      <c r="Q189" s="4"/>
      <c r="R189" s="40"/>
      <c r="S189" s="41"/>
      <c r="T189" s="140"/>
      <c r="U189" s="41"/>
      <c r="W189" s="40"/>
      <c r="X189" s="41"/>
      <c r="Y189" s="41"/>
      <c r="Z189" s="41"/>
      <c r="AB189" s="40"/>
      <c r="AC189" s="41"/>
      <c r="AD189" s="41"/>
      <c r="AE189" s="41"/>
      <c r="AG189" s="40"/>
      <c r="AH189" s="41"/>
      <c r="AI189" s="41"/>
      <c r="AJ189" s="41"/>
      <c r="AL189" s="40"/>
      <c r="AM189" s="41"/>
      <c r="AN189" s="41"/>
      <c r="AO189" s="41"/>
      <c r="AQ189" s="40"/>
      <c r="AR189" s="41"/>
      <c r="AS189" s="41"/>
      <c r="AT189" s="41"/>
      <c r="AV189" s="139"/>
      <c r="AW189" s="139"/>
      <c r="AX189" s="139"/>
      <c r="AY189" s="140"/>
      <c r="BA189" s="139"/>
      <c r="BB189" s="139"/>
      <c r="BC189" s="139"/>
      <c r="BD189" s="41"/>
      <c r="BF189" s="40"/>
      <c r="BG189" s="40"/>
      <c r="BH189" s="40"/>
      <c r="BI189" s="41"/>
      <c r="BK189" s="139"/>
      <c r="BL189" s="139"/>
      <c r="BM189" s="40"/>
      <c r="BN189" s="41"/>
      <c r="BP189" s="47"/>
      <c r="BQ189" s="41"/>
      <c r="BR189" s="40"/>
      <c r="BS189" s="41"/>
      <c r="BU189" s="62"/>
      <c r="BV189" s="40"/>
      <c r="BW189" s="40"/>
      <c r="BX189" s="41"/>
      <c r="BZ189" s="40"/>
      <c r="CA189" s="40"/>
      <c r="CB189" s="40"/>
      <c r="CC189" s="41"/>
      <c r="CD189" s="140"/>
      <c r="CE189" s="40"/>
      <c r="CF189" s="40"/>
      <c r="CG189" s="40"/>
      <c r="CH189" s="41"/>
      <c r="CJ189" s="139"/>
      <c r="CK189" s="139"/>
      <c r="CL189" s="139"/>
      <c r="CM189" s="140"/>
      <c r="CO189" s="222"/>
      <c r="CP189" s="40"/>
      <c r="CQ189" s="40"/>
      <c r="CR189" s="41"/>
      <c r="CT189" s="62"/>
      <c r="CU189" s="40"/>
      <c r="CV189" s="40"/>
      <c r="CW189" s="41"/>
      <c r="CY189" s="62"/>
      <c r="CZ189" s="40"/>
      <c r="DA189" s="40"/>
      <c r="DB189" s="41"/>
      <c r="DD189" s="40"/>
      <c r="DE189" s="40"/>
      <c r="DF189" s="40"/>
      <c r="DG189" s="41"/>
      <c r="DI189" s="71"/>
      <c r="DJ189" s="64"/>
      <c r="DK189" s="64"/>
      <c r="DL189" s="64"/>
      <c r="DN189" s="71"/>
      <c r="DO189" s="64"/>
      <c r="DP189" s="64"/>
      <c r="DQ189" s="64"/>
      <c r="DS189" s="60"/>
      <c r="DT189" s="64"/>
      <c r="DU189" s="64"/>
      <c r="DV189" s="64"/>
      <c r="DX189" s="60"/>
      <c r="DY189" s="64"/>
      <c r="DZ189" s="64"/>
      <c r="EA189" s="64"/>
      <c r="EC189" s="60"/>
      <c r="ED189" s="64"/>
      <c r="EE189" s="64"/>
      <c r="EF189" s="64"/>
      <c r="EH189" s="60"/>
      <c r="EI189" s="64"/>
      <c r="EJ189" s="64"/>
      <c r="EK189" s="64"/>
      <c r="ER189" s="855"/>
      <c r="EX189" s="203">
        <f t="shared" si="0"/>
        <v>0</v>
      </c>
      <c r="EY189" s="148">
        <v>34</v>
      </c>
    </row>
    <row r="190" spans="1:155" s="6" customFormat="1" ht="15" customHeight="1">
      <c r="A190" s="90"/>
      <c r="B190" s="210" t="s">
        <v>1475</v>
      </c>
      <c r="C190" s="473" t="s">
        <v>0</v>
      </c>
      <c r="D190" s="138"/>
      <c r="E190" s="47"/>
      <c r="F190" s="41"/>
      <c r="G190" s="41"/>
      <c r="H190" s="41"/>
      <c r="I190" s="4"/>
      <c r="J190" s="4"/>
      <c r="K190" s="4"/>
      <c r="L190" s="4"/>
      <c r="M190" s="4"/>
      <c r="N190" s="4"/>
      <c r="O190" s="4"/>
      <c r="P190" s="4"/>
      <c r="Q190" s="4"/>
      <c r="R190" s="40"/>
      <c r="S190" s="41"/>
      <c r="T190" s="140"/>
      <c r="U190" s="41"/>
      <c r="W190" s="40"/>
      <c r="X190" s="41"/>
      <c r="Y190" s="41"/>
      <c r="Z190" s="41"/>
      <c r="AB190" s="40"/>
      <c r="AC190" s="41"/>
      <c r="AD190" s="41"/>
      <c r="AE190" s="41"/>
      <c r="AG190" s="40"/>
      <c r="AH190" s="41"/>
      <c r="AI190" s="41"/>
      <c r="AJ190" s="41"/>
      <c r="AL190" s="40"/>
      <c r="AM190" s="41"/>
      <c r="AN190" s="41"/>
      <c r="AO190" s="41"/>
      <c r="AQ190" s="40"/>
      <c r="AR190" s="41"/>
      <c r="AS190" s="41"/>
      <c r="AT190" s="41"/>
      <c r="AV190" s="139"/>
      <c r="AW190" s="139"/>
      <c r="AX190" s="139"/>
      <c r="AY190" s="140"/>
      <c r="BA190" s="139"/>
      <c r="BB190" s="139"/>
      <c r="BC190" s="139"/>
      <c r="BD190" s="41"/>
      <c r="BF190" s="40"/>
      <c r="BG190" s="40"/>
      <c r="BH190" s="40"/>
      <c r="BI190" s="41"/>
      <c r="BK190" s="139"/>
      <c r="BL190" s="139"/>
      <c r="BM190" s="40"/>
      <c r="BN190" s="41"/>
      <c r="BP190" s="47"/>
      <c r="BQ190" s="41"/>
      <c r="BR190" s="40"/>
      <c r="BS190" s="41"/>
      <c r="BU190" s="62"/>
      <c r="BV190" s="40"/>
      <c r="BW190" s="40"/>
      <c r="BX190" s="41"/>
      <c r="BZ190" s="40"/>
      <c r="CA190" s="40"/>
      <c r="CB190" s="40"/>
      <c r="CC190" s="41"/>
      <c r="CD190" s="140"/>
      <c r="CE190" s="40"/>
      <c r="CF190" s="40"/>
      <c r="CG190" s="40"/>
      <c r="CH190" s="41"/>
      <c r="CJ190" s="139"/>
      <c r="CK190" s="139"/>
      <c r="CL190" s="139"/>
      <c r="CM190" s="140"/>
      <c r="CO190" s="222"/>
      <c r="CP190" s="40"/>
      <c r="CQ190" s="40"/>
      <c r="CR190" s="41"/>
      <c r="CT190" s="62"/>
      <c r="CU190" s="40"/>
      <c r="CV190" s="40"/>
      <c r="CW190" s="41"/>
      <c r="CY190" s="62">
        <v>1</v>
      </c>
      <c r="CZ190" s="40">
        <f>SUM(CZ16:DB16,CZ20:DB20)*CY190</f>
        <v>0</v>
      </c>
      <c r="DA190" s="40"/>
      <c r="DB190" s="41"/>
      <c r="DD190" s="40"/>
      <c r="DE190" s="40"/>
      <c r="DF190" s="40"/>
      <c r="DG190" s="41"/>
      <c r="DI190" s="71"/>
      <c r="DJ190" s="64"/>
      <c r="DK190" s="64"/>
      <c r="DL190" s="64"/>
      <c r="DN190" s="71"/>
      <c r="DO190" s="64"/>
      <c r="DP190" s="64"/>
      <c r="DQ190" s="64"/>
      <c r="DS190" s="60"/>
      <c r="DT190" s="64"/>
      <c r="DU190" s="64"/>
      <c r="DV190" s="64"/>
      <c r="DX190" s="60"/>
      <c r="DY190" s="64"/>
      <c r="DZ190" s="64"/>
      <c r="EA190" s="64"/>
      <c r="EC190" s="60"/>
      <c r="ED190" s="64"/>
      <c r="EE190" s="64"/>
      <c r="EF190" s="64"/>
      <c r="EH190" s="60"/>
      <c r="EI190" s="64"/>
      <c r="EJ190" s="64"/>
      <c r="EK190" s="64"/>
      <c r="ER190" s="855"/>
      <c r="EX190" s="203">
        <f t="shared" si="0"/>
        <v>0</v>
      </c>
      <c r="EY190" s="148"/>
    </row>
    <row r="191" spans="1:155" s="6" customFormat="1" ht="15" customHeight="1">
      <c r="A191" s="90" t="s">
        <v>117</v>
      </c>
      <c r="B191" s="210" t="s">
        <v>117</v>
      </c>
      <c r="C191" s="473" t="s">
        <v>515</v>
      </c>
      <c r="D191" s="138"/>
      <c r="E191" s="62"/>
      <c r="F191" s="41"/>
      <c r="G191" s="41"/>
      <c r="H191" s="41"/>
      <c r="I191" s="4"/>
      <c r="J191" s="4">
        <v>1</v>
      </c>
      <c r="K191" s="658">
        <f>SUM(K16,K20)*J191</f>
        <v>0</v>
      </c>
      <c r="L191" s="4"/>
      <c r="M191" s="4">
        <v>9</v>
      </c>
      <c r="N191" s="658">
        <f>SUM(N16:P16,N20:P20)*M191</f>
        <v>0</v>
      </c>
      <c r="O191" s="4"/>
      <c r="P191" s="4"/>
      <c r="Q191" s="4"/>
      <c r="R191" s="46">
        <v>2</v>
      </c>
      <c r="S191" s="41">
        <f>S16*R191+T16*R191+S20*R191+T20*R191+U16*R191+U20*R191</f>
        <v>0</v>
      </c>
      <c r="T191" s="140"/>
      <c r="U191" s="41"/>
      <c r="W191" s="46">
        <v>2</v>
      </c>
      <c r="X191" s="41">
        <f>X16*W191+Y16*W191+X20*W191+Y20*W191+Z16*W191+Z20*W191</f>
        <v>0</v>
      </c>
      <c r="Y191" s="41"/>
      <c r="Z191" s="41"/>
      <c r="AB191" s="46">
        <v>4</v>
      </c>
      <c r="AC191" s="41">
        <f>AC16*AB191+AD16*AB191+AC20*AB191+AD20*AB191+AE16*AB191+AE20*AB191</f>
        <v>0</v>
      </c>
      <c r="AD191" s="41"/>
      <c r="AE191" s="41"/>
      <c r="AG191" s="46">
        <v>1</v>
      </c>
      <c r="AH191" s="41">
        <f>AH16*AG191+AI16*AG191+AH20*AG191+AI20*AG191+AJ16*AG191+AJ20*AG191</f>
        <v>0</v>
      </c>
      <c r="AI191" s="41"/>
      <c r="AJ191" s="41"/>
      <c r="AL191" s="46">
        <v>2</v>
      </c>
      <c r="AM191" s="41">
        <f>AM16*AL191+AN16*AL191+AM20*AL191+AN20*AL191+AO16*AL191+AO20*AL191</f>
        <v>0</v>
      </c>
      <c r="AN191" s="41"/>
      <c r="AO191" s="41"/>
      <c r="AQ191" s="46">
        <v>3</v>
      </c>
      <c r="AR191" s="41">
        <f>AR16*AQ191+AS16*AQ191+AR20*AQ191+AS20*AQ191+AT16*AQ191+AT20*AQ191</f>
        <v>0</v>
      </c>
      <c r="AS191" s="41"/>
      <c r="AT191" s="41"/>
      <c r="AV191" s="141">
        <v>1</v>
      </c>
      <c r="AW191" s="140">
        <f>AW16*AV191+AX16*AV191+AW20*AV191+AX20*AV191+AY16*AV191+AY20*AV191</f>
        <v>0</v>
      </c>
      <c r="AX191" s="139"/>
      <c r="AY191" s="140"/>
      <c r="BA191" s="141">
        <v>1</v>
      </c>
      <c r="BB191" s="140">
        <f>BB16*BA191+BC16*BA191+BB20*BA191+BC20*BA191+BD16*BA191+BD20*BA191</f>
        <v>0</v>
      </c>
      <c r="BC191" s="139"/>
      <c r="BD191" s="41"/>
      <c r="BF191" s="60">
        <v>1</v>
      </c>
      <c r="BG191" s="41">
        <f>SUM(BG16:BI16,BG20:BI20)*BF191</f>
        <v>0</v>
      </c>
      <c r="BH191" s="40"/>
      <c r="BI191" s="41"/>
      <c r="BK191" s="142"/>
      <c r="BL191" s="140"/>
      <c r="BM191" s="40"/>
      <c r="BN191" s="41"/>
      <c r="BP191" s="62"/>
      <c r="BQ191" s="41"/>
      <c r="BR191" s="40"/>
      <c r="BS191" s="41"/>
      <c r="BU191" s="62"/>
      <c r="BV191" s="41"/>
      <c r="BW191" s="40"/>
      <c r="BX191" s="41"/>
      <c r="BZ191" s="61">
        <v>1</v>
      </c>
      <c r="CA191" s="41">
        <f>SUM(CA16:CC16)*BZ191</f>
        <v>0</v>
      </c>
      <c r="CB191" s="40"/>
      <c r="CC191" s="41"/>
      <c r="CD191" s="140"/>
      <c r="CE191" s="61">
        <v>1</v>
      </c>
      <c r="CF191" s="41">
        <f>SUM(CF16:CH16,CF20:CH20)*CE191</f>
        <v>0</v>
      </c>
      <c r="CG191" s="40"/>
      <c r="CH191" s="41"/>
      <c r="CJ191" s="141"/>
      <c r="CK191" s="140">
        <f>CK16*CJ191+CL16*CJ191+CK20*CJ191+CL20*CJ191+CM16*CJ191+CM20*CJ191</f>
        <v>0</v>
      </c>
      <c r="CL191" s="139"/>
      <c r="CM191" s="140"/>
      <c r="CO191" s="223">
        <v>1</v>
      </c>
      <c r="CP191" s="41">
        <f>CP16*CO191+CQ16*CO191+CP20*CO191+CQ20*CO191+CR16*CO191+CR20*CO191</f>
        <v>0</v>
      </c>
      <c r="CQ191" s="40"/>
      <c r="CR191" s="41"/>
      <c r="CT191" s="62">
        <v>1</v>
      </c>
      <c r="CU191" s="41">
        <f>SUM(CU16:CW16,CU20:CW20)*CT191</f>
        <v>0</v>
      </c>
      <c r="CV191" s="40"/>
      <c r="CW191" s="41"/>
      <c r="CY191" s="62">
        <v>1</v>
      </c>
      <c r="CZ191" s="41">
        <f>SUM(CZ16:DB16,CZ20:DB20)*CY191</f>
        <v>0</v>
      </c>
      <c r="DA191" s="40"/>
      <c r="DB191" s="41"/>
      <c r="DD191" s="46">
        <v>1</v>
      </c>
      <c r="DE191" s="41">
        <f>DE16*DD191+DF16*DD191+DE20*DD191+DF20*DD191+DG16*DD191+DG20*DD191</f>
        <v>0</v>
      </c>
      <c r="DF191" s="40"/>
      <c r="DG191" s="41"/>
      <c r="DI191" s="71">
        <v>1</v>
      </c>
      <c r="DJ191" s="41">
        <f>DJ16*DI191+DK16*DI191+DJ20*DI191+DK20*DI191+DL16*DI191+DL20*DI191</f>
        <v>0</v>
      </c>
      <c r="DK191" s="64"/>
      <c r="DL191" s="64"/>
      <c r="DN191" s="71">
        <v>1</v>
      </c>
      <c r="DO191" s="41">
        <f>DO16*DN191+DP16*DN191+DO20*DN191+DP20*DN191+DQ16*DN191+DQ20*DN191</f>
        <v>0</v>
      </c>
      <c r="DP191" s="64"/>
      <c r="DQ191" s="64"/>
      <c r="DS191" s="60">
        <v>1</v>
      </c>
      <c r="DT191" s="41">
        <f>DT16*DS191+DU16*DS191+DT20*DS191+DU20*DS191+DV16*DS191+DV20*DS191</f>
        <v>0</v>
      </c>
      <c r="DU191" s="64"/>
      <c r="DV191" s="64"/>
      <c r="DX191" s="60">
        <v>1</v>
      </c>
      <c r="DY191" s="41">
        <f>DY16*DX191+DZ16*DX191+DY20*DX191+DZ20*DX191+EA16*DX191+EA20*DX191</f>
        <v>0</v>
      </c>
      <c r="DZ191" s="64"/>
      <c r="EA191" s="64"/>
      <c r="EC191" s="60">
        <v>1</v>
      </c>
      <c r="ED191" s="41">
        <f>ED16*EC191+EE16*EC191+ED20*EC191+EE20*EC191+EF16*EC191+EF20*EC191</f>
        <v>0</v>
      </c>
      <c r="EE191" s="64"/>
      <c r="EF191" s="64"/>
      <c r="EH191" s="60">
        <v>1</v>
      </c>
      <c r="EI191" s="41">
        <f>EI16*EH191+EJ16*EH191+EI20*EH191+EJ20*EH191+EK16*EH191+EK20*EH191</f>
        <v>0</v>
      </c>
      <c r="EJ191" s="64"/>
      <c r="EK191" s="64"/>
      <c r="ER191" s="855"/>
      <c r="EX191" s="203">
        <f t="shared" si="0"/>
        <v>0</v>
      </c>
    </row>
    <row r="192" spans="1:155" s="6" customFormat="1" ht="15" customHeight="1">
      <c r="A192" s="90" t="s">
        <v>118</v>
      </c>
      <c r="B192" s="210" t="s">
        <v>118</v>
      </c>
      <c r="C192" s="473" t="s">
        <v>515</v>
      </c>
      <c r="D192" s="138"/>
      <c r="E192" s="62"/>
      <c r="F192" s="41">
        <f>SUM(F16:H16)*E192</f>
        <v>0</v>
      </c>
      <c r="G192" s="41"/>
      <c r="H192" s="41"/>
      <c r="I192" s="4"/>
      <c r="J192" s="4"/>
      <c r="K192" s="658"/>
      <c r="L192" s="4"/>
      <c r="M192" s="4"/>
      <c r="N192" s="658"/>
      <c r="O192" s="4"/>
      <c r="P192" s="4"/>
      <c r="Q192" s="4"/>
      <c r="R192" s="46">
        <v>2</v>
      </c>
      <c r="S192" s="41">
        <f>S16*R192+T16*R192+S20*R192+T20*R192+U16*R192+U20*R192</f>
        <v>0</v>
      </c>
      <c r="T192" s="140"/>
      <c r="U192" s="41"/>
      <c r="W192" s="46">
        <v>4</v>
      </c>
      <c r="X192" s="41">
        <f>X16*W192+Y16*W192+X20*W192+Y20*W192+Z16*W192+Z20*W192</f>
        <v>0</v>
      </c>
      <c r="Y192" s="41"/>
      <c r="Z192" s="41"/>
      <c r="AB192" s="40"/>
      <c r="AC192" s="41"/>
      <c r="AD192" s="41"/>
      <c r="AE192" s="41"/>
      <c r="AG192" s="46">
        <v>1</v>
      </c>
      <c r="AH192" s="41">
        <f>AH16*AG192+AI16*AG192+AH20*AG192+AI20*AG192+AJ16*AG192+AJ20*AG192</f>
        <v>0</v>
      </c>
      <c r="AI192" s="41"/>
      <c r="AJ192" s="41"/>
      <c r="AL192" s="46">
        <v>2</v>
      </c>
      <c r="AM192" s="41">
        <f>AM16*AL192+AN16*AL192+AM20*AL192+AN20*AL192+AO16*AL192+AO20*AL192</f>
        <v>0</v>
      </c>
      <c r="AN192" s="41"/>
      <c r="AO192" s="41"/>
      <c r="AQ192" s="46">
        <v>3</v>
      </c>
      <c r="AR192" s="41">
        <f>AR16*AQ192+AS16*AQ192+AR20*AQ192+AS20*AQ192+AT16*AQ192+AT20*AQ192</f>
        <v>0</v>
      </c>
      <c r="AS192" s="41"/>
      <c r="AT192" s="41"/>
      <c r="AV192" s="141">
        <v>1</v>
      </c>
      <c r="AW192" s="140">
        <f>AW16*AV192+AX16*AV192+AW20*AV192+AX20*AV192+AY16*AV192+AY20*AV192</f>
        <v>0</v>
      </c>
      <c r="AX192" s="139"/>
      <c r="AY192" s="140"/>
      <c r="BA192" s="141">
        <v>1</v>
      </c>
      <c r="BB192" s="140">
        <f>BB16*BA192+BC16*BA192+BB20*BA192+BC20*BA192+BD16*BA192+BD20*BA192</f>
        <v>0</v>
      </c>
      <c r="BC192" s="139"/>
      <c r="BD192" s="41"/>
      <c r="BF192" s="60">
        <v>1</v>
      </c>
      <c r="BG192" s="41">
        <f>SUM(BG16:BI16,BG20:BI20)*BF192</f>
        <v>0</v>
      </c>
      <c r="BH192" s="40"/>
      <c r="BI192" s="41"/>
      <c r="BK192" s="142">
        <v>1</v>
      </c>
      <c r="BL192" s="41">
        <f>SUM(BL16:BN16)*BK192</f>
        <v>0</v>
      </c>
      <c r="BM192" s="40"/>
      <c r="BN192" s="41"/>
      <c r="BP192" s="62">
        <v>1</v>
      </c>
      <c r="BQ192" s="41">
        <f>SUM(BQ16:BS16)*BP192</f>
        <v>0</v>
      </c>
      <c r="BR192" s="40"/>
      <c r="BS192" s="41"/>
      <c r="BU192" s="62"/>
      <c r="BV192" s="41">
        <f>SUM(BV16:BX16,BV20:BX20)*BU192</f>
        <v>0</v>
      </c>
      <c r="BW192" s="40"/>
      <c r="BX192" s="41"/>
      <c r="BZ192" s="61" t="s">
        <v>1085</v>
      </c>
      <c r="CA192" s="41">
        <f>SUM(CA16:CC16)*2+SUM(CA20:CC20)*1</f>
        <v>0</v>
      </c>
      <c r="CB192" s="40"/>
      <c r="CC192" s="41"/>
      <c r="CD192" s="140"/>
      <c r="CE192" s="61" t="s">
        <v>1085</v>
      </c>
      <c r="CF192" s="41">
        <f>SUM(CF16:CH16)*2+SUM(CF20:CH20)*1</f>
        <v>0</v>
      </c>
      <c r="CG192" s="40"/>
      <c r="CH192" s="41"/>
      <c r="CJ192" s="141"/>
      <c r="CK192" s="140">
        <f>CK16*CJ192+CL16*CJ192+CK20*CJ192+CL20*CJ192+CM16*CJ192+CM20*CJ192</f>
        <v>0</v>
      </c>
      <c r="CL192" s="139"/>
      <c r="CM192" s="140"/>
      <c r="CO192" s="223">
        <v>1</v>
      </c>
      <c r="CP192" s="41">
        <f>CP16*CO192+CQ16*CO192+CP20*CO192+CQ20*CO192+CR16*CO192+CR20*CO192</f>
        <v>0</v>
      </c>
      <c r="CQ192" s="40"/>
      <c r="CR192" s="41"/>
      <c r="CT192" s="62">
        <v>2</v>
      </c>
      <c r="CU192" s="41">
        <f>CU16*CT192+CV16*CT192+CU20*CT192+CV20*CT192+CW16*CT192+CW20*CT192</f>
        <v>0</v>
      </c>
      <c r="CV192" s="40"/>
      <c r="CW192" s="41"/>
      <c r="CY192" s="62">
        <v>1</v>
      </c>
      <c r="CZ192" s="41">
        <f>SUM(CZ16:DB16,CZ20:DB20)*CY192</f>
        <v>0</v>
      </c>
      <c r="DA192" s="40"/>
      <c r="DB192" s="41"/>
      <c r="DD192" s="46">
        <v>1</v>
      </c>
      <c r="DE192" s="41">
        <f>DE16*DD192+DF16*DD192+DE20*DD192+DF20*DD192+DG16*DD192+DG20*DD192</f>
        <v>0</v>
      </c>
      <c r="DF192" s="40"/>
      <c r="DG192" s="41"/>
      <c r="DI192" s="71">
        <v>2</v>
      </c>
      <c r="DJ192" s="41">
        <f>DJ16*DI192+DK16*DI192+DJ20*DI192+DK20*DI192+DL16*DI192+DL20*DI192</f>
        <v>0</v>
      </c>
      <c r="DK192" s="64"/>
      <c r="DL192" s="64"/>
      <c r="DN192" s="71">
        <v>2</v>
      </c>
      <c r="DO192" s="41">
        <f>DO16*DN192+DP16*DN192+DO20*DN192+DP20*DN192+DQ16*DN192+DQ20*DN192</f>
        <v>0</v>
      </c>
      <c r="DP192" s="64"/>
      <c r="DQ192" s="64"/>
      <c r="DS192" s="60">
        <v>2</v>
      </c>
      <c r="DT192" s="41">
        <f>DT16*DS192+DU16*DS192+DT20*DS192+DU20*DS192+DV16*DS192+DV20*DS192</f>
        <v>0</v>
      </c>
      <c r="DU192" s="64"/>
      <c r="DV192" s="64"/>
      <c r="DX192" s="60">
        <v>2</v>
      </c>
      <c r="DY192" s="41">
        <f>DY16*DX192+DZ16*DX192+DY20*DX192+DZ20*DX192+EA16*DX192+EA20*DX192</f>
        <v>0</v>
      </c>
      <c r="DZ192" s="64"/>
      <c r="EA192" s="64"/>
      <c r="EC192" s="60">
        <v>2</v>
      </c>
      <c r="ED192" s="41">
        <f>ED16*EC192+EE16*EC192+ED20*EC192+EE20*EC192+EF16*EC192+EF20*EC192</f>
        <v>0</v>
      </c>
      <c r="EE192" s="64"/>
      <c r="EF192" s="64"/>
      <c r="EH192" s="60">
        <v>2</v>
      </c>
      <c r="EI192" s="41">
        <f>EI16*EH192+EJ16*EH192+EI20*EH192+EJ20*EH192+EK16*EH192+EK20*EH192</f>
        <v>0</v>
      </c>
      <c r="EJ192" s="64"/>
      <c r="EK192" s="64"/>
      <c r="ER192" s="855"/>
      <c r="EX192" s="203">
        <f t="shared" si="0"/>
        <v>0</v>
      </c>
    </row>
    <row r="193" spans="1:154" s="6" customFormat="1" ht="15" customHeight="1">
      <c r="A193" s="90" t="s">
        <v>119</v>
      </c>
      <c r="B193" s="210" t="s">
        <v>119</v>
      </c>
      <c r="C193" s="473" t="s">
        <v>515</v>
      </c>
      <c r="D193" s="138"/>
      <c r="E193" s="62"/>
      <c r="F193" s="41">
        <f>SUM(F16:H16,F20:H20)*E193</f>
        <v>0</v>
      </c>
      <c r="G193" s="41"/>
      <c r="H193" s="41"/>
      <c r="I193" s="4"/>
      <c r="J193" s="4">
        <v>1</v>
      </c>
      <c r="K193" s="658">
        <f>SUM(K17,K21,K24)*J193</f>
        <v>0</v>
      </c>
      <c r="L193" s="4"/>
      <c r="M193" s="4">
        <v>9</v>
      </c>
      <c r="N193" s="658">
        <f>SUM(N17:P17,N21:P21,N24:P24)*M193</f>
        <v>0</v>
      </c>
      <c r="O193" s="4"/>
      <c r="P193" s="4"/>
      <c r="Q193" s="4"/>
      <c r="R193" s="46">
        <v>2</v>
      </c>
      <c r="S193" s="41">
        <f>S17*R193+T17*R193+S21*R193+T21*R193+S24*R193+T24*R193+S16*R193+T16*R193+S20*R193+T20*R193+U24*R193+U17*R193+U16*R193+U20*R193+U21*R193</f>
        <v>0</v>
      </c>
      <c r="T193" s="140"/>
      <c r="U193" s="41"/>
      <c r="W193" s="46">
        <v>1</v>
      </c>
      <c r="X193" s="41">
        <f>X17*W193+Y17*W193+X21*W193+Y21*W193+X24*W193+Y24*W193+Z24*W193+Z17*W193+Z21*W193</f>
        <v>0</v>
      </c>
      <c r="Y193" s="41"/>
      <c r="Z193" s="41"/>
      <c r="AB193" s="46">
        <v>2</v>
      </c>
      <c r="AC193" s="41">
        <f>AC17*AB193+AD17*AB193+AC21*AB193+AD21*AB193+AC24*AB193+AD24*AB193+AE24*AB193+AE17*AB193+AE21*AB193</f>
        <v>0</v>
      </c>
      <c r="AD193" s="41"/>
      <c r="AE193" s="41"/>
      <c r="AG193" s="46">
        <v>1</v>
      </c>
      <c r="AH193" s="41">
        <f>AH17*AG193+AI17*AG193+AH21*AG193+AI21*AG193+AH24*AG193+AI24*AG193+AH16*AG193+AI16*AG193+AH20*AG193+AI20*AG193+AJ24*AG193+AJ17*AG193+AJ16*AG193+AJ20*AG193+AJ21*AG193</f>
        <v>0</v>
      </c>
      <c r="AI193" s="41"/>
      <c r="AJ193" s="41"/>
      <c r="AL193" s="46">
        <v>2</v>
      </c>
      <c r="AM193" s="41">
        <f>AM17*AL193+AN17*AL193+AM21*AL193+AN21*AL193+AM24*AL193+AN24*AL193+AM16*AL193+AN16*AL193+AM20*AL193+AN20*AL193+AO24*AL193+AO17*AL193+AO16*AL193+AO20*AL193+AO21*AL193</f>
        <v>0</v>
      </c>
      <c r="AN193" s="41"/>
      <c r="AO193" s="41"/>
      <c r="AQ193" s="46">
        <v>3</v>
      </c>
      <c r="AR193" s="41">
        <f>AR17*AQ193+AS17*AQ193+AR21*AQ193+AS21*AQ193+AR24*AQ193+AS24*AQ193+AR16*AQ193+AS16*AQ193+AR20*AQ193+AS20*AQ193+AT24*AQ193+AT17*AQ193+AT16*AQ193+AT20*AQ193+AT21*AQ193</f>
        <v>0</v>
      </c>
      <c r="AS193" s="41"/>
      <c r="AT193" s="41"/>
      <c r="AV193" s="141">
        <v>1</v>
      </c>
      <c r="AW193" s="140">
        <f>AW17*AV193+AX17*AV193+AW21*AV193+AX21*AV193+AW24*AV193+AX24*AV193+AY24*AV193+AY17*AV193+AY21*AV193</f>
        <v>0</v>
      </c>
      <c r="AX193" s="139"/>
      <c r="AY193" s="140"/>
      <c r="BA193" s="141">
        <v>1</v>
      </c>
      <c r="BB193" s="140">
        <f>BB17*BA193+BC17*BA193+BB21*BA193+BC21*BA193+BB24*BA193+BC24*BA193+BD24*BA193+BD17*BA193+BD21*BA193</f>
        <v>0</v>
      </c>
      <c r="BC193" s="139"/>
      <c r="BD193" s="41"/>
      <c r="BF193" s="60">
        <v>1</v>
      </c>
      <c r="BG193" s="41">
        <f>SUM(BG17:BI17,BG21:BI21,BG24:BI24)*BF193</f>
        <v>0</v>
      </c>
      <c r="BH193" s="40"/>
      <c r="BI193" s="41"/>
      <c r="BK193" s="142">
        <v>1</v>
      </c>
      <c r="BL193" s="41">
        <f>SUM(BL16:BN16,BL20:BN20)*BK193</f>
        <v>0</v>
      </c>
      <c r="BM193" s="40"/>
      <c r="BN193" s="41"/>
      <c r="BP193" s="62">
        <v>1</v>
      </c>
      <c r="BQ193" s="41">
        <f>SUM(BQ16:BS16,BQ20:BS20)*BP193</f>
        <v>0</v>
      </c>
      <c r="BR193" s="40"/>
      <c r="BS193" s="41"/>
      <c r="BU193" s="62">
        <v>1</v>
      </c>
      <c r="BV193" s="41">
        <f>SUM(BV16:BX16,BV20:BX20)*BU193</f>
        <v>0</v>
      </c>
      <c r="BW193" s="40"/>
      <c r="BX193" s="41"/>
      <c r="BZ193" s="61" t="s">
        <v>1085</v>
      </c>
      <c r="CA193" s="41">
        <f>SUM(CA16:CC16,CA17:CC17,CA21:CC21,CA24:CC24)*1+SUM(CA20:CC20)*2</f>
        <v>0</v>
      </c>
      <c r="CB193" s="40"/>
      <c r="CC193" s="41"/>
      <c r="CD193" s="140"/>
      <c r="CE193" s="61" t="s">
        <v>1085</v>
      </c>
      <c r="CF193" s="41">
        <f>SUM(CF16:CH16,CF17:CH17,CF21:CH21,CF24:CH24)*1+SUM(CF20:CH20)*2</f>
        <v>0</v>
      </c>
      <c r="CG193" s="40"/>
      <c r="CH193" s="41"/>
      <c r="CJ193" s="141"/>
      <c r="CK193" s="140">
        <f>CK17*CJ193+CL17*CJ193+CK21*CJ193+CL21*CJ193+CK24*CJ193+CL24*CJ193+CM24*CJ193+CM17*CJ193+CM21*CJ193</f>
        <v>0</v>
      </c>
      <c r="CL193" s="139"/>
      <c r="CM193" s="140"/>
      <c r="CO193" s="223">
        <v>1</v>
      </c>
      <c r="CP193" s="41">
        <f>CP17*CO193+CQ17*CO193+CP21*CO193+CQ21*CO193+CP24*CO193+CQ24*CO193+CR24*CO193+CR17*CO193+CR21*CO193</f>
        <v>0</v>
      </c>
      <c r="CQ193" s="40"/>
      <c r="CR193" s="41"/>
      <c r="CT193" s="62">
        <v>1</v>
      </c>
      <c r="CU193" s="41">
        <f>CU17*CT193+CV17*CT193+CU21*CT193+CV21*CT193+CU24*CT193+CV24*CT193+CW24*CT193+CW17*CT193+CW21*CT193+CU16*CT193+CV16*CT193+CU20*CT193+CV20+CW16*CT193+CW20*CT193</f>
        <v>0</v>
      </c>
      <c r="CV193" s="40"/>
      <c r="CW193" s="41"/>
      <c r="CY193" s="62">
        <v>1</v>
      </c>
      <c r="CZ193" s="41">
        <f>SUM(CZ17:DB17,CZ21:DB21,CZ24:DB24)*CY193</f>
        <v>0</v>
      </c>
      <c r="DA193" s="40"/>
      <c r="DB193" s="41"/>
      <c r="DD193" s="46">
        <v>1</v>
      </c>
      <c r="DE193" s="41">
        <f>DE17*DD193+DF17*DD193+DE21*DD193+DF21*DD193+DE24*DD193+DF24*DD193+DG24*DD193+DG17*DD193+DG21*DD193</f>
        <v>0</v>
      </c>
      <c r="DF193" s="40"/>
      <c r="DG193" s="41"/>
      <c r="DI193" s="71">
        <v>1</v>
      </c>
      <c r="DJ193" s="41">
        <f>DJ17*DI193+DK17*DI193+DJ21*DI193+DK21*DI193+DJ24*DI193+DK24*DI193+DL24*DI193+DL17*DI193+DL21*DI193+DJ16*DI193+DK16*DI193+DL16*DI193+DJ20*DI193+DK20*DI193+DL20*DI193</f>
        <v>0</v>
      </c>
      <c r="DK193" s="64"/>
      <c r="DL193" s="64"/>
      <c r="DN193" s="71">
        <v>1</v>
      </c>
      <c r="DO193" s="41">
        <f>DO17*DN193+DP17*DN193+DO21*DN193+DP21*DN193+DO24*DN193+DP24*DN193+DQ24*DN193+DQ17*DN193+DQ21*DN193+DO16*DN193+DP16*DN193+DQ16*DN193+DO20*DN193+DP20*DN193+DQ20*DN193</f>
        <v>0</v>
      </c>
      <c r="DP193" s="64"/>
      <c r="DQ193" s="64"/>
      <c r="DS193" s="60">
        <v>1</v>
      </c>
      <c r="DT193" s="41">
        <f>DT17*DS193+DU17*DS193+DT21*DS193+DU21*DS193+DT24*DS193+DU24*DS193+DV24*DS193+DV17*DS193+DV21*DS193+DT16*DS193+DU16*DS193+DV16*DS193+DT20*DS193+DU20*DS193+DV20*DS193</f>
        <v>0</v>
      </c>
      <c r="DU193" s="64"/>
      <c r="DV193" s="64"/>
      <c r="DX193" s="60">
        <v>1</v>
      </c>
      <c r="DY193" s="41">
        <f>DY17*DX193+DZ17*DX193+DY21*DX193+DZ21*DX193+DY24*DX193+DZ24*DX193+EA24*DX193+EA17*DX193+EA21*DX193+DY16*DX193+DZ16*DX193+EA16*DX193+DY20*DX193+DZ20*DX193+EA20*DX193</f>
        <v>0</v>
      </c>
      <c r="DZ193" s="64"/>
      <c r="EA193" s="64"/>
      <c r="EC193" s="60">
        <v>1</v>
      </c>
      <c r="ED193" s="41">
        <f>ED17*EC193+EE17*EC193+ED21*EC193+EE21*EC193+ED24*EC193+EE24*EC193+EF24*EC193+EF17*EC193+EF21*EC193+ED16*EC193+EE16*EC193+EF16*EC193+ED20*EC193+EE20*EC193+EF20*EC193</f>
        <v>0</v>
      </c>
      <c r="EE193" s="64"/>
      <c r="EF193" s="64"/>
      <c r="EH193" s="60">
        <v>1</v>
      </c>
      <c r="EI193" s="41">
        <f>EI17*EH193+EJ17*EH193+EI21*EH193+EJ21*EH193+EI24*EH193+EJ24*EH193+EK24*EH193+EK17*EH193+EK21*EH193+EI16*EH193+EJ16*EH193+EK16*EH193+EI20*EH193+EJ20*EH193+EK20*EH193</f>
        <v>0</v>
      </c>
      <c r="EJ193" s="64"/>
      <c r="EK193" s="64"/>
      <c r="ER193" s="855"/>
      <c r="EX193" s="203">
        <f t="shared" si="0"/>
        <v>0</v>
      </c>
    </row>
    <row r="194" spans="1:154" s="6" customFormat="1" ht="15" customHeight="1">
      <c r="A194" s="90" t="s">
        <v>120</v>
      </c>
      <c r="B194" s="210" t="s">
        <v>120</v>
      </c>
      <c r="C194" s="473" t="s">
        <v>515</v>
      </c>
      <c r="D194" s="138"/>
      <c r="E194" s="62"/>
      <c r="F194" s="41">
        <f>SUM(F17:H17,F21:H21,F24:H24)*E194</f>
        <v>0</v>
      </c>
      <c r="G194" s="41"/>
      <c r="H194" s="41"/>
      <c r="I194" s="4"/>
      <c r="J194" s="4"/>
      <c r="K194" s="658"/>
      <c r="L194" s="4"/>
      <c r="M194" s="4"/>
      <c r="N194" s="658"/>
      <c r="O194" s="4"/>
      <c r="P194" s="4"/>
      <c r="Q194" s="4"/>
      <c r="R194" s="46">
        <v>2</v>
      </c>
      <c r="S194" s="41">
        <f>S17*R194+T17*R194+S21*R194+T21*R194+U17*R194+U21*R194+T24*R194+S24*R194+U24*R194</f>
        <v>0</v>
      </c>
      <c r="T194" s="140"/>
      <c r="U194" s="41"/>
      <c r="W194" s="46">
        <v>3</v>
      </c>
      <c r="X194" s="41">
        <f>X17*W194+Y17*W194+X21*W194+Y21*W194+Z17*W194+Z21*W194+Y24*W194+X24*W194+Z24*W194</f>
        <v>0</v>
      </c>
      <c r="Y194" s="41"/>
      <c r="Z194" s="41"/>
      <c r="AB194" s="46">
        <v>2</v>
      </c>
      <c r="AC194" s="41">
        <f>AC17*AB194+AD17*AB194+AC21*AB194+AD21*AB194+AE17*AB194+AE21*AB194+AD24*AB194+AC24*AB194+AE24*AB194</f>
        <v>0</v>
      </c>
      <c r="AD194" s="41"/>
      <c r="AE194" s="41"/>
      <c r="AG194" s="40"/>
      <c r="AH194" s="41"/>
      <c r="AI194" s="41"/>
      <c r="AJ194" s="41"/>
      <c r="AL194" s="40"/>
      <c r="AM194" s="41"/>
      <c r="AN194" s="41"/>
      <c r="AO194" s="41"/>
      <c r="AQ194" s="40"/>
      <c r="AR194" s="41"/>
      <c r="AS194" s="41"/>
      <c r="AT194" s="41"/>
      <c r="AV194" s="141">
        <v>1</v>
      </c>
      <c r="AW194" s="140">
        <f>AW17*AV194+AX17*AV194+AW21*AV194+AX21*AV194+AW24*AV194+AX24*AV194+AY24*AV194+AY17*AV194+AY21*AV194</f>
        <v>0</v>
      </c>
      <c r="AX194" s="139"/>
      <c r="AY194" s="140"/>
      <c r="BA194" s="141">
        <v>1</v>
      </c>
      <c r="BB194" s="140">
        <f>BB17*BA194+BC17*BA194+BB21*BA194+BC21*BA194+BB24*BA194+BC24*BA194+BD24*BA194+BD17*BA194+BD21*BA194</f>
        <v>0</v>
      </c>
      <c r="BC194" s="139"/>
      <c r="BD194" s="41"/>
      <c r="BF194" s="60">
        <v>1</v>
      </c>
      <c r="BG194" s="41">
        <f>SUM(BG17:BI17,BG21:BI21,BG24:BI24)*BF194</f>
        <v>0</v>
      </c>
      <c r="BH194" s="40"/>
      <c r="BI194" s="41"/>
      <c r="BK194" s="142">
        <v>1</v>
      </c>
      <c r="BL194" s="41">
        <f>SUM(BL17:BN17,BL21:BN21,BL24:BN24)*BK194</f>
        <v>0</v>
      </c>
      <c r="BM194" s="40"/>
      <c r="BN194" s="41"/>
      <c r="BP194" s="62">
        <v>1</v>
      </c>
      <c r="BQ194" s="41">
        <f>SUM(BQ17:BS17,BQ21:BS21,BQ24:BS24)*BP194</f>
        <v>0</v>
      </c>
      <c r="BR194" s="40"/>
      <c r="BS194" s="41"/>
      <c r="BU194" s="62">
        <v>1</v>
      </c>
      <c r="BV194" s="41">
        <f>SUM(BV16:BX16,BV20:BX20)*BU194</f>
        <v>0</v>
      </c>
      <c r="BW194" s="40"/>
      <c r="BX194" s="41"/>
      <c r="BZ194" s="61" t="s">
        <v>1085</v>
      </c>
      <c r="CA194" s="41">
        <f>SUM(CA17:CC17,CA21:CC21,CA24:CC24)*2+SUM(CA20:CC20)*1</f>
        <v>0</v>
      </c>
      <c r="CB194" s="40"/>
      <c r="CC194" s="41"/>
      <c r="CD194" s="140"/>
      <c r="CE194" s="61" t="s">
        <v>1085</v>
      </c>
      <c r="CF194" s="41">
        <f>SUM(CF17:CH17,CF21:CH21,CF24:CH24)*2+SUM(CF20:CH20)*1</f>
        <v>0</v>
      </c>
      <c r="CG194" s="40"/>
      <c r="CH194" s="41"/>
      <c r="CJ194" s="141"/>
      <c r="CK194" s="140">
        <f>CK17*CJ194+CL17*CJ194+CK21*CJ194+CL21*CJ194+CK24*CJ194+CL24*CJ194+CM24*CJ194+CM17*CJ194+CM21*CJ194</f>
        <v>0</v>
      </c>
      <c r="CL194" s="139"/>
      <c r="CM194" s="140"/>
      <c r="CO194" s="223">
        <v>1</v>
      </c>
      <c r="CP194" s="41">
        <f>CP17*CO194+CQ17*CO194+CP21*CO194+CQ21*CO194+CP24*CO194+CQ24*CO194+CR24*CO194+CR17*CO194+CR21*CO194</f>
        <v>0</v>
      </c>
      <c r="CQ194" s="40"/>
      <c r="CR194" s="41"/>
      <c r="CT194" s="62">
        <v>2</v>
      </c>
      <c r="CU194" s="41">
        <f>CU17*CT194+CV17*CT194+CU21*CT194+CV21*CT194+CU24*CT194+CV24*CT194+CW24*CT194+CW17*CT194+CW21*CT194</f>
        <v>0</v>
      </c>
      <c r="CV194" s="40"/>
      <c r="CW194" s="41"/>
      <c r="CY194" s="62">
        <v>1</v>
      </c>
      <c r="CZ194" s="41">
        <f>SUM(CZ17:DB17,CZ21:DB21,CZ24:DB24)*CY194</f>
        <v>0</v>
      </c>
      <c r="DA194" s="40"/>
      <c r="DB194" s="41"/>
      <c r="DD194" s="46">
        <v>1</v>
      </c>
      <c r="DE194" s="41">
        <f>DE17*DD194+DF17*DD194+DE21*DD194+DF21*DD194+DE24*DD194+DF24*DD194+DG24*DD194+DG17*DD194+DG21*DD194</f>
        <v>0</v>
      </c>
      <c r="DF194" s="40"/>
      <c r="DG194" s="41"/>
      <c r="DI194" s="71">
        <v>2</v>
      </c>
      <c r="DJ194" s="41">
        <f>DJ17*DI194+DK17*DI194+DJ21*DI194+DK21*DI194+DJ24*DI194+DK24*DI194+DL24*DI194+DL17*DI194+DL21*DI194</f>
        <v>0</v>
      </c>
      <c r="DK194" s="64"/>
      <c r="DL194" s="64"/>
      <c r="DN194" s="71">
        <v>2</v>
      </c>
      <c r="DO194" s="41">
        <f>DO17*DN194+DP17*DN194+DO21*DN194+DP21*DN194+DO24*DN194+DP24*DN194+DQ24*DN194+DQ17*DN194+DQ21*DN194</f>
        <v>0</v>
      </c>
      <c r="DP194" s="64"/>
      <c r="DQ194" s="64"/>
      <c r="DS194" s="60">
        <v>2</v>
      </c>
      <c r="DT194" s="41">
        <f>DT17*DS194+DU17*DS194+DT21*DS194+DU21*DS194+DT24*DS194+DU24*DS194+DV24*DS194+DV17*DS194+DV21*DS194</f>
        <v>0</v>
      </c>
      <c r="DU194" s="64"/>
      <c r="DV194" s="64"/>
      <c r="DX194" s="60">
        <v>2</v>
      </c>
      <c r="DY194" s="41">
        <f>DY17*DX194+DZ17*DX194+DY21*DX194+DZ21*DX194+DY24*DX194+DZ24*DX194+EA24*DX194+EA17*DX194+EA21*DX194</f>
        <v>0</v>
      </c>
      <c r="DZ194" s="64"/>
      <c r="EA194" s="64"/>
      <c r="EC194" s="60">
        <v>2</v>
      </c>
      <c r="ED194" s="41">
        <f>ED17*EC194+EE17*EC194+ED21*EC194+EE21*EC194+ED24*EC194+EE24*EC194+EF24*EC194+EF17*EC194+EF21*EC194</f>
        <v>0</v>
      </c>
      <c r="EE194" s="64"/>
      <c r="EF194" s="64"/>
      <c r="EH194" s="60">
        <v>2</v>
      </c>
      <c r="EI194" s="41">
        <f>EI17*EH194+EJ17*EH194+EI21*EH194+EJ21*EH194+EI24*EH194+EJ24*EH194+EK24*EH194+EK17*EH194+EK21*EH194</f>
        <v>0</v>
      </c>
      <c r="EJ194" s="64"/>
      <c r="EK194" s="64"/>
      <c r="ER194" s="855"/>
      <c r="EX194" s="203">
        <f t="shared" si="0"/>
        <v>0</v>
      </c>
    </row>
    <row r="195" spans="1:154" s="6" customFormat="1" ht="15" customHeight="1">
      <c r="A195" s="90" t="s">
        <v>121</v>
      </c>
      <c r="B195" s="210" t="s">
        <v>121</v>
      </c>
      <c r="C195" s="473" t="s">
        <v>515</v>
      </c>
      <c r="D195" s="138"/>
      <c r="E195" s="62"/>
      <c r="F195" s="41">
        <f>SUM(F17:H17,F21:H21,F24:H24)*E195</f>
        <v>0</v>
      </c>
      <c r="G195" s="41"/>
      <c r="H195" s="41"/>
      <c r="I195" s="4"/>
      <c r="J195" s="4">
        <v>1</v>
      </c>
      <c r="K195" s="658">
        <f>SUM(K18,K22,K25)*J195</f>
        <v>0</v>
      </c>
      <c r="L195" s="4"/>
      <c r="M195" s="4">
        <v>9</v>
      </c>
      <c r="N195" s="658">
        <f>SUM(N18:P18,N22:P22,N25:P25)*M195</f>
        <v>0</v>
      </c>
      <c r="O195" s="4"/>
      <c r="P195" s="4"/>
      <c r="Q195" s="4"/>
      <c r="R195" s="46">
        <v>2</v>
      </c>
      <c r="S195" s="41">
        <f>S18*R195+T18*R195+S22*R195+T22*R195+S25*R195+S17*R195+T17*R195+S21*R195+T21*R195+S24*R195+T24*R195+T25*R195+U17*R195+U18*R195+U21*R195+U22*R195+U24*R195+U25*R195</f>
        <v>0</v>
      </c>
      <c r="T195" s="140"/>
      <c r="U195" s="41"/>
      <c r="W195" s="46">
        <v>2</v>
      </c>
      <c r="X195" s="41">
        <f>X18*W195+Y18*W195+X22*W195+Y22*W195+X25*W195+X17*W195+Y17*W195+X21*W195+Y21*W195+X24*W195+Y24*W195+Y25*W195+Z17*W195+Z18*W195+Z21*W195+Z22*W195+Z24*W195+Z25*W195</f>
        <v>0</v>
      </c>
      <c r="Y195" s="41"/>
      <c r="Z195" s="41"/>
      <c r="AB195" s="46">
        <v>2</v>
      </c>
      <c r="AC195" s="41">
        <f>AC18*AB195+AD18*AB195+AC22*AB195+AD22*AB195+AC25*AB195+AD25*AB195+AE18*AB195+AE22*AB195+AE25*AB195</f>
        <v>0</v>
      </c>
      <c r="AD195" s="41"/>
      <c r="AE195" s="41"/>
      <c r="AG195" s="46">
        <v>1</v>
      </c>
      <c r="AH195" s="41">
        <f>AH18*AG195+AI18*AG195+AH22*AG195+AI22*AG195+AH25*AG195+AI25*AG195+AH17*AG195+AI17*AG195+AH21*AG195+AI21*AG195+AH24*AG195+AI24*AG195+AI25*AG195+AJ17*AG195+AJ18*AG195+AJ21*AG195+AJ22*AG195+AJ24*AG195+AJ25*AG195</f>
        <v>0</v>
      </c>
      <c r="AI195" s="41"/>
      <c r="AJ195" s="41"/>
      <c r="AL195" s="46">
        <v>2</v>
      </c>
      <c r="AM195" s="41">
        <f>AM18*AL195+AN18*AL195+AM22*AL195+AN22*AL195+AM25*AL195+AN25*AL195+AM17*AL195+AN17*AL195+AM21*AL195+AN21*AL195+AM24*AL195+AN24*AL195+AN25*AL195+AO17*AL195+AO18*AL195+AO21*AL195+AO22*AL195+AO24*AL195+AO25*AL195</f>
        <v>0</v>
      </c>
      <c r="AN195" s="41"/>
      <c r="AO195" s="41"/>
      <c r="AQ195" s="46">
        <v>3</v>
      </c>
      <c r="AR195" s="41">
        <f>AR18*AQ195+AS18*AQ195+AR22*AQ195+AS22*AQ195+AR25*AQ195+AS25*AQ195+AR17*AQ195+AS17*AQ195+AR21*AQ195+AS21*AQ195+AR24*AQ195+AS24*AQ195+AS25*AQ195+AT17*AQ195+AT18*AQ195+AT21*AQ195+AT22*AQ195+AT24*AQ195+AT25*AQ195</f>
        <v>0</v>
      </c>
      <c r="AS195" s="41"/>
      <c r="AT195" s="41"/>
      <c r="AV195" s="139"/>
      <c r="AW195" s="139"/>
      <c r="AX195" s="139"/>
      <c r="AY195" s="140"/>
      <c r="BA195" s="139"/>
      <c r="BB195" s="139"/>
      <c r="BC195" s="139"/>
      <c r="BD195" s="41"/>
      <c r="BF195" s="40"/>
      <c r="BG195" s="41"/>
      <c r="BH195" s="40"/>
      <c r="BI195" s="41"/>
      <c r="BK195" s="142">
        <v>1</v>
      </c>
      <c r="BL195" s="41">
        <f>SUM(BL17:BN17,BL21:BN21,BL24:BN24)*BK195</f>
        <v>0</v>
      </c>
      <c r="BM195" s="40"/>
      <c r="BN195" s="41"/>
      <c r="BP195" s="62">
        <v>1</v>
      </c>
      <c r="BQ195" s="41">
        <f>SUM(BQ17:BS17,BQ21:BS21,BQ24:BS24)*BP195</f>
        <v>0</v>
      </c>
      <c r="BR195" s="40"/>
      <c r="BS195" s="41"/>
      <c r="BU195" s="62"/>
      <c r="BV195" s="41">
        <f>SUM(BV17:BX17,BV21:BX21,BV24:BX24)*BU195</f>
        <v>0</v>
      </c>
      <c r="BW195" s="40"/>
      <c r="BX195" s="41"/>
      <c r="BZ195" s="61">
        <v>1</v>
      </c>
      <c r="CA195" s="41">
        <f>SUM(CA17:CC17,CA21:CC21,CA24:CC24)*BZ195</f>
        <v>0</v>
      </c>
      <c r="CB195" s="40"/>
      <c r="CC195" s="41"/>
      <c r="CD195" s="140"/>
      <c r="CE195" s="61">
        <v>1</v>
      </c>
      <c r="CF195" s="41">
        <f>SUM(CF17:CH17,CF21:CH21,CF24:CH24)*CE195</f>
        <v>0</v>
      </c>
      <c r="CG195" s="40"/>
      <c r="CH195" s="41"/>
      <c r="CJ195" s="141"/>
      <c r="CK195" s="139"/>
      <c r="CL195" s="139"/>
      <c r="CM195" s="140"/>
      <c r="CO195" s="223"/>
      <c r="CP195" s="40"/>
      <c r="CQ195" s="40"/>
      <c r="CR195" s="41"/>
      <c r="CT195" s="62">
        <v>1</v>
      </c>
      <c r="CU195" s="41">
        <f>CU17*CT195+CV17*CT195+CU21*CT195+CV21*CT195+CU24*CT195+CV24*CT195+CW24*CT195+CW17*CT195+CW21*CT195</f>
        <v>0</v>
      </c>
      <c r="CV195" s="40"/>
      <c r="CW195" s="41"/>
      <c r="CY195" s="62">
        <v>1</v>
      </c>
      <c r="CZ195" s="41">
        <f>SUM(CZ17:DB17,CZ18:DB18,CZ22:DB22,CZ21:DB21,CZ24:DB24,CZ25:DB25)*CY195</f>
        <v>0</v>
      </c>
      <c r="DA195" s="40"/>
      <c r="DB195" s="41"/>
      <c r="DD195" s="46"/>
      <c r="DE195" s="40"/>
      <c r="DF195" s="40"/>
      <c r="DG195" s="41"/>
      <c r="DI195" s="60"/>
      <c r="DJ195" s="41">
        <f>DJ17*DI195+DK17*DI195+DJ21*DI195+DK21*DI195+DJ24*DI195+DK24*DI195+DL17*DI195+DL21*DI195+DL24*DI195</f>
        <v>0</v>
      </c>
      <c r="DK195" s="64"/>
      <c r="DL195" s="64"/>
      <c r="DN195" s="60"/>
      <c r="DO195" s="41">
        <f>DO17*DN195+DP17*DN195+DO21*DN195+DP21*DN195+DO24*DN195+DP24*DN195+DQ17*DN195+DQ21*DN195+DQ24*DN195</f>
        <v>0</v>
      </c>
      <c r="DP195" s="64"/>
      <c r="DQ195" s="64"/>
      <c r="DS195" s="60">
        <v>1</v>
      </c>
      <c r="DT195" s="41">
        <f>DT17*DS195+DU17*DS195+DT21*DS195+DU21*DS195+DT24*DS195+DU24*DS195+DV17*DS195+DV21*DS195+DV24*DS195</f>
        <v>0</v>
      </c>
      <c r="DU195" s="64"/>
      <c r="DV195" s="64"/>
      <c r="DX195" s="60">
        <v>1</v>
      </c>
      <c r="DY195" s="41">
        <f>DY17*DX195+DZ17*DX195+DY21*DX195+DZ21*DX195+DY24*DX195+DZ24*DX195+EA17*DX195+EA21*DX195+EA24*DX195</f>
        <v>0</v>
      </c>
      <c r="DZ195" s="64"/>
      <c r="EA195" s="64"/>
      <c r="EC195" s="60">
        <v>1</v>
      </c>
      <c r="ED195" s="41">
        <f>ED17*EC195+EE17*EC195+ED21*EC195+EE21*EC195+ED24*EC195+EE24*EC195+EF17*EC195+EF21*EC195+EF24*EC195</f>
        <v>0</v>
      </c>
      <c r="EE195" s="64"/>
      <c r="EF195" s="64"/>
      <c r="EH195" s="60">
        <v>1</v>
      </c>
      <c r="EI195" s="41">
        <f>EI17*EH195+EJ17*EH195+EI21*EH195+EJ21*EH195+EI24*EH195+EJ24*EH195+EK17*EH195+EK21*EH195+EK24*EH195</f>
        <v>0</v>
      </c>
      <c r="EJ195" s="64"/>
      <c r="EK195" s="64"/>
      <c r="ER195" s="855"/>
      <c r="EX195" s="203">
        <f t="shared" si="0"/>
        <v>0</v>
      </c>
    </row>
    <row r="196" spans="1:154" s="6" customFormat="1" ht="15" customHeight="1">
      <c r="A196" s="90" t="s">
        <v>122</v>
      </c>
      <c r="B196" s="210" t="s">
        <v>122</v>
      </c>
      <c r="C196" s="473" t="s">
        <v>515</v>
      </c>
      <c r="D196" s="138"/>
      <c r="E196" s="62"/>
      <c r="F196" s="41"/>
      <c r="G196" s="41"/>
      <c r="H196" s="41"/>
      <c r="I196" s="4"/>
      <c r="J196" s="4"/>
      <c r="K196" s="4"/>
      <c r="L196" s="4"/>
      <c r="M196" s="4"/>
      <c r="N196" s="658"/>
      <c r="O196" s="4"/>
      <c r="P196" s="4"/>
      <c r="Q196" s="4"/>
      <c r="R196" s="46">
        <v>2</v>
      </c>
      <c r="S196" s="41">
        <f>S18*R196+T18*R196+S22*R196+T22*R196+S25*R196+T25*R196+U18*R196+U22*R196+U25*R196</f>
        <v>0</v>
      </c>
      <c r="T196" s="140"/>
      <c r="U196" s="41"/>
      <c r="W196" s="46">
        <v>2</v>
      </c>
      <c r="X196" s="41">
        <f>X18*W196+Y18*W196+X22*W196+Y22*W196+X25*W196+Y25*W196+Z18*W196+Z22*W196+Z25*W196</f>
        <v>0</v>
      </c>
      <c r="Y196" s="41"/>
      <c r="Z196" s="41"/>
      <c r="AB196" s="46">
        <v>2</v>
      </c>
      <c r="AC196" s="41">
        <f>AC18*AB196+AD18*AB196+AC22*AB196+AD22*AB196+AC25*AB196+AD25*AB196+AE18*AB196+AE22*AB196+AE25*AB196</f>
        <v>0</v>
      </c>
      <c r="AD196" s="41"/>
      <c r="AE196" s="41"/>
      <c r="AG196" s="46">
        <v>1</v>
      </c>
      <c r="AH196" s="41">
        <f>AH18*AG196+AI18*AG196+AH22*AG196+AI22*AG196+AH25*AG196+AI25*AG196+AH17*AG196+AI17*AG196+AH21*AG196+AI21*AG196+AH24*AG196+AI24*AG196+AI25*AG196+AJ17*AG196+AJ18*AG196+AJ21*AG196+AJ22*AG196+AJ24*AG196+AJ25*AG196</f>
        <v>0</v>
      </c>
      <c r="AI196" s="41"/>
      <c r="AJ196" s="41"/>
      <c r="AL196" s="46">
        <v>2</v>
      </c>
      <c r="AM196" s="41">
        <f>AM18*AL196+AN18*AL196+AM22*AL196+AN22*AL196+AM25*AL196+AN25*AL196+AM17*AL196+AN17*AL196+AM21*AL196+AN21*AL196+AM24*AL196+AN24*AL196+AN25*AL196+AO17*AL196+AO18*AL196+AO21*AL196+AO22*AL196+AO24*AL196+AO25*AL196</f>
        <v>0</v>
      </c>
      <c r="AN196" s="41"/>
      <c r="AO196" s="41"/>
      <c r="AQ196" s="46">
        <v>3</v>
      </c>
      <c r="AR196" s="41">
        <f>AR18*AQ196+AS18*AQ196+AR22*AQ196+AS22*AQ196+AR25*AQ196+AS25*AQ196+AR17*AQ196+AS17*AQ196+AR21*AQ196+AS21*AQ196+AR24*AQ196+AS24*AQ196+AS25*AQ196+AT17*AQ196+AT18*AQ196+AT21*AQ196+AT22*AQ196+AT24*AQ196+AT25*AQ196</f>
        <v>0</v>
      </c>
      <c r="AS196" s="41"/>
      <c r="AT196" s="41"/>
      <c r="AV196" s="141">
        <v>1</v>
      </c>
      <c r="AW196" s="140">
        <f>AW18*AV196+AX18*AV196+AW22*AV196+AX22*AV196+AW25*AV196+AX25*AV196+AY25*AV196+AY18*AV196+AY22*AV196</f>
        <v>0</v>
      </c>
      <c r="AX196" s="139"/>
      <c r="AY196" s="140"/>
      <c r="BA196" s="141">
        <v>1</v>
      </c>
      <c r="BB196" s="140">
        <f>BB18*BA196+BC18*BA196+BB22*BA196+BC22*BA196+BB25*BA196+BC25*BA196+BD25*BA196+BD18*BA196+BD22*BA196</f>
        <v>0</v>
      </c>
      <c r="BC196" s="139"/>
      <c r="BD196" s="41"/>
      <c r="BF196" s="60">
        <v>1</v>
      </c>
      <c r="BG196" s="41">
        <f>SUM(BG18:BI18,BG22:BI22,BG25:BI25)*BF196</f>
        <v>0</v>
      </c>
      <c r="BH196" s="40"/>
      <c r="BI196" s="41"/>
      <c r="BK196" s="142"/>
      <c r="BL196" s="41"/>
      <c r="BM196" s="40"/>
      <c r="BN196" s="41"/>
      <c r="BP196" s="62"/>
      <c r="BQ196" s="41"/>
      <c r="BR196" s="40"/>
      <c r="BS196" s="41"/>
      <c r="BU196" s="62">
        <v>1</v>
      </c>
      <c r="BV196" s="41">
        <f>SUM(BV17:BX17,BV21:BX21,BV24:BX24)*BU196</f>
        <v>0</v>
      </c>
      <c r="BW196" s="40"/>
      <c r="BX196" s="41"/>
      <c r="BZ196" s="61">
        <v>1</v>
      </c>
      <c r="CA196" s="41">
        <f>SUM(CA18:CC18,CA22:CC22,CA25:CC25)*BZ196</f>
        <v>0</v>
      </c>
      <c r="CB196" s="40"/>
      <c r="CC196" s="41"/>
      <c r="CD196" s="140"/>
      <c r="CE196" s="61">
        <v>1</v>
      </c>
      <c r="CF196" s="41">
        <f>SUM(CF18:CH18,CF22:CH22,CF25:CH25)*CE196</f>
        <v>0</v>
      </c>
      <c r="CG196" s="40"/>
      <c r="CH196" s="41"/>
      <c r="CJ196" s="141"/>
      <c r="CK196" s="140">
        <f>CK18*CJ196+CL18*CJ196+CK22*CJ196+CL22*CJ196+CK25*CJ196+CL25*CJ196+CM25*CJ196+CM18*CJ196+CM22*CJ196</f>
        <v>0</v>
      </c>
      <c r="CL196" s="139"/>
      <c r="CM196" s="140"/>
      <c r="CO196" s="223">
        <v>1</v>
      </c>
      <c r="CP196" s="41">
        <f>CP18*CO196+CQ18*CO196+CP22*CO196+CQ22*CO196+CP25*CO196+CQ25*CO196+CR25*CO196+CR18*CO196+CR22*CO196</f>
        <v>0</v>
      </c>
      <c r="CQ196" s="40"/>
      <c r="CR196" s="41"/>
      <c r="CT196" s="62">
        <v>1</v>
      </c>
      <c r="CU196" s="41">
        <f>CU18*CT196+CV18*CT196+CU22*CT196+CV22*CT196+CU25*CT196+CV25*CT196+CW25*CT196+CW18*CT196+CW22*CT196</f>
        <v>0</v>
      </c>
      <c r="CV196" s="40"/>
      <c r="CW196" s="41"/>
      <c r="CY196" s="62">
        <v>1</v>
      </c>
      <c r="CZ196" s="41">
        <f>SUM(CZ18:DB18,CZ22:DB22,CZ25:DB25)*CY196</f>
        <v>0</v>
      </c>
      <c r="DA196" s="40"/>
      <c r="DB196" s="41"/>
      <c r="DD196" s="46">
        <v>1</v>
      </c>
      <c r="DE196" s="41">
        <f>DE18*DD196+DF18*DD196+DE22*DD196+DF22*DD196+DE25*DD196+DF25*DD196+DG25*DD196+DG18*DD196+DG22*DD196</f>
        <v>0</v>
      </c>
      <c r="DF196" s="40"/>
      <c r="DG196" s="41"/>
      <c r="DI196" s="71">
        <v>1</v>
      </c>
      <c r="DJ196" s="41">
        <f>DJ18*DI196+DK18*DI196+DJ22*DI196+DK22*DI196+DJ25*DI196+DK25*DI196+DL25*DI196+DL18*DI196+DL22*DI196</f>
        <v>0</v>
      </c>
      <c r="DK196" s="64"/>
      <c r="DL196" s="64"/>
      <c r="DN196" s="71">
        <v>1</v>
      </c>
      <c r="DO196" s="41">
        <f>DO18*DN196+DP18*DN196+DO22*DN196+DP22*DN196+DO25*DN196+DP25*DN196+DQ25*DN196+DQ18*DN196+DQ22*DN196</f>
        <v>0</v>
      </c>
      <c r="DP196" s="64"/>
      <c r="DQ196" s="64"/>
      <c r="DS196" s="60">
        <v>1</v>
      </c>
      <c r="DT196" s="41">
        <f>DT18*DS196+DU18*DS196+DT22*DS196+DU22*DS196+DT25*DS196+DU25*DS196+DV25*DS196+DV18*DS196+DV22*DS196</f>
        <v>0</v>
      </c>
      <c r="DU196" s="64"/>
      <c r="DV196" s="64"/>
      <c r="DX196" s="60">
        <v>1</v>
      </c>
      <c r="DY196" s="41">
        <f>DY18*DX196+DZ18*DX196+DY22*DX196+DZ22*DX196+DY25*DX196+DZ25*DX196+EA25*DX196+EA18*DX196+EA22*DX196</f>
        <v>0</v>
      </c>
      <c r="DZ196" s="64"/>
      <c r="EA196" s="64"/>
      <c r="EC196" s="60">
        <v>1</v>
      </c>
      <c r="ED196" s="41">
        <f>ED18*EC196+EE18*EC196+ED22*EC196+EE22*EC196+ED25*EC196+EE25*EC196+EF25*EC196+EF18*EC196+EF22*EC196</f>
        <v>0</v>
      </c>
      <c r="EE196" s="64"/>
      <c r="EF196" s="64"/>
      <c r="EH196" s="60">
        <v>1</v>
      </c>
      <c r="EI196" s="41">
        <f>EI18*EH196+EJ18*EH196+EI22*EH196+EJ22*EH196+EI25*EH196+EJ25*EH196+EK25*EH196+EK18*EH196+EK22*EH196</f>
        <v>0</v>
      </c>
      <c r="EJ196" s="64"/>
      <c r="EK196" s="64"/>
      <c r="ER196" s="855"/>
      <c r="EX196" s="203">
        <f t="shared" si="0"/>
        <v>0</v>
      </c>
    </row>
    <row r="197" spans="1:154" s="6" customFormat="1" ht="15" customHeight="1">
      <c r="A197" s="90" t="s">
        <v>123</v>
      </c>
      <c r="B197" s="210" t="s">
        <v>123</v>
      </c>
      <c r="C197" s="473" t="s">
        <v>515</v>
      </c>
      <c r="D197" s="138"/>
      <c r="E197" s="62"/>
      <c r="F197" s="41">
        <f>SUM(F18:H18,F22:H22,F25:H25)*E197</f>
        <v>0</v>
      </c>
      <c r="G197" s="41"/>
      <c r="H197" s="41"/>
      <c r="I197" s="4"/>
      <c r="J197" s="4"/>
      <c r="K197" s="4"/>
      <c r="L197" s="4"/>
      <c r="M197" s="4"/>
      <c r="N197" s="658"/>
      <c r="O197" s="4"/>
      <c r="P197" s="4"/>
      <c r="Q197" s="4"/>
      <c r="R197" s="46">
        <v>2</v>
      </c>
      <c r="S197" s="41">
        <f>S18*R197+T18*R197+S22*R197+T22*R197+S25*R197+T25*R197+U18*R197+U22*R197+U25*R197</f>
        <v>0</v>
      </c>
      <c r="T197" s="140"/>
      <c r="U197" s="41"/>
      <c r="W197" s="46">
        <v>2</v>
      </c>
      <c r="X197" s="41">
        <f>X18*W197+Y18*W197+X22*W197+Y22*W197+X25*W197+Y25*W197+Z18*W197+Z22*W197+Z25*W197</f>
        <v>0</v>
      </c>
      <c r="Y197" s="41"/>
      <c r="Z197" s="41"/>
      <c r="AB197" s="46"/>
      <c r="AC197" s="41"/>
      <c r="AD197" s="41"/>
      <c r="AE197" s="41"/>
      <c r="AG197" s="40"/>
      <c r="AH197" s="41"/>
      <c r="AI197" s="41"/>
      <c r="AJ197" s="41"/>
      <c r="AL197" s="40"/>
      <c r="AM197" s="41"/>
      <c r="AN197" s="41"/>
      <c r="AO197" s="41"/>
      <c r="AQ197" s="40"/>
      <c r="AR197" s="41"/>
      <c r="AS197" s="41"/>
      <c r="AT197" s="41"/>
      <c r="AV197" s="141">
        <v>1</v>
      </c>
      <c r="AW197" s="140">
        <f>AW18*AV197+AX18*AV197+AW22*AV197+AX22*AV197+AW25*AV197+AX25*AV197+AY25*AV197+AY18*AV197+AY22*AV197</f>
        <v>0</v>
      </c>
      <c r="AX197" s="139"/>
      <c r="AY197" s="140"/>
      <c r="BA197" s="141">
        <v>1</v>
      </c>
      <c r="BB197" s="140">
        <f>BB18*BA197+BC18*BA197+BB22*BA197+BC22*BA197+BB25*BA197+BC25*BA197+BD25*BA197+BD18*BA197+BD22*BA197</f>
        <v>0</v>
      </c>
      <c r="BC197" s="139"/>
      <c r="BD197" s="41"/>
      <c r="BF197" s="60">
        <v>1</v>
      </c>
      <c r="BG197" s="41">
        <f>SUM(BG18:BI18,BG22:BI22,BG25:BI25)*BF197</f>
        <v>0</v>
      </c>
      <c r="BH197" s="40"/>
      <c r="BI197" s="41"/>
      <c r="BK197" s="142">
        <v>1</v>
      </c>
      <c r="BL197" s="41">
        <f>SUM(BL18:BN18,BL22:BN22,BL25:BN25)*BK197</f>
        <v>0</v>
      </c>
      <c r="BM197" s="40"/>
      <c r="BN197" s="41"/>
      <c r="BP197" s="62">
        <v>1</v>
      </c>
      <c r="BQ197" s="41">
        <f>SUM(BQ18:BS18,BQ22:BS22,BQ25:BS25)*BP197</f>
        <v>0</v>
      </c>
      <c r="BR197" s="40"/>
      <c r="BS197" s="41"/>
      <c r="BU197" s="62">
        <v>1</v>
      </c>
      <c r="BV197" s="41">
        <f>SUM(BV17:BX17,BV21:BX21,BV24:BX24)*BU197</f>
        <v>0</v>
      </c>
      <c r="BW197" s="40"/>
      <c r="BX197" s="41"/>
      <c r="BZ197" s="61">
        <v>2</v>
      </c>
      <c r="CA197" s="41">
        <f>SUM(CA18:CC18,CA22:CC22,CA25:CC25)*BZ197</f>
        <v>0</v>
      </c>
      <c r="CB197" s="40"/>
      <c r="CC197" s="41"/>
      <c r="CD197" s="140"/>
      <c r="CE197" s="61">
        <v>2</v>
      </c>
      <c r="CF197" s="41">
        <f>SUM(CF18:CH18,CF22:CH22,CF25:CH25)*CE197</f>
        <v>0</v>
      </c>
      <c r="CG197" s="40"/>
      <c r="CH197" s="41"/>
      <c r="CJ197" s="141"/>
      <c r="CK197" s="140">
        <f>CK18*CJ197+CL18*CJ197+CK22*CJ197+CL22*CJ197+CK25*CJ197+CL25*CJ197+CM25*CJ197+CM18*CJ197+CM22*CJ197</f>
        <v>0</v>
      </c>
      <c r="CL197" s="139"/>
      <c r="CM197" s="140"/>
      <c r="CO197" s="223">
        <v>1</v>
      </c>
      <c r="CP197" s="41">
        <f>CP18*CO197+CQ18*CO197+CP22*CO197+CQ22*CO197+CP25*CO197+CQ25*CO197+CR25*CO197+CR18*CO197+CR22*CO197</f>
        <v>0</v>
      </c>
      <c r="CQ197" s="40"/>
      <c r="CR197" s="41"/>
      <c r="CT197" s="62">
        <v>2</v>
      </c>
      <c r="CU197" s="41">
        <f>CU18*CT197+CV18*CT197+CU22*CT197+CV22*CT197+CU25*CT197+CV25*CT197+CW25*CT197+CW18*CT197+CW22*CT197</f>
        <v>0</v>
      </c>
      <c r="CV197" s="40"/>
      <c r="CW197" s="41"/>
      <c r="CY197" s="62">
        <v>1</v>
      </c>
      <c r="CZ197" s="41">
        <f>SUM(CZ18:DB18,CZ22:DB22,CZ25:DB25)*CY197</f>
        <v>0</v>
      </c>
      <c r="DA197" s="40"/>
      <c r="DB197" s="41"/>
      <c r="DD197" s="46">
        <v>1</v>
      </c>
      <c r="DE197" s="41">
        <f>DE18*DD197+DF18*DD197+DE22*DD197+DF22*DD197+DE25*DD197+DF25*DD197+DG25*DD197+DG18*DD197+DG22*DD197</f>
        <v>0</v>
      </c>
      <c r="DF197" s="40"/>
      <c r="DG197" s="41"/>
      <c r="DI197" s="60"/>
      <c r="DJ197" s="41">
        <f>DJ18*DI197+DK18*DI197+DJ22*DI197+DK22*DI197+DJ25*DI197+DK25*DI197+DL25*DI197+DL18*DI197+DL22*DI197</f>
        <v>0</v>
      </c>
      <c r="DK197" s="64"/>
      <c r="DL197" s="64"/>
      <c r="DN197" s="60"/>
      <c r="DO197" s="41">
        <f>DO18*DN197+DP18*DN197+DO22*DN197+DP22*DN197+DO25*DN197+DP25*DN197+DQ25*DN197+DQ18*DN197+DQ22*DN197</f>
        <v>0</v>
      </c>
      <c r="DP197" s="64"/>
      <c r="DQ197" s="64"/>
      <c r="DS197" s="60">
        <v>2</v>
      </c>
      <c r="DT197" s="41">
        <f>DT18*DS197+DU18*DS197+DT22*DS197+DU22*DS197+DT25*DS197+DU25*DS197+DV25*DS197+DV18*DS197+DV22*DS197</f>
        <v>0</v>
      </c>
      <c r="DU197" s="64"/>
      <c r="DV197" s="64"/>
      <c r="DX197" s="60">
        <v>2</v>
      </c>
      <c r="DY197" s="41">
        <f>DY18*DX197+DZ18*DX197+DY22*DX197+DZ22*DX197+DY25*DX197+DZ25*DX197+EA25*DX197+EA18*DX197+EA22*DX197</f>
        <v>0</v>
      </c>
      <c r="DZ197" s="64"/>
      <c r="EA197" s="64"/>
      <c r="EC197" s="60">
        <v>2</v>
      </c>
      <c r="ED197" s="41">
        <f>ED18*EC197+EE18*EC197+ED22*EC197+EE22*EC197+ED25*EC197+EE25*EC197+EF25*EC197+EF18*EC197+EF22*EC197</f>
        <v>0</v>
      </c>
      <c r="EE197" s="64"/>
      <c r="EF197" s="64"/>
      <c r="EH197" s="60">
        <v>2</v>
      </c>
      <c r="EI197" s="41">
        <f>EI18*EH197+EJ18*EH197+EI22*EH197+EJ22*EH197+EI25*EH197+EJ25*EH197+EK25*EH197+EK18*EH197+EK22*EH197</f>
        <v>0</v>
      </c>
      <c r="EJ197" s="64"/>
      <c r="EK197" s="64"/>
      <c r="ER197" s="855"/>
      <c r="EX197" s="203">
        <f t="shared" si="0"/>
        <v>0</v>
      </c>
    </row>
    <row r="198" spans="1:154" s="6" customFormat="1" ht="15" customHeight="1">
      <c r="A198" s="90" t="s">
        <v>124</v>
      </c>
      <c r="B198" s="210" t="s">
        <v>124</v>
      </c>
      <c r="C198" s="473" t="s">
        <v>515</v>
      </c>
      <c r="D198" s="138"/>
      <c r="E198" s="62"/>
      <c r="F198" s="41">
        <f>SUM(F18:H18,F22:H22,F25:H25)*E198</f>
        <v>0</v>
      </c>
      <c r="G198" s="41"/>
      <c r="H198" s="41"/>
      <c r="I198" s="4"/>
      <c r="J198" s="4"/>
      <c r="K198" s="4"/>
      <c r="L198" s="4"/>
      <c r="M198" s="4"/>
      <c r="N198" s="658"/>
      <c r="O198" s="4"/>
      <c r="P198" s="4"/>
      <c r="Q198" s="4"/>
      <c r="R198" s="40"/>
      <c r="S198" s="41"/>
      <c r="T198" s="140"/>
      <c r="U198" s="41"/>
      <c r="W198" s="40"/>
      <c r="X198" s="41"/>
      <c r="Y198" s="41"/>
      <c r="Z198" s="41"/>
      <c r="AB198" s="40"/>
      <c r="AC198" s="41"/>
      <c r="AD198" s="41"/>
      <c r="AE198" s="41"/>
      <c r="AG198" s="46">
        <v>1</v>
      </c>
      <c r="AH198" s="41">
        <f>AH18*AG198+AI18*AG198+AH22*AG198+AI22*AG198+AH25*AG198+AI25*AG198+AJ18*AG198+AJ22*AG198+AJ25*AG198</f>
        <v>0</v>
      </c>
      <c r="AI198" s="41"/>
      <c r="AJ198" s="41"/>
      <c r="AL198" s="46">
        <v>2</v>
      </c>
      <c r="AM198" s="41">
        <f>AM18*AL198+AN18*AL198+AM22*AL198+AN22*AL198+AM25*AL198+AN25*AL198+AO18*AL198+AO22*AL198+AO25*AL198</f>
        <v>0</v>
      </c>
      <c r="AN198" s="41"/>
      <c r="AO198" s="41"/>
      <c r="AQ198" s="46">
        <v>3</v>
      </c>
      <c r="AR198" s="41">
        <f>AR18*AQ198+AS18*AQ198+AR22*AQ198+AS22*AQ198+AR25*AQ198+AS25*AQ198+AT18*AQ198+AT22*AQ198+AT25*AQ198</f>
        <v>0</v>
      </c>
      <c r="AS198" s="41"/>
      <c r="AT198" s="41"/>
      <c r="AV198" s="139"/>
      <c r="AW198" s="139"/>
      <c r="AX198" s="139"/>
      <c r="AY198" s="140"/>
      <c r="BA198" s="139"/>
      <c r="BB198" s="139"/>
      <c r="BC198" s="139"/>
      <c r="BD198" s="41"/>
      <c r="BF198" s="40"/>
      <c r="BG198" s="41"/>
      <c r="BH198" s="40"/>
      <c r="BI198" s="41"/>
      <c r="BK198" s="142">
        <v>1</v>
      </c>
      <c r="BL198" s="41">
        <f>SUM(BL18:BN18,BL22:BN22,BL25:BN25)*BK198</f>
        <v>0</v>
      </c>
      <c r="BM198" s="40"/>
      <c r="BN198" s="41"/>
      <c r="BP198" s="62">
        <v>1</v>
      </c>
      <c r="BQ198" s="41">
        <f>SUM(BQ18:BS18,BQ22:BS22,BQ25:BS25)*BP198</f>
        <v>0</v>
      </c>
      <c r="BR198" s="40"/>
      <c r="BS198" s="41"/>
      <c r="BU198" s="62">
        <v>1</v>
      </c>
      <c r="BV198" s="41">
        <f>SUM(BV18:BX18,BV22:BX22,BV25:BX25)*BU198</f>
        <v>0</v>
      </c>
      <c r="BW198" s="40"/>
      <c r="BX198" s="41"/>
      <c r="BZ198" s="61">
        <v>1</v>
      </c>
      <c r="CA198" s="41">
        <f>SUM(CA18:CC18,CA22:CC22,CA25:CC25)*BZ198</f>
        <v>0</v>
      </c>
      <c r="CB198" s="40"/>
      <c r="CC198" s="41"/>
      <c r="CD198" s="140"/>
      <c r="CE198" s="61">
        <v>1</v>
      </c>
      <c r="CF198" s="41">
        <f>SUM(CF18:CH18,CF22:CH22,CF25:CH25)*CE198</f>
        <v>0</v>
      </c>
      <c r="CG198" s="40"/>
      <c r="CH198" s="41"/>
      <c r="CJ198" s="141"/>
      <c r="CK198" s="139"/>
      <c r="CL198" s="139"/>
      <c r="CM198" s="140"/>
      <c r="CO198" s="223"/>
      <c r="CP198" s="40"/>
      <c r="CQ198" s="40"/>
      <c r="CR198" s="41"/>
      <c r="CT198" s="62">
        <v>1</v>
      </c>
      <c r="CU198" s="41">
        <f>CU18*CT198+CV18*CT198+CU22*CT198+CV22*CT198+CU25*CT198+CV25*CT198+CW25*CT198+CW18*CT198+CW22*CT198</f>
        <v>0</v>
      </c>
      <c r="CV198" s="40"/>
      <c r="CW198" s="41"/>
      <c r="CY198" s="62"/>
      <c r="CZ198" s="41"/>
      <c r="DA198" s="40"/>
      <c r="DB198" s="41"/>
      <c r="DD198" s="46"/>
      <c r="DE198" s="40"/>
      <c r="DF198" s="40"/>
      <c r="DG198" s="41"/>
      <c r="DI198" s="71">
        <v>1</v>
      </c>
      <c r="DJ198" s="41">
        <f>DJ18*DI198+DK18*DI198+DJ22*DI198+DK22*DI198+DJ25*DI198+DK25*DI198+DL25*DI198+DL18*DI198+DL22*DI198</f>
        <v>0</v>
      </c>
      <c r="DK198" s="64"/>
      <c r="DL198" s="64"/>
      <c r="DN198" s="71">
        <v>1</v>
      </c>
      <c r="DO198" s="41">
        <f>DO18*DN198+DP18*DN198+DO22*DN198+DP22*DN198+DO25*DN198+DP25*DN198+DQ25*DN198+DQ18*DN198+DQ22*DN198</f>
        <v>0</v>
      </c>
      <c r="DP198" s="64"/>
      <c r="DQ198" s="64"/>
      <c r="DS198" s="60">
        <v>1</v>
      </c>
      <c r="DT198" s="41">
        <f>DT18*DS198+DU18*DS198+DT22*DS198+DU22*DS198+DT25*DS198+DU25*DS198+DV25*DS198+DV18*DS198+DV22*DS198</f>
        <v>0</v>
      </c>
      <c r="DU198" s="64"/>
      <c r="DV198" s="64"/>
      <c r="DX198" s="60">
        <v>1</v>
      </c>
      <c r="DY198" s="41">
        <f>DY18*DX198+DZ18*DX198+DY22*DX198+DZ22*DX198+DY25*DX198+DZ25*DX198+EA25*DX198+EA18*DX198+EA22*DX198</f>
        <v>0</v>
      </c>
      <c r="DZ198" s="64"/>
      <c r="EA198" s="64"/>
      <c r="EC198" s="60">
        <v>1</v>
      </c>
      <c r="ED198" s="41">
        <f>ED18*EC198+EE18*EC198+ED22*EC198+EE22*EC198+ED25*EC198+EE25*EC198+EF25*EC198+EF18*EC198+EF22*EC198</f>
        <v>0</v>
      </c>
      <c r="EE198" s="64"/>
      <c r="EF198" s="64"/>
      <c r="EH198" s="60">
        <v>1</v>
      </c>
      <c r="EI198" s="41">
        <f>EI18*EH198+EJ18*EH198+EI22*EH198+EJ22*EH198+EI25*EH198+EJ25*EH198+EK25*EH198+EK18*EH198+EK22*EH198</f>
        <v>0</v>
      </c>
      <c r="EJ198" s="64"/>
      <c r="EK198" s="64"/>
      <c r="ER198" s="855"/>
      <c r="EX198" s="203">
        <f t="shared" si="0"/>
        <v>0</v>
      </c>
    </row>
    <row r="199" spans="1:154" s="6" customFormat="1" ht="15" customHeight="1">
      <c r="A199" s="90" t="s">
        <v>125</v>
      </c>
      <c r="B199" s="210" t="s">
        <v>125</v>
      </c>
      <c r="C199" s="473" t="s">
        <v>515</v>
      </c>
      <c r="D199" s="138"/>
      <c r="E199" s="62"/>
      <c r="F199" s="41">
        <f>SUM(F19:H19,F23:H23,F26:H26)*E199</f>
        <v>0</v>
      </c>
      <c r="G199" s="41"/>
      <c r="H199" s="41"/>
      <c r="I199" s="4"/>
      <c r="J199" s="4">
        <v>1</v>
      </c>
      <c r="K199" s="658">
        <f>SUM(K19,K23,K26)*J199</f>
        <v>0</v>
      </c>
      <c r="L199" s="4"/>
      <c r="M199" s="4">
        <v>9</v>
      </c>
      <c r="N199" s="658">
        <f>SUM(N19:P19,N23:P23,N26:P26)*M199</f>
        <v>0</v>
      </c>
      <c r="O199" s="4"/>
      <c r="P199" s="4"/>
      <c r="Q199" s="4"/>
      <c r="R199" s="46">
        <v>2</v>
      </c>
      <c r="S199" s="41">
        <f>S19*R199+T19*R199+T26*R199+S23*R199+T23*R199+S26*R199+U19*R199+T23*R199+U23*R199+U26*R199</f>
        <v>0</v>
      </c>
      <c r="T199" s="140"/>
      <c r="U199" s="41"/>
      <c r="W199" s="46">
        <v>2</v>
      </c>
      <c r="X199" s="41">
        <f>X19*W199+Y19*W199+Y26*W199+X23*W199+Y23*W199+X26*W199+Z19*W199+Y23*W199+Z23*W199+Z26*W199</f>
        <v>0</v>
      </c>
      <c r="Y199" s="41"/>
      <c r="Z199" s="41"/>
      <c r="AB199" s="46">
        <v>2</v>
      </c>
      <c r="AC199" s="41">
        <f>AC19*AB199+AD19*AB199+AC23*AB199+AD23*AB199+AC26*AB199+AD26*AB199+AD23*AB199+AC26*AB199+AD26*AB199+AE19*AB199+AE23*AB199+AE26*AB199</f>
        <v>0</v>
      </c>
      <c r="AD199" s="41"/>
      <c r="AE199" s="41"/>
      <c r="AG199" s="46">
        <v>1</v>
      </c>
      <c r="AH199" s="41">
        <f>AH19*AG199+AI19*AG199+AH23*AG199+AH26*AG199+AJ19*AG199+AI23*AG199+AI26*AG199+AJ23*AG199+AJ26*AG199</f>
        <v>0</v>
      </c>
      <c r="AI199" s="41"/>
      <c r="AJ199" s="41"/>
      <c r="AL199" s="46">
        <v>2</v>
      </c>
      <c r="AM199" s="41">
        <f>AM19*AL199+AN19*AL199+AM23*AL199+AM26*AL199+AO19*AL199+AN23*AL199+AN26*AL199+AO23*AL199+AO26*AL199</f>
        <v>0</v>
      </c>
      <c r="AN199" s="41"/>
      <c r="AO199" s="41"/>
      <c r="AQ199" s="46">
        <v>3</v>
      </c>
      <c r="AR199" s="41">
        <f>AR19*AQ199+AS19*AQ199+AR23*AQ199+AR26*AQ199+AT19*AQ199+AS23*AQ199+AS26*AQ199+AT23*AQ199+AT26*AQ199</f>
        <v>0</v>
      </c>
      <c r="AS199" s="41"/>
      <c r="AT199" s="41"/>
      <c r="AV199" s="141">
        <v>1</v>
      </c>
      <c r="AW199" s="140">
        <f>AW19*AV199+AX19*AV199+AW23*AV199+AX23*AV199+AW26*AV199+AY19*AV199+AX23*AV199+AY23*AV199+AY26*AV199+AX26*AV199</f>
        <v>0</v>
      </c>
      <c r="AX199" s="139"/>
      <c r="AY199" s="140"/>
      <c r="BA199" s="141">
        <v>1</v>
      </c>
      <c r="BB199" s="140">
        <f>BB19*BA199+BC19*BA199+BB23*BA199+BC23*BA199+BB26*BA199+BD19*BA199+BC23*BA199+BD23*BA199+BD26*BA199+BC26*BA199</f>
        <v>0</v>
      </c>
      <c r="BC199" s="139"/>
      <c r="BD199" s="41"/>
      <c r="BF199" s="60">
        <v>1</v>
      </c>
      <c r="BG199" s="41">
        <f>SUM(BG19:BI19,BG23:BI23,BG26:BI26)*BF199</f>
        <v>0</v>
      </c>
      <c r="BH199" s="40"/>
      <c r="BI199" s="41"/>
      <c r="BK199" s="142"/>
      <c r="BL199" s="41">
        <f>SUM(BL19:BN19,BL23:BN23,BL26:BN26)*BK199</f>
        <v>0</v>
      </c>
      <c r="BM199" s="40"/>
      <c r="BN199" s="41"/>
      <c r="BP199" s="62"/>
      <c r="BQ199" s="41">
        <f>SUM(BQ19:BS19,BQ23:BS23,BQ26:BS26)*BP199</f>
        <v>0</v>
      </c>
      <c r="BR199" s="40"/>
      <c r="BS199" s="41"/>
      <c r="BU199" s="62">
        <v>1</v>
      </c>
      <c r="BV199" s="41">
        <f>SUM(BV18:BX18,BV22:BX22,BV25:BX25)*BU199</f>
        <v>0</v>
      </c>
      <c r="BW199" s="40"/>
      <c r="BX199" s="41"/>
      <c r="BZ199" s="61">
        <v>1</v>
      </c>
      <c r="CA199" s="41">
        <f>SUM(CA19:CC19,CA23:CC23,CA26:CC26)*BZ199</f>
        <v>0</v>
      </c>
      <c r="CB199" s="40"/>
      <c r="CC199" s="41"/>
      <c r="CD199" s="140"/>
      <c r="CE199" s="61">
        <v>1</v>
      </c>
      <c r="CF199" s="41">
        <f>SUM(CF19:CH19,CF23:CH23,CF26:CH26)*CE199</f>
        <v>0</v>
      </c>
      <c r="CG199" s="40"/>
      <c r="CH199" s="41"/>
      <c r="CJ199" s="141"/>
      <c r="CK199" s="140">
        <f>CK19*CJ199+CL19*CJ199+CK23*CJ199+CL23*CJ199+CK26*CJ199+CM19*CJ199+CL23*CJ199+CM23*CJ199+CM26*CJ199+CL26*CJ199</f>
        <v>0</v>
      </c>
      <c r="CL199" s="139"/>
      <c r="CM199" s="140"/>
      <c r="CO199" s="223">
        <v>1</v>
      </c>
      <c r="CP199" s="41">
        <f>CP19*CO199+CQ19*CO199+CP23*CO199+CQ23*CO199+CP26*CO199+CR19*CO199+CQ23*CO199+CR23*CO199+CR26*CO199+CQ26*CO199</f>
        <v>0</v>
      </c>
      <c r="CQ199" s="40"/>
      <c r="CR199" s="41"/>
      <c r="CT199" s="62">
        <v>1</v>
      </c>
      <c r="CU199" s="41">
        <f>CU19*CT199+CV19*CT199+CU23*CT199+CV23*CT199+CU26*CT199+CW19*CT199+CV23*CT199+CW23*CT199+CW26*CT199+CV26*CT199</f>
        <v>0</v>
      </c>
      <c r="CV199" s="40"/>
      <c r="CW199" s="41"/>
      <c r="CY199" s="62">
        <v>1</v>
      </c>
      <c r="CZ199" s="41">
        <f>SUM(CZ19:DB19,CZ23:DB23,CZ26:DB26)*CY199</f>
        <v>0</v>
      </c>
      <c r="DA199" s="40"/>
      <c r="DB199" s="41"/>
      <c r="DD199" s="46">
        <v>1</v>
      </c>
      <c r="DE199" s="41">
        <f>DE19*DD199+DF19*DD199+DE23*DD199+DF23*DD199+DE26*DD199+DG19*DD199+DF23*DD199+DG23*DD199+DG26*DD199+DF26*DD199</f>
        <v>0</v>
      </c>
      <c r="DF199" s="40"/>
      <c r="DG199" s="41"/>
      <c r="DI199" s="71">
        <v>1</v>
      </c>
      <c r="DJ199" s="41">
        <f>DJ19*DI199+DK19*DI199+DJ23*DI199+DK23*DI199+DJ26*DI199+DL19*DI199+DK23*DI199+DL23*DI199+DL26*DI199+DK26*DI199</f>
        <v>0</v>
      </c>
      <c r="DK199" s="64"/>
      <c r="DL199" s="64"/>
      <c r="DN199" s="71">
        <v>1</v>
      </c>
      <c r="DO199" s="41">
        <f>DO19*DN199+DP19*DN199+DO23*DN199+DP23*DN199+DO26*DN199+DQ19*DN199+DP23*DN199+DQ23*DN199+DQ26*DN199+DP26*DN199</f>
        <v>0</v>
      </c>
      <c r="DP199" s="64"/>
      <c r="DQ199" s="64"/>
      <c r="DS199" s="60">
        <v>1</v>
      </c>
      <c r="DT199" s="41">
        <f>DT19*DS199+DU19*DS199+DT23*DS199+DU23*DS199+DT26*DS199+DV19*DS199+DU23*DS199+DV23*DS199+DV26*DS199+DU26*DS199</f>
        <v>0</v>
      </c>
      <c r="DU199" s="64"/>
      <c r="DV199" s="64"/>
      <c r="DX199" s="60">
        <v>1</v>
      </c>
      <c r="DY199" s="41">
        <f>DY19*DX199+DZ19*DX199+DY23*DX199+DZ23*DX199+DY26*DX199+EA19*DX199+DZ23*DX199+EA23*DX199+EA26*DX199+DZ26*DX199</f>
        <v>0</v>
      </c>
      <c r="DZ199" s="64"/>
      <c r="EA199" s="64"/>
      <c r="EC199" s="60">
        <v>1</v>
      </c>
      <c r="ED199" s="41">
        <f>ED19*EC199+EE19*EC199+ED23*EC199+EE23*EC199+ED26*EC199+EF19*EC199+EE23*EC199+EF23*EC199+EF26*EC199+EE26*EC199</f>
        <v>0</v>
      </c>
      <c r="EE199" s="64"/>
      <c r="EF199" s="64"/>
      <c r="EH199" s="60">
        <v>1</v>
      </c>
      <c r="EI199" s="41">
        <f>EI19*EH199+EJ19*EH199+EI23*EH199+EJ23*EH199+EI26*EH199+EK19*EH199+EJ23*EH199+EK23*EH199+EK26*EH199+EJ26*EH199</f>
        <v>0</v>
      </c>
      <c r="EJ199" s="64"/>
      <c r="EK199" s="64"/>
      <c r="ER199" s="855"/>
      <c r="EX199" s="203">
        <f t="shared" si="0"/>
        <v>0</v>
      </c>
    </row>
    <row r="200" spans="1:154" s="6" customFormat="1" ht="15" customHeight="1">
      <c r="A200" s="90" t="s">
        <v>126</v>
      </c>
      <c r="B200" s="210" t="s">
        <v>126</v>
      </c>
      <c r="C200" s="473" t="s">
        <v>515</v>
      </c>
      <c r="D200" s="138"/>
      <c r="E200" s="62"/>
      <c r="F200" s="41">
        <f>SUM(F19:H19,F23:H23,F26:H26)*E200</f>
        <v>0</v>
      </c>
      <c r="G200" s="41"/>
      <c r="H200" s="41"/>
      <c r="I200" s="4"/>
      <c r="J200" s="4"/>
      <c r="K200" s="4"/>
      <c r="L200" s="4"/>
      <c r="M200" s="4"/>
      <c r="N200" s="4"/>
      <c r="O200" s="4"/>
      <c r="P200" s="4"/>
      <c r="Q200" s="4"/>
      <c r="R200" s="46">
        <v>2</v>
      </c>
      <c r="S200" s="41">
        <f>S19*R200+T19*R200+S23*R200+T23*R200+S26*R200+T26*R200+T23*R200+U19*R200+U23*R200+U26*R200</f>
        <v>0</v>
      </c>
      <c r="T200" s="140"/>
      <c r="U200" s="41"/>
      <c r="W200" s="46">
        <v>2</v>
      </c>
      <c r="X200" s="41">
        <f>X19*W200+Y19*W200+X23*W200+Y23*W200+Y26*W200+Y23*W200+X26*W200+Z19*W200+Z23*W200+Z26*W200</f>
        <v>0</v>
      </c>
      <c r="Y200" s="41"/>
      <c r="Z200" s="41"/>
      <c r="AB200" s="46">
        <v>2</v>
      </c>
      <c r="AC200" s="41">
        <f>AC19*AB200+AD19*AB200+AC23*AB200+AD23*AB200+AC26*AB200+AD26*AB200+AD23*AB200+AC26*AB200+AD26*AB200+AE19*AB200+AE23*AB200+AE26*AB200</f>
        <v>0</v>
      </c>
      <c r="AD200" s="41"/>
      <c r="AE200" s="41"/>
      <c r="AG200" s="46">
        <v>1</v>
      </c>
      <c r="AH200" s="41">
        <f>AH19*AG200+AI19*AG200+AH23*AG200+AI23*AG200+AI26*AG200+AH26*AG200+AJ19*AG200+AJ23*AG200+AJ26*AG200</f>
        <v>0</v>
      </c>
      <c r="AI200" s="41"/>
      <c r="AJ200" s="41"/>
      <c r="AL200" s="46">
        <v>2</v>
      </c>
      <c r="AM200" s="41">
        <f>AM19*AL200+AN19*AL200+AM23*AL200+AN23*AL200+AN26*AL200+AM26*AL200+AO19*AL200+AO23*AL200+AO26*AL200</f>
        <v>0</v>
      </c>
      <c r="AN200" s="41"/>
      <c r="AO200" s="41"/>
      <c r="AQ200" s="46">
        <v>3</v>
      </c>
      <c r="AR200" s="41">
        <f>AR19*AQ200+AS19*AQ200+AR23*AQ200+AS23*AQ200+AS26*AQ200+AR26*AQ200+AT19*AQ200+AT23*AQ200+AT26*AQ200</f>
        <v>0</v>
      </c>
      <c r="AS200" s="41"/>
      <c r="AT200" s="41"/>
      <c r="AV200" s="141">
        <v>1</v>
      </c>
      <c r="AW200" s="140">
        <f>AW19*AV200+AX19*AV200+AW23*AV200+AX23*AV200+AW26*AV200+AX26*AV200+AY19*AV200+AY23*AV200+AY26*AV200</f>
        <v>0</v>
      </c>
      <c r="AX200" s="139"/>
      <c r="AY200" s="140"/>
      <c r="BA200" s="141">
        <v>1</v>
      </c>
      <c r="BB200" s="140">
        <f>BB19*BA200+BC19*BA200+BB23*BA200+BC23*BA200+BB26*BA200+BC26*BA200+BD19*BA200+BD23*BA200+BD26*BA200</f>
        <v>0</v>
      </c>
      <c r="BC200" s="139"/>
      <c r="BD200" s="41"/>
      <c r="BF200" s="60">
        <v>1</v>
      </c>
      <c r="BG200" s="41">
        <f>SUM(BG19:BI19,BG23:BI23,BG26:BI26)*BF200</f>
        <v>0</v>
      </c>
      <c r="BH200" s="40"/>
      <c r="BI200" s="41"/>
      <c r="BK200" s="142">
        <v>1</v>
      </c>
      <c r="BL200" s="41">
        <f>SUM(BL19:BN19,BL23:BN23,BL26:BN26)*BK200</f>
        <v>0</v>
      </c>
      <c r="BM200" s="40"/>
      <c r="BN200" s="41"/>
      <c r="BP200" s="62">
        <v>1</v>
      </c>
      <c r="BQ200" s="41">
        <f>SUM(BQ19:BS19,BQ23:BS23,BQ26:BS26)*BP200</f>
        <v>0</v>
      </c>
      <c r="BR200" s="40"/>
      <c r="BS200" s="41"/>
      <c r="BU200" s="62"/>
      <c r="BV200" s="41"/>
      <c r="BW200" s="40"/>
      <c r="BX200" s="41"/>
      <c r="BZ200" s="61">
        <v>2</v>
      </c>
      <c r="CA200" s="41">
        <f>SUM(CA19:CC19,CA23:CC23,CA26:CC26)*BZ200</f>
        <v>0</v>
      </c>
      <c r="CB200" s="40"/>
      <c r="CC200" s="41"/>
      <c r="CD200" s="140"/>
      <c r="CE200" s="61">
        <v>2</v>
      </c>
      <c r="CF200" s="41">
        <f>SUM(CF19:CH19,CF23:CH23,CF26:CH26)*CE200</f>
        <v>0</v>
      </c>
      <c r="CG200" s="40"/>
      <c r="CH200" s="41"/>
      <c r="CJ200" s="141"/>
      <c r="CK200" s="140">
        <f>CK19*CJ200+CL19*CJ200+CK23*CJ200+CL23*CJ200+CK26*CJ200+CL26*CJ200+CM19*CJ200+CM23*CJ200+CM26*CJ200</f>
        <v>0</v>
      </c>
      <c r="CL200" s="139"/>
      <c r="CM200" s="140"/>
      <c r="CO200" s="223">
        <v>1</v>
      </c>
      <c r="CP200" s="41">
        <f>CP19*CO200+CQ19*CO200+CP23*CO200+CQ23*CO200+CP26*CO200+CQ26*CO200+CR19*CO200+CR23*CO200+CR26*CO200</f>
        <v>0</v>
      </c>
      <c r="CQ200" s="40"/>
      <c r="CR200" s="41"/>
      <c r="CT200" s="62">
        <v>2</v>
      </c>
      <c r="CU200" s="41">
        <f>CU19*CT200+CV19*CT200+CU23*CT200+CV23*CT200+CU26*CT200+CV26*CT200+CW19*CT200+CW23*CT200+CW26*CT200</f>
        <v>0</v>
      </c>
      <c r="CV200" s="40"/>
      <c r="CW200" s="41"/>
      <c r="CY200" s="62">
        <v>1</v>
      </c>
      <c r="CZ200" s="41">
        <f>SUM(CZ19:DB19,CZ23:DB23,CZ26:DB26)*CY200</f>
        <v>0</v>
      </c>
      <c r="DA200" s="40"/>
      <c r="DB200" s="41"/>
      <c r="DD200" s="46">
        <v>1</v>
      </c>
      <c r="DE200" s="41">
        <f>DE19*DD200+DF19*DD200+DE23*DD200+DF23*DD200+DE26*DD200+DF26*DD200+DG19*DD200+DG23*DD200+DG26*DD200</f>
        <v>0</v>
      </c>
      <c r="DF200" s="40"/>
      <c r="DG200" s="41"/>
      <c r="DI200" s="71">
        <v>2</v>
      </c>
      <c r="DJ200" s="41">
        <f>DJ19*DI200+DK19*DI200+DJ23*DI200+DJ26*DI200+DK26*DI200+DK23*DI200+DL19*1+DL23*DI200+DL26*DI200</f>
        <v>0</v>
      </c>
      <c r="DK200" s="64"/>
      <c r="DL200" s="64"/>
      <c r="DN200" s="71">
        <v>2</v>
      </c>
      <c r="DO200" s="41">
        <f>DO19*DN200+DP19*DN200+DO23*DN200+DO26*DN200+DP26*DN200+DP23*DN200+DQ19*1+DQ23*DN200+DQ26*DN200</f>
        <v>0</v>
      </c>
      <c r="DP200" s="64"/>
      <c r="DQ200" s="64"/>
      <c r="DS200" s="60">
        <v>2</v>
      </c>
      <c r="DT200" s="41">
        <f>DT19*DS200+DU19*DS200+DT23*DS200+DT26*DS200+DU26*DS200+DU23*DS200+DV19*1+DV23*DS200+DV26*DS200</f>
        <v>0</v>
      </c>
      <c r="DU200" s="64"/>
      <c r="DV200" s="64"/>
      <c r="DX200" s="60">
        <v>2</v>
      </c>
      <c r="DY200" s="41">
        <f>DY19*DX200+DZ19*DX200+DY23*DX200+DY26*DX200+DZ26*DX200+DZ23*DX200+EA19*1+EA23*DX200+EA26*DX200</f>
        <v>0</v>
      </c>
      <c r="DZ200" s="64"/>
      <c r="EA200" s="64"/>
      <c r="EC200" s="60">
        <v>2</v>
      </c>
      <c r="ED200" s="41">
        <f>ED19*EC200+EE19*EC200+ED23*EC200+ED26*EC200+EE26*EC200+EE23*EC200+EF19*1+EF23*EC200+EF26*EC200</f>
        <v>0</v>
      </c>
      <c r="EE200" s="64"/>
      <c r="EF200" s="64"/>
      <c r="EH200" s="60">
        <v>2</v>
      </c>
      <c r="EI200" s="41">
        <f>EI19*EH200+EJ19*EH200+EI23*EH200+EI26*EH200+EJ26*EH200+EJ23*EH200+EK19*1+EK23*EH200+EK26*EH200</f>
        <v>0</v>
      </c>
      <c r="EJ200" s="64"/>
      <c r="EK200" s="64"/>
      <c r="ER200" s="855"/>
      <c r="EX200" s="203">
        <f t="shared" si="0"/>
        <v>0</v>
      </c>
    </row>
    <row r="201" spans="1:154" s="6" customFormat="1" ht="15" customHeight="1">
      <c r="A201" s="90" t="s">
        <v>127</v>
      </c>
      <c r="B201" s="210" t="s">
        <v>127</v>
      </c>
      <c r="C201" s="473" t="s">
        <v>515</v>
      </c>
      <c r="D201" s="138"/>
      <c r="E201" s="62"/>
      <c r="F201" s="41">
        <f>SUM(F19:H19,F23:H23,F26:H26)*E201</f>
        <v>0</v>
      </c>
      <c r="G201" s="41"/>
      <c r="H201" s="41"/>
      <c r="I201" s="4"/>
      <c r="J201" s="4"/>
      <c r="K201" s="4"/>
      <c r="L201" s="4"/>
      <c r="M201" s="4"/>
      <c r="N201" s="4"/>
      <c r="O201" s="4"/>
      <c r="P201" s="4"/>
      <c r="Q201" s="4"/>
      <c r="R201" s="46">
        <v>2</v>
      </c>
      <c r="S201" s="41">
        <f>S19*R201+T19*R201+S23*R201+T23*R201+S26*R201+T26*R201+T23*R201+U19*R201+U23*R201+U26*R201</f>
        <v>0</v>
      </c>
      <c r="T201" s="140"/>
      <c r="U201" s="41"/>
      <c r="W201" s="46">
        <v>2</v>
      </c>
      <c r="X201" s="41">
        <f>X23*W201+X19*W201+Y19*W201+X23*W201+Y23*W201+X26*W201+Y26*W201+Z19*W201+Z23*W201+Z26*W201</f>
        <v>0</v>
      </c>
      <c r="Y201" s="41"/>
      <c r="Z201" s="41"/>
      <c r="AB201" s="46"/>
      <c r="AC201" s="41"/>
      <c r="AD201" s="41"/>
      <c r="AE201" s="41"/>
      <c r="AG201" s="46"/>
      <c r="AH201" s="41"/>
      <c r="AI201" s="41"/>
      <c r="AJ201" s="41"/>
      <c r="AL201" s="46"/>
      <c r="AM201" s="41"/>
      <c r="AN201" s="41"/>
      <c r="AO201" s="41"/>
      <c r="AQ201" s="46"/>
      <c r="AR201" s="41"/>
      <c r="AS201" s="41"/>
      <c r="AT201" s="41"/>
      <c r="AV201" s="139"/>
      <c r="AW201" s="139"/>
      <c r="AX201" s="139"/>
      <c r="AY201" s="140"/>
      <c r="BA201" s="139"/>
      <c r="BB201" s="139"/>
      <c r="BC201" s="139"/>
      <c r="BD201" s="41"/>
      <c r="BF201" s="40"/>
      <c r="BG201" s="40"/>
      <c r="BH201" s="40"/>
      <c r="BI201" s="41"/>
      <c r="BK201" s="142">
        <v>1</v>
      </c>
      <c r="BL201" s="41">
        <f>SUM(BL19:BN19,BL23:BN23,BL26:BN26)*BK201</f>
        <v>0</v>
      </c>
      <c r="BM201" s="40"/>
      <c r="BN201" s="41"/>
      <c r="BP201" s="62">
        <v>1</v>
      </c>
      <c r="BQ201" s="41">
        <f>SUM(BQ19:BS19,BQ23:BS23,BQ26:BS26)*BP201</f>
        <v>0</v>
      </c>
      <c r="BR201" s="40"/>
      <c r="BS201" s="41"/>
      <c r="BU201" s="62"/>
      <c r="BV201" s="41">
        <f>SUM(BV19:BX19,BV23:BX23,BV26:BX26)*BU201</f>
        <v>0</v>
      </c>
      <c r="BW201" s="40"/>
      <c r="BX201" s="41"/>
      <c r="BZ201" s="61">
        <v>1</v>
      </c>
      <c r="CA201" s="41">
        <f>SUM(CA19:CC19,CA23:CC23,CA26:CC26)*BZ201</f>
        <v>0</v>
      </c>
      <c r="CB201" s="40"/>
      <c r="CC201" s="41"/>
      <c r="CD201" s="140"/>
      <c r="CE201" s="61">
        <v>1</v>
      </c>
      <c r="CF201" s="41">
        <f>SUM(CF19:CH19,CF23:CH23,CF26:CH26)*CE201</f>
        <v>0</v>
      </c>
      <c r="CG201" s="40"/>
      <c r="CH201" s="41"/>
      <c r="CJ201" s="139"/>
      <c r="CK201" s="139"/>
      <c r="CL201" s="139"/>
      <c r="CM201" s="140"/>
      <c r="CO201" s="222"/>
      <c r="CP201" s="40"/>
      <c r="CQ201" s="40"/>
      <c r="CR201" s="41"/>
      <c r="CT201" s="62">
        <v>1</v>
      </c>
      <c r="CU201" s="41">
        <f>CU19*CT201+CV19*CT201+CU23*CT201+CV23*CT201+CU26*CT201+CV26*CT201+CW19*CT201+CW23*CT201+CW26*CT201</f>
        <v>0</v>
      </c>
      <c r="CV201" s="40"/>
      <c r="CW201" s="41"/>
      <c r="CY201" s="62">
        <v>1</v>
      </c>
      <c r="CZ201" s="41">
        <f>SUM(CZ19:DB19,CZ23:DB23,CZ26:DB26)*CY201</f>
        <v>0</v>
      </c>
      <c r="DA201" s="40"/>
      <c r="DB201" s="41"/>
      <c r="DD201" s="40"/>
      <c r="DE201" s="40"/>
      <c r="DF201" s="40"/>
      <c r="DG201" s="41"/>
      <c r="DI201" s="71">
        <v>1</v>
      </c>
      <c r="DJ201" s="41">
        <f>DJ19*DI201+DK19*DI201+DJ23*DI201+DK23*DI201+DJ26*DI201+DK26*DI201+DL19*DI201+DL23*DI201+DL26*DI201</f>
        <v>0</v>
      </c>
      <c r="DK201" s="64"/>
      <c r="DL201" s="64"/>
      <c r="DN201" s="71">
        <v>1</v>
      </c>
      <c r="DO201" s="41">
        <f>DO19*DN201+DP19*DN201+DO23*DN201+DP23*DN201+DO26*DN201+DP26*DN201+DQ19*DN201+DQ23*DN201+DQ26*DN201</f>
        <v>0</v>
      </c>
      <c r="DP201" s="64"/>
      <c r="DQ201" s="64"/>
      <c r="DS201" s="60">
        <v>1</v>
      </c>
      <c r="DT201" s="41">
        <f>DT19*DS201+DU19*DS201+DT23*DS201+DU23*DS201+DT26*DS201+DU26*DS201+DV19*DS201+DV23*DS201+DV26*DS201</f>
        <v>0</v>
      </c>
      <c r="DU201" s="64"/>
      <c r="DV201" s="64"/>
      <c r="DX201" s="60">
        <v>1</v>
      </c>
      <c r="DY201" s="41">
        <f>DY19*DX201+DZ19*DX201+DY23*DX201+DZ23*DX201+DY26*DX201+DZ26*DX201+EA19*DX201+EA23*DX201+EA26*DX201</f>
        <v>0</v>
      </c>
      <c r="DZ201" s="64"/>
      <c r="EA201" s="64"/>
      <c r="EC201" s="60">
        <v>1</v>
      </c>
      <c r="ED201" s="41">
        <f>ED19*EC201+EE19*EC201+ED23*EC201+EE23*EC201+ED26*EC201+EE26*EC201+EF19*EC201+EF23*EC201+EF26*EC201</f>
        <v>0</v>
      </c>
      <c r="EE201" s="64"/>
      <c r="EF201" s="64"/>
      <c r="EH201" s="60">
        <v>1</v>
      </c>
      <c r="EI201" s="41">
        <f>EI19*EH201+EJ19*EH201+EI23*EH201+EJ23*EH201+EI26*EH201+EJ26*EH201+EK19*EH201+EK23*EH201+EK26*EH201</f>
        <v>0</v>
      </c>
      <c r="EJ201" s="64"/>
      <c r="EK201" s="64"/>
      <c r="ER201" s="855"/>
      <c r="EX201" s="203">
        <f t="shared" si="0"/>
        <v>0</v>
      </c>
    </row>
    <row r="202" spans="1:154" s="6" customFormat="1" ht="15" customHeight="1">
      <c r="A202" s="90" t="s">
        <v>211</v>
      </c>
      <c r="B202" s="210" t="s">
        <v>211</v>
      </c>
      <c r="C202" s="473" t="s">
        <v>515</v>
      </c>
      <c r="D202" s="138"/>
      <c r="E202" s="40"/>
      <c r="F202" s="40"/>
      <c r="G202" s="40"/>
      <c r="H202" s="40"/>
      <c r="I202" s="4"/>
      <c r="J202" s="4"/>
      <c r="K202" s="4"/>
      <c r="L202" s="4"/>
      <c r="M202" s="4"/>
      <c r="N202" s="4"/>
      <c r="O202" s="4"/>
      <c r="P202" s="4"/>
      <c r="Q202" s="4"/>
      <c r="R202" s="46"/>
      <c r="S202" s="41"/>
      <c r="T202" s="140"/>
      <c r="U202" s="41"/>
      <c r="W202" s="46"/>
      <c r="X202" s="41"/>
      <c r="Y202" s="41"/>
      <c r="Z202" s="41"/>
      <c r="AB202" s="46"/>
      <c r="AC202" s="41"/>
      <c r="AD202" s="41"/>
      <c r="AE202" s="41"/>
      <c r="AG202" s="46">
        <v>1</v>
      </c>
      <c r="AH202" s="41">
        <f>AH19*AG202+AI19*AG202+AH23*AG202+AI23*AG202+AH26*AG202+AI26*AG202+AJ19*AG202+AJ23*AG202+AJ26*AG202</f>
        <v>0</v>
      </c>
      <c r="AI202" s="41"/>
      <c r="AJ202" s="41"/>
      <c r="AL202" s="46">
        <v>2</v>
      </c>
      <c r="AM202" s="41">
        <f>AM19*AL202+AN19*AL202+AM23*AL202+AN23*AL202+AM26*AL202+AN26*AL202+AO19*AL202+AO23*AL202+AO26*AL202</f>
        <v>0</v>
      </c>
      <c r="AN202" s="41"/>
      <c r="AO202" s="41"/>
      <c r="AQ202" s="46">
        <v>3</v>
      </c>
      <c r="AR202" s="41">
        <f>AR19*AQ202+AS19*AQ202+AR23*AQ202+AS23*AQ202+AR26*AQ202+AS26*AQ202+AT19*AQ202+AT23*AQ202+AT26*AQ202</f>
        <v>0</v>
      </c>
      <c r="AS202" s="41"/>
      <c r="AT202" s="41"/>
      <c r="AV202" s="139"/>
      <c r="AW202" s="139"/>
      <c r="AX202" s="139"/>
      <c r="AY202" s="140"/>
      <c r="BA202" s="139"/>
      <c r="BB202" s="139"/>
      <c r="BC202" s="139"/>
      <c r="BD202" s="41"/>
      <c r="BF202" s="40"/>
      <c r="BG202" s="40"/>
      <c r="BH202" s="40"/>
      <c r="BI202" s="41"/>
      <c r="BK202" s="139"/>
      <c r="BL202" s="139"/>
      <c r="BM202" s="40"/>
      <c r="BN202" s="41"/>
      <c r="BP202" s="40"/>
      <c r="BQ202" s="40"/>
      <c r="BR202" s="40"/>
      <c r="BS202" s="41"/>
      <c r="BU202" s="40">
        <v>1</v>
      </c>
      <c r="BV202" s="40">
        <f>SUM(BV19:BX19,BV23:BX23,BV26:BX26)*BU202</f>
        <v>0</v>
      </c>
      <c r="BW202" s="40"/>
      <c r="BX202" s="41"/>
      <c r="BZ202" s="40"/>
      <c r="CA202" s="40"/>
      <c r="CB202" s="40"/>
      <c r="CC202" s="41"/>
      <c r="CD202" s="140"/>
      <c r="CE202" s="40"/>
      <c r="CF202" s="40"/>
      <c r="CG202" s="40"/>
      <c r="CH202" s="41"/>
      <c r="CJ202" s="139"/>
      <c r="CK202" s="139"/>
      <c r="CL202" s="139"/>
      <c r="CM202" s="140"/>
      <c r="CO202" s="222"/>
      <c r="CP202" s="40"/>
      <c r="CQ202" s="40"/>
      <c r="CR202" s="41"/>
      <c r="CT202" s="40"/>
      <c r="CU202" s="40"/>
      <c r="CV202" s="40"/>
      <c r="CW202" s="41"/>
      <c r="CY202" s="40"/>
      <c r="CZ202" s="40"/>
      <c r="DA202" s="40"/>
      <c r="DB202" s="41"/>
      <c r="DD202" s="40"/>
      <c r="DE202" s="40"/>
      <c r="DF202" s="40"/>
      <c r="DG202" s="41"/>
      <c r="DI202" s="64"/>
      <c r="DJ202" s="64"/>
      <c r="DK202" s="64"/>
      <c r="DL202" s="64"/>
      <c r="DN202" s="64"/>
      <c r="DO202" s="64"/>
      <c r="DP202" s="64"/>
      <c r="DQ202" s="64"/>
      <c r="DS202" s="64"/>
      <c r="DT202" s="64"/>
      <c r="DU202" s="64"/>
      <c r="DV202" s="64"/>
      <c r="DX202" s="64"/>
      <c r="DY202" s="64"/>
      <c r="DZ202" s="64"/>
      <c r="EA202" s="64"/>
      <c r="EC202" s="64"/>
      <c r="ED202" s="64"/>
      <c r="EE202" s="64"/>
      <c r="EF202" s="64"/>
      <c r="EH202" s="64"/>
      <c r="EI202" s="64"/>
      <c r="EJ202" s="64"/>
      <c r="EK202" s="64"/>
      <c r="ER202" s="855"/>
      <c r="EX202" s="203">
        <f t="shared" si="0"/>
        <v>0</v>
      </c>
    </row>
    <row r="203" spans="1:154" s="6" customFormat="1" ht="15" customHeight="1">
      <c r="A203" s="90"/>
      <c r="B203" s="117" t="s">
        <v>1020</v>
      </c>
      <c r="C203" s="4" t="s">
        <v>0</v>
      </c>
      <c r="D203" s="138"/>
      <c r="E203" s="40"/>
      <c r="F203" s="40"/>
      <c r="G203" s="40"/>
      <c r="H203" s="40"/>
      <c r="I203" s="4"/>
      <c r="J203" s="4"/>
      <c r="K203" s="4"/>
      <c r="L203" s="4"/>
      <c r="M203" s="4"/>
      <c r="N203" s="4"/>
      <c r="O203" s="4"/>
      <c r="P203" s="4"/>
      <c r="Q203" s="4"/>
      <c r="R203" s="46"/>
      <c r="S203" s="41"/>
      <c r="T203" s="140"/>
      <c r="U203" s="41"/>
      <c r="W203" s="46"/>
      <c r="X203" s="41"/>
      <c r="Y203" s="41"/>
      <c r="Z203" s="41"/>
      <c r="AB203" s="46"/>
      <c r="AC203" s="41"/>
      <c r="AD203" s="41"/>
      <c r="AE203" s="41"/>
      <c r="AG203" s="46"/>
      <c r="AH203" s="41"/>
      <c r="AI203" s="41"/>
      <c r="AJ203" s="41"/>
      <c r="AL203" s="46"/>
      <c r="AM203" s="41"/>
      <c r="AN203" s="41"/>
      <c r="AO203" s="41"/>
      <c r="AQ203" s="46"/>
      <c r="AR203" s="41"/>
      <c r="AS203" s="41"/>
      <c r="AT203" s="41"/>
      <c r="AV203" s="139"/>
      <c r="AW203" s="139"/>
      <c r="AX203" s="139"/>
      <c r="AY203" s="140"/>
      <c r="BA203" s="139"/>
      <c r="BB203" s="139"/>
      <c r="BC203" s="139"/>
      <c r="BD203" s="41"/>
      <c r="BF203" s="40"/>
      <c r="BG203" s="40"/>
      <c r="BH203" s="40"/>
      <c r="BI203" s="41"/>
      <c r="BK203" s="139"/>
      <c r="BL203" s="139"/>
      <c r="BM203" s="40"/>
      <c r="BN203" s="41"/>
      <c r="BP203" s="40"/>
      <c r="BQ203" s="40"/>
      <c r="BR203" s="40"/>
      <c r="BS203" s="41"/>
      <c r="BU203" s="40">
        <v>1</v>
      </c>
      <c r="BV203" s="40">
        <f>SUM(BV19:BX19,BV23:BX23,BV26:BX26)*BU203</f>
        <v>0</v>
      </c>
      <c r="BW203" s="40"/>
      <c r="BX203" s="41"/>
      <c r="BZ203" s="40"/>
      <c r="CA203" s="40"/>
      <c r="CB203" s="40"/>
      <c r="CC203" s="41"/>
      <c r="CD203" s="140"/>
      <c r="CE203" s="40"/>
      <c r="CF203" s="40"/>
      <c r="CG203" s="40"/>
      <c r="CH203" s="41"/>
      <c r="CJ203" s="139"/>
      <c r="CK203" s="139"/>
      <c r="CL203" s="139"/>
      <c r="CM203" s="140"/>
      <c r="CO203" s="222"/>
      <c r="CP203" s="40"/>
      <c r="CQ203" s="40"/>
      <c r="CR203" s="41"/>
      <c r="CT203" s="40"/>
      <c r="CU203" s="40"/>
      <c r="CV203" s="40"/>
      <c r="CW203" s="41"/>
      <c r="CY203" s="40"/>
      <c r="CZ203" s="40"/>
      <c r="DA203" s="40"/>
      <c r="DB203" s="41"/>
      <c r="DD203" s="40"/>
      <c r="DE203" s="40"/>
      <c r="DF203" s="40"/>
      <c r="DG203" s="41"/>
      <c r="DI203" s="64"/>
      <c r="DJ203" s="64"/>
      <c r="DK203" s="64"/>
      <c r="DL203" s="64"/>
      <c r="DN203" s="64"/>
      <c r="DO203" s="64"/>
      <c r="DP203" s="64"/>
      <c r="DQ203" s="64"/>
      <c r="DS203" s="64"/>
      <c r="DT203" s="64"/>
      <c r="DU203" s="64"/>
      <c r="DV203" s="64"/>
      <c r="DX203" s="64"/>
      <c r="DY203" s="64"/>
      <c r="DZ203" s="64"/>
      <c r="EA203" s="64"/>
      <c r="EC203" s="64"/>
      <c r="ED203" s="64"/>
      <c r="EE203" s="64"/>
      <c r="EF203" s="64"/>
      <c r="EH203" s="64"/>
      <c r="EI203" s="64"/>
      <c r="EJ203" s="64"/>
      <c r="EK203" s="64"/>
      <c r="ER203" s="855"/>
      <c r="EX203" s="203">
        <f t="shared" si="0"/>
        <v>0</v>
      </c>
    </row>
    <row r="204" spans="1:154" s="6" customFormat="1" ht="15" customHeight="1">
      <c r="A204" s="90"/>
      <c r="B204" s="117" t="s">
        <v>1255</v>
      </c>
      <c r="C204" s="4" t="s">
        <v>0</v>
      </c>
      <c r="D204" s="138"/>
      <c r="E204" s="40"/>
      <c r="F204" s="40"/>
      <c r="G204" s="40"/>
      <c r="H204" s="40"/>
      <c r="I204" s="4"/>
      <c r="J204" s="4"/>
      <c r="K204" s="4"/>
      <c r="L204" s="4"/>
      <c r="M204" s="4"/>
      <c r="N204" s="4"/>
      <c r="O204" s="4"/>
      <c r="P204" s="4"/>
      <c r="Q204" s="4"/>
      <c r="R204" s="46"/>
      <c r="S204" s="41"/>
      <c r="T204" s="140"/>
      <c r="U204" s="41"/>
      <c r="W204" s="46"/>
      <c r="X204" s="41"/>
      <c r="Y204" s="41"/>
      <c r="Z204" s="41"/>
      <c r="AB204" s="46"/>
      <c r="AC204" s="41"/>
      <c r="AD204" s="41"/>
      <c r="AE204" s="41"/>
      <c r="AG204" s="46"/>
      <c r="AH204" s="41"/>
      <c r="AI204" s="41"/>
      <c r="AJ204" s="41"/>
      <c r="AL204" s="46"/>
      <c r="AM204" s="41"/>
      <c r="AN204" s="41"/>
      <c r="AO204" s="41"/>
      <c r="AQ204" s="46"/>
      <c r="AR204" s="41"/>
      <c r="AS204" s="41"/>
      <c r="AT204" s="41"/>
      <c r="AV204" s="139"/>
      <c r="AW204" s="139"/>
      <c r="AX204" s="139"/>
      <c r="AY204" s="140"/>
      <c r="BA204" s="139"/>
      <c r="BB204" s="139"/>
      <c r="BC204" s="139"/>
      <c r="BD204" s="41"/>
      <c r="BF204" s="40"/>
      <c r="BG204" s="40"/>
      <c r="BH204" s="40"/>
      <c r="BI204" s="41"/>
      <c r="BK204" s="139"/>
      <c r="BL204" s="139"/>
      <c r="BM204" s="40"/>
      <c r="BN204" s="41"/>
      <c r="BP204" s="40"/>
      <c r="BQ204" s="40"/>
      <c r="BR204" s="40"/>
      <c r="BS204" s="41"/>
      <c r="BU204" s="40"/>
      <c r="BV204" s="40"/>
      <c r="BW204" s="40"/>
      <c r="BX204" s="41"/>
      <c r="BZ204" s="40"/>
      <c r="CA204" s="40"/>
      <c r="CB204" s="40"/>
      <c r="CC204" s="41"/>
      <c r="CD204" s="140"/>
      <c r="CE204" s="40"/>
      <c r="CF204" s="40"/>
      <c r="CG204" s="40"/>
      <c r="CH204" s="41"/>
      <c r="CJ204" s="139"/>
      <c r="CK204" s="139"/>
      <c r="CL204" s="139"/>
      <c r="CM204" s="140"/>
      <c r="CO204" s="222"/>
      <c r="CP204" s="40"/>
      <c r="CQ204" s="40"/>
      <c r="CR204" s="41"/>
      <c r="CT204" s="40"/>
      <c r="CU204" s="40"/>
      <c r="CV204" s="40"/>
      <c r="CW204" s="41"/>
      <c r="CY204" s="40"/>
      <c r="CZ204" s="40"/>
      <c r="DA204" s="40"/>
      <c r="DB204" s="41"/>
      <c r="DD204" s="40"/>
      <c r="DE204" s="40"/>
      <c r="DF204" s="40"/>
      <c r="DG204" s="41"/>
      <c r="DI204" s="64"/>
      <c r="DJ204" s="64"/>
      <c r="DK204" s="64"/>
      <c r="DL204" s="64"/>
      <c r="DN204" s="64"/>
      <c r="DO204" s="64"/>
      <c r="DP204" s="64"/>
      <c r="DQ204" s="64"/>
      <c r="DS204" s="64"/>
      <c r="DT204" s="64"/>
      <c r="DU204" s="64"/>
      <c r="DV204" s="64"/>
      <c r="DX204" s="64"/>
      <c r="DY204" s="64"/>
      <c r="DZ204" s="64"/>
      <c r="EA204" s="64"/>
      <c r="EC204" s="64"/>
      <c r="ED204" s="64"/>
      <c r="EE204" s="64"/>
      <c r="EF204" s="64"/>
      <c r="EH204" s="64"/>
      <c r="EI204" s="64"/>
      <c r="EJ204" s="64"/>
      <c r="EK204" s="64"/>
      <c r="ER204" s="855"/>
      <c r="EX204" s="203">
        <f t="shared" si="0"/>
        <v>0</v>
      </c>
    </row>
    <row r="205" spans="1:154" s="6" customFormat="1" ht="15" customHeight="1">
      <c r="A205" s="90"/>
      <c r="B205" s="117" t="s">
        <v>1256</v>
      </c>
      <c r="C205" s="4" t="s">
        <v>0</v>
      </c>
      <c r="D205" s="138"/>
      <c r="E205" s="40"/>
      <c r="F205" s="40"/>
      <c r="G205" s="40"/>
      <c r="H205" s="40"/>
      <c r="I205" s="4"/>
      <c r="J205" s="4"/>
      <c r="K205" s="4"/>
      <c r="L205" s="4"/>
      <c r="M205" s="4"/>
      <c r="N205" s="4"/>
      <c r="O205" s="4"/>
      <c r="P205" s="4"/>
      <c r="Q205" s="4"/>
      <c r="R205" s="46"/>
      <c r="S205" s="41"/>
      <c r="T205" s="140"/>
      <c r="U205" s="41"/>
      <c r="W205" s="46"/>
      <c r="X205" s="41"/>
      <c r="Y205" s="41"/>
      <c r="Z205" s="41"/>
      <c r="AB205" s="46"/>
      <c r="AC205" s="41"/>
      <c r="AD205" s="41"/>
      <c r="AE205" s="41"/>
      <c r="AG205" s="46"/>
      <c r="AH205" s="41"/>
      <c r="AI205" s="41"/>
      <c r="AJ205" s="41"/>
      <c r="AL205" s="46"/>
      <c r="AM205" s="41"/>
      <c r="AN205" s="41"/>
      <c r="AO205" s="41"/>
      <c r="AQ205" s="46"/>
      <c r="AR205" s="41"/>
      <c r="AS205" s="41"/>
      <c r="AT205" s="41"/>
      <c r="AV205" s="139"/>
      <c r="AW205" s="139"/>
      <c r="AX205" s="139"/>
      <c r="AY205" s="140"/>
      <c r="BA205" s="139"/>
      <c r="BB205" s="139"/>
      <c r="BC205" s="139"/>
      <c r="BD205" s="41"/>
      <c r="BF205" s="40"/>
      <c r="BG205" s="40"/>
      <c r="BH205" s="40"/>
      <c r="BI205" s="41"/>
      <c r="BK205" s="139"/>
      <c r="BL205" s="139"/>
      <c r="BM205" s="40"/>
      <c r="BN205" s="41"/>
      <c r="BP205" s="40"/>
      <c r="BQ205" s="40"/>
      <c r="BR205" s="40"/>
      <c r="BS205" s="41"/>
      <c r="BU205" s="40"/>
      <c r="BV205" s="40"/>
      <c r="BW205" s="40"/>
      <c r="BX205" s="41"/>
      <c r="BZ205" s="40"/>
      <c r="CA205" s="40"/>
      <c r="CB205" s="40"/>
      <c r="CC205" s="41"/>
      <c r="CD205" s="140"/>
      <c r="CE205" s="40"/>
      <c r="CF205" s="40"/>
      <c r="CG205" s="40"/>
      <c r="CH205" s="41"/>
      <c r="CJ205" s="139"/>
      <c r="CK205" s="139"/>
      <c r="CL205" s="139"/>
      <c r="CM205" s="140"/>
      <c r="CO205" s="222"/>
      <c r="CP205" s="40"/>
      <c r="CQ205" s="40"/>
      <c r="CR205" s="41"/>
      <c r="CT205" s="40"/>
      <c r="CU205" s="40"/>
      <c r="CV205" s="40"/>
      <c r="CW205" s="41"/>
      <c r="CY205" s="40"/>
      <c r="CZ205" s="40"/>
      <c r="DA205" s="40"/>
      <c r="DB205" s="41"/>
      <c r="DD205" s="40"/>
      <c r="DE205" s="40"/>
      <c r="DF205" s="40"/>
      <c r="DG205" s="41"/>
      <c r="DI205" s="64"/>
      <c r="DJ205" s="64"/>
      <c r="DK205" s="64"/>
      <c r="DL205" s="64"/>
      <c r="DN205" s="64"/>
      <c r="DO205" s="64"/>
      <c r="DP205" s="64"/>
      <c r="DQ205" s="64"/>
      <c r="DS205" s="64"/>
      <c r="DT205" s="64"/>
      <c r="DU205" s="64"/>
      <c r="DV205" s="64"/>
      <c r="DX205" s="64"/>
      <c r="DY205" s="64"/>
      <c r="DZ205" s="64"/>
      <c r="EA205" s="64"/>
      <c r="EC205" s="64"/>
      <c r="ED205" s="64"/>
      <c r="EE205" s="64"/>
      <c r="EF205" s="64"/>
      <c r="EH205" s="64"/>
      <c r="EI205" s="64"/>
      <c r="EJ205" s="64"/>
      <c r="EK205" s="64"/>
      <c r="ER205" s="855"/>
      <c r="EX205" s="203">
        <f t="shared" si="0"/>
        <v>0</v>
      </c>
    </row>
    <row r="206" spans="1:154" s="6" customFormat="1" ht="15" customHeight="1">
      <c r="A206" s="90"/>
      <c r="B206" s="117" t="s">
        <v>1257</v>
      </c>
      <c r="C206" s="4" t="s">
        <v>0</v>
      </c>
      <c r="D206" s="138"/>
      <c r="E206" s="40"/>
      <c r="F206" s="40"/>
      <c r="G206" s="40"/>
      <c r="H206" s="40"/>
      <c r="I206" s="4"/>
      <c r="J206" s="4"/>
      <c r="K206" s="4"/>
      <c r="L206" s="4"/>
      <c r="M206" s="4"/>
      <c r="N206" s="4"/>
      <c r="O206" s="4"/>
      <c r="P206" s="4"/>
      <c r="Q206" s="4"/>
      <c r="R206" s="46"/>
      <c r="S206" s="41"/>
      <c r="T206" s="140"/>
      <c r="U206" s="41"/>
      <c r="W206" s="46"/>
      <c r="X206" s="41"/>
      <c r="Y206" s="41"/>
      <c r="Z206" s="41"/>
      <c r="AB206" s="46"/>
      <c r="AC206" s="41"/>
      <c r="AD206" s="41"/>
      <c r="AE206" s="41"/>
      <c r="AG206" s="46"/>
      <c r="AH206" s="41"/>
      <c r="AI206" s="41"/>
      <c r="AJ206" s="41"/>
      <c r="AL206" s="46"/>
      <c r="AM206" s="41"/>
      <c r="AN206" s="41"/>
      <c r="AO206" s="41"/>
      <c r="AQ206" s="46"/>
      <c r="AR206" s="41"/>
      <c r="AS206" s="41"/>
      <c r="AT206" s="41"/>
      <c r="AV206" s="139"/>
      <c r="AW206" s="139"/>
      <c r="AX206" s="139"/>
      <c r="AY206" s="140"/>
      <c r="BA206" s="139"/>
      <c r="BB206" s="139"/>
      <c r="BC206" s="139"/>
      <c r="BD206" s="41"/>
      <c r="BF206" s="40"/>
      <c r="BG206" s="40"/>
      <c r="BH206" s="40"/>
      <c r="BI206" s="41"/>
      <c r="BK206" s="139"/>
      <c r="BL206" s="139"/>
      <c r="BM206" s="40"/>
      <c r="BN206" s="41"/>
      <c r="BP206" s="40"/>
      <c r="BQ206" s="40"/>
      <c r="BR206" s="40"/>
      <c r="BS206" s="41"/>
      <c r="BU206" s="40"/>
      <c r="BV206" s="40"/>
      <c r="BW206" s="40"/>
      <c r="BX206" s="41"/>
      <c r="BZ206" s="40"/>
      <c r="CA206" s="40"/>
      <c r="CB206" s="40"/>
      <c r="CC206" s="41"/>
      <c r="CD206" s="140"/>
      <c r="CE206" s="40"/>
      <c r="CF206" s="40"/>
      <c r="CG206" s="40"/>
      <c r="CH206" s="41"/>
      <c r="CJ206" s="139"/>
      <c r="CK206" s="139"/>
      <c r="CL206" s="139"/>
      <c r="CM206" s="140"/>
      <c r="CO206" s="222"/>
      <c r="CP206" s="40"/>
      <c r="CQ206" s="40"/>
      <c r="CR206" s="41"/>
      <c r="CT206" s="40"/>
      <c r="CU206" s="40"/>
      <c r="CV206" s="40"/>
      <c r="CW206" s="41"/>
      <c r="CY206" s="40"/>
      <c r="CZ206" s="40"/>
      <c r="DA206" s="40"/>
      <c r="DB206" s="41"/>
      <c r="DD206" s="40"/>
      <c r="DE206" s="40"/>
      <c r="DF206" s="40"/>
      <c r="DG206" s="41"/>
      <c r="DI206" s="64"/>
      <c r="DJ206" s="64"/>
      <c r="DK206" s="64"/>
      <c r="DL206" s="64"/>
      <c r="DN206" s="64"/>
      <c r="DO206" s="64"/>
      <c r="DP206" s="64"/>
      <c r="DQ206" s="64"/>
      <c r="DS206" s="64"/>
      <c r="DT206" s="64"/>
      <c r="DU206" s="64"/>
      <c r="DV206" s="64"/>
      <c r="DX206" s="64"/>
      <c r="DY206" s="64"/>
      <c r="DZ206" s="64"/>
      <c r="EA206" s="64"/>
      <c r="EC206" s="64"/>
      <c r="ED206" s="64"/>
      <c r="EE206" s="64"/>
      <c r="EF206" s="64"/>
      <c r="EH206" s="64"/>
      <c r="EI206" s="64"/>
      <c r="EJ206" s="64"/>
      <c r="EK206" s="64"/>
      <c r="ER206" s="855"/>
      <c r="EX206" s="203">
        <f t="shared" si="0"/>
        <v>0</v>
      </c>
    </row>
    <row r="207" spans="1:154" s="6" customFormat="1" ht="15" customHeight="1">
      <c r="A207" s="90"/>
      <c r="B207" s="117" t="s">
        <v>1258</v>
      </c>
      <c r="C207" s="4" t="s">
        <v>0</v>
      </c>
      <c r="D207" s="138"/>
      <c r="E207" s="40"/>
      <c r="F207" s="40"/>
      <c r="G207" s="40"/>
      <c r="H207" s="40"/>
      <c r="I207" s="4"/>
      <c r="J207" s="4"/>
      <c r="K207" s="4"/>
      <c r="L207" s="4"/>
      <c r="M207" s="4"/>
      <c r="N207" s="4"/>
      <c r="O207" s="4"/>
      <c r="P207" s="4"/>
      <c r="Q207" s="4"/>
      <c r="R207" s="46"/>
      <c r="S207" s="41"/>
      <c r="T207" s="140"/>
      <c r="U207" s="41"/>
      <c r="W207" s="46"/>
      <c r="X207" s="41"/>
      <c r="Y207" s="41"/>
      <c r="Z207" s="41"/>
      <c r="AB207" s="46"/>
      <c r="AC207" s="41"/>
      <c r="AD207" s="41"/>
      <c r="AE207" s="41"/>
      <c r="AG207" s="46"/>
      <c r="AH207" s="41"/>
      <c r="AI207" s="41"/>
      <c r="AJ207" s="41"/>
      <c r="AL207" s="46"/>
      <c r="AM207" s="41"/>
      <c r="AN207" s="41"/>
      <c r="AO207" s="41"/>
      <c r="AQ207" s="46"/>
      <c r="AR207" s="41"/>
      <c r="AS207" s="41"/>
      <c r="AT207" s="41"/>
      <c r="AV207" s="139"/>
      <c r="AW207" s="139"/>
      <c r="AX207" s="139"/>
      <c r="AY207" s="140"/>
      <c r="BA207" s="139"/>
      <c r="BB207" s="139"/>
      <c r="BC207" s="139"/>
      <c r="BD207" s="41"/>
      <c r="BF207" s="40"/>
      <c r="BG207" s="40"/>
      <c r="BH207" s="40"/>
      <c r="BI207" s="41"/>
      <c r="BK207" s="139"/>
      <c r="BL207" s="139"/>
      <c r="BM207" s="40"/>
      <c r="BN207" s="41"/>
      <c r="BP207" s="40"/>
      <c r="BQ207" s="40"/>
      <c r="BR207" s="40"/>
      <c r="BS207" s="41"/>
      <c r="BU207" s="40"/>
      <c r="BV207" s="40"/>
      <c r="BW207" s="40"/>
      <c r="BX207" s="41"/>
      <c r="BZ207" s="40"/>
      <c r="CA207" s="40"/>
      <c r="CB207" s="40"/>
      <c r="CC207" s="41"/>
      <c r="CD207" s="140"/>
      <c r="CE207" s="40"/>
      <c r="CF207" s="40"/>
      <c r="CG207" s="40"/>
      <c r="CH207" s="41"/>
      <c r="CJ207" s="139"/>
      <c r="CK207" s="139"/>
      <c r="CL207" s="139"/>
      <c r="CM207" s="140"/>
      <c r="CO207" s="222"/>
      <c r="CP207" s="40"/>
      <c r="CQ207" s="40"/>
      <c r="CR207" s="41"/>
      <c r="CT207" s="40"/>
      <c r="CU207" s="40"/>
      <c r="CV207" s="40"/>
      <c r="CW207" s="41"/>
      <c r="CY207" s="40"/>
      <c r="CZ207" s="40"/>
      <c r="DA207" s="40"/>
      <c r="DB207" s="41"/>
      <c r="DD207" s="40"/>
      <c r="DE207" s="40"/>
      <c r="DF207" s="40"/>
      <c r="DG207" s="41"/>
      <c r="DI207" s="64"/>
      <c r="DJ207" s="64"/>
      <c r="DK207" s="64"/>
      <c r="DL207" s="64"/>
      <c r="DN207" s="64"/>
      <c r="DO207" s="64"/>
      <c r="DP207" s="64"/>
      <c r="DQ207" s="64"/>
      <c r="DS207" s="64"/>
      <c r="DT207" s="64"/>
      <c r="DU207" s="64"/>
      <c r="DV207" s="64"/>
      <c r="DX207" s="64"/>
      <c r="DY207" s="64"/>
      <c r="DZ207" s="64"/>
      <c r="EA207" s="64"/>
      <c r="EC207" s="64"/>
      <c r="ED207" s="64"/>
      <c r="EE207" s="64"/>
      <c r="EF207" s="64"/>
      <c r="EH207" s="64"/>
      <c r="EI207" s="64"/>
      <c r="EJ207" s="64"/>
      <c r="EK207" s="64"/>
      <c r="ER207" s="855"/>
      <c r="EX207" s="203">
        <f t="shared" si="0"/>
        <v>0</v>
      </c>
    </row>
    <row r="208" spans="1:154" s="6" customFormat="1" ht="15" customHeight="1">
      <c r="A208" s="90"/>
      <c r="B208" s="210" t="s">
        <v>1259</v>
      </c>
      <c r="C208" s="4" t="s">
        <v>0</v>
      </c>
      <c r="D208" s="138"/>
      <c r="E208" s="40"/>
      <c r="F208" s="40"/>
      <c r="G208" s="40"/>
      <c r="H208" s="40"/>
      <c r="I208" s="4"/>
      <c r="J208" s="4"/>
      <c r="K208" s="4"/>
      <c r="L208" s="4"/>
      <c r="M208" s="4"/>
      <c r="N208" s="4"/>
      <c r="O208" s="4"/>
      <c r="P208" s="4"/>
      <c r="Q208" s="4"/>
      <c r="R208" s="46"/>
      <c r="S208" s="41"/>
      <c r="T208" s="140"/>
      <c r="U208" s="41"/>
      <c r="W208" s="46"/>
      <c r="X208" s="41"/>
      <c r="Y208" s="41"/>
      <c r="Z208" s="41"/>
      <c r="AB208" s="46"/>
      <c r="AC208" s="41"/>
      <c r="AD208" s="41"/>
      <c r="AE208" s="41"/>
      <c r="AG208" s="46"/>
      <c r="AH208" s="41"/>
      <c r="AI208" s="41"/>
      <c r="AJ208" s="41"/>
      <c r="AL208" s="46"/>
      <c r="AM208" s="41"/>
      <c r="AN208" s="41"/>
      <c r="AO208" s="41"/>
      <c r="AQ208" s="46"/>
      <c r="AR208" s="41"/>
      <c r="AS208" s="41"/>
      <c r="AT208" s="41"/>
      <c r="AV208" s="139"/>
      <c r="AW208" s="139"/>
      <c r="AX208" s="139"/>
      <c r="AY208" s="140"/>
      <c r="BA208" s="139"/>
      <c r="BB208" s="139"/>
      <c r="BC208" s="139"/>
      <c r="BD208" s="41"/>
      <c r="BF208" s="40"/>
      <c r="BG208" s="40"/>
      <c r="BH208" s="40"/>
      <c r="BI208" s="41"/>
      <c r="BK208" s="139"/>
      <c r="BL208" s="139"/>
      <c r="BM208" s="40"/>
      <c r="BN208" s="41"/>
      <c r="BP208" s="40"/>
      <c r="BQ208" s="40"/>
      <c r="BR208" s="40"/>
      <c r="BS208" s="41"/>
      <c r="BU208" s="40"/>
      <c r="BV208" s="40"/>
      <c r="BW208" s="40"/>
      <c r="BX208" s="41"/>
      <c r="BZ208" s="40"/>
      <c r="CA208" s="40"/>
      <c r="CB208" s="40"/>
      <c r="CC208" s="41"/>
      <c r="CD208" s="140"/>
      <c r="CE208" s="40"/>
      <c r="CF208" s="40"/>
      <c r="CG208" s="40"/>
      <c r="CH208" s="41"/>
      <c r="CJ208" s="139"/>
      <c r="CK208" s="139"/>
      <c r="CL208" s="139"/>
      <c r="CM208" s="140"/>
      <c r="CO208" s="222"/>
      <c r="CP208" s="40"/>
      <c r="CQ208" s="40"/>
      <c r="CR208" s="41"/>
      <c r="CT208" s="40"/>
      <c r="CU208" s="40"/>
      <c r="CV208" s="40"/>
      <c r="CW208" s="41"/>
      <c r="CY208" s="40"/>
      <c r="CZ208" s="40"/>
      <c r="DA208" s="40"/>
      <c r="DB208" s="41"/>
      <c r="DD208" s="40"/>
      <c r="DE208" s="40"/>
      <c r="DF208" s="40"/>
      <c r="DG208" s="41"/>
      <c r="DI208" s="64"/>
      <c r="DJ208" s="64"/>
      <c r="DK208" s="64"/>
      <c r="DL208" s="64"/>
      <c r="DN208" s="64"/>
      <c r="DO208" s="64"/>
      <c r="DP208" s="64"/>
      <c r="DQ208" s="64"/>
      <c r="DS208" s="64"/>
      <c r="DT208" s="64"/>
      <c r="DU208" s="64"/>
      <c r="DV208" s="64"/>
      <c r="DX208" s="64"/>
      <c r="DY208" s="64"/>
      <c r="DZ208" s="64"/>
      <c r="EA208" s="64"/>
      <c r="EC208" s="64"/>
      <c r="ED208" s="64"/>
      <c r="EE208" s="64"/>
      <c r="EF208" s="64"/>
      <c r="EH208" s="64"/>
      <c r="EI208" s="64"/>
      <c r="EJ208" s="64"/>
      <c r="EK208" s="64"/>
      <c r="ER208" s="855"/>
      <c r="EX208" s="203">
        <f t="shared" si="0"/>
        <v>0</v>
      </c>
    </row>
    <row r="209" spans="1:155" s="6" customFormat="1" ht="15" customHeight="1">
      <c r="A209" s="90"/>
      <c r="B209" s="210" t="s">
        <v>1260</v>
      </c>
      <c r="C209" s="4" t="s">
        <v>0</v>
      </c>
      <c r="D209" s="138"/>
      <c r="E209" s="40"/>
      <c r="F209" s="40"/>
      <c r="G209" s="40"/>
      <c r="H209" s="40"/>
      <c r="I209" s="4"/>
      <c r="J209" s="4"/>
      <c r="K209" s="4"/>
      <c r="L209" s="4"/>
      <c r="M209" s="4"/>
      <c r="N209" s="4"/>
      <c r="O209" s="4"/>
      <c r="P209" s="4"/>
      <c r="Q209" s="4"/>
      <c r="R209" s="46"/>
      <c r="S209" s="41"/>
      <c r="T209" s="140"/>
      <c r="U209" s="41"/>
      <c r="W209" s="46"/>
      <c r="X209" s="41"/>
      <c r="Y209" s="41"/>
      <c r="Z209" s="41"/>
      <c r="AB209" s="46"/>
      <c r="AC209" s="41"/>
      <c r="AD209" s="41"/>
      <c r="AE209" s="41"/>
      <c r="AG209" s="46"/>
      <c r="AH209" s="41"/>
      <c r="AI209" s="41"/>
      <c r="AJ209" s="41"/>
      <c r="AL209" s="46"/>
      <c r="AM209" s="41"/>
      <c r="AN209" s="41"/>
      <c r="AO209" s="41"/>
      <c r="AQ209" s="46"/>
      <c r="AR209" s="41"/>
      <c r="AS209" s="41"/>
      <c r="AT209" s="41"/>
      <c r="AV209" s="139"/>
      <c r="AW209" s="139"/>
      <c r="AX209" s="139"/>
      <c r="AY209" s="140"/>
      <c r="BA209" s="139"/>
      <c r="BB209" s="139"/>
      <c r="BC209" s="139"/>
      <c r="BD209" s="41"/>
      <c r="BF209" s="40"/>
      <c r="BG209" s="40"/>
      <c r="BH209" s="40"/>
      <c r="BI209" s="41"/>
      <c r="BK209" s="139"/>
      <c r="BL209" s="139"/>
      <c r="BM209" s="40"/>
      <c r="BN209" s="41"/>
      <c r="BP209" s="40"/>
      <c r="BQ209" s="40"/>
      <c r="BR209" s="40"/>
      <c r="BS209" s="41"/>
      <c r="BU209" s="40"/>
      <c r="BV209" s="40"/>
      <c r="BW209" s="40"/>
      <c r="BX209" s="41"/>
      <c r="BZ209" s="40"/>
      <c r="CA209" s="40"/>
      <c r="CB209" s="40"/>
      <c r="CC209" s="41"/>
      <c r="CD209" s="140"/>
      <c r="CE209" s="40"/>
      <c r="CF209" s="40"/>
      <c r="CG209" s="40"/>
      <c r="CH209" s="41"/>
      <c r="CJ209" s="139"/>
      <c r="CK209" s="139"/>
      <c r="CL209" s="139"/>
      <c r="CM209" s="140"/>
      <c r="CO209" s="222"/>
      <c r="CP209" s="40"/>
      <c r="CQ209" s="40"/>
      <c r="CR209" s="41"/>
      <c r="CT209" s="40"/>
      <c r="CU209" s="40"/>
      <c r="CV209" s="40"/>
      <c r="CW209" s="41"/>
      <c r="CY209" s="40"/>
      <c r="CZ209" s="40"/>
      <c r="DA209" s="40"/>
      <c r="DB209" s="41"/>
      <c r="DD209" s="40"/>
      <c r="DE209" s="40"/>
      <c r="DF209" s="40"/>
      <c r="DG209" s="41"/>
      <c r="DI209" s="64"/>
      <c r="DJ209" s="64"/>
      <c r="DK209" s="64"/>
      <c r="DL209" s="64"/>
      <c r="DN209" s="64"/>
      <c r="DO209" s="64"/>
      <c r="DP209" s="64"/>
      <c r="DQ209" s="64"/>
      <c r="DS209" s="64"/>
      <c r="DT209" s="64"/>
      <c r="DU209" s="64"/>
      <c r="DV209" s="64"/>
      <c r="DX209" s="64"/>
      <c r="DY209" s="64"/>
      <c r="DZ209" s="64"/>
      <c r="EA209" s="64"/>
      <c r="EC209" s="64"/>
      <c r="ED209" s="64"/>
      <c r="EE209" s="64"/>
      <c r="EF209" s="64"/>
      <c r="EH209" s="64"/>
      <c r="EI209" s="64"/>
      <c r="EJ209" s="64"/>
      <c r="EK209" s="64"/>
      <c r="ER209" s="855"/>
      <c r="EX209" s="203">
        <f t="shared" si="0"/>
        <v>0</v>
      </c>
    </row>
    <row r="210" spans="1:155" s="6" customFormat="1" ht="15" customHeight="1">
      <c r="A210" s="90"/>
      <c r="B210" s="210" t="s">
        <v>1261</v>
      </c>
      <c r="C210" s="4" t="s">
        <v>0</v>
      </c>
      <c r="D210" s="138"/>
      <c r="E210" s="40"/>
      <c r="F210" s="40"/>
      <c r="G210" s="40"/>
      <c r="H210" s="40"/>
      <c r="I210" s="4"/>
      <c r="J210" s="4"/>
      <c r="K210" s="4"/>
      <c r="L210" s="4"/>
      <c r="M210" s="4"/>
      <c r="N210" s="4"/>
      <c r="O210" s="4"/>
      <c r="P210" s="4"/>
      <c r="Q210" s="4"/>
      <c r="R210" s="46"/>
      <c r="S210" s="41"/>
      <c r="T210" s="140"/>
      <c r="U210" s="41"/>
      <c r="W210" s="46"/>
      <c r="X210" s="41"/>
      <c r="Y210" s="41"/>
      <c r="Z210" s="41"/>
      <c r="AB210" s="46"/>
      <c r="AC210" s="41"/>
      <c r="AD210" s="41"/>
      <c r="AE210" s="41"/>
      <c r="AG210" s="46"/>
      <c r="AH210" s="41"/>
      <c r="AI210" s="41"/>
      <c r="AJ210" s="41"/>
      <c r="AL210" s="46"/>
      <c r="AM210" s="41"/>
      <c r="AN210" s="41"/>
      <c r="AO210" s="41"/>
      <c r="AQ210" s="46"/>
      <c r="AR210" s="41"/>
      <c r="AS210" s="41"/>
      <c r="AT210" s="41"/>
      <c r="AV210" s="139"/>
      <c r="AW210" s="139"/>
      <c r="AX210" s="139"/>
      <c r="AY210" s="140"/>
      <c r="BA210" s="139"/>
      <c r="BB210" s="139"/>
      <c r="BC210" s="139"/>
      <c r="BD210" s="41"/>
      <c r="BF210" s="40"/>
      <c r="BG210" s="40"/>
      <c r="BH210" s="40"/>
      <c r="BI210" s="41"/>
      <c r="BK210" s="139"/>
      <c r="BL210" s="139"/>
      <c r="BM210" s="40"/>
      <c r="BN210" s="41"/>
      <c r="BP210" s="40"/>
      <c r="BQ210" s="40"/>
      <c r="BR210" s="40"/>
      <c r="BS210" s="41"/>
      <c r="BU210" s="40"/>
      <c r="BV210" s="40"/>
      <c r="BW210" s="40"/>
      <c r="BX210" s="41"/>
      <c r="BZ210" s="40"/>
      <c r="CA210" s="40"/>
      <c r="CB210" s="40"/>
      <c r="CC210" s="41"/>
      <c r="CD210" s="140"/>
      <c r="CE210" s="40"/>
      <c r="CF210" s="40"/>
      <c r="CG210" s="40"/>
      <c r="CH210" s="41"/>
      <c r="CJ210" s="139"/>
      <c r="CK210" s="139"/>
      <c r="CL210" s="139"/>
      <c r="CM210" s="140"/>
      <c r="CO210" s="222"/>
      <c r="CP210" s="40"/>
      <c r="CQ210" s="40"/>
      <c r="CR210" s="41"/>
      <c r="CT210" s="40"/>
      <c r="CU210" s="40"/>
      <c r="CV210" s="40"/>
      <c r="CW210" s="41"/>
      <c r="CY210" s="40"/>
      <c r="CZ210" s="40"/>
      <c r="DA210" s="40"/>
      <c r="DB210" s="41"/>
      <c r="DD210" s="40"/>
      <c r="DE210" s="40"/>
      <c r="DF210" s="40"/>
      <c r="DG210" s="41"/>
      <c r="DI210" s="64"/>
      <c r="DJ210" s="64"/>
      <c r="DK210" s="64"/>
      <c r="DL210" s="64"/>
      <c r="DN210" s="64"/>
      <c r="DO210" s="64"/>
      <c r="DP210" s="64"/>
      <c r="DQ210" s="64"/>
      <c r="DS210" s="64"/>
      <c r="DT210" s="64"/>
      <c r="DU210" s="64"/>
      <c r="DV210" s="64"/>
      <c r="DX210" s="64"/>
      <c r="DY210" s="64"/>
      <c r="DZ210" s="64"/>
      <c r="EA210" s="64"/>
      <c r="EC210" s="64"/>
      <c r="ED210" s="64"/>
      <c r="EE210" s="64"/>
      <c r="EF210" s="64"/>
      <c r="EH210" s="64"/>
      <c r="EI210" s="64"/>
      <c r="EJ210" s="64"/>
      <c r="EK210" s="64"/>
      <c r="ER210" s="855"/>
      <c r="EX210" s="203">
        <f t="shared" si="0"/>
        <v>0</v>
      </c>
    </row>
    <row r="211" spans="1:155" s="6" customFormat="1" ht="15" customHeight="1">
      <c r="A211" s="90"/>
      <c r="B211" s="210" t="s">
        <v>1262</v>
      </c>
      <c r="C211" s="4" t="s">
        <v>0</v>
      </c>
      <c r="D211" s="138"/>
      <c r="E211" s="40"/>
      <c r="F211" s="40"/>
      <c r="G211" s="40"/>
      <c r="H211" s="40"/>
      <c r="I211" s="4"/>
      <c r="J211" s="4"/>
      <c r="K211" s="4"/>
      <c r="L211" s="4"/>
      <c r="M211" s="4"/>
      <c r="N211" s="4"/>
      <c r="O211" s="4"/>
      <c r="P211" s="4"/>
      <c r="Q211" s="4"/>
      <c r="R211" s="46"/>
      <c r="S211" s="41"/>
      <c r="T211" s="140"/>
      <c r="U211" s="41"/>
      <c r="W211" s="46"/>
      <c r="X211" s="41"/>
      <c r="Y211" s="41"/>
      <c r="Z211" s="41"/>
      <c r="AB211" s="46"/>
      <c r="AC211" s="41"/>
      <c r="AD211" s="41"/>
      <c r="AE211" s="41"/>
      <c r="AG211" s="46"/>
      <c r="AH211" s="41"/>
      <c r="AI211" s="41"/>
      <c r="AJ211" s="41"/>
      <c r="AL211" s="46"/>
      <c r="AM211" s="41"/>
      <c r="AN211" s="41"/>
      <c r="AO211" s="41"/>
      <c r="AQ211" s="46"/>
      <c r="AR211" s="41"/>
      <c r="AS211" s="41"/>
      <c r="AT211" s="41"/>
      <c r="AV211" s="139"/>
      <c r="AW211" s="139"/>
      <c r="AX211" s="139"/>
      <c r="AY211" s="140"/>
      <c r="BA211" s="139"/>
      <c r="BB211" s="139"/>
      <c r="BC211" s="139"/>
      <c r="BD211" s="41"/>
      <c r="BF211" s="40"/>
      <c r="BG211" s="40"/>
      <c r="BH211" s="40"/>
      <c r="BI211" s="41"/>
      <c r="BK211" s="139"/>
      <c r="BL211" s="139"/>
      <c r="BM211" s="40"/>
      <c r="BN211" s="41"/>
      <c r="BP211" s="40"/>
      <c r="BQ211" s="40"/>
      <c r="BR211" s="40"/>
      <c r="BS211" s="41"/>
      <c r="BU211" s="40"/>
      <c r="BV211" s="40"/>
      <c r="BW211" s="40"/>
      <c r="BX211" s="41"/>
      <c r="BZ211" s="40"/>
      <c r="CA211" s="40"/>
      <c r="CB211" s="40"/>
      <c r="CC211" s="41"/>
      <c r="CD211" s="140"/>
      <c r="CE211" s="40"/>
      <c r="CF211" s="40"/>
      <c r="CG211" s="40"/>
      <c r="CH211" s="41"/>
      <c r="CJ211" s="139"/>
      <c r="CK211" s="139"/>
      <c r="CL211" s="139"/>
      <c r="CM211" s="140"/>
      <c r="CO211" s="222"/>
      <c r="CP211" s="40"/>
      <c r="CQ211" s="40"/>
      <c r="CR211" s="41"/>
      <c r="CT211" s="40"/>
      <c r="CU211" s="40"/>
      <c r="CV211" s="40"/>
      <c r="CW211" s="41"/>
      <c r="CY211" s="40"/>
      <c r="CZ211" s="40"/>
      <c r="DA211" s="40"/>
      <c r="DB211" s="41"/>
      <c r="DD211" s="40"/>
      <c r="DE211" s="40"/>
      <c r="DF211" s="40"/>
      <c r="DG211" s="41"/>
      <c r="DI211" s="64"/>
      <c r="DJ211" s="64"/>
      <c r="DK211" s="64"/>
      <c r="DL211" s="64"/>
      <c r="DN211" s="64"/>
      <c r="DO211" s="64"/>
      <c r="DP211" s="64"/>
      <c r="DQ211" s="64"/>
      <c r="DS211" s="64"/>
      <c r="DT211" s="64"/>
      <c r="DU211" s="64"/>
      <c r="DV211" s="64"/>
      <c r="DX211" s="64"/>
      <c r="DY211" s="64"/>
      <c r="DZ211" s="64"/>
      <c r="EA211" s="64"/>
      <c r="EC211" s="64"/>
      <c r="ED211" s="64"/>
      <c r="EE211" s="64"/>
      <c r="EF211" s="64"/>
      <c r="EH211" s="64"/>
      <c r="EI211" s="64"/>
      <c r="EJ211" s="64"/>
      <c r="EK211" s="64"/>
      <c r="ER211" s="855"/>
      <c r="EX211" s="203">
        <f t="shared" ref="EX211:EX279" si="1">IF(EY211=13,0,K211+N211+O211+P211+S211+T211+X211+EN211+AC211+AH211+AM211+AR211+AW211+BB211+BG211+ET211+BL211+BQ211+BV211+CA211+CF211+CK211+CP211+CU211+CZ211+DE211+DJ211+DO211+DT211+DY211+ED211+EI211+EU211+F211+EV211)</f>
        <v>0</v>
      </c>
    </row>
    <row r="212" spans="1:155" s="6" customFormat="1" ht="15" customHeight="1">
      <c r="A212" s="90"/>
      <c r="B212" s="210" t="s">
        <v>1263</v>
      </c>
      <c r="C212" s="4" t="s">
        <v>0</v>
      </c>
      <c r="D212" s="138"/>
      <c r="E212" s="40"/>
      <c r="F212" s="40"/>
      <c r="G212" s="40"/>
      <c r="H212" s="40"/>
      <c r="I212" s="4"/>
      <c r="J212" s="4"/>
      <c r="K212" s="4"/>
      <c r="L212" s="4"/>
      <c r="M212" s="4"/>
      <c r="N212" s="4"/>
      <c r="O212" s="4"/>
      <c r="P212" s="4"/>
      <c r="Q212" s="4"/>
      <c r="R212" s="46"/>
      <c r="S212" s="41"/>
      <c r="T212" s="140"/>
      <c r="U212" s="41"/>
      <c r="W212" s="46"/>
      <c r="X212" s="41"/>
      <c r="Y212" s="41"/>
      <c r="Z212" s="41"/>
      <c r="AB212" s="46"/>
      <c r="AC212" s="41"/>
      <c r="AD212" s="41"/>
      <c r="AE212" s="41"/>
      <c r="AG212" s="46"/>
      <c r="AH212" s="41"/>
      <c r="AI212" s="41"/>
      <c r="AJ212" s="41"/>
      <c r="AL212" s="46"/>
      <c r="AM212" s="41"/>
      <c r="AN212" s="41"/>
      <c r="AO212" s="41"/>
      <c r="AQ212" s="46"/>
      <c r="AR212" s="41"/>
      <c r="AS212" s="41"/>
      <c r="AT212" s="41"/>
      <c r="AV212" s="139"/>
      <c r="AW212" s="139"/>
      <c r="AX212" s="139"/>
      <c r="AY212" s="140"/>
      <c r="BA212" s="139"/>
      <c r="BB212" s="139"/>
      <c r="BC212" s="139"/>
      <c r="BD212" s="41"/>
      <c r="BF212" s="40"/>
      <c r="BG212" s="40"/>
      <c r="BH212" s="40"/>
      <c r="BI212" s="41"/>
      <c r="BK212" s="139"/>
      <c r="BL212" s="139"/>
      <c r="BM212" s="40"/>
      <c r="BN212" s="41"/>
      <c r="BP212" s="40"/>
      <c r="BQ212" s="40"/>
      <c r="BR212" s="40"/>
      <c r="BS212" s="41"/>
      <c r="BU212" s="40"/>
      <c r="BV212" s="40"/>
      <c r="BW212" s="40"/>
      <c r="BX212" s="41"/>
      <c r="BZ212" s="40"/>
      <c r="CA212" s="40"/>
      <c r="CB212" s="40"/>
      <c r="CC212" s="41"/>
      <c r="CD212" s="140"/>
      <c r="CE212" s="40"/>
      <c r="CF212" s="40"/>
      <c r="CG212" s="40"/>
      <c r="CH212" s="41"/>
      <c r="CJ212" s="139"/>
      <c r="CK212" s="139"/>
      <c r="CL212" s="139"/>
      <c r="CM212" s="140"/>
      <c r="CO212" s="222"/>
      <c r="CP212" s="40"/>
      <c r="CQ212" s="40"/>
      <c r="CR212" s="41"/>
      <c r="CT212" s="40"/>
      <c r="CU212" s="40"/>
      <c r="CV212" s="40"/>
      <c r="CW212" s="41"/>
      <c r="CY212" s="40"/>
      <c r="CZ212" s="40"/>
      <c r="DA212" s="40"/>
      <c r="DB212" s="41"/>
      <c r="DD212" s="40"/>
      <c r="DE212" s="40"/>
      <c r="DF212" s="40"/>
      <c r="DG212" s="41"/>
      <c r="DI212" s="64"/>
      <c r="DJ212" s="64"/>
      <c r="DK212" s="64"/>
      <c r="DL212" s="64"/>
      <c r="DN212" s="64"/>
      <c r="DO212" s="64"/>
      <c r="DP212" s="64"/>
      <c r="DQ212" s="64"/>
      <c r="DS212" s="64"/>
      <c r="DT212" s="64"/>
      <c r="DU212" s="64"/>
      <c r="DV212" s="64"/>
      <c r="DX212" s="64"/>
      <c r="DY212" s="64"/>
      <c r="DZ212" s="64"/>
      <c r="EA212" s="64"/>
      <c r="EC212" s="64"/>
      <c r="ED212" s="64"/>
      <c r="EE212" s="64"/>
      <c r="EF212" s="64"/>
      <c r="EH212" s="64"/>
      <c r="EI212" s="64"/>
      <c r="EJ212" s="64"/>
      <c r="EK212" s="64"/>
      <c r="ER212" s="855"/>
      <c r="EX212" s="203">
        <f t="shared" si="1"/>
        <v>0</v>
      </c>
    </row>
    <row r="213" spans="1:155" s="6" customFormat="1" ht="15" customHeight="1">
      <c r="A213" s="90" t="s">
        <v>134</v>
      </c>
      <c r="B213" s="210" t="s">
        <v>381</v>
      </c>
      <c r="C213" s="473" t="s">
        <v>517</v>
      </c>
      <c r="D213" s="138"/>
      <c r="E213" s="62"/>
      <c r="F213" s="41"/>
      <c r="G213" s="41"/>
      <c r="H213" s="41"/>
      <c r="I213" s="4"/>
      <c r="J213" s="4"/>
      <c r="K213" s="4"/>
      <c r="L213" s="4"/>
      <c r="M213" s="4"/>
      <c r="N213" s="4"/>
      <c r="O213" s="4"/>
      <c r="P213" s="4"/>
      <c r="Q213" s="4"/>
      <c r="R213" s="46">
        <v>1</v>
      </c>
      <c r="S213" s="41">
        <f>S7*R213+T7*R213+S8*R213+T8*R213+S11*R213+T11*R213+S12*R213+T12*R213+S14*R213+T14*R213+S15*R213+T15*R213+S18*R213+T18*R213+S19*R213+T19*R213+S22*R213+T22*R213+S23*R213+T23*R213+S25*R213+T25*R213+S26*R213+T26*R213+U7*R213+U8*R213+U11*R213+U12*R213+U14*R213+U15*R213+U18*R213+U19*R213+U22*R213+U23*R213+U25*R213+U26*R213</f>
        <v>0</v>
      </c>
      <c r="T213" s="140"/>
      <c r="U213" s="41"/>
      <c r="W213" s="46">
        <v>1</v>
      </c>
      <c r="X213" s="41">
        <f>X7*W213+Y7*W213+X8*W213+Y8*W213+X11*W213+Y11*W213+X12*W213+Y12*W213+X14*W213+Y14*W213+X15*W213+Y15*W213+X18*W213+Y18*W213+X19*W213+Y19*W213+X22*W213+Y22*W213+X23*W213+Y23*W213+X25*W213+Y25*W213+X26*W213+Y26*W213+Z7*W213+Z8*W213+Z11*W213+Z12*W213+Z14*W213+Z15*W213+Z18*W213+Z19*W213+Z22*W213+Z23*W213+Z25*W213+Z26*W213</f>
        <v>0</v>
      </c>
      <c r="Y213" s="41"/>
      <c r="Z213" s="41"/>
      <c r="AB213" s="46">
        <v>1</v>
      </c>
      <c r="AC213" s="41">
        <f>AC7*AB213+AD7*AB213+AC8*AB213+AD8*AB213+AC11*AB213+AD11*AB213+AC12*AB213+AD12*AB213+AC14*AB213+AD14*AB213+AC15*AB213+AD15*AB213+AC18*AB213+AD18*AB213+AC19*AB213+AD19*AB213+AC22*AB213+AD22*AB213+AC23*AB213+AD23*AB213+AC25*AB213+AD25*AB213+AC26*AB213+AD26*AB213+AE7*AB213+AE8*AB213+AE11*AB213+AE12*AB213+AE14*AB213+AE15*AB213+AE18*AB213+AE19*AB213+AE22*AB213+AE23*AB213+AE25*AB213+AE26*AB213</f>
        <v>0</v>
      </c>
      <c r="AD213" s="41"/>
      <c r="AE213" s="41"/>
      <c r="AG213" s="46">
        <v>1</v>
      </c>
      <c r="AH213" s="41">
        <f>AH7*AG213+AI7*AG213+AH8*AG213+AI8*AG213+AH11*AG213+AI11*AG213+AH12*AG213+AI12*AG213+AH14*AG213+AI14*AG213+AH15*AG213+AI15*AG213+AH18*AG213+AI18*AG213+AH19*AG213+AI19*AG213+AH22*AG213+AI22*AG213+AH23*AG213+AI23*AG213+AH25*AG213+AI25*AG213+AH26*AG213+AI26*AG213+AJ7*AG213+AJ8*AG213+AJ11*AG213+AJ12*AG213+AJ14*AG213+AJ15*AG213+AJ18*AG213+AJ19*AG213+AJ22*AG213+AJ23*AG213+AJ25*AG213+AJ26*AG213</f>
        <v>0</v>
      </c>
      <c r="AI213" s="41"/>
      <c r="AJ213" s="41"/>
      <c r="AL213" s="46">
        <v>1</v>
      </c>
      <c r="AM213" s="41">
        <f>AM7*AL213+AN7*AL213+AM8*AL213+AN8*AL213+AM11*AL213+AN11*AL213+AM12*AL213+AN12*AL213+AM14*AL213+AN14*AL213+AM15*AL213+AN15*AL213+AM18*AL213+AN18*AL213+AM19*AL213+AN19*AL213+AM22*AL213+AN22*AL213+AM23*AL213+AN23*AL213+AM25*AL213+AN25*AL213+AM26*AL213+AN26*AL213+AO7*AL213+AO8*AL213+AO11*AL213+AO12*AL213+AO14*AL213+AO15*AL213+AO18*AL213+AO19*AL213+AO22*AL213+AO23*AL213+AO25*AL213+AO26*AL213</f>
        <v>0</v>
      </c>
      <c r="AN213" s="41"/>
      <c r="AO213" s="41"/>
      <c r="AQ213" s="46">
        <v>1</v>
      </c>
      <c r="AR213" s="41">
        <f>AR7*AQ213+AS7*AQ213+AR8*AQ213+AS8*AQ213+AR11*AQ213+AS11*AQ213+AR12*AQ213+AS12*AQ213+AR14*AQ213+AS14*AQ213+AR15*AQ213+AS15*AQ213+AR18*AQ213+AS18*AQ213+AR19*AQ213+AS19*AQ213+AR22*AQ213+AS22*AQ213+AR23*AQ213+AS23*AQ213+AR25*AQ213+AS25*AQ213+AR26*AQ213+AS26*AQ213+AT7*AQ213+AT8*AQ213+AT11*AQ213+AT12*AQ213+AT14*AQ213+AT15*AQ213+AT18*AQ213+AT19*AQ213+AT22*AQ213+AT23*AQ213+AT25*AQ213+AT26*AQ213</f>
        <v>0</v>
      </c>
      <c r="AS213" s="41"/>
      <c r="AT213" s="41"/>
      <c r="AV213" s="141">
        <v>1</v>
      </c>
      <c r="AW213" s="140">
        <f>AW7*AV213+AX7*AV213+AW8*AV213+AX8*AV213+AW11*AV213+AX11*AV213+AW12*AV213+AX12*AV213+AW14*AV213+AX14*AV213+AW15*AV213+AX15*AV213+AW18*AV213+AX18*AV213+AW19*AV213+AX19*AV213+AW22*AV213+AX22*AV213+AW23*AV213+AX23*AV213+AW25*AV213+AX25*AV213+AW26*AV213+AX26*AV213+AY7*AV213+AY8*AV213+AY11*AV213+AY12*AV213+AY14*AV213+AY15*AV213+AY18*AV213+AY19*AV213+AY22*AV213+AY23*AV213+AY25*AV213+AY26*AV213</f>
        <v>0</v>
      </c>
      <c r="AX213" s="139"/>
      <c r="AY213" s="140"/>
      <c r="BA213" s="141">
        <v>1</v>
      </c>
      <c r="BB213" s="140">
        <f>BB7*BA213+BC7*BA213+BB8*BA213+BC8*BA213+BB11*BA213+BC11*BA213+BB12*BA213+BC12*BA213+BB14*BA213+BC14*BA213+BB15*BA213+BC15*BA213+BB18*BA213+BC18*BA213+BB19*BA213+BC19*BA213+BB22*BA213+BC22*BA213+BB23*BA213+BC23*BA213+BB25*BA213+BC25*BA213+BB26*BA213+BC26*BA213+BD7*BA213+BD8*BA213+BD11*BA213+BD12*BA213+BD14*BA213+BD15*BA213+BD18*BA213+BD19*BA213+BD22*BA213+BD23*BA213+BD25*BA213+BD26*BA213</f>
        <v>0</v>
      </c>
      <c r="BC213" s="139"/>
      <c r="BD213" s="41"/>
      <c r="BF213" s="46">
        <v>1</v>
      </c>
      <c r="BG213" s="41">
        <f>SUM(BG11:BI11,BG12:BI12,BG14:BI14,BG15:BI15,BG18:BI18,BG19:BI19,BG22:BI22,BG23:BI23,BG25:BI25,BG26:BI26)*BF213</f>
        <v>0</v>
      </c>
      <c r="BH213" s="40"/>
      <c r="BI213" s="41"/>
      <c r="BK213" s="142"/>
      <c r="BL213" s="140"/>
      <c r="BM213" s="40"/>
      <c r="BN213" s="41"/>
      <c r="BP213" s="62"/>
      <c r="BQ213" s="41"/>
      <c r="BR213" s="40"/>
      <c r="BS213" s="41"/>
      <c r="BU213" s="62">
        <v>1</v>
      </c>
      <c r="BV213" s="41">
        <f>SUM(BV11:BX11,BV12:BX12,BV14:BX14,BV15:BX15,BV18:BX18,BV19:BX19,BV22:BX22,BV23:BX23,BV25:BX25,BV26:BX26)*BU213</f>
        <v>0</v>
      </c>
      <c r="BW213" s="40"/>
      <c r="BX213" s="41"/>
      <c r="BZ213" s="62">
        <v>1</v>
      </c>
      <c r="CA213" s="41">
        <f>SUM(CA11:CC11,CA12:CC12,CA14:CC14,CA15:CC15,CA18:CC18,CA19:CC19,CA22:CC22,CA23:CC23,CA25:CC25,CA26:CC26)*BZ213</f>
        <v>0</v>
      </c>
      <c r="CB213" s="40"/>
      <c r="CC213" s="41"/>
      <c r="CD213" s="140"/>
      <c r="CE213" s="62">
        <v>1</v>
      </c>
      <c r="CF213" s="41">
        <f>SUM(CF11:CH11,CF12:CH12,CF14:CH14,CF15:CH15,CF18:CH18,CF19:CH19,CF22:CH22,CF23:CH23,CF25:CH25,CF26:CH26)*CE213</f>
        <v>0</v>
      </c>
      <c r="CG213" s="40"/>
      <c r="CH213" s="41"/>
      <c r="CI213" s="855"/>
      <c r="CJ213" s="142"/>
      <c r="CK213" s="140">
        <f>CK7*CJ213+CL7*CJ213+CK8*CJ213+CL8*CJ213+CK11*CJ213+CL11*CJ213+CK12*CJ213+CL12*CJ213+CK14*CJ213+CL14*CJ213+CK15*CJ213+CL15*CJ213+CK18*CJ213+CL18*CJ213+CK19*CJ213+CL19*CJ213+CK22*CJ213+CL22*CJ213+CK23*CJ213+CL23*CJ213+CK25*CJ213+CL25*CJ213+CK26*CJ213+CL26*CJ213+CM7*CJ213+CM8*CJ213+CM11*CJ213+CM12*CJ213+CM14*CJ213+CM15*CJ213+CM18*CJ213+CM19*CJ213+CM22*CJ213+CM23*CJ213+CM25*CJ213+CM26*CJ213</f>
        <v>0</v>
      </c>
      <c r="CL213" s="139"/>
      <c r="CM213" s="140"/>
      <c r="CO213" s="224">
        <v>1</v>
      </c>
      <c r="CP213" s="41">
        <f>CP7*CO213+CQ7*CO213+CP8*CO213+CQ8*CO213+CP11*CO213+CQ11*CO213+CP12*CO213+CQ12*CO213+CP14*CO213+CQ14*CO213+CP15*CO213+CQ15*CO213+CP18*CO213+CQ18*CO213+CP19*CO213+CQ19*CO213+CP22*CO213+CQ22*CO213+CP23*CO213+CQ23*CO213+CP25*CO213+CQ25*CO213+CP26*CO213+CQ26*CO213+CR7*CO213+CR8*CO213+CR11*CO213+CR12*CO213+CR14*CO213+CR15*CO213+CR18*CO213+CR19*CO213+CR22*CO213+CR23*CO213+CR25*CO213+CR26*CO213</f>
        <v>0</v>
      </c>
      <c r="CQ213" s="40"/>
      <c r="CR213" s="41"/>
      <c r="CT213" s="62">
        <v>1</v>
      </c>
      <c r="CU213" s="41">
        <f>SUM(CU11:CW11,CU12:CW12,CU14:CW14,CU15:CW15,CU18:CW18,CU19:CW19,CU22:CW22,CU23:CW23,CU25:CW25,CU26:CW26)*CT213</f>
        <v>0</v>
      </c>
      <c r="CV213" s="40"/>
      <c r="CW213" s="41"/>
      <c r="CX213" s="855"/>
      <c r="CY213" s="62">
        <v>1</v>
      </c>
      <c r="CZ213" s="41">
        <f>SUM(CZ11:DB11,CZ12:DB12,CZ14:DB14,CZ15:DB15,CZ18:DB18,CZ19:DB19,CZ22:DB22,CZ23:DB23,CZ25:DB25,CZ26:DB26)*CY213</f>
        <v>0</v>
      </c>
      <c r="DA213" s="40"/>
      <c r="DB213" s="41"/>
      <c r="DC213" s="855"/>
      <c r="DD213" s="62">
        <v>1</v>
      </c>
      <c r="DE213" s="41">
        <f>DE7*DD213+DF7*DD213+DE8*DD213+DF8*DD213+DE11*DD213+DF11*DD213+DE12*DD213+DF12*DD213+DE14*DD213+DF14*DD213+DE15*DD213+DF15*DD213+DE18*DD213+DF18*DD213+DE19*DD213+DF19*DD213+DE22*DD213+DF22*DD213+DE23*DD213+DF23*DD213+DE25*DD213+DF25*DD213+DE26*DD213+DF26*DD213+DG7*DD213+DG8*DD213+DG11*DD213+DG12*DD213+DG14*DD213+DG15*DD213+DG18*DD213+DG19*DD213+DG22*DD213+DG23*DD213+DG25*DD213+DG26*DD213</f>
        <v>0</v>
      </c>
      <c r="DF213" s="40"/>
      <c r="DG213" s="41"/>
      <c r="DI213" s="46">
        <v>1</v>
      </c>
      <c r="DJ213" s="41">
        <f>DJ7*DI213+DK7*DI213+DJ8*DI213+DK8*DI213+DJ11*DI213+DK11*DI213+DJ12*DI213+DK12*DI213+DJ14*DI213+DK14*DI213+DJ15*DI213+DK15*DI213+DJ18*DI213+DK18*DI213+DJ19*DI213+DK19*DI213+DJ22*DI213+DK22*DI213+DJ23*DI213+DK23*DI213+DJ25*DI213+DK25*DI213+DJ26*DI213+DK26*DI213+DL7*DI213+DL8*DI213+DL11*DI213+DL12*DI213+DL14*DI213+DL15*DI213+DL18*DI213+DL19*DI213+DL22*DI213+DL23*DI213+DL25*DI213+DL26*DI213</f>
        <v>0</v>
      </c>
      <c r="DK213" s="64"/>
      <c r="DL213" s="64"/>
      <c r="DN213" s="46">
        <v>1</v>
      </c>
      <c r="DO213" s="41">
        <f>DO7*DN213+DP7*DN213+DO8*DN213+DP8*DN213+DO11*DN213+DP11*DN213+DO12*DN213+DP12*DN213+DO14*DN213+DP14*DN213+DO15*DN213+DP15*DN213+DO18*DN213+DP18*DN213+DO19*DN213+DP19*DN213+DO22*DN213+DP22*DN213+DO23*DN213+DP23*DN213+DO25*DN213+DP25*DN213+DO26*DN213+DP26*DN213+DQ7*DN213+DQ8*DN213+DQ11*DN213+DQ12*DN213+DQ14*DN213+DQ15*DN213+DQ18*DN213+DQ19*DN213+DQ22*DN213+DQ23*DN213+DQ25*DN213+DQ26*DN213</f>
        <v>0</v>
      </c>
      <c r="DP213" s="64"/>
      <c r="DQ213" s="64"/>
      <c r="DS213" s="46">
        <v>1</v>
      </c>
      <c r="DT213" s="41">
        <f>DT7*DS213+DU7*DS213+DT8*DS213+DU8*DS213+DT11*DS213+DU11*DS213+DT12*DS213+DU12*DS213+DT14*DS213+DU14*DS213+DT15*DS213+DU15*DS213+DT18*DS213+DU18*DS213+DT19*DS213+DU19*DS213+DT22*DS213+DU22*DS213+DT23*DS213+DU23*DS213+DT25*DS213+DU25*DS213+DT26*DS213+DU26*DS213+DV7*DS213+DV8*DS213+DV11*DS213+DV12*DS213+DV14*DS213+DV15*DS213+DV18*DS213+DV19*DS213+DV22*DS213+DV23*DS213+DV25*DS213+DV26*DS213</f>
        <v>0</v>
      </c>
      <c r="DU213" s="64"/>
      <c r="DV213" s="64"/>
      <c r="DX213" s="46">
        <v>1</v>
      </c>
      <c r="DY213" s="41">
        <f>DY7*DX213+DZ7*DX213+DY8*DX213+DZ8*DX213+DY11*DX213+DZ11*DX213+DY12*DX213+DZ12*DX213+DY14*DX213+DZ14*DX213+DY15*DX213+DZ15*DX213+DY18*DX213+DZ18*DX213+DY19*DX213+DZ19*DX213+DY22*DX213+DZ22*DX213+DY23*DX213+DZ23*DX213+DY25*DX213+DZ25*DX213+DY26*DX213+DZ26*DX213+EA7*DX213+EA8*DX213+EA11*DX213+EA12*DX213+EA14*DX213+EA15*DX213+EA18*DX213+EA19*DX213+EA22*DX213+EA23*DX213+EA25*DX213+EA26*DX213</f>
        <v>0</v>
      </c>
      <c r="DZ213" s="64"/>
      <c r="EA213" s="64"/>
      <c r="EC213" s="46">
        <v>1</v>
      </c>
      <c r="ED213" s="41">
        <f>ED7*EC213+EE7*EC213+ED8*EC213+EE8*EC213+ED11*EC213+EE11*EC213+ED12*EC213+EE12*EC213+ED14*EC213+EE14*EC213+ED15*EC213+EE15*EC213+ED18*EC213+EE18*EC213+ED19*EC213+EE19*EC213+ED22*EC213+EE22*EC213+ED23*EC213+EE23*EC213+ED25*EC213+EE25*EC213+ED26*EC213+EE26*EC213+EF7*EC213+EF8*EC213+EF11*EC213+EF12*EC213+EF14*EC213+EF15*EC213+EF18*EC213+EF19*EC213+EF22*EC213+EF23*EC213+EF25*EC213+EF26*EC213</f>
        <v>0</v>
      </c>
      <c r="EE213" s="64"/>
      <c r="EF213" s="64"/>
      <c r="EH213" s="46">
        <v>1</v>
      </c>
      <c r="EI213" s="41">
        <f>EI7*EH213+EJ7*EH213+EI8*EH213+EJ8*EH213+EI11*EH213+EJ11*EH213+EI12*EH213+EJ12*EH213+EI14*EH213+EJ14*EH213+EI15*EH213+EJ15*EH213+EI18*EH213+EJ18*EH213+EI19*EH213+EJ19*EH213+EI22*EH213+EJ22*EH213+EI23*EH213+EJ23*EH213+EI25*EH213+EJ25*EH213+EI26*EH213+EJ26*EH213+EK7*EH213+EK8*EH213+EK11*EH213+EK12*EH213+EK14*EH213+EK15*EH213+EK18*EH213+EK19*EH213+EK22*EH213+EK23*EH213+EK25*EH213+EK26*EH213</f>
        <v>0</v>
      </c>
      <c r="EJ213" s="64"/>
      <c r="EK213" s="64"/>
      <c r="ER213" s="855"/>
      <c r="EX213" s="203">
        <f t="shared" si="1"/>
        <v>0</v>
      </c>
    </row>
    <row r="214" spans="1:155" s="6" customFormat="1" ht="15" customHeight="1">
      <c r="A214" s="90" t="s">
        <v>7</v>
      </c>
      <c r="B214" s="210" t="s">
        <v>1407</v>
      </c>
      <c r="C214" s="400" t="s">
        <v>0</v>
      </c>
      <c r="D214" s="138"/>
      <c r="E214" s="62">
        <v>3</v>
      </c>
      <c r="F214" s="140">
        <f>IF(SUM($ER$5:$ER$15)&gt;=1000,0,SUM(F5:F23)*E186)</f>
        <v>0</v>
      </c>
      <c r="G214" s="140"/>
      <c r="H214" s="140"/>
      <c r="I214" s="4"/>
      <c r="J214" s="4"/>
      <c r="K214" s="4"/>
      <c r="L214" s="4"/>
      <c r="M214" s="4"/>
      <c r="N214" s="4"/>
      <c r="O214" s="4"/>
      <c r="P214" s="4"/>
      <c r="Q214" s="4"/>
      <c r="R214" s="40"/>
      <c r="S214" s="41"/>
      <c r="T214" s="140"/>
      <c r="U214" s="41"/>
      <c r="W214" s="40"/>
      <c r="X214" s="41"/>
      <c r="Y214" s="41"/>
      <c r="Z214" s="41"/>
      <c r="AB214" s="40"/>
      <c r="AC214" s="41"/>
      <c r="AD214" s="41"/>
      <c r="AE214" s="41"/>
      <c r="AG214" s="46">
        <v>3</v>
      </c>
      <c r="AH214" s="41">
        <f>AH5*AG214+AH6*AG214+AH7*AG214+AH8*AG214+AH9*AG214+AH10*AG214+AH11*AG214+AH12*AG214+AH13*AG214+AH14*AG214+AH15*AG214+AH16*AG214+AH17*AG214+AH18*AG214+AH19*AG214+AH20*AG214+AH21*AG214+AH22*AG214+AH23*AG214+AH24*AG214+AH25*AG214+AH26*AG214</f>
        <v>0</v>
      </c>
      <c r="AI214" s="41"/>
      <c r="AJ214" s="41"/>
      <c r="AL214" s="40"/>
      <c r="AM214" s="41"/>
      <c r="AN214" s="41"/>
      <c r="AO214" s="41"/>
      <c r="AQ214" s="40"/>
      <c r="AR214" s="41"/>
      <c r="AS214" s="41"/>
      <c r="AT214" s="41"/>
      <c r="AV214" s="139"/>
      <c r="AW214" s="139"/>
      <c r="AX214" s="139"/>
      <c r="AY214" s="140"/>
      <c r="BA214" s="139"/>
      <c r="BB214" s="139"/>
      <c r="BC214" s="139"/>
      <c r="BD214" s="41"/>
      <c r="BF214" s="40"/>
      <c r="BG214" s="40"/>
      <c r="BH214" s="40"/>
      <c r="BI214" s="41"/>
      <c r="BK214" s="142">
        <v>3</v>
      </c>
      <c r="BL214" s="140">
        <f>SUM(BL5:BL26)*BK214</f>
        <v>0</v>
      </c>
      <c r="BM214" s="40"/>
      <c r="BN214" s="41"/>
      <c r="BP214" s="62">
        <v>3</v>
      </c>
      <c r="BQ214" s="140">
        <f>IF(SUM($ER$5:$ER$15)&gt;=1000,0,SUM(BQ5:BQ23)*BP186)</f>
        <v>0</v>
      </c>
      <c r="BR214" s="43"/>
      <c r="BS214" s="41"/>
      <c r="BT214" s="6">
        <f>IF(SUM(BS5:BS26)&gt;0,BT182,0)</f>
        <v>0</v>
      </c>
      <c r="BU214" s="62">
        <v>3</v>
      </c>
      <c r="BV214" s="140">
        <f>IF(SUM($ER$5:$ER$15)&gt;=1000,0,SUM(BV5:BV23)*BU186)</f>
        <v>0</v>
      </c>
      <c r="BW214" s="140"/>
      <c r="BX214" s="41"/>
      <c r="BZ214" s="40"/>
      <c r="CA214" s="40"/>
      <c r="CB214" s="40"/>
      <c r="CC214" s="41"/>
      <c r="CD214" s="140"/>
      <c r="CE214" s="62">
        <v>3</v>
      </c>
      <c r="CF214" s="140">
        <f>IF(SUM($ER$5:$ER$15)&gt;=1000,0,SUM(CF5:CF23)*CE186)</f>
        <v>0</v>
      </c>
      <c r="CG214" s="43"/>
      <c r="CH214" s="41"/>
      <c r="CI214" s="855" t="b">
        <f>IF(SUM(CH5:CH26)&gt;0,CI182)</f>
        <v>0</v>
      </c>
      <c r="CJ214" s="139"/>
      <c r="CK214" s="139"/>
      <c r="CL214" s="139"/>
      <c r="CM214" s="140"/>
      <c r="CO214" s="222"/>
      <c r="CP214" s="40"/>
      <c r="CQ214" s="40"/>
      <c r="CR214" s="41"/>
      <c r="CT214" s="62">
        <v>3</v>
      </c>
      <c r="CU214" s="140">
        <f>IF(SUM($ER$5:$ER$15)&gt;=1000,0,SUM(CU5:CU23)*CT186)</f>
        <v>0</v>
      </c>
      <c r="CV214" s="43"/>
      <c r="CW214" s="41"/>
      <c r="CX214" s="855">
        <f>IF(SUM(CW5:CW26)&gt;0,CX182,0)</f>
        <v>0</v>
      </c>
      <c r="CY214" s="62">
        <v>3</v>
      </c>
      <c r="CZ214" s="140">
        <f>IF(SUM($ER$5:$ER$15)&gt;=1000,0,SUM(CZ5:CZ23)*CY186)</f>
        <v>0</v>
      </c>
      <c r="DA214" s="140"/>
      <c r="DB214" s="41"/>
      <c r="DC214" s="855"/>
      <c r="DD214" s="40"/>
      <c r="DE214" s="40"/>
      <c r="DF214" s="40"/>
      <c r="DG214" s="41"/>
      <c r="DI214" s="71">
        <v>3</v>
      </c>
      <c r="DJ214" s="64">
        <f>DJ5*DI214+DJ6*DI214+DJ7*DI214+DJ8*DI214+DJ9*DI214+DJ10*DI214+DJ11*DI214+DJ12*DI214+DJ13*DI214+DJ14*DI214+DJ15*DI214+DJ16*DI214+DJ17*DI214+DJ18*DI214+DJ19*DI214+DJ20*DI214+DJ21*DI214+DJ22*DI214+DJ23*DI214+DJ24*DI214+DJ25*DI214+DJ26*DI214</f>
        <v>0</v>
      </c>
      <c r="DK214" s="64"/>
      <c r="DL214" s="64"/>
      <c r="DN214" s="71">
        <v>3</v>
      </c>
      <c r="DO214" s="64">
        <f>DO5*DN214+DO6*DN214+DO7*DN214+DO8*DN214+DO9*DN214+DO10*DN214+DO11*DN214+DO12*DN214+DO13*DN214+DO14*DN214+DO15*DN214+DO16*DN214+DO17*DN214+DO18*DN214+DO19*DN214+DO20*DN214+DO21*DN214+DO22*DN214+DO23*DN214+DO24*DN214+DO25*DN214+DO26*DN214</f>
        <v>0</v>
      </c>
      <c r="DP214" s="64"/>
      <c r="DQ214" s="64"/>
      <c r="DS214" s="60">
        <v>3</v>
      </c>
      <c r="DT214" s="64">
        <f>DT5*DS214+DT6*DS214+DT7*DS214+DT8*DS214+DT9*DS214+DT10*DS214+DT11*DS214+DT12*DS214+DT13*DS214+DT14*DS214+DT15*DS214+DT16*DS214+DT17*DS214+DT18*DS214+DT19*DS214+DT20*DS214+DT21*DS214+DT22*DS214+DT23*DS214+DT24*DS214+DT25*DS214+DT26*DS214</f>
        <v>0</v>
      </c>
      <c r="DU214" s="64"/>
      <c r="DV214" s="64"/>
      <c r="DX214" s="60">
        <v>3</v>
      </c>
      <c r="DY214" s="64">
        <f>DY5*DX214+DY6*DX214+DY7*DX214+DY8*DX214+DY9*DX214+DY10*DX214+DY11*DX214+DY12*DX214+DY13*DX214+DY14*DX214+DY15*DX214+DY16*DX214+DY17*DX214+DY18*DX214+DY19*DX214+DY20*DX214+DY21*DX214+DY22*DX214+DY23*DX214+DY24*DX214+DY25*DX214+DY26*DX214</f>
        <v>0</v>
      </c>
      <c r="DZ214" s="64"/>
      <c r="EA214" s="64"/>
      <c r="EC214" s="60">
        <v>3</v>
      </c>
      <c r="ED214" s="64">
        <f>ED5*EC214+ED6*EC214+ED7*EC214+ED8*EC214+ED9*EC214+ED10*EC214+ED11*EC214+ED12*EC214+ED13*EC214+ED14*EC214+ED15*EC214+ED16*EC214+ED17*EC214+ED18*EC214+ED19*EC214+ED20*EC214+ED21*EC214+ED22*EC214+ED23*EC214+ED24*EC214+ED25*EC214+ED26*EC214</f>
        <v>0</v>
      </c>
      <c r="EE214" s="64"/>
      <c r="EF214" s="64"/>
      <c r="EH214" s="60">
        <v>3</v>
      </c>
      <c r="EI214" s="64">
        <f>EI5*EH214+EI6*EH214+EI7*EH214+EI8*EH214+EI9*EH214+EI10*EH214+EI11*EH214+EI12*EH214+EI13*EH214+EI14*EH214+EI15*EH214+EI16*EH214+EI17*EH214+EI18*EH214+EI19*EH214+EI20*EH214+EI21*EH214+EI22*EH214+EI23*EH214+EI24*EH214+EI25*EH214+EI26*EH214</f>
        <v>0</v>
      </c>
      <c r="EJ214" s="64"/>
      <c r="EK214" s="64"/>
      <c r="ER214" s="855"/>
      <c r="EX214" s="203">
        <f t="shared" si="1"/>
        <v>0</v>
      </c>
    </row>
    <row r="215" spans="1:155" s="44" customFormat="1" ht="15" customHeight="1">
      <c r="A215" s="143" t="s">
        <v>188</v>
      </c>
      <c r="B215" s="210" t="s">
        <v>1408</v>
      </c>
      <c r="C215" s="400" t="s">
        <v>0</v>
      </c>
      <c r="D215" s="144"/>
      <c r="E215" s="62">
        <v>3</v>
      </c>
      <c r="F215" s="44">
        <f>IF(SUM($ER$5:$ER$15)&gt;=1000,0,SUM(G5:G23)*E186)</f>
        <v>0</v>
      </c>
      <c r="I215" s="42"/>
      <c r="J215" s="4"/>
      <c r="K215" s="4"/>
      <c r="L215" s="42"/>
      <c r="M215" s="4"/>
      <c r="N215" s="4"/>
      <c r="O215" s="4"/>
      <c r="P215" s="4"/>
      <c r="Q215" s="42"/>
      <c r="R215" s="43"/>
      <c r="S215" s="43"/>
      <c r="U215" s="43"/>
      <c r="W215" s="43"/>
      <c r="X215" s="43"/>
      <c r="Y215" s="43"/>
      <c r="Z215" s="43"/>
      <c r="AB215" s="43"/>
      <c r="AC215" s="43"/>
      <c r="AD215" s="43"/>
      <c r="AE215" s="43"/>
      <c r="AG215" s="46">
        <v>3</v>
      </c>
      <c r="AH215" s="43">
        <f>AI5*AG215+AI6*AG215+AI7*AG215+AI8*AG215+AI9*AG215+AI10*AG215+AI11*AG215+AI12*AG215+AI13*AG215+AI14*AG215+AI15*AG215+AI16*AG215+AI17*AG215+AI18*AG215+AI19*AG215+AI20*AG215+AI21*AG215+AI22*AG215+AI23*AG215+AI24*AG215+AI25*AG215+AI26*AG215</f>
        <v>0</v>
      </c>
      <c r="AI215" s="43"/>
      <c r="AJ215" s="43"/>
      <c r="AL215" s="43"/>
      <c r="AM215" s="43"/>
      <c r="AN215" s="43"/>
      <c r="AO215" s="43"/>
      <c r="AP215" s="6"/>
      <c r="AQ215" s="40"/>
      <c r="AR215" s="43"/>
      <c r="AS215" s="43"/>
      <c r="AT215" s="43"/>
      <c r="AU215" s="6"/>
      <c r="AZ215" s="6"/>
      <c r="BD215" s="43"/>
      <c r="BF215" s="43"/>
      <c r="BG215" s="43"/>
      <c r="BH215" s="43"/>
      <c r="BI215" s="43"/>
      <c r="BK215" s="142">
        <v>3</v>
      </c>
      <c r="BL215" s="44">
        <f>SUM(BM5:BM26)*BK215</f>
        <v>0</v>
      </c>
      <c r="BM215" s="43"/>
      <c r="BN215" s="43"/>
      <c r="BP215" s="62">
        <v>3</v>
      </c>
      <c r="BQ215" s="44">
        <f>IF(SUM($ER$5:$ER$15)&gt;=1000,0,SUM(BR5:BR23)*BP186)</f>
        <v>0</v>
      </c>
      <c r="BR215" s="43"/>
      <c r="BS215" s="41"/>
      <c r="BT215" s="6">
        <f>IF(SUM(BS6:BS27)&gt;0,BT183,0)</f>
        <v>0</v>
      </c>
      <c r="BU215" s="62">
        <v>3</v>
      </c>
      <c r="BV215" s="44">
        <f>IF(SUM($ER$5:$ER$15)&gt;=1000,0,SUM(BW5:BW23)*BU186)</f>
        <v>0</v>
      </c>
      <c r="BW215" s="140"/>
      <c r="BX215" s="41"/>
      <c r="BZ215" s="43"/>
      <c r="CA215" s="43"/>
      <c r="CB215" s="43"/>
      <c r="CC215" s="43"/>
      <c r="CE215" s="62">
        <v>3</v>
      </c>
      <c r="CF215" s="44">
        <f>IF(SUM($ER$5:$ER$15)&gt;=1000,0,SUM(CG5:CG23)*CE186)</f>
        <v>0</v>
      </c>
      <c r="CG215" s="43"/>
      <c r="CH215" s="41"/>
      <c r="CI215" s="855">
        <f>IF(SUM(CH6:CH27)&gt;0,CI183,0)</f>
        <v>0</v>
      </c>
      <c r="CJ215" s="139"/>
      <c r="CN215" s="6"/>
      <c r="CO215" s="222"/>
      <c r="CP215" s="43"/>
      <c r="CQ215" s="43"/>
      <c r="CR215" s="43"/>
      <c r="CT215" s="62">
        <v>3</v>
      </c>
      <c r="CU215" s="44">
        <f>IF(SUM($ER$5:$ER$15)&gt;=1000,0,SUM(CV5:CV23)*CT186)</f>
        <v>0</v>
      </c>
      <c r="CV215" s="43"/>
      <c r="CW215" s="41"/>
      <c r="CX215" s="855">
        <f>IF(SUM(CW6:CW27)&gt;0,CX183,0)</f>
        <v>0</v>
      </c>
      <c r="CY215" s="62">
        <v>3</v>
      </c>
      <c r="CZ215" s="44">
        <f>IF(SUM($ER$5:$ER$15)&gt;=1000,0,SUM(DA5:DA23)*CY186)</f>
        <v>0</v>
      </c>
      <c r="DA215" s="140"/>
      <c r="DB215" s="41"/>
      <c r="DC215" s="855"/>
      <c r="DD215" s="40"/>
      <c r="DE215" s="43"/>
      <c r="DF215" s="43"/>
      <c r="DG215" s="43"/>
      <c r="DI215" s="71">
        <v>3</v>
      </c>
      <c r="DJ215" s="64">
        <f>DK5*DI215+DK6*DI215+DK7*DI215+DK8*DI215+DK9*DI215+DK10*DI215+DK11*DI215+DK12*DI215+DK13*DI215+DK14*DI215+DK15*DI215+DK16*DI215+DK17*DI215+DK18*DI215+DK19*DI215+DK20*DI215+DK21*DI215+DK22*DI215+DK23*DI215+DK24*DI215+DK25*DI215+DK26*DI215</f>
        <v>0</v>
      </c>
      <c r="DK215" s="64"/>
      <c r="DL215" s="64"/>
      <c r="DN215" s="71">
        <v>3</v>
      </c>
      <c r="DO215" s="64">
        <f>DP5*DN215+DP6*DN215+DP7*DN215+DP8*DN215+DP9*DN215+DP10*DN215+DP11*DN215+DP12*DN215+DP13*DN215+DP14*DN215+DP15*DN215+DP16*DN215+DP17*DN215+DP18*DN215+DP19*DN215+DP20*DN215+DP21*DN215+DP22*DN215+DP23*DN215+DP24*DN215+DP25*DN215+DP26*DN215</f>
        <v>0</v>
      </c>
      <c r="DP215" s="64"/>
      <c r="DQ215" s="64"/>
      <c r="DS215" s="60">
        <v>3</v>
      </c>
      <c r="DT215" s="64">
        <f>DU5*DS215+DU6*DS215+DU7*DS215+DU8*DS215+DU9*DS215+DU10*DS215+DU11*DS215+DU12*DS215+DU13*DS215+DU14*DS215+DU15*DS215+DU16*DS215+DU17*DS215+DU18*DS215+DU19*DS215+DU20*DS215+DU21*DS215+DU22*DS215+DU23*DS215+DU24*DS215+DU25*DS215+DU26*DS215</f>
        <v>0</v>
      </c>
      <c r="DU215" s="64"/>
      <c r="DV215" s="64"/>
      <c r="DX215" s="60">
        <v>3</v>
      </c>
      <c r="DY215" s="64">
        <f>DZ5*DX215+DZ6*DX215+DZ7*DX215+DZ8*DX215+DZ9*DX215+DZ10*DX215+DZ11*DX215+DZ12*DX215+DZ13*DX215+DZ14*DX215+DZ15*DX215+DZ16*DX215+DZ17*DX215+DZ18*DX215+DZ19*DX215+DZ20*DX215+DZ21*DX215+DZ22*DX215+DZ23*DX215+DZ24*DX215+DZ25*DX215+DZ26*DX215</f>
        <v>0</v>
      </c>
      <c r="DZ215" s="64"/>
      <c r="EA215" s="64"/>
      <c r="EC215" s="60">
        <v>3</v>
      </c>
      <c r="ED215" s="64">
        <f>EE5*EC215+EE6*EC215+EE7*EC215+EE8*EC215+EE9*EC215+EE10*EC215+EE11*EC215+EE12*EC215+EE13*EC215+EE14*EC215+EE15*EC215+EE16*EC215+EE17*EC215+EE18*EC215+EE19*EC215+EE20*EC215+EE21*EC215+EE22*EC215+EE23*EC215+EE24*EC215+EE25*EC215+EE26*EC215</f>
        <v>0</v>
      </c>
      <c r="EE215" s="64"/>
      <c r="EF215" s="64"/>
      <c r="EH215" s="60">
        <v>3</v>
      </c>
      <c r="EI215" s="64">
        <f>EJ5*EH215+EJ6*EH215+EJ7*EH215+EJ8*EH215+EJ9*EH215+EJ10*EH215+EJ11*EH215+EJ12*EH215+EJ13*EH215+EJ14*EH215+EJ15*EH215+EJ16*EH215+EJ17*EH215+EJ18*EH215+EJ19*EH215+EJ20*EH215+EJ21*EH215+EJ22*EH215+EJ23*EH215+EJ24*EH215+EJ25*EH215+EJ26*EH215</f>
        <v>0</v>
      </c>
      <c r="EJ215" s="64"/>
      <c r="EK215" s="64"/>
      <c r="ER215" s="856"/>
      <c r="EX215" s="203">
        <f t="shared" si="1"/>
        <v>0</v>
      </c>
      <c r="EY215" s="6"/>
    </row>
    <row r="216" spans="1:155" s="44" customFormat="1" ht="15" customHeight="1">
      <c r="A216" s="143" t="s">
        <v>193</v>
      </c>
      <c r="B216" s="210" t="s">
        <v>1409</v>
      </c>
      <c r="C216" s="400" t="s">
        <v>0</v>
      </c>
      <c r="D216" s="144"/>
      <c r="E216" s="62">
        <v>3</v>
      </c>
      <c r="F216" s="44">
        <f>IF(SUM($ER$5:$ER$15)&gt;=1000,0,SUM(H5:H23)*E186)</f>
        <v>0</v>
      </c>
      <c r="I216" s="42"/>
      <c r="J216" s="4"/>
      <c r="K216" s="4"/>
      <c r="L216" s="42"/>
      <c r="M216" s="4"/>
      <c r="N216" s="4"/>
      <c r="O216" s="4"/>
      <c r="P216" s="4"/>
      <c r="Q216" s="42"/>
      <c r="R216" s="43"/>
      <c r="S216" s="43"/>
      <c r="U216" s="43"/>
      <c r="W216" s="43"/>
      <c r="X216" s="43"/>
      <c r="Y216" s="43"/>
      <c r="Z216" s="43"/>
      <c r="AB216" s="43"/>
      <c r="AC216" s="43"/>
      <c r="AD216" s="43"/>
      <c r="AE216" s="43"/>
      <c r="AG216" s="46">
        <v>3</v>
      </c>
      <c r="AH216" s="43">
        <f>AJ5*AG216+AJ6*AG216+AJ7*AG216+AJ8*AG216+AJ9*AG216+AJ10*AG216+AJ11*AG216+AJ12*AG216+AJ13*AG216+AJ14*AG216+AJ15*AG216+AJ16*AG216+AJ17*AG216+AJ18*AG216+AJ19*AG216+AJ20*AG216+AJ21*AG216+AJ22*AG216+AJ23*AG216+AJ24*AG216+AJ25*AG216+AJ26*AG216</f>
        <v>0</v>
      </c>
      <c r="AI216" s="43"/>
      <c r="AJ216" s="43"/>
      <c r="AL216" s="43"/>
      <c r="AM216" s="43"/>
      <c r="AN216" s="43"/>
      <c r="AO216" s="43"/>
      <c r="AP216" s="6"/>
      <c r="AQ216" s="40"/>
      <c r="AR216" s="43"/>
      <c r="AS216" s="43"/>
      <c r="AT216" s="43"/>
      <c r="AU216" s="6"/>
      <c r="AZ216" s="6"/>
      <c r="BD216" s="43"/>
      <c r="BF216" s="43"/>
      <c r="BG216" s="43"/>
      <c r="BH216" s="43"/>
      <c r="BI216" s="43"/>
      <c r="BK216" s="142">
        <v>3</v>
      </c>
      <c r="BL216" s="44">
        <f>SUM(BN5:BN26)*BK216</f>
        <v>0</v>
      </c>
      <c r="BM216" s="43"/>
      <c r="BN216" s="43"/>
      <c r="BP216" s="62">
        <v>3</v>
      </c>
      <c r="BQ216" s="44">
        <f>IF(SUM($ER$5:$ER$15)&gt;=1000,0,SUM(BS5:BS23)*BP186)</f>
        <v>0</v>
      </c>
      <c r="BR216" s="43"/>
      <c r="BS216" s="41"/>
      <c r="BT216" s="6">
        <f>IF(SUM(BS7:BS28)&gt;0,BT184,0)</f>
        <v>0</v>
      </c>
      <c r="BU216" s="62">
        <v>3</v>
      </c>
      <c r="BV216" s="44">
        <f>IF(SUM($ER$5:$ER$15)&gt;=1000,0,SUM(BX5:BX23)*BU186)</f>
        <v>0</v>
      </c>
      <c r="BW216" s="140"/>
      <c r="BX216" s="41"/>
      <c r="BZ216" s="43"/>
      <c r="CA216" s="43"/>
      <c r="CB216" s="43"/>
      <c r="CC216" s="43"/>
      <c r="CE216" s="62">
        <v>3</v>
      </c>
      <c r="CF216" s="44">
        <f>IF(SUM($ER$5:$ER$15)&gt;=1000,0,SUM(CH5:CH23)*CE186)</f>
        <v>0</v>
      </c>
      <c r="CG216" s="43"/>
      <c r="CH216" s="41"/>
      <c r="CI216" s="855">
        <f>IF(SUM(CH7:CH28)&gt;0,CI184,0)</f>
        <v>0</v>
      </c>
      <c r="CJ216" s="139"/>
      <c r="CN216" s="6"/>
      <c r="CO216" s="222"/>
      <c r="CP216" s="43"/>
      <c r="CQ216" s="43"/>
      <c r="CR216" s="43"/>
      <c r="CT216" s="62">
        <v>3</v>
      </c>
      <c r="CU216" s="44">
        <f>IF(SUM($ER$5:$ER$15)&gt;=1000,0,SUM(CW5:CW23)*CT186)</f>
        <v>0</v>
      </c>
      <c r="CV216" s="43"/>
      <c r="CW216" s="41"/>
      <c r="CX216" s="855">
        <f>IF(SUM(CW7:CW28)&gt;0,CX184,0)</f>
        <v>0</v>
      </c>
      <c r="CY216" s="62">
        <v>3</v>
      </c>
      <c r="CZ216" s="44">
        <f>IF(SUM($ER$5:$ER$15)&gt;=1000,0,SUM(DB5:DB23)*CY186)</f>
        <v>0</v>
      </c>
      <c r="DA216" s="140"/>
      <c r="DB216" s="41"/>
      <c r="DC216" s="855"/>
      <c r="DD216" s="40"/>
      <c r="DE216" s="43"/>
      <c r="DF216" s="43"/>
      <c r="DG216" s="43"/>
      <c r="DI216" s="71">
        <v>3</v>
      </c>
      <c r="DJ216" s="64">
        <f>DL5*DI216+DL6*DI216+DL7*DI216+DL8*DI216+DL9*DI216+DL10*DI216+DL11*DI216+DL12*DI216+DL13*DI216+DL14*DI216+DL15*DI216+DL16*DI216+DL17*DI216+DL18*DI216+DL19*DI216+DL20*DI216+DL21*DI216+DL22*DI216+DL23*DI216+DL24*DI216+DL25*DI216+DL26*DI216</f>
        <v>0</v>
      </c>
      <c r="DK216" s="64"/>
      <c r="DL216" s="64"/>
      <c r="DN216" s="71">
        <v>3</v>
      </c>
      <c r="DO216" s="64">
        <f>DQ5*DN216+DQ6*DN216+DQ7*DN216+DQ8*DN216+DQ9*DN216+DQ10*DN216+DQ11*DN216+DQ12*DN216+DQ13*DN216+DQ14*DN216+DQ15*DN216+DQ16*DN216+DQ17*DN216+DQ18*DN216+DQ19*DN216+DQ20*DN216+DQ21*DN216+DQ22*DN216+DQ23*DN216+DQ24*DN216+DQ25*DN216+DQ26*DN216</f>
        <v>0</v>
      </c>
      <c r="DP216" s="64"/>
      <c r="DQ216" s="64"/>
      <c r="DS216" s="60">
        <v>3</v>
      </c>
      <c r="DT216" s="64">
        <f>DV5*DS216+DV6*DS216+DV7*DS216+DV8*DS216+DV9*DS216+DV10*DS216+DV11*DS216+DV12*DS216+DV13*DS216+DV14*DS216+DV15*DS216+DV16*DS216+DV17*DS216+DV18*DS216+DV19*DS216+DV20*DS216+DV21*DS216+DV22*DS216+DV23*DS216+DV24*DS216+DV25*DS216+DV26*DS216</f>
        <v>0</v>
      </c>
      <c r="DU216" s="64"/>
      <c r="DV216" s="64"/>
      <c r="DX216" s="60">
        <v>3</v>
      </c>
      <c r="DY216" s="64">
        <f>EA5*DX216+EA6*DX216+EA7*DX216+EA8*DX216+EA9*DX216+EA10*DX216+EA11*DX216+EA12*DX216+EA13*DX216+EA14*DX216+EA15*DX216+EA16*DX216+EA17*DX216+EA18*DX216+EA19*DX216+EA20*DX216+EA21*DX216+EA22*DX216+EA23*DX216+EA24*DX216+EA25*DX216+EA26*DX216</f>
        <v>0</v>
      </c>
      <c r="DZ216" s="64"/>
      <c r="EA216" s="64"/>
      <c r="EC216" s="60">
        <v>3</v>
      </c>
      <c r="ED216" s="64">
        <f>EF5*EC216+EF6*EC216+EF7*EC216+EF8*EC216+EF9*EC216+EF10*EC216+EF11*EC216+EF12*EC216+EF13*EC216+EF14*EC216+EF15*EC216+EF16*EC216+EF17*EC216+EF18*EC216+EF19*EC216+EF20*EC216+EF21*EC216+EF22*EC216+EF23*EC216+EF24*EC216+EF25*EC216+EF26*EC216</f>
        <v>0</v>
      </c>
      <c r="EE216" s="64"/>
      <c r="EF216" s="64"/>
      <c r="EH216" s="60">
        <v>3</v>
      </c>
      <c r="EI216" s="64">
        <f>EK5*EH216+EK6*EH216+EK7*EH216+EK8*EH216+EK9*EH216+EK10*EH216+EK11*EH216+EK12*EH216+EK13*EH216+EK14*EH216+EK15*EH216+EK16*EH216+EK17*EH216+EK18*EH216+EK19*EH216+EK20*EH216+EK21*EH216+EK22*EH216+EK23*EH216+EK24*EH216+EK25*EH216+EK26*EH216</f>
        <v>0</v>
      </c>
      <c r="EJ216" s="64"/>
      <c r="EK216" s="64"/>
      <c r="ER216" s="856"/>
      <c r="EX216" s="203">
        <f t="shared" si="1"/>
        <v>0</v>
      </c>
      <c r="EY216" s="6"/>
    </row>
    <row r="217" spans="1:155" s="44" customFormat="1" ht="15" customHeight="1">
      <c r="A217" s="143" t="s">
        <v>320</v>
      </c>
      <c r="B217" s="210" t="s">
        <v>1410</v>
      </c>
      <c r="C217" s="400" t="s">
        <v>0</v>
      </c>
      <c r="D217" s="144"/>
      <c r="E217" s="62"/>
      <c r="I217" s="42"/>
      <c r="J217" s="4"/>
      <c r="K217" s="4"/>
      <c r="L217" s="42"/>
      <c r="M217" s="4"/>
      <c r="N217" s="4"/>
      <c r="O217" s="4"/>
      <c r="P217" s="4"/>
      <c r="Q217" s="42"/>
      <c r="R217" s="43"/>
      <c r="S217" s="43"/>
      <c r="U217" s="43"/>
      <c r="W217" s="43"/>
      <c r="X217" s="43"/>
      <c r="Y217" s="43"/>
      <c r="Z217" s="43"/>
      <c r="AB217" s="43"/>
      <c r="AC217" s="43"/>
      <c r="AD217" s="43"/>
      <c r="AE217" s="43"/>
      <c r="AG217" s="46"/>
      <c r="AH217" s="43"/>
      <c r="AI217" s="43"/>
      <c r="AJ217" s="43"/>
      <c r="AL217" s="43"/>
      <c r="AM217" s="43"/>
      <c r="AN217" s="43"/>
      <c r="AO217" s="43"/>
      <c r="AP217" s="6"/>
      <c r="AQ217" s="40"/>
      <c r="AR217" s="43"/>
      <c r="AS217" s="43"/>
      <c r="AT217" s="43"/>
      <c r="AU217" s="6"/>
      <c r="AZ217" s="6"/>
      <c r="BD217" s="43"/>
      <c r="BF217" s="43"/>
      <c r="BG217" s="43"/>
      <c r="BH217" s="43"/>
      <c r="BI217" s="43"/>
      <c r="BK217" s="142"/>
      <c r="BM217" s="43"/>
      <c r="BN217" s="43"/>
      <c r="BP217" s="62"/>
      <c r="BR217" s="43"/>
      <c r="BS217" s="43"/>
      <c r="BU217" s="62"/>
      <c r="BW217" s="43"/>
      <c r="BX217" s="43"/>
      <c r="BZ217" s="43"/>
      <c r="CA217" s="43"/>
      <c r="CB217" s="43"/>
      <c r="CC217" s="43"/>
      <c r="CE217" s="62"/>
      <c r="CG217" s="43"/>
      <c r="CH217" s="43"/>
      <c r="CI217" s="856"/>
      <c r="CJ217" s="139"/>
      <c r="CN217" s="6"/>
      <c r="CO217" s="222"/>
      <c r="CP217" s="43"/>
      <c r="CQ217" s="43"/>
      <c r="CR217" s="43"/>
      <c r="CT217" s="62"/>
      <c r="CV217" s="43"/>
      <c r="CW217" s="43"/>
      <c r="CX217" s="856"/>
      <c r="CY217" s="62"/>
      <c r="DA217" s="43"/>
      <c r="DB217" s="43"/>
      <c r="DC217" s="856"/>
      <c r="DD217" s="40"/>
      <c r="DE217" s="43"/>
      <c r="DF217" s="43"/>
      <c r="DG217" s="43"/>
      <c r="DI217" s="71"/>
      <c r="DJ217" s="64"/>
      <c r="DK217" s="64"/>
      <c r="DL217" s="64"/>
      <c r="DN217" s="71"/>
      <c r="DO217" s="64"/>
      <c r="DP217" s="64"/>
      <c r="DQ217" s="64"/>
      <c r="DS217" s="60"/>
      <c r="DT217" s="64"/>
      <c r="DU217" s="64"/>
      <c r="DV217" s="64"/>
      <c r="DX217" s="60"/>
      <c r="DY217" s="64"/>
      <c r="DZ217" s="64"/>
      <c r="EA217" s="64"/>
      <c r="EC217" s="60"/>
      <c r="ED217" s="64"/>
      <c r="EE217" s="64"/>
      <c r="EF217" s="64"/>
      <c r="EH217" s="60"/>
      <c r="EI217" s="64"/>
      <c r="EJ217" s="64"/>
      <c r="EK217" s="64"/>
      <c r="ER217" s="856"/>
      <c r="EX217" s="203">
        <f t="shared" si="1"/>
        <v>0</v>
      </c>
      <c r="EY217" s="6"/>
    </row>
    <row r="218" spans="1:155" s="6" customFormat="1" ht="15" customHeight="1">
      <c r="A218" s="90" t="s">
        <v>8</v>
      </c>
      <c r="B218" s="210" t="s">
        <v>8</v>
      </c>
      <c r="C218" s="473" t="s">
        <v>515</v>
      </c>
      <c r="D218" s="138"/>
      <c r="E218" s="62">
        <v>3</v>
      </c>
      <c r="F218" s="140">
        <f>SUM(F5:F26,G5:G26,H5:H26)*E218</f>
        <v>0</v>
      </c>
      <c r="G218" s="140"/>
      <c r="H218" s="140"/>
      <c r="I218" s="4"/>
      <c r="J218" s="4"/>
      <c r="K218" s="4"/>
      <c r="L218" s="4"/>
      <c r="M218" s="4"/>
      <c r="N218" s="4"/>
      <c r="O218" s="4"/>
      <c r="P218" s="4"/>
      <c r="Q218" s="4"/>
      <c r="R218" s="40"/>
      <c r="S218" s="41"/>
      <c r="T218" s="140"/>
      <c r="U218" s="41"/>
      <c r="W218" s="40"/>
      <c r="X218" s="41"/>
      <c r="Y218" s="41"/>
      <c r="Z218" s="41"/>
      <c r="AB218" s="40"/>
      <c r="AC218" s="41"/>
      <c r="AD218" s="41"/>
      <c r="AE218" s="41"/>
      <c r="AG218" s="46">
        <v>3</v>
      </c>
      <c r="AH218" s="140">
        <f>SUM(AH5:AH26,AI5:AI26,AJ5:AJ26)*AG218</f>
        <v>0</v>
      </c>
      <c r="AI218" s="41"/>
      <c r="AJ218" s="41"/>
      <c r="AL218" s="40"/>
      <c r="AM218" s="41"/>
      <c r="AN218" s="41"/>
      <c r="AO218" s="41"/>
      <c r="AQ218" s="40"/>
      <c r="AR218" s="41"/>
      <c r="AS218" s="41"/>
      <c r="AT218" s="41"/>
      <c r="AV218" s="139"/>
      <c r="AW218" s="139"/>
      <c r="AX218" s="139"/>
      <c r="AY218" s="140"/>
      <c r="BA218" s="139"/>
      <c r="BB218" s="139"/>
      <c r="BC218" s="139"/>
      <c r="BD218" s="41"/>
      <c r="BF218" s="40"/>
      <c r="BG218" s="40"/>
      <c r="BH218" s="40"/>
      <c r="BI218" s="41"/>
      <c r="BK218" s="142">
        <v>3</v>
      </c>
      <c r="BL218" s="140">
        <f>SUM(BL5:BL26,BM5:BM26,BN5:BN26)*BK218</f>
        <v>0</v>
      </c>
      <c r="BM218" s="40"/>
      <c r="BN218" s="41"/>
      <c r="BP218" s="62">
        <v>3</v>
      </c>
      <c r="BQ218" s="140">
        <f>SUM(BR214:BT214)</f>
        <v>0</v>
      </c>
      <c r="BR218" s="43"/>
      <c r="BS218" s="41"/>
      <c r="BT218" s="6">
        <f>IF(SUM(BS5:BS26)&gt;0,BT186,0)</f>
        <v>0</v>
      </c>
      <c r="BU218" s="62">
        <v>3</v>
      </c>
      <c r="BV218" s="140">
        <f>IF(SUM($ER$5:$ER$23)&gt;749,0,SUM(BX5:BX26,BW5:BW26,BV5:BV26)*3)</f>
        <v>0</v>
      </c>
      <c r="BW218" s="43"/>
      <c r="BX218" s="41"/>
      <c r="BZ218" s="40"/>
      <c r="CA218" s="40"/>
      <c r="CB218" s="40"/>
      <c r="CC218" s="41"/>
      <c r="CD218" s="140"/>
      <c r="CE218" s="62">
        <v>3</v>
      </c>
      <c r="CF218" s="140">
        <f>IF(SUM($ER$5:$ER$23)&gt;749,0,SUM(CH5:CH26,CG5:CG26,CF5:CF26)*3)</f>
        <v>0</v>
      </c>
      <c r="CG218" s="43"/>
      <c r="CH218" s="41"/>
      <c r="CI218" s="855">
        <f>IF(SUM(CH5:CH26)&gt;0,CI186,0)</f>
        <v>0</v>
      </c>
      <c r="CJ218" s="139"/>
      <c r="CK218" s="139"/>
      <c r="CL218" s="139"/>
      <c r="CM218" s="140"/>
      <c r="CO218" s="222"/>
      <c r="CP218" s="40"/>
      <c r="CQ218" s="40"/>
      <c r="CR218" s="41"/>
      <c r="CT218" s="62">
        <v>3</v>
      </c>
      <c r="CU218" s="140">
        <f>IF(SUM($ER$5:$ER$23)&gt;749,0,SUM(CW5:CW26,CV5:CV26,CU5:CU26)*3)</f>
        <v>0</v>
      </c>
      <c r="CV218" s="43"/>
      <c r="CW218" s="41"/>
      <c r="CX218" s="855">
        <f>IF(SUM(CW5:CW26)&gt;0,CX186,0)</f>
        <v>0</v>
      </c>
      <c r="CY218" s="62">
        <v>3</v>
      </c>
      <c r="CZ218" s="140">
        <f>IF(SUM($ER$5:$ER$23)&gt;749,0,SUM(DB5:DB26,DA5:DA26,CZ5:CZ26)*3)</f>
        <v>0</v>
      </c>
      <c r="DA218" s="43"/>
      <c r="DB218" s="41"/>
      <c r="DC218" s="855"/>
      <c r="DD218" s="40"/>
      <c r="DE218" s="40"/>
      <c r="DF218" s="40"/>
      <c r="DG218" s="41"/>
      <c r="DI218" s="71">
        <v>3</v>
      </c>
      <c r="DJ218" s="64">
        <f>DJ5*DI218+DK5*DI218+DJ6*DI218+DK6*DI218+DJ7*DI218+DK7*DI218+DJ8*DI218+DK8*DI218+DJ9*DI218+DK9*DI218+DJ10*DI218+DK10*DI218+DJ11*DI218+DK11*DI218+DJ12*DI218+DK12*DI218+DJ13*DI218+DK13*DI218+DJ14*DI218+DK14*DI218+DJ15*DI218+DK15*DI218+DJ16*DI218+DK16*DI218+DJ17*DI218+DK17*DI218+DJ18*DI218+DK18*DI218+DJ19*DI218+DK19*DI218+DJ20*DI218+DK20*DI218+DJ21*DI218+DK21*DI218+DJ22*DI218+DK22*DI218+DJ23*DI218+DK23*DI218+DJ24*DI218+DK24*DI218+DJ25*DI218+DK25*DI218+DJ26*DI218+DK26*DI218+DL5*DI218+DL6*DI218+DL7*DI218+DL8*DI218+DL9*DI218+DL10*DI218+DL11*DI218+DL12*DI218+DL13*DI218+DL14*DI218+DL15*DI218+DL15*DI218+DL16*DI218+DL17*DI218+DL18*DI218+DL19*DI218+DL20*DI218+DL21*DI218+DL22*DI218+DL23*DI218+DL24*DI218+DL25*DI218+DL26*DI218</f>
        <v>0</v>
      </c>
      <c r="DK218" s="64"/>
      <c r="DL218" s="64"/>
      <c r="DN218" s="71">
        <v>3</v>
      </c>
      <c r="DO218" s="64">
        <f>DO5*DN218+DP5*DN218+DO6*DN218+DP6*DN218+DO7*DN218+DP7*DN218+DO8*DN218+DP8*DN218+DO9*DN218+DP9*DN218+DO10*DN218+DP10*DN218+DO11*DN218+DP11*DN218+DO12*DN218+DP12*DN218+DO13*DN218+DP13*DN218+DO14*DN218+DP14*DN218+DO15*DN218+DP15*DN218+DO16*DN218+DP16*DN218+DO17*DN218+DP17*DN218+DO18*DN218+DP18*DN218+DO19*DN218+DP19*DN218+DO20*DN218+DP20*DN218+DO21*DN218+DP21*DN218+DO22*DN218+DP22*DN218+DO23*DN218+DP23*DN218+DO24*DN218+DP24*DN218+DO25*DN218+DP25*DN218+DO26*DN218+DP26*DN218+DQ5*DN218+DQ6*DN218+DQ7*DN218+DQ8*DN218+DQ9*DN218+DQ10*DN218+DQ11*DN218+DQ12*DN218+DQ13*DN218+DQ14*DN218+DQ15*DN218+DQ15*DN218+DQ16*DN218+DQ17*DN218+DQ18*DN218+DQ19*DN218+DQ20*DN218+DQ21*DN218+DQ22*DN218+DQ23*DN218+DQ24*DN218+DQ25*DN218+DQ26*DN218</f>
        <v>0</v>
      </c>
      <c r="DP218" s="64"/>
      <c r="DQ218" s="64"/>
      <c r="DS218" s="60">
        <v>3</v>
      </c>
      <c r="DT218" s="64">
        <f>DT5*DS218+DU5*DS218+DT6*DS218+DU6*DS218+DT7*DS218+DU7*DS218+DT8*DS218+DU8*DS218+DT9*DS218+DU9*DS218+DT10*DS218+DU10*DS218+DT11*DS218+DU11*DS218+DT12*DS218+DU12*DS218+DT13*DS218+DU13*DS218+DT14*DS218+DU14*DS218+DT15*DS218+DU15*DS218+DT16*DS218+DU16*DS218+DT17*DS218+DU17*DS218+DT18*DS218+DU18*DS218+DT19*DS218+DU19*DS218+DT20*DS218+DU20*DS218+DT21*DS218+DU21*DS218+DT22*DS218+DU22*DS218+DT23*DS218+DU23*DS218+DT24*DS218+DU24*DS218+DT25*DS218+DU25*DS218+DT26*DS218+DU26*DS218+DV5*DS218+DV6*DS218+DV7*DS218+DV8*DS218+DV9*DS218+DV10*DS218+DV11*DS218+DV12*DS218+DV13*DS218+DV14*DS218+DV15*DS218+DV15*DS218+DV16*DS218+DV17*DS218+DV18*DS218+DV19*DS218+DV20*DS218+DV21*DS218+DV22*DS218+DV23*DS218+DV24*DS218+DV25*DS218+DV26*DS218</f>
        <v>0</v>
      </c>
      <c r="DU218" s="64"/>
      <c r="DV218" s="64"/>
      <c r="DX218" s="60">
        <v>3</v>
      </c>
      <c r="DY218" s="64">
        <f>DY5*DX218+DZ5*DX218+DY6*DX218+DZ6*DX218+DY7*DX218+DZ7*DX218+DY8*DX218+DZ8*DX218+DY9*DX218+DZ9*DX218+DY10*DX218+DZ10*DX218+DY11*DX218+DZ11*DX218+DY12*DX218+DZ12*DX218+DY13*DX218+DZ13*DX218+DY14*DX218+DZ14*DX218+DY15*DX218+DZ15*DX218+DY16*DX218+DZ16*DX218+DY17*DX218+DZ17*DX218+DY18*DX218+DZ18*DX218+DY19*DX218+DZ19*DX218+DY20*DX218+DZ20*DX218+DY21*DX218+DZ21*DX218+DY22*DX218+DZ22*DX218+DY23*DX218+DZ23*DX218+DY24*DX218+DZ24*DX218+DY25*DX218+DZ25*DX218+DY26*DX218+DZ26*DX218+EA5*DX218+EA6*DX218+EA7*DX218+EA8*DX218+EA9*DX218+EA10*DX218+EA11*DX218+EA12*DX218+EA13*DX218+EA14*DX218+EA15*DX218+EA15*DX218+EA16*DX218+EA17*DX218+EA18*DX218+EA19*DX218+EA20*DX218+EA21*DX218+EA22*DX218+EA23*DX218+EA24*DX218+EA25*DX218+EA26*DX218</f>
        <v>0</v>
      </c>
      <c r="DZ218" s="64"/>
      <c r="EA218" s="64"/>
      <c r="EC218" s="60">
        <v>3</v>
      </c>
      <c r="ED218" s="64">
        <f>ED5*EC218+EE5*EC218+ED6*EC218+EE6*EC218+ED7*EC218+EE7*EC218+ED8*EC218+EE8*EC218+ED9*EC218+EE9*EC218+ED10*EC218+EE10*EC218+ED11*EC218+EE11*EC218+ED12*EC218+EE12*EC218+ED13*EC218+EE13*EC218+ED14*EC218+EE14*EC218+ED15*EC218+EE15*EC218+ED16*EC218+EE16*EC218+ED17*EC218+EE17*EC218+ED18*EC218+EE18*EC218+ED19*EC218+EE19*EC218+ED20*EC218+EE20*EC218+ED21*EC218+EE21*EC218+ED22*EC218+EE22*EC218+ED23*EC218+EE23*EC218+ED24*EC218+EE24*EC218+ED25*EC218+EE25*EC218+ED26*EC218+EE26*EC218+EF5*EC218+EF6*EC218+EF7*EC218+EF8*EC218+EF9*EC218+EF10*EC218+EF11*EC218+EF12*EC218+EF13*EC218+EF14*EC218+EF15*EC218+EF15*EC218+EF16*EC218+EF17*EC218+EF18*EC218+EF19*EC218+EF20*EC218+EF21*EC218+EF22*EC218+EF23*EC218+EF24*EC218+EF25*EC218+EF26*EC218</f>
        <v>0</v>
      </c>
      <c r="EE218" s="64"/>
      <c r="EF218" s="64"/>
      <c r="EH218" s="60">
        <v>3</v>
      </c>
      <c r="EI218" s="64">
        <f>EI5*EH218+EJ5*EH218+EI6*EH218+EJ6*EH218+EI7*EH218+EJ7*EH218+EI8*EH218+EJ8*EH218+EI9*EH218+EJ9*EH218+EI10*EH218+EJ10*EH218+EI11*EH218+EJ11*EH218+EI12*EH218+EJ12*EH218+EI13*EH218+EJ13*EH218+EI14*EH218+EJ14*EH218+EI15*EH218+EJ15*EH218+EI16*EH218+EJ16*EH218+EI17*EH218+EJ17*EH218+EI18*EH218+EJ18*EH218+EI19*EH218+EJ19*EH218+EI20*EH218+EJ20*EH218+EI21*EH218+EJ21*EH218+EI22*EH218+EJ22*EH218+EI23*EH218+EJ23*EH218+EI24*EH218+EJ24*EH218+EI25*EH218+EJ25*EH218+EI26*EH218+EJ26*EH218+EK5*EH218+EK6*EH218+EK7*EH218+EK8*EH218+EK9*EH218+EK10*EH218+EK11*EH218+EK12*EH218+EK13*EH218+EK14*EH218+EK15*EH218+EK15*EH218+EK16*EH218+EK17*EH218+EK18*EH218+EK19*EH218+EK20*EH218+EK21*EH218+EK22*EH218+EK23*EH218+EK24*EH218+EK25*EH218+EK26*EH218</f>
        <v>0</v>
      </c>
      <c r="EJ218" s="64"/>
      <c r="EK218" s="64"/>
      <c r="ER218" s="855"/>
      <c r="EX218" s="203">
        <f t="shared" si="1"/>
        <v>0</v>
      </c>
    </row>
    <row r="219" spans="1:155" s="6" customFormat="1" ht="15" customHeight="1">
      <c r="A219" s="90" t="s">
        <v>141</v>
      </c>
      <c r="B219" s="210" t="s">
        <v>141</v>
      </c>
      <c r="C219" s="473" t="s">
        <v>515</v>
      </c>
      <c r="D219" s="138"/>
      <c r="E219" s="40"/>
      <c r="F219" s="40"/>
      <c r="G219" s="40"/>
      <c r="H219" s="40"/>
      <c r="I219" s="4"/>
      <c r="J219" s="4"/>
      <c r="K219" s="4"/>
      <c r="L219" s="4"/>
      <c r="M219" s="4"/>
      <c r="N219" s="4"/>
      <c r="O219" s="4"/>
      <c r="P219" s="4"/>
      <c r="Q219" s="4"/>
      <c r="R219" s="40"/>
      <c r="S219" s="41"/>
      <c r="T219" s="140"/>
      <c r="U219" s="41"/>
      <c r="W219" s="40"/>
      <c r="X219" s="41"/>
      <c r="Y219" s="41"/>
      <c r="Z219" s="41"/>
      <c r="AB219" s="40"/>
      <c r="AC219" s="41"/>
      <c r="AD219" s="41"/>
      <c r="AE219" s="41"/>
      <c r="AG219" s="40"/>
      <c r="AH219" s="41"/>
      <c r="AI219" s="41"/>
      <c r="AJ219" s="41"/>
      <c r="AL219" s="40"/>
      <c r="AM219" s="41"/>
      <c r="AN219" s="41"/>
      <c r="AO219" s="41"/>
      <c r="AQ219" s="40"/>
      <c r="AR219" s="41"/>
      <c r="AS219" s="41"/>
      <c r="AT219" s="41"/>
      <c r="AV219" s="139"/>
      <c r="AW219" s="139"/>
      <c r="AX219" s="139"/>
      <c r="AY219" s="140"/>
      <c r="BA219" s="139"/>
      <c r="BB219" s="139"/>
      <c r="BC219" s="139"/>
      <c r="BD219" s="41"/>
      <c r="BF219" s="40"/>
      <c r="BG219" s="40"/>
      <c r="BH219" s="40"/>
      <c r="BI219" s="41"/>
      <c r="BK219" s="139"/>
      <c r="BL219" s="139"/>
      <c r="BM219" s="40"/>
      <c r="BN219" s="41"/>
      <c r="BP219" s="40"/>
      <c r="BQ219" s="40"/>
      <c r="BR219" s="40"/>
      <c r="BS219" s="41"/>
      <c r="BU219" s="40"/>
      <c r="BV219" s="40"/>
      <c r="BW219" s="40"/>
      <c r="BX219" s="41"/>
      <c r="BZ219" s="40"/>
      <c r="CA219" s="40"/>
      <c r="CB219" s="40"/>
      <c r="CC219" s="41"/>
      <c r="CD219" s="140"/>
      <c r="CE219" s="40"/>
      <c r="CF219" s="40"/>
      <c r="CG219" s="40"/>
      <c r="CH219" s="41"/>
      <c r="CJ219" s="139"/>
      <c r="CK219" s="139"/>
      <c r="CL219" s="139"/>
      <c r="CM219" s="140"/>
      <c r="CO219" s="222"/>
      <c r="CP219" s="40"/>
      <c r="CQ219" s="40"/>
      <c r="CR219" s="41"/>
      <c r="CT219" s="40"/>
      <c r="CU219" s="40"/>
      <c r="CV219" s="40"/>
      <c r="CW219" s="41"/>
      <c r="CY219" s="40"/>
      <c r="CZ219" s="40"/>
      <c r="DA219" s="40"/>
      <c r="DB219" s="41"/>
      <c r="DD219" s="40"/>
      <c r="DE219" s="40"/>
      <c r="DF219" s="40"/>
      <c r="DG219" s="41"/>
      <c r="DI219" s="64"/>
      <c r="DJ219" s="64">
        <f>DJ6*DI219+DK6*DI219+DJ7*DI219+DK7*DI219+DJ8*DI219+DK8*DI219+DJ9*DI219+DK9*DI219+DJ10*DI219+DK10*DI219+DJ11*DI219+DK11*DI219+DJ12*DI219+DK12*DI219+DJ13*DI219+DK13*DI219+DJ14*DI219+DK14*DI219+DJ15*DI219+DK15*DI219+DJ16*DI219+DK16*DI219+DJ17*DI219+DK17*DI219+DJ18*DI219+DK18*DI219+DJ19*DI219+DK19*DI219+DJ20*DI219+DK20*DI219+DJ21*DI219+DK21*DI219+DJ22*DI219+DK22*DI219+DJ23*DI219+DK23*DI219+DJ24*DI219+DK24*DI219+DJ25*DI219+DK25*DI219+DJ26*DI219+DK26*DI219+DJ5*DI219+DK5*DI219+DL6*DI219+DL7*DI219+DL8*DI219+DL9*DI219+DL10*DI219+DL11*DI219+DL12*DI219+DL13*DI219+DL14*DI219+DL15*DI219+DL16*DI219+DL16*DI219+DL17*DI219+DL18*DI219+DL19*DI219+DL20*DI219+DL21*DI219+DL22*DI219+DL23*DI219+DL24*DI219+DL25*DI219+DL26*DI219+DL5*DI219</f>
        <v>0</v>
      </c>
      <c r="DK219" s="64"/>
      <c r="DL219" s="64"/>
      <c r="DN219" s="64"/>
      <c r="DO219" s="64">
        <f>DO6*DN219+DP6*DN219+DO7*DN219+DP7*DN219+DO8*DN219+DP8*DN219+DO9*DN219+DP9*DN219+DO10*DN219+DP10*DN219+DO11*DN219+DP11*DN219+DO12*DN219+DP12*DN219+DO13*DN219+DP13*DN219+DO14*DN219+DP14*DN219+DO15*DN219+DP15*DN219+DO16*DN219+DP16*DN219+DO17*DN219+DP17*DN219+DO18*DN219+DP18*DN219+DO19*DN219+DP19*DN219+DO20*DN219+DP20*DN219+DO21*DN219+DP21*DN219+DO22*DN219+DP22*DN219+DO23*DN219+DP23*DN219+DO24*DN219+DP24*DN219+DO25*DN219+DP25*DN219+DO26*DN219+DP26*DN219+DO5*DN219+DP5*DN219+DQ6*DN219+DQ7*DN219+DQ8*DN219+DQ9*DN219+DQ10*DN219+DQ11*DN219+DQ12*DN219+DQ13*DN219+DQ14*DN219+DQ15*DN219+DQ16*DN219+DQ16*DN219+DQ17*DN219+DQ18*DN219+DQ19*DN219+DQ20*DN219+DQ21*DN219+DQ22*DN219+DQ23*DN219+DQ24*DN219+DQ25*DN219+DQ26*DN219+DQ5*DN219</f>
        <v>0</v>
      </c>
      <c r="DP219" s="64"/>
      <c r="DQ219" s="64"/>
      <c r="DS219" s="64"/>
      <c r="DT219" s="64">
        <f>DT6*DS219+DU6*DS219+DT7*DS219+DU7*DS219+DT8*DS219+DU8*DS219+DT9*DS219+DU9*DS219+DT10*DS219+DU10*DS219+DT11*DS219+DU11*DS219+DT12*DS219+DU12*DS219+DT13*DS219+DU13*DS219+DT14*DS219+DU14*DS219+DT15*DS219+DU15*DS219+DT16*DS219+DU16*DS219+DT17*DS219+DU17*DS219+DT18*DS219+DU18*DS219+DT19*DS219+DU19*DS219+DT20*DS219+DU20*DS219+DT21*DS219+DU21*DS219+DT22*DS219+DU22*DS219+DT23*DS219+DU23*DS219+DT24*DS219+DU24*DS219+DT25*DS219+DU25*DS219+DT26*DS219+DU26*DS219+DT5*DS219+DU5*DS219+DV6*DS219+DV7*DS219+DV8*DS219+DV9*DS219+DV10*DS219+DV11*DS219+DV12*DS219+DV13*DS219+DV14*DS219+DV15*DS219+DV16*DS219+DV16*DS219+DV17*DS219+DV18*DS219+DV19*DS219+DV20*DS219+DV21*DS219+DV22*DS219+DV23*DS219+DV24*DS219+DV25*DS219+DV26*DS219+DV5*DS219</f>
        <v>0</v>
      </c>
      <c r="DU219" s="64"/>
      <c r="DV219" s="64"/>
      <c r="DX219" s="64"/>
      <c r="DY219" s="64">
        <f>DY6*DX219+DZ6*DX219+DY7*DX219+DZ7*DX219+DY8*DX219+DZ8*DX219+DY9*DX219+DZ9*DX219+DY10*DX219+DZ10*DX219+DY11*DX219+DZ11*DX219+DY12*DX219+DZ12*DX219+DY13*DX219+DZ13*DX219+DY14*DX219+DZ14*DX219+DY15*DX219+DZ15*DX219+DY16*DX219+DZ16*DX219+DY17*DX219+DZ17*DX219+DY18*DX219+DZ18*DX219+DY19*DX219+DZ19*DX219+DY20*DX219+DZ20*DX219+DY21*DX219+DZ21*DX219+DY22*DX219+DZ22*DX219+DY23*DX219+DZ23*DX219+DY24*DX219+DZ24*DX219+DY25*DX219+DZ25*DX219+DY26*DX219+DZ26*DX219+DY5*DX219+DZ5*DX219+EA6*DX219+EA7*DX219+EA8*DX219+EA9*DX219+EA10*DX219+EA11*DX219+EA12*DX219+EA13*DX219+EA14*DX219+EA15*DX219+EA16*DX219+EA16*DX219+EA17*DX219+EA18*DX219+EA19*DX219+EA20*DX219+EA21*DX219+EA22*DX219+EA23*DX219+EA24*DX219+EA25*DX219+EA26*DX219+EA5*DX219</f>
        <v>0</v>
      </c>
      <c r="DZ219" s="64"/>
      <c r="EA219" s="64"/>
      <c r="EC219" s="64"/>
      <c r="ED219" s="64">
        <f>ED6*EC219+EE6*EC219+ED7*EC219+EE7*EC219+ED8*EC219+EE8*EC219+ED9*EC219+EE9*EC219+ED10*EC219+EE10*EC219+ED11*EC219+EE11*EC219+ED12*EC219+EE12*EC219+ED13*EC219+EE13*EC219+ED14*EC219+EE14*EC219+ED15*EC219+EE15*EC219+ED16*EC219+EE16*EC219+ED17*EC219+EE17*EC219+ED18*EC219+EE18*EC219+ED19*EC219+EE19*EC219+ED20*EC219+EE20*EC219+ED21*EC219+EE21*EC219+ED22*EC219+EE22*EC219+ED23*EC219+EE23*EC219+ED24*EC219+EE24*EC219+ED25*EC219+EE25*EC219+ED26*EC219+EE26*EC219+ED5*EC219+EE5*EC219+EF6*EC219+EF7*EC219+EF8*EC219+EF9*EC219+EF10*EC219+EF11*EC219+EF12*EC219+EF13*EC219+EF14*EC219+EF15*EC219+EF16*EC219+EF16*EC219+EF17*EC219+EF18*EC219+EF19*EC219+EF20*EC219+EF21*EC219+EF22*EC219+EF23*EC219+EF24*EC219+EF25*EC219+EF26*EC219+EF5*EC219</f>
        <v>0</v>
      </c>
      <c r="EE219" s="64"/>
      <c r="EF219" s="64"/>
      <c r="EH219" s="64"/>
      <c r="EI219" s="64">
        <f>EI6*EH219+EJ6*EH219+EI7*EH219+EJ7*EH219+EI8*EH219+EJ8*EH219+EI9*EH219+EJ9*EH219+EI10*EH219+EJ10*EH219+EI11*EH219+EJ11*EH219+EI12*EH219+EJ12*EH219+EI13*EH219+EJ13*EH219+EI14*EH219+EJ14*EH219+EI15*EH219+EJ15*EH219+EI16*EH219+EJ16*EH219+EI17*EH219+EJ17*EH219+EI18*EH219+EJ18*EH219+EI19*EH219+EJ19*EH219+EI20*EH219+EJ20*EH219+EI21*EH219+EJ21*EH219+EI22*EH219+EJ22*EH219+EI23*EH219+EJ23*EH219+EI24*EH219+EJ24*EH219+EI25*EH219+EJ25*EH219+EI26*EH219+EJ26*EH219+EI5*EH219+EJ5*EH219+EK6*EH219+EK7*EH219+EK8*EH219+EK9*EH219+EK10*EH219+EK11*EH219+EK12*EH219+EK13*EH219+EK14*EH219+EK15*EH219+EK16*EH219+EK16*EH219+EK17*EH219+EK18*EH219+EK19*EH219+EK20*EH219+EK21*EH219+EK22*EH219+EK23*EH219+EK24*EH219+EK25*EH219+EK26*EH219+EK5*EH219</f>
        <v>0</v>
      </c>
      <c r="EJ219" s="64"/>
      <c r="EK219" s="64"/>
      <c r="ER219" s="855"/>
      <c r="EX219" s="203">
        <f t="shared" si="1"/>
        <v>0</v>
      </c>
    </row>
    <row r="220" spans="1:155" s="6" customFormat="1" ht="15" customHeight="1">
      <c r="A220" s="90" t="s">
        <v>9</v>
      </c>
      <c r="B220" s="210" t="s">
        <v>9</v>
      </c>
      <c r="C220" s="473" t="s">
        <v>515</v>
      </c>
      <c r="D220" s="138"/>
      <c r="E220" s="40"/>
      <c r="F220" s="40"/>
      <c r="G220" s="40"/>
      <c r="H220" s="40"/>
      <c r="I220" s="4"/>
      <c r="J220" s="4"/>
      <c r="K220" s="4"/>
      <c r="L220" s="4"/>
      <c r="M220" s="4"/>
      <c r="N220" s="4"/>
      <c r="O220" s="4"/>
      <c r="P220" s="4"/>
      <c r="Q220" s="4"/>
      <c r="R220" s="40"/>
      <c r="S220" s="41"/>
      <c r="T220" s="140"/>
      <c r="U220" s="41"/>
      <c r="W220" s="40"/>
      <c r="X220" s="41"/>
      <c r="Y220" s="41"/>
      <c r="Z220" s="41"/>
      <c r="AB220" s="40"/>
      <c r="AC220" s="41"/>
      <c r="AD220" s="41"/>
      <c r="AE220" s="41"/>
      <c r="AG220" s="40"/>
      <c r="AH220" s="41"/>
      <c r="AI220" s="41"/>
      <c r="AJ220" s="41"/>
      <c r="AL220" s="40"/>
      <c r="AM220" s="41"/>
      <c r="AN220" s="41"/>
      <c r="AO220" s="41"/>
      <c r="AQ220" s="40"/>
      <c r="AR220" s="41"/>
      <c r="AS220" s="41"/>
      <c r="AT220" s="41"/>
      <c r="AV220" s="139"/>
      <c r="AW220" s="139"/>
      <c r="AX220" s="139"/>
      <c r="AY220" s="140"/>
      <c r="BA220" s="139"/>
      <c r="BB220" s="139"/>
      <c r="BC220" s="139"/>
      <c r="BD220" s="41"/>
      <c r="BF220" s="40"/>
      <c r="BG220" s="40"/>
      <c r="BH220" s="40"/>
      <c r="BI220" s="41"/>
      <c r="BK220" s="139"/>
      <c r="BL220" s="139"/>
      <c r="BM220" s="40"/>
      <c r="BN220" s="41"/>
      <c r="BP220" s="40"/>
      <c r="BQ220" s="40"/>
      <c r="BR220" s="40"/>
      <c r="BS220" s="41"/>
      <c r="BU220" s="40"/>
      <c r="BV220" s="40"/>
      <c r="BW220" s="40"/>
      <c r="BX220" s="41"/>
      <c r="BZ220" s="40"/>
      <c r="CA220" s="40"/>
      <c r="CB220" s="40"/>
      <c r="CC220" s="41"/>
      <c r="CD220" s="140"/>
      <c r="CE220" s="40"/>
      <c r="CF220" s="40"/>
      <c r="CG220" s="40"/>
      <c r="CH220" s="41"/>
      <c r="CJ220" s="139"/>
      <c r="CK220" s="139"/>
      <c r="CL220" s="139"/>
      <c r="CM220" s="140"/>
      <c r="CO220" s="222"/>
      <c r="CP220" s="40"/>
      <c r="CQ220" s="40"/>
      <c r="CR220" s="41"/>
      <c r="CT220" s="40"/>
      <c r="CU220" s="40"/>
      <c r="CV220" s="40"/>
      <c r="CW220" s="41"/>
      <c r="CY220" s="40"/>
      <c r="CZ220" s="40"/>
      <c r="DA220" s="40"/>
      <c r="DB220" s="41"/>
      <c r="DD220" s="40"/>
      <c r="DE220" s="40"/>
      <c r="DF220" s="40"/>
      <c r="DG220" s="41"/>
      <c r="DI220" s="71">
        <v>1</v>
      </c>
      <c r="DJ220" s="64">
        <f>DJ7*DI220+DK7*DI220+DJ8*DI220+DK8*DI220+DJ9*DI220+DK9*DI220+DJ10*DI220+DK10*DI220+DJ11*DI220+DK11*DI220+DJ12*DI220+DK12*DI220+DJ13*DI220+DK13*DI220+DJ14*DI220+DK14*DI220+DJ15*DI220+DK15*DI220+DJ16*DI220+DK16*DI220+DJ17*DI220+DK17*DI220+DJ18*DI220+DK18*DI220+DJ19*DI220+DK19*DI220+DJ20*DI220+DK20*DI220+DJ21*DI220+DK21*DI220+DJ22*DI220+DK22*DI220+DJ23*DI220+DK23*DI220+DJ24*DI220+DK24*DI220+DJ25*DI220+DK25*DI220+DJ26*DI220+DK26*DI220+DJ5*DI220+DK5*DI220+DJ6*DI220+DK6*DI220+DL7*DI220+DL8*DI220+DL9*DI220+DL10*DI220+DL11*DI220+DL12*DI220+DL13*DI220+DL14*DI220+DL15*DI220+DL16*DI220+DL17*DI220+DL17*DI220+DL18*DI220+DL19*DI220+DL20*DI220+DL21*DI220+DL22*DI220+DL23*DI220+DL24*DI220+DL25*DI220+DL26*DI220+DL5*DI220+DL6*DI220</f>
        <v>0</v>
      </c>
      <c r="DK220" s="64"/>
      <c r="DL220" s="64"/>
      <c r="DN220" s="71">
        <v>1</v>
      </c>
      <c r="DO220" s="64">
        <f>DO7*DN220+DP7*DN220+DO8*DN220+DP8*DN220+DO9*DN220+DP9*DN220+DO10*DN220+DP10*DN220+DO11*DN220+DP11*DN220+DO12*DN220+DP12*DN220+DO13*DN220+DP13*DN220+DO14*DN220+DP14*DN220+DO15*DN220+DP15*DN220+DO16*DN220+DP16*DN220+DO17*DN220+DP17*DN220+DO18*DN220+DP18*DN220+DO19*DN220+DP19*DN220+DO20*DN220+DP20*DN220+DO21*DN220+DP21*DN220+DO22*DN220+DP22*DN220+DO23*DN220+DP23*DN220+DO24*DN220+DP24*DN220+DO25*DN220+DP25*DN220+DO26*DN220+DP26*DN220+DO5*DN220+DP5*DN220+DO6*DN220+DP6*DN220+DQ7*DN220+DQ8*DN220+DQ9*DN220+DQ10*DN220+DQ11*DN220+DQ12*DN220+DQ13*DN220+DQ14*DN220+DQ15*DN220+DQ16*DN220+DQ17*DN220+DQ17*DN220+DQ18*DN220+DQ19*DN220+DQ20*DN220+DQ21*DN220+DQ22*DN220+DQ23*DN220+DQ24*DN220+DQ25*DN220+DQ26*DN220+DQ5*DN220+DQ6*DN220</f>
        <v>0</v>
      </c>
      <c r="DP220" s="64"/>
      <c r="DQ220" s="64"/>
      <c r="DS220" s="60">
        <v>1</v>
      </c>
      <c r="DT220" s="64">
        <f>DT7*DS220+DU7*DS220+DT8*DS220+DU8*DS220+DT9*DS220+DU9*DS220+DT10*DS220+DU10*DS220+DT11*DS220+DU11*DS220+DT12*DS220+DU12*DS220+DT13*DS220+DU13*DS220+DT14*DS220+DU14*DS220+DT15*DS220+DU15*DS220+DT16*DS220+DU16*DS220+DT17*DS220+DU17*DS220+DT18*DS220+DU18*DS220+DT19*DS220+DU19*DS220+DT20*DS220+DU20*DS220+DT21*DS220+DU21*DS220+DT22*DS220+DU22*DS220+DT23*DS220+DU23*DS220+DT24*DS220+DU24*DS220+DT25*DS220+DU25*DS220+DT26*DS220+DU26*DS220+DT5*DS220+DU5*DS220+DT6*DS220+DU6*DS220+DV7*DS220+DV8*DS220+DV9*DS220+DV10*DS220+DV11*DS220+DV12*DS220+DV13*DS220+DV14*DS220+DV15*DS220+DV16*DS220+DV17*DS220+DV17*DS220+DV18*DS220+DV19*DS220+DV20*DS220+DV21*DS220+DV22*DS220+DV23*DS220+DV24*DS220+DV25*DS220+DV26*DS220+DV5*DS220+DV6*DS220</f>
        <v>0</v>
      </c>
      <c r="DU220" s="64"/>
      <c r="DV220" s="64"/>
      <c r="DX220" s="60">
        <v>1</v>
      </c>
      <c r="DY220" s="64">
        <f>DY7*DX220+DZ7*DX220+DY8*DX220+DZ8*DX220+DY9*DX220+DZ9*DX220+DY10*DX220+DZ10*DX220+DY11*DX220+DZ11*DX220+DY12*DX220+DZ12*DX220+DY13*DX220+DZ13*DX220+DY14*DX220+DZ14*DX220+DY15*DX220+DZ15*DX220+DY16*DX220+DZ16*DX220+DY17*DX220+DZ17*DX220+DY18*DX220+DZ18*DX220+DY19*DX220+DZ19*DX220+DY20*DX220+DZ20*DX220+DY21*DX220+DZ21*DX220+DY22*DX220+DZ22*DX220+DY23*DX220+DZ23*DX220+DY24*DX220+DZ24*DX220+DY25*DX220+DZ25*DX220+DY26*DX220+DZ26*DX220+DY5*DX220+DZ5*DX220+DY6*DX220+DZ6*DX220+EA7*DX220+EA8*DX220+EA9*DX220+EA10*DX220+EA11*DX220+EA12*DX220+EA13*DX220+EA14*DX220+EA15*DX220+EA16*DX220+EA17*DX220+EA17*DX220+EA18*DX220+EA19*DX220+EA20*DX220+EA21*DX220+EA22*DX220+EA23*DX220+EA24*DX220+EA25*DX220+EA26*DX220+EA5*DX220+EA6*DX220</f>
        <v>0</v>
      </c>
      <c r="DZ220" s="64"/>
      <c r="EA220" s="64"/>
      <c r="EC220" s="60">
        <v>1</v>
      </c>
      <c r="ED220" s="64">
        <f>ED7*EC220+EE7*EC220+ED8*EC220+EE8*EC220+ED9*EC220+EE9*EC220+ED10*EC220+EE10*EC220+ED11*EC220+EE11*EC220+ED12*EC220+EE12*EC220+ED13*EC220+EE13*EC220+ED14*EC220+EE14*EC220+ED15*EC220+EE15*EC220+ED16*EC220+EE16*EC220+ED17*EC220+EE17*EC220+ED18*EC220+EE18*EC220+ED19*EC220+EE19*EC220+ED20*EC220+EE20*EC220+ED21*EC220+EE21*EC220+ED22*EC220+EE22*EC220+ED23*EC220+EE23*EC220+ED24*EC220+EE24*EC220+ED25*EC220+EE25*EC220+ED26*EC220+EE26*EC220+ED5*EC220+EE5*EC220+ED6*EC220+EE6*EC220+EF7*EC220+EF8*EC220+EF9*EC220+EF10*EC220+EF11*EC220+EF12*EC220+EF13*EC220+EF14*EC220+EF15*EC220+EF16*EC220+EF17*EC220+EF17*EC220+EF18*EC220+EF19*EC220+EF20*EC220+EF21*EC220+EF22*EC220+EF23*EC220+EF24*EC220+EF25*EC220+EF26*EC220+EF5*EC220+EF6*EC220</f>
        <v>0</v>
      </c>
      <c r="EE220" s="64"/>
      <c r="EF220" s="64"/>
      <c r="EH220" s="60">
        <v>1</v>
      </c>
      <c r="EI220" s="64">
        <f>EI7*EH220+EJ7*EH220+EI8*EH220+EJ8*EH220+EI9*EH220+EJ9*EH220+EI10*EH220+EJ10*EH220+EI11*EH220+EJ11*EH220+EI12*EH220+EJ12*EH220+EI13*EH220+EJ13*EH220+EI14*EH220+EJ14*EH220+EI15*EH220+EJ15*EH220+EI16*EH220+EJ16*EH220+EI17*EH220+EJ17*EH220+EI18*EH220+EJ18*EH220+EI19*EH220+EJ19*EH220+EI20*EH220+EJ20*EH220+EI21*EH220+EJ21*EH220+EI22*EH220+EJ22*EH220+EI23*EH220+EJ23*EH220+EI24*EH220+EJ24*EH220+EI25*EH220+EJ25*EH220+EI26*EH220+EJ26*EH220+EI5*EH220+EJ5*EH220+EI6*EH220+EJ6*EH220+EK7*EH220+EK8*EH220+EK9*EH220+EK10*EH220+EK11*EH220+EK12*EH220+EK13*EH220+EK14*EH220+EK15*EH220+EK16*EH220+EK17*EH220+EK17*EH220+EK18*EH220+EK19*EH220+EK20*EH220+EK21*EH220+EK22*EH220+EK23*EH220+EK24*EH220+EK25*EH220+EK26*EH220+EK5*EH220+EK6*EH220</f>
        <v>0</v>
      </c>
      <c r="EJ220" s="64"/>
      <c r="EK220" s="64"/>
      <c r="EN220" s="6">
        <f>IF(SUM(EU6,EW6)&gt;0,0,SUM(EU7,EW7)*4)</f>
        <v>0</v>
      </c>
      <c r="ER220" s="855"/>
      <c r="EX220" s="203">
        <f t="shared" si="1"/>
        <v>0</v>
      </c>
    </row>
    <row r="221" spans="1:155" s="6" customFormat="1" ht="15" customHeight="1">
      <c r="A221" s="90"/>
      <c r="B221" s="210" t="s">
        <v>452</v>
      </c>
      <c r="C221" s="473" t="s">
        <v>515</v>
      </c>
      <c r="D221" s="138"/>
      <c r="E221" s="40"/>
      <c r="F221" s="40"/>
      <c r="G221" s="40"/>
      <c r="H221" s="40"/>
      <c r="I221" s="4"/>
      <c r="J221" s="4"/>
      <c r="K221" s="4"/>
      <c r="L221" s="4"/>
      <c r="M221" s="4"/>
      <c r="N221" s="4"/>
      <c r="O221" s="4"/>
      <c r="P221" s="4"/>
      <c r="Q221" s="4"/>
      <c r="R221" s="40"/>
      <c r="S221" s="41"/>
      <c r="T221" s="140"/>
      <c r="U221" s="41"/>
      <c r="W221" s="40"/>
      <c r="X221" s="41"/>
      <c r="Y221" s="41"/>
      <c r="Z221" s="41"/>
      <c r="AB221" s="40"/>
      <c r="AC221" s="41"/>
      <c r="AD221" s="41"/>
      <c r="AE221" s="41"/>
      <c r="AG221" s="40"/>
      <c r="AH221" s="41"/>
      <c r="AI221" s="41"/>
      <c r="AJ221" s="41"/>
      <c r="AL221" s="40"/>
      <c r="AM221" s="41"/>
      <c r="AN221" s="41"/>
      <c r="AO221" s="41"/>
      <c r="AQ221" s="40"/>
      <c r="AR221" s="41"/>
      <c r="AS221" s="41"/>
      <c r="AT221" s="41"/>
      <c r="AV221" s="139"/>
      <c r="AW221" s="139"/>
      <c r="AX221" s="139"/>
      <c r="AY221" s="140"/>
      <c r="BA221" s="139"/>
      <c r="BB221" s="139"/>
      <c r="BC221" s="139"/>
      <c r="BD221" s="41"/>
      <c r="BF221" s="40"/>
      <c r="BG221" s="40"/>
      <c r="BH221" s="40"/>
      <c r="BI221" s="41"/>
      <c r="BK221" s="139"/>
      <c r="BL221" s="139"/>
      <c r="BM221" s="40"/>
      <c r="BN221" s="41"/>
      <c r="BP221" s="40"/>
      <c r="BQ221" s="40"/>
      <c r="BR221" s="40"/>
      <c r="BS221" s="41"/>
      <c r="BU221" s="40"/>
      <c r="BV221" s="40"/>
      <c r="BW221" s="40"/>
      <c r="BX221" s="41"/>
      <c r="BZ221" s="40"/>
      <c r="CA221" s="40"/>
      <c r="CB221" s="40"/>
      <c r="CC221" s="41"/>
      <c r="CD221" s="140"/>
      <c r="CE221" s="40"/>
      <c r="CF221" s="40"/>
      <c r="CG221" s="40"/>
      <c r="CH221" s="41"/>
      <c r="CJ221" s="139"/>
      <c r="CK221" s="139"/>
      <c r="CL221" s="139"/>
      <c r="CM221" s="140"/>
      <c r="CO221" s="222"/>
      <c r="CP221" s="40"/>
      <c r="CQ221" s="40"/>
      <c r="CR221" s="41"/>
      <c r="CT221" s="40"/>
      <c r="CU221" s="40"/>
      <c r="CV221" s="40"/>
      <c r="CW221" s="41"/>
      <c r="CY221" s="40"/>
      <c r="CZ221" s="40"/>
      <c r="DA221" s="40"/>
      <c r="DB221" s="41"/>
      <c r="DD221" s="40"/>
      <c r="DE221" s="40"/>
      <c r="DF221" s="40"/>
      <c r="DG221" s="41"/>
      <c r="DI221" s="71"/>
      <c r="DJ221" s="64"/>
      <c r="DK221" s="64"/>
      <c r="DL221" s="64"/>
      <c r="DN221" s="71"/>
      <c r="DO221" s="64"/>
      <c r="DP221" s="64"/>
      <c r="DQ221" s="64"/>
      <c r="DS221" s="60"/>
      <c r="DT221" s="64"/>
      <c r="DU221" s="64"/>
      <c r="DV221" s="64"/>
      <c r="DX221" s="60"/>
      <c r="DY221" s="64"/>
      <c r="DZ221" s="64"/>
      <c r="EA221" s="64"/>
      <c r="EC221" s="60"/>
      <c r="ED221" s="64"/>
      <c r="EE221" s="64"/>
      <c r="EF221" s="64"/>
      <c r="EH221" s="60"/>
      <c r="EI221" s="64"/>
      <c r="EJ221" s="64"/>
      <c r="EK221" s="64"/>
      <c r="ER221" s="855"/>
      <c r="EX221" s="203">
        <f t="shared" si="1"/>
        <v>0</v>
      </c>
    </row>
    <row r="222" spans="1:155" s="6" customFormat="1" ht="15" customHeight="1">
      <c r="A222" s="90" t="s">
        <v>10</v>
      </c>
      <c r="B222" s="210" t="s">
        <v>10</v>
      </c>
      <c r="C222" s="473" t="s">
        <v>515</v>
      </c>
      <c r="D222" s="138"/>
      <c r="E222" s="40"/>
      <c r="F222" s="40"/>
      <c r="G222" s="40"/>
      <c r="H222" s="40"/>
      <c r="I222" s="4"/>
      <c r="J222" s="4"/>
      <c r="K222" s="4"/>
      <c r="L222" s="4"/>
      <c r="M222" s="4"/>
      <c r="N222" s="4"/>
      <c r="O222" s="4"/>
      <c r="P222" s="4"/>
      <c r="Q222" s="4"/>
      <c r="R222" s="40"/>
      <c r="S222" s="41"/>
      <c r="T222" s="140"/>
      <c r="U222" s="41"/>
      <c r="W222" s="40"/>
      <c r="X222" s="41"/>
      <c r="Y222" s="41"/>
      <c r="Z222" s="41"/>
      <c r="AB222" s="40"/>
      <c r="AC222" s="41"/>
      <c r="AD222" s="41"/>
      <c r="AE222" s="41"/>
      <c r="AG222" s="40"/>
      <c r="AH222" s="41"/>
      <c r="AI222" s="41"/>
      <c r="AJ222" s="41"/>
      <c r="AL222" s="40"/>
      <c r="AM222" s="41"/>
      <c r="AN222" s="41"/>
      <c r="AO222" s="41"/>
      <c r="AQ222" s="40"/>
      <c r="AR222" s="41"/>
      <c r="AS222" s="41"/>
      <c r="AT222" s="41"/>
      <c r="AV222" s="139"/>
      <c r="AW222" s="139"/>
      <c r="AX222" s="139"/>
      <c r="AY222" s="140"/>
      <c r="BA222" s="139"/>
      <c r="BB222" s="139"/>
      <c r="BC222" s="139"/>
      <c r="BD222" s="41"/>
      <c r="BF222" s="40"/>
      <c r="BG222" s="40"/>
      <c r="BH222" s="40"/>
      <c r="BI222" s="41"/>
      <c r="BK222" s="139"/>
      <c r="BL222" s="139"/>
      <c r="BM222" s="40"/>
      <c r="BN222" s="41"/>
      <c r="BP222" s="40"/>
      <c r="BQ222" s="40"/>
      <c r="BR222" s="40"/>
      <c r="BS222" s="41"/>
      <c r="BU222" s="40"/>
      <c r="BV222" s="40"/>
      <c r="BW222" s="40"/>
      <c r="BX222" s="41"/>
      <c r="BZ222" s="40"/>
      <c r="CA222" s="40"/>
      <c r="CB222" s="40"/>
      <c r="CC222" s="41"/>
      <c r="CD222" s="140"/>
      <c r="CE222" s="40"/>
      <c r="CF222" s="40"/>
      <c r="CG222" s="40"/>
      <c r="CH222" s="41"/>
      <c r="CJ222" s="139"/>
      <c r="CK222" s="139"/>
      <c r="CL222" s="139"/>
      <c r="CM222" s="140"/>
      <c r="CO222" s="222"/>
      <c r="CP222" s="40"/>
      <c r="CQ222" s="40"/>
      <c r="CR222" s="41"/>
      <c r="CT222" s="40"/>
      <c r="CU222" s="40"/>
      <c r="CV222" s="40"/>
      <c r="CW222" s="41"/>
      <c r="CY222" s="40"/>
      <c r="CZ222" s="40"/>
      <c r="DA222" s="40"/>
      <c r="DB222" s="41"/>
      <c r="DD222" s="40"/>
      <c r="DE222" s="40"/>
      <c r="DF222" s="40"/>
      <c r="DG222" s="41"/>
      <c r="DI222" s="64"/>
      <c r="DJ222" s="64"/>
      <c r="DK222" s="64"/>
      <c r="DL222" s="64"/>
      <c r="DN222" s="64"/>
      <c r="DO222" s="64"/>
      <c r="DP222" s="64"/>
      <c r="DQ222" s="64"/>
      <c r="DS222" s="64"/>
      <c r="DT222" s="64"/>
      <c r="DU222" s="64"/>
      <c r="DV222" s="64"/>
      <c r="DX222" s="64"/>
      <c r="DY222" s="64"/>
      <c r="DZ222" s="64"/>
      <c r="EA222" s="64"/>
      <c r="EC222" s="64"/>
      <c r="ED222" s="64"/>
      <c r="EE222" s="64"/>
      <c r="EF222" s="64"/>
      <c r="EH222" s="64"/>
      <c r="EI222" s="64"/>
      <c r="EJ222" s="64"/>
      <c r="EK222" s="64"/>
      <c r="ER222" s="855"/>
      <c r="EX222" s="203">
        <f t="shared" si="1"/>
        <v>0</v>
      </c>
    </row>
    <row r="223" spans="1:155" s="6" customFormat="1" ht="15" customHeight="1">
      <c r="A223" s="90"/>
      <c r="B223" s="210" t="s">
        <v>731</v>
      </c>
      <c r="C223" s="473" t="s">
        <v>0</v>
      </c>
      <c r="D223" s="138"/>
      <c r="E223" s="40">
        <v>6</v>
      </c>
      <c r="F223" s="40">
        <f>IF(SUM($ER$5:$ER$15)&lt;=2000,0,SUM(H5:H23)*E223)</f>
        <v>0</v>
      </c>
      <c r="G223" s="40"/>
      <c r="H223" s="40"/>
      <c r="I223" s="4"/>
      <c r="J223" s="4"/>
      <c r="K223" s="4"/>
      <c r="L223" s="4"/>
      <c r="M223" s="4"/>
      <c r="N223" s="4"/>
      <c r="O223" s="4"/>
      <c r="P223" s="4"/>
      <c r="Q223" s="4"/>
      <c r="R223" s="40"/>
      <c r="S223" s="41"/>
      <c r="T223" s="140"/>
      <c r="U223" s="41"/>
      <c r="W223" s="40"/>
      <c r="X223" s="41"/>
      <c r="Y223" s="41"/>
      <c r="Z223" s="41"/>
      <c r="AB223" s="40"/>
      <c r="AC223" s="41"/>
      <c r="AD223" s="41"/>
      <c r="AE223" s="41"/>
      <c r="AG223" s="40"/>
      <c r="AH223" s="41"/>
      <c r="AI223" s="41"/>
      <c r="AJ223" s="41"/>
      <c r="AL223" s="40"/>
      <c r="AM223" s="41"/>
      <c r="AN223" s="41"/>
      <c r="AO223" s="41"/>
      <c r="AQ223" s="40"/>
      <c r="AR223" s="41"/>
      <c r="AS223" s="41"/>
      <c r="AT223" s="41"/>
      <c r="AV223" s="139"/>
      <c r="AW223" s="139"/>
      <c r="AX223" s="139"/>
      <c r="AY223" s="140"/>
      <c r="BA223" s="139"/>
      <c r="BB223" s="139"/>
      <c r="BC223" s="139"/>
      <c r="BD223" s="41"/>
      <c r="BF223" s="40"/>
      <c r="BG223" s="40"/>
      <c r="BH223" s="40"/>
      <c r="BI223" s="41"/>
      <c r="BK223" s="139"/>
      <c r="BL223" s="139"/>
      <c r="BM223" s="40"/>
      <c r="BN223" s="41"/>
      <c r="BP223" s="40">
        <v>6</v>
      </c>
      <c r="BQ223" s="40">
        <f>IF(SUM($ER$5:$ER$15)&lt;2000,0,SUM(BS5:BS23)*BP223)</f>
        <v>0</v>
      </c>
      <c r="BR223" s="40"/>
      <c r="BS223" s="41"/>
      <c r="BU223" s="40">
        <v>6</v>
      </c>
      <c r="BV223" s="40">
        <f>IF(SUM($ER$5:$ER$15)&lt;2000,0,SUM(BX5:BX23)*BU223)</f>
        <v>0</v>
      </c>
      <c r="BW223" s="40"/>
      <c r="BX223" s="41"/>
      <c r="BZ223" s="40"/>
      <c r="CA223" s="40"/>
      <c r="CB223" s="40"/>
      <c r="CC223" s="41"/>
      <c r="CD223" s="140"/>
      <c r="CE223" s="40">
        <v>6</v>
      </c>
      <c r="CF223" s="40">
        <f>IF(SUM($ER$5:$ER$15)&lt;2000,0,SUM(CH5:CH23)*CE223)</f>
        <v>0</v>
      </c>
      <c r="CG223" s="40"/>
      <c r="CH223" s="41"/>
      <c r="CJ223" s="139"/>
      <c r="CK223" s="139"/>
      <c r="CL223" s="139"/>
      <c r="CM223" s="140"/>
      <c r="CO223" s="222"/>
      <c r="CP223" s="40"/>
      <c r="CQ223" s="40"/>
      <c r="CR223" s="41"/>
      <c r="CT223" s="40">
        <v>6</v>
      </c>
      <c r="CU223" s="40">
        <f>IF(SUM($ER$5:$ER$15)&lt;2000,0,SUM(CW5:CW23)*CT223)</f>
        <v>0</v>
      </c>
      <c r="CV223" s="40"/>
      <c r="CW223" s="41"/>
      <c r="CY223" s="40">
        <v>6</v>
      </c>
      <c r="CZ223" s="40">
        <f>IF(SUM($ER$5:$ER$15)&lt;2000,0,SUM(DB5:DB23)*CY223)</f>
        <v>0</v>
      </c>
      <c r="DA223" s="40"/>
      <c r="DB223" s="41"/>
      <c r="DD223" s="40">
        <v>6</v>
      </c>
      <c r="DE223" s="40">
        <f>SUM(DG5:DG26)*DD223</f>
        <v>0</v>
      </c>
      <c r="DF223" s="40"/>
      <c r="DG223" s="41"/>
      <c r="DI223" s="64"/>
      <c r="DJ223" s="64"/>
      <c r="DK223" s="64"/>
      <c r="DL223" s="64"/>
      <c r="DN223" s="64"/>
      <c r="DO223" s="64"/>
      <c r="DP223" s="64"/>
      <c r="DQ223" s="64"/>
      <c r="DS223" s="64"/>
      <c r="DT223" s="64"/>
      <c r="DU223" s="64"/>
      <c r="DV223" s="64"/>
      <c r="DX223" s="64"/>
      <c r="DY223" s="64"/>
      <c r="DZ223" s="64"/>
      <c r="EA223" s="64"/>
      <c r="EC223" s="64"/>
      <c r="ED223" s="64"/>
      <c r="EE223" s="64"/>
      <c r="EF223" s="64"/>
      <c r="EH223" s="64"/>
      <c r="EI223" s="64"/>
      <c r="EJ223" s="64"/>
      <c r="EK223" s="64"/>
      <c r="ER223" s="855"/>
      <c r="EX223" s="203">
        <f t="shared" si="1"/>
        <v>0</v>
      </c>
    </row>
    <row r="224" spans="1:155" s="6" customFormat="1" ht="15" customHeight="1">
      <c r="A224" s="90" t="s">
        <v>145</v>
      </c>
      <c r="B224" s="210" t="s">
        <v>145</v>
      </c>
      <c r="C224" s="473" t="s">
        <v>515</v>
      </c>
      <c r="D224" s="138"/>
      <c r="E224" s="40"/>
      <c r="F224" s="40"/>
      <c r="G224" s="40"/>
      <c r="H224" s="40"/>
      <c r="I224" s="4"/>
      <c r="J224" s="4"/>
      <c r="K224" s="4"/>
      <c r="L224" s="4"/>
      <c r="M224" s="4"/>
      <c r="N224" s="4"/>
      <c r="O224" s="4"/>
      <c r="P224" s="4"/>
      <c r="Q224" s="4"/>
      <c r="R224" s="40"/>
      <c r="S224" s="41"/>
      <c r="T224" s="140"/>
      <c r="U224" s="41"/>
      <c r="W224" s="40"/>
      <c r="X224" s="41"/>
      <c r="Y224" s="41"/>
      <c r="Z224" s="41"/>
      <c r="AB224" s="40"/>
      <c r="AC224" s="41"/>
      <c r="AD224" s="41"/>
      <c r="AE224" s="41"/>
      <c r="AG224" s="40"/>
      <c r="AH224" s="41"/>
      <c r="AI224" s="41"/>
      <c r="AJ224" s="41"/>
      <c r="AL224" s="40"/>
      <c r="AM224" s="41"/>
      <c r="AN224" s="41"/>
      <c r="AO224" s="41"/>
      <c r="AQ224" s="40"/>
      <c r="AR224" s="41"/>
      <c r="AS224" s="41"/>
      <c r="AT224" s="41"/>
      <c r="AV224" s="139"/>
      <c r="AW224" s="139"/>
      <c r="AX224" s="139"/>
      <c r="AY224" s="140"/>
      <c r="BA224" s="139"/>
      <c r="BB224" s="139"/>
      <c r="BC224" s="139"/>
      <c r="BD224" s="41"/>
      <c r="BF224" s="40"/>
      <c r="BG224" s="40"/>
      <c r="BH224" s="40"/>
      <c r="BI224" s="41"/>
      <c r="BK224" s="139"/>
      <c r="BL224" s="139"/>
      <c r="BM224" s="40"/>
      <c r="BN224" s="41"/>
      <c r="BP224" s="40">
        <v>6</v>
      </c>
      <c r="BQ224" s="40"/>
      <c r="BR224" s="40"/>
      <c r="BS224" s="41"/>
      <c r="BU224" s="40">
        <v>6</v>
      </c>
      <c r="BV224" s="40"/>
      <c r="BW224" s="40"/>
      <c r="BX224" s="41"/>
      <c r="BZ224" s="40"/>
      <c r="CA224" s="40"/>
      <c r="CB224" s="40"/>
      <c r="CC224" s="41"/>
      <c r="CD224" s="140"/>
      <c r="CE224" s="40">
        <v>6</v>
      </c>
      <c r="CF224" s="40"/>
      <c r="CG224" s="40"/>
      <c r="CH224" s="41"/>
      <c r="CJ224" s="139"/>
      <c r="CK224" s="139"/>
      <c r="CL224" s="139"/>
      <c r="CM224" s="140"/>
      <c r="CO224" s="222"/>
      <c r="CP224" s="40"/>
      <c r="CQ224" s="40"/>
      <c r="CR224" s="41"/>
      <c r="CT224" s="40">
        <v>6</v>
      </c>
      <c r="CU224" s="40"/>
      <c r="CV224" s="40"/>
      <c r="CW224" s="41"/>
      <c r="CY224" s="40">
        <v>6</v>
      </c>
      <c r="CZ224" s="40"/>
      <c r="DA224" s="40"/>
      <c r="DB224" s="41"/>
      <c r="DD224" s="40">
        <v>6</v>
      </c>
      <c r="DE224" s="40"/>
      <c r="DF224" s="40"/>
      <c r="DG224" s="41"/>
      <c r="DI224" s="64"/>
      <c r="DJ224" s="64"/>
      <c r="DK224" s="64"/>
      <c r="DL224" s="64"/>
      <c r="DN224" s="64"/>
      <c r="DO224" s="64"/>
      <c r="DP224" s="64"/>
      <c r="DQ224" s="64"/>
      <c r="DS224" s="64"/>
      <c r="DT224" s="64"/>
      <c r="DU224" s="64"/>
      <c r="DV224" s="64"/>
      <c r="DX224" s="64"/>
      <c r="DY224" s="64"/>
      <c r="DZ224" s="64"/>
      <c r="EA224" s="64"/>
      <c r="EC224" s="64"/>
      <c r="ED224" s="64"/>
      <c r="EE224" s="64"/>
      <c r="EF224" s="64"/>
      <c r="EH224" s="64"/>
      <c r="EI224" s="64"/>
      <c r="EJ224" s="64"/>
      <c r="EK224" s="64"/>
      <c r="ER224" s="855"/>
      <c r="EX224" s="203">
        <f t="shared" si="1"/>
        <v>0</v>
      </c>
    </row>
    <row r="225" spans="1:154" s="6" customFormat="1" ht="15" customHeight="1">
      <c r="A225" s="90" t="s">
        <v>144</v>
      </c>
      <c r="B225" s="210" t="s">
        <v>144</v>
      </c>
      <c r="C225" s="473" t="s">
        <v>515</v>
      </c>
      <c r="D225" s="138"/>
      <c r="E225" s="40">
        <v>6</v>
      </c>
      <c r="F225" s="40"/>
      <c r="G225" s="40"/>
      <c r="H225" s="40"/>
      <c r="I225" s="4"/>
      <c r="J225" s="4"/>
      <c r="K225" s="4"/>
      <c r="L225" s="4"/>
      <c r="M225" s="4"/>
      <c r="N225" s="4"/>
      <c r="O225" s="4"/>
      <c r="P225" s="4"/>
      <c r="Q225" s="4"/>
      <c r="R225" s="40"/>
      <c r="S225" s="41"/>
      <c r="T225" s="140"/>
      <c r="U225" s="41"/>
      <c r="W225" s="40"/>
      <c r="X225" s="41"/>
      <c r="Y225" s="41"/>
      <c r="Z225" s="41"/>
      <c r="AB225" s="40"/>
      <c r="AC225" s="41"/>
      <c r="AD225" s="41"/>
      <c r="AE225" s="41"/>
      <c r="AG225" s="40"/>
      <c r="AH225" s="41"/>
      <c r="AI225" s="41"/>
      <c r="AJ225" s="41"/>
      <c r="AL225" s="40"/>
      <c r="AM225" s="41"/>
      <c r="AN225" s="41"/>
      <c r="AO225" s="41"/>
      <c r="AQ225" s="40"/>
      <c r="AR225" s="41"/>
      <c r="AS225" s="41"/>
      <c r="AT225" s="41"/>
      <c r="AV225" s="139"/>
      <c r="AW225" s="139"/>
      <c r="AX225" s="139"/>
      <c r="AY225" s="140"/>
      <c r="BA225" s="139"/>
      <c r="BB225" s="139"/>
      <c r="BC225" s="139"/>
      <c r="BD225" s="41"/>
      <c r="BF225" s="40"/>
      <c r="BG225" s="40"/>
      <c r="BH225" s="40"/>
      <c r="BI225" s="41"/>
      <c r="BK225" s="139"/>
      <c r="BL225" s="139"/>
      <c r="BM225" s="40"/>
      <c r="BN225" s="41"/>
      <c r="BP225" s="40">
        <v>6</v>
      </c>
      <c r="BQ225" s="40"/>
      <c r="BR225" s="40"/>
      <c r="BS225" s="41"/>
      <c r="BU225" s="40">
        <v>6</v>
      </c>
      <c r="BV225" s="40"/>
      <c r="BW225" s="40"/>
      <c r="BX225" s="41"/>
      <c r="BZ225" s="40"/>
      <c r="CA225" s="40"/>
      <c r="CB225" s="40"/>
      <c r="CC225" s="41"/>
      <c r="CD225" s="140"/>
      <c r="CE225" s="40">
        <v>6</v>
      </c>
      <c r="CF225" s="40"/>
      <c r="CG225" s="40"/>
      <c r="CH225" s="41"/>
      <c r="CJ225" s="139"/>
      <c r="CK225" s="139"/>
      <c r="CL225" s="139"/>
      <c r="CM225" s="140"/>
      <c r="CO225" s="222"/>
      <c r="CP225" s="40"/>
      <c r="CQ225" s="40"/>
      <c r="CR225" s="41"/>
      <c r="CT225" s="40">
        <v>6</v>
      </c>
      <c r="CU225" s="40"/>
      <c r="CV225" s="40"/>
      <c r="CW225" s="41"/>
      <c r="CY225" s="40">
        <v>6</v>
      </c>
      <c r="CZ225" s="40"/>
      <c r="DA225" s="40"/>
      <c r="DB225" s="41"/>
      <c r="DD225" s="40">
        <v>6</v>
      </c>
      <c r="DE225" s="40"/>
      <c r="DF225" s="40"/>
      <c r="DG225" s="41"/>
      <c r="DI225" s="64"/>
      <c r="DJ225" s="64"/>
      <c r="DK225" s="64"/>
      <c r="DL225" s="64"/>
      <c r="DN225" s="64"/>
      <c r="DO225" s="64"/>
      <c r="DP225" s="64"/>
      <c r="DQ225" s="64"/>
      <c r="DS225" s="64"/>
      <c r="DT225" s="64"/>
      <c r="DU225" s="64"/>
      <c r="DV225" s="64"/>
      <c r="DX225" s="64"/>
      <c r="DY225" s="64"/>
      <c r="DZ225" s="64"/>
      <c r="EA225" s="64"/>
      <c r="EC225" s="64"/>
      <c r="ED225" s="64"/>
      <c r="EE225" s="64"/>
      <c r="EF225" s="64"/>
      <c r="EH225" s="64"/>
      <c r="EI225" s="64"/>
      <c r="EJ225" s="64"/>
      <c r="EK225" s="64"/>
      <c r="ER225" s="855"/>
      <c r="EX225" s="203">
        <f t="shared" si="1"/>
        <v>0</v>
      </c>
    </row>
    <row r="226" spans="1:154" s="6" customFormat="1" ht="15" customHeight="1">
      <c r="A226" s="150" t="s">
        <v>213</v>
      </c>
      <c r="B226" s="210" t="s">
        <v>213</v>
      </c>
      <c r="C226" s="473" t="s">
        <v>515</v>
      </c>
      <c r="D226" s="138"/>
      <c r="E226" s="40">
        <v>6</v>
      </c>
      <c r="F226" s="40">
        <f>IF(SUM($ER$5:$ER$15)&lt;=2000,0,SUM(F5:F23)*E226)</f>
        <v>0</v>
      </c>
      <c r="G226" s="40"/>
      <c r="H226" s="40"/>
      <c r="I226" s="4"/>
      <c r="J226" s="4"/>
      <c r="K226" s="4"/>
      <c r="L226" s="4"/>
      <c r="M226" s="4"/>
      <c r="N226" s="4"/>
      <c r="O226" s="4"/>
      <c r="P226" s="4"/>
      <c r="Q226" s="4"/>
      <c r="R226" s="40"/>
      <c r="S226" s="41"/>
      <c r="T226" s="140"/>
      <c r="U226" s="41"/>
      <c r="W226" s="40"/>
      <c r="X226" s="41"/>
      <c r="Y226" s="41"/>
      <c r="Z226" s="41"/>
      <c r="AB226" s="40"/>
      <c r="AC226" s="41"/>
      <c r="AD226" s="41"/>
      <c r="AE226" s="41"/>
      <c r="AG226" s="40"/>
      <c r="AH226" s="41"/>
      <c r="AI226" s="41"/>
      <c r="AJ226" s="41"/>
      <c r="AL226" s="139"/>
      <c r="AM226" s="139">
        <f>AO5*AL226+AO6*AL226+AO7*AL226+AO8*AL226+AO9*AL226+AO10*AL226+AO11*AL226+AO12*AL226+AO13*AL226+AO14*AL226+AO15*AL226+AO16*AL226+AO17*AL226+AO18*AL226+AO19*AL226+AO20*AL226+AO21*AL226+AO22*AL226+AO23*AL226+AO24*AL226+AO25*AL226+AO26*AL226</f>
        <v>0</v>
      </c>
      <c r="AN226" s="41"/>
      <c r="AO226" s="41"/>
      <c r="AQ226" s="139"/>
      <c r="AR226" s="139">
        <f>AT5*AQ226+AT6*AQ226+AT7*AQ226+AT8*AQ226+AT9*AQ226+AT10*AQ226+AT11*AQ226+AT12*AQ226+AT13*AQ226+AT14*AQ226+AT15*AQ226+AT16*AQ226+AT17*AQ226+AT18*AQ226+AT19*AQ226+AT20*AQ226+AT21*AQ226+AT22*AQ226+AT23*AQ226+AT24*AQ226+AT25*AQ226+AT26*AQ226</f>
        <v>0</v>
      </c>
      <c r="AS226" s="41"/>
      <c r="AT226" s="41"/>
      <c r="AV226" s="139"/>
      <c r="AW226" s="139"/>
      <c r="AX226" s="139"/>
      <c r="AY226" s="140"/>
      <c r="BA226" s="139"/>
      <c r="BB226" s="139"/>
      <c r="BC226" s="139"/>
      <c r="BD226" s="41"/>
      <c r="BF226" s="40"/>
      <c r="BG226" s="40"/>
      <c r="BH226" s="40"/>
      <c r="BI226" s="41"/>
      <c r="BK226" s="139"/>
      <c r="BL226" s="139"/>
      <c r="BM226" s="40"/>
      <c r="BN226" s="41"/>
      <c r="BP226" s="40">
        <v>6</v>
      </c>
      <c r="BQ226" s="40">
        <f>IF(SUM($ER$5:$ER$15)&lt;2000,0,SUM(BQ5:BQ26)*BP223)</f>
        <v>0</v>
      </c>
      <c r="BR226" s="40"/>
      <c r="BS226" s="41"/>
      <c r="BU226" s="40">
        <v>6</v>
      </c>
      <c r="BV226" s="40">
        <f>IF(SUM($ER$5:$ER$15)&lt;2000,0,SUM(BV5:BV26)*BU223)</f>
        <v>0</v>
      </c>
      <c r="BW226" s="40"/>
      <c r="BX226" s="41"/>
      <c r="BZ226" s="139"/>
      <c r="CA226" s="139">
        <f>CC5*BZ226+CC6*BZ226+CC7*BZ226+CC8*BZ226+CC9*BZ226+CC10*BZ226+CC11*BZ226+CC12*BZ226+CC13*BZ226+CC14*BZ226+CC15*BZ226+CC16*BZ226+CC17*BZ226+CC18*BZ226+CC19*BZ226+CC20*BZ226+CC21*BZ226+CC22*BZ226+CC23*BZ226+CC24*BZ226+CC25*BZ226+CC26*BZ226</f>
        <v>0</v>
      </c>
      <c r="CB226" s="40"/>
      <c r="CC226" s="41"/>
      <c r="CD226" s="140"/>
      <c r="CE226" s="40">
        <v>6</v>
      </c>
      <c r="CF226" s="40">
        <f>IF(SUM($ER$5:$ER$15)&lt;2000,0,SUM(CF5:CF26)*CE223)</f>
        <v>0</v>
      </c>
      <c r="CG226" s="40"/>
      <c r="CH226" s="41"/>
      <c r="CJ226" s="139"/>
      <c r="CK226" s="139">
        <f>CM5*CJ226+CM6*CJ226+CM7*CJ226+CM8*CJ226+CM9*CJ226+CM10*CJ226+CM11*CJ226+CM12*CJ226+CM13*CJ226+CM14*CJ226+CM15*CJ226+CM16*CJ226+CM17*CJ226+CM18*CJ226+CM19*CJ226+CM20*CJ226+CM21*CJ226+CM22*CJ226+CM23*CJ226+CM24*CJ226+CM25*CJ226+CM26*CJ226</f>
        <v>0</v>
      </c>
      <c r="CL226" s="139"/>
      <c r="CM226" s="140"/>
      <c r="CO226" s="139"/>
      <c r="CP226" s="139">
        <f>CR5*CO226+CR6*CO226+CR7*CO226+CR8*CO226+CR9*CO226+CR10*CO226+CR11*CO226+CR12*CO226+CR13*CO226+CR14*CO226+CR15*CO226+CR16*CO226+CR17*CO226+CR18*CO226+CR19*CO226+CR20*CO226+CR21*CO226+CR22*CO226+CR23*CO226+CR24*CO226+CR25*CO226+CR26*CO226</f>
        <v>0</v>
      </c>
      <c r="CQ226" s="40"/>
      <c r="CR226" s="41"/>
      <c r="CT226" s="40">
        <v>6</v>
      </c>
      <c r="CU226" s="40">
        <f>IF(SUM($ER$5:$ER$15)&lt;2000,0,SUM(CU5:CU26)*CT223)</f>
        <v>0</v>
      </c>
      <c r="CV226" s="40"/>
      <c r="CW226" s="41"/>
      <c r="CY226" s="40"/>
      <c r="CZ226" s="40"/>
      <c r="DA226" s="40"/>
      <c r="DB226" s="41"/>
      <c r="DD226" s="40">
        <v>6</v>
      </c>
      <c r="DE226" s="40">
        <f>SUM(DG5:DG26)*DD226</f>
        <v>0</v>
      </c>
      <c r="DF226" s="40"/>
      <c r="DG226" s="41"/>
      <c r="DI226" s="64"/>
      <c r="DJ226" s="64"/>
      <c r="DK226" s="64"/>
      <c r="DL226" s="64"/>
      <c r="DN226" s="64"/>
      <c r="DO226" s="64"/>
      <c r="DP226" s="64"/>
      <c r="DQ226" s="64"/>
      <c r="DS226" s="64"/>
      <c r="DT226" s="64"/>
      <c r="DU226" s="64"/>
      <c r="DV226" s="64"/>
      <c r="DX226" s="64"/>
      <c r="DY226" s="64"/>
      <c r="DZ226" s="64"/>
      <c r="EA226" s="64"/>
      <c r="EC226" s="139">
        <v>3</v>
      </c>
      <c r="ED226" s="139">
        <f>EF5*EC226+EF6*EC226+EF7*EC226+EF8*EC226+EF9*EC226+EF10*EC226+EF11*EC226+EF12*EC226+EF13*EC226+EF14*EC226+EF15*EC226+EF16*EC226+EF17*EC226+EF18*EC226+EF19*EC226+EF20*EC226+EF21*EC226+EF22*EC226+EF23*EC226+EF24*EC226+EF25*EC226+EF26*EC226</f>
        <v>0</v>
      </c>
      <c r="EE226" s="64"/>
      <c r="EF226" s="64"/>
      <c r="EH226" s="139">
        <v>3</v>
      </c>
      <c r="EI226" s="139">
        <f>EK5*EH226+EK6*EH226+EK7*EH226+EK8*EH226+EK9*EH226+EK10*EH226+EK11*EH226+EK12*EH226+EK13*EH226+EK14*EH226+EK15*EH226+EK16*EH226+EK17*EH226+EK18*EH226+EK19*EH226+EK20*EH226+EK21*EH226+EK22*EH226+EK23*EH226+EK24*EH226+EK25*EH226+EK26*EH226</f>
        <v>0</v>
      </c>
      <c r="EJ226" s="64"/>
      <c r="EK226" s="64"/>
      <c r="ER226" s="855"/>
      <c r="EX226" s="203">
        <f t="shared" si="1"/>
        <v>0</v>
      </c>
    </row>
    <row r="227" spans="1:154" s="6" customFormat="1" ht="15" customHeight="1">
      <c r="A227" s="150" t="s">
        <v>214</v>
      </c>
      <c r="B227" s="210" t="s">
        <v>214</v>
      </c>
      <c r="C227" s="473" t="s">
        <v>515</v>
      </c>
      <c r="D227" s="138"/>
      <c r="E227" s="40"/>
      <c r="F227" s="40"/>
      <c r="G227" s="40"/>
      <c r="H227" s="40"/>
      <c r="I227" s="4"/>
      <c r="J227" s="4"/>
      <c r="K227" s="4"/>
      <c r="L227" s="4"/>
      <c r="M227" s="5">
        <v>3</v>
      </c>
      <c r="N227" s="658">
        <f>SUM(O5:O26)*M227</f>
        <v>0</v>
      </c>
      <c r="O227" s="4"/>
      <c r="P227" s="4"/>
      <c r="Q227" s="4"/>
      <c r="R227" s="40"/>
      <c r="S227" s="41"/>
      <c r="T227" s="140"/>
      <c r="U227" s="41"/>
      <c r="W227" s="40"/>
      <c r="X227" s="41"/>
      <c r="Y227" s="41"/>
      <c r="Z227" s="41"/>
      <c r="AB227" s="40"/>
      <c r="AC227" s="41"/>
      <c r="AD227" s="41"/>
      <c r="AE227" s="41"/>
      <c r="AG227" s="40"/>
      <c r="AH227" s="41"/>
      <c r="AI227" s="41"/>
      <c r="AJ227" s="41"/>
      <c r="AL227" s="139">
        <v>3</v>
      </c>
      <c r="AM227" s="139">
        <f>AN5*AL227+AN6*AL227+AN7*AL227+AN8*AL227+AN9*AL227+AN10*AL227+AN11*AL227+AN12*AL227+AN13*AL227+AN14*AL227+AN15*AL227+AN16*AL227+AN17*AL227+AN18*AL227+AN19*AL227+AN20*AL227+AN21*AL227+AN22*AL227+AN23*AL227+AN24*AL227+AN25*AL227+AN26*AL227</f>
        <v>0</v>
      </c>
      <c r="AN227" s="41"/>
      <c r="AO227" s="41"/>
      <c r="AQ227" s="139">
        <v>3</v>
      </c>
      <c r="AR227" s="139">
        <f>AS5*AQ227+AS6*AQ227+AS7*AQ227+AS8*AQ227+AS9*AQ227+AS10*AQ227+AS11*AQ227+AS12*AQ227+AS13*AQ227+AS14*AQ227+AS15*AQ227+AS16*AQ227+AS17*AQ227+AS18*AQ227+AS19*AQ227+AS20*AQ227+AS21*AQ227+AS22*AQ227+AS23*AQ227+AS24*AQ227+AS25*AQ227+AS26*AQ227</f>
        <v>0</v>
      </c>
      <c r="AS227" s="41"/>
      <c r="AT227" s="41"/>
      <c r="AV227" s="139"/>
      <c r="AW227" s="139"/>
      <c r="AX227" s="139"/>
      <c r="AY227" s="140"/>
      <c r="BA227" s="139"/>
      <c r="BB227" s="139"/>
      <c r="BC227" s="139"/>
      <c r="BD227" s="41"/>
      <c r="BF227" s="40"/>
      <c r="BG227" s="40"/>
      <c r="BH227" s="40"/>
      <c r="BI227" s="41"/>
      <c r="BK227" s="139"/>
      <c r="BL227" s="139"/>
      <c r="BM227" s="40"/>
      <c r="BN227" s="41"/>
      <c r="BP227" s="40"/>
      <c r="BQ227" s="40"/>
      <c r="BR227" s="40"/>
      <c r="BS227" s="41"/>
      <c r="BU227" s="40"/>
      <c r="BV227" s="40"/>
      <c r="BW227" s="40"/>
      <c r="BX227" s="41"/>
      <c r="BZ227" s="139">
        <v>3</v>
      </c>
      <c r="CA227" s="139">
        <f>SUM(CB5:CB26)*BZ227</f>
        <v>0</v>
      </c>
      <c r="CB227" s="40"/>
      <c r="CC227" s="41"/>
      <c r="CD227" s="140"/>
      <c r="CE227" s="139"/>
      <c r="CF227" s="139"/>
      <c r="CG227" s="40"/>
      <c r="CH227" s="41"/>
      <c r="CJ227" s="139">
        <v>3</v>
      </c>
      <c r="CK227" s="139">
        <f>CL5*CJ227+CL6*CJ227+CL7*CJ227+CL8*CJ227+CL9*CJ227+CL10*CJ227+CL11*CJ227+CL12*CJ227+CL13*CJ227+CL14*CJ227+CL15*CJ227+CL16*CJ227+CL17*CJ227+CL18*CJ227+CL19*CJ227+CL20*CJ227+CL21*CJ227+CL22*CJ227+CL23*CJ227+CL24*CJ227+CL25*CJ227+CL26*CJ227</f>
        <v>0</v>
      </c>
      <c r="CL227" s="139"/>
      <c r="CM227" s="140"/>
      <c r="CO227" s="139">
        <v>3</v>
      </c>
      <c r="CP227" s="139">
        <f>CQ5*CO227+CQ6*CO227+CQ7*CO227+CQ8*CO227+CQ9*CO227+CQ10*CO227+CQ11*CO227+CQ12*CO227+CQ13*CO227+CQ14*CO227+CQ15*CO227+CQ16*CO227+CQ17*CO227+CQ18*CO227+CQ19*CO227+CQ20*CO227+CQ21*CO227+CQ22*CO227+CQ23*CO227+CQ24*CO227+CQ25*CO227+CQ26*CO227</f>
        <v>0</v>
      </c>
      <c r="CQ227" s="40"/>
      <c r="CR227" s="41"/>
      <c r="CT227" s="40"/>
      <c r="CU227" s="40"/>
      <c r="CV227" s="40"/>
      <c r="CW227" s="41"/>
      <c r="CY227" s="40"/>
      <c r="CZ227" s="40"/>
      <c r="DA227" s="40"/>
      <c r="DB227" s="41"/>
      <c r="DD227" s="40"/>
      <c r="DE227" s="40"/>
      <c r="DF227" s="40"/>
      <c r="DG227" s="41"/>
      <c r="DI227" s="64"/>
      <c r="DJ227" s="64"/>
      <c r="DK227" s="64"/>
      <c r="DL227" s="64"/>
      <c r="DN227" s="64"/>
      <c r="DO227" s="64"/>
      <c r="DP227" s="64"/>
      <c r="DQ227" s="64"/>
      <c r="DS227" s="64"/>
      <c r="DT227" s="64"/>
      <c r="DU227" s="64"/>
      <c r="DV227" s="64"/>
      <c r="DX227" s="64"/>
      <c r="DY227" s="64"/>
      <c r="DZ227" s="64"/>
      <c r="EA227" s="64"/>
      <c r="EC227" s="139">
        <v>3</v>
      </c>
      <c r="ED227" s="139">
        <f>EE5*EC227+EE6*EC227+EE7*EC227+EE8*EC227+EE9*EC227+EE10*EC227+EE11*EC227+EE12*EC227+EE13*EC227+EE14*EC227+EE15*EC227+EE16*EC227+EE17*EC227+EE18*EC227+EE19*EC227+EE20*EC227+EE21*EC227+EE22*EC227+EE23*EC227+EE24*EC227+EE25*EC227+EE26*EC227</f>
        <v>0</v>
      </c>
      <c r="EE227" s="64"/>
      <c r="EF227" s="64"/>
      <c r="EH227" s="139">
        <v>3</v>
      </c>
      <c r="EI227" s="139">
        <f>EJ5*EH227+EJ6*EH227+EJ7*EH227+EJ8*EH227+EJ9*EH227+EJ10*EH227+EJ11*EH227+EJ12*EH227+EJ13*EH227+EJ14*EH227+EJ15*EH227+EJ16*EH227+EJ17*EH227+EJ18*EH227+EJ19*EH227+EJ20*EH227+EJ21*EH227+EJ22*EH227+EJ23*EH227+EJ24*EH227+EJ25*EH227+EJ26*EH227</f>
        <v>0</v>
      </c>
      <c r="EJ227" s="64"/>
      <c r="EK227" s="64"/>
      <c r="EN227" s="6">
        <f>IF(SUM(ET6,EV6)&gt;0,0,SUM(ET7,EV7)*4)</f>
        <v>0</v>
      </c>
      <c r="ER227" s="855"/>
      <c r="EX227" s="203">
        <f t="shared" si="1"/>
        <v>0</v>
      </c>
    </row>
    <row r="228" spans="1:154" s="6" customFormat="1" ht="15" customHeight="1">
      <c r="A228" s="150" t="s">
        <v>215</v>
      </c>
      <c r="B228" s="210" t="s">
        <v>458</v>
      </c>
      <c r="C228" s="473" t="s">
        <v>515</v>
      </c>
      <c r="D228" s="138"/>
      <c r="E228" s="40"/>
      <c r="F228" s="40"/>
      <c r="G228" s="40"/>
      <c r="H228" s="40"/>
      <c r="I228" s="4"/>
      <c r="J228" s="4"/>
      <c r="K228" s="4"/>
      <c r="L228" s="4"/>
      <c r="M228" s="5"/>
      <c r="N228" s="658"/>
      <c r="O228" s="4"/>
      <c r="P228" s="4"/>
      <c r="Q228" s="4"/>
      <c r="R228" s="40"/>
      <c r="S228" s="41"/>
      <c r="T228" s="140"/>
      <c r="U228" s="41"/>
      <c r="W228" s="40"/>
      <c r="X228" s="41"/>
      <c r="Y228" s="41"/>
      <c r="Z228" s="41"/>
      <c r="AB228" s="40"/>
      <c r="AC228" s="41"/>
      <c r="AD228" s="41"/>
      <c r="AE228" s="41"/>
      <c r="AG228" s="40"/>
      <c r="AH228" s="41"/>
      <c r="AI228" s="41"/>
      <c r="AJ228" s="41"/>
      <c r="AL228" s="139"/>
      <c r="AM228" s="139"/>
      <c r="AN228" s="41"/>
      <c r="AO228" s="41"/>
      <c r="AQ228" s="139"/>
      <c r="AR228" s="139"/>
      <c r="AS228" s="41"/>
      <c r="AT228" s="41"/>
      <c r="AV228" s="139"/>
      <c r="AW228" s="139"/>
      <c r="AX228" s="139"/>
      <c r="AY228" s="140"/>
      <c r="BA228" s="139"/>
      <c r="BB228" s="139"/>
      <c r="BC228" s="139"/>
      <c r="BD228" s="41"/>
      <c r="BF228" s="40"/>
      <c r="BG228" s="40"/>
      <c r="BH228" s="40"/>
      <c r="BI228" s="41"/>
      <c r="BK228" s="139"/>
      <c r="BL228" s="139"/>
      <c r="BM228" s="40"/>
      <c r="BN228" s="41"/>
      <c r="BP228" s="40"/>
      <c r="BQ228" s="40"/>
      <c r="BR228" s="40"/>
      <c r="BS228" s="41"/>
      <c r="BU228" s="40"/>
      <c r="BV228" s="40"/>
      <c r="BW228" s="40"/>
      <c r="BX228" s="41"/>
      <c r="BZ228" s="139"/>
      <c r="CA228" s="139"/>
      <c r="CB228" s="40"/>
      <c r="CC228" s="41"/>
      <c r="CD228" s="140"/>
      <c r="CE228" s="139"/>
      <c r="CF228" s="139"/>
      <c r="CG228" s="40"/>
      <c r="CH228" s="41"/>
      <c r="CJ228" s="139"/>
      <c r="CK228" s="139"/>
      <c r="CL228" s="139"/>
      <c r="CM228" s="140"/>
      <c r="CO228" s="139"/>
      <c r="CP228" s="139"/>
      <c r="CQ228" s="40"/>
      <c r="CR228" s="41"/>
      <c r="CT228" s="40"/>
      <c r="CU228" s="40"/>
      <c r="CV228" s="40"/>
      <c r="CW228" s="41"/>
      <c r="CY228" s="40"/>
      <c r="CZ228" s="40"/>
      <c r="DA228" s="40"/>
      <c r="DB228" s="41"/>
      <c r="DD228" s="40"/>
      <c r="DE228" s="40"/>
      <c r="DF228" s="40"/>
      <c r="DG228" s="41"/>
      <c r="DI228" s="64"/>
      <c r="DJ228" s="64"/>
      <c r="DK228" s="64"/>
      <c r="DL228" s="64"/>
      <c r="DN228" s="64"/>
      <c r="DO228" s="64"/>
      <c r="DP228" s="64"/>
      <c r="DQ228" s="64"/>
      <c r="DS228" s="64"/>
      <c r="DT228" s="64"/>
      <c r="DU228" s="64"/>
      <c r="DV228" s="64"/>
      <c r="DX228" s="64"/>
      <c r="DY228" s="64"/>
      <c r="DZ228" s="64"/>
      <c r="EA228" s="64"/>
      <c r="EC228" s="139"/>
      <c r="ED228" s="139"/>
      <c r="EE228" s="64"/>
      <c r="EF228" s="64"/>
      <c r="EH228" s="139"/>
      <c r="EI228" s="139"/>
      <c r="EJ228" s="64"/>
      <c r="EK228" s="64"/>
      <c r="ER228" s="855"/>
      <c r="EX228" s="203">
        <f t="shared" si="1"/>
        <v>0</v>
      </c>
    </row>
    <row r="229" spans="1:154" s="6" customFormat="1" ht="15" customHeight="1">
      <c r="A229" s="90" t="s">
        <v>140</v>
      </c>
      <c r="B229" s="210" t="s">
        <v>140</v>
      </c>
      <c r="C229" s="473" t="s">
        <v>515</v>
      </c>
      <c r="D229" s="138"/>
      <c r="E229" s="40"/>
      <c r="F229" s="40"/>
      <c r="G229" s="40"/>
      <c r="H229" s="40"/>
      <c r="I229" s="4"/>
      <c r="J229" s="4"/>
      <c r="K229" s="4"/>
      <c r="L229" s="4"/>
      <c r="M229" s="5">
        <v>3</v>
      </c>
      <c r="N229" s="658">
        <f>SUM(N5:N26)*M229</f>
        <v>0</v>
      </c>
      <c r="O229" s="4"/>
      <c r="P229" s="4"/>
      <c r="Q229" s="4"/>
      <c r="R229" s="40"/>
      <c r="S229" s="41"/>
      <c r="T229" s="140"/>
      <c r="U229" s="41"/>
      <c r="W229" s="40"/>
      <c r="X229" s="41"/>
      <c r="Y229" s="41"/>
      <c r="Z229" s="41"/>
      <c r="AB229" s="40"/>
      <c r="AC229" s="41"/>
      <c r="AD229" s="41"/>
      <c r="AE229" s="41"/>
      <c r="AG229" s="40"/>
      <c r="AH229" s="41"/>
      <c r="AI229" s="41"/>
      <c r="AJ229" s="41"/>
      <c r="AL229" s="141">
        <v>3</v>
      </c>
      <c r="AM229" s="140">
        <f>AM5*AL229+AM6*AL229+AM7*AL229+AM8*AL229+AM9*AL229+AM10*AL229+AM11*AL229+AM12*AL229+AM13*AL229+AM14*AL229+AM15*AL229+AM16*AL229+AM17*AL229+AM18*AL229+AM19*AL229+AM20*AL229+AM21*AL229+AM22*AL229+AM23*AL229+AM24*AL229+AM25*AL229+AM26*AL229</f>
        <v>0</v>
      </c>
      <c r="AN229" s="41"/>
      <c r="AO229" s="41"/>
      <c r="AQ229" s="141">
        <v>3</v>
      </c>
      <c r="AR229" s="140">
        <f>AR5*AQ229+AR6*AQ229+AR7*AQ229+AR8*AQ229+AR9*AQ229+AR10*AQ229+AR11*AQ229+AR12*AQ229+AR13*AQ229+AR14*AQ229+AR15*AQ229+AR16*AQ229+AR17*AQ229+AR18*AQ229+AR19*AQ229+AR20*AQ229+AR21*AQ229+AR22*AQ229+AR23*AQ229+AR24*AQ229+AR25*AQ229+AR26*AQ229</f>
        <v>0</v>
      </c>
      <c r="AS229" s="41"/>
      <c r="AT229" s="41"/>
      <c r="AV229" s="139"/>
      <c r="AW229" s="139"/>
      <c r="AX229" s="139"/>
      <c r="AY229" s="140"/>
      <c r="BA229" s="139"/>
      <c r="BB229" s="139"/>
      <c r="BC229" s="139"/>
      <c r="BD229" s="41"/>
      <c r="BF229" s="40"/>
      <c r="BG229" s="40"/>
      <c r="BH229" s="40"/>
      <c r="BI229" s="41"/>
      <c r="BK229" s="139"/>
      <c r="BL229" s="139"/>
      <c r="BM229" s="40"/>
      <c r="BN229" s="41"/>
      <c r="BP229" s="40"/>
      <c r="BQ229" s="40"/>
      <c r="BR229" s="40"/>
      <c r="BS229" s="41"/>
      <c r="BU229" s="40"/>
      <c r="BV229" s="40"/>
      <c r="BW229" s="40"/>
      <c r="BX229" s="41"/>
      <c r="BZ229" s="141">
        <v>3</v>
      </c>
      <c r="CA229" s="140">
        <f>SUM(CA5:CA26)*BZ229</f>
        <v>0</v>
      </c>
      <c r="CB229" s="40"/>
      <c r="CC229" s="41"/>
      <c r="CD229" s="140"/>
      <c r="CE229" s="141"/>
      <c r="CF229" s="140"/>
      <c r="CG229" s="40"/>
      <c r="CH229" s="41"/>
      <c r="CJ229" s="141">
        <v>3</v>
      </c>
      <c r="CK229" s="140">
        <f>CK5*CJ229+CK6*CJ229+CK7*CJ229+CK8*CJ229+CK9*CJ229+CK10*CJ229+CK11*CJ229+CK12*CJ229+CK13*CJ229+CK14*CJ229+CK15*CJ229+CK16*CJ229+CK17*CJ229+CK18*CJ229+CK19*CJ229+CK20*CJ229+CK21*CJ229+CK22*CJ229+CK23*CJ229+CK24*CJ229+CK25*CJ229+CK26*CJ229</f>
        <v>0</v>
      </c>
      <c r="CL229" s="139"/>
      <c r="CM229" s="140"/>
      <c r="CO229" s="141">
        <v>3</v>
      </c>
      <c r="CP229" s="140">
        <f>CP5*CO229+CP6*CO229+CP7*CO229+CP8*CO229+CP9*CO229+CP10*CO229+CP11*CO229+CP12*CO229+CP13*CO229+CP14*CO229+CP15*CO229+CP16*CO229+CP17*CO229+CP18*CO229+CP19*CO229+CP20*CO229+CP21*CO229+CP22*CO229+CP23*CO229+CP24*CO229+CP25*CO229+CP26*CO229</f>
        <v>0</v>
      </c>
      <c r="CQ229" s="40"/>
      <c r="CR229" s="41"/>
      <c r="CT229" s="40"/>
      <c r="CU229" s="40"/>
      <c r="CV229" s="40"/>
      <c r="CW229" s="41"/>
      <c r="CY229" s="40"/>
      <c r="CZ229" s="40"/>
      <c r="DA229" s="40"/>
      <c r="DB229" s="41"/>
      <c r="DD229" s="46"/>
      <c r="DE229" s="41">
        <f>DE5*DD229+DE6*DD229+DE7*DD229+DE8*DD229+DE9*DD229+DE10*DD229+DE11*DD229+DE12*DD229+DE13*DD229+DE14*DD229+DE15*DD229+DE16*DD229+DE17*DD229+DE18*DD229+DE19*DD229+DE20*DD229+DE21*DD229+DE22*DD229+DE23*DD229+DE24*DD229+DE25*DD229+DE26*DD229+DF5*DD229+DF6*DD229+DF7*DD229+DF8*DD229+DF9*DD229+DF10*DD229+DF11*DD229+DF12*DD229+DF13*DD229+DF14*DD229+DF15*DD229+DF16*DD229+DF17*DD229+DF18*DD229+DF19*DD229+DF20*DD229+DF21*DD229+DF22*DD229+DF23*DD229+DF24*DD229+DF25*DD229+DF26*DD229</f>
        <v>0</v>
      </c>
      <c r="DF229" s="40"/>
      <c r="DG229" s="41"/>
      <c r="DI229" s="64"/>
      <c r="DJ229" s="64"/>
      <c r="DK229" s="64"/>
      <c r="DL229" s="64"/>
      <c r="DN229" s="64"/>
      <c r="DO229" s="64"/>
      <c r="DP229" s="64"/>
      <c r="DQ229" s="64"/>
      <c r="DS229" s="64"/>
      <c r="DT229" s="64"/>
      <c r="DU229" s="64"/>
      <c r="DV229" s="64"/>
      <c r="DX229" s="64"/>
      <c r="DY229" s="64"/>
      <c r="DZ229" s="64"/>
      <c r="EA229" s="64"/>
      <c r="EC229" s="141">
        <v>3</v>
      </c>
      <c r="ED229" s="140">
        <f>ED5*EC229+ED6*EC229+ED7*EC229+ED8*EC229+ED9*EC229+ED10*EC229+ED11*EC229+ED12*EC229+ED13*EC229+ED14*EC229+ED15*EC229+ED16*EC229+ED17*EC229+ED18*EC229+ED19*EC229+ED20*EC229+ED21*EC229+ED22*EC229+ED23*EC229+ED24*EC229+ED25*EC229+ED26*EC229</f>
        <v>0</v>
      </c>
      <c r="EE229" s="64"/>
      <c r="EF229" s="64"/>
      <c r="EH229" s="141">
        <v>3</v>
      </c>
      <c r="EI229" s="140">
        <f>EI5*EH229+EI6*EH229+EI7*EH229+EI8*EH229+EI9*EH229+EI10*EH229+EI11*EH229+EI12*EH229+EI13*EH229+EI14*EH229+EI15*EH229+EI16*EH229+EI17*EH229+EI18*EH229+EI19*EH229+EI20*EH229+EI21*EH229+EI22*EH229+EI23*EH229+EI24*EH229+EI25*EH229+EI26*EH229</f>
        <v>0</v>
      </c>
      <c r="EJ229" s="64"/>
      <c r="EK229" s="64"/>
      <c r="ER229" s="855"/>
      <c r="EX229" s="203">
        <f t="shared" si="1"/>
        <v>0</v>
      </c>
    </row>
    <row r="230" spans="1:154" s="6" customFormat="1" ht="15" customHeight="1">
      <c r="A230" s="150" t="s">
        <v>216</v>
      </c>
      <c r="B230" s="210" t="s">
        <v>216</v>
      </c>
      <c r="C230" s="473" t="s">
        <v>515</v>
      </c>
      <c r="D230" s="138"/>
      <c r="E230" s="40"/>
      <c r="F230" s="40"/>
      <c r="G230" s="40"/>
      <c r="H230" s="40"/>
      <c r="I230" s="4"/>
      <c r="J230" s="4"/>
      <c r="K230" s="4"/>
      <c r="L230" s="4"/>
      <c r="M230" s="5"/>
      <c r="N230" s="658"/>
      <c r="O230" s="4"/>
      <c r="P230" s="4"/>
      <c r="Q230" s="4"/>
      <c r="R230" s="40"/>
      <c r="S230" s="41"/>
      <c r="T230" s="140"/>
      <c r="U230" s="41"/>
      <c r="W230" s="40"/>
      <c r="X230" s="41"/>
      <c r="Y230" s="41"/>
      <c r="Z230" s="41"/>
      <c r="AB230" s="40"/>
      <c r="AC230" s="41"/>
      <c r="AD230" s="41"/>
      <c r="AE230" s="41"/>
      <c r="AG230" s="40"/>
      <c r="AH230" s="41"/>
      <c r="AI230" s="41"/>
      <c r="AJ230" s="41"/>
      <c r="AL230" s="139"/>
      <c r="AM230" s="140"/>
      <c r="AN230" s="41"/>
      <c r="AO230" s="41"/>
      <c r="AQ230" s="139"/>
      <c r="AR230" s="140"/>
      <c r="AS230" s="41"/>
      <c r="AT230" s="41"/>
      <c r="AV230" s="139"/>
      <c r="AW230" s="139"/>
      <c r="AX230" s="139"/>
      <c r="AY230" s="140"/>
      <c r="BA230" s="139"/>
      <c r="BB230" s="139"/>
      <c r="BC230" s="139"/>
      <c r="BD230" s="41"/>
      <c r="BF230" s="40"/>
      <c r="BG230" s="40"/>
      <c r="BH230" s="40"/>
      <c r="BI230" s="41"/>
      <c r="BK230" s="139"/>
      <c r="BL230" s="139"/>
      <c r="BM230" s="40"/>
      <c r="BN230" s="41"/>
      <c r="BP230" s="40"/>
      <c r="BQ230" s="40"/>
      <c r="BR230" s="40"/>
      <c r="BS230" s="41"/>
      <c r="BU230" s="40"/>
      <c r="BV230" s="40"/>
      <c r="BW230" s="40"/>
      <c r="BX230" s="41"/>
      <c r="BZ230" s="139"/>
      <c r="CA230" s="140"/>
      <c r="CB230" s="40"/>
      <c r="CC230" s="41"/>
      <c r="CD230" s="140"/>
      <c r="CE230" s="139"/>
      <c r="CF230" s="140"/>
      <c r="CG230" s="40"/>
      <c r="CH230" s="41"/>
      <c r="CJ230" s="139"/>
      <c r="CK230" s="140"/>
      <c r="CL230" s="139"/>
      <c r="CM230" s="140"/>
      <c r="CO230" s="139"/>
      <c r="CP230" s="140"/>
      <c r="CQ230" s="40"/>
      <c r="CR230" s="41"/>
      <c r="CT230" s="40"/>
      <c r="CU230" s="40"/>
      <c r="CV230" s="40"/>
      <c r="CW230" s="41"/>
      <c r="CY230" s="40"/>
      <c r="CZ230" s="40"/>
      <c r="DA230" s="40"/>
      <c r="DB230" s="41"/>
      <c r="DD230" s="40"/>
      <c r="DE230" s="41"/>
      <c r="DF230" s="40"/>
      <c r="DG230" s="41"/>
      <c r="DI230" s="64"/>
      <c r="DJ230" s="64"/>
      <c r="DK230" s="64"/>
      <c r="DL230" s="64"/>
      <c r="DN230" s="64"/>
      <c r="DO230" s="64"/>
      <c r="DP230" s="64"/>
      <c r="DQ230" s="64"/>
      <c r="DS230" s="64"/>
      <c r="DT230" s="64"/>
      <c r="DU230" s="64"/>
      <c r="DV230" s="64"/>
      <c r="DX230" s="64"/>
      <c r="DY230" s="64"/>
      <c r="DZ230" s="64"/>
      <c r="EA230" s="64"/>
      <c r="EC230" s="139"/>
      <c r="ED230" s="140"/>
      <c r="EE230" s="64"/>
      <c r="EF230" s="64"/>
      <c r="EH230" s="139"/>
      <c r="EI230" s="140"/>
      <c r="EJ230" s="64"/>
      <c r="EK230" s="64"/>
      <c r="ER230" s="855"/>
      <c r="EX230" s="203">
        <f t="shared" si="1"/>
        <v>0</v>
      </c>
    </row>
    <row r="231" spans="1:154" s="6" customFormat="1" ht="15" customHeight="1">
      <c r="A231" s="150" t="s">
        <v>217</v>
      </c>
      <c r="B231" s="210" t="s">
        <v>217</v>
      </c>
      <c r="C231" s="473" t="s">
        <v>515</v>
      </c>
      <c r="D231" s="138"/>
      <c r="E231" s="40"/>
      <c r="F231" s="40"/>
      <c r="G231" s="40"/>
      <c r="H231" s="40"/>
      <c r="I231" s="4"/>
      <c r="J231" s="4"/>
      <c r="K231" s="4"/>
      <c r="L231" s="4"/>
      <c r="M231" s="5">
        <v>3</v>
      </c>
      <c r="N231" s="658">
        <f>SUM(P5:P26)*M231</f>
        <v>0</v>
      </c>
      <c r="O231" s="4"/>
      <c r="P231" s="4"/>
      <c r="Q231" s="4"/>
      <c r="R231" s="40"/>
      <c r="S231" s="41"/>
      <c r="T231" s="140"/>
      <c r="U231" s="41"/>
      <c r="W231" s="40"/>
      <c r="X231" s="41"/>
      <c r="Y231" s="41"/>
      <c r="Z231" s="41"/>
      <c r="AB231" s="40"/>
      <c r="AC231" s="41"/>
      <c r="AD231" s="41"/>
      <c r="AE231" s="41"/>
      <c r="AG231" s="40"/>
      <c r="AH231" s="41"/>
      <c r="AI231" s="41"/>
      <c r="AJ231" s="41"/>
      <c r="AL231" s="141">
        <v>3</v>
      </c>
      <c r="AM231" s="140">
        <f>AO5*AL231+AO6*AL231+AO7*AL231+AO8*AL231+AO9*AL231+AO10*AL231+AO11*AL231+AO12*AL231+AO13*AL231+AO14*AL231+AO15*AL231+AO16*AL231+AO17*AL231+AO18*AL231+AO19*AL231+AO20*AL231+AO21*AL231+AO22*AL231+AO23*AL231+AO24*AL231+AO25*AL231+AO26*AL231</f>
        <v>0</v>
      </c>
      <c r="AN231" s="41"/>
      <c r="AO231" s="41"/>
      <c r="AQ231" s="141">
        <v>3</v>
      </c>
      <c r="AR231" s="140">
        <f>AT5*AQ231+AT6*AQ231+AT7*AQ231+AT8*AQ231+AT9*AQ231+AT10*AQ231+AT11*AQ231+AT12*AQ231+AT13*AQ231+AT14*AQ231+AT15*AQ231+AT16*AQ231+AT17*AQ231+AT18*AQ231+AT19*AQ231+AT20*AQ231+AT21*AQ231+AT22*AQ231+AT23*AQ231+AT24*AQ231+AT25*AQ231+AT26*AQ231</f>
        <v>0</v>
      </c>
      <c r="AS231" s="41"/>
      <c r="AT231" s="41"/>
      <c r="AV231" s="139"/>
      <c r="AW231" s="139"/>
      <c r="AX231" s="139"/>
      <c r="AY231" s="140"/>
      <c r="BA231" s="139"/>
      <c r="BB231" s="139"/>
      <c r="BC231" s="139"/>
      <c r="BD231" s="41"/>
      <c r="BF231" s="40"/>
      <c r="BG231" s="40"/>
      <c r="BH231" s="40"/>
      <c r="BI231" s="41"/>
      <c r="BK231" s="139"/>
      <c r="BL231" s="139"/>
      <c r="BM231" s="40"/>
      <c r="BN231" s="41"/>
      <c r="BP231" s="40"/>
      <c r="BQ231" s="40"/>
      <c r="BR231" s="40"/>
      <c r="BS231" s="41"/>
      <c r="BU231" s="40"/>
      <c r="BV231" s="40"/>
      <c r="BW231" s="40"/>
      <c r="BX231" s="41"/>
      <c r="BZ231" s="141">
        <v>3</v>
      </c>
      <c r="CA231" s="140">
        <f>SUM(CC5:CC26)*BZ231</f>
        <v>0</v>
      </c>
      <c r="CB231" s="40"/>
      <c r="CC231" s="41"/>
      <c r="CD231" s="140"/>
      <c r="CE231" s="141"/>
      <c r="CF231" s="140"/>
      <c r="CG231" s="40"/>
      <c r="CH231" s="41"/>
      <c r="CJ231" s="141">
        <v>3</v>
      </c>
      <c r="CK231" s="140">
        <f>CM5*CJ231+CM6*CJ231+CM7*CJ231+CM8*CJ231+CM9*CJ231+CM10*CJ231+CM11*CJ231+CM12*CJ231+CM13*CJ231+CM14*CJ231+CM15*CJ231+CM16*CJ231+CM17*CJ231+CM18*CJ231+CM19*CJ231+CM20*CJ231+CM21*CJ231+CM22*CJ231+CM23*CJ231+CM24*CJ231+CM25*CJ231+CM26*CJ231</f>
        <v>0</v>
      </c>
      <c r="CL231" s="139"/>
      <c r="CM231" s="140"/>
      <c r="CO231" s="141">
        <v>3</v>
      </c>
      <c r="CP231" s="140">
        <f>CR5*CO231+CR6*CO231+CR7*CO231+CR8*CO231+CR9*CO231+CR10*CO231+CR11*CO231+CR12*CO231+CR13*CO231+CR14*CO231+CR15*CO231+CR16*CO231+CR17*CO231+CR18*CO231+CR19*CO231+CR20*CO231+CR21*CO231+CR22*CO231+CR23*CO231+CR24*CO231+CR25*CO231+CR26*CO231</f>
        <v>0</v>
      </c>
      <c r="CQ231" s="40"/>
      <c r="CR231" s="41"/>
      <c r="CT231" s="40"/>
      <c r="CU231" s="40"/>
      <c r="CV231" s="40"/>
      <c r="CW231" s="41"/>
      <c r="CY231" s="40"/>
      <c r="CZ231" s="40"/>
      <c r="DA231" s="40"/>
      <c r="DB231" s="41"/>
      <c r="DD231" s="46"/>
      <c r="DE231" s="41">
        <f>DG5*DD231+DG6*DD231+DG7*DD231+DG8*DD231+DG9*DD231+DG10*DD231+DG11*DD231+DG12*DD231+DG13*DD231+DG14*DD231+DG15*DD231+DG16*DD231+DG17*DD231+DG18*DD231+DG19*DD231+DG20*DD231+DG21*DD231+DG22*DD231+DG23*DD231+DG24*DD231+DG25*DD231+DG26*DD231</f>
        <v>0</v>
      </c>
      <c r="DF231" s="40"/>
      <c r="DG231" s="41"/>
      <c r="DI231" s="64"/>
      <c r="DJ231" s="64"/>
      <c r="DK231" s="64"/>
      <c r="DL231" s="64"/>
      <c r="DN231" s="64"/>
      <c r="DO231" s="64"/>
      <c r="DP231" s="64"/>
      <c r="DQ231" s="64"/>
      <c r="DS231" s="64"/>
      <c r="DT231" s="64"/>
      <c r="DU231" s="64"/>
      <c r="DV231" s="64"/>
      <c r="DX231" s="64"/>
      <c r="DY231" s="64"/>
      <c r="DZ231" s="64"/>
      <c r="EA231" s="64"/>
      <c r="EC231" s="141"/>
      <c r="ED231" s="140">
        <f>EF5*EC231+EF6*EC231+EF7*EC231+EF8*EC231+EF9*EC231+EF10*EC231+EF11*EC231+EF12*EC231+EF13*EC231+EF14*EC231+EF15*EC231+EF16*EC231+EF17*EC231+EF18*EC231+EF19*EC231+EF20*EC231+EF21*EC231+EF22*EC231+EF23*EC231+EF24*EC231+EF25*EC231+EF26*EC231</f>
        <v>0</v>
      </c>
      <c r="EE231" s="64"/>
      <c r="EF231" s="64"/>
      <c r="EH231" s="141"/>
      <c r="EI231" s="140">
        <f>EK5*EH231+EK6*EH231+EK7*EH231+EK8*EH231+EK9*EH231+EK10*EH231+EK11*EH231+EK12*EH231+EK13*EH231+EK14*EH231+EK15*EH231+EK16*EH231+EK17*EH231+EK18*EH231+EK19*EH231+EK20*EH231+EK21*EH231+EK22*EH231+EK23*EH231+EK24*EH231+EK25*EH231+EK26*EH231</f>
        <v>0</v>
      </c>
      <c r="EJ231" s="64"/>
      <c r="EK231" s="64"/>
      <c r="ER231" s="855"/>
      <c r="EX231" s="203">
        <f t="shared" si="1"/>
        <v>0</v>
      </c>
    </row>
    <row r="232" spans="1:154" s="6" customFormat="1" ht="15" customHeight="1">
      <c r="A232" s="150"/>
      <c r="B232" s="210" t="s">
        <v>1734</v>
      </c>
      <c r="C232" s="473" t="s">
        <v>0</v>
      </c>
      <c r="D232" s="138"/>
      <c r="E232" s="40">
        <v>6</v>
      </c>
      <c r="F232" s="40">
        <f>IF(SUM($ER$5:$ER$15)&lt;=2000,0,SUM(F5:F23)*E232)</f>
        <v>0</v>
      </c>
      <c r="G232" s="40"/>
      <c r="H232" s="40"/>
      <c r="I232" s="4"/>
      <c r="J232" s="4"/>
      <c r="K232" s="4"/>
      <c r="L232" s="4"/>
      <c r="M232" s="5"/>
      <c r="N232" s="658"/>
      <c r="O232" s="4"/>
      <c r="P232" s="4"/>
      <c r="Q232" s="4"/>
      <c r="R232" s="40"/>
      <c r="S232" s="41"/>
      <c r="T232" s="140"/>
      <c r="U232" s="41"/>
      <c r="W232" s="40"/>
      <c r="X232" s="41"/>
      <c r="Y232" s="41"/>
      <c r="Z232" s="41"/>
      <c r="AB232" s="40"/>
      <c r="AC232" s="41"/>
      <c r="AD232" s="41"/>
      <c r="AE232" s="41"/>
      <c r="AG232" s="40"/>
      <c r="AH232" s="41"/>
      <c r="AI232" s="41"/>
      <c r="AJ232" s="41"/>
      <c r="AL232" s="141"/>
      <c r="AM232" s="140"/>
      <c r="AN232" s="41"/>
      <c r="AO232" s="41"/>
      <c r="AQ232" s="141"/>
      <c r="AR232" s="140"/>
      <c r="AS232" s="41"/>
      <c r="AT232" s="41"/>
      <c r="AV232" s="139"/>
      <c r="AW232" s="139"/>
      <c r="AX232" s="139"/>
      <c r="AY232" s="140"/>
      <c r="BA232" s="139"/>
      <c r="BB232" s="139"/>
      <c r="BC232" s="139"/>
      <c r="BD232" s="41"/>
      <c r="BF232" s="40"/>
      <c r="BG232" s="40"/>
      <c r="BH232" s="40"/>
      <c r="BI232" s="41"/>
      <c r="BK232" s="139"/>
      <c r="BL232" s="139"/>
      <c r="BM232" s="40"/>
      <c r="BN232" s="41"/>
      <c r="BP232" s="40">
        <v>6</v>
      </c>
      <c r="BQ232" s="40">
        <f>IF(SUM($ER$5:$ER$15)&lt;2000,0,SUM(BR5:BR23)*BP232)</f>
        <v>0</v>
      </c>
      <c r="BR232" s="40"/>
      <c r="BS232" s="41"/>
      <c r="BU232" s="40">
        <v>6</v>
      </c>
      <c r="BV232" s="40">
        <f>IF(SUM($ER$5:$ER$15)&lt;2000,0,SUM(BW5:BW23)*BU232)</f>
        <v>0</v>
      </c>
      <c r="BW232" s="40"/>
      <c r="BX232" s="41"/>
      <c r="BZ232" s="141"/>
      <c r="CA232" s="140"/>
      <c r="CB232" s="40"/>
      <c r="CC232" s="41"/>
      <c r="CD232" s="140"/>
      <c r="CE232" s="40">
        <v>6</v>
      </c>
      <c r="CF232" s="40">
        <f>IF(SUM($ER$5:$ER$15)&lt;2000,0,SUM(CG5:CG23)*CE232)</f>
        <v>0</v>
      </c>
      <c r="CG232" s="40"/>
      <c r="CH232" s="41"/>
      <c r="CJ232" s="141"/>
      <c r="CK232" s="140"/>
      <c r="CL232" s="139"/>
      <c r="CM232" s="140"/>
      <c r="CO232" s="141"/>
      <c r="CP232" s="140"/>
      <c r="CQ232" s="40"/>
      <c r="CR232" s="41"/>
      <c r="CT232" s="40">
        <v>6</v>
      </c>
      <c r="CU232" s="40">
        <f>IF(SUM($ER$5:$ER$15)&lt;2000,0,SUM(CV5:CV23)*CT232)</f>
        <v>0</v>
      </c>
      <c r="CV232" s="40"/>
      <c r="CW232" s="41"/>
      <c r="CY232" s="40">
        <v>6</v>
      </c>
      <c r="CZ232" s="40">
        <f>IF(SUM($ER$5:$ER$15)&lt;2000,0,SUM(DA5:DA23)*CY232)</f>
        <v>0</v>
      </c>
      <c r="DA232" s="40"/>
      <c r="DB232" s="41"/>
      <c r="DD232" s="46">
        <v>6</v>
      </c>
      <c r="DE232" s="41">
        <f>SUM(DF5:DF26)*DD232</f>
        <v>0</v>
      </c>
      <c r="DF232" s="40"/>
      <c r="DG232" s="41"/>
      <c r="DI232" s="64"/>
      <c r="DJ232" s="64"/>
      <c r="DK232" s="64"/>
      <c r="DL232" s="64"/>
      <c r="DN232" s="64"/>
      <c r="DO232" s="64"/>
      <c r="DP232" s="64"/>
      <c r="DQ232" s="64"/>
      <c r="DS232" s="64"/>
      <c r="DT232" s="64"/>
      <c r="DU232" s="64"/>
      <c r="DV232" s="64"/>
      <c r="DX232" s="64"/>
      <c r="DY232" s="64"/>
      <c r="DZ232" s="64"/>
      <c r="EA232" s="64"/>
      <c r="EC232" s="141"/>
      <c r="ED232" s="140"/>
      <c r="EE232" s="64"/>
      <c r="EF232" s="64"/>
      <c r="EH232" s="141"/>
      <c r="EI232" s="140"/>
      <c r="EJ232" s="64"/>
      <c r="EK232" s="64"/>
      <c r="ER232" s="855"/>
      <c r="EX232" s="203">
        <f t="shared" si="1"/>
        <v>0</v>
      </c>
    </row>
    <row r="233" spans="1:154" s="6" customFormat="1" ht="15" customHeight="1">
      <c r="A233" s="150"/>
      <c r="B233" s="210" t="s">
        <v>1536</v>
      </c>
      <c r="C233" s="473"/>
      <c r="D233" s="138"/>
      <c r="E233" s="40"/>
      <c r="F233" s="40"/>
      <c r="G233" s="40"/>
      <c r="H233" s="40"/>
      <c r="I233" s="4"/>
      <c r="J233" s="4"/>
      <c r="K233" s="4"/>
      <c r="L233" s="4"/>
      <c r="M233" s="5"/>
      <c r="N233" s="658"/>
      <c r="O233" s="4"/>
      <c r="P233" s="4"/>
      <c r="Q233" s="4"/>
      <c r="R233" s="40"/>
      <c r="S233" s="41"/>
      <c r="T233" s="140"/>
      <c r="U233" s="41"/>
      <c r="W233" s="40"/>
      <c r="X233" s="41"/>
      <c r="Y233" s="41"/>
      <c r="Z233" s="41"/>
      <c r="AB233" s="40"/>
      <c r="AC233" s="41"/>
      <c r="AD233" s="41"/>
      <c r="AE233" s="41"/>
      <c r="AG233" s="40"/>
      <c r="AH233" s="41"/>
      <c r="AI233" s="41"/>
      <c r="AJ233" s="41"/>
      <c r="AL233" s="141"/>
      <c r="AM233" s="140"/>
      <c r="AN233" s="41"/>
      <c r="AO233" s="41"/>
      <c r="AQ233" s="141"/>
      <c r="AR233" s="140"/>
      <c r="AS233" s="41"/>
      <c r="AT233" s="41"/>
      <c r="AV233" s="139"/>
      <c r="AW233" s="139"/>
      <c r="AX233" s="139"/>
      <c r="AY233" s="140"/>
      <c r="BA233" s="139"/>
      <c r="BB233" s="139"/>
      <c r="BC233" s="139"/>
      <c r="BD233" s="41"/>
      <c r="BF233" s="40"/>
      <c r="BG233" s="40"/>
      <c r="BH233" s="40"/>
      <c r="BI233" s="41"/>
      <c r="BK233" s="139"/>
      <c r="BL233" s="139"/>
      <c r="BM233" s="40"/>
      <c r="BN233" s="41"/>
      <c r="BP233" s="40"/>
      <c r="BQ233" s="40"/>
      <c r="BR233" s="40"/>
      <c r="BS233" s="41"/>
      <c r="BU233" s="40"/>
      <c r="BV233" s="40"/>
      <c r="BW233" s="40"/>
      <c r="BX233" s="41"/>
      <c r="BZ233" s="141"/>
      <c r="CA233" s="140"/>
      <c r="CB233" s="40"/>
      <c r="CC233" s="41"/>
      <c r="CD233" s="140"/>
      <c r="CE233" s="141"/>
      <c r="CF233" s="140"/>
      <c r="CG233" s="40"/>
      <c r="CH233" s="41"/>
      <c r="CJ233" s="141"/>
      <c r="CK233" s="140"/>
      <c r="CL233" s="139"/>
      <c r="CM233" s="140"/>
      <c r="CO233" s="141"/>
      <c r="CP233" s="140"/>
      <c r="CQ233" s="40"/>
      <c r="CR233" s="41"/>
      <c r="CT233" s="40"/>
      <c r="CU233" s="40"/>
      <c r="CV233" s="40"/>
      <c r="CW233" s="41"/>
      <c r="CY233" s="40"/>
      <c r="CZ233" s="40"/>
      <c r="DA233" s="40"/>
      <c r="DB233" s="41"/>
      <c r="DD233" s="46"/>
      <c r="DE233" s="41"/>
      <c r="DF233" s="40"/>
      <c r="DG233" s="41"/>
      <c r="DI233" s="64"/>
      <c r="DJ233" s="64"/>
      <c r="DK233" s="64"/>
      <c r="DL233" s="64"/>
      <c r="DN233" s="64"/>
      <c r="DO233" s="64"/>
      <c r="DP233" s="64"/>
      <c r="DQ233" s="64"/>
      <c r="DS233" s="64"/>
      <c r="DT233" s="64"/>
      <c r="DU233" s="64"/>
      <c r="DV233" s="64"/>
      <c r="DX233" s="64"/>
      <c r="DY233" s="64"/>
      <c r="DZ233" s="64"/>
      <c r="EA233" s="64"/>
      <c r="EC233" s="141"/>
      <c r="ED233" s="140"/>
      <c r="EE233" s="64"/>
      <c r="EF233" s="64"/>
      <c r="EH233" s="141"/>
      <c r="EI233" s="140"/>
      <c r="EJ233" s="64"/>
      <c r="EK233" s="64"/>
      <c r="ER233" s="855"/>
      <c r="EX233" s="203">
        <f t="shared" si="1"/>
        <v>0</v>
      </c>
    </row>
    <row r="234" spans="1:154" s="6" customFormat="1" ht="15" customHeight="1">
      <c r="A234" s="90" t="s">
        <v>63</v>
      </c>
      <c r="B234" s="210" t="s">
        <v>461</v>
      </c>
      <c r="C234" s="473" t="s">
        <v>515</v>
      </c>
      <c r="D234" s="138"/>
      <c r="E234" s="40">
        <v>6</v>
      </c>
      <c r="F234" s="40">
        <f>IF(SUM($ER$5:$ER$15)&lt;=1000,0,SUM(F5:F23,G5:G26,H5:H26)*E234)</f>
        <v>0</v>
      </c>
      <c r="G234" s="40"/>
      <c r="H234" s="40"/>
      <c r="I234" s="4"/>
      <c r="J234" s="4"/>
      <c r="K234" s="4"/>
      <c r="L234" s="4"/>
      <c r="M234" s="4"/>
      <c r="N234" s="4"/>
      <c r="O234" s="4"/>
      <c r="P234" s="4"/>
      <c r="Q234" s="4"/>
      <c r="R234" s="40"/>
      <c r="S234" s="41"/>
      <c r="T234" s="140"/>
      <c r="U234" s="41"/>
      <c r="W234" s="40"/>
      <c r="X234" s="41"/>
      <c r="Y234" s="41"/>
      <c r="Z234" s="41"/>
      <c r="AB234" s="40"/>
      <c r="AC234" s="41"/>
      <c r="AD234" s="41"/>
      <c r="AE234" s="41"/>
      <c r="AG234" s="40"/>
      <c r="AH234" s="41"/>
      <c r="AI234" s="41"/>
      <c r="AJ234" s="41"/>
      <c r="AL234" s="40"/>
      <c r="AM234" s="41"/>
      <c r="AN234" s="41"/>
      <c r="AO234" s="41"/>
      <c r="AQ234" s="40"/>
      <c r="AR234" s="41"/>
      <c r="AS234" s="41"/>
      <c r="AT234" s="41"/>
      <c r="AV234" s="139"/>
      <c r="AW234" s="139"/>
      <c r="AX234" s="139"/>
      <c r="AY234" s="140"/>
      <c r="BA234" s="139"/>
      <c r="BB234" s="139"/>
      <c r="BC234" s="139"/>
      <c r="BD234" s="41"/>
      <c r="BF234" s="40"/>
      <c r="BG234" s="40"/>
      <c r="BH234" s="40"/>
      <c r="BI234" s="41"/>
      <c r="BK234" s="139"/>
      <c r="BL234" s="139"/>
      <c r="BM234" s="40"/>
      <c r="BN234" s="41"/>
      <c r="BP234" s="40">
        <v>6</v>
      </c>
      <c r="BQ234" s="40">
        <f>IF(SUM($ER$5:$ER$15)&lt;=1000,0,SUM(BQ5:BQ23,BR5:BR26,BS5:BS26)*BP234)</f>
        <v>0</v>
      </c>
      <c r="BR234" s="40"/>
      <c r="BS234" s="41"/>
      <c r="BU234" s="40"/>
      <c r="BV234" s="40"/>
      <c r="BW234" s="40"/>
      <c r="BX234" s="41"/>
      <c r="BZ234" s="40"/>
      <c r="CA234" s="40"/>
      <c r="CB234" s="40"/>
      <c r="CC234" s="41"/>
      <c r="CD234" s="140"/>
      <c r="CE234" s="40">
        <v>6</v>
      </c>
      <c r="CF234" s="40">
        <f>IF(SUM($ER$5:$ER$15)&lt;=1000,0,SUM(CF5:CF23,CG5:CG26,CH5:CH26)*CE234)</f>
        <v>0</v>
      </c>
      <c r="CG234" s="40"/>
      <c r="CH234" s="41"/>
      <c r="CJ234" s="139"/>
      <c r="CK234" s="139"/>
      <c r="CL234" s="139"/>
      <c r="CM234" s="140"/>
      <c r="CO234" s="222"/>
      <c r="CP234" s="40"/>
      <c r="CQ234" s="40"/>
      <c r="CR234" s="41"/>
      <c r="CT234" s="40">
        <v>6</v>
      </c>
      <c r="CU234" s="40">
        <f>IF(SUM($ER$5:$ER$15)&lt;=1000,0,SUM(CU5:CU23,CV5:CV26,CW5:CW26)*CT234)</f>
        <v>0</v>
      </c>
      <c r="CV234" s="40"/>
      <c r="CW234" s="41"/>
      <c r="CY234" s="40">
        <v>6</v>
      </c>
      <c r="CZ234" s="40">
        <f>IF(SUM($ER$5:$ER$15)&lt;=1000,0,SUM(CZ5:CZ23,DA5:DA26,DB5:DB26)*CY234)</f>
        <v>0</v>
      </c>
      <c r="DA234" s="40"/>
      <c r="DB234" s="41"/>
      <c r="DD234" s="46">
        <v>6</v>
      </c>
      <c r="DE234" s="41">
        <f>SUM(DE5:DE26,DF5:DF26,DG5:DG26)*DD234</f>
        <v>0</v>
      </c>
      <c r="DF234" s="40"/>
      <c r="DG234" s="41"/>
      <c r="DI234" s="64"/>
      <c r="DJ234" s="64"/>
      <c r="DK234" s="64"/>
      <c r="DL234" s="64"/>
      <c r="DN234" s="64"/>
      <c r="DO234" s="64"/>
      <c r="DP234" s="64"/>
      <c r="DQ234" s="64"/>
      <c r="DS234" s="64"/>
      <c r="DT234" s="64"/>
      <c r="DU234" s="64"/>
      <c r="DV234" s="64"/>
      <c r="DX234" s="64"/>
      <c r="DY234" s="64"/>
      <c r="DZ234" s="64"/>
      <c r="EA234" s="64"/>
      <c r="EC234" s="64"/>
      <c r="ED234" s="64"/>
      <c r="EE234" s="64"/>
      <c r="EF234" s="64"/>
      <c r="EH234" s="64"/>
      <c r="EI234" s="64"/>
      <c r="EJ234" s="64"/>
      <c r="EK234" s="64"/>
      <c r="ER234" s="855"/>
      <c r="EX234" s="203">
        <f t="shared" si="1"/>
        <v>0</v>
      </c>
    </row>
    <row r="235" spans="1:154" s="6" customFormat="1" ht="15" customHeight="1">
      <c r="A235" s="90" t="s">
        <v>11</v>
      </c>
      <c r="B235" s="210" t="s">
        <v>459</v>
      </c>
      <c r="C235" s="473" t="s">
        <v>515</v>
      </c>
      <c r="D235" s="138"/>
      <c r="E235" s="40"/>
      <c r="F235" s="40"/>
      <c r="G235" s="40"/>
      <c r="H235" s="40"/>
      <c r="I235" s="4"/>
      <c r="J235" s="4"/>
      <c r="K235" s="4"/>
      <c r="L235" s="4"/>
      <c r="M235" s="4"/>
      <c r="N235" s="4"/>
      <c r="O235" s="4"/>
      <c r="P235" s="4"/>
      <c r="Q235" s="4"/>
      <c r="R235" s="40"/>
      <c r="S235" s="41"/>
      <c r="T235" s="140">
        <f>C12</f>
        <v>0</v>
      </c>
      <c r="U235" s="41"/>
      <c r="W235" s="40"/>
      <c r="X235" s="41"/>
      <c r="Y235" s="41"/>
      <c r="Z235" s="41"/>
      <c r="AB235" s="40"/>
      <c r="AC235" s="41"/>
      <c r="AD235" s="41"/>
      <c r="AE235" s="41"/>
      <c r="AG235" s="40"/>
      <c r="AH235" s="41"/>
      <c r="AI235" s="41"/>
      <c r="AJ235" s="41"/>
      <c r="AL235" s="40"/>
      <c r="AM235" s="41"/>
      <c r="AN235" s="41"/>
      <c r="AO235" s="41"/>
      <c r="AQ235" s="40"/>
      <c r="AR235" s="41"/>
      <c r="AS235" s="41"/>
      <c r="AT235" s="41"/>
      <c r="AV235" s="139"/>
      <c r="AW235" s="139"/>
      <c r="AX235" s="139"/>
      <c r="AY235" s="140"/>
      <c r="BA235" s="139"/>
      <c r="BB235" s="139"/>
      <c r="BC235" s="139"/>
      <c r="BD235" s="41"/>
      <c r="BF235" s="40"/>
      <c r="BG235" s="40"/>
      <c r="BH235" s="40"/>
      <c r="BI235" s="41"/>
      <c r="BK235" s="139"/>
      <c r="BL235" s="139"/>
      <c r="BM235" s="40"/>
      <c r="BN235" s="41"/>
      <c r="BP235" s="40"/>
      <c r="BQ235" s="40"/>
      <c r="BR235" s="40"/>
      <c r="BS235" s="41"/>
      <c r="BU235" s="40"/>
      <c r="BV235" s="40"/>
      <c r="BW235" s="40"/>
      <c r="BX235" s="41"/>
      <c r="BZ235" s="40"/>
      <c r="CA235" s="40"/>
      <c r="CB235" s="40"/>
      <c r="CC235" s="41"/>
      <c r="CD235" s="140"/>
      <c r="CE235" s="40"/>
      <c r="CF235" s="40"/>
      <c r="CG235" s="40"/>
      <c r="CH235" s="41"/>
      <c r="CJ235" s="139"/>
      <c r="CK235" s="139"/>
      <c r="CL235" s="139"/>
      <c r="CM235" s="140"/>
      <c r="CO235" s="222"/>
      <c r="CP235" s="40"/>
      <c r="CQ235" s="40"/>
      <c r="CR235" s="41"/>
      <c r="CT235" s="40"/>
      <c r="CU235" s="40"/>
      <c r="CV235" s="40"/>
      <c r="CW235" s="41"/>
      <c r="CY235" s="40"/>
      <c r="CZ235" s="40"/>
      <c r="DA235" s="40"/>
      <c r="DB235" s="41"/>
      <c r="DD235" s="40"/>
      <c r="DE235" s="40"/>
      <c r="DF235" s="40"/>
      <c r="DG235" s="41"/>
      <c r="DI235" s="142"/>
      <c r="DJ235" s="142"/>
      <c r="DK235" s="142"/>
      <c r="DL235" s="142"/>
      <c r="DM235" s="142"/>
      <c r="DN235" s="142"/>
      <c r="DO235" s="142">
        <f>IF(SUM(ET5:ET12,EU5:EU12,EV5:EV12,EW5:EW12)&gt;=1,SUM(EN5:EN12,EO5:EO12,EP5:EP12,EQ5:EQ12)*20,SUM(EN5:EN12,EO5:EO12,EP5:EP12,EQ5:EQ12)*7+SUM(EN295:EN308)*8)</f>
        <v>0</v>
      </c>
      <c r="DP235" s="62"/>
      <c r="DQ235" s="62"/>
      <c r="DR235" s="142"/>
      <c r="DS235" s="62" t="s">
        <v>1568</v>
      </c>
      <c r="DT235" s="62"/>
      <c r="DU235" s="62"/>
      <c r="DV235" s="62"/>
      <c r="DW235" s="142"/>
      <c r="DX235" s="62" t="s">
        <v>1568</v>
      </c>
      <c r="DY235" s="62"/>
      <c r="DZ235" s="62"/>
      <c r="EA235" s="62"/>
      <c r="EB235" s="142"/>
      <c r="EC235" s="62" t="s">
        <v>1568</v>
      </c>
      <c r="ED235" s="62"/>
      <c r="EE235" s="62"/>
      <c r="EF235" s="62"/>
      <c r="EG235" s="142"/>
      <c r="EH235" s="62" t="s">
        <v>1568</v>
      </c>
      <c r="EI235" s="62"/>
      <c r="EJ235" s="62"/>
      <c r="EK235" s="62"/>
      <c r="EL235" s="142"/>
      <c r="EM235" s="142"/>
      <c r="EN235" s="142"/>
      <c r="EO235" s="142"/>
      <c r="ER235" s="855"/>
      <c r="EX235" s="203">
        <f t="shared" si="1"/>
        <v>0</v>
      </c>
    </row>
    <row r="236" spans="1:154" s="6" customFormat="1" ht="15" customHeight="1">
      <c r="A236" s="90" t="s">
        <v>154</v>
      </c>
      <c r="B236" s="210" t="s">
        <v>154</v>
      </c>
      <c r="C236" s="473" t="s">
        <v>515</v>
      </c>
      <c r="D236" s="138"/>
      <c r="E236" s="40"/>
      <c r="F236" s="40"/>
      <c r="G236" s="40"/>
      <c r="H236" s="40"/>
      <c r="I236" s="4"/>
      <c r="J236" s="4"/>
      <c r="K236" s="4"/>
      <c r="L236" s="4"/>
      <c r="M236" s="4"/>
      <c r="N236" s="4"/>
      <c r="O236" s="4"/>
      <c r="P236" s="4"/>
      <c r="Q236" s="4"/>
      <c r="R236" s="40"/>
      <c r="S236" s="41"/>
      <c r="T236" s="140"/>
      <c r="U236" s="41"/>
      <c r="W236" s="40"/>
      <c r="X236" s="41"/>
      <c r="Y236" s="41"/>
      <c r="Z236" s="41"/>
      <c r="AB236" s="40"/>
      <c r="AC236" s="41"/>
      <c r="AD236" s="41"/>
      <c r="AE236" s="41"/>
      <c r="AG236" s="40"/>
      <c r="AH236" s="41"/>
      <c r="AI236" s="41"/>
      <c r="AJ236" s="41"/>
      <c r="AL236" s="40"/>
      <c r="AM236" s="41"/>
      <c r="AN236" s="41"/>
      <c r="AO236" s="41"/>
      <c r="AQ236" s="40"/>
      <c r="AR236" s="41"/>
      <c r="AS236" s="41"/>
      <c r="AT236" s="41"/>
      <c r="AV236" s="139"/>
      <c r="AW236" s="139"/>
      <c r="AX236" s="139"/>
      <c r="AY236" s="140"/>
      <c r="BA236" s="139"/>
      <c r="BB236" s="139"/>
      <c r="BC236" s="139"/>
      <c r="BD236" s="41"/>
      <c r="BF236" s="40"/>
      <c r="BG236" s="40"/>
      <c r="BH236" s="40"/>
      <c r="BI236" s="41"/>
      <c r="BK236" s="139"/>
      <c r="BL236" s="139"/>
      <c r="BM236" s="40"/>
      <c r="BN236" s="41"/>
      <c r="BP236" s="40"/>
      <c r="BQ236" s="40"/>
      <c r="BR236" s="40"/>
      <c r="BS236" s="41"/>
      <c r="BU236" s="40"/>
      <c r="BV236" s="40"/>
      <c r="BW236" s="40"/>
      <c r="BX236" s="41"/>
      <c r="BZ236" s="40"/>
      <c r="CA236" s="40"/>
      <c r="CB236" s="40"/>
      <c r="CC236" s="41"/>
      <c r="CD236" s="140"/>
      <c r="CE236" s="40"/>
      <c r="CF236" s="40"/>
      <c r="CG236" s="40"/>
      <c r="CH236" s="41"/>
      <c r="CJ236" s="139"/>
      <c r="CK236" s="139"/>
      <c r="CL236" s="139"/>
      <c r="CM236" s="140"/>
      <c r="CO236" s="222"/>
      <c r="CP236" s="40"/>
      <c r="CQ236" s="40"/>
      <c r="CR236" s="41"/>
      <c r="CT236" s="40"/>
      <c r="CU236" s="40"/>
      <c r="CV236" s="40"/>
      <c r="CW236" s="41"/>
      <c r="CY236" s="40"/>
      <c r="CZ236" s="40"/>
      <c r="DA236" s="40"/>
      <c r="DB236" s="41"/>
      <c r="DD236" s="40"/>
      <c r="DE236" s="40"/>
      <c r="DF236" s="40"/>
      <c r="DG236" s="41"/>
      <c r="DI236" s="72"/>
      <c r="DJ236" s="41">
        <f>DJ26*DI236+DK26*DI236+DJ5*DI236+DK5*DI236+DJ6*DI236+DK6*DI236+DJ7*DI236+DK7*DI236+DJ8*DI236+DK8*DI236+DJ9*DI236+DK9*DI236+DJ10*DI236+DK10*DI236+DJ11*DI236+DK11*DI236+DJ12*DI236+DK12*DI236+DJ13*DI236+DK13*DI236+DJ14*DI236+DK14*DI236+DJ15*DI236+DK15*DI236+DJ16*DI236+DK16*DI236+DJ17*DI236+DK17*DI236+DJ18*DI236+DK18*DI236+DJ19*DI236+DK19*DI236+DJ20*DI236+DK20*DI236+DJ21*DI236+DK21*DI236+DJ22*DI236+DK22*DI236+DJ23*DI236+DK23*DI236+DJ24*DI236+DK24*DI236+DJ25*DI236+DK25*DI236+DL26*DI236+DL5*DI236+DL6*DI236+DL7*DI236+DL8*DI236+DL9*DI236+DL10*DI236+DJ18*DI236+DL11*DI236+DL12*DI236+DL13*DI236+DL14*DI236+DL15*DI236+DL16*DI236+DL17*DI236+DL18*DI236+DL19*DI236+DL20*DI236+DL21*DI236+DL22*DI236+DL23*DI236+DL24*DI236+DL25*DI236</f>
        <v>0</v>
      </c>
      <c r="DK236" s="64"/>
      <c r="DL236" s="64"/>
      <c r="DN236" s="72"/>
      <c r="DO236" s="41">
        <f>DO26*DN236+DP26*DN236+DO5*DN236+DP5*DN236+DO6*DN236+DP6*DN236+DO7*DN236+DP7*DN236+DO8*DN236+DP8*DN236+DO9*DN236+DP9*DN236+DO10*DN236+DP10*DN236+DO11*DN236+DP11*DN236+DO12*DN236+DP12*DN236+DO13*DN236+DP13*DN236+DO14*DN236+DP14*DN236+DO15*DN236+DP15*DN236+DO16*DN236+DP16*DN236+DO17*DN236+DP17*DN236+DO18*DN236+DP18*DN236+DO19*DN236+DP19*DN236+DO20*DN236+DP20*DN236+DO21*DN236+DP21*DN236+DO22*DN236+DP22*DN236+DO23*DN236+DP23*DN236+DO24*DN236+DP24*DN236+DO25*DN236+DP25*DN236+DQ26*DN236+DQ5*DN236+DQ6*DN236+DQ7*DN236+DQ8*DN236+DQ9*DN236+DQ10*DN236+DO18*DN236+DQ11*DN236+DQ12*DN236+DQ13*DN236+DQ14*DN236+DQ15*DN236+DQ16*DN236+DQ17*DN236+DQ18*DN236+DQ19*DN236+DQ20*DN236+DQ21*DN236+DQ22*DN236+DQ23*DN236+DQ24*DN236+DQ25*DN236</f>
        <v>0</v>
      </c>
      <c r="DP236" s="64"/>
      <c r="DQ236" s="64"/>
      <c r="DS236" s="60"/>
      <c r="DT236" s="41">
        <f>DT26*DS236+DU26*DS236+DT5*DS236+DU5*DS236+DT6*DS236+DU6*DS236+DT7*DS236+DU7*DS236+DT8*DS236+DU8*DS236+DT9*DS236+DU9*DS236+DT10*DS236+DU10*DS236+DT11*DS236+DU11*DS236+DT12*DS236+DU12*DS236+DT13*DS236+DU13*DS236+DT14*DS236+DU14*DS236+DT15*DS236+DU15*DS236+DT16*DS236+DU16*DS236+DT17*DS236+DU17*DS236+DT18*DS236+DU18*DS236+DT19*DS236+DU19*DS236+DT20*DS236+DU20*DS236+DT21*DS236+DU21*DS236+DT22*DS236+DU22*DS236+DT23*DS236+DU23*DS236+DT24*DS236+DU24*DS236+DT25*DS236+DU25*DS236+DV26*DS236+DV5*DS236+DV6*DS236+DV7*DS236+DV8*DS236+DV9*DS236+DV10*DS236+DT18*DS236+DV11*DS236+DV12*DS236+DV13*DS236+DV14*DS236+DV15*DS236+DV16*DS236+DV17*DS236+DV18*DS236+DV19*DS236+DV20*DS236+DV21*DS236+DV22*DS236+DV23*DS236+DV24*DS236+DV25*DS236</f>
        <v>0</v>
      </c>
      <c r="DU236" s="64"/>
      <c r="DV236" s="64"/>
      <c r="DX236" s="60"/>
      <c r="DY236" s="41">
        <f>DY26*DX236+DZ26*DX236+DY5*DX236+DZ5*DX236+DY6*DX236+DZ6*DX236+DY7*DX236+DZ7*DX236+DY8*DX236+DZ8*DX236+DY9*DX236+DZ9*DX236+DY10*DX236+DZ10*DX236+DY11*DX236+DZ11*DX236+DY12*DX236+DZ12*DX236+DY13*DX236+DZ13*DX236+DY14*DX236+DZ14*DX236+DY15*DX236+DZ15*DX236+DY16*DX236+DZ16*DX236+DY17*DX236+DZ17*DX236+DY18*DX236+DZ18*DX236+DY19*DX236+DZ19*DX236+DY20*DX236+DZ20*DX236+DY21*DX236+DZ21*DX236+DY22*DX236+DZ22*DX236+DY23*DX236+DZ23*DX236+DY24*DX236+DZ24*DX236+DY25*DX236+DZ25*DX236+EA26*DX236+EA5*DX236+EA6*DX236+EA7*DX236+EA8*DX236+EA9*DX236+EA10*DX236+DY18*DX236+EA11*DX236+EA12*DX236+EA13*DX236+EA14*DX236+EA15*DX236+EA16*DX236+EA17*DX236+EA18*DX236+EA19*DX236+EA20*DX236+EA21*DX236+EA22*DX236+EA23*DX236+EA24*DX236+EA25*DX236</f>
        <v>0</v>
      </c>
      <c r="DZ236" s="64"/>
      <c r="EA236" s="64"/>
      <c r="EC236" s="60"/>
      <c r="ED236" s="41">
        <f>ED26*EC236+EE26*EC236+ED5*EC236+EE5*EC236+ED6*EC236+EE6*EC236+ED7*EC236+EE7*EC236+ED8*EC236+EE8*EC236+ED9*EC236+EE9*EC236+ED10*EC236+EE10*EC236+ED11*EC236+EE11*EC236+ED12*EC236+EE12*EC236+ED13*EC236+EE13*EC236+ED14*EC236+EE14*EC236+ED15*EC236+EE15*EC236+ED16*EC236+EE16*EC236+ED17*EC236+EE17*EC236+ED18*EC236+EE18*EC236+ED19*EC236+EE19*EC236+ED20*EC236+EE20*EC236+ED21*EC236+EE21*EC236+ED22*EC236+EE22*EC236+ED23*EC236+EE23*EC236+ED24*EC236+EE24*EC236+ED25*EC236+EE25*EC236+EF26*EC236+EF5*EC236+EF6*EC236+EF7*EC236+EF8*EC236+EF9*EC236+EF10*EC236+ED18*EC236+EF11*EC236+EF12*EC236+EF13*EC236+EF14*EC236+EF15*EC236+EF16*EC236+EF17*EC236+EF18*EC236+EF19*EC236+EF20*EC236+EF21*EC236+EF22*EC236+EF23*EC236+EF24*EC236+EF25*EC236</f>
        <v>0</v>
      </c>
      <c r="EE236" s="64"/>
      <c r="EF236" s="64"/>
      <c r="EH236" s="60"/>
      <c r="EI236" s="41">
        <f>EI26*EH236+EJ26*EH236+EI5*EH236+EJ5*EH236+EI6*EH236+EJ6*EH236+EI7*EH236+EJ7*EH236+EI8*EH236+EJ8*EH236+EI9*EH236+EJ9*EH236+EI10*EH236+EJ10*EH236+EI11*EH236+EJ11*EH236+EI12*EH236+EJ12*EH236+EI13*EH236+EJ13*EH236+EI14*EH236+EJ14*EH236+EI15*EH236+EJ15*EH236+EI16*EH236+EJ16*EH236+EI17*EH236+EJ17*EH236+EI18*EH236+EJ18*EH236+EI19*EH236+EJ19*EH236+EI20*EH236+EJ20*EH236+EI21*EH236+EJ21*EH236+EI22*EH236+EJ22*EH236+EI23*EH236+EJ23*EH236+EI24*EH236+EJ24*EH236+EI25*EH236+EJ25*EH236+EK26*EH236+EK5*EH236+EK6*EH236+EK7*EH236+EK8*EH236+EK9*EH236+EK10*EH236+EI18*EH236+EK11*EH236+EK12*EH236+EK13*EH236+EK14*EH236+EK15*EH236+EK16*EH236+EK17*EH236+EK18*EH236+EK19*EH236+EK20*EH236+EK21*EH236+EK22*EH236+EK23*EH236+EK24*EH236+EK25*EH236</f>
        <v>0</v>
      </c>
      <c r="EJ236" s="64"/>
      <c r="EK236" s="64"/>
      <c r="ER236" s="855"/>
      <c r="EX236" s="203">
        <f t="shared" si="1"/>
        <v>0</v>
      </c>
    </row>
    <row r="237" spans="1:154" s="6" customFormat="1" ht="15" customHeight="1">
      <c r="A237" s="90" t="s">
        <v>147</v>
      </c>
      <c r="B237" s="210" t="s">
        <v>147</v>
      </c>
      <c r="C237" s="473" t="s">
        <v>515</v>
      </c>
      <c r="D237" s="138"/>
      <c r="E237" s="62"/>
      <c r="F237" s="140">
        <f>SUM(F5:F26,G5:G26,H5:H26)*E237</f>
        <v>0</v>
      </c>
      <c r="G237" s="140"/>
      <c r="H237" s="140"/>
      <c r="I237" s="4"/>
      <c r="J237" s="4"/>
      <c r="K237" s="4"/>
      <c r="L237" s="4"/>
      <c r="M237" s="4"/>
      <c r="N237" s="4"/>
      <c r="O237" s="4"/>
      <c r="P237" s="4"/>
      <c r="Q237" s="4"/>
      <c r="R237" s="40"/>
      <c r="S237" s="41"/>
      <c r="T237" s="140"/>
      <c r="U237" s="41"/>
      <c r="W237" s="40"/>
      <c r="X237" s="41"/>
      <c r="Y237" s="41"/>
      <c r="Z237" s="41"/>
      <c r="AB237" s="40"/>
      <c r="AC237" s="41"/>
      <c r="AD237" s="41"/>
      <c r="AE237" s="41"/>
      <c r="AG237" s="40"/>
      <c r="AH237" s="41"/>
      <c r="AI237" s="41"/>
      <c r="AJ237" s="41"/>
      <c r="AL237" s="40"/>
      <c r="AM237" s="41"/>
      <c r="AN237" s="41"/>
      <c r="AO237" s="41"/>
      <c r="AQ237" s="40"/>
      <c r="AR237" s="41"/>
      <c r="AS237" s="41"/>
      <c r="AT237" s="41"/>
      <c r="AV237" s="141">
        <v>1</v>
      </c>
      <c r="AW237" s="140">
        <f>AW5*AV237+AX5*AV237+AW6*AV237+AX6*AV237+AW7*AV237+AX7*AV237+AW8*AV237+AX8*AV237+AW9*AV237+AX9*AV237+AW10*AV237+AX10*AV237+AW11*AV237+AX11*AV237+AW12*AV237+AX12*AV237+AW13*AV237+AX13*AV237+AW14*AV237+AX14*AV237+AW15*AV237+AX15*AV237+AW16*AV237+AX16*AV237+AW17*AV237+AX17*AV237+AW18*AV237+AX18*AV237+AW19*AV237+AX19*AV237+AW20*AV237+AX20*AV237+AW21*AV237+AX21*AV237+AW22*AV237+AX22*AV237+AW23*AV237+AX23*AV237+AW24*AV237+AX24*AV237+AW25*AV237+AX25*AV237+AW26*AV237+AX26*AV237+AY5*AV237+AY6*AV237+AY7*AV237+AY8*AV237+AY9*AV237+AY10*AV237+AY11*AV237+AW19*AV237+AY12*AV237+AY13*AV237+AY14*AV237+AY15*AV237+AY16*AV237+AY17*AV237+AY18*AV237+AY19*AV237+AY20*AV237+AY21*AV237+AY22*AV237+AY23*AV237+AY24*AV237+AY25*AV237+AY26*AV237</f>
        <v>0</v>
      </c>
      <c r="AX237" s="139"/>
      <c r="AY237" s="140"/>
      <c r="BA237" s="141">
        <v>1</v>
      </c>
      <c r="BB237" s="140">
        <f>BB5*BA237+BC5*BA237+BB6*BA237+BC6*BA237+BB7*BA237+BC7*BA237+BB8*BA237+BC8*BA237+BB9*BA237+BC9*BA237+BB10*BA237+BC10*BA237+BB11*BA237+BC11*BA237+BB12*BA237+BC12*BA237+BB13*BA237+BC13*BA237+BB14*BA237+BC14*BA237+BB15*BA237+BC15*BA237+BB16*BA237+BC16*BA237+BB17*BA237+BC17*BA237+BB18*BA237+BC18*BA237+BB19*BA237+BC19*BA237+BB20*BA237+BC20*BA237+BB21*BA237+BC21*BA237+BB22*BA237+BC22*BA237+BB23*BA237+BC23*BA237+BB24*BA237+BC24*BA237+BB25*BA237+BC25*BA237+BB26*BA237+BC26*BA237+BD5*BA237+BD6*BA237+BD7*BA237+BD8*BA237+BD9*BA237+BD10*BA237+BD11*BA237+BB19*BA237+BD12*BA237+BD13*BA237+BD14*BA237+BD15*BA237+BD16*BA237+BD17*BA237+BD18*BA237+BD19*BA237+BD20*BA237+BD21*BA237+BD22*BA237+BD23*BA237+BD24*BA237+BD25*BA237+BD26*BA237</f>
        <v>0</v>
      </c>
      <c r="BC237" s="139"/>
      <c r="BD237" s="41"/>
      <c r="BF237" s="60">
        <v>2</v>
      </c>
      <c r="BG237" s="41">
        <f>SUM(BG5:BG26,BH5:BH26,BI5:BI26)*BF237</f>
        <v>0</v>
      </c>
      <c r="BH237" s="40"/>
      <c r="BI237" s="41"/>
      <c r="BK237" s="142">
        <v>2</v>
      </c>
      <c r="BL237" s="140">
        <f>SUM(BL5:BL26,BM5:BM26,BN5:BN26)*BK237</f>
        <v>0</v>
      </c>
      <c r="BM237" s="40"/>
      <c r="BN237" s="41"/>
      <c r="BP237" s="62">
        <v>2</v>
      </c>
      <c r="BQ237" s="140">
        <f>SUM(BQ5:BQ26,BR5:BR26,BS5:BS26)*BP237</f>
        <v>0</v>
      </c>
      <c r="BR237" s="40"/>
      <c r="BS237" s="41"/>
      <c r="BU237" s="62">
        <v>4</v>
      </c>
      <c r="BV237" s="41">
        <f>SUM(BV5:BV26,BW5:BW26,BX5:BX26)*BU237</f>
        <v>0</v>
      </c>
      <c r="BW237" s="40"/>
      <c r="BX237" s="41"/>
      <c r="BZ237" s="61">
        <v>4</v>
      </c>
      <c r="CA237" s="41">
        <f>SUM(CA5:CA26,CB5:CB26,CC5:CC26)*BZ237</f>
        <v>0</v>
      </c>
      <c r="CB237" s="40"/>
      <c r="CC237" s="41"/>
      <c r="CD237" s="140"/>
      <c r="CE237" s="61">
        <v>4</v>
      </c>
      <c r="CF237" s="41">
        <f>SUM(CF5:CF26,CG5:CG26,CH5:CH26)*CE237</f>
        <v>0</v>
      </c>
      <c r="CG237" s="40"/>
      <c r="CH237" s="41"/>
      <c r="CJ237" s="141"/>
      <c r="CK237" s="140">
        <f>CK5*CJ237+CL5*CJ237+CK6*CJ237+CL6*CJ237+CK7*CJ237+CL7*CJ237+CK8*CJ237+CL8*CJ237+CK9*CJ237+CL9*CJ237+CK10*CJ237+CL10*CJ237+CK11*CJ237+CL11*CJ237+CK12*CJ237+CL12*CJ237+CK13*CJ237+CL13*CJ237+CK14*CJ237+CL14*CJ237+CK15*CJ237+CL15*CJ237+CK16*CJ237+CL16*CJ237+CK17*CJ237+CL17*CJ237+CK18*CJ237+CL18*CJ237+CK19*CJ237+CL19*CJ237+CK20*CJ237+CL20*CJ237+CK21*CJ237+CL21*CJ237+CK22*CJ237+CL22*CJ237+CK23*CJ237+CL23*CJ237+CK24*CJ237+CL24*CJ237+CK25*CJ237+CL25*CJ237+CK26*CJ237+CL26*CJ237+CM5*CJ237+CM6*CJ237+CM7*CJ237+CM8*CJ237+CM9*CJ237+CM10*CJ237+CM11*CJ237+CK19*CJ237+CM12*CJ237+CM13*CJ237+CM14*CJ237+CM15*CJ237+CM16*CJ237+CM17*CJ237+CM18*CJ237+CM19*CJ237+CM20*CJ237+CM21*CJ237+CM22*CJ237+CM23*CJ237+CM24*CJ237+CM25*CJ237+CM26*CJ237</f>
        <v>0</v>
      </c>
      <c r="CL237" s="139"/>
      <c r="CM237" s="140"/>
      <c r="CO237" s="223">
        <v>2</v>
      </c>
      <c r="CP237" s="41">
        <f>CP5*CO237+CQ5*CO237+CP6*CO237+CQ6*CO237+CP7*CO237+CQ7*CO237+CP8*CO237+CQ8*CO237+CP9*CO237+CQ9*CO237+CP10*CO237+CQ10*CO237+CP11*CO237+CQ11*CO237+CP12*CO237+CQ12*CO237+CP13*CO237+CQ13*CO237+CP14*CO237+CQ14*CO237+CP15*CO237+CQ15*CO237+CP16*CO237+CQ16*CO237+CP17*CO237+CQ17*CO237+CP18*CO237+CQ18*CO237+CP19*CO237+CQ19*CO237+CP20*CO237+CQ20*CO237+CP21*CO237+CQ21*CO237+CP22*CO237+CQ22*CO237+CP23*CO237+CQ23*CO237+CP24*CO237+CQ24*CO237+CP25*CO237+CQ25*CO237+CP26*CO237+CQ26*CO237+CR5*CO237+CR6*CO237+CR7*CO237+CR8*CO237+CR9*CO237+CR10*CO237+CR11*CO237+CP19*CO237+CR12*CO237+CR13*CO237+CR14*CO237+CR15*CO237+CR16*CO237+CR17*CO237+CR18*CO237+CR19*CO237+CR20*CO237+CR21*CO237+CR22*CO237+CR23*CO237+CR24*CO237+CR25*CO237+CR26*CO237</f>
        <v>0</v>
      </c>
      <c r="CQ237" s="40"/>
      <c r="CR237" s="41"/>
      <c r="CT237" s="62">
        <v>3</v>
      </c>
      <c r="CU237" s="41">
        <f>SUM(CU5:CU26,CV5:CV26,CW5:CW26)*CT237</f>
        <v>0</v>
      </c>
      <c r="CV237" s="40"/>
      <c r="CW237" s="41"/>
      <c r="CY237" s="62">
        <v>4</v>
      </c>
      <c r="CZ237" s="41">
        <f>SUM(CZ5:CZ26,DA5:DA26,DB5:DB26)*CY237</f>
        <v>0</v>
      </c>
      <c r="DA237" s="40"/>
      <c r="DB237" s="41"/>
      <c r="DD237" s="46">
        <v>2</v>
      </c>
      <c r="DE237" s="41">
        <f>DE5*DD237+DF5*DD237+DE6*DD237+DF6*DD237+DE7*DD237+DF7*DD237+DE8*DD237+DF8*DD237+DE9*DD237+DF9*DD237+DE10*DD237+DF10*DD237+DE11*DD237+DF11*DD237+DE12*DD237+DF12*DD237+DE13*DD237+DF13*DD237+DE14*DD237+DF14*DD237+DE15*DD237+DF15*DD237+DE16*DD237+DF16*DD237+DE17*DD237+DF17*DD237+DE18*DD237+DF18*DD237+DE19*DD237+DF19*DD237+DE20*DD237+DF20*DD237+DE21*DD237+DF21*DD237+DE22*DD237+DF22*DD237+DE23*DD237+DF23*DD237+DE24*DD237+DF24*DD237+DE25*DD237+DF25*DD237+DE26*DD237+DF26*DD237+DG5*DD237+DG6*DD237+DG7*DD237+DG8*DD237+DG9*DD237+DG10*DD237+DG11*DD237+DE19*DD237+DG12*DD237+DG13*DD237+DG14*DD237+DG15*DD237+DG16*DD237+DG17*DD237+DG18*DD237+DG19*DD237+DG20*DD237+DG21*DD237+DG22*DD237+DG23*DD237+DG24*DD237+DG25*DD237+DG26*DD237</f>
        <v>0</v>
      </c>
      <c r="DF237" s="40"/>
      <c r="DG237" s="41"/>
      <c r="DI237" s="71">
        <v>2</v>
      </c>
      <c r="DJ237" s="41">
        <f>DJ5*DI237+DK5*DI237+DJ6*DI237+DK6*DI237+DJ7*DI237+DK7*DI237+DJ8*DI237+DK8*DI237+DJ9*DI237+DK9*DI237+DJ10*DI237+DK10*DI237+DJ11*DI237+DK11*DI237+DJ12*DI237+DK12*DI237+DJ13*DI237+DK13*DI237+DJ14*DI237+DK14*DI237+DJ15*DI237+DK15*DI237+DJ16*DI237+DK16*DI237+DJ17*DI237+DK17*DI237+DJ18*DI237+DK18*DI237+DJ19*DI237+DK19*DI237+DJ20*DI237+DK20*DI237+DJ21*DI237+DK21*DI237+DJ22*DI237+DK22*DI237+DJ23*DI237+DK23*DI237+DJ24*DI237+DK24*DI237+DJ25*DI237+DK25*DI237+DJ26*DI237+DK26*DI237+DL5*DI237+DL6*DI237+DL7*DI237+DL8*DI237+DL9*DI237+DL10*DI237+DL11*DI237+DJ19*DI237+DL12*DI237+DL13*DI237+DL14*DI237+DL15*DI237+DL16*DI237+DL17*DI237+DL18*DI237+DL19*DI237+DL20*DI237+DL21*DI237+DL22*DI237+DL23*DI237+DL24*DI237+DL25*DI237+DL26*DI237</f>
        <v>0</v>
      </c>
      <c r="DK237" s="64"/>
      <c r="DL237" s="64"/>
      <c r="DN237" s="71">
        <v>2</v>
      </c>
      <c r="DO237" s="41">
        <f>DO5*DN237+DP5*DN237+DO6*DN237+DP6*DN237+DO7*DN237+DP7*DN237+DO8*DN237+DP8*DN237+DO9*DN237+DP9*DN237+DO10*DN237+DP10*DN237+DO11*DN237+DP11*DN237+DO12*DN237+DP12*DN237+DO13*DN237+DP13*DN237+DO14*DN237+DP14*DN237+DO15*DN237+DP15*DN237+DO16*DN237+DP16*DN237+DO17*DN237+DP17*DN237+DO18*DN237+DP18*DN237+DO19*DN237+DP19*DN237+DO20*DN237+DP20*DN237+DO21*DN237+DP21*DN237+DO22*DN237+DP22*DN237+DO23*DN237+DP23*DN237+DO24*DN237+DP24*DN237+DO25*DN237+DP25*DN237+DO26*DN237+DP26*DN237+DQ5*DN237+DQ6*DN237+DQ7*DN237+DQ8*DN237+DQ9*DN237+DQ10*DN237+DQ11*DN237+DO19*DN237+DQ12*DN237+DQ13*DN237+DQ14*DN237+DQ15*DN237+DQ16*DN237+DQ17*DN237+DQ18*DN237+DQ19*DN237+DQ20*DN237+DQ21*DN237+DQ22*DN237+DQ23*DN237+DQ24*DN237+DQ25*DN237+DQ26*DN237</f>
        <v>0</v>
      </c>
      <c r="DP237" s="64"/>
      <c r="DQ237" s="64"/>
      <c r="DS237" s="60">
        <v>3</v>
      </c>
      <c r="DT237" s="41">
        <f>DT5*DS237+DU5*DS237+DT6*DS237+DU6*DS237+DT7*DS237+DU7*DS237+DT8*DS237+DU8*DS237+DT9*DS237+DU9*DS237+DT10*DS237+DU10*DS237+DT11*DS237+DU11*DS237+DT12*DS237+DU12*DS237+DT13*DS237+DU13*DS237+DT14*DS237+DU14*DS237+DT15*DS237+DU15*DS237+DT16*DS237+DU16*DS237+DT17*DS237+DU17*DS237+DT18*DS237+DU18*DS237+DT19*DS237+DU19*DS237+DT20*DS237+DU20*DS237+DT21*DS237+DU21*DS237+DT22*DS237+DU22*DS237+DT23*DS237+DU23*DS237+DT24*DS237+DU24*DS237+DT25*DS237+DU25*DS237+DT26*DS237+DU26*DS237+DV5*DS237+DV6*DS237+DV7*DS237+DV8*DS237+DV9*DS237+DV10*DS237+DV11*DS237+DT19*DS237+DV12*DS237+DV13*DS237+DV14*DS237+DV15*DS237+DV16*DS237+DV17*DS237+DV18*DS237+DV19*DS237+DV20*DS237+DV21*DS237+DV22*DS237+DV23*DS237+DV24*DS237+DV25*DS237+DV26*DS237</f>
        <v>0</v>
      </c>
      <c r="DU237" s="64"/>
      <c r="DV237" s="64"/>
      <c r="DX237" s="60">
        <v>3</v>
      </c>
      <c r="DY237" s="41">
        <f>DY5*DX237+DZ5*DX237+DY6*DX237+DZ6*DX237+DY7*DX237+DZ7*DX237+DY8*DX237+DZ8*DX237+DY9*DX237+DZ9*DX237+DY10*DX237+DZ10*DX237+DY11*DX237+DZ11*DX237+DY12*DX237+DZ12*DX237+DY13*DX237+DZ13*DX237+DY14*DX237+DZ14*DX237+DY15*DX237+DZ15*DX237+DY16*DX237+DZ16*DX237+DY17*DX237+DZ17*DX237+DY18*DX237+DZ18*DX237+DY19*DX237+DZ19*DX237+DY20*DX237+DZ20*DX237+DY21*DX237+DZ21*DX237+DY22*DX237+DZ22*DX237+DY23*DX237+DZ23*DX237+DY24*DX237+DZ24*DX237+DY25*DX237+DZ25*DX237+DY26*DX237+DZ26*DX237+EA5*DX237+EA6*DX237+EA7*DX237+EA8*DX237+EA9*DX237+EA10*DX237+EA11*DX237+DY19*DX237+EA12*DX237+EA13*DX237+EA14*DX237+EA15*DX237+EA16*DX237+EA17*DX237+EA18*DX237+EA19*DX237+EA20*DX237+EA21*DX237+EA22*DX237+EA23*DX237+EA24*DX237+EA25*DX237+EA26*DX237</f>
        <v>0</v>
      </c>
      <c r="DZ237" s="64"/>
      <c r="EA237" s="64"/>
      <c r="EC237" s="60">
        <v>3</v>
      </c>
      <c r="ED237" s="41">
        <f>ED5*EC237+EE5*EC237+ED6*EC237+EE6*EC237+ED7*EC237+EE7*EC237+ED8*EC237+EE8*EC237+ED9*EC237+EE9*EC237+ED10*EC237+EE10*EC237+ED11*EC237+EE11*EC237+ED12*EC237+EE12*EC237+ED13*EC237+EE13*EC237+ED14*EC237+EE14*EC237+ED15*EC237+EE15*EC237+ED16*EC237+EE16*EC237+ED17*EC237+EE17*EC237+ED18*EC237+EE18*EC237+ED19*EC237+EE19*EC237+ED20*EC237+EE20*EC237+ED21*EC237+EE21*EC237+ED22*EC237+EE22*EC237+ED23*EC237+EE23*EC237+ED24*EC237+EE24*EC237+ED25*EC237+EE25*EC237+ED26*EC237+EE26*EC237+EF5*EC237+EF6*EC237+EF7*EC237+EF8*EC237+EF9*EC237+EF10*EC237+EF11*EC237+ED19*EC237+EF12*EC237+EF13*EC237+EF14*EC237+EF15*EC237+EF16*EC237+EF17*EC237+EF18*EC237+EF19*EC237+EF20*EC237+EF21*EC237+EF22*EC237+EF23*EC237+EF24*EC237+EF25*EC237+EF26*EC237</f>
        <v>0</v>
      </c>
      <c r="EE237" s="64"/>
      <c r="EF237" s="64"/>
      <c r="EH237" s="60">
        <v>3</v>
      </c>
      <c r="EI237" s="41">
        <f>EI5*EH237+EJ5*EH237+EI6*EH237+EJ6*EH237+EI7*EH237+EJ7*EH237+EI8*EH237+EJ8*EH237+EI9*EH237+EJ9*EH237+EI10*EH237+EJ10*EH237+EI11*EH237+EJ11*EH237+EI12*EH237+EJ12*EH237+EI13*EH237+EJ13*EH237+EI14*EH237+EJ14*EH237+EI15*EH237+EJ15*EH237+EI16*EH237+EJ16*EH237+EI17*EH237+EJ17*EH237+EI18*EH237+EJ18*EH237+EI19*EH237+EJ19*EH237+EI20*EH237+EJ20*EH237+EI21*EH237+EJ21*EH237+EI22*EH237+EJ22*EH237+EI23*EH237+EJ23*EH237+EI24*EH237+EJ24*EH237+EI25*EH237+EJ25*EH237+EI26*EH237+EJ26*EH237+EK5*EH237+EK6*EH237+EK7*EH237+EK8*EH237+EK9*EH237+EK10*EH237+EK11*EH237+EI19*EH237+EK12*EH237+EK13*EH237+EK14*EH237+EK15*EH237+EK16*EH237+EK17*EH237+EK18*EH237+EK19*EH237+EK20*EH237+EK21*EH237+EK22*EH237+EK23*EH237+EK24*EH237+EK25*EH237+EK26*EH237</f>
        <v>0</v>
      </c>
      <c r="EJ237" s="64"/>
      <c r="EK237" s="64"/>
      <c r="ER237" s="855"/>
      <c r="EX237" s="203">
        <f t="shared" si="1"/>
        <v>0</v>
      </c>
    </row>
    <row r="238" spans="1:154" s="6" customFormat="1" ht="15" customHeight="1">
      <c r="A238" s="90"/>
      <c r="B238" s="210" t="s">
        <v>1509</v>
      </c>
      <c r="C238" s="473" t="s">
        <v>0</v>
      </c>
      <c r="D238" s="138"/>
      <c r="E238" s="62"/>
      <c r="F238" s="140"/>
      <c r="G238" s="140"/>
      <c r="H238" s="140"/>
      <c r="I238" s="4"/>
      <c r="J238" s="4"/>
      <c r="K238" s="4"/>
      <c r="L238" s="4"/>
      <c r="M238" s="4"/>
      <c r="N238" s="4"/>
      <c r="O238" s="4"/>
      <c r="P238" s="4"/>
      <c r="Q238" s="4"/>
      <c r="R238" s="40"/>
      <c r="S238" s="41"/>
      <c r="T238" s="140"/>
      <c r="U238" s="41"/>
      <c r="W238" s="40"/>
      <c r="X238" s="41"/>
      <c r="Y238" s="41"/>
      <c r="Z238" s="41"/>
      <c r="AB238" s="40"/>
      <c r="AC238" s="41"/>
      <c r="AD238" s="41"/>
      <c r="AE238" s="41"/>
      <c r="AG238" s="40"/>
      <c r="AH238" s="41"/>
      <c r="AI238" s="41"/>
      <c r="AJ238" s="41"/>
      <c r="AL238" s="40"/>
      <c r="AM238" s="41"/>
      <c r="AN238" s="41"/>
      <c r="AO238" s="41"/>
      <c r="AQ238" s="40"/>
      <c r="AR238" s="41"/>
      <c r="AS238" s="41"/>
      <c r="AT238" s="41"/>
      <c r="AV238" s="141"/>
      <c r="AW238" s="140"/>
      <c r="AX238" s="139"/>
      <c r="AY238" s="140"/>
      <c r="BA238" s="141"/>
      <c r="BB238" s="140"/>
      <c r="BC238" s="139"/>
      <c r="BD238" s="41"/>
      <c r="BF238" s="60"/>
      <c r="BG238" s="41"/>
      <c r="BH238" s="40"/>
      <c r="BI238" s="41"/>
      <c r="BK238" s="142"/>
      <c r="BL238" s="140"/>
      <c r="BM238" s="40"/>
      <c r="BN238" s="41"/>
      <c r="BP238" s="62"/>
      <c r="BQ238" s="140"/>
      <c r="BR238" s="40"/>
      <c r="BS238" s="41"/>
      <c r="BU238" s="62"/>
      <c r="BV238" s="41"/>
      <c r="BW238" s="40"/>
      <c r="BX238" s="41"/>
      <c r="BZ238" s="61"/>
      <c r="CA238" s="41"/>
      <c r="CB238" s="40"/>
      <c r="CC238" s="41"/>
      <c r="CD238" s="140"/>
      <c r="CE238" s="61"/>
      <c r="CF238" s="41"/>
      <c r="CG238" s="40"/>
      <c r="CH238" s="41"/>
      <c r="CJ238" s="141"/>
      <c r="CK238" s="140"/>
      <c r="CL238" s="139"/>
      <c r="CM238" s="140"/>
      <c r="CO238" s="223"/>
      <c r="CP238" s="41"/>
      <c r="CQ238" s="40"/>
      <c r="CR238" s="41"/>
      <c r="CT238" s="62"/>
      <c r="CU238" s="41"/>
      <c r="CV238" s="40"/>
      <c r="CW238" s="41"/>
      <c r="CY238" s="62"/>
      <c r="CZ238" s="41"/>
      <c r="DA238" s="40"/>
      <c r="DB238" s="41"/>
      <c r="DD238" s="46"/>
      <c r="DE238" s="41"/>
      <c r="DF238" s="40"/>
      <c r="DG238" s="41"/>
      <c r="DI238" s="71"/>
      <c r="DJ238" s="41"/>
      <c r="DK238" s="64"/>
      <c r="DL238" s="64"/>
      <c r="DN238" s="71"/>
      <c r="DO238" s="41"/>
      <c r="DP238" s="64"/>
      <c r="DQ238" s="64"/>
      <c r="DS238" s="60"/>
      <c r="DT238" s="41"/>
      <c r="DU238" s="64"/>
      <c r="DV238" s="64"/>
      <c r="DX238" s="60"/>
      <c r="DY238" s="41"/>
      <c r="DZ238" s="64"/>
      <c r="EA238" s="64"/>
      <c r="EC238" s="60"/>
      <c r="ED238" s="41"/>
      <c r="EE238" s="64"/>
      <c r="EF238" s="64"/>
      <c r="EH238" s="60"/>
      <c r="EI238" s="41"/>
      <c r="EJ238" s="64"/>
      <c r="EK238" s="64"/>
      <c r="ER238" s="855"/>
      <c r="EX238" s="203">
        <f t="shared" si="1"/>
        <v>0</v>
      </c>
    </row>
    <row r="239" spans="1:154" s="6" customFormat="1" ht="15" customHeight="1">
      <c r="A239" s="90" t="s">
        <v>12</v>
      </c>
      <c r="B239" s="210" t="s">
        <v>410</v>
      </c>
      <c r="C239" s="473" t="s">
        <v>515</v>
      </c>
      <c r="D239" s="138"/>
      <c r="E239" s="40"/>
      <c r="F239" s="40"/>
      <c r="G239" s="40"/>
      <c r="H239" s="40"/>
      <c r="I239" s="4"/>
      <c r="J239" s="4"/>
      <c r="K239" s="4"/>
      <c r="L239" s="4"/>
      <c r="M239" s="4"/>
      <c r="N239" s="4"/>
      <c r="O239" s="4"/>
      <c r="P239" s="4"/>
      <c r="Q239" s="4"/>
      <c r="R239" s="40"/>
      <c r="S239" s="41"/>
      <c r="T239" s="140"/>
      <c r="U239" s="41"/>
      <c r="W239" s="40"/>
      <c r="X239" s="41"/>
      <c r="Y239" s="41"/>
      <c r="Z239" s="41"/>
      <c r="AB239" s="40"/>
      <c r="AC239" s="41"/>
      <c r="AD239" s="41"/>
      <c r="AE239" s="41"/>
      <c r="AG239" s="40"/>
      <c r="AH239" s="41"/>
      <c r="AI239" s="41"/>
      <c r="AJ239" s="41"/>
      <c r="AL239" s="40"/>
      <c r="AM239" s="41"/>
      <c r="AN239" s="41"/>
      <c r="AO239" s="41"/>
      <c r="AQ239" s="40"/>
      <c r="AR239" s="41"/>
      <c r="AS239" s="41"/>
      <c r="AT239" s="41"/>
      <c r="AV239" s="139"/>
      <c r="AW239" s="139"/>
      <c r="AX239" s="139"/>
      <c r="AY239" s="140"/>
      <c r="BA239" s="139"/>
      <c r="BB239" s="139"/>
      <c r="BC239" s="139"/>
      <c r="BD239" s="41"/>
      <c r="BF239" s="40"/>
      <c r="BG239" s="40"/>
      <c r="BH239" s="40"/>
      <c r="BI239" s="41"/>
      <c r="BK239" s="139"/>
      <c r="BL239" s="139"/>
      <c r="BM239" s="40"/>
      <c r="BN239" s="41"/>
      <c r="BP239" s="40"/>
      <c r="BQ239" s="40"/>
      <c r="BR239" s="40"/>
      <c r="BS239" s="41"/>
      <c r="BU239" s="40"/>
      <c r="BV239" s="40"/>
      <c r="BW239" s="40"/>
      <c r="BX239" s="41"/>
      <c r="BZ239" s="40"/>
      <c r="CA239" s="40"/>
      <c r="CB239" s="40"/>
      <c r="CC239" s="41"/>
      <c r="CD239" s="140"/>
      <c r="CE239" s="40"/>
      <c r="CF239" s="40"/>
      <c r="CG239" s="40"/>
      <c r="CH239" s="41"/>
      <c r="CJ239" s="139"/>
      <c r="CK239" s="139"/>
      <c r="CL239" s="139"/>
      <c r="CM239" s="140"/>
      <c r="CO239" s="222"/>
      <c r="CP239" s="40"/>
      <c r="CQ239" s="40"/>
      <c r="CR239" s="41"/>
      <c r="CT239" s="40"/>
      <c r="CU239" s="40"/>
      <c r="CV239" s="40"/>
      <c r="CW239" s="41"/>
      <c r="CY239" s="40"/>
      <c r="CZ239" s="40"/>
      <c r="DA239" s="40"/>
      <c r="DB239" s="41"/>
      <c r="DD239" s="40"/>
      <c r="DE239" s="40"/>
      <c r="DF239" s="40"/>
      <c r="DG239" s="41"/>
      <c r="DI239" s="72">
        <v>1</v>
      </c>
      <c r="DJ239" s="41">
        <f>DJ6*DI239+DK6*DI239+DJ7*DI239+DK7*DI239+DJ8*DI239+DK8*DI239+DJ9*DI239+DK9*DI239+DJ10*DI239+DK10*DI239+DJ11*DI239+DK11*DI239+DJ12*DI239+DK12*DI239+DJ13*DI239+DK13*DI239+DJ14*DI239+DK14*DI239+DJ15*DI239+DK15*DI239+DJ16*DI239+DK16*DI239+DJ17*DI239+DK17*DI239+DJ18*DI239+DK18*DI239+DJ19*DI239+DK19*DI239+DJ20*DI239+DK20*DI239+DJ21*DI239+DK21*DI239+DJ22*DI239+DK22*DI239+DJ23*DI239+DK23*DI239+DJ24*DI239+DK24*DI239+DJ25*DI239+DK25*DI239+DJ26*DI239+DK26*DI239+DJ5*DI239+DK5*DI239+DL6*DI239+DL7*DI239+DL8*DI239+DL9*DI239+DL10*DI239+DL11*DI239+DL12*DI239+DJ20*DI239+DL13*DI239+DL14*DI239+DL15*DI239+DL16*DI239+DL17*DI239+DL18*DI239+DL19*DI239+DL20*DI239+DL21*DI239+DL22*DI239+DL23*DI239+DL24*DI239+DL25*DI239+DL26*DI239+DL5*DI239</f>
        <v>0</v>
      </c>
      <c r="DK239" s="64"/>
      <c r="DL239" s="64"/>
      <c r="DN239" s="72">
        <v>1</v>
      </c>
      <c r="DO239" s="41">
        <f>DO6*DN239+DP6*DN239+DO7*DN239+DP7*DN239+DO8*DN239+DP8*DN239+DO9*DN239+DP9*DN239+DO10*DN239+DP10*DN239+DO11*DN239+DP11*DN239+DO12*DN239+DP12*DN239+DO13*DN239+DP13*DN239+DO14*DN239+DP14*DN239+DO15*DN239+DP15*DN239+DO16*DN239+DP16*DN239+DO17*DN239+DP17*DN239+DO18*DN239+DP18*DN239+DO19*DN239+DP19*DN239+DO20*DN239+DP20*DN239+DO21*DN239+DP21*DN239+DO22*DN239+DP22*DN239+DO23*DN239+DP23*DN239+DO24*DN239+DP24*DN239+DO25*DN239+DP25*DN239+DO26*DN239+DP26*DN239+DO5*DN239+DP5*DN239+DQ6*DN239+DQ7*DN239+DQ8*DN239+DQ9*DN239+DQ10*DN239+DQ11*DN239+DQ12*DN239+DO20*DN239+DQ13*DN239+DQ14*DN239+DQ15*DN239+DQ16*DN239+DQ17*DN239+DQ18*DN239+DQ19*DN239+DQ20*DN239+DQ21*DN239+DQ22*DN239+DQ23*DN239+DQ24*DN239+DQ25*DN239+DQ26*DN239+DQ5*DN239</f>
        <v>0</v>
      </c>
      <c r="DP239" s="64"/>
      <c r="DQ239" s="64"/>
      <c r="DS239" s="60">
        <v>1</v>
      </c>
      <c r="DT239" s="41">
        <f>DT6*DS239+DU6*DS239+DT7*DS239+DU7*DS239+DT8*DS239+DU8*DS239+DT9*DS239+DU9*DS239+DT10*DS239+DU10*DS239+DT11*DS239+DU11*DS239+DT12*DS239+DU12*DS239+DT13*DS239+DU13*DS239+DT14*DS239+DU14*DS239+DT15*DS239+DU15*DS239+DT16*DS239+DU16*DS239+DT17*DS239+DU17*DS239+DT18*DS239+DU18*DS239+DT19*DS239+DU19*DS239+DT20*DS239+DU20*DS239+DT21*DS239+DU21*DS239+DT22*DS239+DU22*DS239+DT23*DS239+DU23*DS239+DT24*DS239+DU24*DS239+DT25*DS239+DU25*DS239+DT26*DS239+DU26*DS239+DT5*DS239+DU5*DS239+DV6*DS239+DV7*DS239+DV8*DS239+DV9*DS239+DV10*DS239+DV11*DS239+DV12*DS239+DT20*DS239+DV13*DS239+DV14*DS239+DV15*DS239+DV16*DS239+DV17*DS239+DV18*DS239+DV19*DS239+DV20*DS239+DV21*DS239+DV22*DS239+DV23*DS239+DV24*DS239+DV25*DS239+DV26*DS239+DV5*DS239</f>
        <v>0</v>
      </c>
      <c r="DU239" s="64"/>
      <c r="DV239" s="64"/>
      <c r="DX239" s="60">
        <v>1</v>
      </c>
      <c r="DY239" s="41">
        <f>DY6*DX239+DZ6*DX239+DY7*DX239+DZ7*DX239+DY8*DX239+DZ8*DX239+DY9*DX239+DZ9*DX239+DY10*DX239+DZ10*DX239+DY11*DX239+DZ11*DX239+DY12*DX239+DZ12*DX239+DY13*DX239+DZ13*DX239+DY14*DX239+DZ14*DX239+DY15*DX239+DZ15*DX239+DY16*DX239+DZ16*DX239+DY17*DX239+DZ17*DX239+DY18*DX239+DZ18*DX239+DY19*DX239+DZ19*DX239+DY20*DX239+DZ20*DX239+DY21*DX239+DZ21*DX239+DY22*DX239+DZ22*DX239+DY23*DX239+DZ23*DX239+DY24*DX239+DZ24*DX239+DY25*DX239+DZ25*DX239+DY26*DX239+DZ26*DX239+DY5*DX239+DZ5*DX239+EA6*DX239+EA7*DX239+EA8*DX239+EA9*DX239+EA10*DX239+EA11*DX239+EA12*DX239+DY20*DX239+EA13*DX239+EA14*DX239+EA15*DX239+EA16*DX239+EA17*DX239+EA18*DX239+EA19*DX239+EA20*DX239+EA21*DX239+EA22*DX239+EA23*DX239+EA24*DX239+EA25*DX239+EA26*DX239+EA5*DX239</f>
        <v>0</v>
      </c>
      <c r="DZ239" s="64"/>
      <c r="EA239" s="64"/>
      <c r="EC239" s="60">
        <v>1</v>
      </c>
      <c r="ED239" s="41">
        <f>ED6*EC239+EE6*EC239+ED7*EC239+EE7*EC239+ED8*EC239+EE8*EC239+ED9*EC239+EE9*EC239+ED10*EC239+EE10*EC239+ED11*EC239+EE11*EC239+ED12*EC239+EE12*EC239+ED13*EC239+EE13*EC239+ED14*EC239+EE14*EC239+ED15*EC239+EE15*EC239+ED16*EC239+EE16*EC239+ED17*EC239+EE17*EC239+ED18*EC239+EE18*EC239+ED19*EC239+EE19*EC239+ED20*EC239+EE20*EC239+ED21*EC239+EE21*EC239+ED22*EC239+EE22*EC239+ED23*EC239+EE23*EC239+ED24*EC239+EE24*EC239+ED25*EC239+EE25*EC239+ED26*EC239+EE26*EC239+ED5*EC239+EE5*EC239+EF6*EC239+EF7*EC239+EF8*EC239+EF9*EC239+EF10*EC239+EF11*EC239+EF12*EC239+ED20*EC239+EF13*EC239+EF14*EC239+EF15*EC239+EF16*EC239+EF17*EC239+EF18*EC239+EF19*EC239+EF20*EC239+EF21*EC239+EF22*EC239+EF23*EC239+EF24*EC239+EF25*EC239+EF26*EC239+EF5*EC239</f>
        <v>0</v>
      </c>
      <c r="EE239" s="64"/>
      <c r="EF239" s="64"/>
      <c r="EH239" s="60">
        <v>1</v>
      </c>
      <c r="EI239" s="41">
        <f>EI6*EH239+EJ6*EH239+EI7*EH239+EJ7*EH239+EI8*EH239+EJ8*EH239+EI9*EH239+EJ9*EH239+EI10*EH239+EJ10*EH239+EI11*EH239+EJ11*EH239+EI12*EH239+EJ12*EH239+EI13*EH239+EJ13*EH239+EI14*EH239+EJ14*EH239+EI15*EH239+EJ15*EH239+EI16*EH239+EJ16*EH239+EI17*EH239+EJ17*EH239+EI18*EH239+EJ18*EH239+EI19*EH239+EJ19*EH239+EI20*EH239+EJ20*EH239+EI21*EH239+EJ21*EH239+EI22*EH239+EJ22*EH239+EI23*EH239+EJ23*EH239+EI24*EH239+EJ24*EH239+EI25*EH239+EJ25*EH239+EI26*EH239+EJ26*EH239+EI5*EH239+EJ5*EH239+EK6*EH239+EK7*EH239+EK8*EH239+EK9*EH239+EK10*EH239+EK11*EH239+EK12*EH239+EI20*EH239+EK13*EH239+EK14*EH239+EK15*EH239+EK16*EH239+EK17*EH239+EK18*EH239+EK19*EH239+EK20*EH239+EK21*EH239+EK22*EH239+EK23*EH239+EK24*EH239+EK25*EH239+EK26*EH239+EK5*EH239</f>
        <v>0</v>
      </c>
      <c r="EJ239" s="64"/>
      <c r="EK239" s="64"/>
      <c r="ER239" s="855"/>
      <c r="EX239" s="203">
        <f t="shared" si="1"/>
        <v>0</v>
      </c>
    </row>
    <row r="240" spans="1:154" s="6" customFormat="1" ht="15" customHeight="1">
      <c r="A240" s="90" t="s">
        <v>44</v>
      </c>
      <c r="B240" s="210" t="s">
        <v>44</v>
      </c>
      <c r="C240" s="473" t="s">
        <v>515</v>
      </c>
      <c r="D240" s="138"/>
      <c r="E240" s="47"/>
      <c r="F240" s="41"/>
      <c r="G240" s="41"/>
      <c r="H240" s="41"/>
      <c r="I240" s="4"/>
      <c r="J240" s="4"/>
      <c r="K240" s="4"/>
      <c r="L240" s="4"/>
      <c r="M240" s="4"/>
      <c r="N240" s="4"/>
      <c r="O240" s="4"/>
      <c r="P240" s="4"/>
      <c r="Q240" s="4"/>
      <c r="R240" s="40"/>
      <c r="S240" s="41"/>
      <c r="T240" s="140"/>
      <c r="U240" s="41"/>
      <c r="W240" s="40"/>
      <c r="X240" s="41"/>
      <c r="Y240" s="41"/>
      <c r="Z240" s="41"/>
      <c r="AB240" s="40"/>
      <c r="AC240" s="41"/>
      <c r="AD240" s="41"/>
      <c r="AE240" s="41"/>
      <c r="AG240" s="40"/>
      <c r="AH240" s="41"/>
      <c r="AI240" s="41"/>
      <c r="AJ240" s="41"/>
      <c r="AL240" s="40"/>
      <c r="AM240" s="41"/>
      <c r="AN240" s="41"/>
      <c r="AO240" s="41"/>
      <c r="AQ240" s="40"/>
      <c r="AR240" s="41"/>
      <c r="AS240" s="41"/>
      <c r="AT240" s="41"/>
      <c r="AV240" s="139"/>
      <c r="AW240" s="139"/>
      <c r="AX240" s="139"/>
      <c r="AY240" s="140"/>
      <c r="BA240" s="139"/>
      <c r="BB240" s="139"/>
      <c r="BC240" s="139"/>
      <c r="BD240" s="41"/>
      <c r="BF240" s="40"/>
      <c r="BG240" s="40"/>
      <c r="BH240" s="40"/>
      <c r="BI240" s="41"/>
      <c r="BK240" s="139"/>
      <c r="BL240" s="139"/>
      <c r="BM240" s="40"/>
      <c r="BN240" s="41"/>
      <c r="BP240" s="47"/>
      <c r="BQ240" s="41"/>
      <c r="BR240" s="40"/>
      <c r="BS240" s="41"/>
      <c r="BU240" s="62"/>
      <c r="BV240" s="41"/>
      <c r="BW240" s="40"/>
      <c r="BX240" s="41"/>
      <c r="BZ240" s="40"/>
      <c r="CA240" s="40"/>
      <c r="CB240" s="40"/>
      <c r="CC240" s="41"/>
      <c r="CD240" s="140"/>
      <c r="CE240" s="40"/>
      <c r="CF240" s="40"/>
      <c r="CG240" s="40"/>
      <c r="CH240" s="41"/>
      <c r="CJ240" s="139"/>
      <c r="CK240" s="139"/>
      <c r="CL240" s="139"/>
      <c r="CM240" s="140"/>
      <c r="CO240" s="222"/>
      <c r="CP240" s="40"/>
      <c r="CQ240" s="40"/>
      <c r="CR240" s="41"/>
      <c r="CT240" s="62"/>
      <c r="CU240" s="41"/>
      <c r="CV240" s="40"/>
      <c r="CW240" s="41"/>
      <c r="CY240" s="62"/>
      <c r="CZ240" s="41"/>
      <c r="DA240" s="40"/>
      <c r="DB240" s="41"/>
      <c r="DD240" s="40"/>
      <c r="DE240" s="40"/>
      <c r="DF240" s="40"/>
      <c r="DG240" s="41"/>
      <c r="DI240" s="71"/>
      <c r="DJ240" s="64"/>
      <c r="DK240" s="64"/>
      <c r="DL240" s="64"/>
      <c r="DN240" s="71"/>
      <c r="DO240" s="64"/>
      <c r="DP240" s="64"/>
      <c r="DQ240" s="64"/>
      <c r="DS240" s="60"/>
      <c r="DT240" s="64"/>
      <c r="DU240" s="64"/>
      <c r="DV240" s="64"/>
      <c r="DX240" s="60"/>
      <c r="DY240" s="64"/>
      <c r="DZ240" s="64"/>
      <c r="EA240" s="64"/>
      <c r="EC240" s="60"/>
      <c r="ED240" s="64"/>
      <c r="EE240" s="64"/>
      <c r="EF240" s="64"/>
      <c r="EH240" s="60"/>
      <c r="EI240" s="64"/>
      <c r="EJ240" s="64"/>
      <c r="EK240" s="64"/>
      <c r="ER240" s="855"/>
      <c r="EX240" s="203">
        <f t="shared" si="1"/>
        <v>0</v>
      </c>
    </row>
    <row r="241" spans="1:154" s="6" customFormat="1" ht="15" customHeight="1">
      <c r="A241" s="90" t="s">
        <v>45</v>
      </c>
      <c r="B241" s="210" t="s">
        <v>45</v>
      </c>
      <c r="C241" s="473" t="s">
        <v>515</v>
      </c>
      <c r="D241" s="138"/>
      <c r="E241" s="40"/>
      <c r="F241" s="40"/>
      <c r="G241" s="40"/>
      <c r="H241" s="40"/>
      <c r="I241" s="4"/>
      <c r="J241" s="4"/>
      <c r="K241" s="4"/>
      <c r="L241" s="4"/>
      <c r="M241" s="4"/>
      <c r="N241" s="4"/>
      <c r="O241" s="4"/>
      <c r="P241" s="4"/>
      <c r="Q241" s="4"/>
      <c r="R241" s="40"/>
      <c r="S241" s="41"/>
      <c r="T241" s="140"/>
      <c r="U241" s="41"/>
      <c r="W241" s="40"/>
      <c r="X241" s="41"/>
      <c r="Y241" s="41"/>
      <c r="Z241" s="41"/>
      <c r="AB241" s="40"/>
      <c r="AC241" s="41"/>
      <c r="AD241" s="41"/>
      <c r="AE241" s="41"/>
      <c r="AG241" s="40"/>
      <c r="AH241" s="41"/>
      <c r="AI241" s="41"/>
      <c r="AJ241" s="41"/>
      <c r="AL241" s="40"/>
      <c r="AM241" s="41"/>
      <c r="AN241" s="41"/>
      <c r="AO241" s="41"/>
      <c r="AQ241" s="40"/>
      <c r="AR241" s="41"/>
      <c r="AS241" s="41"/>
      <c r="AT241" s="41"/>
      <c r="AV241" s="139"/>
      <c r="AW241" s="139"/>
      <c r="AX241" s="139"/>
      <c r="AY241" s="140"/>
      <c r="BA241" s="139"/>
      <c r="BB241" s="139"/>
      <c r="BC241" s="139"/>
      <c r="BD241" s="41"/>
      <c r="BF241" s="40"/>
      <c r="BG241" s="40"/>
      <c r="BH241" s="40"/>
      <c r="BI241" s="41"/>
      <c r="BK241" s="139"/>
      <c r="BL241" s="139"/>
      <c r="BM241" s="40"/>
      <c r="BN241" s="41"/>
      <c r="BP241" s="40"/>
      <c r="BQ241" s="40"/>
      <c r="BR241" s="40"/>
      <c r="BS241" s="41"/>
      <c r="BU241" s="40"/>
      <c r="BV241" s="40"/>
      <c r="BW241" s="40"/>
      <c r="BX241" s="41"/>
      <c r="BZ241" s="40"/>
      <c r="CA241" s="40"/>
      <c r="CB241" s="40"/>
      <c r="CC241" s="41"/>
      <c r="CD241" s="140"/>
      <c r="CE241" s="40"/>
      <c r="CF241" s="40"/>
      <c r="CG241" s="40"/>
      <c r="CH241" s="41"/>
      <c r="CJ241" s="139"/>
      <c r="CK241" s="139"/>
      <c r="CL241" s="139"/>
      <c r="CM241" s="140"/>
      <c r="CO241" s="222"/>
      <c r="CP241" s="40"/>
      <c r="CQ241" s="40"/>
      <c r="CR241" s="41"/>
      <c r="CT241" s="40"/>
      <c r="CU241" s="40"/>
      <c r="CV241" s="40"/>
      <c r="CW241" s="41"/>
      <c r="CY241" s="40"/>
      <c r="CZ241" s="40"/>
      <c r="DA241" s="40"/>
      <c r="DB241" s="41"/>
      <c r="DD241" s="40"/>
      <c r="DE241" s="40"/>
      <c r="DF241" s="40"/>
      <c r="DG241" s="41"/>
      <c r="DI241" s="64"/>
      <c r="DJ241" s="64"/>
      <c r="DK241" s="64"/>
      <c r="DL241" s="64"/>
      <c r="DN241" s="64"/>
      <c r="DO241" s="64"/>
      <c r="DP241" s="64"/>
      <c r="DQ241" s="64"/>
      <c r="DS241" s="64"/>
      <c r="DT241" s="64"/>
      <c r="DU241" s="64"/>
      <c r="DV241" s="64"/>
      <c r="DX241" s="64"/>
      <c r="DY241" s="64"/>
      <c r="DZ241" s="64">
        <f>IF(SUM(DT5:DT26,DU5:DU26,DV5:DV26)-SUM(EN5:EN20,EO5:EO20,EP5:EP20,EQ5:EQ12)&lt;=0,0,3)</f>
        <v>0</v>
      </c>
      <c r="EA241" s="64"/>
      <c r="EC241" s="64"/>
      <c r="ED241" s="64"/>
      <c r="EE241" s="64"/>
      <c r="EF241" s="64"/>
      <c r="EH241" s="64"/>
      <c r="EI241" s="64"/>
      <c r="EJ241" s="64"/>
      <c r="EK241" s="64"/>
      <c r="EN241" s="161"/>
      <c r="ER241" s="855"/>
      <c r="EX241" s="203">
        <f t="shared" si="1"/>
        <v>0</v>
      </c>
    </row>
    <row r="242" spans="1:154" s="6" customFormat="1" ht="15" customHeight="1">
      <c r="A242" s="90" t="s">
        <v>46</v>
      </c>
      <c r="B242" s="210" t="s">
        <v>46</v>
      </c>
      <c r="C242" s="473" t="s">
        <v>515</v>
      </c>
      <c r="D242" s="138"/>
      <c r="E242" s="40"/>
      <c r="F242" s="40"/>
      <c r="G242" s="40"/>
      <c r="H242" s="40"/>
      <c r="I242" s="4"/>
      <c r="J242" s="4"/>
      <c r="K242" s="4"/>
      <c r="L242" s="4"/>
      <c r="M242" s="4"/>
      <c r="N242" s="4"/>
      <c r="O242" s="4"/>
      <c r="P242" s="4"/>
      <c r="Q242" s="4"/>
      <c r="R242" s="40"/>
      <c r="S242" s="41"/>
      <c r="T242" s="140"/>
      <c r="U242" s="41"/>
      <c r="W242" s="40"/>
      <c r="X242" s="41"/>
      <c r="Y242" s="41"/>
      <c r="Z242" s="41"/>
      <c r="AB242" s="40"/>
      <c r="AC242" s="41"/>
      <c r="AD242" s="41"/>
      <c r="AE242" s="41"/>
      <c r="AG242" s="40"/>
      <c r="AH242" s="41"/>
      <c r="AI242" s="41"/>
      <c r="AJ242" s="41"/>
      <c r="AL242" s="40"/>
      <c r="AM242" s="41"/>
      <c r="AN242" s="41"/>
      <c r="AO242" s="41"/>
      <c r="AQ242" s="40"/>
      <c r="AR242" s="41"/>
      <c r="AS242" s="41"/>
      <c r="AT242" s="41"/>
      <c r="AV242" s="139"/>
      <c r="AW242" s="139"/>
      <c r="AX242" s="139"/>
      <c r="AY242" s="140"/>
      <c r="BA242" s="139"/>
      <c r="BB242" s="139"/>
      <c r="BC242" s="139"/>
      <c r="BD242" s="41"/>
      <c r="BF242" s="40"/>
      <c r="BG242" s="40"/>
      <c r="BH242" s="40"/>
      <c r="BI242" s="41"/>
      <c r="BK242" s="139"/>
      <c r="BL242" s="139"/>
      <c r="BM242" s="40"/>
      <c r="BN242" s="41"/>
      <c r="BP242" s="40"/>
      <c r="BQ242" s="40"/>
      <c r="BR242" s="40"/>
      <c r="BS242" s="41"/>
      <c r="BU242" s="40"/>
      <c r="BV242" s="40"/>
      <c r="BW242" s="40"/>
      <c r="BX242" s="41"/>
      <c r="BZ242" s="40"/>
      <c r="CA242" s="40"/>
      <c r="CB242" s="40"/>
      <c r="CC242" s="41"/>
      <c r="CD242" s="140"/>
      <c r="CE242" s="40"/>
      <c r="CF242" s="40"/>
      <c r="CG242" s="40"/>
      <c r="CH242" s="41"/>
      <c r="CJ242" s="139"/>
      <c r="CK242" s="139"/>
      <c r="CL242" s="139"/>
      <c r="CM242" s="140"/>
      <c r="CO242" s="222"/>
      <c r="CP242" s="40"/>
      <c r="CQ242" s="40"/>
      <c r="CR242" s="41"/>
      <c r="CT242" s="40"/>
      <c r="CU242" s="40"/>
      <c r="CV242" s="40"/>
      <c r="CW242" s="41"/>
      <c r="CY242" s="40"/>
      <c r="CZ242" s="40"/>
      <c r="DA242" s="40"/>
      <c r="DB242" s="41"/>
      <c r="DD242" s="40"/>
      <c r="DE242" s="40"/>
      <c r="DF242" s="40"/>
      <c r="DG242" s="41"/>
      <c r="DI242" s="64"/>
      <c r="DJ242" s="64"/>
      <c r="DK242" s="64"/>
      <c r="DL242" s="64"/>
      <c r="DN242" s="64"/>
      <c r="DO242" s="64"/>
      <c r="DP242" s="64"/>
      <c r="DQ242" s="64"/>
      <c r="DS242" s="932">
        <f>SUM(DT5:DT26,DU5:DU26,DV5:DV26)</f>
        <v>0</v>
      </c>
      <c r="DT242" s="64"/>
      <c r="DU242" s="64"/>
      <c r="DV242" s="64"/>
      <c r="DX242" s="64"/>
      <c r="DY242" s="64"/>
      <c r="DZ242" s="64"/>
      <c r="EA242" s="64">
        <f>DY242/2</f>
        <v>0</v>
      </c>
      <c r="EC242" s="64"/>
      <c r="ED242" s="64"/>
      <c r="EE242" s="64"/>
      <c r="EF242" s="64"/>
      <c r="EH242" s="64"/>
      <c r="EI242" s="64"/>
      <c r="EJ242" s="64"/>
      <c r="EK242" s="64"/>
      <c r="EM242" s="6">
        <v>3</v>
      </c>
      <c r="EN242" s="6">
        <f>IF(SUM(EN5:EQ5,EN6:EQ6)*3-DS242*3&lt;=0,0,SUM(EN5:EQ5,EN6:EQ6)*3-DS242*3)</f>
        <v>0</v>
      </c>
      <c r="ER242" s="855"/>
      <c r="EX242" s="203">
        <f t="shared" si="1"/>
        <v>0</v>
      </c>
    </row>
    <row r="243" spans="1:154" s="6" customFormat="1" ht="15" customHeight="1">
      <c r="A243" s="90" t="s">
        <v>47</v>
      </c>
      <c r="B243" s="210" t="s">
        <v>47</v>
      </c>
      <c r="C243" s="473" t="s">
        <v>515</v>
      </c>
      <c r="D243" s="138"/>
      <c r="E243" s="40"/>
      <c r="F243" s="40"/>
      <c r="G243" s="40"/>
      <c r="H243" s="40"/>
      <c r="I243" s="4"/>
      <c r="J243" s="4"/>
      <c r="K243" s="4"/>
      <c r="L243" s="4"/>
      <c r="M243" s="4"/>
      <c r="N243" s="4"/>
      <c r="O243" s="4"/>
      <c r="P243" s="4"/>
      <c r="Q243" s="4"/>
      <c r="R243" s="40"/>
      <c r="S243" s="41"/>
      <c r="T243" s="140"/>
      <c r="U243" s="41"/>
      <c r="W243" s="40"/>
      <c r="X243" s="41"/>
      <c r="Y243" s="41"/>
      <c r="Z243" s="41"/>
      <c r="AB243" s="40"/>
      <c r="AC243" s="41"/>
      <c r="AD243" s="41"/>
      <c r="AE243" s="41"/>
      <c r="AG243" s="40"/>
      <c r="AH243" s="41"/>
      <c r="AI243" s="41"/>
      <c r="AJ243" s="41"/>
      <c r="AL243" s="40"/>
      <c r="AM243" s="41"/>
      <c r="AN243" s="41"/>
      <c r="AO243" s="41"/>
      <c r="AQ243" s="40"/>
      <c r="AR243" s="41"/>
      <c r="AS243" s="41"/>
      <c r="AT243" s="41"/>
      <c r="AV243" s="139"/>
      <c r="AW243" s="139"/>
      <c r="AX243" s="139"/>
      <c r="AY243" s="140"/>
      <c r="BA243" s="139"/>
      <c r="BB243" s="139"/>
      <c r="BC243" s="139"/>
      <c r="BD243" s="41"/>
      <c r="BF243" s="40"/>
      <c r="BG243" s="40"/>
      <c r="BH243" s="40"/>
      <c r="BI243" s="41"/>
      <c r="BK243" s="139"/>
      <c r="BL243" s="139"/>
      <c r="BM243" s="40"/>
      <c r="BN243" s="41"/>
      <c r="BP243" s="40"/>
      <c r="BQ243" s="40"/>
      <c r="BR243" s="40"/>
      <c r="BS243" s="41"/>
      <c r="BU243" s="40"/>
      <c r="BV243" s="40"/>
      <c r="BW243" s="40"/>
      <c r="BX243" s="41"/>
      <c r="BZ243" s="40"/>
      <c r="CA243" s="40"/>
      <c r="CB243" s="40"/>
      <c r="CC243" s="41"/>
      <c r="CD243" s="140"/>
      <c r="CE243" s="40"/>
      <c r="CF243" s="40"/>
      <c r="CG243" s="40"/>
      <c r="CH243" s="41"/>
      <c r="CJ243" s="139"/>
      <c r="CK243" s="139"/>
      <c r="CL243" s="139"/>
      <c r="CM243" s="140"/>
      <c r="CO243" s="222"/>
      <c r="CP243" s="40"/>
      <c r="CQ243" s="40"/>
      <c r="CR243" s="41"/>
      <c r="CT243" s="40"/>
      <c r="CU243" s="40"/>
      <c r="CV243" s="40"/>
      <c r="CW243" s="41"/>
      <c r="CY243" s="40"/>
      <c r="CZ243" s="40"/>
      <c r="DA243" s="40"/>
      <c r="DB243" s="41"/>
      <c r="DD243" s="40"/>
      <c r="DE243" s="40"/>
      <c r="DF243" s="40"/>
      <c r="DG243" s="41"/>
      <c r="DI243" s="64"/>
      <c r="DJ243" s="64"/>
      <c r="DK243" s="64"/>
      <c r="DL243" s="64"/>
      <c r="DN243" s="64"/>
      <c r="DO243" s="64"/>
      <c r="DP243" s="64"/>
      <c r="DQ243" s="64"/>
      <c r="DS243" s="64"/>
      <c r="DT243" s="64"/>
      <c r="DU243" s="64"/>
      <c r="DV243" s="64"/>
      <c r="DX243" s="64"/>
      <c r="DY243" s="64"/>
      <c r="DZ243" s="64"/>
      <c r="EA243" s="64"/>
      <c r="EC243" s="64"/>
      <c r="ED243" s="64"/>
      <c r="EE243" s="64"/>
      <c r="EF243" s="64"/>
      <c r="EH243" s="64"/>
      <c r="EI243" s="64"/>
      <c r="EJ243" s="64"/>
      <c r="EK243" s="64"/>
      <c r="ER243" s="855"/>
      <c r="EX243" s="203">
        <f t="shared" si="1"/>
        <v>0</v>
      </c>
    </row>
    <row r="244" spans="1:154" s="6" customFormat="1" ht="15" customHeight="1">
      <c r="A244" s="90"/>
      <c r="B244" s="210" t="s">
        <v>489</v>
      </c>
      <c r="C244" s="473" t="s">
        <v>515</v>
      </c>
      <c r="D244" s="138"/>
      <c r="E244" s="40"/>
      <c r="F244" s="40"/>
      <c r="G244" s="40"/>
      <c r="H244" s="40"/>
      <c r="I244" s="4"/>
      <c r="J244" s="4"/>
      <c r="K244" s="4"/>
      <c r="L244" s="4"/>
      <c r="M244" s="4"/>
      <c r="N244" s="4"/>
      <c r="O244" s="4"/>
      <c r="P244" s="4"/>
      <c r="Q244" s="4"/>
      <c r="R244" s="40"/>
      <c r="S244" s="41"/>
      <c r="T244" s="140"/>
      <c r="U244" s="41"/>
      <c r="W244" s="40"/>
      <c r="X244" s="41"/>
      <c r="Y244" s="41"/>
      <c r="Z244" s="41"/>
      <c r="AB244" s="40"/>
      <c r="AC244" s="41"/>
      <c r="AD244" s="41"/>
      <c r="AE244" s="41"/>
      <c r="AG244" s="40"/>
      <c r="AH244" s="41"/>
      <c r="AI244" s="41"/>
      <c r="AJ244" s="41"/>
      <c r="AL244" s="40"/>
      <c r="AM244" s="41"/>
      <c r="AN244" s="41"/>
      <c r="AO244" s="41"/>
      <c r="AQ244" s="40"/>
      <c r="AR244" s="41"/>
      <c r="AS244" s="41"/>
      <c r="AT244" s="41"/>
      <c r="AV244" s="139"/>
      <c r="AW244" s="139"/>
      <c r="AX244" s="139"/>
      <c r="AY244" s="140"/>
      <c r="BA244" s="139"/>
      <c r="BB244" s="139"/>
      <c r="BC244" s="139"/>
      <c r="BD244" s="41"/>
      <c r="BF244" s="40"/>
      <c r="BG244" s="40"/>
      <c r="BH244" s="40"/>
      <c r="BI244" s="41"/>
      <c r="BK244" s="139"/>
      <c r="BL244" s="139"/>
      <c r="BM244" s="40"/>
      <c r="BN244" s="41"/>
      <c r="BP244" s="40"/>
      <c r="BQ244" s="40"/>
      <c r="BR244" s="40"/>
      <c r="BS244" s="41"/>
      <c r="BU244" s="40"/>
      <c r="BV244" s="40"/>
      <c r="BW244" s="40"/>
      <c r="BX244" s="41"/>
      <c r="BZ244" s="40"/>
      <c r="CA244" s="40"/>
      <c r="CB244" s="40"/>
      <c r="CC244" s="41"/>
      <c r="CD244" s="140"/>
      <c r="CE244" s="40"/>
      <c r="CF244" s="40"/>
      <c r="CG244" s="40"/>
      <c r="CH244" s="41"/>
      <c r="CJ244" s="139"/>
      <c r="CK244" s="139"/>
      <c r="CL244" s="139"/>
      <c r="CM244" s="140"/>
      <c r="CO244" s="222"/>
      <c r="CP244" s="40"/>
      <c r="CQ244" s="40"/>
      <c r="CR244" s="41"/>
      <c r="CT244" s="40"/>
      <c r="CU244" s="40"/>
      <c r="CV244" s="40"/>
      <c r="CW244" s="41"/>
      <c r="CY244" s="40"/>
      <c r="CZ244" s="40"/>
      <c r="DA244" s="40"/>
      <c r="DB244" s="41"/>
      <c r="DD244" s="40"/>
      <c r="DE244" s="40"/>
      <c r="DF244" s="40"/>
      <c r="DG244" s="41"/>
      <c r="DI244" s="64"/>
      <c r="DJ244" s="64"/>
      <c r="DK244" s="64"/>
      <c r="DL244" s="64"/>
      <c r="DN244" s="64"/>
      <c r="DO244" s="64"/>
      <c r="DP244" s="64"/>
      <c r="DQ244" s="64"/>
      <c r="DS244" s="64"/>
      <c r="DT244" s="64"/>
      <c r="DU244" s="64"/>
      <c r="DV244" s="64"/>
      <c r="DX244" s="64"/>
      <c r="DY244" s="64"/>
      <c r="DZ244" s="64"/>
      <c r="EA244" s="64"/>
      <c r="EC244" s="64"/>
      <c r="ED244" s="64"/>
      <c r="EE244" s="64"/>
      <c r="EF244" s="64"/>
      <c r="EH244" s="64"/>
      <c r="EI244" s="64"/>
      <c r="EJ244" s="64"/>
      <c r="EK244" s="64"/>
      <c r="EM244" s="6">
        <v>3</v>
      </c>
      <c r="EN244" s="6">
        <f>IF(SUM(EN7:EQ7,EN8:EQ8)*3-DS244*3&lt;=0,0,SUM(EN7:EQ7,EN8:EQ8)*3-DS244*3)</f>
        <v>0</v>
      </c>
      <c r="ER244" s="855"/>
      <c r="EX244" s="203">
        <f t="shared" si="1"/>
        <v>0</v>
      </c>
    </row>
    <row r="245" spans="1:154" s="6" customFormat="1" ht="15" customHeight="1">
      <c r="A245" s="90" t="s">
        <v>48</v>
      </c>
      <c r="B245" s="210" t="s">
        <v>48</v>
      </c>
      <c r="C245" s="473" t="s">
        <v>515</v>
      </c>
      <c r="D245" s="138"/>
      <c r="E245" s="40"/>
      <c r="F245" s="40"/>
      <c r="G245" s="40"/>
      <c r="H245" s="40"/>
      <c r="I245" s="4"/>
      <c r="J245" s="4"/>
      <c r="K245" s="4"/>
      <c r="L245" s="4"/>
      <c r="M245" s="4"/>
      <c r="N245" s="4"/>
      <c r="O245" s="4"/>
      <c r="P245" s="4"/>
      <c r="Q245" s="4"/>
      <c r="R245" s="40"/>
      <c r="S245" s="41"/>
      <c r="T245" s="140"/>
      <c r="U245" s="41"/>
      <c r="W245" s="40"/>
      <c r="X245" s="41"/>
      <c r="Y245" s="41"/>
      <c r="Z245" s="41"/>
      <c r="AB245" s="40"/>
      <c r="AC245" s="41"/>
      <c r="AD245" s="41"/>
      <c r="AE245" s="41"/>
      <c r="AG245" s="40"/>
      <c r="AH245" s="41"/>
      <c r="AI245" s="41"/>
      <c r="AJ245" s="41"/>
      <c r="AL245" s="40"/>
      <c r="AM245" s="41"/>
      <c r="AN245" s="41"/>
      <c r="AO245" s="41"/>
      <c r="AQ245" s="40"/>
      <c r="AR245" s="41"/>
      <c r="AS245" s="41"/>
      <c r="AT245" s="41"/>
      <c r="AV245" s="139"/>
      <c r="AW245" s="139"/>
      <c r="AX245" s="139"/>
      <c r="AY245" s="140"/>
      <c r="BA245" s="139"/>
      <c r="BB245" s="139"/>
      <c r="BC245" s="139"/>
      <c r="BD245" s="41"/>
      <c r="BF245" s="40"/>
      <c r="BG245" s="40"/>
      <c r="BH245" s="40"/>
      <c r="BI245" s="41"/>
      <c r="BK245" s="139"/>
      <c r="BL245" s="139"/>
      <c r="BM245" s="40"/>
      <c r="BN245" s="41"/>
      <c r="BP245" s="40"/>
      <c r="BQ245" s="40"/>
      <c r="BR245" s="40"/>
      <c r="BS245" s="41"/>
      <c r="BU245" s="40"/>
      <c r="BV245" s="40"/>
      <c r="BW245" s="40"/>
      <c r="BX245" s="41"/>
      <c r="BZ245" s="40"/>
      <c r="CA245" s="40"/>
      <c r="CB245" s="40"/>
      <c r="CC245" s="41"/>
      <c r="CD245" s="140"/>
      <c r="CE245" s="40"/>
      <c r="CF245" s="40"/>
      <c r="CG245" s="40"/>
      <c r="CH245" s="41"/>
      <c r="CJ245" s="139"/>
      <c r="CK245" s="139"/>
      <c r="CL245" s="139"/>
      <c r="CM245" s="140"/>
      <c r="CO245" s="222"/>
      <c r="CP245" s="40"/>
      <c r="CQ245" s="40"/>
      <c r="CR245" s="41"/>
      <c r="CT245" s="40"/>
      <c r="CU245" s="40"/>
      <c r="CV245" s="40"/>
      <c r="CW245" s="41"/>
      <c r="CY245" s="40"/>
      <c r="CZ245" s="40"/>
      <c r="DA245" s="40"/>
      <c r="DB245" s="41"/>
      <c r="DD245" s="40"/>
      <c r="DE245" s="40"/>
      <c r="DF245" s="40"/>
      <c r="DG245" s="41"/>
      <c r="DI245" s="64"/>
      <c r="DJ245" s="64"/>
      <c r="DK245" s="64"/>
      <c r="DL245" s="64"/>
      <c r="DN245" s="64"/>
      <c r="DO245" s="64"/>
      <c r="DP245" s="64"/>
      <c r="DQ245" s="64"/>
      <c r="DS245" s="64"/>
      <c r="DT245" s="64"/>
      <c r="DU245" s="64"/>
      <c r="DV245" s="64"/>
      <c r="DX245" s="64"/>
      <c r="DY245" s="64"/>
      <c r="DZ245" s="64"/>
      <c r="EA245" s="64"/>
      <c r="EC245" s="64"/>
      <c r="ED245" s="64"/>
      <c r="EE245" s="64"/>
      <c r="EF245" s="64"/>
      <c r="EH245" s="64"/>
      <c r="EI245" s="64"/>
      <c r="EJ245" s="64"/>
      <c r="EK245" s="64"/>
      <c r="ER245" s="855"/>
      <c r="EX245" s="203">
        <f t="shared" si="1"/>
        <v>0</v>
      </c>
    </row>
    <row r="246" spans="1:154" s="6" customFormat="1" ht="15" customHeight="1">
      <c r="A246" s="90" t="s">
        <v>49</v>
      </c>
      <c r="B246" s="210" t="s">
        <v>49</v>
      </c>
      <c r="C246" s="473" t="s">
        <v>515</v>
      </c>
      <c r="D246" s="138"/>
      <c r="E246" s="40"/>
      <c r="F246" s="40"/>
      <c r="G246" s="40"/>
      <c r="H246" s="40"/>
      <c r="I246" s="4"/>
      <c r="J246" s="4"/>
      <c r="K246" s="4"/>
      <c r="L246" s="4"/>
      <c r="M246" s="4"/>
      <c r="N246" s="4"/>
      <c r="O246" s="4"/>
      <c r="P246" s="4"/>
      <c r="Q246" s="4"/>
      <c r="R246" s="40"/>
      <c r="S246" s="41"/>
      <c r="T246" s="140"/>
      <c r="U246" s="41"/>
      <c r="W246" s="40"/>
      <c r="X246" s="41"/>
      <c r="Y246" s="41"/>
      <c r="Z246" s="41"/>
      <c r="AB246" s="40"/>
      <c r="AC246" s="41"/>
      <c r="AD246" s="41"/>
      <c r="AE246" s="41"/>
      <c r="AG246" s="40"/>
      <c r="AH246" s="41"/>
      <c r="AI246" s="41"/>
      <c r="AJ246" s="41"/>
      <c r="AL246" s="40"/>
      <c r="AM246" s="41"/>
      <c r="AN246" s="41"/>
      <c r="AO246" s="41"/>
      <c r="AQ246" s="40"/>
      <c r="AR246" s="41"/>
      <c r="AS246" s="41"/>
      <c r="AT246" s="41"/>
      <c r="AV246" s="139"/>
      <c r="AW246" s="139"/>
      <c r="AX246" s="139"/>
      <c r="AY246" s="140"/>
      <c r="BA246" s="139"/>
      <c r="BB246" s="139"/>
      <c r="BC246" s="139"/>
      <c r="BD246" s="41"/>
      <c r="BF246" s="40"/>
      <c r="BG246" s="40"/>
      <c r="BH246" s="40"/>
      <c r="BI246" s="41"/>
      <c r="BK246" s="139"/>
      <c r="BL246" s="139"/>
      <c r="BM246" s="40"/>
      <c r="BN246" s="41"/>
      <c r="BP246" s="40"/>
      <c r="BQ246" s="40"/>
      <c r="BR246" s="40"/>
      <c r="BS246" s="41"/>
      <c r="BU246" s="40"/>
      <c r="BV246" s="40"/>
      <c r="BW246" s="40"/>
      <c r="BX246" s="41"/>
      <c r="BZ246" s="40"/>
      <c r="CA246" s="40"/>
      <c r="CB246" s="40"/>
      <c r="CC246" s="41"/>
      <c r="CD246" s="140"/>
      <c r="CE246" s="40"/>
      <c r="CF246" s="40"/>
      <c r="CG246" s="40"/>
      <c r="CH246" s="41"/>
      <c r="CJ246" s="139"/>
      <c r="CK246" s="139"/>
      <c r="CL246" s="139"/>
      <c r="CM246" s="140"/>
      <c r="CO246" s="222"/>
      <c r="CP246" s="40"/>
      <c r="CQ246" s="40"/>
      <c r="CR246" s="41"/>
      <c r="CT246" s="40"/>
      <c r="CU246" s="40"/>
      <c r="CV246" s="40"/>
      <c r="CW246" s="41"/>
      <c r="CY246" s="40"/>
      <c r="CZ246" s="40"/>
      <c r="DA246" s="40"/>
      <c r="DB246" s="41"/>
      <c r="DD246" s="40"/>
      <c r="DE246" s="40"/>
      <c r="DF246" s="40"/>
      <c r="DG246" s="41"/>
      <c r="DI246" s="64"/>
      <c r="DJ246" s="64"/>
      <c r="DK246" s="64"/>
      <c r="DL246" s="64"/>
      <c r="DN246" s="64"/>
      <c r="DO246" s="64"/>
      <c r="DP246" s="64"/>
      <c r="DQ246" s="64"/>
      <c r="DS246" s="64"/>
      <c r="DT246" s="64"/>
      <c r="DU246" s="64"/>
      <c r="DV246" s="64"/>
      <c r="DX246" s="64"/>
      <c r="DY246" s="64"/>
      <c r="DZ246" s="64"/>
      <c r="EA246" s="64"/>
      <c r="EC246" s="64"/>
      <c r="ED246" s="64"/>
      <c r="EE246" s="64"/>
      <c r="EF246" s="64"/>
      <c r="EH246" s="64"/>
      <c r="EI246" s="64"/>
      <c r="EJ246" s="64"/>
      <c r="EK246" s="64"/>
      <c r="ER246" s="855"/>
      <c r="EX246" s="203">
        <f t="shared" si="1"/>
        <v>0</v>
      </c>
    </row>
    <row r="247" spans="1:154" s="6" customFormat="1" ht="15" customHeight="1">
      <c r="A247" s="90"/>
      <c r="B247" s="210" t="s">
        <v>488</v>
      </c>
      <c r="C247" s="473" t="s">
        <v>515</v>
      </c>
      <c r="D247" s="138"/>
      <c r="E247" s="40"/>
      <c r="F247" s="40"/>
      <c r="G247" s="40"/>
      <c r="H247" s="40"/>
      <c r="I247" s="4"/>
      <c r="J247" s="4"/>
      <c r="K247" s="4"/>
      <c r="L247" s="4"/>
      <c r="M247" s="4"/>
      <c r="N247" s="4"/>
      <c r="O247" s="4"/>
      <c r="P247" s="4"/>
      <c r="Q247" s="4"/>
      <c r="R247" s="40"/>
      <c r="S247" s="41"/>
      <c r="T247" s="140"/>
      <c r="U247" s="41"/>
      <c r="W247" s="40"/>
      <c r="X247" s="41"/>
      <c r="Y247" s="41"/>
      <c r="Z247" s="41"/>
      <c r="AB247" s="40"/>
      <c r="AC247" s="41"/>
      <c r="AD247" s="41"/>
      <c r="AE247" s="41"/>
      <c r="AG247" s="40"/>
      <c r="AH247" s="41"/>
      <c r="AI247" s="41"/>
      <c r="AJ247" s="41"/>
      <c r="AL247" s="40"/>
      <c r="AM247" s="41"/>
      <c r="AN247" s="41"/>
      <c r="AO247" s="41"/>
      <c r="AQ247" s="40"/>
      <c r="AR247" s="41"/>
      <c r="AS247" s="41"/>
      <c r="AT247" s="41"/>
      <c r="AV247" s="139"/>
      <c r="AW247" s="139"/>
      <c r="AX247" s="139"/>
      <c r="AY247" s="140"/>
      <c r="BA247" s="139"/>
      <c r="BB247" s="139"/>
      <c r="BC247" s="139"/>
      <c r="BD247" s="41"/>
      <c r="BF247" s="40"/>
      <c r="BG247" s="40"/>
      <c r="BH247" s="40"/>
      <c r="BI247" s="41"/>
      <c r="BK247" s="139"/>
      <c r="BL247" s="139"/>
      <c r="BM247" s="40"/>
      <c r="BN247" s="41"/>
      <c r="BP247" s="40"/>
      <c r="BQ247" s="40"/>
      <c r="BR247" s="40"/>
      <c r="BS247" s="41"/>
      <c r="BU247" s="40"/>
      <c r="BV247" s="40"/>
      <c r="BW247" s="40"/>
      <c r="BX247" s="41"/>
      <c r="BZ247" s="40"/>
      <c r="CA247" s="40"/>
      <c r="CB247" s="40"/>
      <c r="CC247" s="41"/>
      <c r="CD247" s="140"/>
      <c r="CE247" s="40"/>
      <c r="CF247" s="40"/>
      <c r="CG247" s="40"/>
      <c r="CH247" s="41"/>
      <c r="CJ247" s="139"/>
      <c r="CK247" s="139"/>
      <c r="CL247" s="139"/>
      <c r="CM247" s="140"/>
      <c r="CO247" s="222"/>
      <c r="CP247" s="40"/>
      <c r="CQ247" s="40"/>
      <c r="CR247" s="41"/>
      <c r="CT247" s="40"/>
      <c r="CU247" s="40"/>
      <c r="CV247" s="40"/>
      <c r="CW247" s="41"/>
      <c r="CY247" s="40"/>
      <c r="CZ247" s="40"/>
      <c r="DA247" s="40"/>
      <c r="DB247" s="41"/>
      <c r="DD247" s="40"/>
      <c r="DE247" s="40"/>
      <c r="DF247" s="40"/>
      <c r="DG247" s="41"/>
      <c r="DI247" s="64"/>
      <c r="DJ247" s="64"/>
      <c r="DK247" s="64"/>
      <c r="DL247" s="64"/>
      <c r="DN247" s="64"/>
      <c r="DO247" s="64"/>
      <c r="DP247" s="64"/>
      <c r="DQ247" s="64"/>
      <c r="DS247" s="64"/>
      <c r="DT247" s="64"/>
      <c r="DU247" s="64"/>
      <c r="DV247" s="64"/>
      <c r="DX247" s="64"/>
      <c r="DY247" s="64"/>
      <c r="DZ247" s="64"/>
      <c r="EA247" s="64"/>
      <c r="EC247" s="64"/>
      <c r="ED247" s="64"/>
      <c r="EE247" s="64"/>
      <c r="EF247" s="64"/>
      <c r="EH247" s="64"/>
      <c r="EI247" s="64"/>
      <c r="EJ247" s="64"/>
      <c r="EK247" s="64"/>
      <c r="EM247" s="6">
        <v>3</v>
      </c>
      <c r="EN247" s="6">
        <f>SUM(EN9:EQ9)*EM247</f>
        <v>0</v>
      </c>
      <c r="ER247" s="855"/>
      <c r="EX247" s="203">
        <f t="shared" si="1"/>
        <v>0</v>
      </c>
    </row>
    <row r="248" spans="1:154" s="6" customFormat="1" ht="15" customHeight="1">
      <c r="A248" s="151" t="s">
        <v>250</v>
      </c>
      <c r="B248" s="210" t="s">
        <v>250</v>
      </c>
      <c r="C248" s="473" t="s">
        <v>515</v>
      </c>
      <c r="D248" s="138"/>
      <c r="E248" s="40"/>
      <c r="F248" s="40"/>
      <c r="G248" s="40"/>
      <c r="H248" s="40"/>
      <c r="I248" s="4"/>
      <c r="J248" s="4"/>
      <c r="K248" s="4"/>
      <c r="L248" s="4"/>
      <c r="M248" s="4"/>
      <c r="N248" s="4"/>
      <c r="O248" s="4"/>
      <c r="P248" s="4"/>
      <c r="Q248" s="4"/>
      <c r="R248" s="40"/>
      <c r="S248" s="41"/>
      <c r="T248" s="140"/>
      <c r="U248" s="41"/>
      <c r="W248" s="40"/>
      <c r="X248" s="41"/>
      <c r="Y248" s="41"/>
      <c r="Z248" s="41"/>
      <c r="AB248" s="40"/>
      <c r="AC248" s="41"/>
      <c r="AD248" s="41"/>
      <c r="AE248" s="41"/>
      <c r="AG248" s="40"/>
      <c r="AH248" s="41"/>
      <c r="AI248" s="41"/>
      <c r="AJ248" s="41"/>
      <c r="AL248" s="40"/>
      <c r="AM248" s="41"/>
      <c r="AN248" s="41"/>
      <c r="AO248" s="41"/>
      <c r="AQ248" s="40"/>
      <c r="AR248" s="41"/>
      <c r="AS248" s="41"/>
      <c r="AT248" s="41"/>
      <c r="AV248" s="139"/>
      <c r="AW248" s="139"/>
      <c r="AX248" s="139"/>
      <c r="AY248" s="140"/>
      <c r="BA248" s="139"/>
      <c r="BB248" s="139"/>
      <c r="BC248" s="139"/>
      <c r="BD248" s="41"/>
      <c r="BF248" s="40"/>
      <c r="BG248" s="40"/>
      <c r="BH248" s="40"/>
      <c r="BI248" s="41"/>
      <c r="BK248" s="139"/>
      <c r="BL248" s="139"/>
      <c r="BM248" s="40"/>
      <c r="BN248" s="41"/>
      <c r="BP248" s="40"/>
      <c r="BQ248" s="40"/>
      <c r="BR248" s="40"/>
      <c r="BS248" s="41"/>
      <c r="BU248" s="40"/>
      <c r="BV248" s="40"/>
      <c r="BW248" s="40"/>
      <c r="BX248" s="41"/>
      <c r="BZ248" s="40"/>
      <c r="CA248" s="40"/>
      <c r="CB248" s="40"/>
      <c r="CC248" s="41"/>
      <c r="CD248" s="140"/>
      <c r="CE248" s="40"/>
      <c r="CF248" s="40"/>
      <c r="CG248" s="40"/>
      <c r="CH248" s="41"/>
      <c r="CJ248" s="139"/>
      <c r="CK248" s="139"/>
      <c r="CL248" s="139"/>
      <c r="CM248" s="140"/>
      <c r="CO248" s="222"/>
      <c r="CP248" s="40"/>
      <c r="CQ248" s="40"/>
      <c r="CR248" s="41"/>
      <c r="CT248" s="40"/>
      <c r="CU248" s="40"/>
      <c r="CV248" s="40"/>
      <c r="CW248" s="41"/>
      <c r="CY248" s="40"/>
      <c r="CZ248" s="40"/>
      <c r="DA248" s="40"/>
      <c r="DB248" s="41"/>
      <c r="DD248" s="40"/>
      <c r="DE248" s="40"/>
      <c r="DF248" s="40"/>
      <c r="DG248" s="41"/>
      <c r="DI248" s="64"/>
      <c r="DJ248" s="64"/>
      <c r="DK248" s="64"/>
      <c r="DL248" s="64"/>
      <c r="DN248" s="64"/>
      <c r="DO248" s="64"/>
      <c r="DP248" s="64"/>
      <c r="DQ248" s="64"/>
      <c r="DS248" s="64"/>
      <c r="DT248" s="64"/>
      <c r="DU248" s="64"/>
      <c r="DV248" s="64"/>
      <c r="DX248" s="64"/>
      <c r="DY248" s="64"/>
      <c r="DZ248" s="64"/>
      <c r="EA248" s="64"/>
      <c r="EC248" s="64"/>
      <c r="ED248" s="64"/>
      <c r="EE248" s="64"/>
      <c r="EF248" s="64"/>
      <c r="EH248" s="64"/>
      <c r="EI248" s="64"/>
      <c r="EJ248" s="64"/>
      <c r="EK248" s="64"/>
      <c r="ER248" s="855"/>
      <c r="EX248" s="203">
        <f t="shared" si="1"/>
        <v>0</v>
      </c>
    </row>
    <row r="249" spans="1:154" s="6" customFormat="1" ht="15" customHeight="1">
      <c r="A249" s="90" t="s">
        <v>50</v>
      </c>
      <c r="B249" s="210" t="s">
        <v>50</v>
      </c>
      <c r="C249" s="473" t="s">
        <v>515</v>
      </c>
      <c r="D249" s="138"/>
      <c r="E249" s="40"/>
      <c r="F249" s="40"/>
      <c r="G249" s="40"/>
      <c r="H249" s="40"/>
      <c r="I249" s="4"/>
      <c r="J249" s="4"/>
      <c r="K249" s="4"/>
      <c r="L249" s="4"/>
      <c r="M249" s="4"/>
      <c r="N249" s="4"/>
      <c r="O249" s="4"/>
      <c r="P249" s="4"/>
      <c r="Q249" s="4"/>
      <c r="R249" s="40"/>
      <c r="S249" s="41"/>
      <c r="T249" s="140"/>
      <c r="U249" s="41"/>
      <c r="W249" s="40"/>
      <c r="X249" s="41"/>
      <c r="Y249" s="41"/>
      <c r="Z249" s="41"/>
      <c r="AB249" s="40"/>
      <c r="AC249" s="41"/>
      <c r="AD249" s="41"/>
      <c r="AE249" s="41"/>
      <c r="AG249" s="40"/>
      <c r="AH249" s="41"/>
      <c r="AI249" s="41"/>
      <c r="AJ249" s="41"/>
      <c r="AL249" s="40"/>
      <c r="AM249" s="41"/>
      <c r="AN249" s="41"/>
      <c r="AO249" s="41"/>
      <c r="AQ249" s="40"/>
      <c r="AR249" s="41"/>
      <c r="AS249" s="41"/>
      <c r="AT249" s="41"/>
      <c r="AV249" s="139"/>
      <c r="AW249" s="139"/>
      <c r="AX249" s="139"/>
      <c r="AY249" s="140"/>
      <c r="BA249" s="139"/>
      <c r="BB249" s="139"/>
      <c r="BC249" s="139"/>
      <c r="BD249" s="41"/>
      <c r="BF249" s="40"/>
      <c r="BG249" s="40"/>
      <c r="BH249" s="40"/>
      <c r="BI249" s="41"/>
      <c r="BK249" s="139"/>
      <c r="BL249" s="139"/>
      <c r="BM249" s="40"/>
      <c r="BN249" s="41"/>
      <c r="BP249" s="40"/>
      <c r="BQ249" s="40"/>
      <c r="BR249" s="40"/>
      <c r="BS249" s="41"/>
      <c r="BU249" s="40"/>
      <c r="BV249" s="40"/>
      <c r="BW249" s="40"/>
      <c r="BX249" s="41"/>
      <c r="BZ249" s="40"/>
      <c r="CA249" s="40"/>
      <c r="CB249" s="40"/>
      <c r="CC249" s="41"/>
      <c r="CD249" s="140"/>
      <c r="CE249" s="40"/>
      <c r="CF249" s="40"/>
      <c r="CG249" s="40"/>
      <c r="CH249" s="41"/>
      <c r="CJ249" s="139"/>
      <c r="CK249" s="139"/>
      <c r="CL249" s="139"/>
      <c r="CM249" s="140"/>
      <c r="CO249" s="222"/>
      <c r="CP249" s="40"/>
      <c r="CQ249" s="40"/>
      <c r="CR249" s="41"/>
      <c r="CT249" s="40"/>
      <c r="CU249" s="40"/>
      <c r="CV249" s="40"/>
      <c r="CW249" s="41"/>
      <c r="CY249" s="40"/>
      <c r="CZ249" s="40"/>
      <c r="DA249" s="40"/>
      <c r="DB249" s="41"/>
      <c r="DD249" s="40"/>
      <c r="DE249" s="40"/>
      <c r="DF249" s="40"/>
      <c r="DG249" s="41"/>
      <c r="DI249" s="64"/>
      <c r="DJ249" s="64"/>
      <c r="DK249" s="64"/>
      <c r="DL249" s="64"/>
      <c r="DN249" s="64"/>
      <c r="DO249" s="64"/>
      <c r="DP249" s="64"/>
      <c r="DQ249" s="64"/>
      <c r="DS249" s="64"/>
      <c r="DT249" s="64"/>
      <c r="DU249" s="64"/>
      <c r="DV249" s="64"/>
      <c r="DX249" s="64"/>
      <c r="DY249" s="64"/>
      <c r="DZ249" s="64"/>
      <c r="EA249" s="64"/>
      <c r="EC249" s="64"/>
      <c r="ED249" s="64"/>
      <c r="EE249" s="64"/>
      <c r="EF249" s="64"/>
      <c r="EH249" s="64"/>
      <c r="EI249" s="64"/>
      <c r="EJ249" s="64"/>
      <c r="EK249" s="64"/>
      <c r="EM249" s="6">
        <v>3</v>
      </c>
      <c r="EN249" s="6">
        <f>SUM(EN10:EQ10)*EM249</f>
        <v>0</v>
      </c>
      <c r="ER249" s="855"/>
      <c r="EX249" s="203">
        <f t="shared" si="1"/>
        <v>0</v>
      </c>
    </row>
    <row r="250" spans="1:154" s="6" customFormat="1" ht="15" customHeight="1">
      <c r="A250" s="151" t="s">
        <v>249</v>
      </c>
      <c r="B250" s="210" t="s">
        <v>249</v>
      </c>
      <c r="C250" s="473" t="s">
        <v>515</v>
      </c>
      <c r="D250" s="138"/>
      <c r="E250" s="40"/>
      <c r="F250" s="40"/>
      <c r="G250" s="40"/>
      <c r="H250" s="40"/>
      <c r="I250" s="4"/>
      <c r="J250" s="4"/>
      <c r="K250" s="4"/>
      <c r="L250" s="4"/>
      <c r="M250" s="4"/>
      <c r="N250" s="4"/>
      <c r="O250" s="4"/>
      <c r="P250" s="4"/>
      <c r="Q250" s="4"/>
      <c r="R250" s="40"/>
      <c r="S250" s="41"/>
      <c r="T250" s="140"/>
      <c r="U250" s="41"/>
      <c r="W250" s="40"/>
      <c r="X250" s="41"/>
      <c r="Y250" s="41"/>
      <c r="Z250" s="41"/>
      <c r="AB250" s="40"/>
      <c r="AC250" s="41"/>
      <c r="AD250" s="41"/>
      <c r="AE250" s="41"/>
      <c r="AG250" s="40"/>
      <c r="AH250" s="41"/>
      <c r="AI250" s="41"/>
      <c r="AJ250" s="41"/>
      <c r="AL250" s="40"/>
      <c r="AM250" s="41"/>
      <c r="AN250" s="41"/>
      <c r="AO250" s="41"/>
      <c r="AQ250" s="40"/>
      <c r="AR250" s="41"/>
      <c r="AS250" s="41"/>
      <c r="AT250" s="41"/>
      <c r="AV250" s="139"/>
      <c r="AW250" s="139"/>
      <c r="AX250" s="139"/>
      <c r="AY250" s="140"/>
      <c r="BA250" s="139"/>
      <c r="BB250" s="139"/>
      <c r="BC250" s="139"/>
      <c r="BD250" s="41"/>
      <c r="BF250" s="40"/>
      <c r="BG250" s="40"/>
      <c r="BH250" s="40"/>
      <c r="BI250" s="41"/>
      <c r="BK250" s="139"/>
      <c r="BL250" s="139"/>
      <c r="BM250" s="40"/>
      <c r="BN250" s="41"/>
      <c r="BP250" s="40"/>
      <c r="BQ250" s="40"/>
      <c r="BR250" s="40"/>
      <c r="BS250" s="41"/>
      <c r="BU250" s="40"/>
      <c r="BV250" s="40"/>
      <c r="BW250" s="40"/>
      <c r="BX250" s="41"/>
      <c r="BZ250" s="40"/>
      <c r="CA250" s="40"/>
      <c r="CB250" s="40"/>
      <c r="CC250" s="41"/>
      <c r="CD250" s="140"/>
      <c r="CE250" s="40"/>
      <c r="CF250" s="40"/>
      <c r="CG250" s="40"/>
      <c r="CH250" s="41"/>
      <c r="CJ250" s="139"/>
      <c r="CK250" s="139"/>
      <c r="CL250" s="139"/>
      <c r="CM250" s="140"/>
      <c r="CO250" s="222"/>
      <c r="CP250" s="40"/>
      <c r="CQ250" s="40"/>
      <c r="CR250" s="41"/>
      <c r="CT250" s="40"/>
      <c r="CU250" s="40"/>
      <c r="CV250" s="40"/>
      <c r="CW250" s="41"/>
      <c r="CY250" s="40"/>
      <c r="CZ250" s="40"/>
      <c r="DA250" s="40"/>
      <c r="DB250" s="41"/>
      <c r="DD250" s="40"/>
      <c r="DE250" s="40"/>
      <c r="DF250" s="40"/>
      <c r="DG250" s="41"/>
      <c r="DI250" s="64"/>
      <c r="DJ250" s="64"/>
      <c r="DK250" s="64"/>
      <c r="DL250" s="64"/>
      <c r="DN250" s="64"/>
      <c r="DO250" s="64"/>
      <c r="DP250" s="64"/>
      <c r="DQ250" s="64"/>
      <c r="DS250" s="64"/>
      <c r="DT250" s="64"/>
      <c r="DU250" s="64"/>
      <c r="DV250" s="64"/>
      <c r="DX250" s="64"/>
      <c r="DY250" s="64"/>
      <c r="DZ250" s="64"/>
      <c r="EA250" s="64"/>
      <c r="EC250" s="64"/>
      <c r="ED250" s="64"/>
      <c r="EE250" s="64"/>
      <c r="EF250" s="64"/>
      <c r="EH250" s="64"/>
      <c r="EI250" s="64"/>
      <c r="EJ250" s="64"/>
      <c r="EK250" s="64"/>
      <c r="ER250" s="855"/>
      <c r="EX250" s="203">
        <f t="shared" si="1"/>
        <v>0</v>
      </c>
    </row>
    <row r="251" spans="1:154" s="6" customFormat="1" ht="15" customHeight="1">
      <c r="A251" s="151" t="s">
        <v>245</v>
      </c>
      <c r="B251" s="210" t="s">
        <v>245</v>
      </c>
      <c r="C251" s="473" t="s">
        <v>515</v>
      </c>
      <c r="D251" s="138"/>
      <c r="E251" s="40"/>
      <c r="F251" s="40"/>
      <c r="G251" s="40"/>
      <c r="H251" s="40"/>
      <c r="I251" s="4"/>
      <c r="J251" s="4"/>
      <c r="K251" s="4"/>
      <c r="L251" s="4"/>
      <c r="M251" s="4"/>
      <c r="N251" s="4"/>
      <c r="O251" s="4"/>
      <c r="P251" s="4"/>
      <c r="Q251" s="4"/>
      <c r="R251" s="40"/>
      <c r="S251" s="41"/>
      <c r="T251" s="140"/>
      <c r="U251" s="41"/>
      <c r="W251" s="40"/>
      <c r="X251" s="41"/>
      <c r="Y251" s="41"/>
      <c r="Z251" s="41"/>
      <c r="AB251" s="40"/>
      <c r="AC251" s="41"/>
      <c r="AD251" s="41"/>
      <c r="AE251" s="41"/>
      <c r="AG251" s="40"/>
      <c r="AH251" s="41"/>
      <c r="AI251" s="41"/>
      <c r="AJ251" s="41"/>
      <c r="AL251" s="40"/>
      <c r="AM251" s="41"/>
      <c r="AN251" s="41"/>
      <c r="AO251" s="41"/>
      <c r="AQ251" s="40"/>
      <c r="AR251" s="41"/>
      <c r="AS251" s="41"/>
      <c r="AT251" s="41"/>
      <c r="AV251" s="139"/>
      <c r="AW251" s="139"/>
      <c r="AX251" s="139"/>
      <c r="AY251" s="140"/>
      <c r="BA251" s="139"/>
      <c r="BB251" s="139"/>
      <c r="BC251" s="139"/>
      <c r="BD251" s="41"/>
      <c r="BF251" s="40"/>
      <c r="BG251" s="40"/>
      <c r="BH251" s="40"/>
      <c r="BI251" s="41"/>
      <c r="BK251" s="139"/>
      <c r="BL251" s="139"/>
      <c r="BM251" s="40"/>
      <c r="BN251" s="41"/>
      <c r="BP251" s="40"/>
      <c r="BQ251" s="40"/>
      <c r="BR251" s="40"/>
      <c r="BS251" s="41"/>
      <c r="BU251" s="40"/>
      <c r="BV251" s="40"/>
      <c r="BW251" s="40"/>
      <c r="BX251" s="41"/>
      <c r="BZ251" s="40"/>
      <c r="CA251" s="40"/>
      <c r="CB251" s="40"/>
      <c r="CC251" s="41"/>
      <c r="CD251" s="140"/>
      <c r="CE251" s="40"/>
      <c r="CF251" s="40"/>
      <c r="CG251" s="40"/>
      <c r="CH251" s="41"/>
      <c r="CJ251" s="139"/>
      <c r="CK251" s="139"/>
      <c r="CL251" s="139"/>
      <c r="CM251" s="140"/>
      <c r="CO251" s="222"/>
      <c r="CP251" s="40"/>
      <c r="CQ251" s="40"/>
      <c r="CR251" s="41"/>
      <c r="CT251" s="40"/>
      <c r="CU251" s="40"/>
      <c r="CV251" s="40"/>
      <c r="CW251" s="41"/>
      <c r="CY251" s="40"/>
      <c r="CZ251" s="40"/>
      <c r="DA251" s="40"/>
      <c r="DB251" s="41"/>
      <c r="DD251" s="40"/>
      <c r="DE251" s="40"/>
      <c r="DF251" s="40"/>
      <c r="DG251" s="41"/>
      <c r="DI251" s="64"/>
      <c r="DJ251" s="64"/>
      <c r="DK251" s="64"/>
      <c r="DL251" s="64"/>
      <c r="DN251" s="64"/>
      <c r="DO251" s="64"/>
      <c r="DP251" s="64"/>
      <c r="DQ251" s="64"/>
      <c r="DS251" s="64"/>
      <c r="DT251" s="64"/>
      <c r="DU251" s="64"/>
      <c r="DV251" s="64"/>
      <c r="DX251" s="64"/>
      <c r="DY251" s="64"/>
      <c r="DZ251" s="64"/>
      <c r="EA251" s="64"/>
      <c r="EC251" s="64"/>
      <c r="ED251" s="64"/>
      <c r="EE251" s="64"/>
      <c r="EF251" s="64"/>
      <c r="EH251" s="64"/>
      <c r="EI251" s="64"/>
      <c r="EJ251" s="64"/>
      <c r="EK251" s="64"/>
      <c r="EM251" s="6">
        <v>3</v>
      </c>
      <c r="EN251" s="6">
        <f>SUM(EN11:EQ12)*EM251</f>
        <v>0</v>
      </c>
      <c r="ER251" s="855"/>
      <c r="EX251" s="203">
        <f t="shared" si="1"/>
        <v>0</v>
      </c>
    </row>
    <row r="252" spans="1:154" s="6" customFormat="1" ht="15" customHeight="1">
      <c r="A252" s="151" t="s">
        <v>246</v>
      </c>
      <c r="B252" s="210" t="s">
        <v>246</v>
      </c>
      <c r="C252" s="473" t="s">
        <v>515</v>
      </c>
      <c r="D252" s="138"/>
      <c r="E252" s="40"/>
      <c r="F252" s="40"/>
      <c r="G252" s="40"/>
      <c r="H252" s="40"/>
      <c r="I252" s="4"/>
      <c r="J252" s="4"/>
      <c r="K252" s="4"/>
      <c r="L252" s="4"/>
      <c r="M252" s="4"/>
      <c r="N252" s="4"/>
      <c r="O252" s="4"/>
      <c r="P252" s="4"/>
      <c r="Q252" s="4"/>
      <c r="R252" s="40"/>
      <c r="S252" s="41"/>
      <c r="T252" s="140"/>
      <c r="U252" s="41"/>
      <c r="W252" s="40"/>
      <c r="X252" s="41"/>
      <c r="Y252" s="41"/>
      <c r="Z252" s="41"/>
      <c r="AB252" s="40"/>
      <c r="AC252" s="41"/>
      <c r="AD252" s="41"/>
      <c r="AE252" s="41"/>
      <c r="AG252" s="40"/>
      <c r="AH252" s="41"/>
      <c r="AI252" s="41"/>
      <c r="AJ252" s="41"/>
      <c r="AL252" s="40"/>
      <c r="AM252" s="41"/>
      <c r="AN252" s="41"/>
      <c r="AO252" s="41"/>
      <c r="AQ252" s="40"/>
      <c r="AR252" s="41"/>
      <c r="AS252" s="41"/>
      <c r="AT252" s="41"/>
      <c r="AV252" s="139"/>
      <c r="AW252" s="139"/>
      <c r="AX252" s="139"/>
      <c r="AY252" s="140"/>
      <c r="BA252" s="139"/>
      <c r="BB252" s="139"/>
      <c r="BC252" s="139"/>
      <c r="BD252" s="41"/>
      <c r="BF252" s="40"/>
      <c r="BG252" s="40"/>
      <c r="BH252" s="40"/>
      <c r="BI252" s="41"/>
      <c r="BK252" s="139"/>
      <c r="BL252" s="139"/>
      <c r="BM252" s="40"/>
      <c r="BN252" s="41"/>
      <c r="BP252" s="40"/>
      <c r="BQ252" s="40"/>
      <c r="BR252" s="40"/>
      <c r="BS252" s="41"/>
      <c r="BU252" s="40"/>
      <c r="BV252" s="40"/>
      <c r="BW252" s="40"/>
      <c r="BX252" s="41"/>
      <c r="BZ252" s="40"/>
      <c r="CA252" s="40"/>
      <c r="CB252" s="40"/>
      <c r="CC252" s="41"/>
      <c r="CD252" s="140"/>
      <c r="CE252" s="40"/>
      <c r="CF252" s="40"/>
      <c r="CG252" s="40"/>
      <c r="CH252" s="41"/>
      <c r="CJ252" s="139"/>
      <c r="CK252" s="139"/>
      <c r="CL252" s="139"/>
      <c r="CM252" s="140"/>
      <c r="CO252" s="222"/>
      <c r="CP252" s="40"/>
      <c r="CQ252" s="40"/>
      <c r="CR252" s="41"/>
      <c r="CT252" s="40"/>
      <c r="CU252" s="40">
        <f>CU25*CT252+CV25*CT252+CU26*CT252+CV26*CT252+CU5*CT252+CV5*CT252+CU6*CT252+CV6*CT252+CU7*CT252+CV7*CT252+CU8*CT252+CV8*CT252+CU9*CT252+CV9*CT252+CU10*CT252+CV10*CT252+CU11*CT252+CV11*CT252+CU12*CT252+CV12*CT252+CU13*CT252+CV13*CT252+CU14*CT252+CV14*CT252+CU15*CT252+CV15*CT252+CU16*CT252+CV16*CT252+CU17*CT252+CV17*CT252+CU18*CT252+CV18*CT252+CU19*CT252+CV19*CT252+CU20*CT252+CV20*CT252+CU21*CT252+CV21*CT252+CU22*CT252+CV22*CT252+CU23*CT252+CV23*CT252+CU24*CT252+CV24*CT252+CW25*CT252+CW26*CT252+CW5*CT252+CW6*CT252+CW7*CT252+CW8*CT252+CW9*CT252+CW10*CT252+CW11*CT252+CW12*CT252+CW13*CT252+CW14*CT252+CW15*CT252+CW16*CT252+CW17*CT252+CW18*CT252+CW19*CT252+CW20*CT252+CW21*CT252+CW22*CT252+CW23*CT252+CW24*CT252</f>
        <v>0</v>
      </c>
      <c r="CV252" s="40"/>
      <c r="CW252" s="41"/>
      <c r="CY252" s="40"/>
      <c r="CZ252" s="40"/>
      <c r="DA252" s="40"/>
      <c r="DB252" s="41"/>
      <c r="DD252" s="40"/>
      <c r="DE252" s="40"/>
      <c r="DF252" s="40"/>
      <c r="DG252" s="41"/>
      <c r="DI252" s="64"/>
      <c r="DJ252" s="64"/>
      <c r="DK252" s="64"/>
      <c r="DL252" s="64"/>
      <c r="DN252" s="64"/>
      <c r="DO252" s="64"/>
      <c r="DP252" s="64"/>
      <c r="DQ252" s="64"/>
      <c r="DS252" s="64"/>
      <c r="DT252" s="64"/>
      <c r="DU252" s="64"/>
      <c r="DV252" s="64"/>
      <c r="DX252" s="64"/>
      <c r="DY252" s="64"/>
      <c r="DZ252" s="64"/>
      <c r="EA252" s="64"/>
      <c r="EC252" s="64"/>
      <c r="ED252" s="64"/>
      <c r="EE252" s="64"/>
      <c r="EF252" s="64"/>
      <c r="EH252" s="64"/>
      <c r="EI252" s="64"/>
      <c r="EJ252" s="64"/>
      <c r="EK252" s="64"/>
      <c r="ER252" s="855"/>
      <c r="EX252" s="203">
        <f t="shared" si="1"/>
        <v>0</v>
      </c>
    </row>
    <row r="253" spans="1:154" s="6" customFormat="1" ht="15" customHeight="1">
      <c r="A253" s="151" t="s">
        <v>361</v>
      </c>
      <c r="B253" s="210" t="s">
        <v>251</v>
      </c>
      <c r="C253" s="473" t="s">
        <v>515</v>
      </c>
      <c r="D253" s="138"/>
      <c r="E253" s="40"/>
      <c r="F253" s="40"/>
      <c r="G253" s="40"/>
      <c r="H253" s="40"/>
      <c r="I253" s="4"/>
      <c r="J253" s="4"/>
      <c r="K253" s="4"/>
      <c r="L253" s="4"/>
      <c r="M253" s="4"/>
      <c r="N253" s="4"/>
      <c r="O253" s="4"/>
      <c r="P253" s="4"/>
      <c r="Q253" s="4"/>
      <c r="R253" s="40"/>
      <c r="S253" s="41"/>
      <c r="T253" s="140"/>
      <c r="U253" s="41"/>
      <c r="W253" s="40"/>
      <c r="X253" s="41"/>
      <c r="Y253" s="41"/>
      <c r="Z253" s="41"/>
      <c r="AB253" s="40"/>
      <c r="AC253" s="41"/>
      <c r="AD253" s="41"/>
      <c r="AE253" s="41"/>
      <c r="AG253" s="40"/>
      <c r="AH253" s="41"/>
      <c r="AI253" s="41"/>
      <c r="AJ253" s="41"/>
      <c r="AL253" s="40"/>
      <c r="AM253" s="41"/>
      <c r="AN253" s="41"/>
      <c r="AO253" s="41"/>
      <c r="AQ253" s="40"/>
      <c r="AR253" s="41"/>
      <c r="AS253" s="41"/>
      <c r="AT253" s="41"/>
      <c r="AV253" s="139"/>
      <c r="AW253" s="139"/>
      <c r="AX253" s="139"/>
      <c r="AY253" s="140"/>
      <c r="BA253" s="139"/>
      <c r="BB253" s="139"/>
      <c r="BC253" s="139"/>
      <c r="BD253" s="41"/>
      <c r="BF253" s="40"/>
      <c r="BG253" s="40"/>
      <c r="BH253" s="40"/>
      <c r="BI253" s="41"/>
      <c r="BK253" s="139"/>
      <c r="BL253" s="139"/>
      <c r="BM253" s="40"/>
      <c r="BN253" s="41"/>
      <c r="BP253" s="40"/>
      <c r="BQ253" s="40"/>
      <c r="BR253" s="40"/>
      <c r="BS253" s="41"/>
      <c r="BU253" s="40"/>
      <c r="BV253" s="40"/>
      <c r="BW253" s="40"/>
      <c r="BX253" s="41"/>
      <c r="BZ253" s="40"/>
      <c r="CA253" s="40"/>
      <c r="CB253" s="40"/>
      <c r="CC253" s="41"/>
      <c r="CD253" s="140"/>
      <c r="CE253" s="40"/>
      <c r="CF253" s="40"/>
      <c r="CG253" s="40"/>
      <c r="CH253" s="41"/>
      <c r="CJ253" s="139"/>
      <c r="CK253" s="139"/>
      <c r="CL253" s="139"/>
      <c r="CM253" s="140"/>
      <c r="CO253" s="222"/>
      <c r="CP253" s="40"/>
      <c r="CQ253" s="40"/>
      <c r="CR253" s="41"/>
      <c r="CT253" s="40"/>
      <c r="CU253" s="40"/>
      <c r="CV253" s="40"/>
      <c r="CW253" s="41"/>
      <c r="CY253" s="40"/>
      <c r="CZ253" s="40"/>
      <c r="DA253" s="40"/>
      <c r="DB253" s="41"/>
      <c r="DD253" s="40"/>
      <c r="DE253" s="40"/>
      <c r="DF253" s="40"/>
      <c r="DG253" s="41"/>
      <c r="DI253" s="64"/>
      <c r="DJ253" s="64"/>
      <c r="DK253" s="64"/>
      <c r="DL253" s="64"/>
      <c r="DN253" s="64"/>
      <c r="DO253" s="64"/>
      <c r="DP253" s="64"/>
      <c r="DQ253" s="64"/>
      <c r="DS253" s="64"/>
      <c r="DT253" s="64"/>
      <c r="DU253" s="64"/>
      <c r="DV253" s="64"/>
      <c r="DX253" s="64"/>
      <c r="DY253" s="64"/>
      <c r="DZ253" s="64"/>
      <c r="EA253" s="64"/>
      <c r="EC253" s="64"/>
      <c r="ED253" s="64"/>
      <c r="EE253" s="64"/>
      <c r="EF253" s="64"/>
      <c r="EH253" s="64"/>
      <c r="EI253" s="64"/>
      <c r="EJ253" s="64"/>
      <c r="EK253" s="64"/>
      <c r="ER253" s="855"/>
      <c r="EX253" s="203">
        <f t="shared" si="1"/>
        <v>0</v>
      </c>
    </row>
    <row r="254" spans="1:154" s="6" customFormat="1" ht="15" customHeight="1">
      <c r="A254" s="151" t="s">
        <v>247</v>
      </c>
      <c r="B254" s="210" t="s">
        <v>247</v>
      </c>
      <c r="C254" s="473" t="s">
        <v>515</v>
      </c>
      <c r="D254" s="138"/>
      <c r="E254" s="891">
        <f>SUM($ER$5:$ER$17)</f>
        <v>0</v>
      </c>
      <c r="F254" s="891">
        <f>IF(AND(E254&gt;=5,E254&lt;=225),SUM(F5:F26,G5:G26,H5:H26)*3,0)</f>
        <v>0</v>
      </c>
      <c r="G254" s="891"/>
      <c r="H254" s="40"/>
      <c r="I254" s="4" t="b">
        <f>IF(SUM(EN11:EQ11,EN12:EQ12)&gt;=1,0)</f>
        <v>0</v>
      </c>
      <c r="J254" s="658">
        <f>-IF(SUM(EN11:EQ11,EN12:EQ12)&gt;0,0,0)</f>
        <v>0</v>
      </c>
      <c r="K254" s="658"/>
      <c r="L254" s="4"/>
      <c r="M254" s="4"/>
      <c r="N254" s="4"/>
      <c r="O254" s="4"/>
      <c r="P254" s="4"/>
      <c r="Q254" s="4"/>
      <c r="R254" s="40"/>
      <c r="S254" s="41"/>
      <c r="T254" s="140"/>
      <c r="U254" s="41"/>
      <c r="W254" s="40"/>
      <c r="X254" s="41"/>
      <c r="Y254" s="41"/>
      <c r="Z254" s="41"/>
      <c r="AB254" s="40"/>
      <c r="AC254" s="41"/>
      <c r="AD254" s="41"/>
      <c r="AE254" s="41"/>
      <c r="AG254" s="40"/>
      <c r="AH254" s="41"/>
      <c r="AI254" s="41"/>
      <c r="AJ254" s="41"/>
      <c r="AL254" s="40"/>
      <c r="AM254" s="41"/>
      <c r="AN254" s="41"/>
      <c r="AO254" s="41"/>
      <c r="AQ254" s="40"/>
      <c r="AR254" s="41"/>
      <c r="AS254" s="41"/>
      <c r="AT254" s="41"/>
      <c r="AV254" s="139"/>
      <c r="AW254" s="139"/>
      <c r="AX254" s="139"/>
      <c r="AY254" s="140"/>
      <c r="BA254" s="139"/>
      <c r="BB254" s="139"/>
      <c r="BC254" s="139"/>
      <c r="BD254" s="41"/>
      <c r="BF254" s="40"/>
      <c r="BG254" s="40"/>
      <c r="BH254" s="40"/>
      <c r="BI254" s="41"/>
      <c r="BK254" s="139"/>
      <c r="BL254" s="139"/>
      <c r="BM254" s="40"/>
      <c r="BN254" s="41"/>
      <c r="BP254" s="40">
        <f>SUM($ER$5:$ER$17)</f>
        <v>0</v>
      </c>
      <c r="BQ254" s="40">
        <f>IF(AND(BP254&gt;=15,BP254&lt;=225),SUM(BQ5:BQ26,BR5:BR26,BS5:BS26)*3,0)</f>
        <v>0</v>
      </c>
      <c r="BR254" s="40"/>
      <c r="BS254" s="41"/>
      <c r="BU254" s="40">
        <f>SUM($ER$5:$ER$17)</f>
        <v>0</v>
      </c>
      <c r="BV254" s="40">
        <f>IF(AND(BU254&gt;=15,BU254&lt;=225),SUM(BV5:BV26,BW5:BW26,BX5:BX26)*9,0)</f>
        <v>0</v>
      </c>
      <c r="BW254" s="40"/>
      <c r="BX254" s="41"/>
      <c r="BZ254" s="40"/>
      <c r="CA254" s="40"/>
      <c r="CB254" s="40"/>
      <c r="CC254" s="41"/>
      <c r="CD254" s="140"/>
      <c r="CE254" s="40">
        <f>SUM($ER$5:$ER$17)</f>
        <v>0</v>
      </c>
      <c r="CF254" s="40">
        <f>IF(AND(CE254&gt;=15,CE254&lt;=225),SUM(CF5:CF26,CG5:CG26,CH5:CH26)*3,0)</f>
        <v>0</v>
      </c>
      <c r="CG254" s="62"/>
      <c r="CH254" s="41"/>
      <c r="CJ254" s="139"/>
      <c r="CK254" s="139"/>
      <c r="CL254" s="139"/>
      <c r="CM254" s="140"/>
      <c r="CO254" s="222"/>
      <c r="CP254" s="40"/>
      <c r="CQ254" s="40"/>
      <c r="CR254" s="41"/>
      <c r="CT254" s="40">
        <f>SUM($ER$5:$ER$17)</f>
        <v>0</v>
      </c>
      <c r="CU254" s="40">
        <f>IF(AND(CT254&gt;=15,CT254&lt;=225),SUM(CU5:CU26,CV5:CV26,CW5:CW26)*3,0)</f>
        <v>0</v>
      </c>
      <c r="CV254" s="40"/>
      <c r="CW254" s="41"/>
      <c r="CY254" s="40">
        <f>SUM($ER$5:$ER$17)</f>
        <v>0</v>
      </c>
      <c r="CZ254" s="40">
        <f>IF(AND(CY254&gt;=15,CY254&lt;=225),SUM(CZ5:CZ26,DA5:DA26,DB5:DB26)*9,0)</f>
        <v>0</v>
      </c>
      <c r="DA254" s="40"/>
      <c r="DB254" s="41"/>
      <c r="DD254" s="40"/>
      <c r="DE254" s="40"/>
      <c r="DF254" s="40"/>
      <c r="DG254" s="41"/>
      <c r="DI254" s="64"/>
      <c r="DJ254" s="64"/>
      <c r="DK254" s="64"/>
      <c r="DL254" s="64"/>
      <c r="DN254" s="64"/>
      <c r="DO254" s="64"/>
      <c r="DP254" s="64"/>
      <c r="DQ254" s="64"/>
      <c r="DS254" s="64"/>
      <c r="DT254" s="64"/>
      <c r="DU254" s="64"/>
      <c r="DV254" s="64"/>
      <c r="DX254" s="64"/>
      <c r="DY254" s="64"/>
      <c r="DZ254" s="64"/>
      <c r="EA254" s="64"/>
      <c r="EC254" s="64"/>
      <c r="ED254" s="64"/>
      <c r="EE254" s="64"/>
      <c r="EF254" s="64"/>
      <c r="EH254" s="64"/>
      <c r="EI254" s="64"/>
      <c r="EJ254" s="64"/>
      <c r="EK254" s="64"/>
      <c r="ER254" s="855"/>
      <c r="EX254" s="203">
        <f t="shared" si="1"/>
        <v>0</v>
      </c>
    </row>
    <row r="255" spans="1:154" s="6" customFormat="1" ht="15" customHeight="1">
      <c r="A255" s="151" t="s">
        <v>251</v>
      </c>
      <c r="B255" s="210" t="s">
        <v>1481</v>
      </c>
      <c r="C255" s="473" t="s">
        <v>515</v>
      </c>
      <c r="D255" s="138"/>
      <c r="E255" s="62">
        <f>SUM($ER$5:$ER$17)</f>
        <v>0</v>
      </c>
      <c r="F255" s="62">
        <f>G255*SUM(F5:F26,G5:G26,H5:H26)</f>
        <v>0</v>
      </c>
      <c r="G255" s="62">
        <f>IF(SUM(F254,F256:F257,E255)&gt;=3,0,SUM(F5:F26,G5:G26,H5:H26)*3)</f>
        <v>0</v>
      </c>
      <c r="H255" s="222"/>
      <c r="I255" s="4">
        <v>3</v>
      </c>
      <c r="J255" s="4"/>
      <c r="K255" s="4"/>
      <c r="L255" s="4"/>
      <c r="M255" s="4"/>
      <c r="N255" s="4"/>
      <c r="O255" s="4"/>
      <c r="P255" s="4"/>
      <c r="Q255" s="4"/>
      <c r="R255" s="40"/>
      <c r="S255" s="41"/>
      <c r="T255" s="140"/>
      <c r="U255" s="41"/>
      <c r="W255" s="40"/>
      <c r="X255" s="41"/>
      <c r="Y255" s="41"/>
      <c r="Z255" s="41"/>
      <c r="AB255" s="40"/>
      <c r="AC255" s="41"/>
      <c r="AD255" s="41"/>
      <c r="AE255" s="41"/>
      <c r="AG255" s="40"/>
      <c r="AH255" s="41"/>
      <c r="AI255" s="41"/>
      <c r="AJ255" s="41"/>
      <c r="AL255" s="40"/>
      <c r="AM255" s="41"/>
      <c r="AN255" s="41"/>
      <c r="AO255" s="41"/>
      <c r="AQ255" s="40"/>
      <c r="AR255" s="41"/>
      <c r="AS255" s="41"/>
      <c r="AT255" s="41"/>
      <c r="AV255" s="139"/>
      <c r="AW255" s="139"/>
      <c r="AX255" s="139"/>
      <c r="AY255" s="140"/>
      <c r="BA255" s="139"/>
      <c r="BB255" s="139"/>
      <c r="BC255" s="139"/>
      <c r="BD255" s="41"/>
      <c r="BF255" s="40"/>
      <c r="BG255" s="40"/>
      <c r="BH255" s="40"/>
      <c r="BI255" s="41"/>
      <c r="BK255" s="139"/>
      <c r="BL255" s="139"/>
      <c r="BM255" s="40"/>
      <c r="BN255" s="41"/>
      <c r="BP255" s="62">
        <f>SUM($ER$5:$ER$17)</f>
        <v>0</v>
      </c>
      <c r="BQ255" s="62">
        <f>BR255*SUM(BQ5:BQ26,BR5:BR26,BS5:BS26)</f>
        <v>0</v>
      </c>
      <c r="BR255" s="62">
        <f>IF(SUM(BQ254,BQ256:BQ257,BP255)&gt;=3,0,SUM(BQ5:BQ26,BR5:BR26,BS5:BS26)*3)</f>
        <v>0</v>
      </c>
      <c r="BS255" s="41"/>
      <c r="BU255" s="62">
        <f>SUM($ER$5:$ER$17)</f>
        <v>0</v>
      </c>
      <c r="BV255" s="62">
        <f>BW255*SUM(BV5:BV26,BW5:BW26,BX5:BX26)</f>
        <v>0</v>
      </c>
      <c r="BW255" s="62">
        <f>IF(SUM(BV254,BV256:BV257,BU255)&gt;=3,0,SUM(BV5:BV26,BW5:BW26,BX5:BX26)*9)</f>
        <v>0</v>
      </c>
      <c r="BX255" s="41"/>
      <c r="BZ255" s="40"/>
      <c r="CA255" s="40"/>
      <c r="CB255" s="40"/>
      <c r="CC255" s="41"/>
      <c r="CD255" s="140"/>
      <c r="CE255" s="62">
        <f>SUM($ER$5:$ER$17)</f>
        <v>0</v>
      </c>
      <c r="CF255" s="62">
        <f>CG255*SUM(CF5:CF26,CG5:CG26,CH5:CH26)</f>
        <v>0</v>
      </c>
      <c r="CG255" s="62">
        <f>IF(SUM(CF254,CF256:CF257,CE255)&gt;=3,0,SUM(CF5:CF26,CG5:CG26,CH5:CH26)*3)</f>
        <v>0</v>
      </c>
      <c r="CH255" s="41"/>
      <c r="CJ255" s="139"/>
      <c r="CK255" s="139"/>
      <c r="CL255" s="139"/>
      <c r="CM255" s="140"/>
      <c r="CO255" s="222"/>
      <c r="CP255" s="40"/>
      <c r="CQ255" s="40"/>
      <c r="CR255" s="41"/>
      <c r="CT255" s="62">
        <f>SUM($ER$5:$ER$17)</f>
        <v>0</v>
      </c>
      <c r="CU255" s="62">
        <f>CV255*SUM(CU5:CU26,CV5:CV26,CW5:CW26)</f>
        <v>0</v>
      </c>
      <c r="CV255" s="62">
        <f>IF(SUM(CU254,CU256:CU257,CT255)&gt;=3,0,SUM(CU5:CU26,CV5:CV26,CW5:CW26)*3)</f>
        <v>0</v>
      </c>
      <c r="CW255" s="41"/>
      <c r="CY255" s="62">
        <f>SUM($ER$5:$ER$17)</f>
        <v>0</v>
      </c>
      <c r="CZ255" s="62">
        <f>DA255*SUM(CZ5:CZ26,DA5:DA26,DB5:DB26)</f>
        <v>0</v>
      </c>
      <c r="DA255" s="62">
        <f>IF(SUM(CZ254,CZ256:CZ257,CY255)&gt;=3,0,SUM(CZ5:CZ26,DA5:DA26,DB5:DB26)*9)</f>
        <v>0</v>
      </c>
      <c r="DB255" s="41"/>
      <c r="DD255" s="40"/>
      <c r="DE255" s="40"/>
      <c r="DF255" s="40"/>
      <c r="DG255" s="41"/>
      <c r="DI255" s="64"/>
      <c r="DJ255" s="64"/>
      <c r="DK255" s="64"/>
      <c r="DL255" s="64"/>
      <c r="DN255" s="64"/>
      <c r="DO255" s="64"/>
      <c r="DP255" s="64"/>
      <c r="DQ255" s="64"/>
      <c r="DS255" s="64"/>
      <c r="DT255" s="64"/>
      <c r="DU255" s="64"/>
      <c r="DV255" s="64"/>
      <c r="DX255" s="64"/>
      <c r="DY255" s="64"/>
      <c r="DZ255" s="64"/>
      <c r="EA255" s="64"/>
      <c r="EC255" s="64"/>
      <c r="ED255" s="64"/>
      <c r="EE255" s="64"/>
      <c r="EF255" s="64"/>
      <c r="EH255" s="64"/>
      <c r="EI255" s="64"/>
      <c r="EJ255" s="64"/>
      <c r="EK255" s="64"/>
      <c r="ER255" s="855"/>
      <c r="EX255" s="203">
        <f t="shared" si="1"/>
        <v>0</v>
      </c>
    </row>
    <row r="256" spans="1:154" s="6" customFormat="1" ht="15" customHeight="1">
      <c r="A256" s="151" t="s">
        <v>248</v>
      </c>
      <c r="B256" s="210" t="s">
        <v>248</v>
      </c>
      <c r="C256" s="473" t="s">
        <v>515</v>
      </c>
      <c r="D256" s="138"/>
      <c r="E256" s="892">
        <f>SUM($ER$5:$ER$17)</f>
        <v>0</v>
      </c>
      <c r="F256" s="892">
        <f>IF(AND(E256&gt;=226,E256&lt;=500),SUM(F5:F26,G5:G26,H5:H26)*3,(0))</f>
        <v>0</v>
      </c>
      <c r="G256" s="892"/>
      <c r="H256" s="40"/>
      <c r="I256" s="4"/>
      <c r="J256" s="4"/>
      <c r="K256" s="4"/>
      <c r="L256" s="4"/>
      <c r="M256" s="4"/>
      <c r="N256" s="4"/>
      <c r="O256" s="4"/>
      <c r="P256" s="4"/>
      <c r="Q256" s="4"/>
      <c r="R256" s="40"/>
      <c r="S256" s="41"/>
      <c r="T256" s="140"/>
      <c r="U256" s="41"/>
      <c r="W256" s="40"/>
      <c r="X256" s="41"/>
      <c r="Y256" s="41"/>
      <c r="Z256" s="41"/>
      <c r="AB256" s="40"/>
      <c r="AC256" s="41"/>
      <c r="AD256" s="41"/>
      <c r="AE256" s="41"/>
      <c r="AG256" s="40"/>
      <c r="AH256" s="41"/>
      <c r="AI256" s="41"/>
      <c r="AJ256" s="41"/>
      <c r="AL256" s="40"/>
      <c r="AM256" s="41"/>
      <c r="AN256" s="41"/>
      <c r="AO256" s="41"/>
      <c r="AQ256" s="40"/>
      <c r="AR256" s="41"/>
      <c r="AS256" s="41"/>
      <c r="AT256" s="41"/>
      <c r="AV256" s="139"/>
      <c r="AW256" s="139"/>
      <c r="AX256" s="139"/>
      <c r="AY256" s="140"/>
      <c r="BA256" s="139"/>
      <c r="BB256" s="139"/>
      <c r="BC256" s="139"/>
      <c r="BD256" s="41"/>
      <c r="BF256" s="40"/>
      <c r="BG256" s="40"/>
      <c r="BH256" s="40"/>
      <c r="BI256" s="41"/>
      <c r="BK256" s="139"/>
      <c r="BL256" s="139"/>
      <c r="BM256" s="40"/>
      <c r="BN256" s="41"/>
      <c r="BP256" s="40">
        <f>SUM($ER$5:$ER$17)</f>
        <v>0</v>
      </c>
      <c r="BQ256" s="40">
        <f>IF(AND(BP256&gt;=226,BP256&lt;=500),SUM(BQ5:BQ26,BR5:BR26,BS5:BS26)*3,(0))</f>
        <v>0</v>
      </c>
      <c r="BR256" s="40"/>
      <c r="BS256" s="41"/>
      <c r="BU256" s="40">
        <f>SUM($ER$5:$ER$17)</f>
        <v>0</v>
      </c>
      <c r="BV256" s="40">
        <f>IF(AND(BU256&gt;=226,BU256&lt;=500),SUM(BV5:BV26,BW5:BW26,BX5:BX26)*9,(0))</f>
        <v>0</v>
      </c>
      <c r="BW256" s="40"/>
      <c r="BX256" s="41"/>
      <c r="BZ256" s="40"/>
      <c r="CA256" s="40"/>
      <c r="CB256" s="40"/>
      <c r="CC256" s="41"/>
      <c r="CD256" s="140"/>
      <c r="CE256" s="40">
        <f>SUM($ER$5:$ER$17)</f>
        <v>0</v>
      </c>
      <c r="CF256" s="40">
        <f>IF(AND(CE256&gt;=226,CE256&lt;=500),SUM(CF5:CF26,CG5:CG26,CH5:CH26)*3,(0))</f>
        <v>0</v>
      </c>
      <c r="CG256" s="40"/>
      <c r="CH256" s="41"/>
      <c r="CJ256" s="139"/>
      <c r="CK256" s="139"/>
      <c r="CL256" s="139"/>
      <c r="CM256" s="140"/>
      <c r="CO256" s="222"/>
      <c r="CP256" s="40"/>
      <c r="CQ256" s="40"/>
      <c r="CR256" s="41"/>
      <c r="CT256" s="40">
        <f>SUM($ER$5:$ER$17)</f>
        <v>0</v>
      </c>
      <c r="CU256" s="40">
        <f>IF(AND(CT256&gt;=226,CT256&lt;=500),SUM(CU5:CU26,CV5:CV26,CW5:CW26)*3,(0))</f>
        <v>0</v>
      </c>
      <c r="CV256" s="40"/>
      <c r="CW256" s="41"/>
      <c r="CY256" s="40">
        <f>SUM($ER$5:$ER$17)</f>
        <v>0</v>
      </c>
      <c r="CZ256" s="40">
        <f>IF(AND(CY256&gt;=226,CY256&lt;=500),SUM(CZ5:CZ26,DA5:DA26,DB5:DB26)*9,(0))</f>
        <v>0</v>
      </c>
      <c r="DA256" s="40"/>
      <c r="DB256" s="41"/>
      <c r="DD256" s="40"/>
      <c r="DE256" s="40"/>
      <c r="DF256" s="40"/>
      <c r="DG256" s="41"/>
      <c r="DI256" s="64"/>
      <c r="DJ256" s="64"/>
      <c r="DK256" s="64"/>
      <c r="DL256" s="64"/>
      <c r="DN256" s="64"/>
      <c r="DO256" s="64"/>
      <c r="DP256" s="64"/>
      <c r="DQ256" s="64"/>
      <c r="DS256" s="64"/>
      <c r="DT256" s="64"/>
      <c r="DU256" s="64"/>
      <c r="DV256" s="64"/>
      <c r="DX256" s="64"/>
      <c r="DY256" s="64"/>
      <c r="DZ256" s="64"/>
      <c r="EA256" s="64"/>
      <c r="EC256" s="64"/>
      <c r="ED256" s="64"/>
      <c r="EE256" s="64"/>
      <c r="EF256" s="64"/>
      <c r="EH256" s="64"/>
      <c r="EI256" s="64"/>
      <c r="EJ256" s="64"/>
      <c r="EK256" s="64"/>
      <c r="ER256" s="855"/>
      <c r="EX256" s="203">
        <f t="shared" si="1"/>
        <v>0</v>
      </c>
    </row>
    <row r="257" spans="1:154" s="6" customFormat="1" ht="15" customHeight="1">
      <c r="A257" s="151" t="s">
        <v>253</v>
      </c>
      <c r="B257" s="210" t="s">
        <v>411</v>
      </c>
      <c r="C257" s="473" t="s">
        <v>515</v>
      </c>
      <c r="D257" s="138"/>
      <c r="E257" s="40">
        <f>SUM($ER$5:$ER$17)</f>
        <v>0</v>
      </c>
      <c r="F257" s="40">
        <f>IF(AND(E257&gt;=501,E257&lt;=2000),SUM(F5:F26,G5:G26,H5:H26)*3,(0))</f>
        <v>0</v>
      </c>
      <c r="G257" s="40"/>
      <c r="H257" s="40"/>
      <c r="I257" s="4"/>
      <c r="J257" s="4"/>
      <c r="K257" s="4"/>
      <c r="L257" s="4"/>
      <c r="M257" s="4"/>
      <c r="N257" s="4"/>
      <c r="O257" s="4"/>
      <c r="P257" s="4"/>
      <c r="Q257" s="4"/>
      <c r="R257" s="40"/>
      <c r="S257" s="41"/>
      <c r="T257" s="140"/>
      <c r="U257" s="41"/>
      <c r="W257" s="40"/>
      <c r="X257" s="41"/>
      <c r="Y257" s="41"/>
      <c r="Z257" s="41"/>
      <c r="AB257" s="40"/>
      <c r="AC257" s="41"/>
      <c r="AD257" s="41"/>
      <c r="AE257" s="41"/>
      <c r="AG257" s="40"/>
      <c r="AH257" s="41"/>
      <c r="AI257" s="41"/>
      <c r="AJ257" s="41"/>
      <c r="AL257" s="40"/>
      <c r="AM257" s="41"/>
      <c r="AN257" s="41"/>
      <c r="AO257" s="41"/>
      <c r="AQ257" s="40"/>
      <c r="AR257" s="41"/>
      <c r="AS257" s="41"/>
      <c r="AT257" s="41"/>
      <c r="AV257" s="139"/>
      <c r="AW257" s="139"/>
      <c r="AX257" s="139"/>
      <c r="AY257" s="140"/>
      <c r="BA257" s="139"/>
      <c r="BB257" s="139"/>
      <c r="BC257" s="139"/>
      <c r="BD257" s="41"/>
      <c r="BF257" s="40"/>
      <c r="BG257" s="40"/>
      <c r="BH257" s="40"/>
      <c r="BI257" s="41"/>
      <c r="BK257" s="139"/>
      <c r="BL257" s="139"/>
      <c r="BM257" s="40"/>
      <c r="BN257" s="41"/>
      <c r="BP257" s="40">
        <f>SUM($ER$5:$ER$17)</f>
        <v>0</v>
      </c>
      <c r="BQ257" s="40">
        <f>IF(AND(BP257&gt;=501,BP257&lt;=1000),SUM(BQ5:BQ26,BR5:BR26,BS5:BS26)*3,(0))</f>
        <v>0</v>
      </c>
      <c r="BR257" s="40"/>
      <c r="BS257" s="41"/>
      <c r="BU257" s="40">
        <f>SUM($ER$5:$ER$17)</f>
        <v>0</v>
      </c>
      <c r="BV257" s="40">
        <f>IF(AND(BU257&gt;=501,BU257&lt;=1000),SUM(BV5:BV26,BW5:BW26,BX5:BX26)*9,(0))</f>
        <v>0</v>
      </c>
      <c r="BW257" s="40"/>
      <c r="BX257" s="41"/>
      <c r="BZ257" s="40"/>
      <c r="CA257" s="40"/>
      <c r="CB257" s="40"/>
      <c r="CC257" s="41"/>
      <c r="CD257" s="140"/>
      <c r="CE257" s="40">
        <f>SUM($ER$5:$ER$17)</f>
        <v>0</v>
      </c>
      <c r="CF257" s="40">
        <f>IF(AND(CE257&gt;=501,CE257&lt;=1000),SUM(CF5:CF26,CG5:CG26,CH5:CH26)*3,(0))</f>
        <v>0</v>
      </c>
      <c r="CG257" s="40"/>
      <c r="CH257" s="41"/>
      <c r="CJ257" s="139"/>
      <c r="CK257" s="139"/>
      <c r="CL257" s="139"/>
      <c r="CM257" s="140"/>
      <c r="CO257" s="222"/>
      <c r="CP257" s="40"/>
      <c r="CQ257" s="40"/>
      <c r="CR257" s="41"/>
      <c r="CT257" s="40">
        <f>SUM($ER$5:$ER$17)</f>
        <v>0</v>
      </c>
      <c r="CU257" s="40">
        <f>IF(AND(CT257&gt;=501,CT257&lt;=1000),SUM(CU5:CU26,CV5:CV26,CW5:CW26)*3,(0))</f>
        <v>0</v>
      </c>
      <c r="CV257" s="40"/>
      <c r="CW257" s="41"/>
      <c r="CY257" s="40">
        <f>SUM($ER$5:$ER$17)</f>
        <v>0</v>
      </c>
      <c r="CZ257" s="40">
        <f>IF(AND(CY257&gt;=501,CY257&lt;=1000),SUM(CZ5:CZ26,DA5:DA26,DB5:DB26)*9,(0))</f>
        <v>0</v>
      </c>
      <c r="DA257" s="40"/>
      <c r="DB257" s="41"/>
      <c r="DD257" s="40"/>
      <c r="DE257" s="40"/>
      <c r="DF257" s="40"/>
      <c r="DG257" s="41"/>
      <c r="DI257" s="64"/>
      <c r="DJ257" s="64"/>
      <c r="DK257" s="64"/>
      <c r="DL257" s="64"/>
      <c r="DN257" s="64"/>
      <c r="DO257" s="64"/>
      <c r="DP257" s="64"/>
      <c r="DQ257" s="64"/>
      <c r="DS257" s="64"/>
      <c r="DT257" s="64"/>
      <c r="DU257" s="64"/>
      <c r="DV257" s="64"/>
      <c r="DX257" s="64"/>
      <c r="DY257" s="64"/>
      <c r="DZ257" s="64"/>
      <c r="EA257" s="64"/>
      <c r="EC257" s="64"/>
      <c r="ED257" s="64"/>
      <c r="EE257" s="64"/>
      <c r="EF257" s="64"/>
      <c r="EH257" s="64"/>
      <c r="EI257" s="64"/>
      <c r="EJ257" s="64"/>
      <c r="EK257" s="64"/>
      <c r="ER257" s="855"/>
      <c r="EX257" s="203">
        <f t="shared" si="1"/>
        <v>0</v>
      </c>
    </row>
    <row r="258" spans="1:154" s="6" customFormat="1" ht="15" customHeight="1">
      <c r="A258" s="90" t="s">
        <v>195</v>
      </c>
      <c r="B258" s="210" t="s">
        <v>195</v>
      </c>
      <c r="C258" s="473" t="s">
        <v>515</v>
      </c>
      <c r="D258" s="138"/>
      <c r="E258" s="40"/>
      <c r="F258" s="40"/>
      <c r="G258" s="40"/>
      <c r="H258" s="40"/>
      <c r="I258" s="859">
        <f>C8/(2500)</f>
        <v>0</v>
      </c>
      <c r="J258" s="4"/>
      <c r="K258" s="658">
        <f>ROUNDDOWN(I258,0)*3</f>
        <v>0</v>
      </c>
      <c r="L258" s="4"/>
      <c r="M258" s="4"/>
      <c r="N258" s="4"/>
      <c r="O258" s="4"/>
      <c r="P258" s="4"/>
      <c r="Q258" s="4"/>
      <c r="R258" s="40"/>
      <c r="S258" s="41"/>
      <c r="T258" s="140">
        <f>C16</f>
        <v>0</v>
      </c>
      <c r="U258" s="41"/>
      <c r="W258" s="40"/>
      <c r="X258" s="41"/>
      <c r="Y258" s="41"/>
      <c r="Z258" s="41"/>
      <c r="AB258" s="40"/>
      <c r="AC258" s="41"/>
      <c r="AD258" s="41"/>
      <c r="AE258" s="41"/>
      <c r="AG258" s="40"/>
      <c r="AH258" s="41"/>
      <c r="AI258" s="41"/>
      <c r="AJ258" s="41"/>
      <c r="AL258" s="40"/>
      <c r="AM258" s="41"/>
      <c r="AN258" s="41"/>
      <c r="AO258" s="41"/>
      <c r="AQ258" s="40"/>
      <c r="AR258" s="41"/>
      <c r="AS258" s="41"/>
      <c r="AT258" s="41"/>
      <c r="AV258" s="139"/>
      <c r="AW258" s="139"/>
      <c r="AX258" s="139"/>
      <c r="AY258" s="140"/>
      <c r="BA258" s="139"/>
      <c r="BB258" s="139"/>
      <c r="BC258" s="139"/>
      <c r="BD258" s="41"/>
      <c r="BF258" s="40"/>
      <c r="BG258" s="40"/>
      <c r="BH258" s="40"/>
      <c r="BI258" s="41"/>
      <c r="BK258" s="139"/>
      <c r="BL258" s="139"/>
      <c r="BM258" s="40"/>
      <c r="BN258" s="41"/>
      <c r="BP258" s="40"/>
      <c r="BQ258" s="40"/>
      <c r="BR258" s="40"/>
      <c r="BS258" s="41"/>
      <c r="BU258" s="40"/>
      <c r="BV258" s="40"/>
      <c r="BW258" s="40"/>
      <c r="BX258" s="41"/>
      <c r="BZ258" s="40"/>
      <c r="CA258" s="40"/>
      <c r="CB258" s="40"/>
      <c r="CC258" s="41"/>
      <c r="CD258" s="140"/>
      <c r="CE258" s="40"/>
      <c r="CF258" s="40"/>
      <c r="CG258" s="40"/>
      <c r="CH258" s="41"/>
      <c r="CJ258" s="139"/>
      <c r="CK258" s="139"/>
      <c r="CL258" s="139"/>
      <c r="CM258" s="140"/>
      <c r="CO258" s="222"/>
      <c r="CP258" s="40"/>
      <c r="CQ258" s="40"/>
      <c r="CR258" s="41"/>
      <c r="CT258" s="40"/>
      <c r="CU258" s="40"/>
      <c r="CV258" s="40"/>
      <c r="CW258" s="41"/>
      <c r="CY258" s="40"/>
      <c r="CZ258" s="40"/>
      <c r="DA258" s="40"/>
      <c r="DB258" s="41"/>
      <c r="DD258" s="40"/>
      <c r="DE258" s="40"/>
      <c r="DF258" s="40"/>
      <c r="DG258" s="41"/>
      <c r="DI258" s="64"/>
      <c r="DJ258" s="64"/>
      <c r="DK258" s="64"/>
      <c r="DL258" s="64"/>
      <c r="DN258" s="64"/>
      <c r="DO258" s="64"/>
      <c r="DP258" s="64"/>
      <c r="DQ258" s="64"/>
      <c r="DS258" s="64"/>
      <c r="DT258" s="64"/>
      <c r="DU258" s="64"/>
      <c r="DV258" s="64"/>
      <c r="DX258" s="64"/>
      <c r="DY258" s="64"/>
      <c r="DZ258" s="64"/>
      <c r="EA258" s="64"/>
      <c r="EC258" s="64"/>
      <c r="ED258" s="64"/>
      <c r="EE258" s="64"/>
      <c r="EF258" s="64"/>
      <c r="EH258" s="64"/>
      <c r="EI258" s="64"/>
      <c r="EJ258" s="64"/>
      <c r="EK258" s="64"/>
      <c r="ER258" s="855"/>
      <c r="EX258" s="203">
        <f t="shared" si="1"/>
        <v>0</v>
      </c>
    </row>
    <row r="259" spans="1:154" s="6" customFormat="1" ht="15" customHeight="1">
      <c r="A259" s="90" t="s">
        <v>194</v>
      </c>
      <c r="B259" s="210" t="s">
        <v>194</v>
      </c>
      <c r="C259" s="473" t="s">
        <v>515</v>
      </c>
      <c r="D259" s="138"/>
      <c r="E259" s="5"/>
      <c r="F259" s="5"/>
      <c r="G259" s="5"/>
      <c r="H259" s="5"/>
      <c r="I259" s="859">
        <f>C9/(2000)</f>
        <v>0</v>
      </c>
      <c r="J259" s="4"/>
      <c r="K259" s="658">
        <f>ROUNDDOWN(I259,0)*3</f>
        <v>0</v>
      </c>
      <c r="L259" s="4"/>
      <c r="M259" s="4"/>
      <c r="N259" s="4"/>
      <c r="O259" s="4"/>
      <c r="P259" s="4"/>
      <c r="Q259" s="4"/>
      <c r="R259" s="5"/>
      <c r="S259" s="5"/>
      <c r="U259" s="5"/>
      <c r="W259" s="5"/>
      <c r="X259" s="5"/>
      <c r="Y259" s="5"/>
      <c r="Z259" s="5"/>
      <c r="AB259" s="5"/>
      <c r="AC259" s="5"/>
      <c r="AD259" s="5"/>
      <c r="AE259" s="5"/>
      <c r="AG259" s="5"/>
      <c r="AH259" s="5"/>
      <c r="AI259" s="5"/>
      <c r="AJ259" s="5"/>
      <c r="AL259" s="5"/>
      <c r="AM259" s="5"/>
      <c r="AN259" s="5"/>
      <c r="AO259" s="5"/>
      <c r="AQ259" s="5"/>
      <c r="AR259" s="5"/>
      <c r="AS259" s="5"/>
      <c r="AT259" s="5"/>
      <c r="BD259" s="5"/>
      <c r="BF259" s="5"/>
      <c r="BG259" s="5"/>
      <c r="BH259" s="5"/>
      <c r="BI259" s="5"/>
      <c r="BM259" s="5"/>
      <c r="BN259" s="5"/>
      <c r="BP259" s="5"/>
      <c r="BQ259" s="5"/>
      <c r="BR259" s="5"/>
      <c r="BS259" s="5"/>
      <c r="BU259" s="5"/>
      <c r="BV259" s="5"/>
      <c r="BW259" s="5"/>
      <c r="BX259" s="5"/>
      <c r="BZ259" s="5"/>
      <c r="CA259" s="5"/>
      <c r="CB259" s="5"/>
      <c r="CC259" s="5"/>
      <c r="CE259" s="5"/>
      <c r="CF259" s="5"/>
      <c r="CG259" s="5"/>
      <c r="CH259" s="5"/>
      <c r="CO259" s="13"/>
      <c r="CP259" s="5"/>
      <c r="CQ259" s="5"/>
      <c r="CR259" s="5"/>
      <c r="CT259" s="5"/>
      <c r="CU259" s="5"/>
      <c r="CV259" s="5"/>
      <c r="CW259" s="5"/>
      <c r="CY259" s="5"/>
      <c r="CZ259" s="5"/>
      <c r="DA259" s="5"/>
      <c r="DB259" s="5"/>
      <c r="DD259" s="5"/>
      <c r="DE259" s="5"/>
      <c r="DF259" s="5"/>
      <c r="DG259" s="5"/>
      <c r="DI259" s="5"/>
      <c r="DJ259" s="5"/>
      <c r="DK259" s="5"/>
      <c r="DL259" s="5"/>
      <c r="DN259" s="5"/>
      <c r="DO259" s="5"/>
      <c r="DP259" s="5"/>
      <c r="DQ259" s="5"/>
      <c r="DS259" s="5"/>
      <c r="DT259" s="5"/>
      <c r="DU259" s="5"/>
      <c r="DV259" s="5"/>
      <c r="DX259" s="5"/>
      <c r="DY259" s="5"/>
      <c r="DZ259" s="5"/>
      <c r="EA259" s="5"/>
      <c r="EC259" s="5"/>
      <c r="ED259" s="5"/>
      <c r="EE259" s="5"/>
      <c r="EF259" s="5"/>
      <c r="EH259" s="5"/>
      <c r="EI259" s="5"/>
      <c r="EJ259" s="5"/>
      <c r="EK259" s="5"/>
      <c r="ER259" s="855"/>
      <c r="EX259" s="203">
        <f t="shared" si="1"/>
        <v>0</v>
      </c>
    </row>
    <row r="260" spans="1:154" s="6" customFormat="1" ht="15" customHeight="1">
      <c r="A260" s="90" t="s">
        <v>196</v>
      </c>
      <c r="B260" s="210" t="s">
        <v>196</v>
      </c>
      <c r="C260" s="473" t="s">
        <v>515</v>
      </c>
      <c r="D260" s="138"/>
      <c r="E260" s="5"/>
      <c r="F260" s="5"/>
      <c r="G260" s="5"/>
      <c r="H260" s="5"/>
      <c r="I260" s="859">
        <f>C10/(1700)</f>
        <v>0</v>
      </c>
      <c r="J260" s="4"/>
      <c r="K260" s="658">
        <f>ROUNDDOWN(I260,0)*3</f>
        <v>0</v>
      </c>
      <c r="L260" s="4"/>
      <c r="M260" s="4"/>
      <c r="N260" s="4"/>
      <c r="O260" s="4"/>
      <c r="P260" s="4"/>
      <c r="Q260" s="4"/>
      <c r="R260" s="5"/>
      <c r="S260" s="5"/>
      <c r="U260" s="5"/>
      <c r="W260" s="5"/>
      <c r="X260" s="5"/>
      <c r="Y260" s="5"/>
      <c r="Z260" s="5"/>
      <c r="AB260" s="5"/>
      <c r="AC260" s="5"/>
      <c r="AD260" s="5"/>
      <c r="AE260" s="5"/>
      <c r="AG260" s="5"/>
      <c r="AH260" s="5"/>
      <c r="AI260" s="5"/>
      <c r="AJ260" s="5"/>
      <c r="AL260" s="5"/>
      <c r="AM260" s="5"/>
      <c r="AN260" s="5"/>
      <c r="AO260" s="5"/>
      <c r="AQ260" s="5"/>
      <c r="AR260" s="5"/>
      <c r="AS260" s="5"/>
      <c r="AT260" s="5"/>
      <c r="BD260" s="5"/>
      <c r="BF260" s="5"/>
      <c r="BG260" s="5"/>
      <c r="BH260" s="5"/>
      <c r="BI260" s="5"/>
      <c r="BM260" s="5"/>
      <c r="BN260" s="5"/>
      <c r="BP260" s="5"/>
      <c r="BQ260" s="5"/>
      <c r="BR260" s="5"/>
      <c r="BS260" s="5"/>
      <c r="BU260" s="5"/>
      <c r="BV260" s="5"/>
      <c r="BW260" s="5"/>
      <c r="BX260" s="5"/>
      <c r="BZ260" s="5"/>
      <c r="CA260" s="5"/>
      <c r="CB260" s="5"/>
      <c r="CC260" s="5"/>
      <c r="CE260" s="5"/>
      <c r="CF260" s="5"/>
      <c r="CG260" s="5"/>
      <c r="CH260" s="5"/>
      <c r="CO260" s="13"/>
      <c r="CP260" s="5"/>
      <c r="CQ260" s="5"/>
      <c r="CR260" s="5"/>
      <c r="CT260" s="5"/>
      <c r="CU260" s="5"/>
      <c r="CV260" s="5"/>
      <c r="CW260" s="5"/>
      <c r="CY260" s="5"/>
      <c r="CZ260" s="5"/>
      <c r="DA260" s="5"/>
      <c r="DB260" s="5"/>
      <c r="DD260" s="5"/>
      <c r="DE260" s="5"/>
      <c r="DF260" s="5"/>
      <c r="DG260" s="5"/>
      <c r="DI260" s="5"/>
      <c r="DJ260" s="5"/>
      <c r="DK260" s="5"/>
      <c r="DL260" s="5"/>
      <c r="DN260" s="5"/>
      <c r="DO260" s="5"/>
      <c r="DP260" s="5"/>
      <c r="DQ260" s="5"/>
      <c r="DS260" s="5"/>
      <c r="DT260" s="5"/>
      <c r="DU260" s="5"/>
      <c r="DV260" s="5"/>
      <c r="DX260" s="5"/>
      <c r="DY260" s="5"/>
      <c r="DZ260" s="5"/>
      <c r="EA260" s="5"/>
      <c r="EC260" s="5"/>
      <c r="ED260" s="5"/>
      <c r="EE260" s="5"/>
      <c r="EF260" s="5"/>
      <c r="EH260" s="5"/>
      <c r="EI260" s="5"/>
      <c r="EJ260" s="5"/>
      <c r="EK260" s="5"/>
      <c r="ER260" s="855"/>
      <c r="EX260" s="203">
        <f t="shared" si="1"/>
        <v>0</v>
      </c>
    </row>
    <row r="261" spans="1:154" s="6" customFormat="1" ht="15" customHeight="1">
      <c r="A261" s="90" t="s">
        <v>319</v>
      </c>
      <c r="B261" s="210" t="s">
        <v>319</v>
      </c>
      <c r="C261" s="473" t="s">
        <v>515</v>
      </c>
      <c r="D261" s="138"/>
      <c r="E261" s="5"/>
      <c r="F261" s="5"/>
      <c r="G261" s="5"/>
      <c r="H261" s="5"/>
      <c r="I261" s="859">
        <f>C11/(1300)</f>
        <v>0</v>
      </c>
      <c r="J261" s="4"/>
      <c r="K261" s="658">
        <f>ROUNDDOWN(I261,0)*3</f>
        <v>0</v>
      </c>
      <c r="L261" s="4"/>
      <c r="M261" s="4"/>
      <c r="N261" s="4"/>
      <c r="O261" s="4"/>
      <c r="P261" s="4"/>
      <c r="Q261" s="4"/>
      <c r="R261" s="5"/>
      <c r="S261" s="5"/>
      <c r="U261" s="5"/>
      <c r="W261" s="5"/>
      <c r="X261" s="5"/>
      <c r="Y261" s="5"/>
      <c r="Z261" s="5"/>
      <c r="AB261" s="5"/>
      <c r="AC261" s="5"/>
      <c r="AD261" s="5"/>
      <c r="AE261" s="5"/>
      <c r="AG261" s="5"/>
      <c r="AH261" s="5"/>
      <c r="AI261" s="5"/>
      <c r="AJ261" s="5"/>
      <c r="AL261" s="5"/>
      <c r="AM261" s="5"/>
      <c r="AN261" s="5"/>
      <c r="AO261" s="5"/>
      <c r="AQ261" s="5"/>
      <c r="AR261" s="5"/>
      <c r="AS261" s="5"/>
      <c r="AT261" s="5"/>
      <c r="BD261" s="5"/>
      <c r="BF261" s="5"/>
      <c r="BG261" s="5"/>
      <c r="BH261" s="5"/>
      <c r="BI261" s="5"/>
      <c r="BM261" s="5"/>
      <c r="BN261" s="5"/>
      <c r="BP261" s="5"/>
      <c r="BQ261" s="5"/>
      <c r="BR261" s="5"/>
      <c r="BS261" s="5"/>
      <c r="BU261" s="5"/>
      <c r="BV261" s="5"/>
      <c r="BW261" s="5"/>
      <c r="BX261" s="5"/>
      <c r="BZ261" s="5"/>
      <c r="CA261" s="5"/>
      <c r="CB261" s="5"/>
      <c r="CC261" s="5"/>
      <c r="CE261" s="5"/>
      <c r="CF261" s="5"/>
      <c r="CG261" s="5"/>
      <c r="CH261" s="5"/>
      <c r="CO261" s="13"/>
      <c r="CP261" s="5"/>
      <c r="CQ261" s="5"/>
      <c r="CR261" s="5"/>
      <c r="CT261" s="5"/>
      <c r="CU261" s="5"/>
      <c r="CV261" s="5"/>
      <c r="CW261" s="5"/>
      <c r="CY261" s="5"/>
      <c r="CZ261" s="5"/>
      <c r="DA261" s="5"/>
      <c r="DB261" s="5"/>
      <c r="DD261" s="5"/>
      <c r="DE261" s="5"/>
      <c r="DF261" s="5"/>
      <c r="DG261" s="5"/>
      <c r="DI261" s="5"/>
      <c r="DJ261" s="5"/>
      <c r="DK261" s="5"/>
      <c r="DL261" s="5"/>
      <c r="DN261" s="5"/>
      <c r="DO261" s="5"/>
      <c r="DP261" s="5"/>
      <c r="DQ261" s="5"/>
      <c r="DS261" s="5"/>
      <c r="DT261" s="5"/>
      <c r="DU261" s="5"/>
      <c r="DV261" s="5"/>
      <c r="DX261" s="5"/>
      <c r="DY261" s="5"/>
      <c r="DZ261" s="5"/>
      <c r="EA261" s="5"/>
      <c r="EC261" s="5"/>
      <c r="ED261" s="5"/>
      <c r="EE261" s="5"/>
      <c r="EF261" s="5"/>
      <c r="EH261" s="5"/>
      <c r="EI261" s="5"/>
      <c r="EJ261" s="5"/>
      <c r="EK261" s="5"/>
      <c r="ER261" s="855"/>
      <c r="EX261" s="203">
        <f t="shared" si="1"/>
        <v>0</v>
      </c>
    </row>
    <row r="262" spans="1:154" s="6" customFormat="1" ht="15" customHeight="1">
      <c r="A262" s="90" t="s">
        <v>43</v>
      </c>
      <c r="B262" s="210" t="s">
        <v>43</v>
      </c>
      <c r="C262" s="473" t="s">
        <v>515</v>
      </c>
      <c r="D262" s="138"/>
      <c r="E262" s="5"/>
      <c r="F262" s="5"/>
      <c r="G262" s="5"/>
      <c r="H262" s="5"/>
      <c r="I262" s="4"/>
      <c r="J262" s="4"/>
      <c r="K262" s="4"/>
      <c r="L262" s="4"/>
      <c r="M262" s="4"/>
      <c r="N262" s="4"/>
      <c r="O262" s="4"/>
      <c r="P262" s="4"/>
      <c r="Q262" s="4"/>
      <c r="R262" s="5"/>
      <c r="S262" s="5"/>
      <c r="T262" s="6">
        <f>C18</f>
        <v>0</v>
      </c>
      <c r="U262" s="5"/>
      <c r="W262" s="5"/>
      <c r="X262" s="5"/>
      <c r="Y262" s="5"/>
      <c r="Z262" s="5"/>
      <c r="AB262" s="5"/>
      <c r="AC262" s="5"/>
      <c r="AD262" s="5"/>
      <c r="AE262" s="5"/>
      <c r="AG262" s="5"/>
      <c r="AH262" s="5"/>
      <c r="AI262" s="5"/>
      <c r="AJ262" s="5"/>
      <c r="AL262" s="5"/>
      <c r="AM262" s="5"/>
      <c r="AN262" s="5"/>
      <c r="AO262" s="5"/>
      <c r="AQ262" s="5"/>
      <c r="AR262" s="5"/>
      <c r="AS262" s="5"/>
      <c r="AT262" s="5"/>
      <c r="BD262" s="5"/>
      <c r="BF262" s="5"/>
      <c r="BG262" s="5"/>
      <c r="BH262" s="5"/>
      <c r="BI262" s="5"/>
      <c r="BM262" s="5"/>
      <c r="BN262" s="5"/>
      <c r="BP262" s="5"/>
      <c r="BQ262" s="5"/>
      <c r="BR262" s="5"/>
      <c r="BS262" s="5"/>
      <c r="BU262" s="5"/>
      <c r="BV262" s="5"/>
      <c r="BW262" s="5"/>
      <c r="BX262" s="5"/>
      <c r="BZ262" s="5"/>
      <c r="CA262" s="5"/>
      <c r="CB262" s="5"/>
      <c r="CC262" s="5"/>
      <c r="CE262" s="5"/>
      <c r="CF262" s="5"/>
      <c r="CG262" s="5"/>
      <c r="CH262" s="5"/>
      <c r="CO262" s="13"/>
      <c r="CP262" s="5"/>
      <c r="CQ262" s="5"/>
      <c r="CR262" s="5"/>
      <c r="CT262" s="5"/>
      <c r="CU262" s="5"/>
      <c r="CV262" s="5"/>
      <c r="CW262" s="5"/>
      <c r="CY262" s="5"/>
      <c r="CZ262" s="5"/>
      <c r="DA262" s="5"/>
      <c r="DB262" s="5"/>
      <c r="DD262" s="5"/>
      <c r="DE262" s="5"/>
      <c r="DF262" s="5"/>
      <c r="DG262" s="5"/>
      <c r="DI262" s="5"/>
      <c r="DJ262" s="5"/>
      <c r="DK262" s="5"/>
      <c r="DL262" s="5"/>
      <c r="DN262" s="5"/>
      <c r="DO262" s="5"/>
      <c r="DP262" s="5"/>
      <c r="DQ262" s="5"/>
      <c r="DS262" s="5"/>
      <c r="DT262" s="5"/>
      <c r="DU262" s="5"/>
      <c r="DV262" s="5"/>
      <c r="DX262" s="5"/>
      <c r="DY262" s="5"/>
      <c r="DZ262" s="5"/>
      <c r="EA262" s="5"/>
      <c r="EC262" s="5"/>
      <c r="ED262" s="5"/>
      <c r="EE262" s="5"/>
      <c r="EF262" s="5"/>
      <c r="EH262" s="5"/>
      <c r="EI262" s="5"/>
      <c r="EJ262" s="5"/>
      <c r="EK262" s="5"/>
      <c r="ER262" s="855"/>
      <c r="EX262" s="203">
        <f t="shared" si="1"/>
        <v>0</v>
      </c>
    </row>
    <row r="263" spans="1:154" s="6" customFormat="1" ht="15" customHeight="1">
      <c r="A263" s="90"/>
      <c r="B263" s="210" t="s">
        <v>512</v>
      </c>
      <c r="C263" s="473" t="s">
        <v>515</v>
      </c>
      <c r="D263" s="138"/>
      <c r="E263" s="5"/>
      <c r="F263" s="5"/>
      <c r="G263" s="5"/>
      <c r="H263" s="5"/>
      <c r="I263" s="4"/>
      <c r="J263" s="4"/>
      <c r="K263" s="4"/>
      <c r="L263" s="4"/>
      <c r="M263" s="4"/>
      <c r="N263" s="4"/>
      <c r="O263" s="4"/>
      <c r="P263" s="4"/>
      <c r="Q263" s="4"/>
      <c r="R263" s="5"/>
      <c r="S263" s="5"/>
      <c r="U263" s="5"/>
      <c r="W263" s="5"/>
      <c r="X263" s="5"/>
      <c r="Y263" s="5"/>
      <c r="Z263" s="5"/>
      <c r="AB263" s="5"/>
      <c r="AC263" s="5"/>
      <c r="AD263" s="5"/>
      <c r="AE263" s="5"/>
      <c r="AG263" s="5"/>
      <c r="AH263" s="5"/>
      <c r="AI263" s="5"/>
      <c r="AJ263" s="5"/>
      <c r="AL263" s="5"/>
      <c r="AM263" s="5"/>
      <c r="AN263" s="5"/>
      <c r="AO263" s="5"/>
      <c r="AQ263" s="5"/>
      <c r="AR263" s="5"/>
      <c r="AS263" s="5"/>
      <c r="AT263" s="5"/>
      <c r="BD263" s="5"/>
      <c r="BF263" s="5"/>
      <c r="BG263" s="5"/>
      <c r="BH263" s="5"/>
      <c r="BI263" s="5"/>
      <c r="BM263" s="5"/>
      <c r="BN263" s="5"/>
      <c r="BP263" s="5"/>
      <c r="BQ263" s="5"/>
      <c r="BR263" s="5"/>
      <c r="BS263" s="5"/>
      <c r="BU263" s="5"/>
      <c r="BV263" s="5"/>
      <c r="BW263" s="5"/>
      <c r="BX263" s="5"/>
      <c r="BZ263" s="5"/>
      <c r="CA263" s="5"/>
      <c r="CB263" s="5"/>
      <c r="CC263" s="5"/>
      <c r="CE263" s="5"/>
      <c r="CF263" s="5"/>
      <c r="CG263" s="5"/>
      <c r="CH263" s="5"/>
      <c r="CO263" s="13"/>
      <c r="CP263" s="5"/>
      <c r="CQ263" s="5"/>
      <c r="CR263" s="5"/>
      <c r="CT263" s="5"/>
      <c r="CU263" s="5"/>
      <c r="CV263" s="5"/>
      <c r="CW263" s="5"/>
      <c r="CY263" s="5"/>
      <c r="CZ263" s="5"/>
      <c r="DA263" s="5"/>
      <c r="DB263" s="5"/>
      <c r="DD263" s="5"/>
      <c r="DE263" s="5"/>
      <c r="DF263" s="5"/>
      <c r="DG263" s="5"/>
      <c r="DI263" s="5"/>
      <c r="DJ263" s="5"/>
      <c r="DK263" s="5"/>
      <c r="DL263" s="5"/>
      <c r="DN263" s="5"/>
      <c r="DO263" s="5"/>
      <c r="DP263" s="5"/>
      <c r="DQ263" s="5"/>
      <c r="DS263" s="5"/>
      <c r="DT263" s="5"/>
      <c r="DU263" s="5"/>
      <c r="DV263" s="5"/>
      <c r="DX263" s="5"/>
      <c r="DY263" s="5"/>
      <c r="DZ263" s="5"/>
      <c r="EA263" s="5"/>
      <c r="EC263" s="5"/>
      <c r="ED263" s="5"/>
      <c r="EE263" s="5"/>
      <c r="EF263" s="5"/>
      <c r="EH263" s="5"/>
      <c r="EI263" s="5"/>
      <c r="EJ263" s="5"/>
      <c r="EK263" s="5"/>
      <c r="ER263" s="855"/>
      <c r="EX263" s="203">
        <f t="shared" si="1"/>
        <v>0</v>
      </c>
    </row>
    <row r="264" spans="1:154" s="6" customFormat="1" ht="15" customHeight="1">
      <c r="A264" s="90"/>
      <c r="B264" s="210" t="s">
        <v>1473</v>
      </c>
      <c r="C264" s="473" t="s">
        <v>0</v>
      </c>
      <c r="D264" s="138"/>
      <c r="E264" s="5"/>
      <c r="F264" s="5"/>
      <c r="G264" s="5"/>
      <c r="H264" s="5"/>
      <c r="I264" s="4"/>
      <c r="J264" s="4"/>
      <c r="K264" s="4"/>
      <c r="L264" s="4"/>
      <c r="M264" s="4"/>
      <c r="N264" s="4"/>
      <c r="O264" s="4"/>
      <c r="P264" s="4"/>
      <c r="Q264" s="4"/>
      <c r="R264" s="5"/>
      <c r="S264" s="5"/>
      <c r="U264" s="5"/>
      <c r="W264" s="5"/>
      <c r="X264" s="5"/>
      <c r="Y264" s="5"/>
      <c r="Z264" s="5"/>
      <c r="AB264" s="5"/>
      <c r="AC264" s="5"/>
      <c r="AD264" s="5"/>
      <c r="AE264" s="5"/>
      <c r="AG264" s="5"/>
      <c r="AH264" s="5"/>
      <c r="AI264" s="5"/>
      <c r="AJ264" s="5"/>
      <c r="AL264" s="5"/>
      <c r="AM264" s="5"/>
      <c r="AN264" s="5"/>
      <c r="AO264" s="5"/>
      <c r="AQ264" s="5"/>
      <c r="AR264" s="5"/>
      <c r="AS264" s="5"/>
      <c r="AT264" s="5"/>
      <c r="BD264" s="5"/>
      <c r="BF264" s="5"/>
      <c r="BG264" s="5"/>
      <c r="BH264" s="5"/>
      <c r="BI264" s="5"/>
      <c r="BM264" s="5"/>
      <c r="BN264" s="5"/>
      <c r="BP264" s="5"/>
      <c r="BQ264" s="5"/>
      <c r="BR264" s="5"/>
      <c r="BS264" s="5"/>
      <c r="BU264" s="5">
        <v>4</v>
      </c>
      <c r="BV264" s="5">
        <f>SUM(BV5:BV26,BW5:BW26,BX5:BX26)*BU264</f>
        <v>0</v>
      </c>
      <c r="BW264" s="5"/>
      <c r="BX264" s="5"/>
      <c r="BZ264" s="5"/>
      <c r="CA264" s="5"/>
      <c r="CB264" s="5"/>
      <c r="CC264" s="5"/>
      <c r="CE264" s="5"/>
      <c r="CF264" s="5"/>
      <c r="CG264" s="5"/>
      <c r="CH264" s="5"/>
      <c r="CO264" s="13"/>
      <c r="CP264" s="5"/>
      <c r="CQ264" s="5"/>
      <c r="CR264" s="5"/>
      <c r="CT264" s="5"/>
      <c r="CU264" s="5"/>
      <c r="CV264" s="5"/>
      <c r="CW264" s="5"/>
      <c r="CY264" s="5">
        <v>4</v>
      </c>
      <c r="CZ264" s="5">
        <f>SUM(CZ5:CZ26,DA5:DA26,DB5:DB26)*CY264</f>
        <v>0</v>
      </c>
      <c r="DA264" s="5"/>
      <c r="DB264" s="5"/>
      <c r="DD264" s="5"/>
      <c r="DE264" s="5"/>
      <c r="DF264" s="5"/>
      <c r="DG264" s="5"/>
      <c r="DI264" s="5"/>
      <c r="DJ264" s="5"/>
      <c r="DK264" s="5"/>
      <c r="DL264" s="5"/>
      <c r="DN264" s="5"/>
      <c r="DO264" s="5"/>
      <c r="DP264" s="5"/>
      <c r="DQ264" s="5"/>
      <c r="DS264" s="5"/>
      <c r="DT264" s="5"/>
      <c r="DU264" s="5"/>
      <c r="DV264" s="5"/>
      <c r="DX264" s="5"/>
      <c r="DY264" s="5"/>
      <c r="DZ264" s="5"/>
      <c r="EA264" s="5"/>
      <c r="EC264" s="5"/>
      <c r="ED264" s="5"/>
      <c r="EE264" s="5"/>
      <c r="EF264" s="5"/>
      <c r="EH264" s="5"/>
      <c r="EI264" s="5"/>
      <c r="EJ264" s="5"/>
      <c r="EK264" s="5"/>
      <c r="ER264" s="855"/>
      <c r="EX264" s="203">
        <f t="shared" si="1"/>
        <v>0</v>
      </c>
    </row>
    <row r="265" spans="1:154" s="6" customFormat="1" ht="15" customHeight="1">
      <c r="A265" s="90" t="s">
        <v>51</v>
      </c>
      <c r="B265" s="210" t="s">
        <v>51</v>
      </c>
      <c r="C265" s="473" t="s">
        <v>516</v>
      </c>
      <c r="D265" s="138"/>
      <c r="E265" s="5"/>
      <c r="F265" s="5"/>
      <c r="G265" s="5"/>
      <c r="H265" s="5"/>
      <c r="I265" s="4"/>
      <c r="J265" s="4"/>
      <c r="K265" s="4"/>
      <c r="L265" s="4"/>
      <c r="M265" s="4"/>
      <c r="N265" s="4"/>
      <c r="O265" s="4"/>
      <c r="P265" s="4"/>
      <c r="Q265" s="4"/>
      <c r="R265" s="5"/>
      <c r="S265" s="5"/>
      <c r="U265" s="5"/>
      <c r="W265" s="5"/>
      <c r="X265" s="5"/>
      <c r="Y265" s="5"/>
      <c r="Z265" s="5"/>
      <c r="AB265" s="5"/>
      <c r="AC265" s="5"/>
      <c r="AD265" s="5"/>
      <c r="AE265" s="5"/>
      <c r="AG265" s="5"/>
      <c r="AH265" s="5"/>
      <c r="AI265" s="5"/>
      <c r="AJ265" s="5"/>
      <c r="AL265" s="5"/>
      <c r="AM265" s="5"/>
      <c r="AN265" s="5"/>
      <c r="AO265" s="5"/>
      <c r="AQ265" s="5"/>
      <c r="AR265" s="5"/>
      <c r="AS265" s="5"/>
      <c r="AT265" s="5"/>
      <c r="BD265" s="5"/>
      <c r="BF265" s="5"/>
      <c r="BG265" s="5"/>
      <c r="BH265" s="5"/>
      <c r="BI265" s="5"/>
      <c r="BM265" s="5"/>
      <c r="BN265" s="5"/>
      <c r="BP265" s="5"/>
      <c r="BQ265" s="5"/>
      <c r="BR265" s="5"/>
      <c r="BS265" s="5"/>
      <c r="BU265" s="5"/>
      <c r="BV265" s="5"/>
      <c r="BW265" s="5"/>
      <c r="BX265" s="5"/>
      <c r="BZ265" s="5"/>
      <c r="CA265" s="5"/>
      <c r="CB265" s="5"/>
      <c r="CC265" s="5"/>
      <c r="CE265" s="5"/>
      <c r="CF265" s="5"/>
      <c r="CG265" s="5"/>
      <c r="CH265" s="5"/>
      <c r="CO265" s="13"/>
      <c r="CP265" s="5"/>
      <c r="CQ265" s="5"/>
      <c r="CR265" s="5"/>
      <c r="CT265" s="5"/>
      <c r="CU265" s="5"/>
      <c r="CV265" s="5"/>
      <c r="CW265" s="5"/>
      <c r="CY265" s="5"/>
      <c r="CZ265" s="5"/>
      <c r="DA265" s="5"/>
      <c r="DB265" s="5"/>
      <c r="DD265" s="5"/>
      <c r="DE265" s="5"/>
      <c r="DF265" s="5"/>
      <c r="DG265" s="5"/>
      <c r="DI265" s="5"/>
      <c r="DJ265" s="5"/>
      <c r="DK265" s="5"/>
      <c r="DL265" s="5"/>
      <c r="DN265" s="5"/>
      <c r="DO265" s="5"/>
      <c r="DP265" s="5"/>
      <c r="DQ265" s="5"/>
      <c r="DS265" s="5"/>
      <c r="DT265" s="5"/>
      <c r="DU265" s="5"/>
      <c r="DV265" s="5"/>
      <c r="DX265" s="5"/>
      <c r="DY265" s="5"/>
      <c r="DZ265" s="5"/>
      <c r="EA265" s="5"/>
      <c r="EC265" s="5"/>
      <c r="ED265" s="5"/>
      <c r="EE265" s="5"/>
      <c r="EF265" s="5"/>
      <c r="EH265" s="5"/>
      <c r="EI265" s="5"/>
      <c r="EJ265" s="5"/>
      <c r="EK265" s="5"/>
      <c r="ER265" s="855"/>
      <c r="EX265" s="203">
        <f t="shared" si="1"/>
        <v>0</v>
      </c>
    </row>
    <row r="266" spans="1:154" s="6" customFormat="1" ht="15" customHeight="1">
      <c r="A266" s="90"/>
      <c r="B266" s="210" t="s">
        <v>507</v>
      </c>
      <c r="C266" s="473" t="s">
        <v>386</v>
      </c>
      <c r="D266" s="138"/>
      <c r="E266" s="6">
        <v>1</v>
      </c>
      <c r="F266" s="6">
        <f>SUM(F5:F26,G5:G26,H5:H26)*E266</f>
        <v>0</v>
      </c>
      <c r="I266" s="138"/>
      <c r="J266" s="4"/>
      <c r="K266" s="4"/>
      <c r="L266" s="138"/>
      <c r="M266" s="198"/>
      <c r="N266" s="198"/>
      <c r="O266" s="198"/>
      <c r="P266" s="198"/>
      <c r="Q266" s="138"/>
      <c r="BP266" s="6">
        <v>1</v>
      </c>
      <c r="BQ266" s="6">
        <f>SUM(BQ5:BQ26,BR5:BR26,BS5:BS26)*BP266</f>
        <v>0</v>
      </c>
      <c r="BU266" s="6">
        <v>1</v>
      </c>
      <c r="BV266" s="6">
        <f>SUM(BV5:BV26,BW5:BW26,BX5:BX26)*BU266-BQ182</f>
        <v>0</v>
      </c>
      <c r="CE266" s="6">
        <v>1</v>
      </c>
      <c r="CF266" s="6">
        <f>SUM(CF5:CF26,CG5:CG26,CH5:CH26)*CE266</f>
        <v>0</v>
      </c>
      <c r="CT266" s="6">
        <v>1</v>
      </c>
      <c r="CU266" s="6">
        <f>SUM(CU5:CU26,CV5:CV26,CW5:CW26)*CT266-CU182</f>
        <v>0</v>
      </c>
      <c r="CY266" s="6">
        <v>1</v>
      </c>
      <c r="CZ266" s="6">
        <f>SUM(CZ5:CZ26,DA5:DA26,DB5:DB26)*CY266-CU182</f>
        <v>0</v>
      </c>
      <c r="DI266" s="6">
        <v>1</v>
      </c>
      <c r="DJ266" s="6">
        <f>SUM(DJ5:DJ26,DK5:DK26,DL5:DL26)*DI266</f>
        <v>0</v>
      </c>
      <c r="DN266" s="6">
        <v>1</v>
      </c>
      <c r="DO266" s="6">
        <f>SUM(DO5:DO26,DP5:DP26,DQ5:DQ26)*DN266</f>
        <v>0</v>
      </c>
      <c r="DS266" s="6">
        <v>1</v>
      </c>
      <c r="DT266" s="6">
        <f>SUM(DT5:DT26,DU5:DU26,DV5:DV26)*DS266</f>
        <v>0</v>
      </c>
      <c r="DX266" s="6">
        <v>1</v>
      </c>
      <c r="DY266" s="6">
        <f>SUM(DY5:DY26,DZ5:DZ26,EA5:EA26)*DX266</f>
        <v>0</v>
      </c>
      <c r="EC266" s="6">
        <v>1</v>
      </c>
      <c r="ED266" s="6">
        <f>SUM(ED5:ED26,EE5:EE26,EF5:EF26)*EC266</f>
        <v>0</v>
      </c>
      <c r="EH266" s="6">
        <v>1</v>
      </c>
      <c r="EI266" s="6">
        <f>SUM(EI5:EI26,EJ5:EJ26,EK5:EK26)*EH266</f>
        <v>0</v>
      </c>
      <c r="ER266" s="855"/>
      <c r="EX266" s="203">
        <f t="shared" si="1"/>
        <v>0</v>
      </c>
    </row>
    <row r="267" spans="1:154" s="6" customFormat="1" ht="15" customHeight="1">
      <c r="A267" s="90"/>
      <c r="B267" s="210" t="s">
        <v>1510</v>
      </c>
      <c r="C267" s="473" t="s">
        <v>386</v>
      </c>
      <c r="D267" s="138"/>
      <c r="I267" s="138"/>
      <c r="J267" s="4"/>
      <c r="K267" s="4"/>
      <c r="L267" s="138"/>
      <c r="M267" s="198"/>
      <c r="N267" s="198"/>
      <c r="O267" s="198"/>
      <c r="P267" s="198"/>
      <c r="Q267" s="138"/>
      <c r="ER267" s="855"/>
      <c r="EX267" s="203">
        <f t="shared" si="1"/>
        <v>0</v>
      </c>
    </row>
    <row r="268" spans="1:154" s="6" customFormat="1" ht="15" customHeight="1">
      <c r="A268" s="90" t="s">
        <v>13</v>
      </c>
      <c r="B268" s="210" t="s">
        <v>13</v>
      </c>
      <c r="C268" s="473" t="s">
        <v>515</v>
      </c>
      <c r="D268" s="138"/>
      <c r="E268" s="40"/>
      <c r="F268" s="40"/>
      <c r="G268" s="40"/>
      <c r="H268" s="40"/>
      <c r="I268" s="4"/>
      <c r="J268" s="4"/>
      <c r="K268" s="4"/>
      <c r="L268" s="4"/>
      <c r="M268" s="4"/>
      <c r="N268" s="4"/>
      <c r="O268" s="4"/>
      <c r="P268" s="4"/>
      <c r="Q268" s="4"/>
      <c r="R268" s="40"/>
      <c r="S268" s="41"/>
      <c r="T268" s="140"/>
      <c r="U268" s="41"/>
      <c r="W268" s="40"/>
      <c r="X268" s="41"/>
      <c r="Y268" s="41"/>
      <c r="Z268" s="41"/>
      <c r="AB268" s="40"/>
      <c r="AC268" s="41"/>
      <c r="AD268" s="41"/>
      <c r="AE268" s="41"/>
      <c r="AG268" s="40"/>
      <c r="AH268" s="41"/>
      <c r="AI268" s="41"/>
      <c r="AJ268" s="41"/>
      <c r="AL268" s="40"/>
      <c r="AM268" s="41"/>
      <c r="AN268" s="41"/>
      <c r="AO268" s="41"/>
      <c r="AQ268" s="40"/>
      <c r="AR268" s="41"/>
      <c r="AS268" s="41"/>
      <c r="AT268" s="41"/>
      <c r="AV268" s="139"/>
      <c r="AW268" s="139"/>
      <c r="AX268" s="139"/>
      <c r="AY268" s="140"/>
      <c r="BA268" s="139"/>
      <c r="BB268" s="139"/>
      <c r="BC268" s="139"/>
      <c r="BD268" s="41"/>
      <c r="BF268" s="40"/>
      <c r="BG268" s="40"/>
      <c r="BH268" s="40"/>
      <c r="BI268" s="41"/>
      <c r="BK268" s="139"/>
      <c r="BL268" s="139"/>
      <c r="BM268" s="40"/>
      <c r="BN268" s="41"/>
      <c r="BP268" s="40"/>
      <c r="BQ268" s="40"/>
      <c r="BR268" s="40"/>
      <c r="BS268" s="41"/>
      <c r="BU268" s="40"/>
      <c r="BV268" s="40"/>
      <c r="BW268" s="40"/>
      <c r="BX268" s="41"/>
      <c r="BZ268" s="40"/>
      <c r="CA268" s="40"/>
      <c r="CB268" s="40"/>
      <c r="CC268" s="41"/>
      <c r="CD268" s="140"/>
      <c r="CE268" s="40"/>
      <c r="CF268" s="40"/>
      <c r="CG268" s="40"/>
      <c r="CH268" s="41"/>
      <c r="CJ268" s="139"/>
      <c r="CK268" s="139"/>
      <c r="CL268" s="139"/>
      <c r="CM268" s="140"/>
      <c r="CO268" s="222"/>
      <c r="CP268" s="40"/>
      <c r="CQ268" s="40"/>
      <c r="CR268" s="41"/>
      <c r="CT268" s="40"/>
      <c r="CU268" s="40"/>
      <c r="CV268" s="40"/>
      <c r="CW268" s="41"/>
      <c r="CY268" s="40"/>
      <c r="CZ268" s="40"/>
      <c r="DA268" s="40"/>
      <c r="DB268" s="41"/>
      <c r="DD268" s="40"/>
      <c r="DE268" s="40"/>
      <c r="DF268" s="40"/>
      <c r="DG268" s="41"/>
      <c r="DI268" s="64"/>
      <c r="DJ268" s="64"/>
      <c r="DK268" s="64"/>
      <c r="DL268" s="64"/>
      <c r="DN268" s="64"/>
      <c r="DO268" s="64"/>
      <c r="DP268" s="64"/>
      <c r="DQ268" s="64"/>
      <c r="DS268" s="64"/>
      <c r="DT268" s="64"/>
      <c r="DU268" s="64"/>
      <c r="DV268" s="64"/>
      <c r="DX268" s="64"/>
      <c r="DY268" s="64"/>
      <c r="DZ268" s="64"/>
      <c r="EA268" s="64"/>
      <c r="EC268" s="64"/>
      <c r="ED268" s="64"/>
      <c r="EE268" s="64"/>
      <c r="EF268" s="64"/>
      <c r="EH268" s="64"/>
      <c r="EI268" s="64"/>
      <c r="EJ268" s="64"/>
      <c r="EK268" s="64"/>
      <c r="ER268" s="855"/>
      <c r="EX268" s="203">
        <f t="shared" si="1"/>
        <v>0</v>
      </c>
    </row>
    <row r="269" spans="1:154" s="6" customFormat="1" ht="15" customHeight="1">
      <c r="A269" s="90" t="s">
        <v>14</v>
      </c>
      <c r="B269" s="210" t="s">
        <v>174</v>
      </c>
      <c r="C269" s="473" t="s">
        <v>515</v>
      </c>
      <c r="D269" s="138"/>
      <c r="E269" s="40"/>
      <c r="F269" s="40"/>
      <c r="G269" s="40"/>
      <c r="H269" s="40"/>
      <c r="I269" s="4"/>
      <c r="J269" s="4"/>
      <c r="K269" s="4"/>
      <c r="L269" s="4"/>
      <c r="M269" s="4"/>
      <c r="N269" s="4"/>
      <c r="O269" s="4"/>
      <c r="P269" s="4"/>
      <c r="Q269" s="4"/>
      <c r="R269" s="40"/>
      <c r="S269" s="41"/>
      <c r="T269" s="140"/>
      <c r="U269" s="41"/>
      <c r="W269" s="40"/>
      <c r="X269" s="41"/>
      <c r="Y269" s="41"/>
      <c r="Z269" s="41"/>
      <c r="AB269" s="40"/>
      <c r="AC269" s="41"/>
      <c r="AD269" s="41"/>
      <c r="AE269" s="41"/>
      <c r="AG269" s="40"/>
      <c r="AH269" s="41"/>
      <c r="AI269" s="41"/>
      <c r="AJ269" s="41"/>
      <c r="AL269" s="40"/>
      <c r="AM269" s="41"/>
      <c r="AN269" s="41"/>
      <c r="AO269" s="41"/>
      <c r="AQ269" s="40"/>
      <c r="AR269" s="41"/>
      <c r="AS269" s="41"/>
      <c r="AT269" s="41"/>
      <c r="AV269" s="139"/>
      <c r="AW269" s="139"/>
      <c r="AX269" s="139"/>
      <c r="AY269" s="140"/>
      <c r="BA269" s="139"/>
      <c r="BB269" s="139"/>
      <c r="BC269" s="139"/>
      <c r="BD269" s="41"/>
      <c r="BF269" s="40"/>
      <c r="BG269" s="40"/>
      <c r="BH269" s="40"/>
      <c r="BI269" s="41"/>
      <c r="BK269" s="139"/>
      <c r="BL269" s="139"/>
      <c r="BM269" s="40"/>
      <c r="BN269" s="41"/>
      <c r="BP269" s="40"/>
      <c r="BQ269" s="40"/>
      <c r="BR269" s="40"/>
      <c r="BS269" s="41"/>
      <c r="BU269" s="40"/>
      <c r="BV269" s="40"/>
      <c r="BW269" s="40"/>
      <c r="BX269" s="41"/>
      <c r="BZ269" s="40"/>
      <c r="CA269" s="40"/>
      <c r="CB269" s="40"/>
      <c r="CC269" s="41"/>
      <c r="CD269" s="140"/>
      <c r="CE269" s="40"/>
      <c r="CF269" s="40"/>
      <c r="CG269" s="40"/>
      <c r="CH269" s="41"/>
      <c r="CJ269" s="139"/>
      <c r="CK269" s="139"/>
      <c r="CL269" s="139"/>
      <c r="CM269" s="140"/>
      <c r="CO269" s="222"/>
      <c r="CP269" s="40"/>
      <c r="CQ269" s="40"/>
      <c r="CR269" s="41"/>
      <c r="CT269" s="40"/>
      <c r="CU269" s="40"/>
      <c r="CV269" s="40"/>
      <c r="CW269" s="41"/>
      <c r="CY269" s="40"/>
      <c r="CZ269" s="40"/>
      <c r="DA269" s="40"/>
      <c r="DB269" s="41"/>
      <c r="DD269" s="40"/>
      <c r="DE269" s="40"/>
      <c r="DF269" s="40"/>
      <c r="DG269" s="41"/>
      <c r="DI269" s="64"/>
      <c r="DJ269" s="64"/>
      <c r="DK269" s="64"/>
      <c r="DL269" s="64"/>
      <c r="DN269" s="64"/>
      <c r="DO269" s="64"/>
      <c r="DP269" s="64"/>
      <c r="DQ269" s="64"/>
      <c r="DS269" s="64"/>
      <c r="DT269" s="64"/>
      <c r="DU269" s="64"/>
      <c r="DV269" s="64"/>
      <c r="DX269" s="64"/>
      <c r="DY269" s="64"/>
      <c r="DZ269" s="64"/>
      <c r="EA269" s="64"/>
      <c r="EC269" s="64"/>
      <c r="ED269" s="64"/>
      <c r="EE269" s="64"/>
      <c r="EF269" s="64"/>
      <c r="EH269" s="64"/>
      <c r="EI269" s="64"/>
      <c r="EJ269" s="64"/>
      <c r="EK269" s="64"/>
      <c r="ER269" s="855"/>
      <c r="EX269" s="203">
        <f t="shared" si="1"/>
        <v>0</v>
      </c>
    </row>
    <row r="270" spans="1:154" s="6" customFormat="1" ht="15" customHeight="1">
      <c r="A270" s="90" t="s">
        <v>15</v>
      </c>
      <c r="B270" s="210" t="s">
        <v>15</v>
      </c>
      <c r="C270" s="473" t="s">
        <v>515</v>
      </c>
      <c r="D270" s="138"/>
      <c r="E270" s="62"/>
      <c r="F270" s="41"/>
      <c r="G270" s="41"/>
      <c r="H270" s="41"/>
      <c r="I270" s="4"/>
      <c r="J270" s="4"/>
      <c r="K270" s="4"/>
      <c r="L270" s="4"/>
      <c r="M270" s="658">
        <v>6</v>
      </c>
      <c r="N270" s="658">
        <f>SUM(N5:N26,O5:O26,P5:P26)*M270</f>
        <v>0</v>
      </c>
      <c r="O270" s="4"/>
      <c r="P270" s="4"/>
      <c r="Q270" s="4"/>
      <c r="R270" s="40"/>
      <c r="S270" s="41"/>
      <c r="T270" s="140"/>
      <c r="U270" s="41"/>
      <c r="W270" s="40"/>
      <c r="X270" s="41"/>
      <c r="Y270" s="41"/>
      <c r="Z270" s="41"/>
      <c r="AB270" s="40"/>
      <c r="AC270" s="41"/>
      <c r="AD270" s="41"/>
      <c r="AE270" s="41"/>
      <c r="AG270" s="46">
        <v>3</v>
      </c>
      <c r="AH270" s="41">
        <f>AH5*AG270+AH6*AG270+AH7*AG270+AH8*AG270+AH9*AG270+AH10*AG270+AH11*AG270+AH12*AG270+AH13*AG270+AH14*AG270+AH15*AG270+AH16*AG270+AH17*AG270+AH18*AG270+AH19*AG270+AH20*AG270+AH21*AG270+AH22*AG270+AH23*AG270+AH24*AG270+AH25*AG270+AH26*AG270+AI5*AG270+AI6*AG270+AI7*AG270+AI8*AG270+AI9*AG270+AI10*AG270+AI11*AG270+AI12*AG270+AI13*AG270+AI14*AG270+AI15*AG270+AI16*AG270+AI17*AG270+AI18*AG270+AI19*AG270+AI20*AG270+AI21*AG270+AI22*AG270+AI23*AG270+AI24*AG270+AI25*AG270+AI26*AG270+AJ5*AG270+AJ6*AG270+AJ7*AG270+AJ8*AG270+AJ9*AG270+AJ10*AG270+AJ11*AG270+AJ12*AG270+AJ13*AG270+AJ14*AG270+AJ15*AG270+AJ16*AG270+AJ17*AG270+AJ18*AG270+AJ19*AG270+AJ20*AG270+AJ21*AG270+AJ22*AG270+AJ23*AG270+AJ24*AG270+AJ25*AG270+AJ26*AG270</f>
        <v>0</v>
      </c>
      <c r="AI270" s="41"/>
      <c r="AJ270" s="41"/>
      <c r="AL270" s="46">
        <v>6</v>
      </c>
      <c r="AM270" s="41">
        <f>AM5*AL270+AM6*AL270+AM7*AL270+AM8*AL270+AM9*AL270+AM10*AL270+AM11*AL270+AM12*AL270+AM13*AL270+AM14*AL270+AM15*AL270+AM16*AL270+AM17*AL270+AM18*AL270+AM19*AL270+AM20*AL270+AM21*AL270+AM22*AL270+AM23*AL270+AM24*AL270+AM25*AL270+AM26*AL270+AN5*AL270+AN6*AL270+AN7*AL270+AN8*AL270+AN9*AL270+AN10*AL270+AN11*AL270+AN12*AL270+AN13*AL270+AN14*AL270+AN15*AL270+AN16*AL270+AN17*AL270+AN18*AL270+AN19*AL270+AN20*AL270+AN21*AL270+AN22*AL270+AN23*AL270+AN24*AL270+AN25*AL270+AN26*AL270+AO5*AL270+AO6*AL270+AO7*AL270+AO8*AL270+AO9*AL270+AO10*AL270+AO11*AL270+AO12*AL270+AO13*AL270+AO14*AL270+AO15*AL270+AO16*AL270+AO17*AL270+AO18*AL270+AO19*AL270+AO20*AL270+AO21*AL270+AO22*AL270+AO23*AL270+AO24*AL270+AO25*AL270+AO26*AL270</f>
        <v>0</v>
      </c>
      <c r="AN270" s="41"/>
      <c r="AO270" s="41"/>
      <c r="AQ270" s="49">
        <v>6</v>
      </c>
      <c r="AR270" s="41">
        <f>AR5*AQ270+AR6*AQ270+AR7*AQ270+AR8*AQ270+AR9*AQ270+AR10*AQ270+AR11*AQ270+AR12*AQ270+AR13*AQ270+AR14*AQ270+AR15*AQ270+AR16*AQ270+AR17*AQ270+AR18*AQ270+AR19*AQ270+AR20*AQ270+AR21*AQ270+AR22*AQ270+AR23*AQ270+AR24*AQ270+AR25*AQ270+AR26*AQ270+AS5*AQ270+AS6*AQ270+AS7*AQ270+AS8*AQ270+AS9*AQ270+AS10*AQ270+AS11*AQ270+AS12*AQ270+AS13*AQ270+AS14*AQ270+AS15*AQ270+AS16*AQ270+AS17*AQ270+AS18*AQ270+AS19*AQ270+AS20*AQ270+AS21*AQ270+AS22*AQ270+AS23*AQ270+AS24*AQ270+AS25*AQ270+AS26*AQ270+AT5*AQ270+AT6*AQ270+AT7*AQ270+AT8*AQ270+AT9*AQ270+AT10*AQ270+AT11*AQ270+AT12*AQ270+AT13*AQ270+AT14*AQ270+AT15*AQ270+AT16*AQ270+AT17*AQ270+AT18*AQ270+AT19*AQ270+AT20*AQ270+AT21*AQ270+AT22*AQ270+AT23*AQ270+AT24*AQ270+AT25*AQ270+AT26*AQ270</f>
        <v>0</v>
      </c>
      <c r="AS270" s="41"/>
      <c r="AT270" s="41"/>
      <c r="AV270" s="139"/>
      <c r="AW270" s="139"/>
      <c r="AX270" s="139"/>
      <c r="AY270" s="140"/>
      <c r="BA270" s="139"/>
      <c r="BB270" s="139"/>
      <c r="BC270" s="139"/>
      <c r="BD270" s="41"/>
      <c r="BF270" s="60">
        <v>3</v>
      </c>
      <c r="BG270" s="41">
        <f>SUM(BG5:BG26,BH5:BH26,BI5:BI26)*BF270</f>
        <v>0</v>
      </c>
      <c r="BH270" s="40"/>
      <c r="BI270" s="41"/>
      <c r="BK270" s="142">
        <v>3</v>
      </c>
      <c r="BL270" s="140">
        <f>SUM(BL5:BL26,BM5:BM26,BN5:BN26)*BK270</f>
        <v>0</v>
      </c>
      <c r="BM270" s="40"/>
      <c r="BN270" s="41"/>
      <c r="BP270" s="62">
        <v>3</v>
      </c>
      <c r="BQ270" s="41">
        <f>SUM(BQ5:BQ26,BR5:BR26,BS5:BS26)*BP270</f>
        <v>0</v>
      </c>
      <c r="BR270" s="40"/>
      <c r="BS270" s="41"/>
      <c r="BU270" s="62">
        <v>6</v>
      </c>
      <c r="BV270" s="41">
        <f>SUM(BV5:BV26,BW5:BW26,BX5:BX26)*BU270</f>
        <v>0</v>
      </c>
      <c r="BW270" s="40"/>
      <c r="BX270" s="41"/>
      <c r="BZ270" s="61">
        <v>6</v>
      </c>
      <c r="CA270" s="41">
        <f>SUM(CA5:CA26,CB5:CB26,CC5:CC26)*BZ270</f>
        <v>0</v>
      </c>
      <c r="CB270" s="40"/>
      <c r="CC270" s="41"/>
      <c r="CD270" s="140"/>
      <c r="CE270" s="61">
        <v>6</v>
      </c>
      <c r="CF270" s="41">
        <f>SUM(CF5:CF26,CG5:CG26,CH5:CH26)*CE270</f>
        <v>0</v>
      </c>
      <c r="CG270" s="40"/>
      <c r="CH270" s="41"/>
      <c r="CJ270" s="141">
        <v>3</v>
      </c>
      <c r="CK270" s="140">
        <f>CK5*CJ270+CK6*CJ270+CK7*CJ270+CK8*CJ270+CK9*CJ270+CK10*CJ270+CK11*CJ270+CK12*CJ270+CK13*CJ270+CK14*CJ270+CK15*CJ270+CK16*CJ270+CK17*CJ270+CK18*CJ270+CK19*CJ270+CK20*CJ270+CK21*CJ270+CK22*CJ270+CK23*CJ270+CK24*CJ270+CK25*CJ270+CK26*CJ270+CL5*CJ270+CL6*CJ270+CL7*CJ270+CL8*CJ270+CL9*CJ270+CL10*CJ270+CL11*CJ270+CL12*CJ270+CL13*CJ270+CL14*CJ270+CL15*CJ270+CL16*CJ270+CL17*CJ270+CL18*CJ270+CL19*CJ270+CL20*CJ270+CL21*CJ270+CL22*CJ270+CL23*CJ270+CL24*CJ270+CL25*CJ270+CL26*CJ270+CM5*CJ270+CM6*CJ270+CM7*CJ270+CM8*CJ270+CM9*CJ270+CM10*CJ270+CM11*CJ270+CM12*CJ270+CM13*CJ270+CM14*CJ270+CM15*CJ270+CM16*CJ270+CM17*CJ270+CM18*CJ270+CM19*CJ270+CM20*CJ270+CM21*CJ270+CM22*CJ270+CM23*CJ270+CM24*CJ270+CM25*CJ270+CM26*CJ270</f>
        <v>0</v>
      </c>
      <c r="CL270" s="139"/>
      <c r="CM270" s="140"/>
      <c r="CO270" s="223">
        <v>6</v>
      </c>
      <c r="CP270" s="41">
        <f>CP5*CO270+CP6*CO270+CP7*CO270+CP8*CO270+CP9*CO270+CP10*CO270+CP11*CO270+CP12*CO270+CP13*CO270+CP14*CO270+CP15*CO270+CP16*CO270+CP17*CO270+CP18*CO270+CP19*CO270+CP20*CO270+CP21*CO270+CP22*CO270+CP23*CO270+CP24*CO270+CP25*CO270+CP26*CO270+CQ5*CO270+CQ6*CO270+CQ7*CO270+CQ8*CO270+CQ9*CO270+CQ10*CO270+CQ11*CO270+CQ12*CO270+CQ13*CO270+CQ14*CO270+CQ15*CO270+CQ16*CO270+CQ17*CO270+CQ18*CO270+CQ19*CO270+CQ20*CO270+CQ21*CO270+CQ22*CO270+CQ23*CO270+CQ24*CO270+CQ25*CO270+CQ26*CO270+CR5*CO270+CR6*CO270+CR7*CO270+CR8*CO270+CR9*CO270+CR10*CO270+CR11*CO270+CR12*CO270+CR13*CO270+CR14*CO270+CR15*CO270+CR16*CO270+CR17*CO270+CR18*CO270+CR19*CO270+CR20*CO270+CR21*CO270+CR22*CO270+CR23*CO270+CR24*CO270+CR25*CO270+CR26*CO270</f>
        <v>0</v>
      </c>
      <c r="CQ270" s="40"/>
      <c r="CR270" s="41"/>
      <c r="CT270" s="62">
        <v>6</v>
      </c>
      <c r="CU270" s="41">
        <f>SUM(CU5:CU26,CV5:CV26,CW5:CW26)*CT270</f>
        <v>0</v>
      </c>
      <c r="CV270" s="40"/>
      <c r="CW270" s="41"/>
      <c r="CY270" s="62">
        <v>6</v>
      </c>
      <c r="CZ270" s="41">
        <f>SUM(CZ5:CZ26,DA5:DA26,DB5:DB26)*CY270</f>
        <v>0</v>
      </c>
      <c r="DA270" s="40"/>
      <c r="DB270" s="41"/>
      <c r="DD270" s="46">
        <v>6</v>
      </c>
      <c r="DE270" s="41">
        <f>DE5*DD270+DE6*DD270+DE7*DD270+DE8*DD270+DE9*DD270+DE10*DD270+DE11*DD270+DE12*DD270+DE13*DD270+DE14*DD270+DE15*DD270+DE16*DD270+DE17*DD270+DE18*DD270+DE19*DD270+DE20*DD270+DE21*DD270+DE22*DD270+DE23*DD270+DE24*DD270+DE25*DD270+DE26*DD270+DF5*DD270+DF6*DD270+DF7*DD270+DF8*DD270+DF9*DD270+DF10*DD270+DF11*DD270+DF12*DD270+DF13*DD270+DF14*DD270+DF15*DD270+DF16*DD270+DF17*DD270+DF18*DD270+DF19*DD270+DF20*DD270+DF21*DD270+DF22*DD270+DF23*DD270+DF24*DD270+DF25*DD270+DF26*DD270+DG5*DD270+DG6*DD270+DG7*DD270+DG8*DD270+DG9*DD270+DG10*DD270+DG11*DD270+DG12*DD270+DG13*DD270+DG14*DD270+DG15*DD270+DG16*DD270+DG17*DD270+DG18*DD270+DG19*DD270+DG20*DD270+DG21*DD270+DG22*DD270+DG23*DD270+DG24*DD270+DG25*DD270+DG26*DD270</f>
        <v>0</v>
      </c>
      <c r="DF270" s="40"/>
      <c r="DG270" s="41"/>
      <c r="DI270" s="64"/>
      <c r="DJ270" s="41">
        <f>DJ5*DI270+DJ6*DI270+DJ7*DI270+DJ8*DI270+DJ9*DI270+DJ10*DI270+DJ11*DI270+DJ12*DI270+DJ13*DI270+DJ14*DI270+DJ15*DI270+DJ16*DI270+DJ17*DI270+DJ18*DI270+DJ19*DI270+DJ20*DI270+DJ21*DI270+DJ22*DI270+DJ23*DI270+DJ24*DI270+DJ25*DI270+DJ26*DI270+DK5*DI270+DK6*DI270+DK7*DI270+DK8*DI270+DK9*DI270+DK10*DI270+DK11*DI270+DK12*DI270+DK13*DI270+DK14*DI270+DK15*DI270+DK16*DI270+DK17*DI270+DK18*DI270+DK19*DI270+DK20*DI270+DK21*DI270+DK22*DI270+DK23*DI270+DK24*DI270+DK25*DI270+DK26*DI270+DL5*DI270+DL6*DI270+DL7*DI270+DL8*DI270+DL9*DI270+DL10*DI270+DL11*DI270+DL12*DI270+DL13*DI270+DL14*DI270+DL15*DI270+DL16*DI270+DL17*DI270+DL18*DI270+DL19*DI270+DL20*DI270+DL21*DI270+DL22*DI270+DL23*DI270+DL24*DI270+DL25*DI270+DL26*DI270</f>
        <v>0</v>
      </c>
      <c r="DK270" s="64"/>
      <c r="DL270" s="64"/>
      <c r="DN270" s="64"/>
      <c r="DO270" s="41">
        <f>DO5*DN270+DO6*DN270+DO7*DN270+DO8*DN270+DO9*DN270+DO10*DN270+DO11*DN270+DO12*DN270+DO13*DN270+DO14*DN270+DO15*DN270+DO16*DN270+DO17*DN270+DO18*DN270+DO19*DN270+DO20*DN270+DO21*DN270+DO22*DN270+DO23*DN270+DO24*DN270+DO25*DN270+DO26*DN270+DP5*DN270+DP6*DN270+DP7*DN270+DP8*DN270+DP9*DN270+DP10*DN270+DP11*DN270+DP12*DN270+DP13*DN270+DP14*DN270+DP15*DN270+DP16*DN270+DP17*DN270+DP18*DN270+DP19*DN270+DP20*DN270+DP21*DN270+DP22*DN270+DP23*DN270+DP24*DN270+DP25*DN270+DP26*DN270+DQ5*DN270+DQ6*DN270+DQ7*DN270+DQ8*DN270+DQ9*DN270+DQ10*DN270+DQ11*DN270+DQ12*DN270+DQ13*DN270+DQ14*DN270+DQ15*DN270+DQ16*DN270+DQ17*DN270+DQ18*DN270+DQ19*DN270+DQ20*DN270+DQ21*DN270+DQ22*DN270+DQ23*DN270+DQ24*DN270+DQ25*DN270+DQ26*DN270</f>
        <v>0</v>
      </c>
      <c r="DP270" s="64"/>
      <c r="DQ270" s="64"/>
      <c r="DS270" s="60">
        <v>3</v>
      </c>
      <c r="DT270" s="41">
        <f>DT5*DS270+DT6*DS270+DT7*DS270+DT8*DS270+DT9*DS270+DT10*DS270+DT11*DS270+DT12*DS270+DT13*DS270+DT14*DS270+DT15*DS270+DT16*DS270+DT17*DS270+DT18*DS270+DT19*DS270+DT20*DS270+DT21*DS270+DT22*DS270+DT23*DS270+DT24*DS270+DT25*DS270+DT26*DS270+DU5*DS270+DU6*DS270+DU7*DS270+DU8*DS270+DU9*DS270+DU10*DS270+DU11*DS270+DU12*DS270+DU13*DS270+DU14*DS270+DU15*DS270+DU16*DS270+DU17*DS270+DU18*DS270+DU19*DS270+DU20*DS270+DU21*DS270+DU22*DS270+DU23*DS270+DU24*DS270+DU25*DS270+DU26*DS270+DV5*DS270+DV6*DS270+DV7*DS270+DV8*DS270+DV9*DS270+DV10*DS270+DV11*DS270+DV12*DS270+DV13*DS270+DV14*DS270+DV15*DS270+DV16*DS270+DV17*DS270+DV18*DS270+DV19*DS270+DV20*DS270+DV21*DS270+DV22*DS270+DV23*DS270+DV24*DS270+DV25*DS270+DV26*DS270</f>
        <v>0</v>
      </c>
      <c r="DU270" s="64"/>
      <c r="DV270" s="64"/>
      <c r="DX270" s="60">
        <v>3</v>
      </c>
      <c r="DY270" s="41">
        <f>DY5*DX270+DY6*DX270+DY7*DX270+DY8*DX270+DY9*DX270+DY10*DX270+DY11*DX270+DY12*DX270+DY13*DX270+DY14*DX270+DY15*DX270+DY16*DX270+DY17*DX270+DY18*DX270+DY19*DX270+DY20*DX270+DY21*DX270+DY22*DX270+DY23*DX270+DY24*DX270+DY25*DX270+DY26*DX270+DZ5*DX270+DZ6*DX270+DZ7*DX270+DZ8*DX270+DZ9*DX270+DZ10*DX270+DZ11*DX270+DZ12*DX270+DZ13*DX270+DZ14*DX270+DZ15*DX270+DZ16*DX270+DZ17*DX270+DZ18*DX270+DZ19*DX270+DZ20*DX270+DZ21*DX270+DZ22*DX270+DZ23*DX270+DZ24*DX270+DZ25*DX270+DZ26*DX270+EA5*DX270+EA6*DX270+EA7*DX270+EA8*DX270+EA9*DX270+EA10*DX270+EA11*DX270+EA12*DX270+EA13*DX270+EA14*DX270+EA15*DX270+EA16*DX270+EA17*DX270+EA18*DX270+EA19*DX270+EA20*DX270+EA21*DX270+EA22*DX270+EA23*DX270+EA24*DX270+EA25*DX270+EA26*DX270</f>
        <v>0</v>
      </c>
      <c r="DZ270" s="64"/>
      <c r="EA270" s="64"/>
      <c r="EC270" s="60">
        <v>6</v>
      </c>
      <c r="ED270" s="41">
        <f>ED5*EC270+ED6*EC270+ED7*EC270+ED8*EC270+ED9*EC270+ED10*EC270+ED11*EC270+ED12*EC270+ED13*EC270+ED14*EC270+ED15*EC270+ED16*EC270+ED17*EC270+ED18*EC270+ED19*EC270+ED20*EC270+ED21*EC270+ED22*EC270+ED23*EC270+ED24*EC270+ED25*EC270+ED26*EC270+EE5*EC270+EE6*EC270+EE7*EC270+EE8*EC270+EE9*EC270+EE10*EC270+EE11*EC270+EE12*EC270+EE13*EC270+EE14*EC270+EE15*EC270+EE16*EC270+EE17*EC270+EE18*EC270+EE19*EC270+EE20*EC270+EE21*EC270+EE22*EC270+EE23*EC270+EE24*EC270+EE25*EC270+EE26*EC270+EF5*EC270+EF6*EC270+EF7*EC270+EF8*EC270+EF9*EC270+EF10*EC270+EF11*EC270+EF12*EC270+EF13*EC270+EF14*EC270+EF15*EC270+EF16*EC270+EF17*EC270+EF18*EC270+EF19*EC270+EF20*EC270+EF21*EC270+EF22*EC270+EF23*EC270+EF24*EC270+EF25*EC270+EF26*EC270</f>
        <v>0</v>
      </c>
      <c r="EE270" s="64"/>
      <c r="EF270" s="64"/>
      <c r="EH270" s="60">
        <v>6</v>
      </c>
      <c r="EI270" s="41">
        <f>EI5*EH270+EI6*EH270+EI7*EH270+EI8*EH270+EI9*EH270+EI10*EH270+EI11*EH270+EI12*EH270+EI13*EH270+EI14*EH270+EI15*EH270+EI16*EH270+EI17*EH270+EI18*EH270+EI19*EH270+EI20*EH270+EI21*EH270+EI22*EH270+EI23*EH270+EI24*EH270+EI25*EH270+EI26*EH270+EJ5*EH270+EJ6*EH270+EJ7*EH270+EJ8*EH270+EJ9*EH270+EJ10*EH270+EJ11*EH270+EJ12*EH270+EJ13*EH270+EJ14*EH270+EJ15*EH270+EJ16*EH270+EJ17*EH270+EJ18*EH270+EJ19*EH270+EJ20*EH270+EJ21*EH270+EJ22*EH270+EJ23*EH270+EJ24*EH270+EJ25*EH270+EJ26*EH270+EK5*EH270+EK6*EH270+EK7*EH270+EK8*EH270+EK9*EH270+EK10*EH270+EK11*EH270+EK12*EH270+EK13*EH270+EK14*EH270+EK15*EH270+EK16*EH270+EK17*EH270+EK18*EH270+EK19*EH270+EK20*EH270+EK21*EH270+EK22*EH270+EK23*EH270+EK24*EH270+EK25*EH270+EK26*EH270</f>
        <v>0</v>
      </c>
      <c r="EJ270" s="64"/>
      <c r="EK270" s="64"/>
      <c r="ER270" s="855"/>
      <c r="EX270" s="203">
        <f t="shared" si="1"/>
        <v>0</v>
      </c>
    </row>
    <row r="271" spans="1:154" s="6" customFormat="1" ht="15" customHeight="1">
      <c r="A271" s="90"/>
      <c r="B271" s="210" t="s">
        <v>408</v>
      </c>
      <c r="C271" s="473" t="s">
        <v>515</v>
      </c>
      <c r="D271" s="138"/>
      <c r="E271" s="62"/>
      <c r="F271" s="41"/>
      <c r="G271" s="41"/>
      <c r="H271" s="41"/>
      <c r="I271" s="4"/>
      <c r="J271" s="4">
        <v>1</v>
      </c>
      <c r="K271" s="658">
        <f>SUM(K5:K26)*J271</f>
        <v>0</v>
      </c>
      <c r="L271" s="4"/>
      <c r="M271" s="661"/>
      <c r="N271" s="661">
        <f>SUM(N5:N26,O5:O26,P5:P26)*M271</f>
        <v>0</v>
      </c>
      <c r="O271" s="4"/>
      <c r="P271" s="4"/>
      <c r="Q271" s="4"/>
      <c r="R271" s="40"/>
      <c r="S271" s="41"/>
      <c r="T271" s="140"/>
      <c r="U271" s="41"/>
      <c r="W271" s="40"/>
      <c r="X271" s="41"/>
      <c r="Y271" s="41"/>
      <c r="Z271" s="41"/>
      <c r="AB271" s="40"/>
      <c r="AC271" s="41"/>
      <c r="AD271" s="41"/>
      <c r="AE271" s="41"/>
      <c r="AG271" s="46"/>
      <c r="AH271" s="41"/>
      <c r="AI271" s="41"/>
      <c r="AJ271" s="41"/>
      <c r="AL271" s="46"/>
      <c r="AM271" s="41"/>
      <c r="AN271" s="41"/>
      <c r="AO271" s="41"/>
      <c r="AQ271" s="49"/>
      <c r="AR271" s="41"/>
      <c r="AS271" s="41"/>
      <c r="AT271" s="41"/>
      <c r="AV271" s="139"/>
      <c r="AW271" s="139"/>
      <c r="AX271" s="139"/>
      <c r="AY271" s="140"/>
      <c r="BA271" s="139"/>
      <c r="BB271" s="139"/>
      <c r="BC271" s="139"/>
      <c r="BD271" s="41"/>
      <c r="BF271" s="60"/>
      <c r="BG271" s="41"/>
      <c r="BH271" s="40"/>
      <c r="BI271" s="41"/>
      <c r="BK271" s="142"/>
      <c r="BL271" s="140"/>
      <c r="BM271" s="40"/>
      <c r="BN271" s="41"/>
      <c r="BP271" s="62"/>
      <c r="BQ271" s="41"/>
      <c r="BR271" s="40"/>
      <c r="BS271" s="41"/>
      <c r="BU271" s="62"/>
      <c r="BV271" s="41"/>
      <c r="BW271" s="40"/>
      <c r="BX271" s="41"/>
      <c r="BZ271" s="61"/>
      <c r="CA271" s="41"/>
      <c r="CB271" s="40"/>
      <c r="CC271" s="41"/>
      <c r="CD271" s="140"/>
      <c r="CE271" s="61"/>
      <c r="CF271" s="41"/>
      <c r="CG271" s="40"/>
      <c r="CH271" s="41"/>
      <c r="CJ271" s="141"/>
      <c r="CK271" s="140"/>
      <c r="CL271" s="139"/>
      <c r="CM271" s="140"/>
      <c r="CO271" s="223"/>
      <c r="CP271" s="41"/>
      <c r="CQ271" s="40"/>
      <c r="CR271" s="41"/>
      <c r="CT271" s="62"/>
      <c r="CU271" s="41"/>
      <c r="CV271" s="40"/>
      <c r="CW271" s="41"/>
      <c r="CY271" s="62"/>
      <c r="CZ271" s="41"/>
      <c r="DA271" s="40"/>
      <c r="DB271" s="41"/>
      <c r="DD271" s="46"/>
      <c r="DE271" s="41"/>
      <c r="DF271" s="40"/>
      <c r="DG271" s="41"/>
      <c r="DI271" s="64"/>
      <c r="DJ271" s="41"/>
      <c r="DK271" s="64"/>
      <c r="DL271" s="64"/>
      <c r="DN271" s="64"/>
      <c r="DO271" s="41"/>
      <c r="DP271" s="64"/>
      <c r="DQ271" s="64"/>
      <c r="DS271" s="60"/>
      <c r="DT271" s="41"/>
      <c r="DU271" s="64"/>
      <c r="DV271" s="64"/>
      <c r="DX271" s="60"/>
      <c r="DY271" s="41"/>
      <c r="DZ271" s="64"/>
      <c r="EA271" s="64"/>
      <c r="EC271" s="60"/>
      <c r="ED271" s="41"/>
      <c r="EE271" s="64"/>
      <c r="EF271" s="64"/>
      <c r="EH271" s="60"/>
      <c r="EI271" s="41"/>
      <c r="EJ271" s="64"/>
      <c r="EK271" s="64"/>
      <c r="ER271" s="855"/>
      <c r="EX271" s="203">
        <f t="shared" si="1"/>
        <v>0</v>
      </c>
    </row>
    <row r="272" spans="1:154" s="6" customFormat="1" ht="15" customHeight="1">
      <c r="A272" s="90" t="s">
        <v>165</v>
      </c>
      <c r="B272" s="210" t="s">
        <v>165</v>
      </c>
      <c r="C272" s="473" t="s">
        <v>515</v>
      </c>
      <c r="D272" s="138"/>
      <c r="E272" s="40"/>
      <c r="F272" s="40"/>
      <c r="G272" s="40"/>
      <c r="H272" s="40"/>
      <c r="I272" s="4"/>
      <c r="J272" s="4"/>
      <c r="K272" s="859">
        <f>C12</f>
        <v>0</v>
      </c>
      <c r="L272" s="4"/>
      <c r="M272" s="4"/>
      <c r="N272" s="4"/>
      <c r="O272" s="4"/>
      <c r="P272" s="4"/>
      <c r="Q272" s="4"/>
      <c r="R272" s="40"/>
      <c r="S272" s="41"/>
      <c r="T272" s="140"/>
      <c r="U272" s="41"/>
      <c r="W272" s="40"/>
      <c r="X272" s="41"/>
      <c r="Y272" s="41"/>
      <c r="Z272" s="41"/>
      <c r="AB272" s="40"/>
      <c r="AC272" s="41"/>
      <c r="AD272" s="41"/>
      <c r="AE272" s="41"/>
      <c r="AG272" s="40"/>
      <c r="AH272" s="41"/>
      <c r="AI272" s="41"/>
      <c r="AJ272" s="41"/>
      <c r="AL272" s="40"/>
      <c r="AM272" s="41"/>
      <c r="AN272" s="41"/>
      <c r="AO272" s="41"/>
      <c r="AQ272" s="40"/>
      <c r="AR272" s="41"/>
      <c r="AS272" s="41"/>
      <c r="AT272" s="41"/>
      <c r="AV272" s="139"/>
      <c r="AW272" s="139"/>
      <c r="AX272" s="139"/>
      <c r="AY272" s="140"/>
      <c r="BA272" s="139"/>
      <c r="BB272" s="139"/>
      <c r="BC272" s="139"/>
      <c r="BD272" s="41"/>
      <c r="BF272" s="40"/>
      <c r="BG272" s="40"/>
      <c r="BH272" s="40"/>
      <c r="BI272" s="41"/>
      <c r="BK272" s="139"/>
      <c r="BL272" s="139"/>
      <c r="BM272" s="40"/>
      <c r="BN272" s="41"/>
      <c r="BP272" s="40"/>
      <c r="BQ272" s="40"/>
      <c r="BR272" s="40"/>
      <c r="BS272" s="41"/>
      <c r="BU272" s="40"/>
      <c r="BV272" s="40"/>
      <c r="BW272" s="40"/>
      <c r="BX272" s="41"/>
      <c r="BZ272" s="40"/>
      <c r="CA272" s="40"/>
      <c r="CB272" s="40"/>
      <c r="CC272" s="41"/>
      <c r="CD272" s="140"/>
      <c r="CE272" s="40"/>
      <c r="CF272" s="40"/>
      <c r="CG272" s="40"/>
      <c r="CH272" s="41"/>
      <c r="CJ272" s="139"/>
      <c r="CK272" s="139"/>
      <c r="CL272" s="139"/>
      <c r="CM272" s="140"/>
      <c r="CO272" s="222"/>
      <c r="CP272" s="40"/>
      <c r="CQ272" s="40"/>
      <c r="CR272" s="41"/>
      <c r="CT272" s="40"/>
      <c r="CU272" s="40"/>
      <c r="CV272" s="40"/>
      <c r="CW272" s="41"/>
      <c r="CY272" s="40"/>
      <c r="CZ272" s="40"/>
      <c r="DA272" s="40"/>
      <c r="DB272" s="41"/>
      <c r="DD272" s="40"/>
      <c r="DE272" s="40"/>
      <c r="DF272" s="40"/>
      <c r="DG272" s="41"/>
      <c r="DI272" s="62" t="s">
        <v>1574</v>
      </c>
      <c r="DJ272" s="62"/>
      <c r="DK272" s="62"/>
      <c r="DL272" s="62"/>
      <c r="DM272" s="142"/>
      <c r="DN272" s="62" t="s">
        <v>1085</v>
      </c>
      <c r="DO272" s="62">
        <f>IF(SUM(ET5:ET12,EU5:EU12,EV5:EV12,EW5:EW12)&lt;1,SUM(EN5:EN12,EO5:EO12,EP5:EP12,EQ5:EQ12)*6,0)</f>
        <v>0</v>
      </c>
      <c r="DP272" s="62"/>
      <c r="DQ272" s="62"/>
      <c r="DR272" s="142"/>
      <c r="DS272" s="62" t="s">
        <v>1574</v>
      </c>
      <c r="DT272" s="62"/>
      <c r="DU272" s="62"/>
      <c r="DV272" s="62"/>
      <c r="DW272" s="142"/>
      <c r="DX272" s="62" t="s">
        <v>1574</v>
      </c>
      <c r="DY272" s="62"/>
      <c r="DZ272" s="62"/>
      <c r="EA272" s="62"/>
      <c r="EB272" s="142"/>
      <c r="EC272" s="62" t="s">
        <v>1574</v>
      </c>
      <c r="ED272" s="62"/>
      <c r="EE272" s="62"/>
      <c r="EF272" s="62"/>
      <c r="EG272" s="142"/>
      <c r="EH272" s="62" t="s">
        <v>1574</v>
      </c>
      <c r="EI272" s="62"/>
      <c r="EJ272" s="62"/>
      <c r="EK272" s="62"/>
      <c r="EL272" s="142"/>
      <c r="EM272" s="142"/>
      <c r="EN272" s="142"/>
      <c r="EO272" s="142"/>
      <c r="ER272" s="855"/>
      <c r="EX272" s="203">
        <f t="shared" si="1"/>
        <v>0</v>
      </c>
    </row>
    <row r="273" spans="1:155" s="6" customFormat="1" ht="15" customHeight="1">
      <c r="A273" s="90" t="s">
        <v>166</v>
      </c>
      <c r="B273" s="210" t="s">
        <v>166</v>
      </c>
      <c r="C273" s="473" t="s">
        <v>515</v>
      </c>
      <c r="D273" s="138"/>
      <c r="E273" s="40"/>
      <c r="F273" s="40"/>
      <c r="G273" s="40"/>
      <c r="H273" s="40"/>
      <c r="I273" s="4"/>
      <c r="J273" s="4"/>
      <c r="K273" s="4"/>
      <c r="L273" s="4"/>
      <c r="M273" s="4"/>
      <c r="N273" s="4"/>
      <c r="O273" s="4"/>
      <c r="P273" s="4"/>
      <c r="Q273" s="4"/>
      <c r="R273" s="40"/>
      <c r="S273" s="41"/>
      <c r="T273" s="140"/>
      <c r="U273" s="41"/>
      <c r="W273" s="40"/>
      <c r="X273" s="41"/>
      <c r="Y273" s="41"/>
      <c r="Z273" s="41"/>
      <c r="AB273" s="40"/>
      <c r="AC273" s="41"/>
      <c r="AD273" s="41"/>
      <c r="AE273" s="41"/>
      <c r="AG273" s="40"/>
      <c r="AH273" s="41"/>
      <c r="AI273" s="41"/>
      <c r="AJ273" s="41"/>
      <c r="AL273" s="40"/>
      <c r="AM273" s="41"/>
      <c r="AN273" s="41"/>
      <c r="AO273" s="41"/>
      <c r="AQ273" s="40"/>
      <c r="AR273" s="41"/>
      <c r="AS273" s="41"/>
      <c r="AT273" s="41"/>
      <c r="AV273" s="139"/>
      <c r="AW273" s="139"/>
      <c r="AX273" s="139"/>
      <c r="AY273" s="140"/>
      <c r="BA273" s="139"/>
      <c r="BB273" s="139"/>
      <c r="BC273" s="139"/>
      <c r="BD273" s="41"/>
      <c r="BF273" s="40"/>
      <c r="BG273" s="40"/>
      <c r="BH273" s="40"/>
      <c r="BI273" s="41"/>
      <c r="BK273" s="139"/>
      <c r="BL273" s="139"/>
      <c r="BM273" s="40"/>
      <c r="BN273" s="41"/>
      <c r="BP273" s="40"/>
      <c r="BQ273" s="40"/>
      <c r="BR273" s="40"/>
      <c r="BS273" s="41"/>
      <c r="BU273" s="40"/>
      <c r="BV273" s="40"/>
      <c r="BW273" s="40"/>
      <c r="BX273" s="41"/>
      <c r="BZ273" s="40"/>
      <c r="CA273" s="40"/>
      <c r="CB273" s="40"/>
      <c r="CC273" s="41"/>
      <c r="CD273" s="140"/>
      <c r="CE273" s="40"/>
      <c r="CF273" s="40"/>
      <c r="CG273" s="40"/>
      <c r="CH273" s="41"/>
      <c r="CJ273" s="139"/>
      <c r="CK273" s="139"/>
      <c r="CL273" s="139"/>
      <c r="CM273" s="140"/>
      <c r="CO273" s="222"/>
      <c r="CP273" s="40"/>
      <c r="CQ273" s="40"/>
      <c r="CR273" s="41"/>
      <c r="CT273" s="40"/>
      <c r="CU273" s="40"/>
      <c r="CV273" s="40"/>
      <c r="CW273" s="41"/>
      <c r="CY273" s="40"/>
      <c r="CZ273" s="40"/>
      <c r="DA273" s="40"/>
      <c r="DB273" s="41"/>
      <c r="DD273" s="40"/>
      <c r="DE273" s="40"/>
      <c r="DF273" s="40"/>
      <c r="DG273" s="41"/>
      <c r="DI273" s="62" t="s">
        <v>1575</v>
      </c>
      <c r="DJ273" s="62"/>
      <c r="DK273" s="62"/>
      <c r="DL273" s="62"/>
      <c r="DM273" s="142"/>
      <c r="DN273" s="62" t="s">
        <v>1085</v>
      </c>
      <c r="DO273" s="62">
        <f>IF(SUM(ET5:ET12,EU5:EU12,EV5:EV12,EW5:EW12)&gt;=1,SUM(EN5:EN12,EO5:EO12,EP5:EP12,EQ5:EQ12)*20,0)</f>
        <v>0</v>
      </c>
      <c r="DP273" s="62"/>
      <c r="DQ273" s="62"/>
      <c r="DR273" s="142"/>
      <c r="DS273" s="62" t="s">
        <v>1575</v>
      </c>
      <c r="DT273" s="62"/>
      <c r="DU273" s="62"/>
      <c r="DV273" s="62"/>
      <c r="DW273" s="142"/>
      <c r="DX273" s="62" t="s">
        <v>1575</v>
      </c>
      <c r="DY273" s="62"/>
      <c r="DZ273" s="62"/>
      <c r="EA273" s="62"/>
      <c r="EB273" s="142"/>
      <c r="EC273" s="62" t="s">
        <v>1575</v>
      </c>
      <c r="ED273" s="62"/>
      <c r="EE273" s="62"/>
      <c r="EF273" s="62"/>
      <c r="EG273" s="142"/>
      <c r="EH273" s="62" t="s">
        <v>1575</v>
      </c>
      <c r="EI273" s="62"/>
      <c r="EJ273" s="62"/>
      <c r="EK273" s="62"/>
      <c r="EL273" s="142"/>
      <c r="EM273" s="142"/>
      <c r="EN273" s="142"/>
      <c r="EO273" s="142"/>
      <c r="ER273" s="855"/>
      <c r="EX273" s="203">
        <f t="shared" si="1"/>
        <v>0</v>
      </c>
    </row>
    <row r="274" spans="1:155" s="6" customFormat="1" ht="15" customHeight="1">
      <c r="A274" s="167">
        <v>503034</v>
      </c>
      <c r="B274" s="167" t="s">
        <v>1801</v>
      </c>
      <c r="C274" s="473" t="s">
        <v>515</v>
      </c>
      <c r="D274" s="138">
        <f>C13</f>
        <v>0</v>
      </c>
      <c r="E274" s="40"/>
      <c r="F274" s="40"/>
      <c r="G274" s="40"/>
      <c r="H274" s="40"/>
      <c r="I274" s="4"/>
      <c r="J274" s="4"/>
      <c r="K274" s="859">
        <f>C13</f>
        <v>0</v>
      </c>
      <c r="L274" s="4"/>
      <c r="M274" s="4"/>
      <c r="N274" s="4"/>
      <c r="O274" s="4"/>
      <c r="P274" s="4"/>
      <c r="Q274" s="4"/>
      <c r="R274" s="40"/>
      <c r="S274" s="41"/>
      <c r="T274" s="140">
        <f>C12</f>
        <v>0</v>
      </c>
      <c r="U274" s="41"/>
      <c r="W274" s="40"/>
      <c r="X274" s="41"/>
      <c r="Y274" s="41"/>
      <c r="Z274" s="41"/>
      <c r="AB274" s="40"/>
      <c r="AC274" s="41"/>
      <c r="AD274" s="41"/>
      <c r="AE274" s="41"/>
      <c r="AG274" s="40"/>
      <c r="AH274" s="41"/>
      <c r="AI274" s="41"/>
      <c r="AJ274" s="41"/>
      <c r="AL274" s="40"/>
      <c r="AM274" s="41"/>
      <c r="AN274" s="41"/>
      <c r="AO274" s="41"/>
      <c r="AQ274" s="40"/>
      <c r="AR274" s="41"/>
      <c r="AS274" s="41"/>
      <c r="AT274" s="41"/>
      <c r="AV274" s="139"/>
      <c r="AW274" s="139"/>
      <c r="AX274" s="139"/>
      <c r="AY274" s="140"/>
      <c r="BA274" s="139"/>
      <c r="BB274" s="139"/>
      <c r="BC274" s="139"/>
      <c r="BD274" s="41"/>
      <c r="BF274" s="40"/>
      <c r="BG274" s="40"/>
      <c r="BH274" s="40"/>
      <c r="BI274" s="41"/>
      <c r="BK274" s="139"/>
      <c r="BL274" s="139"/>
      <c r="BM274" s="40"/>
      <c r="BN274" s="41"/>
      <c r="BP274" s="40"/>
      <c r="BQ274" s="40"/>
      <c r="BR274" s="40"/>
      <c r="BS274" s="41"/>
      <c r="BU274" s="40"/>
      <c r="BV274" s="40"/>
      <c r="BW274" s="40"/>
      <c r="BX274" s="41"/>
      <c r="BZ274" s="40"/>
      <c r="CA274" s="40"/>
      <c r="CB274" s="40"/>
      <c r="CC274" s="41"/>
      <c r="CD274" s="140"/>
      <c r="CE274" s="40"/>
      <c r="CF274" s="40"/>
      <c r="CG274" s="40"/>
      <c r="CH274" s="41"/>
      <c r="CJ274" s="139"/>
      <c r="CK274" s="139"/>
      <c r="CL274" s="139"/>
      <c r="CM274" s="140"/>
      <c r="CO274" s="222"/>
      <c r="CP274" s="40"/>
      <c r="CQ274" s="40"/>
      <c r="CR274" s="41"/>
      <c r="CT274" s="40"/>
      <c r="CU274" s="40"/>
      <c r="CV274" s="40"/>
      <c r="CW274" s="41"/>
      <c r="CY274" s="40"/>
      <c r="CZ274" s="40"/>
      <c r="DA274" s="40"/>
      <c r="DB274" s="41"/>
      <c r="DD274" s="40"/>
      <c r="DE274" s="40"/>
      <c r="DF274" s="40"/>
      <c r="DG274" s="41"/>
      <c r="DI274" s="64"/>
      <c r="DJ274" s="64"/>
      <c r="DK274" s="64"/>
      <c r="DL274" s="64"/>
      <c r="DN274" s="64"/>
      <c r="DO274" s="64"/>
      <c r="DP274" s="64"/>
      <c r="DQ274" s="64"/>
      <c r="DS274" s="64"/>
      <c r="DT274" s="64"/>
      <c r="DU274" s="64"/>
      <c r="DV274" s="64"/>
      <c r="DX274" s="64"/>
      <c r="DY274" s="64"/>
      <c r="DZ274" s="64"/>
      <c r="EA274" s="64"/>
      <c r="EC274" s="64"/>
      <c r="ED274" s="64"/>
      <c r="EE274" s="64"/>
      <c r="EF274" s="64"/>
      <c r="EH274" s="64"/>
      <c r="EI274" s="64"/>
      <c r="EJ274" s="64"/>
      <c r="EK274" s="64"/>
      <c r="ER274" s="855"/>
      <c r="EX274" s="203">
        <f t="shared" si="1"/>
        <v>0</v>
      </c>
    </row>
    <row r="275" spans="1:155" s="6" customFormat="1" ht="15" customHeight="1">
      <c r="A275" s="90" t="s">
        <v>210</v>
      </c>
      <c r="B275" s="210" t="s">
        <v>210</v>
      </c>
      <c r="C275" s="473" t="s">
        <v>515</v>
      </c>
      <c r="D275" s="138"/>
      <c r="E275" s="62"/>
      <c r="F275" s="140"/>
      <c r="G275" s="140"/>
      <c r="H275" s="140"/>
      <c r="I275" s="4"/>
      <c r="J275" s="4">
        <v>1</v>
      </c>
      <c r="K275" s="658">
        <f>SUM(K5:K26)*J275</f>
        <v>0</v>
      </c>
      <c r="L275" s="4"/>
      <c r="M275" s="658">
        <v>6</v>
      </c>
      <c r="N275" s="658">
        <f>SUM(N5:N26,O5:O26,P5:P26)*M275</f>
        <v>0</v>
      </c>
      <c r="O275" s="50"/>
      <c r="P275" s="50"/>
      <c r="Q275" s="4"/>
      <c r="R275" s="40"/>
      <c r="S275" s="41"/>
      <c r="T275" s="140"/>
      <c r="U275" s="41"/>
      <c r="W275" s="40"/>
      <c r="X275" s="41"/>
      <c r="Y275" s="41"/>
      <c r="Z275" s="41"/>
      <c r="AB275" s="40"/>
      <c r="AC275" s="41"/>
      <c r="AD275" s="41"/>
      <c r="AE275" s="41"/>
      <c r="AG275" s="46">
        <v>3</v>
      </c>
      <c r="AH275" s="41">
        <f>AH26*AG275+AH5*AG275+AH6*AG275+AH7*AG275+AH8*AG275+AH9*AG275+AH10*AG275+AH11*AG275+AH12*AG275+AH13*AG275+AH14*AG275+AH15*AG275+AH16*AG275+AH17*AG275+AH18*AG275+AH19*AG275+AH20*AG275+AH21*AG275+AH22*AG275+AH23*AG275+AH24*AG275+AH25*AG275+AI26*AG275+AI5*AG275+AI6*AG275+AI7*AG275+AI8*AG275+AI9*AG275+AI10*AG275+AI11*AG275+AI12*AG275+AI13*AG275+AI14*AG275+AI15*AG275+AI16*AG275+AI17*AG275+AI18*AG275+AI19*AG275+AI20*AG275+AI21*AG275+AI22*AG275+AI23*AG275+AI24*AG275+AI25*AG275+AJ26*AG275+AJ5*AG275+AJ6*AG275+AJ7*AG275+AJ8*AG275+AJ9*AG275+AJ10*AG275+AJ11*AG275+AJ12*AG275+AJ13*AG275+AJ14*AG275+AJ15*AG275+AJ16*AG275+AJ17*AG275+AJ18*AG275+AJ19*AG275+AJ20*AG275+AJ21*AG275+AJ22*AG275+AJ23*AG275+AJ24*AG275+AJ25*AG275</f>
        <v>0</v>
      </c>
      <c r="AI275" s="41"/>
      <c r="AJ275" s="41"/>
      <c r="AL275" s="46">
        <v>6</v>
      </c>
      <c r="AM275" s="41">
        <f>AM26*AL275+AM5*AL275+AM6*AL275+AM7*AL275+AM8*AL275+AM9*AL275+AM10*AL275+AM11*AL275+AM12*AL275+AM13*AL275+AM14*AL275+AM15*AL275+AM16*AL275+AM17*AL275+AM18*AL275+AM19*AL275+AM20*AL275+AM21*AL275+AM22*AL275+AM23*AL275+AM24*AL275+AM25*AL275+AN26*AL275+AN5*AL275+AN6*AL275+AN7*AL275+AN8*AL275+AN9*AL275+AN10*AL275+AN11*AL275+AN12*AL275+AN13*AL275+AN14*AL275+AN15*AL275+AN16*AL275+AN17*AL275+AN18*AL275+AN19*AL275+AN20*AL275+AN21*AL275+AN22*AL275+AN23*AL275+AN24*AL275+AN25*AL275+AO26*AL275+AO5*AL275+AO6*AL275+AO7*AL275+AO8*AL275+AO9*AL275+AO10*AL275+AO11*AL275+AO12*AL275+AO13*AL275+AO14*AL275+AO15*AL275+AO16*AL275+AO17*AL275+AO18*AL275+AO19*AL275+AO20*AL275+AO21*AL275+AO22*AL275+AO23*AL275+AO24*AL275+AO25*AL275</f>
        <v>0</v>
      </c>
      <c r="AN275" s="41"/>
      <c r="AO275" s="41"/>
      <c r="AQ275" s="49">
        <v>6</v>
      </c>
      <c r="AR275" s="41">
        <f>AR26*AQ275+AR5*AQ275+AR6*AQ275+AR7*AQ275+AR8*AQ275+AR9*AQ275+AR10*AQ275+AR11*AQ275+AR12*AQ275+AR13*AQ275+AR14*AQ275+AR15*AQ275+AR16*AQ275+AR17*AQ275+AR18*AQ275+AR19*AQ275+AR20*AQ275+AR21*AQ275+AR22*AQ275+AR23*AQ275+AR24*AQ275+AR25*AQ275+AS26*AQ275+AS5*AQ275+AS6*AQ275+AS7*AQ275+AS8*AQ275+AS9*AQ275+AS10*AQ275+AS11*AQ275+AS12*AQ275+AS13*AQ275+AS14*AQ275+AS15*AQ275+AS16*AQ275+AS17*AQ275+AS18*AQ275+AS19*AQ275+AS20*AQ275+AS21*AQ275+AS22*AQ275+AS23*AQ275+AS24*AQ275+AS25*AQ275+AT26*AQ275+AT5*AQ275+AT6*AQ275+AT7*AQ275+AT8*AQ275+AT9*AQ275+AT10*AQ275+AT11*AQ275+AT12*AQ275+AT13*AQ275+AT14*AQ275+AT15*AQ275+AT16*AQ275+AT17*AQ275+AT18*AQ275+AT19*AQ275+AT20*AQ275+AT21*AQ275+AT22*AQ275+AT23*AQ275+AT24*AQ275+AT25*AQ275</f>
        <v>0</v>
      </c>
      <c r="AS275" s="41"/>
      <c r="AT275" s="41"/>
      <c r="AV275" s="139"/>
      <c r="AW275" s="139"/>
      <c r="AX275" s="139"/>
      <c r="AY275" s="140"/>
      <c r="BA275" s="139"/>
      <c r="BB275" s="139"/>
      <c r="BC275" s="139"/>
      <c r="BD275" s="41"/>
      <c r="BF275" s="60">
        <v>3</v>
      </c>
      <c r="BG275" s="41">
        <f>SUM(BG5:BG26,BH5:BH26,BI5:BI26)*BF275</f>
        <v>0</v>
      </c>
      <c r="BH275" s="40"/>
      <c r="BI275" s="41"/>
      <c r="BK275" s="142">
        <v>3</v>
      </c>
      <c r="BL275" s="140">
        <f>SUM(BL5:BL26,BM5:BM26,BN5:BN26)*BK275</f>
        <v>0</v>
      </c>
      <c r="BM275" s="40"/>
      <c r="BN275" s="41"/>
      <c r="BP275" s="62">
        <v>3</v>
      </c>
      <c r="BQ275" s="140">
        <f>SUM(BQ5:BQ26,BR5:BR26,BS5:BS26)*BP275</f>
        <v>0</v>
      </c>
      <c r="BR275" s="40"/>
      <c r="BS275" s="41"/>
      <c r="BU275" s="62">
        <v>3</v>
      </c>
      <c r="BV275" s="41">
        <f>SUM(BV5:BV26,BW5:BW26,BX5:BX26)*BU275</f>
        <v>0</v>
      </c>
      <c r="BW275" s="40"/>
      <c r="BX275" s="41"/>
      <c r="BZ275" s="61">
        <v>6</v>
      </c>
      <c r="CA275" s="41">
        <f>SUM(CA5:CA26,CB5:CB26,CC5:CC26)*BZ275</f>
        <v>0</v>
      </c>
      <c r="CB275" s="40"/>
      <c r="CC275" s="41"/>
      <c r="CD275" s="140"/>
      <c r="CE275" s="61">
        <v>6</v>
      </c>
      <c r="CF275" s="41">
        <f>SUM(CF5:CF26,CG5:CG26,CH5:CH26)*CE275</f>
        <v>0</v>
      </c>
      <c r="CG275" s="40"/>
      <c r="CH275" s="41"/>
      <c r="CJ275" s="141">
        <v>3</v>
      </c>
      <c r="CK275" s="140">
        <f>CK26*CJ275+CK5*CJ275+CK6*CJ275+CK7*CJ275+CK8*CJ275+CK9*CJ275+CK10*CJ275+CK11*CJ275+CK12*CJ275+CK13*CJ275+CK14*CJ275+CK15*CJ275+CK16*CJ275+CK17*CJ275+CK18*CJ275+CK19*CJ275+CK20*CJ275+CK21*CJ275+CK22*CJ275+CK23*CJ275+CK24*CJ275+CK25*CJ275+CL26*CJ275+CL5*CJ275+CL6*CJ275+CL7*CJ275+CL8*CJ275+CL9*CJ275+CL10*CJ275+CL11*CJ275+CL12*CJ275+CL13*CJ275+CL14*CJ275+CL15*CJ275+CL16*CJ275+CL17*CJ275+CL18*CJ275+CL19*CJ275+CL20*CJ275+CL21*CJ275+CL22*CJ275+CL23*CJ275+CL24*CJ275+CL25*CJ275+CM26*CJ275+CM5*CJ275+CM6*CJ275+CM7*CJ275+CM8*CJ275+CM9*CJ275+CM10*CJ275+CM11*CJ275+CM12*CJ275+CM13*CJ275+CM14*CJ275+CM15*CJ275+CM16*CJ275+CM17*CJ275+CM18*CJ275+CM19*CJ275+CM20*CJ275+CM21*CJ275+CM22*CJ275+CM23*CJ275+CM24*CJ275+CM25*CJ275</f>
        <v>0</v>
      </c>
      <c r="CL275" s="139"/>
      <c r="CM275" s="140"/>
      <c r="CO275" s="223">
        <v>6</v>
      </c>
      <c r="CP275" s="41">
        <f>CP26*CO275+CP5*CO275+CP6*CO275+CP7*CO275+CP8*CO275+CP9*CO275+CP10*CO275+CP11*CO275+CP12*CO275+CP13*CO275+CP14*CO275+CP15*CO275+CP16*CO275+CP17*CO275+CP18*CO275+CP19*CO275+CP20*CO275+CP21*CO275+CP22*CO275+CP23*CO275+CP24*CO275+CP25*CO275+CQ26*CO275+CQ5*CO275+CQ6*CO275+CQ7*CO275+CQ8*CO275+CQ9*CO275+CQ10*CO275+CQ11*CO275+CQ12*CO275+CQ13*CO275+CQ14*CO275+CQ15*CO275+CQ16*CO275+CQ17*CO275+CQ18*CO275+CQ19*CO275+CQ20*CO275+CQ21*CO275+CQ22*CO275+CQ23*CO275+CQ24*CO275+CQ25*CO275+CR26*CO275+CR5*CO275+CR6*CO275+CR7*CO275+CR8*CO275+CR9*CO275+CR10*CO275+CR11*CO275+CR12*CO275+CR13*CO275+CR14*CO275+CR15*CO275+CR16*CO275+CR17*CO275+CR18*CO275+CR19*CO275+CR20*CO275+CR21*CO275+CR22*CO275+CR23*CO275+CR24*CO275+CR25*CO275</f>
        <v>0</v>
      </c>
      <c r="CQ275" s="40"/>
      <c r="CR275" s="41"/>
      <c r="CT275" s="62">
        <v>6</v>
      </c>
      <c r="CU275" s="41">
        <f>SUM(CU5:CU26,CV5:CV26,CW5:CW26)*CT275</f>
        <v>0</v>
      </c>
      <c r="CV275" s="40"/>
      <c r="CW275" s="41"/>
      <c r="CY275" s="62">
        <v>6</v>
      </c>
      <c r="CZ275" s="41">
        <f>SUM(CZ5:CZ26,DA5:DA26,DB5:DB26)*CY275</f>
        <v>0</v>
      </c>
      <c r="DA275" s="40"/>
      <c r="DB275" s="41"/>
      <c r="DD275" s="46">
        <v>6</v>
      </c>
      <c r="DE275" s="41">
        <f>DE26*DD275+DE5*DD275+DE6*DD275+DE7*DD275+DE8*DD275+DE9*DD275+DE10*DD275+DE11*DD275+DE12*DD275+DE13*DD275+DE14*DD275+DE15*DD275+DE16*DD275+DE17*DD275+DE18*DD275+DE19*DD275+DE20*DD275+DE21*DD275+DE22*DD275+DE23*DD275+DE24*DD275+DE25*DD275+DF26*DD275+DF5*DD275+DF6*DD275+DF7*DD275+DF8*DD275+DF9*DD275+DF10*DD275+DF11*DD275+DF12*DD275+DF13*DD275+DF14*DD275+DF15*DD275+DF16*DD275+DF17*DD275+DF18*DD275+DF19*DD275+DF20*DD275+DF21*DD275+DF22*DD275+DF23*DD275+DF24*DD275+DF25*DD275+DG26*DD275+DG5*DD275+DG6*DD275+DG7*DD275+DG8*DD275+DG9*DD275+DG10*DD275+DG11*DD275+DG12*DD275+DG13*DD275+DG14*DD275+DG15*DD275+DG16*DD275+DG17*DD275+DG18*DD275+DG19*DD275+DG20*DD275+DG21*DD275+DG22*DD275+DG23*DD275+DG24*DD275+DG25*DD275</f>
        <v>0</v>
      </c>
      <c r="DF275" s="40"/>
      <c r="DG275" s="41"/>
      <c r="DI275" s="64"/>
      <c r="DJ275" s="41">
        <f>DJ26*DI275+DJ5*DI275+DJ6*DI275+DJ7*DI275+DJ8*DI275+DJ9*DI275+DJ10*DI275+DJ11*DI275+DJ12*DI275+DJ13*DI275+DJ14*DI275+DJ15*DI275+DJ16*DI275+DJ17*DI275+DJ18*DI275+DJ19*DI275+DJ20*DI275+DJ21*DI275+DJ22*DI275+DJ23*DI275+DJ24*DI275+DJ25*DI275+DK26*DI275+DK5*DI275+DK6*DI275+DK7*DI275+DK8*DI275+DK9*DI275+DK10*DI275+DK11*DI275+DK12*DI275+DK13*DI275+DK14*DI275+DK15*DI275+DK16*DI275+DK17*DI275+DK18*DI275+DK19*DI275+DK20*DI275+DK21*DI275+DK22*DI275+DK23*DI275+DK24*DI275+DK25*DI275+DL26*DI275+DL5*DI275+DL6*DI275+DL7*DI275+DL8*DI275+DL9*DI275+DL10*DI275+DL11*DI275+DL12*DI275+DL13*DI275+DL14*DI275+DL15*DI275+DL16*DI275+DL17*DI275+DL18*DI275+DL19*DI275+DL20*DI275+DL21*DI275+DL22*DI275+DL23*DI275+DL24*DI275+DL25*DI275</f>
        <v>0</v>
      </c>
      <c r="DK275" s="64"/>
      <c r="DL275" s="64"/>
      <c r="DN275" s="64"/>
      <c r="DO275" s="41">
        <f>DO26*DN275+DO5*DN275+DO6*DN275+DO7*DN275+DO8*DN275+DO9*DN275+DO10*DN275+DO11*DN275+DO12*DN275+DO13*DN275+DO14*DN275+DO15*DN275+DO16*DN275+DO17*DN275+DO18*DN275+DO19*DN275+DO20*DN275+DO21*DN275+DO22*DN275+DO23*DN275+DO24*DN275+DO25*DN275+DP26*DN275+DP5*DN275+DP6*DN275+DP7*DN275+DP8*DN275+DP9*DN275+DP10*DN275+DP11*DN275+DP12*DN275+DP13*DN275+DP14*DN275+DP15*DN275+DP16*DN275+DP17*DN275+DP18*DN275+DP19*DN275+DP20*DN275+DP21*DN275+DP22*DN275+DP23*DN275+DP24*DN275+DP25*DN275+DQ26*DN275+DQ5*DN275+DQ6*DN275+DQ7*DN275+DQ8*DN275+DQ9*DN275+DQ10*DN275+DQ11*DN275+DQ12*DN275+DQ13*DN275+DQ14*DN275+DQ15*DN275+DQ16*DN275+DQ17*DN275+DQ18*DN275+DQ19*DN275+DQ20*DN275+DQ21*DN275+DQ22*DN275+DQ23*DN275+DQ24*DN275+DQ25*DN275</f>
        <v>0</v>
      </c>
      <c r="DP275" s="64"/>
      <c r="DQ275" s="64"/>
      <c r="DS275" s="60">
        <v>3</v>
      </c>
      <c r="DT275" s="41">
        <f>DT26*DS275+DT5*DS275+DT6*DS275+DT7*DS275+DT8*DS275+DT9*DS275+DT10*DS275+DT11*DS275+DT12*DS275+DT13*DS275+DT14*DS275+DT15*DS275+DT16*DS275+DT17*DS275+DT18*DS275+DT19*DS275+DT20*DS275+DT21*DS275+DT22*DS275+DT23*DS275+DT24*DS275+DT25*DS275+DU26*DS275+DU5*DS275+DU6*DS275+DU7*DS275+DU8*DS275+DU9*DS275+DU10*DS275+DU11*DS275+DU12*DS275+DU13*DS275+DU14*DS275+DU15*DS275+DU16*DS275+DU17*DS275+DU18*DS275+DU19*DS275+DU20*DS275+DU21*DS275+DU22*DS275+DU23*DS275+DU24*DS275+DU25*DS275+DV26*DS275+DV5*DS275+DV6*DS275+DV7*DS275+DV8*DS275+DV9*DS275+DV10*DS275+DV11*DS275+DV12*DS275+DV13*DS275+DV14*DS275+DV15*DS275+DV16*DS275+DV17*DS275+DV18*DS275+DV19*DS275+DV20*DS275+DV21*DS275+DV22*DS275+DV23*DS275+DV24*DS275+DV25*DS275</f>
        <v>0</v>
      </c>
      <c r="DU275" s="64"/>
      <c r="DV275" s="64"/>
      <c r="DX275" s="60">
        <v>3</v>
      </c>
      <c r="DY275" s="41">
        <f>DY26*DX275+DY5*DX275+DY6*DX275+DY7*DX275+DY8*DX275+DY9*DX275+DY10*DX275+DY11*DX275+DY12*DX275+DY13*DX275+DY14*DX275+DY15*DX275+DY16*DX275+DY17*DX275+DY18*DX275+DY19*DX275+DY20*DX275+DY21*DX275+DY22*DX275+DY23*DX275+DY24*DX275+DY25*DX275+DZ26*DX275+DZ5*DX275+DZ6*DX275+DZ7*DX275+DZ8*DX275+DZ9*DX275+DZ10*DX275+DZ11*DX275+DZ12*DX275+DZ13*DX275+DZ14*DX275+DZ15*DX275+DZ16*DX275+DZ17*DX275+DZ18*DX275+DZ19*DX275+DZ20*DX275+DZ21*DX275+DZ22*DX275+DZ23*DX275+DZ24*DX275+DZ25*DX275+EA26*DX275+EA5*DX275+EA6*DX275+EA7*DX275+EA8*DX275+EA9*DX275+EA10*DX275+EA11*DX275+EA12*DX275+EA13*DX275+EA14*DX275+EA15*DX275+EA16*DX275+EA17*DX275+EA18*DX275+EA19*DX275+EA20*DX275+EA21*DX275+EA22*DX275+EA23*DX275+EA24*DX275+EA25*DX275</f>
        <v>0</v>
      </c>
      <c r="DZ275" s="64"/>
      <c r="EA275" s="64"/>
      <c r="EC275" s="60">
        <v>6</v>
      </c>
      <c r="ED275" s="41">
        <f>ED26*EC275+ED5*EC275+ED6*EC275+ED7*EC275+ED8*EC275+ED9*EC275+ED10*EC275+ED11*EC275+ED12*EC275+ED13*EC275+ED14*EC275+ED15*EC275+ED16*EC275+ED17*EC275+ED18*EC275+ED19*EC275+ED20*EC275+ED21*EC275+ED22*EC275+ED23*EC275+ED24*EC275+ED25*EC275+EE26*EC275+EE5*EC275+EE6*EC275+EE7*EC275+EE8*EC275+EE9*EC275+EE10*EC275+EE11*EC275+EE12*EC275+EE13*EC275+EE14*EC275+EE15*EC275+EE16*EC275+EE17*EC275+EE18*EC275+EE19*EC275+EE20*EC275+EE21*EC275+EE22*EC275+EE23*EC275+EE24*EC275+EE25*EC275+EF26*EC275+EF5*EC275+EF6*EC275+EF7*EC275+EF8*EC275+EF9*EC275+EF10*EC275+EF11*EC275+EF12*EC275+EF13*EC275+EF14*EC275+EF15*EC275+EF16*EC275+EF17*EC275+EF18*EC275+EF19*EC275+EF20*EC275+EF21*EC275+EF22*EC275+EF23*EC275+EF24*EC275+EF25*EC275</f>
        <v>0</v>
      </c>
      <c r="EE275" s="64"/>
      <c r="EF275" s="64"/>
      <c r="EH275" s="60">
        <v>6</v>
      </c>
      <c r="EI275" s="41">
        <f>EI26*EH275+EI5*EH275+EI6*EH275+EI7*EH275+EI8*EH275+EI9*EH275+EI10*EH275+EI11*EH275+EI12*EH275+EI13*EH275+EI14*EH275+EI15*EH275+EI16*EH275+EI17*EH275+EI18*EH275+EI19*EH275+EI20*EH275+EI21*EH275+EI22*EH275+EI23*EH275+EI24*EH275+EI25*EH275+EJ26*EH275+EJ5*EH275+EJ6*EH275+EJ7*EH275+EJ8*EH275+EJ9*EH275+EJ10*EH275+EJ11*EH275+EJ12*EH275+EJ13*EH275+EJ14*EH275+EJ15*EH275+EJ16*EH275+EJ17*EH275+EJ18*EH275+EJ19*EH275+EJ20*EH275+EJ21*EH275+EJ22*EH275+EJ23*EH275+EJ24*EH275+EJ25*EH275+EK26*EH275+EK5*EH275+EK6*EH275+EK7*EH275+EK8*EH275+EK9*EH275+EK10*EH275+EK11*EH275+EK12*EH275+EK13*EH275+EK14*EH275+EK15*EH275+EK16*EH275+EK17*EH275+EK18*EH275+EK19*EH275+EK20*EH275+EK21*EH275+EK22*EH275+EK23*EH275+EK24*EH275+EK25*EH275</f>
        <v>0</v>
      </c>
      <c r="EJ275" s="64"/>
      <c r="EK275" s="64"/>
      <c r="ER275" s="855"/>
      <c r="EX275" s="203">
        <f t="shared" si="1"/>
        <v>0</v>
      </c>
      <c r="EY275" s="142">
        <v>13</v>
      </c>
    </row>
    <row r="276" spans="1:155" s="6" customFormat="1" ht="15" customHeight="1">
      <c r="A276" s="90" t="s">
        <v>67</v>
      </c>
      <c r="B276" s="210" t="s">
        <v>67</v>
      </c>
      <c r="C276" s="473" t="s">
        <v>515</v>
      </c>
      <c r="D276" s="138"/>
      <c r="E276" s="62"/>
      <c r="F276" s="140"/>
      <c r="G276" s="140"/>
      <c r="H276" s="140"/>
      <c r="I276" s="4"/>
      <c r="J276" s="4">
        <v>1</v>
      </c>
      <c r="K276" s="658">
        <f>SUM(K5:K26)*J276</f>
        <v>0</v>
      </c>
      <c r="L276" s="4"/>
      <c r="M276" s="658">
        <v>6</v>
      </c>
      <c r="N276" s="658">
        <f>SUM(N5:N26,O5:O26,P5:P26)*M275</f>
        <v>0</v>
      </c>
      <c r="O276" s="4"/>
      <c r="P276" s="4"/>
      <c r="Q276" s="4"/>
      <c r="R276" s="40"/>
      <c r="S276" s="41"/>
      <c r="T276" s="140"/>
      <c r="U276" s="41"/>
      <c r="W276" s="40"/>
      <c r="X276" s="41"/>
      <c r="Y276" s="41"/>
      <c r="Z276" s="41"/>
      <c r="AB276" s="40"/>
      <c r="AC276" s="41"/>
      <c r="AD276" s="41"/>
      <c r="AE276" s="41"/>
      <c r="AG276" s="46">
        <v>3</v>
      </c>
      <c r="AH276" s="41">
        <f>AH5*AG276+AH6*AG276+AH7*AG276+AH8*AG276+AH9*AG276+AH10*AG276+AH11*AG276+AH12*AG276+AH13*AG276+AH14*AG276+AH15*AG276+AH16*AG276+AH17*AG276+AH18*AG276+AH19*AG276+AH20*AG276+AH21*AG276+AH22*AG276+AH23*AG276+AH24*AG276+AH25*AG276+AH26*AG276+AI5*AG276+AI6*AG276+AI7*AG276+AI8*AG276+AI9*AG276+AI10*AG276+AI11*AG276+AI12*AG276+AI13*AG276+AI14*AG276+AI15*AG276+AI16*AG276+AI17*AG276+AI18*AG276+AI19*AG276+AI20*AG276+AI21*AG276+AI22*AG276+AI23*AG276+AI24*AG276+AI25*AG276+AI26*AG276+AJ5*AG276+AJ6*AG276+AJ7*AG276+AJ8*AG276+AJ9*AG276+AJ10*AG276+AJ11*AG276+AJ12*AG276+AJ13*AG276+AJ14*AG276+AJ15*AG276+AJ16*AG276+AJ17*AG276+AJ18*AG276+AJ19*AG276+AJ20*AG276+AJ21*AG276+AJ22*AG276+AJ23*AG276+AJ24*AG276+AJ25*AG276+AJ26*AG276</f>
        <v>0</v>
      </c>
      <c r="AI276" s="41"/>
      <c r="AJ276" s="41"/>
      <c r="AL276" s="46">
        <v>6</v>
      </c>
      <c r="AM276" s="41">
        <f>AM5*AL276+AM6*AL276+AM7*AL276+AM8*AL276+AM9*AL276+AM10*AL276+AM11*AL276+AM12*AL276+AM13*AL276+AM14*AL276+AM15*AL276+AM16*AL276+AM17*AL276+AM18*AL276+AM19*AL276+AM20*AL276+AM21*AL276+AM22*AL276+AM23*AL276+AM24*AL276+AM25*AL276+AM26*AL276+AN5*AL276+AN6*AL276+AN7*AL276+AN8*AL276+AN9*AL276+AN10*AL276+AN11*AL276+AN12*AL276+AN13*AL276+AN14*AL276+AN15*AL276+AN16*AL276+AN17*AL276+AN18*AL276+AN19*AL276+AN20*AL276+AN21*AL276+AN22*AL276+AN23*AL276+AN24*AL276+AN25*AL276+AN26*AL276+AO5*AL276+AO6*AL276+AO7*AL276+AO8*AL276+AO9*AL276+AO10*AL276+AO11*AL276+AO12*AL276+AO13*AL276+AO14*AL276+AO15*AL276+AO16*AL276+AO17*AL276+AO18*AL276+AO19*AL276+AO20*AL276+AO21*AL276+AO22*AL276+AO23*AL276+AO24*AL276+AO25*AL276+AO26*AL276</f>
        <v>0</v>
      </c>
      <c r="AN276" s="41"/>
      <c r="AO276" s="41"/>
      <c r="AQ276" s="49">
        <v>6</v>
      </c>
      <c r="AR276" s="41">
        <f>AR5*AQ276+AR6*AQ276+AR7*AQ276+AR8*AQ276+AR9*AQ276+AR10*AQ276+AR11*AQ276+AR12*AQ276+AR13*AQ276+AR14*AQ276+AR15*AQ276+AR16*AQ276+AR17*AQ276+AR18*AQ276+AR19*AQ276+AR20*AQ276+AR21*AQ276+AR22*AQ276+AR23*AQ276+AR24*AQ276+AR25*AQ276+AR26*AQ276+AS5*AQ276+AS6*AQ276+AS7*AQ276+AS8*AQ276+AS9*AQ276+AS10*AQ276+AS11*AQ276+AS12*AQ276+AS13*AQ276+AS14*AQ276+AS15*AQ276+AS16*AQ276+AS17*AQ276+AS18*AQ276+AS19*AQ276+AS20*AQ276+AS21*AQ276+AS22*AQ276+AS23*AQ276+AS24*AQ276+AS25*AQ276+AS26*AQ276+AT5*AQ276+AT6*AQ276+AT7*AQ276+AT8*AQ276+AT9*AQ276+AT10*AQ276+AT11*AQ276+AT12*AQ276+AT13*AQ276+AT14*AQ276+AT15*AQ276+AT16*AQ276+AT17*AQ276+AT18*AQ276+AT19*AQ276+AT20*AQ276+AT21*AQ276+AT22*AQ276+AT23*AQ276+AT24*AQ276+AT25*AQ276+AT26*AQ276</f>
        <v>0</v>
      </c>
      <c r="AS276" s="41"/>
      <c r="AT276" s="41"/>
      <c r="AV276" s="139"/>
      <c r="AW276" s="139"/>
      <c r="AX276" s="139"/>
      <c r="AY276" s="140"/>
      <c r="BA276" s="139"/>
      <c r="BB276" s="139"/>
      <c r="BC276" s="139"/>
      <c r="BD276" s="41"/>
      <c r="BF276" s="60">
        <v>3</v>
      </c>
      <c r="BG276" s="41">
        <f>SUM(BG5:BG26,BH5:BH26,BI5:BI26)*BF276</f>
        <v>0</v>
      </c>
      <c r="BH276" s="40"/>
      <c r="BI276" s="41"/>
      <c r="BK276" s="142">
        <v>3</v>
      </c>
      <c r="BL276" s="140">
        <f>SUM(BL5:BL26,BM5:BM26,BN5:BN26)*BK276</f>
        <v>0</v>
      </c>
      <c r="BM276" s="40"/>
      <c r="BN276" s="41"/>
      <c r="BP276" s="62">
        <v>3</v>
      </c>
      <c r="BQ276" s="140">
        <f>SUM(BQ5:BQ26,BR5:BR26,BS5:BS26)*BP276</f>
        <v>0</v>
      </c>
      <c r="BR276" s="40"/>
      <c r="BS276" s="41"/>
      <c r="BU276" s="62">
        <v>3</v>
      </c>
      <c r="BV276" s="41">
        <f>SUM(BV5:BV26,BW5:BW26,BX5:BX26)*BU276</f>
        <v>0</v>
      </c>
      <c r="BW276" s="40"/>
      <c r="BX276" s="41"/>
      <c r="BZ276" s="61">
        <v>6</v>
      </c>
      <c r="CA276" s="41">
        <f>SUM(CA5:CA26,CB5:CB26,CC5:CC26)*BZ276</f>
        <v>0</v>
      </c>
      <c r="CB276" s="40"/>
      <c r="CC276" s="41"/>
      <c r="CD276" s="140"/>
      <c r="CE276" s="61">
        <v>6</v>
      </c>
      <c r="CF276" s="41">
        <f>SUM(CF5:CF26,CG5:CG26,CH5:CH26)*CE276</f>
        <v>0</v>
      </c>
      <c r="CG276" s="40"/>
      <c r="CH276" s="41"/>
      <c r="CJ276" s="141">
        <v>3</v>
      </c>
      <c r="CK276" s="140">
        <f>CK5*CJ276+CK6*CJ276+CK7*CJ276+CK8*CJ276+CK9*CJ276+CK10*CJ276+CK11*CJ276+CK12*CJ276+CK13*CJ276+CK14*CJ276+CK15*CJ276+CK16*CJ276+CK17*CJ276+CK18*CJ276+CK19*CJ276+CK20*CJ276+CK21*CJ276+CK22*CJ276+CK23*CJ276+CK24*CJ276+CK25*CJ276+CK26*CJ276+CL5*CJ276+CL6*CJ276+CL7*CJ276+CL8*CJ276+CL9*CJ276+CL10*CJ276+CL11*CJ276+CL12*CJ276+CL13*CJ276+CL14*CJ276+CL15*CJ276+CL16*CJ276+CL17*CJ276+CL18*CJ276+CL19*CJ276+CL20*CJ276+CL21*CJ276+CL22*CJ276+CL23*CJ276+CL24*CJ276+CL25*CJ276+CL26*CJ276+CM5*CJ276+CM6*CJ276+CM7*CJ276+CM8*CJ276+CM9*CJ276+CM10*CJ276+CM11*CJ276+CM12*CJ276+CM13*CJ276+CM14*CJ276+CM15*CJ276+CM16*CJ276+CM17*CJ276+CM18*CJ276+CM19*CJ276+CM20*CJ276+CM21*CJ276+CM22*CJ276+CM23*CJ276+CM24*CJ276+CM25*CJ276+CM26*CJ276</f>
        <v>0</v>
      </c>
      <c r="CL276" s="139"/>
      <c r="CM276" s="140"/>
      <c r="CO276" s="223">
        <v>6</v>
      </c>
      <c r="CP276" s="41">
        <f>CP5*CO276+CP6*CO276+CP7*CO276+CP8*CO276+CP9*CO276+CP10*CO276+CP11*CO276+CP12*CO276+CP13*CO276+CP14*CO276+CP15*CO276+CP16*CO276+CP17*CO276+CP18*CO276+CP19*CO276+CP20*CO276+CP21*CO276+CP22*CO276+CP23*CO276+CP24*CO276+CP25*CO276+CP26*CO276+CQ5*CO276+CQ6*CO276+CQ7*CO276+CQ8*CO276+CQ9*CO276+CQ10*CO276+CQ11*CO276+CQ12*CO276+CQ13*CO276+CQ14*CO276+CQ15*CO276+CQ16*CO276+CQ17*CO276+CQ18*CO276+CQ19*CO276+CQ20*CO276+CQ21*CO276+CQ22*CO276+CQ23*CO276+CQ24*CO276+CQ25*CO276+CQ26*CO276+CR5*CO276+CR6*CO276+CR7*CO276+CR8*CO276+CR9*CO276+CR10*CO276+CR11*CO276+CR12*CO276+CR13*CO276+CR14*CO276+CR15*CO276+CR16*CO276+CR17*CO276+CR18*CO276+CR19*CO276+CR20*CO276+CR21*CO276+CR22*CO276+CR23*CO276+CR24*CO276+CR25*CO276+CR26*CO276</f>
        <v>0</v>
      </c>
      <c r="CQ276" s="40"/>
      <c r="CR276" s="41"/>
      <c r="CT276" s="62">
        <v>6</v>
      </c>
      <c r="CU276" s="41">
        <f>SUM(CU5:CU26,CV5:CV26,CW5:CW26)*CT276</f>
        <v>0</v>
      </c>
      <c r="CV276" s="40"/>
      <c r="CW276" s="41"/>
      <c r="CY276" s="62">
        <v>6</v>
      </c>
      <c r="CZ276" s="41">
        <f>SUM(CZ5:CZ26,DA5:DA26,DB5:DB26)*CY276</f>
        <v>0</v>
      </c>
      <c r="DA276" s="40"/>
      <c r="DB276" s="41"/>
      <c r="DD276" s="46">
        <v>6</v>
      </c>
      <c r="DE276" s="41">
        <f>DE5*DD276+DE6*DD276+DE7*DD276+DE8*DD276+DE9*DD276+DE10*DD276+DE11*DD276+DE12*DD276+DE13*DD276+DE14*DD276+DE15*DD276+DE16*DD276+DE17*DD276+DE18*DD276+DE19*DD276+DE20*DD276+DE21*DD276+DE22*DD276+DE23*DD276+DE24*DD276+DE25*DD276+DE26*DD276+DF5*DD276+DF6*DD276+DF7*DD276+DF8*DD276+DF9*DD276+DF10*DD276+DF11*DD276+DF12*DD276+DF13*DD276+DF14*DD276+DF15*DD276+DF16*DD276+DF17*DD276+DF18*DD276+DF19*DD276+DF20*DD276+DF21*DD276+DF22*DD276+DF23*DD276+DF24*DD276+DF25*DD276+DF26*DD276+DG5*DD276+DG6*DD276+DG7*DD276+DG8*DD276+DG9*DD276+DG10*DD276+DG11*DD276+DG12*DD276+DG13*DD276+DG14*DD276+DG15*DD276+DG16*DD276+DG17*DD276+DG18*DD276+DG19*DD276+DG20*DD276+DG21*DD276+DG22*DD276+DG23*DD276+DG24*DD276+DG25*DD276+DG26*DD276</f>
        <v>0</v>
      </c>
      <c r="DF276" s="40"/>
      <c r="DG276" s="41"/>
      <c r="DI276" s="64"/>
      <c r="DJ276" s="41">
        <f>DJ5*DI276+DJ6*DI276+DJ7*DI276+DJ8*DI276+DJ9*DI276+DJ10*DI276+DJ11*DI276+DJ12*DI276+DJ13*DI276+DJ14*DI276+DJ15*DI276+DJ16*DI276+DJ17*DI276+DJ18*DI276+DJ19*DI276+DJ20*DI276+DJ21*DI276+DJ22*DI276+DJ23*DI276+DJ24*DI276+DJ25*DI276+DJ26*DI276+DK5*DI276+DK6*DI276+DK7*DI276+DK8*DI276+DK9*DI276+DK10*DI276+DK11*DI276+DK12*DI276+DK13*DI276+DK14*DI276+DK15*DI276+DK16*DI276+DK17*DI276+DK18*DI276+DK19*DI276+DK20*DI276+DK21*DI276+DK22*DI276+DK23*DI276+DK24*DI276+DK25*DI276+DK26*DI276+DL5*DI276+DL6*DI276+DL7*DI276+DL8*DI276+DL9*DI276+DL10*DI276+DL11*DI276+DL12*DI276+DL13*DI276+DL14*DI276+DL15*DI276+DL16*DI276+DL17*DI276+DL18*DI276+DL19*DI276+DL20*DI276+DL21*DI276+DL22*DI276+DL23*DI276+DL24*DI276+DL25*DI276+DL26*DI276</f>
        <v>0</v>
      </c>
      <c r="DK276" s="64"/>
      <c r="DL276" s="64"/>
      <c r="DN276" s="64"/>
      <c r="DO276" s="41">
        <f>DO5*DN276+DO6*DN276+DO7*DN276+DO8*DN276+DO9*DN276+DO10*DN276+DO11*DN276+DO12*DN276+DO13*DN276+DO14*DN276+DO15*DN276+DO16*DN276+DO17*DN276+DO18*DN276+DO19*DN276+DO20*DN276+DO21*DN276+DO22*DN276+DO23*DN276+DO24*DN276+DO25*DN276+DO26*DN276+DP5*DN276+DP6*DN276+DP7*DN276+DP8*DN276+DP9*DN276+DP10*DN276+DP11*DN276+DP12*DN276+DP13*DN276+DP14*DN276+DP15*DN276+DP16*DN276+DP17*DN276+DP18*DN276+DP19*DN276+DP20*DN276+DP21*DN276+DP22*DN276+DP23*DN276+DP24*DN276+DP25*DN276+DP26*DN276+DQ5*DN276+DQ6*DN276+DQ7*DN276+DQ8*DN276+DQ9*DN276+DQ10*DN276+DQ11*DN276+DQ12*DN276+DQ13*DN276+DQ14*DN276+DQ15*DN276+DQ16*DN276+DQ17*DN276+DQ18*DN276+DQ19*DN276+DQ20*DN276+DQ21*DN276+DQ22*DN276+DQ23*DN276+DQ24*DN276+DQ25*DN276+DQ26*DN276</f>
        <v>0</v>
      </c>
      <c r="DP276" s="64"/>
      <c r="DQ276" s="64"/>
      <c r="DS276" s="60">
        <v>3</v>
      </c>
      <c r="DT276" s="41">
        <f>DT5*DS276+DT6*DS276+DT7*DS276+DT8*DS276+DT9*DS276+DT10*DS276+DT11*DS276+DT12*DS276+DT13*DS276+DT14*DS276+DT15*DS276+DT16*DS276+DT17*DS276+DT18*DS276+DT19*DS276+DT20*DS276+DT21*DS276+DT22*DS276+DT23*DS276+DT24*DS276+DT25*DS276+DT26*DS276+DU5*DS276+DU6*DS276+DU7*DS276+DU8*DS276+DU9*DS276+DU10*DS276+DU11*DS276+DU12*DS276+DU13*DS276+DU14*DS276+DU15*DS276+DU16*DS276+DU17*DS276+DU18*DS276+DU19*DS276+DU20*DS276+DU21*DS276+DU22*DS276+DU23*DS276+DU24*DS276+DU25*DS276+DU26*DS276+DV5*DS276+DV6*DS276+DV7*DS276+DV8*DS276+DV9*DS276+DV10*DS276+DV11*DS276+DV12*DS276+DV13*DS276+DV14*DS276+DV15*DS276+DV16*DS276+DV17*DS276+DV18*DS276+DV19*DS276+DV20*DS276+DV21*DS276+DV22*DS276+DV23*DS276+DV24*DS276+DV25*DS276+DV26*DS276</f>
        <v>0</v>
      </c>
      <c r="DU276" s="64"/>
      <c r="DV276" s="64"/>
      <c r="DX276" s="60">
        <v>3</v>
      </c>
      <c r="DY276" s="41">
        <f>DY5*DX276+DY6*DX276+DY7*DX276+DY8*DX276+DY9*DX276+DY10*DX276+DY11*DX276+DY12*DX276+DY13*DX276+DY14*DX276+DY15*DX276+DY16*DX276+DY17*DX276+DY18*DX276+DY19*DX276+DY20*DX276+DY21*DX276+DY22*DX276+DY23*DX276+DY24*DX276+DY25*DX276+DY26*DX276+DZ5*DX276+DZ6*DX276+DZ7*DX276+DZ8*DX276+DZ9*DX276+DZ10*DX276+DZ11*DX276+DZ12*DX276+DZ13*DX276+DZ14*DX276+DZ15*DX276+DZ16*DX276+DZ17*DX276+DZ18*DX276+DZ19*DX276+DZ20*DX276+DZ21*DX276+DZ22*DX276+DZ23*DX276+DZ24*DX276+DZ25*DX276+DZ26*DX276+EA5*DX276+EA6*DX276+EA7*DX276+EA8*DX276+EA9*DX276+EA10*DX276+EA11*DX276+EA12*DX276+EA13*DX276+EA14*DX276+EA15*DX276+EA16*DX276+EA17*DX276+EA18*DX276+EA19*DX276+EA20*DX276+EA21*DX276+EA22*DX276+EA23*DX276+EA24*DX276+EA25*DX276+EA26*DX276</f>
        <v>0</v>
      </c>
      <c r="DZ276" s="64"/>
      <c r="EA276" s="64"/>
      <c r="EC276" s="60">
        <v>6</v>
      </c>
      <c r="ED276" s="41">
        <f>ED5*EC276+ED6*EC276+ED7*EC276+ED8*EC276+ED9*EC276+ED10*EC276+ED11*EC276+ED12*EC276+ED13*EC276+ED14*EC276+ED15*EC276+ED16*EC276+ED17*EC276+ED18*EC276+ED19*EC276+ED20*EC276+ED21*EC276+ED22*EC276+ED23*EC276+ED24*EC276+ED25*EC276+ED26*EC276+EE5*EC276+EE6*EC276+EE7*EC276+EE8*EC276+EE9*EC276+EE10*EC276+EE11*EC276+EE12*EC276+EE13*EC276+EE14*EC276+EE15*EC276+EE16*EC276+EE17*EC276+EE18*EC276+EE19*EC276+EE20*EC276+EE21*EC276+EE22*EC276+EE23*EC276+EE24*EC276+EE25*EC276+EE26*EC276+EF5*EC276+EF6*EC276+EF7*EC276+EF8*EC276+EF9*EC276+EF10*EC276+EF11*EC276+EF12*EC276+EF13*EC276+EF14*EC276+EF15*EC276+EF16*EC276+EF17*EC276+EF18*EC276+EF19*EC276+EF20*EC276+EF21*EC276+EF22*EC276+EF23*EC276+EF24*EC276+EF25*EC276+EF26*EC276</f>
        <v>0</v>
      </c>
      <c r="EE276" s="64"/>
      <c r="EF276" s="64"/>
      <c r="EH276" s="60">
        <v>6</v>
      </c>
      <c r="EI276" s="41">
        <f>EI5*EH276+EI6*EH276+EI7*EH276+EI8*EH276+EI9*EH276+EI10*EH276+EI11*EH276+EI12*EH276+EI13*EH276+EI14*EH276+EI15*EH276+EI16*EH276+EI17*EH276+EI18*EH276+EI19*EH276+EI20*EH276+EI21*EH276+EI22*EH276+EI23*EH276+EI24*EH276+EI25*EH276+EI26*EH276+EJ5*EH276+EJ6*EH276+EJ7*EH276+EJ8*EH276+EJ9*EH276+EJ10*EH276+EJ11*EH276+EJ12*EH276+EJ13*EH276+EJ14*EH276+EJ15*EH276+EJ16*EH276+EJ17*EH276+EJ18*EH276+EJ19*EH276+EJ20*EH276+EJ21*EH276+EJ22*EH276+EJ23*EH276+EJ24*EH276+EJ25*EH276+EJ26*EH276+EK5*EH276+EK6*EH276+EK7*EH276+EK8*EH276+EK9*EH276+EK10*EH276+EK11*EH276+EK12*EH276+EK13*EH276+EK14*EH276+EK15*EH276+EK16*EH276+EK17*EH276+EK18*EH276+EK19*EH276+EK20*EH276+EK21*EH276+EK22*EH276+EK23*EH276+EK24*EH276+EK25*EH276+EK26*EH276</f>
        <v>0</v>
      </c>
      <c r="EJ276" s="64"/>
      <c r="EK276" s="64"/>
      <c r="ER276" s="855"/>
      <c r="EX276" s="203">
        <f t="shared" si="1"/>
        <v>0</v>
      </c>
      <c r="EY276" s="116">
        <v>34</v>
      </c>
    </row>
    <row r="277" spans="1:155" s="6" customFormat="1" ht="15" customHeight="1">
      <c r="A277" s="90" t="s">
        <v>176</v>
      </c>
      <c r="B277" s="210" t="s">
        <v>1289</v>
      </c>
      <c r="C277" s="473" t="s">
        <v>515</v>
      </c>
      <c r="D277" s="138"/>
      <c r="E277" s="62">
        <v>1</v>
      </c>
      <c r="F277" s="140">
        <f>SUM(F5:F26,G5:G26,H5:H26)*E277</f>
        <v>0</v>
      </c>
      <c r="G277" s="140"/>
      <c r="H277" s="140"/>
      <c r="I277" s="4"/>
      <c r="J277" s="4"/>
      <c r="K277" s="4"/>
      <c r="L277" s="4"/>
      <c r="M277" s="658">
        <v>3</v>
      </c>
      <c r="N277" s="658">
        <f>SUM(N5:N26,O5:O26,P5:P26)*M277</f>
        <v>0</v>
      </c>
      <c r="O277" s="4"/>
      <c r="P277" s="4"/>
      <c r="Q277" s="4"/>
      <c r="R277" s="46">
        <v>3</v>
      </c>
      <c r="S277" s="41">
        <f>S26*R277+T26*R277+S5*R277+T5*R277+S6*R277+T6*R277+S7*R277+T7*R277+S8*R277+S9*R277+S10*R277+S11*R277+S12*R277+S13*R277+S14*R277+S15*R277+S16*R277+S17*R277+S18*R277+S19*R277+S20*R277+S21*R277+S22*R277+S23*R277+S24*R277+S25*R277+T8*R277+T9*R277+T10*R277+T11*R277+T12*R277+T13*R277+T14*R277+T15*R277+T16*R277+T17*R277+T18*R277+T19*R277+T20*R277+T21*R277+T22*R277+T23*R277+T24*R277+T25*R277+U5*R277+U6*R277+U7*R277+U8*R277+U9*R277+U10*R277+U11*R277+U12*R277+U13*R277+U14*R277+U15*R277+U16*R277+U17*R277+U18*R277+U19*R277+U20*R277+U21*R277+U22*R277+U23*R277+U24*R277+U25*R277+U26*R277</f>
        <v>0</v>
      </c>
      <c r="T277" s="140"/>
      <c r="U277" s="41"/>
      <c r="W277" s="46">
        <v>3</v>
      </c>
      <c r="X277" s="41">
        <f>X26*W277+Y26*W277+X5*W277+Y5*W277+X6*W277+Y6*W277+X7*W277+Y7*W277+X8*W277+X9*W277+X10*W277+X11*W277+X12*W277+X13*W277+X14*W277+X15*W277+X16*W277+X17*W277+X18*W277+X19*W277+X20*W277+X21*W277+X22*W277+X23*W277+X24*W277+X25*W277+Y8*W277+Y9*W277+Y10*W277+Y11*W277+Y12*W277+Y13*W277+Y14*W277+Y15*W277+Y16*W277+Y17*W277+Y18*W277+Y19*W277+Y20*W277+Y21*W277+Y22*W277+Y23*W277+Y24*W277+Y25*W277+Z5*W277+Z6*W277+Z7*W277+Z8*W277+Z9*W277+Z10*W277+Z11*W277+Z12*W277+Z13*W277+Z14*W277+Z15*W277+Z16*W277+Z17*W277+Z18*W277+Z19*W277+Z20*W277+Z21*W277+Z22*W277+Z23*W277+Z24*W277+Z25*W277+Z26*W277</f>
        <v>0</v>
      </c>
      <c r="Y277" s="41"/>
      <c r="Z277" s="41"/>
      <c r="AB277" s="46">
        <v>3</v>
      </c>
      <c r="AC277" s="41">
        <f>AC26*AB277+AD26*AB277+AC5*AB277+AD5*AB277+AC6*AB277+AD6*AB277+AC7*AB277+AD7*AB277+AC8*AB277+AC9*AB277+AC10*AB277+AC11*AB277+AC12*AB277+AC13*AB277+AC14*AB277+AC15*AB277+AC16*AB277+AC17*AB277+AC18*AB277+AC19*AB277+AC20*AB277+AC21*AB277+AC22*AB277+AC23*AB277+AC24*AB277+AC25*AB277+AD8*AB277+AD9*AB277+AD10*AB277+AD11*AB277+AD12*AB277+AD13*AB277+AD14*AB277+AD15*AB277+AD16*AB277+AD17*AB277+AD18*AB277+AD19*AB277+AD20*AB277+AD21*AB277+AD22*AB277+AD23*AB277+AD24*AB277+AD25*AB277+AE5*AB277+AE6*AB277+AE7*AB277+AE8*AB277+AE9*AB277+AE10*AB277+AE11*AB277+AE12*AB277+AE13*AB277+AE14*AB277+AE15*AB277+AE16*AB277+AE17*AB277+AE18*AB277+AE19*AB277+AE20*AB277+AE21*AB277+AE22*AB277+AE23*AB277+AE24*AB277+AE25*AB277+AE26*AB277</f>
        <v>0</v>
      </c>
      <c r="AD277" s="41"/>
      <c r="AE277" s="41"/>
      <c r="AG277" s="40"/>
      <c r="AH277" s="41"/>
      <c r="AI277" s="41"/>
      <c r="AJ277" s="41"/>
      <c r="AL277" s="40"/>
      <c r="AM277" s="41"/>
      <c r="AN277" s="41"/>
      <c r="AO277" s="41"/>
      <c r="AQ277" s="49">
        <v>3</v>
      </c>
      <c r="AR277" s="41">
        <f>AR26*AQ277+AS26*AQ277+AR5*AQ277+AS5*AQ277+AR6*AQ277+AS6*AQ277+AR7*AQ277+AS7*AQ277+AR8*AQ277+AR9*AQ277+AR10*AQ277+AR11*AQ277+AR12*AQ277+AR13*AQ277+AR14*AQ277+AR15*AQ277+AR16*AQ277+AR17*AQ277+AR18*AQ277+AR19*AQ277+AR20*AQ277+AR21*AQ277+AR22*AQ277+AR23*AQ277+AR24*AQ277+AR25*AQ277+AS8*AQ277+AS9*AQ277+AS10*AQ277+AS11*AQ277+AS12*AQ277+AS13*AQ277+AS14*AQ277+AS15*AQ277+AS16*AQ277+AS17*AQ277+AS18*AQ277+AS19*AQ277+AS20*AQ277+AS21*AQ277+AS22*AQ277+AS23*AQ277+AS24*AQ277+AS25*AQ277+AT5*AQ277+AT6*AQ277+AT7*AQ277+AT8*AQ277+AT9*AQ277+AT10*AQ277+AT11*AQ277+AT12*AQ277+AT13*AQ277+AT14*AQ277+AT15*AQ277+AT16*AQ277+AT17*AQ277+AT18*AQ277+AT19*AQ277+AT20*AQ277+AT21*AQ277+AT22*AQ277+AT23*AQ277+AT24*AQ277+AT25*AQ277+AT26*AQ277</f>
        <v>0</v>
      </c>
      <c r="AS277" s="41"/>
      <c r="AT277" s="41"/>
      <c r="AV277" s="51">
        <v>3</v>
      </c>
      <c r="AW277" s="140">
        <f>AW26*AV277+AX26*AV277+AW5*AV277+AX5*AV277+AW6*AV277+AX6*AV277+AW7*AV277+AX7*AV277+AW8*AV277+AW9*AV277+AW10*AV277+AW11*AV277+AW12*AV277+AW13*AV277+AW14*AV277+AW15*AV277+AW16*AV277+AW17*AV277+AW18*AV277+AW19*AV277+AW20*AV277+AW21*AV277+AW22*AV277+AW23*AV277+AW24*AV277+AW25*AV277+AX8*AV277+AX9*AV277+AX10*AV277+AX11*AV277+AX12*AV277+AX13*AV277+AX14*AV277+AX15*AV277+AX16*AV277+AX17*AV277+AX18*AV277+AX19*AV277+AX20*AV277+AX21*AV277+AX22*AV277+AX23*AV277+AX24*AV277+AX25*AV277+AY5*AV277+AY6*AV277+AY7*AV277+AY8*AV277+AY9*AV277+AY10*AV277+AY11*AV277+AY12*AV277+AY13*AV277+AY14*AV277+AY15*AV277+AY16*AV277+AY17*AV277+AY18*AV277+AY19*AV277+AY20*AV277+AY21*AV277+AY22*AV277+AY23*AV277+AY24*AV277+AY25*AV277+AY26*AV277</f>
        <v>0</v>
      </c>
      <c r="AX277" s="139"/>
      <c r="AY277" s="140"/>
      <c r="BA277" s="51">
        <v>3</v>
      </c>
      <c r="BB277" s="140">
        <f>BB26*BA277+BC26*BA277+BB5*BA277+BC5*BA277+BB6*BA277+BC6*BA277+BB7*BA277+BC7*BA277+BB8*BA277+BB9*BA277+BB10*BA277+BB11*BA277+BB12*BA277+BB13*BA277+BB14*BA277+BB15*BA277+BB16*BA277+BB17*BA277+BB18*BA277+BB19*BA277+BB20*BA277+BB21*BA277+BB22*BA277+BB23*BA277+BB24*BA277+BB25*BA277+BC8*BA277+BC9*BA277+BC10*BA277+BC11*BA277+BC12*BA277+BC13*BA277+BC14*BA277+BC15*BA277+BC16*BA277+BC17*BA277+BC18*BA277+BC19*BA277+BC20*BA277+BC21*BA277+BC22*BA277+BC23*BA277+BC24*BA277+BC25*BA277+BD5*BA277+BD6*BA277+BD7*BA277+BD8*BA277+BD9*BA277+BD10*BA277+BD11*BA277+BD12*BA277+BD13*BA277+BD14*BA277+BD15*BA277+BD16*BA277+BD17*BA277+BD18*BA277+BD19*BA277+BD20*BA277+BD21*BA277+BD22*BA277+BD23*BA277+BD24*BA277+BD25*BA277+BD26*BA277</f>
        <v>0</v>
      </c>
      <c r="BC277" s="139"/>
      <c r="BD277" s="41"/>
      <c r="BF277" s="40"/>
      <c r="BG277" s="40"/>
      <c r="BH277" s="40"/>
      <c r="BI277" s="41"/>
      <c r="BK277" s="142">
        <v>1</v>
      </c>
      <c r="BL277" s="140">
        <f>SUM(BL5:BL26,BM5:BM26,BN5:BN26)*BK277</f>
        <v>0</v>
      </c>
      <c r="BM277" s="40"/>
      <c r="BN277" s="41"/>
      <c r="BP277" s="62">
        <v>1</v>
      </c>
      <c r="BQ277" s="140">
        <f>SUM(BQ5:BQ26,BR5:BR26,BS5:BS26)*BP277</f>
        <v>0</v>
      </c>
      <c r="BR277" s="40"/>
      <c r="BS277" s="41"/>
      <c r="BU277" s="46">
        <v>1</v>
      </c>
      <c r="BV277" s="41">
        <f>SUM(BV5:BV26,BW5:BW26,BX5:BX26)*BU277</f>
        <v>0</v>
      </c>
      <c r="BW277" s="40"/>
      <c r="BX277" s="41"/>
      <c r="BZ277" s="46">
        <v>2</v>
      </c>
      <c r="CA277" s="41">
        <f>SUM(CA5:CA26,CB5:CB26,CC5:CC26)*BZ277</f>
        <v>0</v>
      </c>
      <c r="CB277" s="40"/>
      <c r="CC277" s="41"/>
      <c r="CD277" s="140"/>
      <c r="CE277" s="46">
        <v>2</v>
      </c>
      <c r="CF277" s="41">
        <f>SUM(CF5:CF26,CG5:CG26,CH5:CH26)*CE277</f>
        <v>0</v>
      </c>
      <c r="CG277" s="40"/>
      <c r="CH277" s="41"/>
      <c r="CJ277" s="141">
        <v>3</v>
      </c>
      <c r="CK277" s="140">
        <f>CK26*CJ277+CL26*CJ277+CK5*CJ277+CL5*CJ277+CK6*CJ277+CL6*CJ277+CK7*CJ277+CL7*CJ277+CK8*CJ277+CK9*CJ277+CK10*CJ277+CK11*CJ277+CK12*CJ277+CK13*CJ277+CK14*CJ277+CK15*CJ277+CK16*CJ277+CK17*CJ277+CK18*CJ277+CK19*CJ277+CK20*CJ277+CK21*CJ277+CK22*CJ277+CK23*CJ277+CK24*CJ277+CK25*CJ277+CL8*CJ277+CL9*CJ277+CL10*CJ277+CL11*CJ277+CL12*CJ277+CL13*CJ277+CL14*CJ277+CL15*CJ277+CL16*CJ277+CL17*CJ277+CL18*CJ277+CL19*CJ277+CL20*CJ277+CL21*CJ277+CL22*CJ277+CL23*CJ277+CL24*CJ277+CL25*CJ277+CM5*CJ277+CM6*CJ277+CM7*CJ277+CM8*CJ277+CM9*CJ277+CM10*CJ277+CM11*CJ277+CM12*CJ277+CM13*CJ277+CM14*CJ277+CM15*CJ277+CM16*CJ277+CM17*CJ277+CM18*CJ277+CM19*CJ277+CM20*CJ277+CM21*CJ277+CM22*CJ277+CM23*CJ277+CM24*CJ277+CM25*CJ277+CM26*CJ277</f>
        <v>0</v>
      </c>
      <c r="CL277" s="139"/>
      <c r="CM277" s="140"/>
      <c r="CO277" s="223">
        <v>3</v>
      </c>
      <c r="CP277" s="41">
        <f>CP26*CO277+CQ26*CO277+CP5*CO277+CQ5*CO277+CP6*CO277+CQ6*CO277+CP7*CO277+CQ7*CO277+CP8*CO277+CP9*CO277+CP10*CO277+CP11*CO277+CP12*CO277+CP13*CO277+CP14*CO277+CP15*CO277+CP16*CO277+CP17*CO277+CP18*CO277+CP19*CO277+CP20*CO277+CP21*CO277+CP22*CO277+CP23*CO277+CP24*CO277+CP25*CO277+CQ8*CO277+CQ9*CO277+CQ10*CO277+CQ11*CO277+CQ12*CO277+CQ13*CO277+CQ14*CO277+CQ15*CO277+CQ16*CO277+CQ17*CO277+CQ18*CO277+CQ19*CO277+CQ20*CO277+CQ21*CO277+CQ22*CO277+CQ23*CO277+CQ24*CO277+CQ25*CO277+CR5*CO277+CR6*CO277+CR7*CO277+CR8*CO277+CR9*CO277+CR10*CO277+CR11*CO277+CR12*CO277+CR13*CO277+CR14*CO277+CR15*CO277+CR16*CO277+CR17*CO277+CR18*CO277+CR19*CO277+CR20*CO277+CR21*CO277+CR22*CO277+CR23*CO277+CR24*CO277+CR25*CO277+CR26*CO277</f>
        <v>0</v>
      </c>
      <c r="CQ277" s="40"/>
      <c r="CR277" s="41"/>
      <c r="CT277" s="62">
        <v>3</v>
      </c>
      <c r="CU277" s="41">
        <f>SUM(CU5:CU26,CV5:CV26,CW5:CW26)*CT277-CU182</f>
        <v>0</v>
      </c>
      <c r="CV277" s="40"/>
      <c r="CW277" s="41"/>
      <c r="CY277" s="46">
        <v>1</v>
      </c>
      <c r="CZ277" s="41">
        <f>SUM(CZ5:CZ26,DA5:DA26,DB5:DB26)*CY277</f>
        <v>0</v>
      </c>
      <c r="DA277" s="40"/>
      <c r="DB277" s="41"/>
      <c r="DD277" s="40"/>
      <c r="DE277" s="40"/>
      <c r="DF277" s="40"/>
      <c r="DG277" s="41"/>
      <c r="DI277" s="71">
        <v>4</v>
      </c>
      <c r="DJ277" s="64">
        <f>DJ26*DI277+DK26*DI277+DJ5*DI277+DK5*DI277+DJ6*DI277+DK6*DI277+DJ7*DI277+DK7*DI277+DJ8*DI277+DJ9*DI277+DJ10*DI277+DJ11*DI277+DJ12*DI277+DJ13*DI277+DJ14*DI277+DJ15*DI277+DJ16*DI277+DJ17*DI277+DJ18*DI277+DJ19*DI277+DJ20*DI277+DJ21*DI277+DJ22*DI277+DJ23*DI277+DJ24*DI277+DJ25*DI277+DK8*DI277+DK9*DI277+DK10*DI277+DK11*DI277+DK12*DI277+DK13*DI277+DK14*DI277+DK15*DI277+DK16*DI277+DK17*DI277+DK18*DI277+DK19*DI277+DK20*DI277+DK21*DI277+DK22*DI277+DK23*DI277+DK24*DI277+DK25*DI277+DL5*DI277+DL6*DI277+DL7*DI277+DL8*DI277+DL9*DI277+DL10*DI277+DL11*DI277+DL12*DI277+DL13*DI277+DL14*DI277+DL15*DI277+DL16*DI277+DL17*DI277+DL18*DI277+DL19*DI277+DL20*DI277+DL21*DI277+DL22*DI277+DL23*DI277+DL24*DI277+DL25*DI277+DL26*DI277</f>
        <v>0</v>
      </c>
      <c r="DK277" s="64"/>
      <c r="DL277" s="64"/>
      <c r="DN277" s="71">
        <v>4</v>
      </c>
      <c r="DO277" s="64">
        <f>DO26*DN277+DP26*DN277+DO5*DN277+DP5*DN277+DO6*DN277+DP6*DN277+DO7*DN277+DP7*DN277+DO8*DN277+DO9*DN277+DO10*DN277+DO11*DN277+DO12*DN277+DO13*DN277+DO14*DN277+DO15*DN277+DO16*DN277+DO17*DN277+DO18*DN277+DO19*DN277+DO20*DN277+DO21*DN277+DO22*DN277+DO23*DN277+DO24*DN277+DO25*DN277+DP8*DN277+DP9*DN277+DP10*DN277+DP11*DN277+DP12*DN277+DP13*DN277+DP14*DN277+DP15*DN277+DP16*DN277+DP17*DN277+DP18*DN277+DP19*DN277+DP20*DN277+DP21*DN277+DP22*DN277+DP23*DN277+DP24*DN277+DP25*DN277+DQ5*DN277+DQ6*DN277+DQ7*DN277+DQ8*DN277+DQ9*DN277+DQ10*DN277+DQ11*DN277+DQ12*DN277+DQ13*DN277+DQ14*DN277+DQ15*DN277+DQ16*DN277+DQ17*DN277+DQ18*DN277+DQ19*DN277+DQ20*DN277+DQ21*DN277+DQ22*DN277+DQ23*DN277+DQ24*DN277+DQ25*DN277+DQ26*DN277</f>
        <v>0</v>
      </c>
      <c r="DP277" s="64"/>
      <c r="DQ277" s="64"/>
      <c r="DS277" s="60">
        <v>3</v>
      </c>
      <c r="DT277" s="64">
        <f>DT26*DS277+DU26*DS277+DT5*DS277+DU5*DS277+DT6*DS277+DU6*DS277+DT7*DS277+DU7*DS277+DT8*DS277+DT9*DS277+DT10*DS277+DT11*DS277+DT12*DS277+DT13*DS277+DT14*DS277+DT15*DS277+DT16*DS277+DT17*DS277+DT18*DS277+DT19*DS277+DT20*DS277+DT21*DS277+DT22*DS277+DT23*DS277+DT24*DS277+DT25*DS277+DU8*DS277+DU9*DS277+DU10*DS277+DU11*DS277+DU12*DS277+DU13*DS277+DU14*DS277+DU15*DS277+DU16*DS277+DU17*DS277+DU18*DS277+DU19*DS277+DU20*DS277+DU21*DS277+DU22*DS277+DU23*DS277+DU24*DS277+DU25*DS277+DV5*DS277+DV6*DS277+DV7*DS277+DV8*DS277+DV9*DS277+DV10*DS277+DV11*DS277+DV12*DS277+DV13*DS277+DV14*DS277+DV15*DS277+DV16*DS277+DV17*DS277+DV18*DS277+DV19*DS277+DV20*DS277+DV21*DS277+DV22*DS277+DV23*DS277+DV24*DS277+DV25*DS277+DV26*DS277</f>
        <v>0</v>
      </c>
      <c r="DU277" s="64"/>
      <c r="DV277" s="64"/>
      <c r="DX277" s="60">
        <v>1</v>
      </c>
      <c r="DY277" s="64">
        <f>DY26*DX277+DZ26*DX277+DY5*DX277+DZ5*DX277+DY6*DX277+DZ6*DX277+DY7*DX277+DZ7*DX277+DY8*DX277+DY9*DX277+DY10*DX277+DY11*DX277+DY12*DX277+DY13*DX277+DY14*DX277+DY15*DX277+DY16*DX277+DY17*DX277+DY18*DX277+DY19*DX277+DY20*DX277+DY21*DX277+DY22*DX277+DY23*DX277+DY24*DX277+DY25*DX277+DZ8*DX277+DZ9*DX277+DZ10*DX277+DZ11*DX277+DZ12*DX277+DZ13*DX277+DZ14*DX277+DZ15*DX277+DZ16*DX277+DZ17*DX277+DZ18*DX277+DZ19*DX277+DZ20*DX277+DZ21*DX277+DZ22*DX277+DZ23*DX277+DZ24*DX277+DZ25*DX277+EA5*DX277+EA6*DX277+EA7*DX277+EA8*DX277+EA9*DX277+EA10*DX277+EA11*DX277+EA12*DX277+EA13*DX277+EA14*DX277+EA15*DX277+EA16*DX277+EA17*DX277+EA18*DX277+EA19*DX277+EA20*DX277+EA21*DX277+EA22*DX277+EA23*DX277+EA24*DX277+EA25*DX277+EA26*DX277</f>
        <v>0</v>
      </c>
      <c r="DZ277" s="64"/>
      <c r="EA277" s="64"/>
      <c r="EC277" s="60">
        <v>4</v>
      </c>
      <c r="ED277" s="64">
        <f>ED26*EC277+EE26*EC277+ED5*EC277+EE5*EC277+ED6*EC277+EE6*EC277+ED7*EC277+EE7*EC277+ED8*EC277+ED9*EC277+ED10*EC277+ED11*EC277+ED12*EC277+ED13*EC277+ED14*EC277+ED15*EC277+ED16*EC277+ED17*EC277+ED18*EC277+ED19*EC277+ED20*EC277+ED21*EC277+ED22*EC277+ED23*EC277+ED24*EC277+ED25*EC277+EE8*EC277+EE9*EC277+EE10*EC277+EE11*EC277+EE12*EC277+EE13*EC277+EE14*EC277+EE15*EC277+EE16*EC277+EE17*EC277+EE18*EC277+EE19*EC277+EE20*EC277+EE21*EC277+EE22*EC277+EE23*EC277+EE24*EC277+EE25*EC277+EF5*EC277+EF6*EC277+EF7*EC277+EF8*EC277+EF9*EC277+EF10*EC277+EF11*EC277+EF12*EC277+EF13*EC277+EF14*EC277+EF15*EC277+EF16*EC277+EF17*EC277+EF18*EC277+EF19*EC277+EF20*EC277+EF21*EC277+EF22*EC277+EF23*EC277+EF24*EC277+EF25*EC277+EF26*EC277</f>
        <v>0</v>
      </c>
      <c r="EE277" s="64"/>
      <c r="EF277" s="64"/>
      <c r="EH277" s="60">
        <v>4</v>
      </c>
      <c r="EI277" s="64">
        <f>EI26*EH277+EJ26*EH277+EI5*EH277+EJ5*EH277+EI6*EH277+EJ6*EH277+EI7*EH277+EJ7*EH277+EI8*EH277+EI9*EH277+EI10*EH277+EI11*EH277+EI12*EH277+EI13*EH277+EI14*EH277+EI15*EH277+EI16*EH277+EI17*EH277+EI18*EH277+EI19*EH277+EI20*EH277+EI21*EH277+EI22*EH277+EI23*EH277+EI24*EH277+EI25*EH277+EJ8*EH277+EJ9*EH277+EJ10*EH277+EJ11*EH277+EJ12*EH277+EJ13*EH277+EJ14*EH277+EJ15*EH277+EJ16*EH277+EJ17*EH277+EJ18*EH277+EJ19*EH277+EJ20*EH277+EJ21*EH277+EJ22*EH277+EJ23*EH277+EJ24*EH277+EJ25*EH277+EK5*EH277+EK6*EH277+EK7*EH277+EK8*EH277+EK9*EH277+EK10*EH277+EK11*EH277+EK12*EH277+EK13*EH277+EK14*EH277+EK15*EH277+EK16*EH277+EK17*EH277+EK18*EH277+EK19*EH277+EK20*EH277+EK21*EH277+EK22*EH277+EK23*EH277+EK24*EH277+EK25*EH277+EK26*EH277</f>
        <v>0</v>
      </c>
      <c r="EJ277" s="64"/>
      <c r="EK277" s="64"/>
      <c r="ER277" s="855"/>
      <c r="EX277" s="203">
        <f t="shared" si="1"/>
        <v>0</v>
      </c>
      <c r="EY277" s="142">
        <v>13</v>
      </c>
    </row>
    <row r="278" spans="1:155" s="6" customFormat="1" ht="15" customHeight="1">
      <c r="A278" s="90" t="s">
        <v>68</v>
      </c>
      <c r="B278" s="210" t="s">
        <v>1290</v>
      </c>
      <c r="C278" s="473" t="s">
        <v>515</v>
      </c>
      <c r="D278" s="138"/>
      <c r="E278" s="62">
        <v>1</v>
      </c>
      <c r="F278" s="140">
        <f>SUM(F5:F26,G5:G26,H5:H26)*E278</f>
        <v>0</v>
      </c>
      <c r="G278" s="140"/>
      <c r="H278" s="140"/>
      <c r="I278" s="4"/>
      <c r="J278" s="4"/>
      <c r="K278" s="4"/>
      <c r="L278" s="4"/>
      <c r="M278" s="658">
        <v>3</v>
      </c>
      <c r="N278" s="658">
        <f>SUM(N5:N26,O5:O26,P5:P26)*M278</f>
        <v>0</v>
      </c>
      <c r="O278" s="4"/>
      <c r="P278" s="4"/>
      <c r="Q278" s="4"/>
      <c r="R278" s="46">
        <v>3</v>
      </c>
      <c r="S278" s="41">
        <f>S5*R278+T5*R278+S6*R278+T6*R278+S7*R278+T7*R278+S8*R278+T8*R278+S9*R278+S10*R278+S11*R278+S12*R278+S13*R278+S14*R278+S15*R278+S16*R278+S17*R278+S18*R278+S19*R278+S20*R278+S21*R278+S22*R278+S23*R278+S24*R278+S25*R278+S26*R278+T9*R278+T10*R278+T11*R278+T12*R278+T13*R278+T14*R278+T15*R278+T16*R278+T17*R278+T18*R278+T19*R278+T20*R278+T21*R278+T22*R278+T23*R278+T24*R278+T25*R278+T26*R278+U6*R278+U7*R278+U8*R278+U9*R278+U10*R278+U11*R278+U12*R278+U13*R278+U14*R278+U15*R278+U16*R278+U17*R278+U18*R278+U19*R278+U20*R278+U21*R278+U22*R278+U23*R278+U24*R278+U25*R278+U26*R278+U5*R278</f>
        <v>0</v>
      </c>
      <c r="T278" s="140"/>
      <c r="U278" s="41"/>
      <c r="W278" s="46">
        <v>3</v>
      </c>
      <c r="X278" s="41">
        <f>X5*W278+Y5*W278+X6*W278+Y6*W278+X7*W278+Y7*W278+X8*W278+Y8*W278+X9*W278+X10*W278+X11*W278+X12*W278+X13*W278+X14*W278+X15*W278+X16*W278+X17*W278+X18*W278+X19*W278+X20*W278+X21*W278+X22*W278+X23*W278+X24*W278+X25*W278+X26*W278+Y9*W278+Y10*W278+Y11*W278+Y12*W278+Y13*W278+Y14*W278+Y15*W278+Y16*W278+Y17*W278+Y18*W278+Y19*W278+Y20*W278+Y21*W278+Y22*W278+Y23*W278+Y24*W278+Y25*W278+Y26*W278+Z6*W278+Z7*W278+Z8*W278+Z9*W278+Z10*W278+Z11*W278+Z12*W278+Z13*W278+Z14*W278+Z15*W278+Z16*W278+Z17*W278+Z18*W278+Z19*W278+Z20*W278+Z21*W278+Z22*W278+Z23*W278+Z24*W278+Z25*W278+Z26*W278+Z5*W278</f>
        <v>0</v>
      </c>
      <c r="Y278" s="41"/>
      <c r="Z278" s="41"/>
      <c r="AB278" s="46">
        <v>3</v>
      </c>
      <c r="AC278" s="41">
        <f>AC5*AB278+AD5*AB278+AC6*AB278+AD6*AB278+AC7*AB278+AD7*AB278+AC8*AB278+AD8*AB278+AC9*AB278+AC10*AB278+AC11*AB278+AC12*AB278+AC13*AB278+AC14*AB278+AC15*AB278+AC16*AB278+AC17*AB278+AC18*AB278+AC19*AB278+AC20*AB278+AC21*AB278+AC22*AB278+AC23*AB278+AC24*AB278+AC25*AB278+AC26*AB278+AD9*AB278+AD10*AB278+AD11*AB278+AD12*AB278+AD13*AB278+AD14*AB278+AD15*AB278+AD16*AB278+AD17*AB278+AD18*AB278+AD19*AB278+AD20*AB278+AD21*AB278+AD22*AB278+AD23*AB278+AD24*AB278+AD25*AB278+AD26*AB278+AE6*AB278+AE7*AB278+AE8*AB278+AE9*AB278+AE10*AB278+AE11*AB278+AE12*AB278+AE13*AB278+AE14*AB278+AE15*AB278+AE16*AB278+AE17*AB278+AE18*AB278+AE19*AB278+AE20*AB278+AE21*AB278+AE22*AB278+AE23*AB278+AE24*AB278+AE25*AB278+AE26*AB278+AE5*AB278</f>
        <v>0</v>
      </c>
      <c r="AD278" s="41"/>
      <c r="AE278" s="41"/>
      <c r="AG278" s="40"/>
      <c r="AH278" s="41"/>
      <c r="AI278" s="41"/>
      <c r="AJ278" s="41"/>
      <c r="AL278" s="40"/>
      <c r="AM278" s="41"/>
      <c r="AN278" s="41"/>
      <c r="AO278" s="41"/>
      <c r="AQ278" s="49">
        <v>3</v>
      </c>
      <c r="AR278" s="41">
        <f>AR5*AQ278+AS5*AQ278+AR6*AQ278+AS6*AQ278+AR7*AQ278+AS7*AQ278+AR8*AQ278+AS8*AQ278+AR9*AQ278+AR10*AQ278+AR11*AQ278+AR12*AQ278+AR13*AQ278+AR14*AQ278+AR15*AQ278+AR16*AQ278+AR17*AQ278+AR18*AQ278+AR19*AQ278+AR20*AQ278+AR21*AQ278+AR22*AQ278+AR23*AQ278+AR24*AQ278+AR25*AQ278+AR26*AQ278+AS9*AQ278+AS10*AQ278+AS11*AQ278+AS12*AQ278+AS13*AQ278+AS14*AQ278+AS15*AQ278+AS16*AQ278+AS17*AQ278+AS18*AQ278+AS19*AQ278+AS20*AQ278+AS21*AQ278+AS22*AQ278+AS23*AQ278+AS24*AQ278+AS25*AQ278+AS26*AQ278+AT6*AQ278+AT7*AQ278+AT8*AQ278+AT9*AQ278+AT10*AQ278+AT11*AQ278+AT12*AQ278+AT13*AQ278+AT14*AQ278+AT15*AQ278+AT16*AQ278+AT17*AQ278+AT18*AQ278+AT19*AQ278+AT20*AQ278+AT21*AQ278+AT22*AQ278+AT23*AQ278+AT24*AQ278+AT25*AQ278+AT26*AQ278+AT5*AQ278</f>
        <v>0</v>
      </c>
      <c r="AS278" s="41"/>
      <c r="AT278" s="41"/>
      <c r="AV278" s="51">
        <v>3</v>
      </c>
      <c r="AW278" s="140">
        <f>AW5*AV278+AX5*AV278+AW6*AV278+AX6*AV278+AW7*AV278+AX7*AV278+AW8*AV278+AX8*AV278+AW9*AV278+AW10*AV278+AW11*AV278+AW12*AV278+AW13*AV278+AW14*AV278+AW15*AV278+AW16*AV278+AW17*AV278+AW18*AV278+AW19*AV278+AW20*AV278+AW21*AV278+AW22*AV278+AW23*AV278+AW24*AV278+AW25*AV278+AW26*AV278+AX9*AV278+AX10*AV278+AX11*AV278+AX12*AV278+AX13*AV278+AX14*AV278+AX15*AV278+AX16*AV278+AX17*AV278+AX18*AV278+AX19*AV278+AX20*AV278+AX21*AV278+AX22*AV278+AX23*AV278+AX24*AV278+AX25*AV278+AX26*AV278+AY6*AV278+AY7*AV278+AY8*AV278+AY9*AV278+AY10*AV278+AY11*AV278+AY12*AV278+AY13*AV278+AY14*AV278+AY15*AV278+AY16*AV278+AY17*AV278+AY18*AV278+AY19*AV278+AY20*AV278+AY21*AV278+AY22*AV278+AY23*AV278+AY24*AV278+AY25*AV278+AY26*AV278+AY5*AV278</f>
        <v>0</v>
      </c>
      <c r="AX278" s="139"/>
      <c r="AY278" s="140"/>
      <c r="BA278" s="51">
        <v>3</v>
      </c>
      <c r="BB278" s="140">
        <f>BB5*BA278+BC5*BA278+BB6*BA278+BC6*BA278+BB7*BA278+BC7*BA278+BB8*BA278+BC8*BA278+BB9*BA278+BB10*BA278+BB11*BA278+BB12*BA278+BB13*BA278+BB14*BA278+BB15*BA278+BB16*BA278+BB17*BA278+BB18*BA278+BB19*BA278+BB20*BA278+BB21*BA278+BB22*BA278+BB23*BA278+BB24*BA278+BB25*BA278+BB26*BA278+BC9*BA278+BC10*BA278+BC11*BA278+BC12*BA278+BC13*BA278+BC14*BA278+BC15*BA278+BC16*BA278+BC17*BA278+BC18*BA278+BC19*BA278+BC20*BA278+BC21*BA278+BC22*BA278+BC23*BA278+BC24*BA278+BC25*BA278+BC26*BA278+BD6*BA278+BD7*BA278+BD8*BA278+BD9*BA278+BD10*BA278+BD11*BA278+BD12*BA278+BD13*BA278+BD14*BA278+BD15*BA278+BD16*BA278+BD17*BA278+BD18*BA278+BD19*BA278+BD20*BA278+BD21*BA278+BD22*BA278+BD23*BA278+BD24*BA278+BD25*BA278+BD26*BA278+BD5*BA278</f>
        <v>0</v>
      </c>
      <c r="BC278" s="139"/>
      <c r="BD278" s="41"/>
      <c r="BF278" s="40"/>
      <c r="BG278" s="40"/>
      <c r="BH278" s="40"/>
      <c r="BI278" s="41"/>
      <c r="BK278" s="142">
        <v>1</v>
      </c>
      <c r="BL278" s="140">
        <f>SUM(BL5:BL26,BM5:BM26,BN5:BN26)*BK278</f>
        <v>0</v>
      </c>
      <c r="BM278" s="40"/>
      <c r="BN278" s="41"/>
      <c r="BP278" s="62">
        <v>1</v>
      </c>
      <c r="BQ278" s="140">
        <f>SUM(BQ5:BQ26,BR5:BR26,BS5:BS26)*BP278</f>
        <v>0</v>
      </c>
      <c r="BR278" s="40"/>
      <c r="BS278" s="41"/>
      <c r="BU278" s="46">
        <v>1</v>
      </c>
      <c r="BV278" s="41">
        <f>SUM(BV5:BV26,BW5:BW26,BX5:BX26)*BU278</f>
        <v>0</v>
      </c>
      <c r="BW278" s="40"/>
      <c r="BX278" s="41"/>
      <c r="BZ278" s="46">
        <v>2</v>
      </c>
      <c r="CA278" s="41">
        <f>SUM(CA5:CA26,CB5:CB26,CC5:CC26)*BZ278</f>
        <v>0</v>
      </c>
      <c r="CB278" s="40"/>
      <c r="CC278" s="41"/>
      <c r="CD278" s="140"/>
      <c r="CE278" s="46">
        <v>2</v>
      </c>
      <c r="CF278" s="41">
        <f>SUM(CF5:CF26,CG5:CG26,CH5:CH26)*CE278</f>
        <v>0</v>
      </c>
      <c r="CG278" s="40"/>
      <c r="CH278" s="41"/>
      <c r="CJ278" s="141">
        <v>3</v>
      </c>
      <c r="CK278" s="140">
        <f>CK5*CJ278+CL5*CJ278+CK6*CJ278+CL6*CJ278+CK7*CJ278+CL7*CJ278+CK8*CJ278+CL8*CJ278+CK9*CJ278+CK10*CJ278+CK11*CJ278+CK12*CJ278+CK13*CJ278+CK14*CJ278+CK15*CJ278+CK16*CJ278+CK17*CJ278+CK18*CJ278+CK19*CJ278+CK20*CJ278+CK21*CJ278+CK22*CJ278+CK23*CJ278+CK24*CJ278+CK25*CJ278+CK26*CJ278+CL9*CJ278+CL10*CJ278+CL11*CJ278+CL12*CJ278+CL13*CJ278+CL14*CJ278+CL15*CJ278+CL16*CJ278+CL17*CJ278+CL18*CJ278+CL19*CJ278+CL20*CJ278+CL21*CJ278+CL22*CJ278+CL23*CJ278+CL24*CJ278+CL25*CJ278+CL26*CJ278+CM6*CJ278+CM7*CJ278+CM8*CJ278+CM9*CJ278+CM10*CJ278+CM11*CJ278+CM12*CJ278+CM13*CJ278+CM14*CJ278+CM15*CJ278+CM16*CJ278+CM17*CJ278+CM18*CJ278+CM19*CJ278+CM20*CJ278+CM21*CJ278+CM22*CJ278+CM23*CJ278+CM24*CJ278+CM25*CJ278+CM26*CJ278+CM5*CJ278</f>
        <v>0</v>
      </c>
      <c r="CL278" s="139"/>
      <c r="CM278" s="140"/>
      <c r="CO278" s="223">
        <v>3</v>
      </c>
      <c r="CP278" s="41">
        <f>CP5*CO278+CQ5*CO278+CP6*CO278+CQ6*CO278+CP7*CO278+CQ7*CO278+CP8*CO278+CQ8*CO278+CP9*CO278+CP10*CO278+CP11*CO278+CP12*CO278+CP13*CO278+CP14*CO278+CP15*CO278+CP16*CO278+CP17*CO278+CP18*CO278+CP19*CO278+CP20*CO278+CP21*CO278+CP22*CO278+CP23*CO278+CP24*CO278+CP25*CO278+CP26*CO278+CQ9*CO278+CQ10*CO278+CQ11*CO278+CQ12*CO278+CQ13*CO278+CQ14*CO278+CQ15*CO278+CQ16*CO278+CQ17*CO278+CQ18*CO278+CQ19*CO278+CQ20*CO278+CQ21*CO278+CQ22*CO278+CQ23*CO278+CQ24*CO278+CQ25*CO278+CQ26*CO278+CR6*CO278+CR7*CO278+CR8*CO278+CR9*CO278+CR10*CO278+CR11*CO278+CR12*CO278+CR13*CO278+CR14*CO278+CR15*CO278+CR16*CO278+CR17*CO278+CR18*CO278+CR19*CO278+CR20*CO278+CR21*CO278+CR22*CO278+CR23*CO278+CR24*CO278+CR25*CO278+CR26*CO278+CR5*CO278</f>
        <v>0</v>
      </c>
      <c r="CQ278" s="40"/>
      <c r="CR278" s="41"/>
      <c r="CT278" s="62">
        <v>3</v>
      </c>
      <c r="CU278" s="41">
        <f>SUM(CU5:CU26,CV5:CV26,CW5:CW26)*CT278-CU182</f>
        <v>0</v>
      </c>
      <c r="CV278" s="40"/>
      <c r="CW278" s="41"/>
      <c r="CY278" s="46">
        <v>1</v>
      </c>
      <c r="CZ278" s="41">
        <f>SUM(CZ5:CZ26,DA5:DA26,DB5:DB26)*CY278</f>
        <v>0</v>
      </c>
      <c r="DA278" s="40"/>
      <c r="DB278" s="41"/>
      <c r="DD278" s="40"/>
      <c r="DE278" s="40"/>
      <c r="DF278" s="40"/>
      <c r="DG278" s="41"/>
      <c r="DI278" s="71">
        <v>4</v>
      </c>
      <c r="DJ278" s="64">
        <f>DJ5*DI278+DK5*DI278+DJ6*DI278+DK6*DI278+DJ7*DI278+DK7*DI278+DJ8*DI278+DK8*DI278+DJ9*DI278+DJ10*DI278+DJ11*DI278+DJ12*DI278+DJ13*DI278+DJ14*DI278+DJ15*DI278+DJ16*DI278+DJ17*DI278+DJ18*DI278+DJ19*DI278+DJ20*DI278+DJ21*DI278+DJ22*DI278+DJ23*DI278+DJ24*DI278+DJ25*DI278+DJ26*DI278+DK9*DI278+DK10*DI278+DK11*DI278+DK12*DI278+DK13*DI278+DK14*DI278+DK15*DI278+DK16*DI278+DK17*DI278+DK18*DI278+DK19*DI278+DK20*DI278+DK21*DI278+DK22*DI278+DK23*DI278+DK24*DI278+DK25*DI278+DK26*DI278+DL6*DI278+DL7*DI278+DL8*DI278+DL9*DI278+DL10*DI278+DL11*DI278+DL12*DI278+DL13*DI278+DL14*DI278+DL15*DI278+DL16*DI278+DL17*DI278+DL18*DI278+DL19*DI278+DL20*DI278+DL21*DI278+DL22*DI278+DL23*DI278+DL24*DI278+DL25*DI278+DL26*DI278+DL5*DI278</f>
        <v>0</v>
      </c>
      <c r="DK278" s="64"/>
      <c r="DL278" s="64"/>
      <c r="DN278" s="71">
        <v>4</v>
      </c>
      <c r="DO278" s="64">
        <f>DO5*DN278+DP5*DN278+DO6*DN278+DP6*DN278+DO7*DN278+DP7*DN278+DO8*DN278+DP8*DN278+DO9*DN278+DO10*DN278+DO11*DN278+DO12*DN278+DO13*DN278+DO14*DN278+DO15*DN278+DO16*DN278+DO17*DN278+DO18*DN278+DO19*DN278+DO20*DN278+DO21*DN278+DO22*DN278+DO23*DN278+DO24*DN278+DO25*DN278+DO26*DN278+DP9*DN278+DP10*DN278+DP11*DN278+DP12*DN278+DP13*DN278+DP14*DN278+DP15*DN278+DP16*DN278+DP17*DN278+DP18*DN278+DP19*DN278+DP20*DN278+DP21*DN278+DP22*DN278+DP23*DN278+DP24*DN278+DP25*DN278+DP26*DN278+DQ6*DN278+DQ7*DN278+DQ8*DN278+DQ9*DN278+DQ10*DN278+DQ11*DN278+DQ12*DN278+DQ13*DN278+DQ14*DN278+DQ15*DN278+DQ16*DN278+DQ17*DN278+DQ18*DN278+DQ19*DN278+DQ20*DN278+DQ21*DN278+DQ22*DN278+DQ23*DN278+DQ24*DN278+DQ25*DN278+DQ26*DN278+DQ5*DN278</f>
        <v>0</v>
      </c>
      <c r="DP278" s="64"/>
      <c r="DQ278" s="64"/>
      <c r="DS278" s="60">
        <v>3</v>
      </c>
      <c r="DT278" s="64">
        <f>DT5*DS278+DU5*DS278+DT6*DS278+DU6*DS278+DT7*DS278+DU7*DS278+DT8*DS278+DU8*DS278+DT9*DS278+DT10*DS278+DT11*DS278+DT12*DS278+DT13*DS278+DT14*DS278+DT15*DS278+DT16*DS278+DT17*DS278+DT18*DS278+DT19*DS278+DT20*DS278+DT21*DS278+DT22*DS278+DT23*DS278+DT24*DS278+DT25*DS278+DT26*DS278+DU9*DS278+DU10*DS278+DU11*DS278+DU12*DS278+DU13*DS278+DU14*DS278+DU15*DS278+DU16*DS278+DU17*DS278+DU18*DS278+DU19*DS278+DU20*DS278+DU21*DS278+DU22*DS278+DU23*DS278+DU24*DS278+DU25*DS278+DU26*DS278+DV6*DS278+DV7*DS278+DV8*DS278+DV9*DS278+DV10*DS278+DV11*DS278+DV12*DS278+DV13*DS278+DV14*DS278+DV15*DS278+DV16*DS278+DV17*DS278+DV18*DS278+DV19*DS278+DV20*DS278+DV21*DS278+DV22*DS278+DV23*DS278+DV24*DS278+DV25*DS278+DV26*DS278+DV5*DS278</f>
        <v>0</v>
      </c>
      <c r="DU278" s="64"/>
      <c r="DV278" s="64"/>
      <c r="DX278" s="60">
        <v>1</v>
      </c>
      <c r="DY278" s="64">
        <f>DY5*DX278+DZ5*DX278+DY6*DX278+DZ6*DX278+DY7*DX278+DZ7*DX278+DY8*DX278+DZ8*DX278+DY9*DX278+DY10*DX278+DY11*DX278+DY12*DX278+DY13*DX278+DY14*DX278+DY15*DX278+DY16*DX278+DY17*DX278+DY18*DX278+DY19*DX278+DY20*DX278+DY21*DX278+DY22*DX278+DY23*DX278+DY24*DX278+DY25*DX278+DY26*DX278+DZ9*DX278+DZ10*DX278+DZ11*DX278+DZ12*DX278+DZ13*DX278+DZ14*DX278+DZ15*DX278+DZ16*DX278+DZ17*DX278+DZ18*DX278+DZ19*DX278+DZ20*DX278+DZ21*DX278+DZ22*DX278+DZ23*DX278+DZ24*DX278+DZ25*DX278+DZ26*DX278+EA6*DX278+EA7*DX278+EA8*DX278+EA9*DX278+EA10*DX278+EA11*DX278+EA12*DX278+EA13*DX278+EA14*DX278+EA15*DX278+EA16*DX278+EA17*DX278+EA18*DX278+EA19*DX278+EA20*DX278+EA21*DX278+EA22*DX278+EA23*DX278+EA24*DX278+EA25*DX278+EA26*DX278+EA5*DX278</f>
        <v>0</v>
      </c>
      <c r="DZ278" s="64"/>
      <c r="EA278" s="64"/>
      <c r="EC278" s="60">
        <v>4</v>
      </c>
      <c r="ED278" s="64">
        <f>ED5*EC278+EE5*EC278+ED6*EC278+EE6*EC278+ED7*EC278+EE7*EC278+ED8*EC278+EE8*EC278+ED9*EC278+ED10*EC278+ED11*EC278+ED12*EC278+ED13*EC278+ED14*EC278+ED15*EC278+ED16*EC278+ED17*EC278+ED18*EC278+ED19*EC278+ED20*EC278+ED21*EC278+ED22*EC278+ED23*EC278+ED24*EC278+ED25*EC278+ED26*EC278+EE9*EC278+EE10*EC278+EE11*EC278+EE12*EC278+EE13*EC278+EE14*EC278+EE15*EC278+EE16*EC278+EE17*EC278+EE18*EC278+EE19*EC278+EE20*EC278+EE21*EC278+EE22*EC278+EE23*EC278+EE24*EC278+EE25*EC278+EE26*EC278+EF6*EC278+EF7*EC278+EF8*EC278+EF9*EC278+EF10*EC278+EF11*EC278+EF12*EC278+EF13*EC278+EF14*EC278+EF15*EC278+EF16*EC278+EF17*EC278+EF18*EC278+EF19*EC278+EF20*EC278+EF21*EC278+EF22*EC278+EF23*EC278+EF24*EC278+EF25*EC278+EF26*EC278+EF5*EC278</f>
        <v>0</v>
      </c>
      <c r="EE278" s="64"/>
      <c r="EF278" s="64"/>
      <c r="EH278" s="60">
        <v>4</v>
      </c>
      <c r="EI278" s="64">
        <f>EI5*EH278+EJ5*EH278+EI6*EH278+EJ6*EH278+EI7*EH278+EJ7*EH278+EI8*EH278+EJ8*EH278+EI9*EH278+EI10*EH278+EI11*EH278+EI12*EH278+EI13*EH278+EI14*EH278+EI15*EH278+EI16*EH278+EI17*EH278+EI18*EH278+EI19*EH278+EI20*EH278+EI21*EH278+EI22*EH278+EI23*EH278+EI24*EH278+EI25*EH278+EI26*EH278+EJ9*EH278+EJ10*EH278+EJ11*EH278+EJ12*EH278+EJ13*EH278+EJ14*EH278+EJ15*EH278+EJ16*EH278+EJ17*EH278+EJ18*EH278+EJ19*EH278+EJ20*EH278+EJ21*EH278+EJ22*EH278+EJ23*EH278+EJ24*EH278+EJ25*EH278+EJ26*EH278+EK6*EH278+EK7*EH278+EK8*EH278+EK9*EH278+EK10*EH278+EK11*EH278+EK12*EH278+EK13*EH278+EK14*EH278+EK15*EH278+EK16*EH278+EK17*EH278+EK18*EH278+EK19*EH278+EK20*EH278+EK21*EH278+EK22*EH278+EK23*EH278+EK24*EH278+EK25*EH278+EK26*EH278+EK5*EH278</f>
        <v>0</v>
      </c>
      <c r="EJ278" s="64"/>
      <c r="EK278" s="64"/>
      <c r="ER278" s="855"/>
      <c r="EX278" s="203">
        <f t="shared" si="1"/>
        <v>0</v>
      </c>
      <c r="EY278" s="116">
        <v>34</v>
      </c>
    </row>
    <row r="279" spans="1:155" s="6" customFormat="1" ht="15" customHeight="1">
      <c r="A279" s="90" t="s">
        <v>16</v>
      </c>
      <c r="B279" s="210" t="s">
        <v>16</v>
      </c>
      <c r="C279" s="473" t="s">
        <v>515</v>
      </c>
      <c r="D279" s="138"/>
      <c r="E279" s="40"/>
      <c r="F279" s="40"/>
      <c r="G279" s="40"/>
      <c r="H279" s="40"/>
      <c r="I279" s="4"/>
      <c r="J279" s="4"/>
      <c r="K279" s="4"/>
      <c r="L279" s="4"/>
      <c r="M279" s="4"/>
      <c r="N279" s="4"/>
      <c r="O279" s="4"/>
      <c r="P279" s="4"/>
      <c r="Q279" s="4"/>
      <c r="R279" s="40"/>
      <c r="S279" s="41"/>
      <c r="T279" s="140"/>
      <c r="U279" s="41"/>
      <c r="W279" s="40"/>
      <c r="X279" s="41"/>
      <c r="Y279" s="41"/>
      <c r="Z279" s="41"/>
      <c r="AB279" s="40"/>
      <c r="AC279" s="41"/>
      <c r="AD279" s="41"/>
      <c r="AE279" s="41"/>
      <c r="AG279" s="40"/>
      <c r="AH279" s="41"/>
      <c r="AI279" s="41"/>
      <c r="AJ279" s="41"/>
      <c r="AL279" s="40"/>
      <c r="AM279" s="41"/>
      <c r="AN279" s="41"/>
      <c r="AO279" s="41"/>
      <c r="AQ279" s="40"/>
      <c r="AR279" s="41"/>
      <c r="AS279" s="41"/>
      <c r="AT279" s="41"/>
      <c r="AV279" s="139"/>
      <c r="AW279" s="139"/>
      <c r="AX279" s="139"/>
      <c r="AY279" s="140"/>
      <c r="BA279" s="139"/>
      <c r="BB279" s="139"/>
      <c r="BC279" s="139"/>
      <c r="BD279" s="41"/>
      <c r="BF279" s="40"/>
      <c r="BG279" s="40"/>
      <c r="BH279" s="40"/>
      <c r="BI279" s="41"/>
      <c r="BK279" s="139"/>
      <c r="BL279" s="139"/>
      <c r="BM279" s="40"/>
      <c r="BN279" s="41"/>
      <c r="BP279" s="40"/>
      <c r="BQ279" s="40"/>
      <c r="BR279" s="40"/>
      <c r="BS279" s="41"/>
      <c r="BU279" s="40"/>
      <c r="BV279" s="40"/>
      <c r="BW279" s="40"/>
      <c r="BX279" s="41"/>
      <c r="BZ279" s="40"/>
      <c r="CA279" s="40"/>
      <c r="CB279" s="40"/>
      <c r="CC279" s="41"/>
      <c r="CD279" s="140"/>
      <c r="CE279" s="40"/>
      <c r="CF279" s="40"/>
      <c r="CG279" s="40"/>
      <c r="CH279" s="41"/>
      <c r="CJ279" s="139"/>
      <c r="CK279" s="139"/>
      <c r="CL279" s="139"/>
      <c r="CM279" s="140"/>
      <c r="CO279" s="222"/>
      <c r="CP279" s="40"/>
      <c r="CQ279" s="40"/>
      <c r="CR279" s="41"/>
      <c r="CT279" s="40"/>
      <c r="CU279" s="40"/>
      <c r="CV279" s="40"/>
      <c r="CW279" s="41"/>
      <c r="CY279" s="40"/>
      <c r="CZ279" s="40"/>
      <c r="DA279" s="40"/>
      <c r="DB279" s="41"/>
      <c r="DD279" s="40"/>
      <c r="DE279" s="40"/>
      <c r="DF279" s="40"/>
      <c r="DG279" s="41"/>
      <c r="DI279" s="64"/>
      <c r="DJ279" s="64"/>
      <c r="DK279" s="64"/>
      <c r="DL279" s="64"/>
      <c r="DN279" s="64"/>
      <c r="DO279" s="64"/>
      <c r="DP279" s="64"/>
      <c r="DQ279" s="64"/>
      <c r="DS279" s="64"/>
      <c r="DT279" s="64"/>
      <c r="DU279" s="64"/>
      <c r="DV279" s="64"/>
      <c r="DX279" s="64"/>
      <c r="DY279" s="64"/>
      <c r="DZ279" s="64"/>
      <c r="EA279" s="64"/>
      <c r="EC279" s="64"/>
      <c r="ED279" s="64"/>
      <c r="EE279" s="64"/>
      <c r="EF279" s="64"/>
      <c r="EH279" s="64"/>
      <c r="EI279" s="64"/>
      <c r="EJ279" s="64"/>
      <c r="EK279" s="64"/>
      <c r="EN279" s="6">
        <f>IF(SUM(EN5:EQ5,EN6:EQ6)-SUM(ET7:EW7)+SUM(ET6:EW6)&lt;=0,0,SUM(ET6:EW6))</f>
        <v>0</v>
      </c>
      <c r="ER279" s="855"/>
      <c r="EX279" s="203">
        <f t="shared" si="1"/>
        <v>0</v>
      </c>
    </row>
    <row r="280" spans="1:155" s="6" customFormat="1" ht="15" customHeight="1">
      <c r="A280" s="90" t="s">
        <v>17</v>
      </c>
      <c r="B280" s="210" t="s">
        <v>17</v>
      </c>
      <c r="C280" s="473" t="s">
        <v>515</v>
      </c>
      <c r="D280" s="138"/>
      <c r="E280" s="40"/>
      <c r="F280" s="40"/>
      <c r="G280" s="40"/>
      <c r="H280" s="40"/>
      <c r="I280" s="4"/>
      <c r="J280" s="4"/>
      <c r="K280" s="4"/>
      <c r="L280" s="4"/>
      <c r="M280" s="4"/>
      <c r="N280" s="4"/>
      <c r="O280" s="4"/>
      <c r="P280" s="4"/>
      <c r="Q280" s="4"/>
      <c r="R280" s="40"/>
      <c r="S280" s="41"/>
      <c r="T280" s="140"/>
      <c r="U280" s="41"/>
      <c r="W280" s="40"/>
      <c r="X280" s="41"/>
      <c r="Y280" s="41"/>
      <c r="Z280" s="41"/>
      <c r="AB280" s="40"/>
      <c r="AC280" s="41"/>
      <c r="AD280" s="41"/>
      <c r="AE280" s="41"/>
      <c r="AG280" s="40"/>
      <c r="AH280" s="41"/>
      <c r="AI280" s="41"/>
      <c r="AJ280" s="41"/>
      <c r="AL280" s="40"/>
      <c r="AM280" s="41"/>
      <c r="AN280" s="41"/>
      <c r="AO280" s="41"/>
      <c r="AQ280" s="40"/>
      <c r="AR280" s="41"/>
      <c r="AS280" s="41"/>
      <c r="AT280" s="41"/>
      <c r="AV280" s="139"/>
      <c r="AW280" s="139"/>
      <c r="AX280" s="139"/>
      <c r="AY280" s="140"/>
      <c r="BA280" s="139"/>
      <c r="BB280" s="139"/>
      <c r="BC280" s="139"/>
      <c r="BD280" s="41"/>
      <c r="BF280" s="40"/>
      <c r="BG280" s="40"/>
      <c r="BH280" s="40"/>
      <c r="BI280" s="41"/>
      <c r="BK280" s="139"/>
      <c r="BL280" s="139"/>
      <c r="BM280" s="40"/>
      <c r="BN280" s="41"/>
      <c r="BP280" s="40"/>
      <c r="BQ280" s="40"/>
      <c r="BR280" s="40"/>
      <c r="BS280" s="41"/>
      <c r="BU280" s="40"/>
      <c r="BV280" s="40"/>
      <c r="BW280" s="40"/>
      <c r="BX280" s="41"/>
      <c r="BZ280" s="40"/>
      <c r="CA280" s="40"/>
      <c r="CB280" s="40"/>
      <c r="CC280" s="41"/>
      <c r="CD280" s="140"/>
      <c r="CE280" s="40"/>
      <c r="CF280" s="40"/>
      <c r="CG280" s="40"/>
      <c r="CH280" s="41"/>
      <c r="CJ280" s="139"/>
      <c r="CK280" s="139"/>
      <c r="CL280" s="139"/>
      <c r="CM280" s="140"/>
      <c r="CO280" s="222"/>
      <c r="CP280" s="40"/>
      <c r="CQ280" s="40"/>
      <c r="CR280" s="41"/>
      <c r="CT280" s="40"/>
      <c r="CU280" s="40"/>
      <c r="CV280" s="40"/>
      <c r="CW280" s="41"/>
      <c r="CY280" s="40"/>
      <c r="CZ280" s="40"/>
      <c r="DA280" s="40"/>
      <c r="DB280" s="41"/>
      <c r="DD280" s="40"/>
      <c r="DE280" s="40"/>
      <c r="DF280" s="40"/>
      <c r="DG280" s="41"/>
      <c r="DI280" s="64"/>
      <c r="DJ280" s="64"/>
      <c r="DK280" s="64"/>
      <c r="DL280" s="64"/>
      <c r="DN280" s="64"/>
      <c r="DO280" s="64"/>
      <c r="DP280" s="64"/>
      <c r="DQ280" s="64"/>
      <c r="DS280" s="64"/>
      <c r="DT280" s="64"/>
      <c r="DU280" s="64"/>
      <c r="DV280" s="64"/>
      <c r="DX280" s="64"/>
      <c r="DY280" s="64"/>
      <c r="DZ280" s="64"/>
      <c r="EA280" s="64"/>
      <c r="EC280" s="64"/>
      <c r="ED280" s="64"/>
      <c r="EE280" s="64"/>
      <c r="EF280" s="64"/>
      <c r="EH280" s="64"/>
      <c r="EI280" s="64"/>
      <c r="EJ280" s="64"/>
      <c r="EK280" s="64"/>
      <c r="EN280" s="6">
        <f>IF(SUM(EN5:EQ5,EN6:EQ6)-SUM(ET7:EW7)+SUM(ET6:EW6)&lt;=0,0,SUM(ET6:EW6))</f>
        <v>0</v>
      </c>
      <c r="ER280" s="855"/>
      <c r="EX280" s="203">
        <f t="shared" ref="EX280:EX350" si="2">IF(EY280=13,0,K280+N280+O280+P280+S280+T280+X280+EN280+AC280+AH280+AM280+AR280+AW280+BB280+BG280+ET280+BL280+BQ280+BV280+CA280+CF280+CK280+CP280+CU280+CZ280+DE280+DJ280+DO280+DT280+DY280+ED280+EI280+EU280+F280+EV280)</f>
        <v>0</v>
      </c>
    </row>
    <row r="281" spans="1:155" s="6" customFormat="1" ht="15" customHeight="1">
      <c r="A281" s="90" t="s">
        <v>199</v>
      </c>
      <c r="B281" s="210" t="s">
        <v>199</v>
      </c>
      <c r="C281" s="473" t="s">
        <v>515</v>
      </c>
      <c r="D281" s="138"/>
      <c r="E281" s="142">
        <v>1</v>
      </c>
      <c r="F281" s="140">
        <f>SUM(F5:F26)*E281</f>
        <v>0</v>
      </c>
      <c r="G281" s="140"/>
      <c r="H281" s="140"/>
      <c r="I281" s="4"/>
      <c r="J281" s="4"/>
      <c r="K281" s="4"/>
      <c r="L281" s="4"/>
      <c r="M281" s="658">
        <v>3</v>
      </c>
      <c r="N281" s="658">
        <f>SUM(N5:N26)*M281</f>
        <v>0</v>
      </c>
      <c r="O281" s="4"/>
      <c r="P281" s="4"/>
      <c r="Q281" s="4"/>
      <c r="R281" s="40"/>
      <c r="S281" s="41"/>
      <c r="T281" s="140"/>
      <c r="U281" s="41"/>
      <c r="W281" s="47">
        <v>1</v>
      </c>
      <c r="X281" s="41">
        <f>X26*W281+X25*W281+X24*W281+X23*W281+X5*W281+X6*W281+X7*W281+X8*W281+X9*W281+X10*W281+X11*W281+X12*W281+X13*W281+X14*W281+X15*W281+X16*W281+X17*W281+X18*W281+X19*W281+X20*W281+X21*W281+X22*W281</f>
        <v>0</v>
      </c>
      <c r="Y281" s="41"/>
      <c r="Z281" s="41"/>
      <c r="AB281" s="47">
        <v>1</v>
      </c>
      <c r="AC281" s="41">
        <f>AC26*AB281+AC25*AB281+AC24*AB281+AC23*AB281+AC5*AB281+AC6*AB281+AC7*AB281+AC8*AB281+AC9*AB281+AC10*AB281+AC11*AB281+AC12*AB281+AC13*AB281+AC14*AB281+AC15*AB281+AC16*AB281+AC17*AB281+AC18*AB281+AC19*AB281+AC20*AB281+AC21*AB281+AC22*AB281</f>
        <v>0</v>
      </c>
      <c r="AD281" s="41"/>
      <c r="AE281" s="41"/>
      <c r="AG281" s="57"/>
      <c r="AH281" s="41">
        <f>AH26*AG281+AH25*AG281+AH24*AG281+AH23*AG281+AH5*AG281+AH6*AG281+AH7*AG281+AH8*AG281+AH9*AG281+AH10*AG281+AH11*AG281+AH12*AG281+AH13*AG281+AH14*AG281+AH15*AG281+AH16*AG281+AH17*AG281+AH18*AG281+AH19*AG281+AH20*AG281+AH21*AG281+AH22*AG281</f>
        <v>0</v>
      </c>
      <c r="AI281" s="41"/>
      <c r="AJ281" s="41"/>
      <c r="AL281" s="47"/>
      <c r="AM281" s="41"/>
      <c r="AN281" s="41"/>
      <c r="AO281" s="41"/>
      <c r="AQ281" s="47">
        <v>3</v>
      </c>
      <c r="AR281" s="41">
        <f>AR26*AQ281+AR25*AQ281+AR24*AQ281+AR23*AQ281+AR5*AQ281+AR6*AQ281+AR7*AQ281+AR8*AQ281+AR9*AQ281+AR10*AQ281+AR11*AQ281+AR12*AQ281+AR13*AQ281+AR14*AQ281+AR15*AQ281+AR16*AQ281+AR17*AQ281+AR18*AQ281+AR19*AQ281+AR20*AQ281+AR21*AQ281+AR22*AQ281</f>
        <v>0</v>
      </c>
      <c r="AS281" s="41"/>
      <c r="AT281" s="41"/>
      <c r="AV281" s="149">
        <v>3</v>
      </c>
      <c r="AW281" s="140">
        <f>AW26*AV281+AW25*AV281+AW24*AV281+AW23*AV281+AW5*AV281+AW6*AV281+AW7*AV281+AW8*AV281+AW9*AV281+AW10*AV281+AW11*AV281+AW12*AV281+AW13*AV281+AW14*AV281+AW15*AV281+AW16*AV281+AW17*AV281+AW18*AV281+AW19*AV281+AW20*AV281+AW21*AV281+AW22*AV281</f>
        <v>0</v>
      </c>
      <c r="AX281" s="139"/>
      <c r="AY281" s="140"/>
      <c r="BA281" s="149">
        <v>3</v>
      </c>
      <c r="BB281" s="140">
        <f>BB26*BA281+BB25*BA281+BB24*BA281+BB23*BA281+BB5*BA281+BB6*BA281+BB7*BA281+BB8*BA281+BB9*BA281+BB10*BA281+BB11*BA281+BB12*BA281+BB13*BA281+BB14*BA281+BB15*BA281+BB16*BA281+BB17*BA281+BB18*BA281+BB19*BA281+BB20*BA281+BB21*BA281+BB22*BA281</f>
        <v>0</v>
      </c>
      <c r="BC281" s="139"/>
      <c r="BD281" s="41"/>
      <c r="BF281" s="40"/>
      <c r="BG281" s="40"/>
      <c r="BH281" s="40"/>
      <c r="BI281" s="41"/>
      <c r="BK281" s="142">
        <v>1</v>
      </c>
      <c r="BL281" s="140">
        <f>SUM(BL5:BL26)*BK281</f>
        <v>0</v>
      </c>
      <c r="BM281" s="40"/>
      <c r="BN281" s="41"/>
      <c r="BP281" s="142">
        <v>1</v>
      </c>
      <c r="BQ281" s="140">
        <f>SUM(BQ5:BQ26)*BP281</f>
        <v>0</v>
      </c>
      <c r="BR281" s="40"/>
      <c r="BS281" s="41"/>
      <c r="BU281" s="61">
        <v>1</v>
      </c>
      <c r="BV281" s="41">
        <f>SUM(BV5:BV26)*BU281</f>
        <v>0</v>
      </c>
      <c r="BW281" s="40"/>
      <c r="BX281" s="41"/>
      <c r="BZ281" s="61">
        <v>2</v>
      </c>
      <c r="CA281" s="41">
        <f>SUM(CA5:CA26)*BZ281</f>
        <v>0</v>
      </c>
      <c r="CB281" s="40"/>
      <c r="CC281" s="41"/>
      <c r="CD281" s="140"/>
      <c r="CE281" s="61">
        <v>2</v>
      </c>
      <c r="CF281" s="41">
        <f>SUM(CF5:CF26)*CE281</f>
        <v>0</v>
      </c>
      <c r="CG281" s="40"/>
      <c r="CH281" s="41"/>
      <c r="CJ281" s="141">
        <v>3</v>
      </c>
      <c r="CK281" s="140">
        <f>CK26*CJ281+CK25*CJ281+CK24*CJ281+CK23*CJ281+CK5*CJ281+CK6*CJ281+CK7*CJ281+CK8*CJ281+CK9*CJ281+CK10*CJ281+CK11*CJ281+CK12*CJ281+CK13*CJ281+CK14*CJ281+CK15*CJ281+CK16*CJ281+CK17*CJ281+CK18*CJ281+CK19*CJ281+CK20*CJ281+CK21*CJ281+CK22*CJ281</f>
        <v>0</v>
      </c>
      <c r="CL281" s="139"/>
      <c r="CM281" s="140"/>
      <c r="CO281" s="223">
        <v>3</v>
      </c>
      <c r="CP281" s="41">
        <f>CP26*CO281+CP25*CO281+CP24*CO281+CP23*CO281+CP5*CO281+CP6*CO281+CP7*CO281+CP8*CO281+CP9*CO281+CP10*CO281+CP11*CO281+CP12*CO281+CP13*CO281+CP14*CO281+CP15*CO281+CP16*CO281+CP17*CO281+CP18*CO281+CP19*CO281+CP20*CO281+CP21*CO281+CP22*CO281</f>
        <v>0</v>
      </c>
      <c r="CQ281" s="40"/>
      <c r="CR281" s="41"/>
      <c r="CT281" s="61">
        <v>2</v>
      </c>
      <c r="CU281" s="41">
        <f>SUM(CU5:CU26)*CT281-CU182</f>
        <v>0</v>
      </c>
      <c r="CV281" s="40"/>
      <c r="CW281" s="41"/>
      <c r="CY281" s="61">
        <v>1</v>
      </c>
      <c r="CZ281" s="41">
        <f>SUM(CZ5:CZ26)*CY281</f>
        <v>0</v>
      </c>
      <c r="DA281" s="40"/>
      <c r="DB281" s="41"/>
      <c r="DD281" s="46"/>
      <c r="DE281" s="41">
        <f>DE26*DD281+DE25*DD281+DE24*DD281+DE23*DD281+DE5*DD281+DE6*DD281+DE7*DD281+DE8*DD281+DE9*DD281+DE10*DD281+DE11*DD281+DE12*DD281+DE13*DD281+DE14*DD281+DE15*DD281+DE16*DD281+DE17*DD281+DE18*DD281+DE19*DD281+DE20*DD281+DE21*DD281+DE22*DD281</f>
        <v>0</v>
      </c>
      <c r="DF281" s="40"/>
      <c r="DG281" s="41"/>
      <c r="DI281" s="73">
        <v>3</v>
      </c>
      <c r="DJ281" s="64">
        <f>DJ26*DI281+DJ25*DI281+DJ24*DI281+DJ23*DI281+DJ5*DI281+DJ6*DI281+DJ7*DI281+DJ8*DI281+DJ9*DI281+DJ10*DI281+DJ11*DI281+DJ12*DI281+DJ13*DI281+DJ14*DI281+DJ15*DI281+DJ16*DI281+DJ17*DI281+DJ18*DI281+DJ19*DI281+DJ20*DI281+DJ21*DI281+DJ22*DI281</f>
        <v>0</v>
      </c>
      <c r="DK281" s="64"/>
      <c r="DL281" s="64"/>
      <c r="DN281" s="73">
        <v>3</v>
      </c>
      <c r="DO281" s="64">
        <f>DO26*DN281+DO25*DN281+DO24*DN281+DO23*DN281+DO5*DN281+DO6*DN281+DO7*DN281+DO8*DN281+DO9*DN281+DO10*DN281+DO11*DN281+DO12*DN281+DO13*DN281+DO14*DN281+DO15*DN281+DO16*DN281+DO17*DN281+DO18*DN281+DO19*DN281+DO20*DN281+DO21*DN281+DO22*DN281</f>
        <v>0</v>
      </c>
      <c r="DP281" s="64"/>
      <c r="DQ281" s="64"/>
      <c r="DS281" s="73"/>
      <c r="DT281" s="64">
        <f>DT26*DS281+DT25*DS281+DT24*DS281+DT23*DS281+DT5*DS281+DT6*DS281+DT7*DS281+DT8*DS281+DT9*DS281+DT10*DS281+DT11*DS281+DT12*DS281+DT13*DS281+DT14*DS281+DT15*DS281+DT16*DS281+DT17*DS281+DT18*DS281+DT19*DS281+DT20*DS281+DT21*DS281+DT22*DS281</f>
        <v>0</v>
      </c>
      <c r="DU281" s="64"/>
      <c r="DV281" s="64"/>
      <c r="DX281" s="73"/>
      <c r="DY281" s="64">
        <f>DY26*DX281+DY25*DX281+DY24*DX281+DY23*DX281+DY5*DX281+DY6*DX281+DY7*DX281+DY8*DX281+DY9*DX281+DY10*DX281+DY11*DX281+DY12*DX281+DY13*DX281+DY14*DX281+DY15*DX281+DY16*DX281+DY17*DX281+DY18*DX281+DY19*DX281+DY20*DX281+DY21*DX281+DY22*DX281</f>
        <v>0</v>
      </c>
      <c r="DZ281" s="64"/>
      <c r="EA281" s="64"/>
      <c r="EC281" s="73">
        <v>3</v>
      </c>
      <c r="ED281" s="64">
        <f>ED26*EC281+ED25*EC281+ED24*EC281+ED23*EC281+ED5*EC281+ED6*EC281+ED7*EC281+ED8*EC281+ED9*EC281+ED10*EC281+ED11*EC281+ED12*EC281+ED13*EC281+ED14*EC281+ED15*EC281+ED16*EC281+ED17*EC281+ED18*EC281+ED19*EC281+ED20*EC281+ED21*EC281+ED22*EC281</f>
        <v>0</v>
      </c>
      <c r="EE281" s="64"/>
      <c r="EF281" s="64"/>
      <c r="EH281" s="73">
        <v>3</v>
      </c>
      <c r="EI281" s="64">
        <f>EI26*EH281+EI25*EH281+EI24*EH281+EI23*EH281+EI5*EH281+EI6*EH281+EI7*EH281+EI8*EH281+EI9*EH281+EI10*EH281+EI11*EH281+EI12*EH281+EI13*EH281+EI14*EH281+EI15*EH281+EI16*EH281+EI17*EH281+EI18*EH281+EI19*EH281+EI20*EH281+EI21*EH281+EI22*EH281</f>
        <v>0</v>
      </c>
      <c r="EJ281" s="64"/>
      <c r="EK281" s="64"/>
      <c r="ER281" s="855"/>
      <c r="EX281" s="203">
        <f t="shared" si="2"/>
        <v>0</v>
      </c>
    </row>
    <row r="282" spans="1:155" s="44" customFormat="1" ht="15" customHeight="1">
      <c r="A282" s="143" t="s">
        <v>197</v>
      </c>
      <c r="B282" s="210" t="s">
        <v>197</v>
      </c>
      <c r="C282" s="473" t="s">
        <v>515</v>
      </c>
      <c r="D282" s="144"/>
      <c r="E282" s="142">
        <v>1</v>
      </c>
      <c r="F282" s="140">
        <f>SUM(G5:G26)*E282</f>
        <v>0</v>
      </c>
      <c r="G282" s="140"/>
      <c r="H282" s="140"/>
      <c r="I282" s="42"/>
      <c r="J282" s="4"/>
      <c r="K282" s="4"/>
      <c r="L282" s="42"/>
      <c r="M282" s="658">
        <v>3</v>
      </c>
      <c r="N282" s="658">
        <f>SUM(O5:O26)*M282</f>
        <v>0</v>
      </c>
      <c r="O282" s="4"/>
      <c r="P282" s="4"/>
      <c r="Q282" s="42"/>
      <c r="R282" s="43"/>
      <c r="S282" s="43"/>
      <c r="U282" s="43"/>
      <c r="W282" s="47">
        <v>1</v>
      </c>
      <c r="X282" s="41">
        <f>Y26*W282+Y23*W282+Y24*W282+Y5*W282+Y6*W282+Y7*W282+Y8*W282+Y9*W282+Y10*W282+Y11*W282+Y12*W282+Y13*W282+Y14*W282+Y15*W282+Y16*W282+Y17*W282+Y18*W282+Y19*W282+Y20*W282+Y21*W282+Y22*W282+Y1*W282</f>
        <v>0</v>
      </c>
      <c r="Y282" s="43"/>
      <c r="Z282" s="43"/>
      <c r="AB282" s="47">
        <v>1</v>
      </c>
      <c r="AC282" s="41">
        <f>AD26*AB282+AD23*AB282+AD24*AB282+AD5*AB282+AD6*AB282+AD7*AB282+AD8*AB282+AD9*AB282+AD10*AB282+AD11*AB282+AD12*AB282+AD13*AB282+AD14*AB282+AD15*AB282+AD16*AB282+AD17*AB282+AD18*AB282+AD19*AB282+AD20*AB282+AD21*AB282+AD22*AB282+AD1*AB282</f>
        <v>0</v>
      </c>
      <c r="AD282" s="43"/>
      <c r="AE282" s="43"/>
      <c r="AG282" s="57"/>
      <c r="AH282" s="41">
        <f>AI26*AG282+AI23*AG282+AI24*AG282+AI5*AG282+AI6*AG282+AI7*AG282+AI8*AG282+AI9*AG282+AI10*AG282+AI11*AG282+AI12*AG282+AI13*AG282+AI14*AG282+AI15*AG282+AI16*AG282+AI17*AG282+AI18*AG282+AI19*AG282+AI20*AG282+AI21*AG282+AI22*AG282+AI1*AG282</f>
        <v>0</v>
      </c>
      <c r="AI282" s="43"/>
      <c r="AJ282" s="43"/>
      <c r="AL282" s="47"/>
      <c r="AM282" s="41"/>
      <c r="AN282" s="43"/>
      <c r="AO282" s="43"/>
      <c r="AP282" s="6"/>
      <c r="AQ282" s="47">
        <v>3</v>
      </c>
      <c r="AR282" s="41">
        <f>AS26*AQ282+AS23*AQ282+AS24*AQ282+AS5*AQ282+AS6*AQ282+AS7*AQ282+AS8*AQ282+AS9*AQ282+AS10*AQ282+AS11*AQ282+AS12*AQ282+AS13*AQ282+AS14*AQ282+AS15*AQ282+AS16*AQ282+AS17*AQ282+AS18*AQ282+AS19*AQ282+AS20*AQ282+AS21*AQ282+AS22*AQ282+AS1*AQ282</f>
        <v>0</v>
      </c>
      <c r="AS282" s="43"/>
      <c r="AT282" s="43"/>
      <c r="AU282" s="6"/>
      <c r="AV282" s="149">
        <v>3</v>
      </c>
      <c r="AW282" s="140">
        <f>AX26*AV282+AX23*AV282+AX24*AV282+AX5*AV282+AX6*AV282+AX7*AV282+AX8*AV282+AX9*AV282+AX10*AV282+AX11*AV282+AX12*AV282+AX13*AV282+AX14*AV282+AX15*AV282+AX16*AV282+AX17*AV282+AX18*AV282+AX19*AV282+AX20*AV282+AX21*AV282+AX22*AV282+AX1*AV282</f>
        <v>0</v>
      </c>
      <c r="AZ282" s="6"/>
      <c r="BA282" s="149">
        <v>3</v>
      </c>
      <c r="BB282" s="140">
        <f>BC26*BA282+BC23*BA282+BC24*BA282+BC5*BA282+BC6*BA282+BC7*BA282+BC8*BA282+BC9*BA282+BC10*BA282+BC11*BA282+BC12*BA282+BC13*BA282+BC14*BA282+BC15*BA282+BC16*BA282+BC17*BA282+BC18*BA282+BC19*BA282+BC20*BA282+BC21*BA282+BC22*BA282+BC1*BA282</f>
        <v>0</v>
      </c>
      <c r="BD282" s="43"/>
      <c r="BF282" s="40"/>
      <c r="BG282" s="40"/>
      <c r="BH282" s="43"/>
      <c r="BI282" s="43"/>
      <c r="BK282" s="142">
        <v>1</v>
      </c>
      <c r="BL282" s="140">
        <f>SUM(BM5:BM26)*BK282</f>
        <v>0</v>
      </c>
      <c r="BM282" s="43"/>
      <c r="BN282" s="43"/>
      <c r="BP282" s="142">
        <v>1</v>
      </c>
      <c r="BQ282" s="140">
        <f>SUM(BR5:BR26)*BP282</f>
        <v>0</v>
      </c>
      <c r="BR282" s="43"/>
      <c r="BS282" s="43"/>
      <c r="BU282" s="61">
        <v>1</v>
      </c>
      <c r="BV282" s="41">
        <f>SUM(BW5:BW26)*BU282</f>
        <v>0</v>
      </c>
      <c r="BW282" s="43"/>
      <c r="BX282" s="43"/>
      <c r="BZ282" s="61">
        <v>2</v>
      </c>
      <c r="CA282" s="41">
        <f>SUM(CB5:CB26)*BZ282</f>
        <v>0</v>
      </c>
      <c r="CB282" s="43"/>
      <c r="CC282" s="43"/>
      <c r="CE282" s="61">
        <v>2</v>
      </c>
      <c r="CF282" s="41">
        <f>SUM(CG5:CG26)*CE282</f>
        <v>0</v>
      </c>
      <c r="CG282" s="43"/>
      <c r="CH282" s="43"/>
      <c r="CJ282" s="141">
        <v>3</v>
      </c>
      <c r="CK282" s="140">
        <f>CL26*CJ282+CL23*CJ282+CL24*CJ282+CL5*CJ282+CL6*CJ282+CL7*CJ282+CL8*CJ282+CL9*CJ282+CL10*CJ282+CL11*CJ282+CL12*CJ282+CL13*CJ282+CL14*CJ282+CL15*CJ282+CL16*CJ282+CL17*CJ282+CL18*CJ282+CL19*CJ282+CL20*CJ282+CL21*CJ282+CL22*CJ282+CL1*CJ282</f>
        <v>0</v>
      </c>
      <c r="CN282" s="6"/>
      <c r="CO282" s="223">
        <v>3</v>
      </c>
      <c r="CP282" s="41">
        <f>CQ26*CO282+CQ23*CO282+CQ24*CO282+CQ5*CO282+CQ6*CO282+CQ7*CO282+CQ8*CO282+CQ9*CO282+CQ10*CO282+CQ11*CO282+CQ12*CO282+CQ13*CO282+CQ14*CO282+CQ15*CO282+CQ16*CO282+CQ17*CO282+CQ18*CO282+CQ19*CO282+CQ20*CO282+CQ21*CO282+CQ22*CO282+CQ1*CO282</f>
        <v>0</v>
      </c>
      <c r="CQ282" s="43"/>
      <c r="CR282" s="43"/>
      <c r="CT282" s="61">
        <v>2</v>
      </c>
      <c r="CU282" s="41">
        <f>SUM(CV5:CV26)*CT282</f>
        <v>0</v>
      </c>
      <c r="CV282" s="43"/>
      <c r="CW282" s="43"/>
      <c r="CY282" s="61">
        <v>1</v>
      </c>
      <c r="CZ282" s="41">
        <f>SUM(DA5:DA26)*CY282</f>
        <v>0</v>
      </c>
      <c r="DA282" s="43"/>
      <c r="DB282" s="43"/>
      <c r="DD282" s="46"/>
      <c r="DE282" s="41">
        <f>DF26*DD282+DF23*DD282+DF24*DD282+DF5*DD282+DF6*DD282+DF7*DD282+DF8*DD282+DF9*DD282+DF10*DD282+DF11*DD282+DF12*DD282+DF13*DD282+DF14*DD282+DF15*DD282+DF16*DD282+DF17*DD282+DF18*DD282+DF19*DD282+DF20*DD282+DF21*DD282+DF22*DD282+DF1*DD282</f>
        <v>0</v>
      </c>
      <c r="DF282" s="43"/>
      <c r="DG282" s="43"/>
      <c r="DI282" s="73">
        <v>3</v>
      </c>
      <c r="DJ282" s="41">
        <f>DK26*DI282+DK23*DI282+DK24*DI282+DK5*DI282+DK6*DI282+DK7*DI282+DK8*DI282+DK9*DI282+DK10*DI282+DK11*DI282+DK12*DI282+DK13*DI282+DK14*DI282+DK15*DI282+DK16*DI282+DK17*DI282+DK18*DI282+DK19*DI282+DK20*DI282+DK21*DI282+DK22*DI282+DK1*DI282</f>
        <v>0</v>
      </c>
      <c r="DK282" s="64"/>
      <c r="DL282" s="64"/>
      <c r="DN282" s="73">
        <v>3</v>
      </c>
      <c r="DO282" s="41">
        <f>DP26*DN282+DP23*DN282+DP24*DN282+DP5*DN282+DP6*DN282+DP7*DN282+DP8*DN282+DP9*DN282+DP10*DN282+DP11*DN282+DP12*DN282+DP13*DN282+DP14*DN282+DP15*DN282+DP16*DN282+DP17*DN282+DP18*DN282+DP19*DN282+DP20*DN282+DP21*DN282+DP22*DN282+DP1*DN282</f>
        <v>0</v>
      </c>
      <c r="DP282" s="64"/>
      <c r="DQ282" s="64"/>
      <c r="DS282" s="73"/>
      <c r="DT282" s="41">
        <f>DU26*DS282+DU23*DS282+DU24*DS282+DU5*DS282+DU6*DS282+DU7*DS282+DU8*DS282+DU9*DS282+DU10*DS282+DU11*DS282+DU12*DS282+DU13*DS282+DU14*DS282+DU15*DS282+DU16*DS282+DU17*DS282+DU18*DS282+DU19*DS282+DU20*DS282+DU21*DS282+DU22*DS282+DU1*DS282</f>
        <v>0</v>
      </c>
      <c r="DU282" s="64"/>
      <c r="DV282" s="64"/>
      <c r="DX282" s="73"/>
      <c r="DY282" s="41">
        <f>DZ26*DX282+DZ23*DX282+DZ24*DX282+DZ5*DX282+DZ6*DX282+DZ7*DX282+DZ8*DX282+DZ9*DX282+DZ10*DX282+DZ11*DX282+DZ12*DX282+DZ13*DX282+DZ14*DX282+DZ15*DX282+DZ16*DX282+DZ17*DX282+DZ18*DX282+DZ19*DX282+DZ20*DX282+DZ21*DX282+DZ22*DX282+DZ1*DX282</f>
        <v>0</v>
      </c>
      <c r="DZ282" s="64"/>
      <c r="EA282" s="64"/>
      <c r="EC282" s="73">
        <v>3</v>
      </c>
      <c r="ED282" s="41">
        <f>EE26*EC282+EE23*EC282+EE24*EC282+EE5*EC282+EE6*EC282+EE7*EC282+EE8*EC282+EE9*EC282+EE10*EC282+EE11*EC282+EE12*EC282+EE13*EC282+EE14*EC282+EE15*EC282+EE16*EC282+EE17*EC282+EE18*EC282+EE19*EC282+EE20*EC282+EE21*EC282+EE22*EC282+EE1*EC282</f>
        <v>0</v>
      </c>
      <c r="EE282" s="64"/>
      <c r="EF282" s="64"/>
      <c r="EH282" s="73">
        <v>3</v>
      </c>
      <c r="EI282" s="41">
        <f>EJ26*EH282+EJ23*EH282+EJ24*EH282+EJ5*EH282+EJ6*EH282+EJ7*EH282+EJ8*EH282+EJ9*EH282+EJ10*EH282+EJ11*EH282+EJ12*EH282+EJ13*EH282+EJ14*EH282+EJ15*EH282+EJ16*EH282+EJ17*EH282+EJ18*EH282+EJ19*EH282+EJ20*EH282+EJ21*EH282+EJ22*EH282+EJ1*EH282</f>
        <v>0</v>
      </c>
      <c r="EJ282" s="64"/>
      <c r="EK282" s="64"/>
      <c r="ER282" s="856"/>
      <c r="EX282" s="203">
        <f t="shared" si="2"/>
        <v>0</v>
      </c>
      <c r="EY282" s="6"/>
    </row>
    <row r="283" spans="1:155" s="44" customFormat="1" ht="15" customHeight="1">
      <c r="A283" s="143" t="s">
        <v>198</v>
      </c>
      <c r="B283" s="210" t="s">
        <v>198</v>
      </c>
      <c r="C283" s="473" t="s">
        <v>515</v>
      </c>
      <c r="D283" s="144"/>
      <c r="E283" s="142">
        <v>1</v>
      </c>
      <c r="F283" s="140">
        <f>SUM(H5:H26)*E283</f>
        <v>0</v>
      </c>
      <c r="G283" s="140"/>
      <c r="H283" s="140"/>
      <c r="I283" s="42"/>
      <c r="J283" s="4"/>
      <c r="K283" s="4"/>
      <c r="L283" s="42"/>
      <c r="M283" s="658">
        <v>3</v>
      </c>
      <c r="N283" s="658">
        <f>SUM(P5:P26)*M283</f>
        <v>0</v>
      </c>
      <c r="O283" s="4"/>
      <c r="P283" s="4"/>
      <c r="Q283" s="42"/>
      <c r="R283" s="43"/>
      <c r="S283" s="43"/>
      <c r="U283" s="43"/>
      <c r="W283" s="47">
        <v>1</v>
      </c>
      <c r="X283" s="41">
        <f>Z26*W283+Z25*W283+Z5*W283+Z6*W283+Z7*W283+Z8*W283+Z9*W283+Z10*W283+Z11*W283+Z12*W283+Z13*W283+Z14*W283+Z15*W283+Z16*W283+Z17*W283+Z18*W283+Z19*W283+Z20*W283+Z21*W283+Z22*W283+Z1*W283+Z2*W283+Z23*W283+Z24*W283</f>
        <v>0</v>
      </c>
      <c r="Y283" s="43"/>
      <c r="Z283" s="43"/>
      <c r="AB283" s="47">
        <v>1</v>
      </c>
      <c r="AC283" s="41">
        <f>AE26*AB283+AE25*AB283+AE5*AB283+AE6*AB283+AE7*AB283+AE8*AB283+AE9*AB283+AE10*AB283+AE11*AB283+AE12*AB283+AE13*AB283+AE14*AB283+AE15*AB283+AE16*AB283+AE17*AB283+AE18*AB283+AE19*AB283+AE20*AB283+AE21*AB283+AE22*AB283+AE1*AB283+AE2*AB283+AE23*AB283+AE24*AB283</f>
        <v>0</v>
      </c>
      <c r="AD283" s="43"/>
      <c r="AE283" s="43"/>
      <c r="AG283" s="57"/>
      <c r="AH283" s="41">
        <f>AJ26*AG283+AJ25*AG283+AJ5*AG283+AJ6*AG283+AJ7*AG283+AJ8*AG283+AJ9*AG283+AJ10*AG283+AJ11*AG283+AJ12*AG283+AJ13*AG283+AJ14*AG283+AJ15*AG283+AJ16*AG283+AJ17*AG283+AJ18*AG283+AJ19*AG283+AJ20*AG283+AJ21*AG283+AJ22*AG283+AJ1*AG283+AJ2*AG283+AJ23*AG283+AJ24*AG283</f>
        <v>0</v>
      </c>
      <c r="AI283" s="43"/>
      <c r="AJ283" s="43"/>
      <c r="AL283" s="47"/>
      <c r="AM283" s="41"/>
      <c r="AN283" s="43"/>
      <c r="AO283" s="43"/>
      <c r="AP283" s="6"/>
      <c r="AQ283" s="47">
        <v>3</v>
      </c>
      <c r="AR283" s="41">
        <f>AT26*AQ283+AT25*AQ283+AT5*AQ283+AT6*AQ283+AT7*AQ283+AT8*AQ283+AT9*AQ283+AT10*AQ283+AT11*AQ283+AT12*AQ283+AT13*AQ283+AT14*AQ283+AT15*AQ283+AT16*AQ283+AT17*AQ283+AT18*AQ283+AT19*AQ283+AT20*AQ283+AT21*AQ283+AT22*AQ283+AT1*AQ283+AT2*AQ283+AT23*AQ283+AT24*AQ283</f>
        <v>0</v>
      </c>
      <c r="AS283" s="43"/>
      <c r="AT283" s="43"/>
      <c r="AU283" s="6"/>
      <c r="AV283" s="149">
        <v>3</v>
      </c>
      <c r="AW283" s="140">
        <f>AY26*AV283+AY25*AV283+AY5*AV283+AY6*AV283+AY7*AV283+AY8*AV283+AY9*AV283+AY10*AV283+AY11*AV283+AY12*AV283+AY13*AV283+AY14*AV283+AY15*AV283+AY16*AV283+AY17*AV283+AY18*AV283+AY19*AV283+AY20*AV283+AY21*AV283+AY22*AV283+AY1*AV283+AY2*AV283+AY23*AV283+AY24*AV283</f>
        <v>0</v>
      </c>
      <c r="AZ283" s="6"/>
      <c r="BA283" s="149">
        <v>3</v>
      </c>
      <c r="BB283" s="140">
        <f>BD26*BA283+BD25*BA283+BD5*BA283+BD6*BA283+BD7*BA283+BD8*BA283+BD9*BA283+BD10*BA283+BD11*BA283+BD12*BA283+BD13*BA283+BD14*BA283+BD15*BA283+BD16*BA283+BD17*BA283+BD18*BA283+BD19*BA283+BD20*BA283+BD21*BA283+BD22*BA283+BD1*BA283+BD2*BA283+BD23*BA283+BD24*BA283</f>
        <v>0</v>
      </c>
      <c r="BD283" s="43"/>
      <c r="BF283" s="40"/>
      <c r="BG283" s="40"/>
      <c r="BH283" s="43"/>
      <c r="BI283" s="43"/>
      <c r="BK283" s="142">
        <v>1</v>
      </c>
      <c r="BL283" s="140">
        <f>SUM(BN5:BN26)*BK283</f>
        <v>0</v>
      </c>
      <c r="BM283" s="43"/>
      <c r="BN283" s="43"/>
      <c r="BP283" s="142">
        <v>1</v>
      </c>
      <c r="BQ283" s="140">
        <f>SUM(BS5:BS26)*BP283</f>
        <v>0</v>
      </c>
      <c r="BR283" s="43"/>
      <c r="BS283" s="43"/>
      <c r="BU283" s="61">
        <v>1</v>
      </c>
      <c r="BV283" s="41">
        <f>SUM(BX5:BX26)*BU283</f>
        <v>0</v>
      </c>
      <c r="BW283" s="43"/>
      <c r="BX283" s="43"/>
      <c r="BZ283" s="61">
        <v>2</v>
      </c>
      <c r="CA283" s="41">
        <f>SUM(CC5:CC26)*BZ283</f>
        <v>0</v>
      </c>
      <c r="CB283" s="43"/>
      <c r="CC283" s="43"/>
      <c r="CE283" s="61">
        <v>2</v>
      </c>
      <c r="CF283" s="41">
        <f>SUM(CH5:CH26)*CE283</f>
        <v>0</v>
      </c>
      <c r="CG283" s="43"/>
      <c r="CH283" s="43"/>
      <c r="CJ283" s="141">
        <v>3</v>
      </c>
      <c r="CK283" s="140">
        <f>CM26*CJ283+CM25*CJ283+CM5*CJ283+CM6*CJ283+CM7*CJ283+CM8*CJ283+CM9*CJ283+CM10*CJ283+CM11*CJ283+CM12*CJ283+CM13*CJ283+CM14*CJ283+CM15*CJ283+CM16*CJ283+CM17*CJ283+CM18*CJ283+CM19*CJ283+CM20*CJ283+CM21*CJ283+CM22*CJ283+CM1*CJ283+CM2*CJ283+CM23*CJ283+CM24*CJ283</f>
        <v>0</v>
      </c>
      <c r="CN283" s="6"/>
      <c r="CO283" s="223">
        <v>3</v>
      </c>
      <c r="CP283" s="41">
        <f>CR26*CO283+CR25*CO283+CR5*CO283+CR6*CO283+CR7*CO283+CR8*CO283+CR9*CO283+CR10*CO283+CR11*CO283+CR12*CO283+CR13*CO283+CR14*CO283+CR15*CO283+CR16*CO283+CR17*CO283+CR18*CO283+CR19*CO283+CR20*CO283+CR21*CO283+CR22*CO283+CR1*CO283+CR2*CO283+CR23*CO283+CR24*CO283</f>
        <v>0</v>
      </c>
      <c r="CQ283" s="43"/>
      <c r="CR283" s="43"/>
      <c r="CT283" s="61">
        <v>2</v>
      </c>
      <c r="CU283" s="41">
        <f>SUM(CW5:CW26)*CT283</f>
        <v>0</v>
      </c>
      <c r="CV283" s="43"/>
      <c r="CW283" s="43"/>
      <c r="CY283" s="61">
        <v>1</v>
      </c>
      <c r="CZ283" s="41">
        <f>SUM(DB5:DB26)*CY283</f>
        <v>0</v>
      </c>
      <c r="DA283" s="43"/>
      <c r="DB283" s="43"/>
      <c r="DD283" s="46"/>
      <c r="DE283" s="41">
        <f>DG26*DD283+DG25*DD283+DG5*DD283+DG6*DD283+DG7*DD283+DG8*DD283+DG9*DD283+DG10*DD283+DG11*DD283+DG12*DD283+DG13*DD283+DG14*DD283+DG15*DD283+DG16*DD283+DG17*DD283+DG18*DD283+DG19*DD283+DG20*DD283+DG21*DD283+DG22*DD283+DG1*DD283+DG2*DD283+DG23*DD283+DG24*DD283</f>
        <v>0</v>
      </c>
      <c r="DF283" s="43"/>
      <c r="DG283" s="43"/>
      <c r="DI283" s="73">
        <v>3</v>
      </c>
      <c r="DJ283" s="64">
        <f>DL26*DI283+DL25*DI283+DL5*DI283+DL6*DI283+DL7*DI283+DL8*DI283+DL9*DI283+DL10*DI283+DL11*DI283+DL12*DI283+DL13*DI283+DL14*DI283+DL15*DI283+DL16*DI283+DL17*DI283+DL18*DI283+DL19*DI283+DL20*DI283+DL21*DI283+DL22*DI283+DL1*DI283+DL2*DI283+DL23*DI283+DL24*DI283</f>
        <v>0</v>
      </c>
      <c r="DK283" s="64"/>
      <c r="DL283" s="64"/>
      <c r="DN283" s="73">
        <v>3</v>
      </c>
      <c r="DO283" s="64">
        <f>DQ26*DN283+DQ25*DN283+DQ5*DN283+DQ6*DN283+DQ7*DN283+DQ8*DN283+DQ9*DN283+DQ10*DN283+DQ11*DN283+DQ12*DN283+DQ13*DN283+DQ14*DN283+DQ15*DN283+DQ16*DN283+DQ17*DN283+DQ18*DN283+DQ19*DN283+DQ20*DN283+DQ21*DN283+DQ22*DN283+DQ1*DN283+DQ2*DN283+DQ23*DN283+DQ24*DN283</f>
        <v>0</v>
      </c>
      <c r="DP283" s="64"/>
      <c r="DQ283" s="64"/>
      <c r="DS283" s="73"/>
      <c r="DT283" s="64">
        <f>DV26*DS283+DV25*DS283+DV5*DS283+DV6*DS283+DV7*DS283+DV8*DS283+DV9*DS283+DV10*DS283+DV11*DS283+DV12*DS283+DV13*DS283+DV14*DS283+DV15*DS283+DV16*DS283+DV17*DS283+DV18*DS283+DV19*DS283+DV20*DS283+DV21*DS283+DV22*DS283+DV1*DS283+DV2*DS283+DV23*DS283+DV24*DS283</f>
        <v>0</v>
      </c>
      <c r="DU283" s="64"/>
      <c r="DV283" s="64"/>
      <c r="DX283" s="73"/>
      <c r="DY283" s="64">
        <f>EA26*DX283+EA25*DX283+EA5*DX283+EA6*DX283+EA7*DX283+EA8*DX283+EA9*DX283+EA10*DX283+EA11*DX283+EA12*DX283+EA13*DX283+EA14*DX283+EA15*DX283+EA16*DX283+EA17*DX283+EA18*DX283+EA19*DX283+EA20*DX283+EA21*DX283+EA22*DX283+EA1*DX283+EA2*DX283+EA23*DX283+EA24*DX283</f>
        <v>0</v>
      </c>
      <c r="DZ283" s="64"/>
      <c r="EA283" s="64"/>
      <c r="EC283" s="73">
        <v>3</v>
      </c>
      <c r="ED283" s="64">
        <f>EF26*EC283+EF25*EC283+EF5*EC283+EF6*EC283+EF7*EC283+EF8*EC283+EF9*EC283+EF10*EC283+EF11*EC283+EF12*EC283+EF13*EC283+EF14*EC283+EF15*EC283+EF16*EC283+EF17*EC283+EF18*EC283+EF19*EC283+EF20*EC283+EF21*EC283+EF22*EC283+EF1*EC283+EF2*EC283+EF23*EC283+EF24*EC283</f>
        <v>0</v>
      </c>
      <c r="EE283" s="64"/>
      <c r="EF283" s="64"/>
      <c r="EH283" s="73">
        <v>3</v>
      </c>
      <c r="EI283" s="64">
        <f>EK26*EH283+EK25*EH283+EK5*EH283+EK6*EH283+EK7*EH283+EK8*EH283+EK9*EH283+EK10*EH283+EK11*EH283+EK12*EH283+EK13*EH283+EK14*EH283+EK15*EH283+EK16*EH283+EK17*EH283+EK18*EH283+EK19*EH283+EK20*EH283+EK21*EH283+EK22*EH283+EK1*EH283+EK2*EH283+EK23*EH283+EK24*EH283</f>
        <v>0</v>
      </c>
      <c r="EJ283" s="64"/>
      <c r="EK283" s="64"/>
      <c r="ER283" s="856"/>
      <c r="EX283" s="203">
        <f t="shared" si="2"/>
        <v>0</v>
      </c>
      <c r="EY283" s="6"/>
    </row>
    <row r="284" spans="1:155" s="44" customFormat="1" ht="15" customHeight="1">
      <c r="A284" s="143" t="s">
        <v>318</v>
      </c>
      <c r="B284" s="210" t="s">
        <v>318</v>
      </c>
      <c r="C284" s="473" t="s">
        <v>515</v>
      </c>
      <c r="D284" s="144"/>
      <c r="E284" s="62"/>
      <c r="F284" s="41"/>
      <c r="G284" s="41"/>
      <c r="H284" s="41"/>
      <c r="I284" s="42"/>
      <c r="J284" s="4"/>
      <c r="K284" s="4"/>
      <c r="L284" s="42"/>
      <c r="M284" s="4"/>
      <c r="N284" s="4"/>
      <c r="O284" s="4"/>
      <c r="P284" s="4"/>
      <c r="Q284" s="42"/>
      <c r="R284" s="43"/>
      <c r="S284" s="43"/>
      <c r="U284" s="43"/>
      <c r="W284" s="47"/>
      <c r="X284" s="41"/>
      <c r="Y284" s="43"/>
      <c r="Z284" s="43"/>
      <c r="AB284" s="47"/>
      <c r="AC284" s="41"/>
      <c r="AD284" s="43"/>
      <c r="AE284" s="43"/>
      <c r="AG284" s="57"/>
      <c r="AH284" s="41"/>
      <c r="AI284" s="43"/>
      <c r="AJ284" s="43"/>
      <c r="AL284" s="47"/>
      <c r="AM284" s="41"/>
      <c r="AN284" s="43"/>
      <c r="AO284" s="43"/>
      <c r="AP284" s="6"/>
      <c r="AQ284" s="47"/>
      <c r="AR284" s="41"/>
      <c r="AS284" s="43"/>
      <c r="AT284" s="43"/>
      <c r="AU284" s="6"/>
      <c r="AV284" s="149"/>
      <c r="AW284" s="140"/>
      <c r="AZ284" s="6"/>
      <c r="BA284" s="149"/>
      <c r="BB284" s="140"/>
      <c r="BD284" s="43"/>
      <c r="BF284" s="40"/>
      <c r="BG284" s="40"/>
      <c r="BH284" s="43"/>
      <c r="BI284" s="43"/>
      <c r="BK284" s="142"/>
      <c r="BL284" s="140"/>
      <c r="BM284" s="43"/>
      <c r="BN284" s="43"/>
      <c r="BP284" s="62"/>
      <c r="BQ284" s="41"/>
      <c r="BR284" s="43"/>
      <c r="BS284" s="43"/>
      <c r="BU284" s="62"/>
      <c r="BV284" s="41"/>
      <c r="BW284" s="43"/>
      <c r="BX284" s="43"/>
      <c r="BZ284" s="61"/>
      <c r="CA284" s="41"/>
      <c r="CB284" s="43"/>
      <c r="CC284" s="43"/>
      <c r="CE284" s="61"/>
      <c r="CF284" s="41"/>
      <c r="CG284" s="43"/>
      <c r="CH284" s="43"/>
      <c r="CJ284" s="141"/>
      <c r="CK284" s="140"/>
      <c r="CN284" s="6"/>
      <c r="CO284" s="223"/>
      <c r="CP284" s="41"/>
      <c r="CQ284" s="43"/>
      <c r="CR284" s="43"/>
      <c r="CT284" s="62"/>
      <c r="CU284" s="41"/>
      <c r="CV284" s="43"/>
      <c r="CW284" s="43"/>
      <c r="CY284" s="62"/>
      <c r="CZ284" s="41"/>
      <c r="DA284" s="43"/>
      <c r="DB284" s="43"/>
      <c r="DD284" s="46"/>
      <c r="DE284" s="41"/>
      <c r="DF284" s="43"/>
      <c r="DG284" s="43"/>
      <c r="DI284" s="73"/>
      <c r="DJ284" s="64"/>
      <c r="DK284" s="64"/>
      <c r="DL284" s="64"/>
      <c r="DN284" s="73"/>
      <c r="DO284" s="64"/>
      <c r="DP284" s="64"/>
      <c r="DQ284" s="64"/>
      <c r="DS284" s="73"/>
      <c r="DT284" s="64"/>
      <c r="DU284" s="64"/>
      <c r="DV284" s="64"/>
      <c r="DX284" s="73"/>
      <c r="DY284" s="64"/>
      <c r="DZ284" s="64"/>
      <c r="EA284" s="64"/>
      <c r="EC284" s="73"/>
      <c r="ED284" s="64"/>
      <c r="EE284" s="64"/>
      <c r="EF284" s="64"/>
      <c r="EH284" s="73"/>
      <c r="EI284" s="64"/>
      <c r="EJ284" s="64"/>
      <c r="EK284" s="64"/>
      <c r="ER284" s="856"/>
      <c r="EX284" s="203">
        <f t="shared" si="2"/>
        <v>0</v>
      </c>
      <c r="EY284" s="6"/>
    </row>
    <row r="285" spans="1:155" s="6" customFormat="1" ht="15" customHeight="1">
      <c r="A285" s="90" t="s">
        <v>53</v>
      </c>
      <c r="B285" s="210" t="s">
        <v>53</v>
      </c>
      <c r="C285" s="473" t="s">
        <v>515</v>
      </c>
      <c r="D285" s="138"/>
      <c r="E285" s="40"/>
      <c r="F285" s="40"/>
      <c r="G285" s="40"/>
      <c r="H285" s="40"/>
      <c r="I285" s="4"/>
      <c r="J285" s="4"/>
      <c r="K285" s="4"/>
      <c r="L285" s="4"/>
      <c r="M285" s="4"/>
      <c r="N285" s="4"/>
      <c r="O285" s="4"/>
      <c r="P285" s="4"/>
      <c r="Q285" s="4"/>
      <c r="R285" s="40"/>
      <c r="S285" s="41"/>
      <c r="T285" s="140"/>
      <c r="U285" s="41"/>
      <c r="W285" s="40"/>
      <c r="X285" s="41"/>
      <c r="Y285" s="41"/>
      <c r="Z285" s="41"/>
      <c r="AB285" s="40"/>
      <c r="AC285" s="41"/>
      <c r="AD285" s="41"/>
      <c r="AE285" s="41"/>
      <c r="AG285" s="40"/>
      <c r="AH285" s="41"/>
      <c r="AI285" s="41"/>
      <c r="AJ285" s="41"/>
      <c r="AL285" s="40"/>
      <c r="AM285" s="41"/>
      <c r="AN285" s="41"/>
      <c r="AO285" s="41"/>
      <c r="AQ285" s="40"/>
      <c r="AR285" s="41"/>
      <c r="AS285" s="41"/>
      <c r="AT285" s="41"/>
      <c r="AV285" s="139"/>
      <c r="AW285" s="139"/>
      <c r="AX285" s="139"/>
      <c r="AY285" s="140"/>
      <c r="BA285" s="139"/>
      <c r="BB285" s="139"/>
      <c r="BC285" s="139"/>
      <c r="BD285" s="41"/>
      <c r="BF285" s="40"/>
      <c r="BG285" s="40"/>
      <c r="BH285" s="40"/>
      <c r="BI285" s="41"/>
      <c r="BK285" s="139"/>
      <c r="BL285" s="139"/>
      <c r="BM285" s="40"/>
      <c r="BN285" s="41"/>
      <c r="BP285" s="40"/>
      <c r="BQ285" s="40"/>
      <c r="BR285" s="40"/>
      <c r="BS285" s="41"/>
      <c r="BU285" s="40"/>
      <c r="BV285" s="40"/>
      <c r="BW285" s="40"/>
      <c r="BX285" s="41"/>
      <c r="BZ285" s="40"/>
      <c r="CA285" s="40"/>
      <c r="CB285" s="40"/>
      <c r="CC285" s="41"/>
      <c r="CD285" s="140"/>
      <c r="CE285" s="40"/>
      <c r="CF285" s="40"/>
      <c r="CG285" s="40"/>
      <c r="CH285" s="41"/>
      <c r="CJ285" s="139"/>
      <c r="CK285" s="139"/>
      <c r="CL285" s="139"/>
      <c r="CM285" s="140"/>
      <c r="CO285" s="222"/>
      <c r="CP285" s="40"/>
      <c r="CQ285" s="40"/>
      <c r="CR285" s="41"/>
      <c r="CT285" s="40"/>
      <c r="CU285" s="40"/>
      <c r="CV285" s="40"/>
      <c r="CW285" s="41"/>
      <c r="CY285" s="40"/>
      <c r="CZ285" s="40"/>
      <c r="DA285" s="40"/>
      <c r="DB285" s="41"/>
      <c r="DD285" s="40"/>
      <c r="DE285" s="40"/>
      <c r="DF285" s="40"/>
      <c r="DG285" s="41"/>
      <c r="DI285" s="64"/>
      <c r="DJ285" s="64"/>
      <c r="DK285" s="64"/>
      <c r="DL285" s="64"/>
      <c r="DN285" s="64"/>
      <c r="DO285" s="64"/>
      <c r="DP285" s="64"/>
      <c r="DQ285" s="64"/>
      <c r="DS285" s="64"/>
      <c r="DT285" s="64"/>
      <c r="DU285" s="64"/>
      <c r="DV285" s="64"/>
      <c r="DX285" s="64"/>
      <c r="DY285" s="64"/>
      <c r="DZ285" s="64"/>
      <c r="EA285" s="64"/>
      <c r="EC285" s="64"/>
      <c r="ED285" s="64"/>
      <c r="EE285" s="64"/>
      <c r="EF285" s="64"/>
      <c r="EH285" s="64"/>
      <c r="EI285" s="64"/>
      <c r="EJ285" s="64"/>
      <c r="EK285" s="64"/>
      <c r="ER285" s="855"/>
      <c r="EX285" s="203">
        <f t="shared" si="2"/>
        <v>0</v>
      </c>
    </row>
    <row r="286" spans="1:155" s="6" customFormat="1" ht="15" customHeight="1">
      <c r="A286" s="90" t="s">
        <v>202</v>
      </c>
      <c r="B286" s="210" t="s">
        <v>202</v>
      </c>
      <c r="C286" s="473" t="s">
        <v>515</v>
      </c>
      <c r="D286" s="138"/>
      <c r="E286" s="40"/>
      <c r="F286" s="40"/>
      <c r="G286" s="40"/>
      <c r="H286" s="40"/>
      <c r="I286" s="4"/>
      <c r="J286" s="4"/>
      <c r="K286" s="4"/>
      <c r="L286" s="4"/>
      <c r="M286" s="4"/>
      <c r="N286" s="4"/>
      <c r="O286" s="4"/>
      <c r="P286" s="4"/>
      <c r="Q286" s="4"/>
      <c r="R286" s="47">
        <v>3</v>
      </c>
      <c r="S286" s="41">
        <f>S5*R286+S6*R286+S7*R286+S8*R286+S9*R286+S10*R286+S11*R286+S12*R286+S13*R286+S14*R286+S15*R286+S16*R286+S17*R286+S18*R286+S19*R286+S20*R286+S21*R286+S22*R286+S23*R286+S24*R286+S25*R286+S26*R286</f>
        <v>0</v>
      </c>
      <c r="T286" s="140"/>
      <c r="U286" s="41"/>
      <c r="W286" s="47">
        <v>2</v>
      </c>
      <c r="X286" s="41">
        <f>X5*W286+X6*W286+X7*W286+X8*W286+X9*W286+X10*W286+X11*W286+X12*W286+X13*W286+X14*W286+X15*W286+X16*W286+X17*W286+X18*W286+X19*W286+X20*W286+X21*W286+X22*W286+X23*W286+X24*W286+X25*W286+X26*W286</f>
        <v>0</v>
      </c>
      <c r="Y286" s="41"/>
      <c r="Z286" s="41"/>
      <c r="AB286" s="47">
        <v>2</v>
      </c>
      <c r="AC286" s="41">
        <f>AC5*AB286+AC6*AB286+AC7*AB286+AC8*AB286+AC9*AB286+AC10*AB286+AC11*AB286+AC12*AB286+AC13*AB286+AC14*AB286+AC15*AB286+AC16*AB286+AC17*AB286+AC18*AB286+AC19*AB286+AC20*AB286+AC21*AB286+AC22*AB286+AC23*AB286+AC24*AB286+AC25*AB286+AC26*AB286</f>
        <v>0</v>
      </c>
      <c r="AD286" s="41"/>
      <c r="AE286" s="41"/>
      <c r="AG286" s="40"/>
      <c r="AH286" s="41"/>
      <c r="AI286" s="41"/>
      <c r="AJ286" s="41"/>
      <c r="AL286" s="40"/>
      <c r="AM286" s="41"/>
      <c r="AN286" s="41"/>
      <c r="AO286" s="41"/>
      <c r="AQ286" s="40"/>
      <c r="AR286" s="41"/>
      <c r="AS286" s="41"/>
      <c r="AT286" s="41"/>
      <c r="AV286" s="139"/>
      <c r="AW286" s="139"/>
      <c r="AX286" s="139"/>
      <c r="AY286" s="140"/>
      <c r="BA286" s="139"/>
      <c r="BB286" s="139"/>
      <c r="BC286" s="139"/>
      <c r="BD286" s="41"/>
      <c r="BF286" s="40"/>
      <c r="BG286" s="40"/>
      <c r="BH286" s="40"/>
      <c r="BI286" s="41"/>
      <c r="BK286" s="139"/>
      <c r="BL286" s="139"/>
      <c r="BM286" s="40"/>
      <c r="BN286" s="41"/>
      <c r="BP286" s="40"/>
      <c r="BQ286" s="40"/>
      <c r="BR286" s="40"/>
      <c r="BS286" s="41"/>
      <c r="BU286" s="40"/>
      <c r="BV286" s="40"/>
      <c r="BW286" s="40"/>
      <c r="BX286" s="41"/>
      <c r="BZ286" s="40"/>
      <c r="CA286" s="40"/>
      <c r="CB286" s="40"/>
      <c r="CC286" s="41"/>
      <c r="CD286" s="140"/>
      <c r="CE286" s="40"/>
      <c r="CF286" s="40"/>
      <c r="CG286" s="40"/>
      <c r="CH286" s="41"/>
      <c r="CJ286" s="149"/>
      <c r="CK286" s="140">
        <f>CK5*CJ286+CK6*CJ286+CK7*CJ286+CK8*CJ286+CK9*CJ286+CK10*CJ286+CK11*CJ286+CK12*CJ286+CK13*CJ286+CK14*CJ286+CK15*CJ286+CK16*CJ286+CK17*CJ286+CK18*CJ286+CK19*CJ286+CK20*CJ286+CK21*CJ286+CK22*CJ286+CK23*CJ286+CK24*CJ286+CK25*CJ286+CK26*CJ286</f>
        <v>0</v>
      </c>
      <c r="CL286" s="139"/>
      <c r="CM286" s="140"/>
      <c r="CO286" s="57"/>
      <c r="CP286" s="41">
        <f>CP5*CO286+CP6*CO286+CP7*CO286+CP8*CO286+CP9*CO286+CP10*CO286+CP11*CO286+CP12*CO286+CP13*CO286+CP14*CO286+CP15*CO286+CP16*CO286+CP17*CO286+CP18*CO286+CP19*CO286+CP20*CO286+CP21*CO286+CP22*CO286+CP23*CO286+CP24*CO286+CP25*CO286+CP26*CO286</f>
        <v>0</v>
      </c>
      <c r="CQ286" s="40"/>
      <c r="CR286" s="41"/>
      <c r="CT286" s="40"/>
      <c r="CU286" s="40"/>
      <c r="CV286" s="40"/>
      <c r="CW286" s="41"/>
      <c r="CY286" s="40"/>
      <c r="CZ286" s="40"/>
      <c r="DA286" s="40"/>
      <c r="DB286" s="41"/>
      <c r="DD286" s="40"/>
      <c r="DE286" s="40"/>
      <c r="DF286" s="40"/>
      <c r="DG286" s="41"/>
      <c r="DI286" s="63"/>
      <c r="DJ286" s="41">
        <f>DJ5*DI286+DJ6*DI286+DJ7*DI286+DJ8*DI286+DJ9*DI286+DJ10*DI286+DJ11*DI286+DJ12*DI286+DJ13*DI286+DJ14*DI286+DJ15*DI286+DJ16*DI286+DJ17*DI286+DJ18*DI286+DJ19*DI286+DJ20*DI286+DJ21*DI286+DJ22*DI286+DJ23*DI286+DJ24*DI286+DJ25*DI286+DJ26*DI286</f>
        <v>0</v>
      </c>
      <c r="DK286" s="64"/>
      <c r="DL286" s="64"/>
      <c r="DN286" s="63"/>
      <c r="DO286" s="41">
        <f>DO5*DN286+DO6*DN286+DO7*DN286+DO8*DN286+DO9*DN286+DO10*DN286+DO11*DN286+DO12*DN286+DO13*DN286+DO14*DN286+DO15*DN286+DO16*DN286+DO17*DN286+DO18*DN286+DO19*DN286+DO20*DN286+DO21*DN286+DO22*DN286+DO23*DN286+DO24*DN286+DO25*DN286+DO26*DN286</f>
        <v>0</v>
      </c>
      <c r="DP286" s="64"/>
      <c r="DQ286" s="64"/>
      <c r="DS286" s="63"/>
      <c r="DT286" s="41">
        <f>DT5*DS286+DT6*DS286+DT7*DS286+DT8*DS286+DT9*DS286+DT10*DS286+DT11*DS286+DT12*DS286+DT13*DS286+DT14*DS286+DT15*DS286+DT16*DS286+DT17*DS286+DT18*DS286+DT19*DS286+DT20*DS286+DT21*DS286+DT22*DS286+DT23*DS286+DT24*DS286+DT25*DS286+DT26*DS286</f>
        <v>0</v>
      </c>
      <c r="DU286" s="64"/>
      <c r="DV286" s="64"/>
      <c r="DX286" s="63"/>
      <c r="DY286" s="41">
        <f>DY5*DX286+DY6*DX286+DY7*DX286+DY8*DX286+DY9*DX286+DY10*DX286+DY11*DX286+DY12*DX286+DY13*DX286+DY14*DX286+DY15*DX286+DY16*DX286+DY17*DX286+DY18*DX286+DY19*DX286+DY20*DX286+DY21*DX286+DY22*DX286+DY23*DX286+DY24*DX286+DY25*DX286+DY26*DX286</f>
        <v>0</v>
      </c>
      <c r="DZ286" s="64"/>
      <c r="EA286" s="64"/>
      <c r="EC286" s="64"/>
      <c r="ED286" s="64"/>
      <c r="EE286" s="64"/>
      <c r="EF286" s="64"/>
      <c r="EH286" s="64"/>
      <c r="EI286" s="64"/>
      <c r="EJ286" s="64"/>
      <c r="EK286" s="64"/>
      <c r="ER286" s="855"/>
      <c r="EX286" s="203">
        <f t="shared" si="2"/>
        <v>0</v>
      </c>
    </row>
    <row r="287" spans="1:155" s="44" customFormat="1" ht="15" customHeight="1">
      <c r="A287" s="143" t="s">
        <v>200</v>
      </c>
      <c r="B287" s="210" t="s">
        <v>200</v>
      </c>
      <c r="C287" s="473" t="s">
        <v>515</v>
      </c>
      <c r="D287" s="144"/>
      <c r="E287" s="43"/>
      <c r="F287" s="43"/>
      <c r="G287" s="43"/>
      <c r="H287" s="43"/>
      <c r="I287" s="42"/>
      <c r="J287" s="4"/>
      <c r="K287" s="4"/>
      <c r="L287" s="42"/>
      <c r="M287" s="4"/>
      <c r="N287" s="4"/>
      <c r="O287" s="4"/>
      <c r="P287" s="4"/>
      <c r="Q287" s="42"/>
      <c r="R287" s="47">
        <v>3</v>
      </c>
      <c r="S287" s="41">
        <f>T6*R287+T7*R287+T8*R287+T9*R287+T10*R287+T11*R287+T12*R287+T13*R287+T14*R287+T15*R287+T16*R287+T17*R287+T18*R287+T19*R287+T20*R287+T21*R287+T22*R287+T23*R287+T24*R287+T25*R287+T26*R287+T5*R287</f>
        <v>0</v>
      </c>
      <c r="U287" s="43"/>
      <c r="W287" s="47">
        <v>2</v>
      </c>
      <c r="X287" s="41">
        <f>Y6*W287+Y7*W287+Y8*W287+Y9*W287+Y10*W287+Y11*W287+Y12*W287+Y13*W287+Y14*W287+Y15*W287+Y16*W287+Y17*W287+Y18*W287+Y19*W287+Y20*W287+Y21*W287+Y22*W287+Y23*W287+Y24*W287+Y25*W287+Y26*W287+Y5*W287</f>
        <v>0</v>
      </c>
      <c r="Y287" s="43"/>
      <c r="Z287" s="43"/>
      <c r="AB287" s="47">
        <v>2</v>
      </c>
      <c r="AC287" s="41">
        <f>AD6*AB287+AD7*AB287+AD8*AB287+AD9*AB287+AD10*AB287+AD11*AB287+AD12*AB287+AD13*AB287+AD14*AB287+AD15*AB287+AD16*AB287+AD17*AB287+AD18*AB287+AD19*AB287+AD20*AB287+AD21*AB287+AD22*AB287+AD23*AB287+AD24*AB287+AD25*AB287+AD26*AB287+AD5*AB287</f>
        <v>0</v>
      </c>
      <c r="AD287" s="43"/>
      <c r="AE287" s="43"/>
      <c r="AG287" s="43"/>
      <c r="AH287" s="43"/>
      <c r="AI287" s="43"/>
      <c r="AJ287" s="43"/>
      <c r="AL287" s="43"/>
      <c r="AM287" s="43"/>
      <c r="AN287" s="43"/>
      <c r="AO287" s="43"/>
      <c r="AP287" s="6"/>
      <c r="AQ287" s="40"/>
      <c r="AR287" s="43"/>
      <c r="AS287" s="43"/>
      <c r="AT287" s="43"/>
      <c r="AU287" s="6"/>
      <c r="AZ287" s="6"/>
      <c r="BD287" s="43"/>
      <c r="BF287" s="43"/>
      <c r="BG287" s="43"/>
      <c r="BH287" s="43"/>
      <c r="BI287" s="43"/>
      <c r="BM287" s="43"/>
      <c r="BN287" s="43"/>
      <c r="BP287" s="43"/>
      <c r="BQ287" s="43"/>
      <c r="BR287" s="43"/>
      <c r="BS287" s="43"/>
      <c r="BU287" s="40"/>
      <c r="BV287" s="40"/>
      <c r="BW287" s="43"/>
      <c r="BX287" s="43"/>
      <c r="BZ287" s="43"/>
      <c r="CA287" s="43"/>
      <c r="CB287" s="43"/>
      <c r="CC287" s="43"/>
      <c r="CE287" s="43"/>
      <c r="CF287" s="43"/>
      <c r="CG287" s="43"/>
      <c r="CH287" s="43"/>
      <c r="CJ287" s="149"/>
      <c r="CK287" s="140">
        <f>CL6*CJ287+CL7*CJ287+CL8*CJ287+CL9*CJ287+CL10*CJ287+CL11*CJ287+CL12*CJ287+CL13*CJ287+CL14*CJ287+CL15*CJ287+CL16*CJ287+CL17*CJ287+CL18*CJ287+CL19*CJ287+CL20*CJ287+CL21*CJ287+CL22*CJ287+CL23*CJ287+CL24*CJ287+CL25*CJ287+CL26*CJ287+CL5*CJ287</f>
        <v>0</v>
      </c>
      <c r="CN287" s="6"/>
      <c r="CO287" s="57"/>
      <c r="CP287" s="41">
        <f>CQ6*CO287+CQ7*CO287+CQ8*CO287+CQ9*CO287+CQ10*CO287+CQ11*CO287+CQ12*CO287+CQ13*CO287+CQ14*CO287+CQ15*CO287+CQ16*CO287+CQ17*CO287+CQ18*CO287+CQ19*CO287+CQ20*CO287+CQ21*CO287+CQ22*CO287+CQ23*CO287+CQ24*CO287+CQ25*CO287+CQ26*CO287+CQ5*CO287</f>
        <v>0</v>
      </c>
      <c r="CQ287" s="43"/>
      <c r="CR287" s="43"/>
      <c r="CT287" s="40"/>
      <c r="CU287" s="40"/>
      <c r="CV287" s="43"/>
      <c r="CW287" s="43"/>
      <c r="CY287" s="40"/>
      <c r="CZ287" s="40"/>
      <c r="DA287" s="43"/>
      <c r="DB287" s="43"/>
      <c r="DD287" s="40"/>
      <c r="DE287" s="40"/>
      <c r="DF287" s="43"/>
      <c r="DG287" s="43"/>
      <c r="DI287" s="63"/>
      <c r="DJ287" s="41">
        <f>DK6*DI287+DK7*DI287+DK8*DI287+DK9*DI287+DK10*DI287+DK11*DI287+DK12*DI287+DK13*DI287+DK14*DI287+DK15*DI287+DK16*DI287+DK17*DI287+DK18*DI287+DK19*DI287+DK20*DI287+DK21*DI287+DK22*DI287+DK23*DI287+DK24*DI287+DK25*DI287+DK26*DI287+DK5*DI287</f>
        <v>0</v>
      </c>
      <c r="DK287" s="64"/>
      <c r="DL287" s="64"/>
      <c r="DN287" s="63"/>
      <c r="DO287" s="41">
        <f>DP6*DN287+DP7*DN287+DP8*DN287+DP9*DN287+DP10*DN287+DP11*DN287+DP12*DN287+DP13*DN287+DP14*DN287+DP15*DN287+DP16*DN287+DP17*DN287+DP18*DN287+DP19*DN287+DP20*DN287+DP21*DN287+DP22*DN287+DP23*DN287+DP24*DN287+DP25*DN287+DP26*DN287+DP5*DN287</f>
        <v>0</v>
      </c>
      <c r="DP287" s="64"/>
      <c r="DQ287" s="64"/>
      <c r="DS287" s="63"/>
      <c r="DT287" s="41">
        <f>DU6*DS287+DU7*DS287+DU8*DS287+DU9*DS287+DU10*DS287+DU11*DS287+DU12*DS287+DU13*DS287+DU14*DS287+DU15*DS287+DU16*DS287+DU17*DS287+DU18*DS287+DU19*DS287+DU20*DS287+DU21*DS287+DU22*DS287+DU23*DS287+DU24*DS287+DU25*DS287+DU26*DS287+DU5*DS287</f>
        <v>0</v>
      </c>
      <c r="DU287" s="64"/>
      <c r="DV287" s="64"/>
      <c r="DX287" s="63"/>
      <c r="DY287" s="41">
        <f>DZ6*DX287+DZ7*DX287+DZ8*DX287+DZ9*DX287+DZ10*DX287+DZ11*DX287+DZ12*DX287+DZ13*DX287+DZ14*DX287+DZ15*DX287+DZ16*DX287+DZ17*DX287+DZ18*DX287+DZ19*DX287+DZ20*DX287+DZ21*DX287+DZ22*DX287+DZ23*DX287+DZ24*DX287+DZ25*DX287+DZ26*DX287+DZ5*DX287</f>
        <v>0</v>
      </c>
      <c r="DZ287" s="64"/>
      <c r="EA287" s="64"/>
      <c r="EC287" s="64"/>
      <c r="ED287" s="64"/>
      <c r="EE287" s="64"/>
      <c r="EF287" s="64"/>
      <c r="EH287" s="64"/>
      <c r="EI287" s="64"/>
      <c r="EJ287" s="64"/>
      <c r="EK287" s="64"/>
      <c r="ER287" s="856"/>
      <c r="EX287" s="203">
        <f t="shared" si="2"/>
        <v>0</v>
      </c>
      <c r="EY287" s="6"/>
    </row>
    <row r="288" spans="1:155" s="44" customFormat="1" ht="15" customHeight="1">
      <c r="A288" s="143" t="s">
        <v>201</v>
      </c>
      <c r="B288" s="210" t="s">
        <v>201</v>
      </c>
      <c r="C288" s="473" t="s">
        <v>515</v>
      </c>
      <c r="D288" s="144"/>
      <c r="E288" s="43"/>
      <c r="F288" s="43"/>
      <c r="G288" s="43"/>
      <c r="H288" s="43"/>
      <c r="I288" s="42"/>
      <c r="J288" s="4"/>
      <c r="K288" s="4"/>
      <c r="L288" s="42"/>
      <c r="M288" s="4"/>
      <c r="N288" s="4"/>
      <c r="O288" s="4"/>
      <c r="P288" s="4"/>
      <c r="Q288" s="42"/>
      <c r="R288" s="47">
        <v>3</v>
      </c>
      <c r="S288" s="41">
        <f>U7*R288+U8*R288+U9*R288+U10*R288+U11*R288+U12*R288+U13*R288+U14*R288+U15*R288+U16*R288+U17*R288+U18*R288+U19*R288+U20*R288+U21*R288+U22*R288+U23*R288+U24*R288+U25*R288+U26*R288+U5*R288+U6*R288</f>
        <v>0</v>
      </c>
      <c r="U288" s="43"/>
      <c r="W288" s="47">
        <v>2</v>
      </c>
      <c r="X288" s="41">
        <f>Z7*W288+Z8*W288+Z9*W288+Z10*W288+Z11*W288+Z12*W288+Z13*W288+Z14*W288+Z15*W288+Z16*W288+Z17*W288+Z18*W288+Z19*W288+Z20*W288+Z21*W288+Z22*W288+Z23*W288+Z24*W288+Z25*W288+Z26*W288+Z5*W288+Z6*W288</f>
        <v>0</v>
      </c>
      <c r="Y288" s="43"/>
      <c r="Z288" s="43"/>
      <c r="AB288" s="47">
        <v>2</v>
      </c>
      <c r="AC288" s="41">
        <f>AE7*AB288+AE8*AB288+AE9*AB288+AE10*AB288+AE11*AB288+AE12*AB288+AE13*AB288+AE14*AB288+AE15*AB288+AE16*AB288+AE17*AB288+AE18*AB288+AE19*AB288+AE20*AB288+AE21*AB288+AE22*AB288+AE23*AB288+AE24*AB288+AE25*AB288+AE26*AB288+AE5*AB288+AE6*AB288</f>
        <v>0</v>
      </c>
      <c r="AD288" s="43"/>
      <c r="AE288" s="43"/>
      <c r="AG288" s="43"/>
      <c r="AH288" s="43"/>
      <c r="AI288" s="43"/>
      <c r="AJ288" s="43"/>
      <c r="AL288" s="43"/>
      <c r="AM288" s="43"/>
      <c r="AN288" s="43"/>
      <c r="AO288" s="43"/>
      <c r="AP288" s="6"/>
      <c r="AQ288" s="40"/>
      <c r="AR288" s="43"/>
      <c r="AS288" s="43"/>
      <c r="AT288" s="43"/>
      <c r="AU288" s="6"/>
      <c r="AZ288" s="6"/>
      <c r="BD288" s="43"/>
      <c r="BF288" s="43"/>
      <c r="BG288" s="43"/>
      <c r="BH288" s="43"/>
      <c r="BI288" s="43"/>
      <c r="BM288" s="43"/>
      <c r="BN288" s="43"/>
      <c r="BP288" s="43"/>
      <c r="BQ288" s="43"/>
      <c r="BR288" s="43"/>
      <c r="BS288" s="43"/>
      <c r="BU288" s="40"/>
      <c r="BV288" s="40"/>
      <c r="BW288" s="43"/>
      <c r="BX288" s="43"/>
      <c r="BZ288" s="43"/>
      <c r="CA288" s="43"/>
      <c r="CB288" s="43"/>
      <c r="CC288" s="43"/>
      <c r="CE288" s="43"/>
      <c r="CF288" s="43"/>
      <c r="CG288" s="43"/>
      <c r="CH288" s="43"/>
      <c r="CJ288" s="149"/>
      <c r="CK288" s="140">
        <f>CM7*CJ288+CM8*CJ288+CM9*CJ288+CM10*CJ288+CM11*CJ288+CM12*CJ288+CM13*CJ288+CM14*CJ288+CM15*CJ288+CM16*CJ288+CM17*CJ288+CM18*CJ288+CM19*CJ288+CM20*CJ288+CM21*CJ288+CM22*CJ288+CM23*CJ288+CM24*CJ288+CM25*CJ288+CM26*CJ288+CM5*CJ288+CM6*CJ288</f>
        <v>0</v>
      </c>
      <c r="CN288" s="6"/>
      <c r="CO288" s="57"/>
      <c r="CP288" s="41">
        <f>CR7*CO288+CR8*CO288+CR9*CO288+CR10*CO288+CR11*CO288+CR12*CO288+CR13*CO288+CR14*CO288+CR15*CO288+CR16*CO288+CR17*CO288+CR18*CO288+CR19*CO288+CR20*CO288+CR21*CO288+CR22*CO288+CR23*CO288+CR24*CO288+CR25*CO288+CR26*CO288+CR5*CO288+CR6*CO288</f>
        <v>0</v>
      </c>
      <c r="CQ288" s="43"/>
      <c r="CR288" s="43"/>
      <c r="CT288" s="40"/>
      <c r="CU288" s="40"/>
      <c r="CV288" s="43"/>
      <c r="CW288" s="43"/>
      <c r="CY288" s="40"/>
      <c r="CZ288" s="40"/>
      <c r="DA288" s="43"/>
      <c r="DB288" s="43"/>
      <c r="DD288" s="40"/>
      <c r="DE288" s="40"/>
      <c r="DF288" s="43"/>
      <c r="DG288" s="43"/>
      <c r="DI288" s="63"/>
      <c r="DJ288" s="41">
        <f>DL7*DI288+DL8*DI288+DL9*DI288+DL10*DI288+DL11*DI288+DL12*DI288+DL13*DI288+DL14*DI288+DL15*DI288+DL16*DI288+DL17*DI288+DL18*DI288+DL19*DI288+DL20*DI288+DL21*DI288+DL22*DI288+DL23*DI288+DL24*DI288+DL25*DI288+DL26*DI288+DL5*DI288+DL6*DI288</f>
        <v>0</v>
      </c>
      <c r="DK288" s="64"/>
      <c r="DL288" s="64"/>
      <c r="DN288" s="63"/>
      <c r="DO288" s="41">
        <f>DQ7*DN288+DQ8*DN288+DQ9*DN288+DQ10*DN288+DQ11*DN288+DQ12*DN288+DQ13*DN288+DQ14*DN288+DQ15*DN288+DQ16*DN288+DQ17*DN288+DQ18*DN288+DQ19*DN288+DQ20*DN288+DQ21*DN288+DQ22*DN288+DQ23*DN288+DQ24*DN288+DQ25*DN288+DQ26*DN288+DQ5*DN288+DQ6*DN288</f>
        <v>0</v>
      </c>
      <c r="DP288" s="64"/>
      <c r="DQ288" s="64"/>
      <c r="DS288" s="63"/>
      <c r="DT288" s="41">
        <f>DV7*DS288+DV8*DS288+DV9*DS288+DV10*DS288+DV11*DS288+DV12*DS288+DV13*DS288+DV14*DS288+DV15*DS288+DV16*DS288+DV17*DS288+DV18*DS288+DV19*DS288+DV20*DS288+DV21*DS288+DV22*DS288+DV23*DS288+DV24*DS288+DV25*DS288+DV26*DS288+DV5*DS288+DV6*DS288</f>
        <v>0</v>
      </c>
      <c r="DU288" s="64"/>
      <c r="DV288" s="64"/>
      <c r="DX288" s="63"/>
      <c r="DY288" s="41">
        <f>EA7*DX288+EA8*DX288+EA9*DX288+EA10*DX288+EA11*DX288+EA12*DX288+EA13*DX288+EA14*DX288+EA15*DX288+EA16*DX288+EA17*DX288+EA18*DX288+EA19*DX288+EA20*DX288+EA21*DX288+EA22*DX288+EA23*DX288+EA24*DX288+EA25*DX288+EA26*DX288+EA5*DX288+EA6*DX288</f>
        <v>0</v>
      </c>
      <c r="DZ288" s="64"/>
      <c r="EA288" s="64"/>
      <c r="EC288" s="64"/>
      <c r="ED288" s="64"/>
      <c r="EE288" s="64"/>
      <c r="EF288" s="64"/>
      <c r="EH288" s="64"/>
      <c r="EI288" s="64"/>
      <c r="EJ288" s="64"/>
      <c r="EK288" s="64"/>
      <c r="ER288" s="856"/>
      <c r="EX288" s="203">
        <f t="shared" si="2"/>
        <v>0</v>
      </c>
      <c r="EY288" s="6"/>
    </row>
    <row r="289" spans="1:155" s="44" customFormat="1" ht="15" customHeight="1">
      <c r="A289" s="143" t="s">
        <v>317</v>
      </c>
      <c r="B289" s="210" t="s">
        <v>317</v>
      </c>
      <c r="C289" s="473" t="s">
        <v>515</v>
      </c>
      <c r="D289" s="144"/>
      <c r="E289" s="43"/>
      <c r="F289" s="43"/>
      <c r="G289" s="43"/>
      <c r="H289" s="43"/>
      <c r="I289" s="42"/>
      <c r="J289" s="4"/>
      <c r="K289" s="4"/>
      <c r="L289" s="42"/>
      <c r="M289" s="4"/>
      <c r="N289" s="4"/>
      <c r="O289" s="4"/>
      <c r="P289" s="4"/>
      <c r="Q289" s="42"/>
      <c r="R289" s="47"/>
      <c r="S289" s="41"/>
      <c r="U289" s="43"/>
      <c r="W289" s="47"/>
      <c r="X289" s="41"/>
      <c r="Y289" s="43"/>
      <c r="Z289" s="43"/>
      <c r="AB289" s="47"/>
      <c r="AC289" s="41"/>
      <c r="AD289" s="43"/>
      <c r="AE289" s="43"/>
      <c r="AG289" s="43"/>
      <c r="AH289" s="43"/>
      <c r="AI289" s="43"/>
      <c r="AJ289" s="43"/>
      <c r="AL289" s="43"/>
      <c r="AM289" s="43"/>
      <c r="AN289" s="43"/>
      <c r="AO289" s="43"/>
      <c r="AP289" s="6"/>
      <c r="AQ289" s="40"/>
      <c r="AR289" s="43"/>
      <c r="AS289" s="43"/>
      <c r="AT289" s="43"/>
      <c r="AU289" s="6"/>
      <c r="AZ289" s="6"/>
      <c r="BD289" s="43"/>
      <c r="BF289" s="43"/>
      <c r="BG289" s="43"/>
      <c r="BH289" s="43"/>
      <c r="BI289" s="43"/>
      <c r="BM289" s="43"/>
      <c r="BN289" s="43"/>
      <c r="BP289" s="43"/>
      <c r="BQ289" s="43"/>
      <c r="BR289" s="43"/>
      <c r="BS289" s="43"/>
      <c r="BU289" s="40"/>
      <c r="BV289" s="40"/>
      <c r="BW289" s="43"/>
      <c r="BX289" s="43"/>
      <c r="BZ289" s="43"/>
      <c r="CA289" s="43"/>
      <c r="CB289" s="43"/>
      <c r="CC289" s="43"/>
      <c r="CE289" s="43"/>
      <c r="CF289" s="43"/>
      <c r="CG289" s="43"/>
      <c r="CH289" s="43"/>
      <c r="CJ289" s="149"/>
      <c r="CK289" s="140"/>
      <c r="CN289" s="6"/>
      <c r="CO289" s="57"/>
      <c r="CP289" s="41"/>
      <c r="CQ289" s="43"/>
      <c r="CR289" s="43"/>
      <c r="CT289" s="40"/>
      <c r="CU289" s="40"/>
      <c r="CV289" s="43"/>
      <c r="CW289" s="43"/>
      <c r="CY289" s="40"/>
      <c r="CZ289" s="40"/>
      <c r="DA289" s="43"/>
      <c r="DB289" s="43"/>
      <c r="DD289" s="40"/>
      <c r="DE289" s="40"/>
      <c r="DF289" s="43"/>
      <c r="DG289" s="43"/>
      <c r="DI289" s="63"/>
      <c r="DJ289" s="41"/>
      <c r="DK289" s="64"/>
      <c r="DL289" s="64"/>
      <c r="DN289" s="63"/>
      <c r="DO289" s="41"/>
      <c r="DP289" s="64"/>
      <c r="DQ289" s="64"/>
      <c r="DS289" s="63"/>
      <c r="DT289" s="41"/>
      <c r="DU289" s="64"/>
      <c r="DV289" s="64"/>
      <c r="DX289" s="63"/>
      <c r="DY289" s="41"/>
      <c r="DZ289" s="64"/>
      <c r="EA289" s="64"/>
      <c r="EC289" s="64"/>
      <c r="ED289" s="64"/>
      <c r="EE289" s="64"/>
      <c r="EF289" s="64"/>
      <c r="EH289" s="64"/>
      <c r="EI289" s="64"/>
      <c r="EJ289" s="64"/>
      <c r="EK289" s="64"/>
      <c r="ER289" s="856"/>
      <c r="EX289" s="203">
        <f t="shared" si="2"/>
        <v>0</v>
      </c>
      <c r="EY289" s="6"/>
    </row>
    <row r="290" spans="1:155" s="6" customFormat="1" ht="15" customHeight="1">
      <c r="A290" s="90" t="s">
        <v>54</v>
      </c>
      <c r="B290" s="210" t="s">
        <v>54</v>
      </c>
      <c r="C290" s="473" t="s">
        <v>515</v>
      </c>
      <c r="D290" s="138"/>
      <c r="E290" s="40"/>
      <c r="F290" s="40"/>
      <c r="G290" s="40"/>
      <c r="H290" s="40"/>
      <c r="I290" s="4"/>
      <c r="J290" s="4"/>
      <c r="K290" s="4"/>
      <c r="L290" s="4"/>
      <c r="M290" s="4"/>
      <c r="N290" s="4"/>
      <c r="O290" s="4"/>
      <c r="P290" s="4"/>
      <c r="Q290" s="4"/>
      <c r="R290" s="40"/>
      <c r="S290" s="41"/>
      <c r="T290" s="140"/>
      <c r="U290" s="41"/>
      <c r="W290" s="40"/>
      <c r="X290" s="41"/>
      <c r="Y290" s="41"/>
      <c r="Z290" s="41"/>
      <c r="AB290" s="40"/>
      <c r="AC290" s="41"/>
      <c r="AD290" s="41"/>
      <c r="AE290" s="41"/>
      <c r="AG290" s="40"/>
      <c r="AH290" s="41"/>
      <c r="AI290" s="41"/>
      <c r="AJ290" s="41"/>
      <c r="AL290" s="40"/>
      <c r="AM290" s="41"/>
      <c r="AN290" s="41"/>
      <c r="AO290" s="41"/>
      <c r="AQ290" s="40"/>
      <c r="AR290" s="41"/>
      <c r="AS290" s="41"/>
      <c r="AT290" s="41"/>
      <c r="AV290" s="139"/>
      <c r="AW290" s="139"/>
      <c r="AX290" s="139"/>
      <c r="AY290" s="140"/>
      <c r="BA290" s="139"/>
      <c r="BB290" s="139"/>
      <c r="BC290" s="139"/>
      <c r="BD290" s="41"/>
      <c r="BF290" s="40"/>
      <c r="BG290" s="40"/>
      <c r="BH290" s="40"/>
      <c r="BI290" s="41"/>
      <c r="BK290" s="139"/>
      <c r="BL290" s="139"/>
      <c r="BM290" s="40"/>
      <c r="BN290" s="41"/>
      <c r="BP290" s="40"/>
      <c r="BQ290" s="40"/>
      <c r="BR290" s="40"/>
      <c r="BS290" s="41"/>
      <c r="BU290" s="40"/>
      <c r="BV290" s="40"/>
      <c r="BW290" s="40"/>
      <c r="BX290" s="41"/>
      <c r="BZ290" s="40"/>
      <c r="CA290" s="40"/>
      <c r="CB290" s="40"/>
      <c r="CC290" s="41"/>
      <c r="CD290" s="140"/>
      <c r="CE290" s="40"/>
      <c r="CF290" s="40"/>
      <c r="CG290" s="40"/>
      <c r="CH290" s="41"/>
      <c r="CJ290" s="139"/>
      <c r="CK290" s="139"/>
      <c r="CL290" s="139"/>
      <c r="CM290" s="140"/>
      <c r="CO290" s="222"/>
      <c r="CP290" s="40"/>
      <c r="CQ290" s="40"/>
      <c r="CR290" s="41"/>
      <c r="CT290" s="40"/>
      <c r="CU290" s="40"/>
      <c r="CV290" s="40"/>
      <c r="CW290" s="41"/>
      <c r="CY290" s="40"/>
      <c r="CZ290" s="40"/>
      <c r="DA290" s="40"/>
      <c r="DB290" s="41"/>
      <c r="DD290" s="40"/>
      <c r="DE290" s="40"/>
      <c r="DF290" s="40"/>
      <c r="DG290" s="41"/>
      <c r="DI290" s="64"/>
      <c r="DJ290" s="64"/>
      <c r="DK290" s="64"/>
      <c r="DL290" s="64"/>
      <c r="DN290" s="64"/>
      <c r="DO290" s="64"/>
      <c r="DP290" s="64"/>
      <c r="DQ290" s="64"/>
      <c r="DS290" s="63"/>
      <c r="DT290" s="64"/>
      <c r="DU290" s="64"/>
      <c r="DV290" s="64"/>
      <c r="DX290" s="63"/>
      <c r="DY290" s="64"/>
      <c r="DZ290" s="64"/>
      <c r="EA290" s="64"/>
      <c r="EC290" s="64"/>
      <c r="ED290" s="64"/>
      <c r="EE290" s="64"/>
      <c r="EF290" s="64"/>
      <c r="EH290" s="64"/>
      <c r="EI290" s="64"/>
      <c r="EJ290" s="64"/>
      <c r="EK290" s="64"/>
      <c r="ER290" s="855"/>
      <c r="EX290" s="203">
        <f t="shared" si="2"/>
        <v>0</v>
      </c>
    </row>
    <row r="291" spans="1:155" s="6" customFormat="1" ht="15" customHeight="1">
      <c r="A291" s="90" t="s">
        <v>18</v>
      </c>
      <c r="B291" s="210" t="s">
        <v>480</v>
      </c>
      <c r="C291" s="473" t="s">
        <v>515</v>
      </c>
      <c r="D291" s="138"/>
      <c r="E291" s="40"/>
      <c r="F291" s="40"/>
      <c r="G291" s="40"/>
      <c r="H291" s="40"/>
      <c r="I291" s="4"/>
      <c r="J291" s="4"/>
      <c r="K291" s="4"/>
      <c r="L291" s="4"/>
      <c r="M291" s="4"/>
      <c r="N291" s="4"/>
      <c r="O291" s="4"/>
      <c r="P291" s="4"/>
      <c r="Q291" s="4"/>
      <c r="R291" s="40"/>
      <c r="S291" s="41"/>
      <c r="T291" s="140"/>
      <c r="U291" s="41"/>
      <c r="W291" s="40"/>
      <c r="X291" s="41"/>
      <c r="Y291" s="41"/>
      <c r="Z291" s="41"/>
      <c r="AB291" s="40"/>
      <c r="AC291" s="41"/>
      <c r="AD291" s="41"/>
      <c r="AE291" s="41"/>
      <c r="AG291" s="40"/>
      <c r="AH291" s="41"/>
      <c r="AI291" s="41"/>
      <c r="AJ291" s="41"/>
      <c r="AL291" s="40"/>
      <c r="AM291" s="41"/>
      <c r="AN291" s="41"/>
      <c r="AO291" s="41"/>
      <c r="AQ291" s="40"/>
      <c r="AR291" s="41"/>
      <c r="AS291" s="41"/>
      <c r="AT291" s="41"/>
      <c r="AV291" s="139"/>
      <c r="AW291" s="139"/>
      <c r="AX291" s="139"/>
      <c r="AY291" s="140"/>
      <c r="BA291" s="139"/>
      <c r="BB291" s="139"/>
      <c r="BC291" s="139"/>
      <c r="BD291" s="41"/>
      <c r="BF291" s="40"/>
      <c r="BG291" s="40"/>
      <c r="BH291" s="40"/>
      <c r="BI291" s="41"/>
      <c r="BK291" s="139"/>
      <c r="BL291" s="139"/>
      <c r="BM291" s="40"/>
      <c r="BN291" s="41"/>
      <c r="BP291" s="40"/>
      <c r="BQ291" s="40"/>
      <c r="BR291" s="40"/>
      <c r="BS291" s="41"/>
      <c r="BU291" s="40"/>
      <c r="BV291" s="40"/>
      <c r="BW291" s="40"/>
      <c r="BX291" s="41"/>
      <c r="BZ291" s="40"/>
      <c r="CA291" s="40"/>
      <c r="CB291" s="40"/>
      <c r="CC291" s="41"/>
      <c r="CD291" s="140"/>
      <c r="CE291" s="40"/>
      <c r="CF291" s="40"/>
      <c r="CG291" s="40"/>
      <c r="CH291" s="41"/>
      <c r="CJ291" s="139"/>
      <c r="CK291" s="139"/>
      <c r="CL291" s="139"/>
      <c r="CM291" s="140"/>
      <c r="CO291" s="222"/>
      <c r="CP291" s="40"/>
      <c r="CQ291" s="40"/>
      <c r="CR291" s="41"/>
      <c r="CT291" s="40"/>
      <c r="CU291" s="40"/>
      <c r="CV291" s="40"/>
      <c r="CW291" s="41"/>
      <c r="CY291" s="40"/>
      <c r="CZ291" s="40"/>
      <c r="DA291" s="40"/>
      <c r="DB291" s="41"/>
      <c r="DD291" s="40"/>
      <c r="DE291" s="40"/>
      <c r="DF291" s="40"/>
      <c r="DG291" s="41"/>
      <c r="DI291" s="62"/>
      <c r="DJ291" s="62"/>
      <c r="DK291" s="62"/>
      <c r="DL291" s="62"/>
      <c r="DM291" s="142"/>
      <c r="DN291" s="62"/>
      <c r="DO291" s="62">
        <f>IF(SUM(EN5:EN12,EO5:EO12,EP5:EP12,EQ5:EQ12)&gt;=1,SUM(ET7:ET12,EU7:EU12,EV7:EV12,EW7:EW12,EN295:EN300)*15,SUM(EN5:EN12,EO5:EO12,EP5:EP12,EQ5:EQ12)*0)</f>
        <v>0</v>
      </c>
      <c r="DP291" s="62"/>
      <c r="DQ291" s="62"/>
      <c r="DR291" s="142"/>
      <c r="DS291" s="62" t="s">
        <v>1568</v>
      </c>
      <c r="DT291" s="62"/>
      <c r="DU291" s="62"/>
      <c r="DV291" s="62"/>
      <c r="DW291" s="142"/>
      <c r="DX291" s="62" t="s">
        <v>1568</v>
      </c>
      <c r="DY291" s="62"/>
      <c r="DZ291" s="62"/>
      <c r="EA291" s="62"/>
      <c r="EB291" s="142"/>
      <c r="EC291" s="62" t="s">
        <v>1568</v>
      </c>
      <c r="ED291" s="62"/>
      <c r="EE291" s="62"/>
      <c r="EF291" s="62"/>
      <c r="EG291" s="142"/>
      <c r="EH291" s="62" t="s">
        <v>1568</v>
      </c>
      <c r="EI291" s="62"/>
      <c r="EJ291" s="62"/>
      <c r="EK291" s="62"/>
      <c r="EL291" s="142"/>
      <c r="EM291" s="142"/>
      <c r="EN291" s="142"/>
      <c r="EO291" s="142"/>
      <c r="ER291" s="855"/>
      <c r="EX291" s="203">
        <f t="shared" si="2"/>
        <v>0</v>
      </c>
    </row>
    <row r="292" spans="1:155" s="6" customFormat="1" ht="15" customHeight="1">
      <c r="A292" s="143" t="s">
        <v>226</v>
      </c>
      <c r="B292" s="210" t="s">
        <v>508</v>
      </c>
      <c r="C292" s="473" t="s">
        <v>515</v>
      </c>
      <c r="D292" s="138"/>
      <c r="E292" s="40"/>
      <c r="F292" s="40"/>
      <c r="G292" s="40"/>
      <c r="H292" s="40"/>
      <c r="I292" s="4"/>
      <c r="J292" s="4"/>
      <c r="K292" s="4"/>
      <c r="L292" s="4"/>
      <c r="M292" s="4"/>
      <c r="N292" s="4"/>
      <c r="O292" s="4"/>
      <c r="P292" s="4"/>
      <c r="Q292" s="4"/>
      <c r="R292" s="40"/>
      <c r="S292" s="41"/>
      <c r="T292" s="140"/>
      <c r="U292" s="41"/>
      <c r="W292" s="40"/>
      <c r="X292" s="41"/>
      <c r="Y292" s="41"/>
      <c r="Z292" s="41"/>
      <c r="AB292" s="40"/>
      <c r="AC292" s="41"/>
      <c r="AD292" s="41"/>
      <c r="AE292" s="41"/>
      <c r="AG292" s="40"/>
      <c r="AH292" s="41"/>
      <c r="AI292" s="41"/>
      <c r="AJ292" s="41"/>
      <c r="AL292" s="40"/>
      <c r="AM292" s="41"/>
      <c r="AN292" s="41"/>
      <c r="AO292" s="41"/>
      <c r="AQ292" s="40"/>
      <c r="AR292" s="41"/>
      <c r="AS292" s="41"/>
      <c r="AT292" s="41"/>
      <c r="AV292" s="139"/>
      <c r="AW292" s="139"/>
      <c r="AX292" s="139"/>
      <c r="AY292" s="140"/>
      <c r="BA292" s="139"/>
      <c r="BB292" s="139"/>
      <c r="BC292" s="139"/>
      <c r="BD292" s="41"/>
      <c r="BF292" s="40"/>
      <c r="BG292" s="40"/>
      <c r="BH292" s="40"/>
      <c r="BI292" s="41"/>
      <c r="BK292" s="139"/>
      <c r="BL292" s="139"/>
      <c r="BM292" s="40"/>
      <c r="BN292" s="41"/>
      <c r="BP292" s="40"/>
      <c r="BQ292" s="40"/>
      <c r="BR292" s="40"/>
      <c r="BS292" s="41"/>
      <c r="BU292" s="40"/>
      <c r="BV292" s="40"/>
      <c r="BW292" s="40"/>
      <c r="BX292" s="41"/>
      <c r="BZ292" s="40"/>
      <c r="CA292" s="40"/>
      <c r="CB292" s="40"/>
      <c r="CC292" s="41"/>
      <c r="CD292" s="140"/>
      <c r="CE292" s="40"/>
      <c r="CF292" s="40"/>
      <c r="CG292" s="40"/>
      <c r="CH292" s="41"/>
      <c r="CJ292" s="139"/>
      <c r="CK292" s="139"/>
      <c r="CL292" s="139"/>
      <c r="CM292" s="140"/>
      <c r="CO292" s="222"/>
      <c r="CP292" s="40"/>
      <c r="CQ292" s="40"/>
      <c r="CR292" s="41"/>
      <c r="CT292" s="40"/>
      <c r="CU292" s="40"/>
      <c r="CV292" s="40"/>
      <c r="CW292" s="41"/>
      <c r="CY292" s="40"/>
      <c r="CZ292" s="40"/>
      <c r="DA292" s="40"/>
      <c r="DB292" s="41"/>
      <c r="DD292" s="40"/>
      <c r="DE292" s="40"/>
      <c r="DF292" s="40"/>
      <c r="DG292" s="41"/>
      <c r="DI292" s="64"/>
      <c r="DJ292" s="64"/>
      <c r="DK292" s="64"/>
      <c r="DL292" s="64"/>
      <c r="DN292" s="64"/>
      <c r="DO292" s="64"/>
      <c r="DP292" s="64"/>
      <c r="DQ292" s="64"/>
      <c r="DS292" s="64"/>
      <c r="DT292" s="64"/>
      <c r="DU292" s="64"/>
      <c r="DV292" s="64"/>
      <c r="DX292" s="64"/>
      <c r="DY292" s="64"/>
      <c r="DZ292" s="64"/>
      <c r="EA292" s="64"/>
      <c r="EC292" s="64"/>
      <c r="ED292" s="64"/>
      <c r="EE292" s="64"/>
      <c r="EF292" s="64"/>
      <c r="EH292" s="64"/>
      <c r="EI292" s="64"/>
      <c r="EJ292" s="64"/>
      <c r="EK292" s="64"/>
      <c r="ER292" s="855"/>
      <c r="EX292" s="203">
        <f t="shared" si="2"/>
        <v>0</v>
      </c>
    </row>
    <row r="293" spans="1:155" s="6" customFormat="1" ht="15" customHeight="1">
      <c r="A293" s="90" t="s">
        <v>150</v>
      </c>
      <c r="B293" s="210" t="s">
        <v>150</v>
      </c>
      <c r="C293" s="473" t="s">
        <v>515</v>
      </c>
      <c r="D293" s="138"/>
      <c r="E293" s="62"/>
      <c r="F293" s="140">
        <f>SUM(F5:F26,G5:G26,H5:H26)*E293</f>
        <v>0</v>
      </c>
      <c r="G293" s="140"/>
      <c r="H293" s="140"/>
      <c r="I293" s="4"/>
      <c r="J293" s="4"/>
      <c r="K293" s="4"/>
      <c r="L293" s="4"/>
      <c r="M293" s="4"/>
      <c r="N293" s="4"/>
      <c r="O293" s="4"/>
      <c r="P293" s="4"/>
      <c r="Q293" s="4"/>
      <c r="R293" s="40"/>
      <c r="S293" s="41"/>
      <c r="T293" s="140"/>
      <c r="U293" s="41"/>
      <c r="W293" s="40"/>
      <c r="X293" s="41"/>
      <c r="Y293" s="41"/>
      <c r="Z293" s="41"/>
      <c r="AB293" s="40"/>
      <c r="AC293" s="41"/>
      <c r="AD293" s="41"/>
      <c r="AE293" s="41"/>
      <c r="AG293" s="40"/>
      <c r="AH293" s="41"/>
      <c r="AI293" s="41"/>
      <c r="AJ293" s="41"/>
      <c r="AL293" s="40"/>
      <c r="AM293" s="41"/>
      <c r="AN293" s="41"/>
      <c r="AO293" s="41"/>
      <c r="AQ293" s="40"/>
      <c r="AR293" s="41"/>
      <c r="AS293" s="41"/>
      <c r="AT293" s="41"/>
      <c r="AV293" s="141">
        <v>2</v>
      </c>
      <c r="AW293" s="140">
        <f>SUM(AW5:AY26)*AV293</f>
        <v>0</v>
      </c>
      <c r="AX293" s="139"/>
      <c r="AY293" s="140"/>
      <c r="BA293" s="141">
        <v>2</v>
      </c>
      <c r="BB293" s="140">
        <f>SUM(BB5:BD26)*BA293</f>
        <v>0</v>
      </c>
      <c r="BC293" s="139"/>
      <c r="BD293" s="41"/>
      <c r="BF293" s="60">
        <v>4</v>
      </c>
      <c r="BG293" s="140">
        <f>SUM(BG5:BI26)*BF293</f>
        <v>0</v>
      </c>
      <c r="BH293" s="40"/>
      <c r="BI293" s="41"/>
      <c r="BK293" s="142">
        <v>4</v>
      </c>
      <c r="BL293" s="140">
        <f>SUM(BL5:BN26)*BK293</f>
        <v>0</v>
      </c>
      <c r="BM293" s="40"/>
      <c r="BN293" s="41"/>
      <c r="BP293" s="62">
        <v>4</v>
      </c>
      <c r="BQ293" s="140">
        <f>SUM(BQ5:BS26)*BP293</f>
        <v>0</v>
      </c>
      <c r="BR293" s="40"/>
      <c r="BS293" s="41"/>
      <c r="BU293" s="62">
        <v>4</v>
      </c>
      <c r="BV293" s="140">
        <f>SUM(BV5:BX26)*BU293</f>
        <v>0</v>
      </c>
      <c r="BW293" s="40"/>
      <c r="BX293" s="41"/>
      <c r="BZ293" s="61">
        <v>8</v>
      </c>
      <c r="CA293" s="140">
        <f>SUM(CA5:CC26)*BZ293</f>
        <v>0</v>
      </c>
      <c r="CB293" s="40"/>
      <c r="CC293" s="41"/>
      <c r="CD293" s="140"/>
      <c r="CE293" s="61">
        <v>8</v>
      </c>
      <c r="CF293" s="140">
        <f>SUM(CF5:CH26)*CE293</f>
        <v>0</v>
      </c>
      <c r="CG293" s="40"/>
      <c r="CH293" s="41"/>
      <c r="CJ293" s="141"/>
      <c r="CK293" s="140">
        <f>SUM(CK5:CM26)*CJ293</f>
        <v>0</v>
      </c>
      <c r="CL293" s="139"/>
      <c r="CM293" s="140"/>
      <c r="CO293" s="223">
        <v>4</v>
      </c>
      <c r="CP293" s="140">
        <f>SUM(CP5:CR26)*CO293</f>
        <v>0</v>
      </c>
      <c r="CQ293" s="40"/>
      <c r="CR293" s="41"/>
      <c r="CT293" s="62">
        <v>6</v>
      </c>
      <c r="CU293" s="140">
        <f>SUM(CU5:CW26)*CT293</f>
        <v>0</v>
      </c>
      <c r="CV293" s="40"/>
      <c r="CW293" s="41"/>
      <c r="CY293" s="62">
        <v>8</v>
      </c>
      <c r="CZ293" s="140">
        <f>SUM(CZ5:DB26)*CY293</f>
        <v>0</v>
      </c>
      <c r="DA293" s="40"/>
      <c r="DB293" s="41"/>
      <c r="DD293" s="46">
        <v>4</v>
      </c>
      <c r="DE293" s="140">
        <f>SUM(DE5:DG26)*DD293</f>
        <v>0</v>
      </c>
      <c r="DF293" s="40"/>
      <c r="DG293" s="41"/>
      <c r="DI293" s="71">
        <v>4</v>
      </c>
      <c r="DJ293" s="41">
        <f>DJ5*DI293+DJ6*DI293+DJ7*DI293+DJ8*DI293+DJ9*DI293+DJ10*DI293+DJ11*DI293+DJ12*DI293+DJ13*DI293+DJ14*DI293+DJ15*DI293+DJ16*DI293+DJ17*DI293+DJ18*DI293+DJ19*DI293+DJ20*DI293+DJ21*DI293+DJ22*DI293+DJ23*DI293+DJ24*DI293+DJ25*DI293+DJ26*DI293+DK5*DI293+DK6*DI293+DK7*DI293+DK8*DI293+DK9*DI293+DK10*DI293+DK11*DI293+DK12*DI293+DK13*DI293+DK14*DI293+DK15*DI293+DK16*DI293+DK17*DI293+DK18*DI293+DK19*DI293+DK20*DI293+DK21*DI293+DK22*DI293+DK23*DI293+DK24*DI293+DK25*DI293+DK26*DI293+DL5*DI293+DL6*DI293+DL7*DI293+DL8*DI293+DL9*DI293+DL10*DL11+DI293*DL12*DI293+DL13*DI293+DL14*DI293+DL15*DI293+DL16*DI293+DL17*DI293+DL18*DI293+DL19*DI293+DL20*DI293+DL21*DI293+DL22*DI293+DL23*DI293+DL24*DI293+DL25*DI293+DL26*DI293</f>
        <v>0</v>
      </c>
      <c r="DK293" s="64"/>
      <c r="DL293" s="64"/>
      <c r="DN293" s="71">
        <v>4</v>
      </c>
      <c r="DO293" s="140">
        <f>SUM(DO5:DQ26)*DN293</f>
        <v>0</v>
      </c>
      <c r="DP293" s="64"/>
      <c r="DQ293" s="64"/>
      <c r="DS293" s="60">
        <v>5</v>
      </c>
      <c r="DT293" s="140">
        <f>SUM(DT5:DV26)*DS293</f>
        <v>0</v>
      </c>
      <c r="DU293" s="64"/>
      <c r="DV293" s="64"/>
      <c r="DX293" s="60">
        <v>5</v>
      </c>
      <c r="DY293" s="140">
        <f>SUM(DY5:EA26)*DX293</f>
        <v>0</v>
      </c>
      <c r="DZ293" s="64"/>
      <c r="EA293" s="64"/>
      <c r="EC293" s="60">
        <v>5</v>
      </c>
      <c r="ED293" s="41">
        <f>ED5*EC293+ED6*EC293+ED7*EC293+ED8*EC293+ED9*EC293+ED10*EC293+ED11*EC293+ED12*EC293+ED13*EC293+ED14*EC293+ED15*EC293+ED16*EC293+ED17*EC293+ED18*EC293+ED19*EC293+ED20*EC293+ED21*EC293+ED22*EC293+ED23*EC293+ED24*EC293+ED25*EC293+ED26*EC293+EE5*EC293+EE6*EC293+EE7*EC293+EE8*EC293+EE9*EC293+EE10*EC293+EE11*EC293+EE12*EC293+EE13*EC293+EE14*EC293+EE15*EC293+EE16*EC293+EE17*EC293+EE18*EC293+EE19*EC293+EE20*EC293+EE21*EC293+EE22*EC293+EE23*EC293+EE24*EC293+EE25*EC293+EE26*EC293+EF5*EC293+EF6*EC293+EF7*EC293+EF8*EC293+EF9*EC293+EF10*EF11+EC293*EF12*EC293+EF13*EC293+EF14*EC293+EF15*EC293+EF16*EC293+EF17*EC293+EF18*EC293+EF19*EC293+EF20*EC293+EF21*EC293+EF22*EC293+EF23*EC293+EF24*EC293+EF25*EC293+EF26*EC293</f>
        <v>0</v>
      </c>
      <c r="EE293" s="64"/>
      <c r="EF293" s="64"/>
      <c r="EH293" s="60">
        <v>5</v>
      </c>
      <c r="EI293" s="140">
        <f>SUM(EI5:EK26)*EH293</f>
        <v>0</v>
      </c>
      <c r="EJ293" s="64"/>
      <c r="EK293" s="64"/>
      <c r="ER293" s="855"/>
      <c r="EX293" s="203">
        <f t="shared" si="2"/>
        <v>0</v>
      </c>
    </row>
    <row r="294" spans="1:155" s="6" customFormat="1" ht="15" customHeight="1">
      <c r="A294" s="90" t="s">
        <v>19</v>
      </c>
      <c r="B294" s="210" t="s">
        <v>19</v>
      </c>
      <c r="C294" s="473" t="s">
        <v>515</v>
      </c>
      <c r="D294" s="138"/>
      <c r="E294" s="62"/>
      <c r="F294" s="140"/>
      <c r="G294" s="140"/>
      <c r="H294" s="140"/>
      <c r="I294" s="4"/>
      <c r="J294" s="4"/>
      <c r="K294" s="4"/>
      <c r="L294" s="4"/>
      <c r="M294" s="658">
        <v>6</v>
      </c>
      <c r="N294" s="658">
        <f>SUM(N5:N26,O5:O26,P5:P26)*M294</f>
        <v>0</v>
      </c>
      <c r="O294" s="4"/>
      <c r="P294" s="4"/>
      <c r="Q294" s="4"/>
      <c r="R294" s="40"/>
      <c r="S294" s="41"/>
      <c r="T294" s="140"/>
      <c r="U294" s="41"/>
      <c r="W294" s="40"/>
      <c r="X294" s="41"/>
      <c r="Y294" s="41"/>
      <c r="Z294" s="41"/>
      <c r="AB294" s="40"/>
      <c r="AC294" s="41"/>
      <c r="AD294" s="41"/>
      <c r="AE294" s="41"/>
      <c r="AG294" s="49">
        <v>3</v>
      </c>
      <c r="AH294" s="41">
        <f>AI5*AG294+AI6*AG294+AI7*AG294+AI8*AG294+AI9*AG294+AI10*AG294+AI11*AG294+AI12*AG294+AI13*AG294+AI14*AG294+AI15*AG294+AI16*AG294+AI17*AG294+AI18*AG294+AI19*AG294+AI20*AG294+AI21*AG294+AI22*AG294+AI23*AG294+AI24*AG294+AI25*AG294+AI26*AG294+AJ5*AG294+AJ6*AG294+AJ7*AG294+AJ8*AG294+AJ9*AG294+AJ10*AG294+AJ11*AG294+AJ12*AG294+AJ13*AG294+AJ14*AG294+AJ15*AG294+AJ16*AG294+AJ17*AG294+AJ18*AG294+AJ19*AG294+AJ20*AG294+AJ21*AG294+AJ22*AG294+AJ23*AG294+AJ24*AG294+AJ25*AG294+AJ26*AG294+AH5*AG294+AH6*AG294+AH7*AG294+AH8*AG294+AH9*AG294+AH10*AG294+AH11*AG294+AH12*AG294+AH13*AG294+AH14*AG294+AH15*AG294+AH16*AG294+AH17*AG294+AH18*AG294+AH19*AG294+AH20*AG294+AH21*AG294+AH22*AG294+AH23*AG294+AH24*AG294+AH25*AG294+AH26*AG294</f>
        <v>0</v>
      </c>
      <c r="AI294" s="41"/>
      <c r="AJ294" s="41"/>
      <c r="AL294" s="49">
        <v>6</v>
      </c>
      <c r="AM294" s="41">
        <f>AN5*AL294+AN6*AL294+AN7*AL294+AN8*AL294+AN9*AL294+AN10*AL294+AN11*AL294+AN12*AL294+AN13*AL294+AN14*AL294+AN15*AL294+AN16*AL294+AN17*AL294+AN18*AL294+AN19*AL294+AN20*AL294+AN21*AL294+AN22*AL294+AN23*AL294+AN24*AL294+AN25*AL294+AN26*AL294+AO5*AL294+AO6*AL294+AO7*AL294+AO8*AL294+AO9*AL294+AO10*AL294+AO11*AL294+AO12*AL294+AO13*AL294+AO14*AL294+AO15*AL294+AO16*AL294+AO17*AL294+AO18*AL294+AO19*AL294+AO20*AL294+AO21*AL294+AO22*AL294+AO23*AL294+AO24*AL294+AO25*AL294+AO26*AL294+AM5*AL294+AM6*AL294+AM7*AL294+AM8*AL294+AM9*AL294+AM10*AL294+AM11*AL294+AM12*AL294+AM13*AL294+AM14*AL294+AM15*AL294+AM16*AL294+AM17*AL294+AM18*AL294+AM19*AL294+AM20*AL294+AM21*AL294+AM22*AL294+AM23*AL294+AM24*AL294+AM25*AL294+AM26*AL294</f>
        <v>0</v>
      </c>
      <c r="AN294" s="41"/>
      <c r="AO294" s="41"/>
      <c r="AQ294" s="49">
        <v>6</v>
      </c>
      <c r="AR294" s="41">
        <f>AS5*AQ294+AS6*AQ294+AS7*AQ294+AS8*AQ294+AS9*AQ294+AS10*AQ294+AS11*AQ294+AS12*AQ294+AS13*AQ294+AS14*AQ294+AS15*AQ294+AS16*AQ294+AS17*AQ294+AS18*AQ294+AS19*AQ294+AS20*AQ294+AS21*AQ294+AS22*AQ294+AS23*AQ294+AS24*AQ294+AS25*AQ294+AS26*AQ294+AT5*AQ294+AT6*AQ294+AT7*AQ294+AT8*AQ294+AT9*AQ294+AT10*AQ294+AT11*AQ294+AT12*AQ294+AT13*AQ294+AT14*AQ294+AT15*AQ294+AT16*AQ294+AT17*AQ294+AT18*AQ294+AT19*AQ294+AT20*AQ294+AT21*AQ294+AT22*AQ294+AT23*AQ294+AT24*AQ294+AT25*AQ294+AT26*AQ294+AR5*AQ294+AR6*AQ294+AR7*AQ294+AR8*AQ294+AR9*AQ294+AR10*AQ294+AR11*AQ294+AR12*AQ294+AR13*AQ294+AR14*AQ294+AR15*AQ294+AR16*AQ294+AR17*AQ294+AR18*AQ294+AR19*AQ294+AR20*AQ294+AR21*AQ294+AR22*AQ294+AR23*AQ294+AR24*AQ294+AR25*AQ294+AR26*AQ294</f>
        <v>0</v>
      </c>
      <c r="AS294" s="41"/>
      <c r="AT294" s="41"/>
      <c r="AV294" s="139"/>
      <c r="AW294" s="139"/>
      <c r="AX294" s="139"/>
      <c r="AY294" s="140"/>
      <c r="BA294" s="139"/>
      <c r="BB294" s="139"/>
      <c r="BC294" s="139"/>
      <c r="BD294" s="41"/>
      <c r="BF294" s="60">
        <v>3</v>
      </c>
      <c r="BG294" s="41">
        <f>SUM(BG5:BG26,BH5:BH26,BI5:BI26)*BF294</f>
        <v>0</v>
      </c>
      <c r="BH294" s="40"/>
      <c r="BI294" s="41"/>
      <c r="BK294" s="142">
        <v>3</v>
      </c>
      <c r="BL294" s="140">
        <f>SUM(BL5:BL26,BM5:BM26,BN5:BN26)*BK294</f>
        <v>0</v>
      </c>
      <c r="BM294" s="40"/>
      <c r="BN294" s="41"/>
      <c r="BP294" s="62">
        <v>3</v>
      </c>
      <c r="BQ294" s="140">
        <f>SUM(BQ5:BQ26,BR5:BR26,BS5:BS26)*BP294</f>
        <v>0</v>
      </c>
      <c r="BR294" s="40"/>
      <c r="BS294" s="41"/>
      <c r="BU294" s="62">
        <v>3</v>
      </c>
      <c r="BV294" s="41">
        <f>SUM(BV5:BV26,BW5:BW26,BX5:BX26)*BU294</f>
        <v>0</v>
      </c>
      <c r="BW294" s="40"/>
      <c r="BX294" s="41"/>
      <c r="BZ294" s="61">
        <v>6</v>
      </c>
      <c r="CA294" s="41">
        <f>SUM(CA5:CA26,CB5:CB26,CC5:CC26)*BZ294</f>
        <v>0</v>
      </c>
      <c r="CB294" s="40"/>
      <c r="CC294" s="41"/>
      <c r="CD294" s="140"/>
      <c r="CE294" s="61">
        <v>6</v>
      </c>
      <c r="CF294" s="41">
        <f>SUM(CF5:CF26,CG5:CG26,CH5:CH26)*CE294</f>
        <v>0</v>
      </c>
      <c r="CG294" s="40"/>
      <c r="CH294" s="41"/>
      <c r="CJ294" s="141">
        <v>3</v>
      </c>
      <c r="CK294" s="140">
        <f>CL5*CJ294+CL6*CJ294+CL7*CJ294+CL8*CJ294+CL9*CJ294+CL10*CJ294+CL11*CJ294+CL12*CJ294+CL13*CJ294+CL14*CJ294+CL15*CJ294+CL16*CJ294+CL17*CJ294+CL18*CJ294+CL19*CJ294+CL20*CJ294+CL21*CJ294+CL22*CJ294+CL23*CJ294+CL24*CJ294+CL25*CJ294+CL26*CJ294+CM5*CJ294+CM6*CJ294+CM7*CJ294+CM8*CJ294+CM9*CJ294+CM10*CJ294+CM11*CJ294+CM12*CJ294+CM13*CJ294+CM14*CJ294+CM15*CJ294+CM16*CJ294+CM17*CJ294+CM18*CJ294+CM19*CJ294+CM20*CJ294+CM21*CJ294+CM22*CJ294+CM23*CJ294+CM24*CJ294+CM25*CJ294+CM26*CJ294+CK5*CJ294+CK6*CJ294+CK7*CJ294+CK8*CJ294+CK9*CJ294+CK10*CJ294+CK11*CJ294+CK12*CJ294+CK13*CJ294+CK14*CJ294+CK15*CJ294+CK16*CJ294+CK17*CJ294+CK18*CJ294+CK19*CJ294+CK20*CJ294+CK21*CJ294+CK22*CJ294+CK23*CJ294+CK24*CJ294+CK25*CJ294+CK26*CJ294</f>
        <v>0</v>
      </c>
      <c r="CL294" s="139"/>
      <c r="CM294" s="140"/>
      <c r="CO294" s="223">
        <v>6</v>
      </c>
      <c r="CP294" s="41">
        <f>SUM(CP5:CR26)*CO294</f>
        <v>0</v>
      </c>
      <c r="CQ294" s="40"/>
      <c r="CR294" s="41"/>
      <c r="CT294" s="62">
        <v>6</v>
      </c>
      <c r="CU294" s="41">
        <f>SUM(CU5:CU26,CV5:CV26,CW5:CW26)*CT294</f>
        <v>0</v>
      </c>
      <c r="CV294" s="40"/>
      <c r="CW294" s="41"/>
      <c r="CY294" s="62">
        <v>6</v>
      </c>
      <c r="CZ294" s="41">
        <f>SUM(CZ5:CZ26,DA5:DA26,DB5:DB26)*CY294</f>
        <v>0</v>
      </c>
      <c r="DA294" s="40"/>
      <c r="DB294" s="41"/>
      <c r="DD294" s="46">
        <v>6</v>
      </c>
      <c r="DE294" s="41">
        <f>SUM(DE5:DE26,DF5:DF26,DG5:DG26)*DD294</f>
        <v>0</v>
      </c>
      <c r="DF294" s="40"/>
      <c r="DG294" s="41"/>
      <c r="DI294" s="64"/>
      <c r="DJ294" s="41">
        <f>DK5*DI294+DK6*DI294+DK7*DI294+DK8*DI294+DK9*DI294+DK10*DI294+DK11*DI294+DK12*DI294+DK13*DI294+DK14*DI294+DK15*DI294+DK16*DI294+DK17*DI294+DK18*DI294+DK19*DI294+DK20*DI294+DK21*DI294+DK22*DI294+DK23*DI294+DK24*DI294+DK25*DI294+DK26*DI294+DL5*DI294+DL6*DI294+DL7*DI294+DL8*DI294+DL9*DI294+DL10*DI294+DL11*DI294+DL12*DI294+DL13*DI294+DL14*DI294+DL15*DI294+DL16*DI294+DL17*DI294+DL18*DI294+DL19*DI294+DL20*DI294+DL21*DI294+DL22*DI294+DL23*DI294+DL24*DI294+DL25*DI294+DL26*DI294+DJ5*DI294+DJ6*DI294+DJ7*DI294+DJ8*DI294+DJ9*DI294+DJ10*DI294+DJ11*DI294+DJ12*DI294+DJ13*DI294+DJ14*DI294+DJ15*DI294+DJ16*DI294+DJ17*DI294+DJ18*DI294+DJ19*DI294+DJ20*DI294+DJ21*DI294+DJ22*DI294+DJ23*DI294+DJ24*DI294+DJ25*DI294+DJ26*DI294</f>
        <v>0</v>
      </c>
      <c r="DK294" s="64"/>
      <c r="DL294" s="64"/>
      <c r="DN294" s="64"/>
      <c r="DO294" s="41">
        <f>DP5*DN294+DP6*DN294+DP7*DN294+DP8*DN294+DP9*DN294+DP10*DN294+DP11*DN294+DP12*DN294+DP13*DN294+DP14*DN294+DP15*DN294+DP16*DN294+DP17*DN294+DP18*DN294+DP19*DN294+DP20*DN294+DP21*DN294+DP22*DN294+DP23*DN294+DP24*DN294+DP25*DN294+DP26*DN294+DQ5*DN294+DQ6*DN294+DQ7*DN294+DQ8*DN294+DQ9*DN294+DQ10*DN294+DQ11*DN294+DQ12*DN294+DQ13*DN294+DQ14*DN294+DQ15*DN294+DQ16*DN294+DQ17*DN294+DQ18*DN294+DQ19*DN294+DQ20*DN294+DQ21*DN294+DQ22*DN294+DQ23*DN294+DQ24*DN294+DQ25*DN294+DQ26*DN294+DO5*DN294+DO6*DN294+DO7*DN294+DO8*DN294+DO9*DN294+DO10*DN294+DO11*DN294+DO12*DN294+DO13*DN294+DO14*DN294+DO15*DN294+DO16*DN294+DO17*DN294+DO18*DN294+DO19*DN294+DO20*DN294+DO21*DN294+DO22*DN294+DO23*DN294+DO24*DN294+DO25*DN294+DO26*DN294</f>
        <v>0</v>
      </c>
      <c r="DP294" s="64"/>
      <c r="DQ294" s="64"/>
      <c r="DS294" s="60">
        <v>3</v>
      </c>
      <c r="DT294" s="41">
        <f>DU5*DS294+DU6*DS294+DU7*DS294+DU8*DS294+DU9*DS294+DU10*DS294+DU11*DS294+DU12*DS294+DU13*DS294+DU14*DS294+DU15*DS294+DU16*DS294+DU17*DS294+DU18*DS294+DU19*DS294+DU20*DS294+DU21*DS294+DU22*DS294+DU23*DS294+DU24*DS294+DU25*DS294+DU26*DS294+DV5*DS294+DV6*DS294+DV7*DS294+DV8*DS294+DV9*DS294+DV10*DS294+DV11*DS294+DV12*DS294+DV13*DS294+DV14*DS294+DV15*DS294+DV16*DS294+DV17*DS294+DV18*DS294+DV19*DS294+DV20*DS294+DV21*DS294+DV22*DS294+DV23*DS294+DV24*DS294+DV25*DS294+DV26*DS294+DT5*DS294+DT6*DS294+DT7*DS294+DT8*DS294+DT9*DS294+DT10*DS294+DT11*DS294+DT12*DS294+DT13*DS294+DT14*DS294+DT15*DS294+DT16*DS294+DT17*DS294+DT18*DS294+DT19*DS294+DT20*DS294+DT21*DS294+DT22*DS294+DT23*DS294+DT24*DS294+DT25*DS294+DT26*DS294</f>
        <v>0</v>
      </c>
      <c r="DU294" s="64"/>
      <c r="DV294" s="64"/>
      <c r="DX294" s="60">
        <v>3</v>
      </c>
      <c r="DY294" s="41">
        <f>DZ5*DX294+DZ6*DX294+DZ7*DX294+DZ8*DX294+DZ9*DX294+DZ10*DX294+DZ11*DX294+DZ12*DX294+DZ13*DX294+DZ14*DX294+DZ15*DX294+DZ16*DX294+DZ17*DX294+DZ18*DX294+DZ19*DX294+DZ20*DX294+DZ21*DX294+DZ22*DX294+DZ23*DX294+DZ24*DX294+DZ25*DX294+DZ26*DX294+EA5*DX294+EA6*DX294+EA7*DX294+EA8*DX294+EA9*DX294+EA10*DX294+EA11*DX294+EA12*DX294+EA13*DX294+EA14*DX294+EA15*DX294+EA16*DX294+EA17*DX294+EA18*DX294+EA19*DX294+EA20*DX294+EA21*DX294+EA22*DX294+EA23*DX294+EA24*DX294+EA25*DX294+EA26*DX294+DY5*DX294+DY6*DX294+DY7*DX294+DY8*DX294+DY9*DX294+DY10*DX294+DY11*DX294+DY12*DX294+DY13*DX294+DY14*DX294+DY15*DX294+DY16*DX294+DY17*DX294+DY18*DX294+DY19*DX294+DY20*DX294+DY21*DX294+DY22*DX294+DY23*DX294+DY24*DX294+DY25*DX294+DY26*DX294</f>
        <v>0</v>
      </c>
      <c r="DZ294" s="64"/>
      <c r="EA294" s="64"/>
      <c r="EC294" s="60">
        <v>6</v>
      </c>
      <c r="ED294" s="41">
        <f>EE5*EC294+EE6*EC294+EE7*EC294+EE8*EC294+EE9*EC294+EE10*EC294+EE11*EC294+EE12*EC294+EE13*EC294+EE14*EC294+EE15*EC294+EE16*EC294+EE17*EC294+EE18*EC294+EE19*EC294+EE20*EC294+EE21*EC294+EE22*EC294+EE23*EC294+EE24*EC294+EE25*EC294+EE26*EC294+EF5*EC294+EF6*EC294+EF7*EC294+EF8*EC294+EF9*EC294+EF10*EC294+EF11*EC294+EF12*EC294+EF13*EC294+EF14*EC294+EF15*EC294+EF16*EC294+EF17*EC294+EF18*EC294+EF19*EC294+EF20*EC294+EF21*EC294+EF22*EC294+EF23*EC294+EF24*EC294+EF25*EC294+EF26*EC294+ED5*EC294+ED6*EC294+ED7*EC294+ED8*EC294+ED9*EC294+ED10*EC294+ED11*EC294+ED12*EC294+ED13*EC294+ED14*EC294+ED15*EC294+ED16*EC294+ED17*EC294+ED18*EC294+ED19*EC294+ED20*EC294+ED21*EC294+ED22*EC294+ED23*EC294+ED24*EC294+ED25*EC294+ED26*EC294</f>
        <v>0</v>
      </c>
      <c r="EE294" s="64"/>
      <c r="EF294" s="64"/>
      <c r="EH294" s="60">
        <v>6</v>
      </c>
      <c r="EI294" s="41">
        <f>EJ5*EH294+EJ6*EH294+EJ7*EH294+EJ8*EH294+EJ9*EH294+EJ10*EH294+EJ11*EH294+EJ12*EH294+EJ13*EH294+EJ14*EH294+EJ15*EH294+EJ16*EH294+EJ17*EH294+EJ18*EH294+EJ19*EH294+EJ20*EH294+EJ21*EH294+EJ22*EH294+EJ23*EH294+EJ24*EH294+EJ25*EH294+EJ26*EH294+EK5*EH294+EK6*EH294+EK7*EH294+EK8*EH294+EK9*EH294+EK10*EH294+EK11*EH294+EK12*EH294+EK13*EH294+EK14*EH294+EK15*EH294+EK16*EH294+EK17*EH294+EK18*EH294+EK19*EH294+EK20*EH294+EK21*EH294+EK22*EH294+EK23*EH294+EK24*EH294+EK25*EH294+EK26*EH294+EI5*EH294+EI6*EH294+EI7*EH294+EI8*EH294+EI9*EH294+EI10*EH294+EI11*EH294+EI12*EH294+EI13*EH294+EI14*EH294+EI15*EH294+EI16*EH294+EI17*EH294+EI18*EH294+EI19*EH294+EI20*EH294+EI21*EH294+EI22*EH294+EI23*EH294+EI24*EH294+EI25*EH294+EI26*EH294</f>
        <v>0</v>
      </c>
      <c r="EJ294" s="64"/>
      <c r="EK294" s="64"/>
      <c r="ER294" s="855"/>
      <c r="EX294" s="203">
        <f t="shared" si="2"/>
        <v>0</v>
      </c>
    </row>
    <row r="295" spans="1:155" s="6" customFormat="1" ht="15" customHeight="1">
      <c r="A295" s="152" t="s">
        <v>342</v>
      </c>
      <c r="B295" s="210" t="s">
        <v>1204</v>
      </c>
      <c r="C295" s="473" t="s">
        <v>515</v>
      </c>
      <c r="D295" s="138"/>
      <c r="E295" s="62"/>
      <c r="F295" s="41"/>
      <c r="G295" s="41"/>
      <c r="H295" s="41"/>
      <c r="I295" s="4"/>
      <c r="J295" s="4"/>
      <c r="K295" s="4"/>
      <c r="L295" s="4"/>
      <c r="M295" s="4"/>
      <c r="N295" s="4"/>
      <c r="O295" s="4"/>
      <c r="P295" s="4"/>
      <c r="Q295" s="4"/>
      <c r="R295" s="40"/>
      <c r="S295" s="41"/>
      <c r="T295" s="140"/>
      <c r="U295" s="41"/>
      <c r="W295" s="40"/>
      <c r="X295" s="41"/>
      <c r="Y295" s="41"/>
      <c r="Z295" s="41"/>
      <c r="AB295" s="40"/>
      <c r="AC295" s="41"/>
      <c r="AD295" s="41"/>
      <c r="AE295" s="41"/>
      <c r="AG295" s="49"/>
      <c r="AH295" s="41"/>
      <c r="AI295" s="41"/>
      <c r="AJ295" s="41"/>
      <c r="AL295" s="49"/>
      <c r="AM295" s="41"/>
      <c r="AN295" s="41"/>
      <c r="AO295" s="41"/>
      <c r="AQ295" s="49"/>
      <c r="AR295" s="41"/>
      <c r="AS295" s="41"/>
      <c r="AT295" s="41"/>
      <c r="AV295" s="139"/>
      <c r="AW295" s="139"/>
      <c r="AX295" s="139"/>
      <c r="AY295" s="140"/>
      <c r="BA295" s="139"/>
      <c r="BB295" s="139"/>
      <c r="BC295" s="139"/>
      <c r="BD295" s="41"/>
      <c r="BF295" s="60"/>
      <c r="BG295" s="41"/>
      <c r="BH295" s="40"/>
      <c r="BI295" s="41"/>
      <c r="BK295" s="142"/>
      <c r="BL295" s="140"/>
      <c r="BM295" s="40"/>
      <c r="BN295" s="41"/>
      <c r="BP295" s="62"/>
      <c r="BQ295" s="41"/>
      <c r="BR295" s="40"/>
      <c r="BS295" s="41"/>
      <c r="BU295" s="62"/>
      <c r="BV295" s="41"/>
      <c r="BW295" s="40"/>
      <c r="BX295" s="41"/>
      <c r="BZ295" s="61"/>
      <c r="CA295" s="41"/>
      <c r="CB295" s="40"/>
      <c r="CC295" s="41"/>
      <c r="CD295" s="140"/>
      <c r="CE295" s="61"/>
      <c r="CF295" s="41"/>
      <c r="CG295" s="40"/>
      <c r="CH295" s="41"/>
      <c r="CJ295" s="141"/>
      <c r="CK295" s="140"/>
      <c r="CL295" s="139"/>
      <c r="CM295" s="140"/>
      <c r="CO295" s="223"/>
      <c r="CP295" s="41"/>
      <c r="CQ295" s="40"/>
      <c r="CR295" s="41"/>
      <c r="CT295" s="62"/>
      <c r="CU295" s="41"/>
      <c r="CV295" s="40"/>
      <c r="CW295" s="41"/>
      <c r="CY295" s="62"/>
      <c r="CZ295" s="41"/>
      <c r="DA295" s="40"/>
      <c r="DB295" s="41"/>
      <c r="DD295" s="46"/>
      <c r="DE295" s="41"/>
      <c r="DF295" s="40"/>
      <c r="DG295" s="41"/>
      <c r="DI295" s="64"/>
      <c r="DJ295" s="64"/>
      <c r="DK295" s="64"/>
      <c r="DL295" s="64"/>
      <c r="DN295" s="64"/>
      <c r="DO295" s="64"/>
      <c r="DP295" s="64"/>
      <c r="DQ295" s="64"/>
      <c r="DS295" s="60"/>
      <c r="DT295" s="41"/>
      <c r="DU295" s="64"/>
      <c r="DV295" s="64"/>
      <c r="DX295" s="60"/>
      <c r="DY295" s="41"/>
      <c r="DZ295" s="64"/>
      <c r="EA295" s="64"/>
      <c r="EC295" s="60"/>
      <c r="ED295" s="41"/>
      <c r="EE295" s="64"/>
      <c r="EF295" s="64"/>
      <c r="EH295" s="60"/>
      <c r="EI295" s="41"/>
      <c r="EJ295" s="64"/>
      <c r="EK295" s="64"/>
      <c r="EN295" s="6">
        <f>IF(SUM('BT-SI'!BA5:BA26,'BT-SI'!BB5:BB26,'BT-SI'!BC5:BC26,'BT-SI'!BF5:BF26,'BT-SI'!BG5:BG26,'BT-SI'!BH5:BH26,'BT-SI'!BI5:BI26)&gt;=1,0,SUM(EN5:EO5)*1)</f>
        <v>0</v>
      </c>
      <c r="ER295" s="855"/>
      <c r="EX295" s="203">
        <f t="shared" si="2"/>
        <v>0</v>
      </c>
    </row>
    <row r="296" spans="1:155" s="6" customFormat="1" ht="15" customHeight="1">
      <c r="A296" s="152" t="s">
        <v>343</v>
      </c>
      <c r="B296" s="210" t="s">
        <v>1205</v>
      </c>
      <c r="C296" s="473" t="s">
        <v>515</v>
      </c>
      <c r="D296" s="138"/>
      <c r="E296" s="62"/>
      <c r="F296" s="41"/>
      <c r="G296" s="41"/>
      <c r="H296" s="41"/>
      <c r="I296" s="4"/>
      <c r="J296" s="4"/>
      <c r="K296" s="4"/>
      <c r="L296" s="4"/>
      <c r="M296" s="4"/>
      <c r="N296" s="4"/>
      <c r="O296" s="4"/>
      <c r="P296" s="4"/>
      <c r="Q296" s="4"/>
      <c r="R296" s="40"/>
      <c r="S296" s="41"/>
      <c r="T296" s="140"/>
      <c r="U296" s="41"/>
      <c r="W296" s="40"/>
      <c r="X296" s="41"/>
      <c r="Y296" s="41"/>
      <c r="Z296" s="41"/>
      <c r="AB296" s="40"/>
      <c r="AC296" s="41"/>
      <c r="AD296" s="41"/>
      <c r="AE296" s="41"/>
      <c r="AG296" s="49"/>
      <c r="AH296" s="41"/>
      <c r="AI296" s="41"/>
      <c r="AJ296" s="41"/>
      <c r="AL296" s="49"/>
      <c r="AM296" s="41"/>
      <c r="AN296" s="41"/>
      <c r="AO296" s="41"/>
      <c r="AQ296" s="49"/>
      <c r="AR296" s="41"/>
      <c r="AS296" s="41"/>
      <c r="AT296" s="41"/>
      <c r="AV296" s="139"/>
      <c r="AW296" s="139"/>
      <c r="AX296" s="139"/>
      <c r="AY296" s="140"/>
      <c r="BA296" s="139"/>
      <c r="BB296" s="139"/>
      <c r="BC296" s="139"/>
      <c r="BD296" s="41"/>
      <c r="BF296" s="60"/>
      <c r="BG296" s="41"/>
      <c r="BH296" s="40"/>
      <c r="BI296" s="41"/>
      <c r="BK296" s="142"/>
      <c r="BL296" s="140"/>
      <c r="BM296" s="40"/>
      <c r="BN296" s="41"/>
      <c r="BP296" s="62"/>
      <c r="BQ296" s="41"/>
      <c r="BR296" s="40"/>
      <c r="BS296" s="41"/>
      <c r="BU296" s="62"/>
      <c r="BV296" s="41"/>
      <c r="BW296" s="40"/>
      <c r="BX296" s="41"/>
      <c r="BZ296" s="61"/>
      <c r="CA296" s="41"/>
      <c r="CB296" s="40"/>
      <c r="CC296" s="41"/>
      <c r="CD296" s="140"/>
      <c r="CE296" s="61"/>
      <c r="CF296" s="41"/>
      <c r="CG296" s="40"/>
      <c r="CH296" s="41"/>
      <c r="CJ296" s="141"/>
      <c r="CK296" s="140"/>
      <c r="CL296" s="139"/>
      <c r="CM296" s="140"/>
      <c r="CO296" s="223"/>
      <c r="CP296" s="41"/>
      <c r="CQ296" s="40"/>
      <c r="CR296" s="41"/>
      <c r="CT296" s="62"/>
      <c r="CU296" s="41"/>
      <c r="CV296" s="40"/>
      <c r="CW296" s="41"/>
      <c r="CY296" s="62"/>
      <c r="CZ296" s="41"/>
      <c r="DA296" s="40"/>
      <c r="DB296" s="41"/>
      <c r="DD296" s="46"/>
      <c r="DE296" s="41"/>
      <c r="DF296" s="40"/>
      <c r="DG296" s="41"/>
      <c r="DI296" s="64"/>
      <c r="DJ296" s="64"/>
      <c r="DK296" s="64"/>
      <c r="DL296" s="64"/>
      <c r="DN296" s="64"/>
      <c r="DO296" s="64"/>
      <c r="DP296" s="64"/>
      <c r="DQ296" s="64"/>
      <c r="DS296" s="60"/>
      <c r="DT296" s="41"/>
      <c r="DU296" s="64"/>
      <c r="DV296" s="64"/>
      <c r="DX296" s="60"/>
      <c r="DY296" s="41"/>
      <c r="DZ296" s="64"/>
      <c r="EA296" s="64"/>
      <c r="EC296" s="60"/>
      <c r="ED296" s="41"/>
      <c r="EE296" s="64"/>
      <c r="EF296" s="64"/>
      <c r="EH296" s="60"/>
      <c r="EI296" s="41"/>
      <c r="EJ296" s="64"/>
      <c r="EK296" s="64"/>
      <c r="EN296" s="6">
        <f>IF(SUM('BT-SI'!BA5:BA26,'BT-SI'!BB5:BB26,'BT-SI'!BC5:BC26,'BT-SI'!BF5:BF26,'BT-SI'!BG5:BG26,'BT-SI'!BH5:BH26,'BT-SI'!BI5:BI26)&gt;=1,0,SUM(EN6:EO6)*1)</f>
        <v>0</v>
      </c>
      <c r="ER296" s="855"/>
      <c r="EX296" s="203">
        <f t="shared" si="2"/>
        <v>0</v>
      </c>
    </row>
    <row r="297" spans="1:155" s="6" customFormat="1" ht="15" customHeight="1">
      <c r="A297" s="152"/>
      <c r="B297" s="210" t="s">
        <v>1206</v>
      </c>
      <c r="C297" s="473" t="s">
        <v>515</v>
      </c>
      <c r="D297" s="138"/>
      <c r="E297" s="62"/>
      <c r="F297" s="41"/>
      <c r="G297" s="41"/>
      <c r="H297" s="41"/>
      <c r="I297" s="4"/>
      <c r="J297" s="4"/>
      <c r="K297" s="4"/>
      <c r="L297" s="4"/>
      <c r="M297" s="4"/>
      <c r="N297" s="4"/>
      <c r="O297" s="4"/>
      <c r="P297" s="4"/>
      <c r="Q297" s="4"/>
      <c r="R297" s="40"/>
      <c r="S297" s="41"/>
      <c r="T297" s="140"/>
      <c r="U297" s="41"/>
      <c r="W297" s="40"/>
      <c r="X297" s="41"/>
      <c r="Y297" s="41"/>
      <c r="Z297" s="41"/>
      <c r="AB297" s="40"/>
      <c r="AC297" s="41"/>
      <c r="AD297" s="41"/>
      <c r="AE297" s="41"/>
      <c r="AG297" s="49"/>
      <c r="AH297" s="41"/>
      <c r="AI297" s="41"/>
      <c r="AJ297" s="41"/>
      <c r="AL297" s="49"/>
      <c r="AM297" s="41"/>
      <c r="AN297" s="41"/>
      <c r="AO297" s="41"/>
      <c r="AQ297" s="49"/>
      <c r="AR297" s="41"/>
      <c r="AS297" s="41"/>
      <c r="AT297" s="41"/>
      <c r="AV297" s="139"/>
      <c r="AW297" s="139"/>
      <c r="AX297" s="139"/>
      <c r="AY297" s="140"/>
      <c r="BA297" s="139"/>
      <c r="BB297" s="139"/>
      <c r="BC297" s="139"/>
      <c r="BD297" s="41"/>
      <c r="BF297" s="60"/>
      <c r="BG297" s="41"/>
      <c r="BH297" s="40"/>
      <c r="BI297" s="41"/>
      <c r="BK297" s="142"/>
      <c r="BL297" s="140"/>
      <c r="BM297" s="40"/>
      <c r="BN297" s="41"/>
      <c r="BP297" s="62"/>
      <c r="BQ297" s="41"/>
      <c r="BR297" s="40"/>
      <c r="BS297" s="41"/>
      <c r="BU297" s="62"/>
      <c r="BV297" s="41"/>
      <c r="BW297" s="40"/>
      <c r="BX297" s="41"/>
      <c r="BZ297" s="61"/>
      <c r="CA297" s="41"/>
      <c r="CB297" s="40"/>
      <c r="CC297" s="41"/>
      <c r="CD297" s="140"/>
      <c r="CE297" s="61"/>
      <c r="CF297" s="41"/>
      <c r="CG297" s="40"/>
      <c r="CH297" s="41"/>
      <c r="CJ297" s="141"/>
      <c r="CK297" s="140"/>
      <c r="CL297" s="139"/>
      <c r="CM297" s="140"/>
      <c r="CO297" s="223"/>
      <c r="CP297" s="41"/>
      <c r="CQ297" s="40"/>
      <c r="CR297" s="41"/>
      <c r="CT297" s="62"/>
      <c r="CU297" s="41"/>
      <c r="CV297" s="40"/>
      <c r="CW297" s="41"/>
      <c r="CY297" s="62"/>
      <c r="CZ297" s="41"/>
      <c r="DA297" s="40"/>
      <c r="DB297" s="41"/>
      <c r="DD297" s="46"/>
      <c r="DE297" s="41"/>
      <c r="DF297" s="40"/>
      <c r="DG297" s="41"/>
      <c r="DI297" s="64"/>
      <c r="DJ297" s="64"/>
      <c r="DK297" s="64"/>
      <c r="DL297" s="64"/>
      <c r="DN297" s="64"/>
      <c r="DO297" s="64"/>
      <c r="DP297" s="64"/>
      <c r="DQ297" s="64"/>
      <c r="DS297" s="60"/>
      <c r="DT297" s="41"/>
      <c r="DU297" s="64"/>
      <c r="DV297" s="64"/>
      <c r="DX297" s="60"/>
      <c r="DY297" s="41"/>
      <c r="DZ297" s="64"/>
      <c r="EA297" s="64"/>
      <c r="EC297" s="60"/>
      <c r="ED297" s="41"/>
      <c r="EE297" s="64"/>
      <c r="EF297" s="64"/>
      <c r="EH297" s="60"/>
      <c r="EI297" s="41"/>
      <c r="EJ297" s="64"/>
      <c r="EK297" s="64"/>
      <c r="EN297" s="6">
        <f>IF(SUM('BT-SI'!BA5:BA26,'BT-SI'!BB5:BB26,'BT-SI'!BC5:BC26,'BT-SI'!BF5:BF26,'BT-SI'!BG5:BG26,'BT-SI'!BH5:BH26,'BT-SI'!BI5:BI26)&gt;=1,0,SUM(EP5:EQ5)*1)</f>
        <v>0</v>
      </c>
      <c r="ER297" s="855"/>
      <c r="EX297" s="203">
        <f t="shared" si="2"/>
        <v>0</v>
      </c>
    </row>
    <row r="298" spans="1:155" s="6" customFormat="1" ht="15" customHeight="1">
      <c r="A298" s="152"/>
      <c r="B298" s="210" t="s">
        <v>1207</v>
      </c>
      <c r="C298" s="473" t="s">
        <v>515</v>
      </c>
      <c r="D298" s="138"/>
      <c r="E298" s="62"/>
      <c r="F298" s="41"/>
      <c r="G298" s="41"/>
      <c r="H298" s="41"/>
      <c r="I298" s="4"/>
      <c r="J298" s="4"/>
      <c r="K298" s="4"/>
      <c r="L298" s="4"/>
      <c r="M298" s="4"/>
      <c r="N298" s="4"/>
      <c r="O298" s="4"/>
      <c r="P298" s="4"/>
      <c r="Q298" s="4"/>
      <c r="R298" s="40"/>
      <c r="S298" s="41"/>
      <c r="T298" s="140"/>
      <c r="U298" s="41"/>
      <c r="W298" s="40"/>
      <c r="X298" s="41"/>
      <c r="Y298" s="41"/>
      <c r="Z298" s="41"/>
      <c r="AB298" s="40"/>
      <c r="AC298" s="41"/>
      <c r="AD298" s="41"/>
      <c r="AE298" s="41"/>
      <c r="AG298" s="49"/>
      <c r="AH298" s="41"/>
      <c r="AI298" s="41"/>
      <c r="AJ298" s="41"/>
      <c r="AL298" s="49"/>
      <c r="AM298" s="41"/>
      <c r="AN298" s="41"/>
      <c r="AO298" s="41"/>
      <c r="AQ298" s="49"/>
      <c r="AR298" s="41"/>
      <c r="AS298" s="41"/>
      <c r="AT298" s="41"/>
      <c r="AV298" s="139"/>
      <c r="AW298" s="139"/>
      <c r="AX298" s="139"/>
      <c r="AY298" s="140"/>
      <c r="BA298" s="139"/>
      <c r="BB298" s="139"/>
      <c r="BC298" s="139"/>
      <c r="BD298" s="41"/>
      <c r="BF298" s="60"/>
      <c r="BG298" s="41"/>
      <c r="BH298" s="40"/>
      <c r="BI298" s="41"/>
      <c r="BK298" s="142"/>
      <c r="BL298" s="140"/>
      <c r="BM298" s="40"/>
      <c r="BN298" s="41"/>
      <c r="BP298" s="62"/>
      <c r="BQ298" s="41"/>
      <c r="BR298" s="40"/>
      <c r="BS298" s="41"/>
      <c r="BU298" s="62"/>
      <c r="BV298" s="41"/>
      <c r="BW298" s="40"/>
      <c r="BX298" s="41"/>
      <c r="BZ298" s="61"/>
      <c r="CA298" s="41"/>
      <c r="CB298" s="40"/>
      <c r="CC298" s="41"/>
      <c r="CD298" s="140"/>
      <c r="CE298" s="61"/>
      <c r="CF298" s="41"/>
      <c r="CG298" s="40"/>
      <c r="CH298" s="41"/>
      <c r="CJ298" s="141"/>
      <c r="CK298" s="140"/>
      <c r="CL298" s="139"/>
      <c r="CM298" s="140"/>
      <c r="CO298" s="223"/>
      <c r="CP298" s="41"/>
      <c r="CQ298" s="40"/>
      <c r="CR298" s="41"/>
      <c r="CT298" s="62"/>
      <c r="CU298" s="41"/>
      <c r="CV298" s="40"/>
      <c r="CW298" s="41"/>
      <c r="CY298" s="62"/>
      <c r="CZ298" s="41"/>
      <c r="DA298" s="40"/>
      <c r="DB298" s="41"/>
      <c r="DD298" s="46"/>
      <c r="DE298" s="41"/>
      <c r="DF298" s="40"/>
      <c r="DG298" s="41"/>
      <c r="DI298" s="64"/>
      <c r="DJ298" s="64"/>
      <c r="DK298" s="64"/>
      <c r="DL298" s="64"/>
      <c r="DN298" s="64"/>
      <c r="DO298" s="64"/>
      <c r="DP298" s="64"/>
      <c r="DQ298" s="64"/>
      <c r="DS298" s="60"/>
      <c r="DT298" s="41"/>
      <c r="DU298" s="64"/>
      <c r="DV298" s="64"/>
      <c r="DX298" s="60"/>
      <c r="DY298" s="41"/>
      <c r="DZ298" s="64"/>
      <c r="EA298" s="64"/>
      <c r="EC298" s="60"/>
      <c r="ED298" s="41"/>
      <c r="EE298" s="64"/>
      <c r="EF298" s="64"/>
      <c r="EH298" s="60"/>
      <c r="EI298" s="41"/>
      <c r="EJ298" s="64"/>
      <c r="EK298" s="64"/>
      <c r="EN298" s="6">
        <f>IF(SUM('BT-SI'!BA5:BA26,'BT-SI'!BB5:BB26,'BT-SI'!BC5:BC26,'BT-SI'!BF5:BF26,'BT-SI'!BG5:BG26,'BT-SI'!BH5:BH26,'BT-SI'!BI5:BI26)&gt;=1,0,SUM(EP6:EQ6)*1)</f>
        <v>0</v>
      </c>
      <c r="ER298" s="855"/>
      <c r="EX298" s="203">
        <f t="shared" si="2"/>
        <v>0</v>
      </c>
    </row>
    <row r="299" spans="1:155" s="6" customFormat="1" ht="15" customHeight="1">
      <c r="A299" s="152"/>
      <c r="B299" s="210" t="s">
        <v>1209</v>
      </c>
      <c r="C299" s="473" t="s">
        <v>515</v>
      </c>
      <c r="D299" s="138"/>
      <c r="E299" s="62"/>
      <c r="F299" s="41"/>
      <c r="G299" s="41"/>
      <c r="H299" s="41"/>
      <c r="I299" s="4"/>
      <c r="J299" s="473"/>
      <c r="K299" s="473"/>
      <c r="L299" s="4"/>
      <c r="M299" s="4"/>
      <c r="N299" s="4"/>
      <c r="O299" s="4"/>
      <c r="P299" s="4"/>
      <c r="Q299" s="4"/>
      <c r="R299" s="40"/>
      <c r="S299" s="41"/>
      <c r="T299" s="140"/>
      <c r="U299" s="41"/>
      <c r="W299" s="40"/>
      <c r="X299" s="41"/>
      <c r="Y299" s="41"/>
      <c r="Z299" s="41"/>
      <c r="AB299" s="40"/>
      <c r="AC299" s="41"/>
      <c r="AD299" s="41"/>
      <c r="AE299" s="41"/>
      <c r="AG299" s="49"/>
      <c r="AH299" s="41"/>
      <c r="AI299" s="41"/>
      <c r="AJ299" s="41"/>
      <c r="AL299" s="49"/>
      <c r="AM299" s="41"/>
      <c r="AN299" s="41"/>
      <c r="AO299" s="41"/>
      <c r="AQ299" s="49"/>
      <c r="AR299" s="41"/>
      <c r="AS299" s="41"/>
      <c r="AT299" s="41"/>
      <c r="AV299" s="139"/>
      <c r="AW299" s="139"/>
      <c r="AX299" s="139"/>
      <c r="AY299" s="140"/>
      <c r="BA299" s="139"/>
      <c r="BB299" s="139"/>
      <c r="BC299" s="139"/>
      <c r="BD299" s="41"/>
      <c r="BF299" s="60"/>
      <c r="BG299" s="41"/>
      <c r="BH299" s="40"/>
      <c r="BI299" s="41"/>
      <c r="BK299" s="142"/>
      <c r="BL299" s="140"/>
      <c r="BM299" s="40"/>
      <c r="BN299" s="41"/>
      <c r="BP299" s="62"/>
      <c r="BQ299" s="41"/>
      <c r="BR299" s="40"/>
      <c r="BS299" s="41"/>
      <c r="BU299" s="62"/>
      <c r="BV299" s="41"/>
      <c r="BW299" s="40"/>
      <c r="BX299" s="41"/>
      <c r="BZ299" s="61"/>
      <c r="CA299" s="41"/>
      <c r="CB299" s="40"/>
      <c r="CC299" s="41"/>
      <c r="CD299" s="140"/>
      <c r="CE299" s="61"/>
      <c r="CF299" s="41"/>
      <c r="CG299" s="40"/>
      <c r="CH299" s="41"/>
      <c r="CJ299" s="141"/>
      <c r="CK299" s="140"/>
      <c r="CL299" s="139"/>
      <c r="CM299" s="140"/>
      <c r="CO299" s="223"/>
      <c r="CP299" s="41"/>
      <c r="CQ299" s="40"/>
      <c r="CR299" s="41"/>
      <c r="CT299" s="62"/>
      <c r="CU299" s="41"/>
      <c r="CV299" s="40"/>
      <c r="CW299" s="41"/>
      <c r="CY299" s="62"/>
      <c r="CZ299" s="41"/>
      <c r="DA299" s="40"/>
      <c r="DB299" s="41"/>
      <c r="DD299" s="46"/>
      <c r="DE299" s="41"/>
      <c r="DF299" s="40"/>
      <c r="DG299" s="41"/>
      <c r="DI299" s="64"/>
      <c r="DJ299" s="64"/>
      <c r="DK299" s="64"/>
      <c r="DL299" s="64"/>
      <c r="DN299" s="64"/>
      <c r="DO299" s="64"/>
      <c r="DP299" s="64"/>
      <c r="DQ299" s="64"/>
      <c r="DS299" s="60"/>
      <c r="DT299" s="41"/>
      <c r="DU299" s="64"/>
      <c r="DV299" s="64"/>
      <c r="DX299" s="60"/>
      <c r="DY299" s="41"/>
      <c r="DZ299" s="64"/>
      <c r="EA299" s="64"/>
      <c r="EC299" s="60"/>
      <c r="ED299" s="41"/>
      <c r="EE299" s="64"/>
      <c r="EF299" s="64"/>
      <c r="EH299" s="60"/>
      <c r="EI299" s="41"/>
      <c r="EJ299" s="64"/>
      <c r="EK299" s="64"/>
      <c r="EN299" s="6">
        <f>IF(SUM(EW7,EU7,'BT-SI'!BA5:BA26,'BT-SI'!BB5:BB26,'BT-SI'!BC5:BC26,'BT-SI'!BF5:BF26,'BT-SI'!BG5:BG26,'BT-SI'!BH5:BH26,'BT-SI'!BI5:BI26)&gt;=1,0,SUM(EW6,EU6)*1)</f>
        <v>0</v>
      </c>
      <c r="ER299" s="855"/>
      <c r="EX299" s="203">
        <f t="shared" si="2"/>
        <v>0</v>
      </c>
    </row>
    <row r="300" spans="1:155" s="6" customFormat="1" ht="15" customHeight="1">
      <c r="A300" s="152"/>
      <c r="B300" s="210" t="s">
        <v>1208</v>
      </c>
      <c r="C300" s="473" t="s">
        <v>515</v>
      </c>
      <c r="D300" s="138"/>
      <c r="E300" s="62"/>
      <c r="F300" s="41"/>
      <c r="G300" s="41"/>
      <c r="H300" s="41"/>
      <c r="I300" s="4"/>
      <c r="J300" s="473"/>
      <c r="K300" s="473"/>
      <c r="L300" s="4"/>
      <c r="M300" s="4"/>
      <c r="N300" s="4"/>
      <c r="O300" s="4"/>
      <c r="P300" s="4"/>
      <c r="Q300" s="4"/>
      <c r="R300" s="40"/>
      <c r="S300" s="41"/>
      <c r="T300" s="140"/>
      <c r="U300" s="41"/>
      <c r="W300" s="40"/>
      <c r="X300" s="41"/>
      <c r="Y300" s="41"/>
      <c r="Z300" s="41"/>
      <c r="AB300" s="40"/>
      <c r="AC300" s="41"/>
      <c r="AD300" s="41"/>
      <c r="AE300" s="41"/>
      <c r="AG300" s="49"/>
      <c r="AH300" s="41"/>
      <c r="AI300" s="41"/>
      <c r="AJ300" s="41"/>
      <c r="AL300" s="49"/>
      <c r="AM300" s="41"/>
      <c r="AN300" s="41"/>
      <c r="AO300" s="41"/>
      <c r="AQ300" s="49"/>
      <c r="AR300" s="41"/>
      <c r="AS300" s="41"/>
      <c r="AT300" s="41"/>
      <c r="AV300" s="139"/>
      <c r="AW300" s="139"/>
      <c r="AX300" s="139"/>
      <c r="AY300" s="140"/>
      <c r="BA300" s="139"/>
      <c r="BB300" s="139"/>
      <c r="BC300" s="139"/>
      <c r="BD300" s="41"/>
      <c r="BF300" s="60"/>
      <c r="BG300" s="41"/>
      <c r="BH300" s="40"/>
      <c r="BI300" s="41"/>
      <c r="BK300" s="142"/>
      <c r="BL300" s="140"/>
      <c r="BM300" s="40"/>
      <c r="BN300" s="41"/>
      <c r="BP300" s="62"/>
      <c r="BQ300" s="41"/>
      <c r="BR300" s="40"/>
      <c r="BS300" s="41"/>
      <c r="BU300" s="62"/>
      <c r="BV300" s="41"/>
      <c r="BW300" s="40"/>
      <c r="BX300" s="41"/>
      <c r="BZ300" s="61"/>
      <c r="CA300" s="41"/>
      <c r="CB300" s="40"/>
      <c r="CC300" s="41"/>
      <c r="CD300" s="140"/>
      <c r="CE300" s="61"/>
      <c r="CF300" s="41"/>
      <c r="CG300" s="40"/>
      <c r="CH300" s="41"/>
      <c r="CJ300" s="141"/>
      <c r="CK300" s="140"/>
      <c r="CL300" s="139"/>
      <c r="CM300" s="140"/>
      <c r="CO300" s="223"/>
      <c r="CP300" s="41"/>
      <c r="CQ300" s="40"/>
      <c r="CR300" s="41"/>
      <c r="CT300" s="62"/>
      <c r="CU300" s="41"/>
      <c r="CV300" s="40"/>
      <c r="CW300" s="41"/>
      <c r="CY300" s="62"/>
      <c r="CZ300" s="41"/>
      <c r="DA300" s="40"/>
      <c r="DB300" s="41"/>
      <c r="DD300" s="46"/>
      <c r="DE300" s="41"/>
      <c r="DF300" s="40"/>
      <c r="DG300" s="41"/>
      <c r="DI300" s="64"/>
      <c r="DJ300" s="64"/>
      <c r="DK300" s="64"/>
      <c r="DL300" s="64"/>
      <c r="DN300" s="64"/>
      <c r="DO300" s="64"/>
      <c r="DP300" s="64"/>
      <c r="DQ300" s="64"/>
      <c r="DS300" s="60"/>
      <c r="DT300" s="41"/>
      <c r="DU300" s="64"/>
      <c r="DV300" s="64"/>
      <c r="DX300" s="60"/>
      <c r="DY300" s="41"/>
      <c r="DZ300" s="64"/>
      <c r="EA300" s="64"/>
      <c r="EC300" s="60"/>
      <c r="ED300" s="41"/>
      <c r="EE300" s="64"/>
      <c r="EF300" s="64"/>
      <c r="EH300" s="60"/>
      <c r="EI300" s="41"/>
      <c r="EJ300" s="64"/>
      <c r="EK300" s="64"/>
      <c r="EN300" s="6">
        <f>IF(SUM(ET7,EV7,'BT-SI'!BA5:BA26,'BT-SI'!BB5:BB26,'BT-SI'!BC5:BC26,'BT-SI'!BF5:BF26,'BT-SI'!BG5:BG26,'BT-SI'!BH5:BH26,'BT-SI'!BI5:BI26)&gt;=1,0,SUM(ET6,EV6)*1)</f>
        <v>0</v>
      </c>
      <c r="ER300" s="855"/>
      <c r="EX300" s="203">
        <f t="shared" si="2"/>
        <v>0</v>
      </c>
    </row>
    <row r="301" spans="1:155" s="6" customFormat="1" ht="15" customHeight="1">
      <c r="A301" s="90" t="s">
        <v>20</v>
      </c>
      <c r="B301" s="210" t="s">
        <v>20</v>
      </c>
      <c r="C301" s="473" t="s">
        <v>515</v>
      </c>
      <c r="D301" s="138"/>
      <c r="E301" s="62"/>
      <c r="F301" s="140"/>
      <c r="G301" s="140"/>
      <c r="H301" s="140"/>
      <c r="I301" s="4"/>
      <c r="J301" s="4"/>
      <c r="K301" s="4"/>
      <c r="L301" s="4"/>
      <c r="M301" s="658">
        <v>10</v>
      </c>
      <c r="N301" s="658">
        <f>SUM(N5:N26,O5:O26,P5:P26)*M301</f>
        <v>0</v>
      </c>
      <c r="O301" s="4"/>
      <c r="P301" s="4"/>
      <c r="Q301" s="4"/>
      <c r="R301" s="40"/>
      <c r="S301" s="41"/>
      <c r="T301" s="140"/>
      <c r="U301" s="41"/>
      <c r="W301" s="40"/>
      <c r="X301" s="41"/>
      <c r="Y301" s="41"/>
      <c r="Z301" s="41"/>
      <c r="AB301" s="40"/>
      <c r="AC301" s="41"/>
      <c r="AD301" s="41"/>
      <c r="AE301" s="41"/>
      <c r="AG301" s="49">
        <v>3</v>
      </c>
      <c r="AH301" s="41">
        <f>AH6*AG301+AH7*AG301+AH8*AG301+AH9*AG301+AH10*AG301+AH11*AG301+AH12*AG301+AH13*AG301+AH14*AG301+AH15*AG301+AH16*AG301+AH17*AG301+AH18*AG301+AH19*AG301+AH20*AG301+AH21*AG301+AH22*AG301+AH23*AG301+AH24*AG301+AH25*AG301+AH26*AG301+AH5*AG301+AI6*AG301+AI7*AG301+AI8*AG301+AI9*AG301+AI10*AG301+AI11*AG301+AI12*AG301+AI13*AG301+AI14*AG301+AI15*AG301+AI16*AG301+AI17*AG301+AI18*AG301+AI19*AG301+AI20*AG301+AI21*AG301+AI22*AG301+AI23*AG301+AI24*AG301+AI26*AG301+AI25*AG301+AI5*AG301+AJ6*AG301+AJ7*AG301+AJ8*AG301+AJ9*AG301+AJ10*AG301+AJ11*AG301+AJ12*AG301+AJ13*AG301+AJ14*AG301+AJ15*AG301+AJ16*AG301+AJ17*AG301+AJ18*AG301+AJ19*AG301+AJ20*AG301+AJ21*AG301+AJ22*AG301+AJ23*AG301+AJ24*AG301+AJ26*AG301+AJ25*AG301+AJ5*AG301</f>
        <v>0</v>
      </c>
      <c r="AI301" s="41"/>
      <c r="AJ301" s="41"/>
      <c r="AL301" s="49">
        <v>6</v>
      </c>
      <c r="AM301" s="41">
        <f>AM6*AL301+AM7*AL301+AM8*AL301+AM9*AL301+AM10*AL301+AM11*AL301+AM12*AL301+AM13*AL301+AM14*AL301+AM15*AL301+AM16*AL301+AM17*AL301+AM18*AL301+AM19*AL301+AM20*AL301+AM21*AL301+AM22*AL301+AM23*AL301+AM24*AL301+AM25*AL301+AM26*AL301+AM5*AL301+AN6*AL301+AN7*AL301+AN8*AL301+AN9*AL301+AN10*AL301+AN11*AL301+AN12*AL301+AN13*AL301+AN14*AL301+AN15*AL301+AN16*AL301+AN17*AL301+AN18*AL301+AN19*AL301+AN20*AL301+AN21*AL301+AN22*AL301+AN23*AL301+AN24*AL301+AN26*AL301+AN25*AL301+AN5*AL301+AO6*AL301+AO7*AL301+AO8*AL301+AO9*AL301+AO10*AL301+AO11*AL301+AO12*AL301+AO13*AL301+AO14*AL301+AO15*AL301+AO16*AL301+AO17*AL301+AO18*AL301+AO19*AL301+AO20*AL301+AO21*AL301+AO22*AL301+AO23*AL301+AO24*AL301+AO26*AL301+AO25*AL301+AO5*AL301</f>
        <v>0</v>
      </c>
      <c r="AN301" s="41"/>
      <c r="AO301" s="41"/>
      <c r="AQ301" s="49">
        <v>6</v>
      </c>
      <c r="AR301" s="41">
        <f>AR6*AQ301+AR7*AQ301+AR8*AQ301+AR9*AQ301+AR10*AQ301+AR11*AQ301+AR12*AQ301+AR13*AQ301+AR14*AQ301+AR15*AQ301+AR16*AQ301+AR17*AQ301+AR18*AQ301+AR19*AQ301+AR20*AQ301+AR21*AQ301+AR22*AQ301+AR23*AQ301+AR24*AQ301+AR25*AQ301+AR26*AQ301+AR5*AQ301+AS6*AQ301+AS7*AQ301+AS8*AQ301+AS9*AQ301+AS10*AQ301+AS11*AQ301+AS12*AQ301+AS13*AQ301+AS14*AQ301+AS15*AQ301+AS16*AQ301+AS17*AQ301+AS18*AQ301+AS19*AQ301+AS20*AQ301+AS21*AQ301+AS22*AQ301+AS23*AQ301+AS24*AQ301+AS26*AQ301+AS25*AQ301+AS5*AQ301+AT6*AQ301+AT7*AQ301+AT8*AQ301+AT9*AQ301+AT10*AQ301+AT11*AQ301+AT12*AQ301+AT13*AQ301+AT14*AQ301+AT15*AQ301+AT16*AQ301+AT17*AQ301+AT18*AQ301+AT19*AQ301+AT20*AQ301+AT21*AQ301+AT22*AQ301+AT23*AQ301+AT24*AQ301+AT26*AQ301+AT25*AQ301+AT5*AQ301</f>
        <v>0</v>
      </c>
      <c r="AS301" s="41"/>
      <c r="AT301" s="41"/>
      <c r="AV301" s="139"/>
      <c r="AW301" s="139"/>
      <c r="AX301" s="139"/>
      <c r="AY301" s="140"/>
      <c r="BA301" s="139"/>
      <c r="BB301" s="139"/>
      <c r="BC301" s="139"/>
      <c r="BD301" s="41"/>
      <c r="BF301" s="60">
        <v>3</v>
      </c>
      <c r="BG301" s="41">
        <f>SUM(BG5:BG26,BH5:BH26,BI5:BI26)*BF301</f>
        <v>0</v>
      </c>
      <c r="BH301" s="40"/>
      <c r="BI301" s="41"/>
      <c r="BK301" s="142">
        <v>3</v>
      </c>
      <c r="BL301" s="140">
        <f>SUM(BL5:BL26,BM5:BM26,BN5:BN26)*BK301</f>
        <v>0</v>
      </c>
      <c r="BM301" s="40"/>
      <c r="BN301" s="41"/>
      <c r="BP301" s="62">
        <v>3</v>
      </c>
      <c r="BQ301" s="140">
        <f>SUM(BQ5:BQ26,BR5:BR26,BS5:BS26)*BP301</f>
        <v>0</v>
      </c>
      <c r="BR301" s="40"/>
      <c r="BS301" s="41"/>
      <c r="BU301" s="62"/>
      <c r="BV301" s="41"/>
      <c r="BW301" s="40"/>
      <c r="BX301" s="41"/>
      <c r="BZ301" s="61">
        <v>6</v>
      </c>
      <c r="CA301" s="41">
        <f>SUM(CA5:CA26,CB5:CB26,CC5:CC26)*BZ301</f>
        <v>0</v>
      </c>
      <c r="CB301" s="40"/>
      <c r="CC301" s="41"/>
      <c r="CD301" s="140"/>
      <c r="CE301" s="61">
        <v>6</v>
      </c>
      <c r="CF301" s="41">
        <f>SUM(CF5:CF26,CG5:CG26,CH5:CH26)*CE301</f>
        <v>0</v>
      </c>
      <c r="CG301" s="40"/>
      <c r="CH301" s="41"/>
      <c r="CJ301" s="141">
        <v>3</v>
      </c>
      <c r="CK301" s="140">
        <f>CK6*CJ301+CK7*CJ301+CK8*CJ301+CK9*CJ301+CK10*CJ301+CK11*CJ301+CK12*CJ301+CK13*CJ301+CK14*CJ301+CK15*CJ301+CK16*CJ301+CK17*CJ301+CK18*CJ301+CK19*CJ301+CK20*CJ301+CK21*CJ301+CK22*CJ301+CK23*CJ301+CK24*CJ301+CK25*CJ301+CK26*CJ301+CK5*CJ301+CL6*CJ301+CL7*CJ301+CL8*CJ301+CL9*CJ301+CL10*CJ301+CL11*CJ301+CL12*CJ301+CL13*CJ301+CL14*CJ301+CL15*CJ301+CL16*CJ301+CL17*CJ301+CL18*CJ301+CL19*CJ301+CL20*CJ301+CL21*CJ301+CL22*CJ301+CL23*CJ301+CL24*CJ301+CL26*CJ301+CL25*CJ301+CL5*CJ301+CM6*CJ301+CM7*CJ301+CM8*CJ301+CM9*CJ301+CM10*CJ301+CM11*CJ301+CM12*CJ301+CM13*CJ301+CM14*CJ301+CM15*CJ301+CM16*CJ301+CM17*CJ301+CM18*CJ301+CM19*CJ301+CM20*CJ301+CM21*CJ301+CM22*CJ301+CM23*CJ301+CM24*CJ301+CM26*CJ301+CM25*CJ301+CM5*CJ301</f>
        <v>0</v>
      </c>
      <c r="CL301" s="139"/>
      <c r="CM301" s="140"/>
      <c r="CO301" s="223">
        <v>6</v>
      </c>
      <c r="CP301" s="41">
        <f>CP6*CO301+CP7*CO301+CP8*CO301+CP9*CO301+CP10*CO301+CP11*CO301+CP12*CO301+CP13*CO301+CP14*CO301+CP15*CO301+CP16*CO301+CP17*CO301+CP18*CO301+CP19*CO301+CP20*CO301+CP21*CO301+CP22*CO301+CP23*CO301+CP24*CO301+CP25*CO301+CP26*CO301+CP5*CO301+CQ6*CO301+CQ7*CO301+CQ8*CO301+CQ9*CO301+CQ10*CO301+CQ11*CO301+CQ12*CO301+CQ13*CO301+CQ14*CO301+CQ15*CO301+CQ16*CO301+CQ17*CO301+CQ18*CO301+CQ19*CO301+CQ20*CO301+CQ21*CO301+CQ22*CO301+CQ23*CO301+CQ24*CO301+CQ26*CO301+CQ25*CO301+CQ5*CO301+CR6*CO301+CR7*CO301+CR8*CO301+CR9*CO301+CR10*CO301+CR11*CO301+CR12*CO301+CR13*CO301+CR14*CO301+CR15*CO301+CR16*CO301+CR17*CO301+CR18*CO301+CR19*CO301+CR20*CO301+CR21*CO301+CR22*CO301+CR23*CO301+CR24*CO301+CR26*CO301+CR25*CO301+CR5*CO301</f>
        <v>0</v>
      </c>
      <c r="CQ301" s="40"/>
      <c r="CR301" s="41"/>
      <c r="CT301" s="62">
        <v>6</v>
      </c>
      <c r="CU301" s="41">
        <f>CU6*CT301+CU7*CT301+CU8*CT301+CU9*CT301+CU10*CT301+CU11*CT301+CU12*CT301+CU13*CT301+CU14*CT301+CU15*CT301+CU16*CT301+CU17*CT301+CU18*CT301+CU19*CT301+CU20*CT301+CU21*CT301+CU22*CT301+CU23*CT301+CU24*CT301+CU25*CT301+CU26*CT301+CU5*CT301+CV6*CT301+CV7*CT301+CV8*CT301+CV9*CT301+CV10*CT301+CV11*CT301+CV12*CT301+CV13*CT301+CV14*CT301+CV15*CT301+CV16*CT301+CV17*CT301+CV18*CT301+CV19*CT301+CV20*CT301+CV21*CT301+CV22*CT301+CV23*CT301+CV24*CT301+CV26*CT301+CV25*CT301+CV5*CT301+CW6*CT301+CW7*CT301+CW8*CT301+CW9*CT301+CW10*CT301+CW11*CT301+CW12*CT301+CW13*CT301+CW14*CT301+CW15*CT301+CW16*CT301+CW17*CT301+CW18*CT301+CW19*CT301+CW20*CT301+CW21*CT301+CW22*CT301+CW23*CT301+CW24*CT301+CW26*CT301+CW25*CT301+CW5*CT301</f>
        <v>0</v>
      </c>
      <c r="CV301" s="40"/>
      <c r="CW301" s="41"/>
      <c r="CY301" s="62"/>
      <c r="CZ301" s="41"/>
      <c r="DA301" s="40"/>
      <c r="DB301" s="41"/>
      <c r="DD301" s="46">
        <v>6</v>
      </c>
      <c r="DE301" s="41">
        <f>DE6*DD301+DE7*DD301+DE8*DD301+DE9*DD301+DE10*DD301+DE11*DD301+DE12*DD301+DE13*DD301+DE14*DD301+DE15*DD301+DE16*DD301+DE17*DD301+DE18*DD301+DE19*DD301+DE20*DD301+DE21*DD301+DE22*DD301+DE23*DD301+DE24*DD301+DE25*DD301+DE26*DD301+DE5*DD301+DF6*DD301+DF7*DD301+DF8*DD301+DF9*DD301+DF10*DD301+DF11*DD301+DF12*DD301+DF13*DD301+DF14*DD301+DF15*DD301+DF16*DD301+DF17*DD301+DF18*DD301+DF19*DD301+DF20*DD301+DF21*DD301+DF22*DD301+DF23*DD301+DF24*DD301+DF26*DD301+DF25*DD301+DF5*DD301+DG6*DD301+DG7*DD301+DG8*DD301+DG9*DD301+DG10*DD301+DG11*DD301+DG12*DD301+DG13*DD301+DG14*DD301+DG15*DD301+DG16*DD301+DG17*DD301+DG18*DD301+DG19*DD301+DG20*DD301+DG21*DD301+DG22*DD301+DG23*DD301+DG24*DD301+DG26*DD301+DG25*DD301+DG5*DD301</f>
        <v>0</v>
      </c>
      <c r="DF301" s="40"/>
      <c r="DG301" s="41"/>
      <c r="DI301" s="64"/>
      <c r="DJ301" s="64">
        <f>DJ6*DI301+DJ7*DI301+DJ8*DI301+DJ9*DI301+DJ10*DI301+DJ11*DI301+DJ12*DI301+DJ13*DI301+DJ14*DI301+DJ15*DI301+DJ16*DI301+DJ17*DI301+DJ18*DI301+DJ19*DI301+DJ20*DI301+DJ21*DI301+DJ22*DI301+DJ23*DI301+DJ24*DI301+DJ25*DI301+DJ26*DI301+DJ5*DI301+DK6*DI301+DK7*DI301+DK8*DI301+DK9*DI301+DK10*DI301+DK11*DI301+DK12*DI301+DK13*DI301+DK14*DI301+DK15*DI301+DK16*DI301+DK17*DI301+DK18*DI301+DK19*DI301+DK20*DI301+DK21*DI301+DK22*DI301+DK23*DI301+DK24*DI301+DK26*DI301+DK25*DI301+DK5*DI301+DL6*DI301+DL7*DI301+DL8*DI301+DL9*DI301+DL10*DI301+DL11*DI301+DL12*DI301+DL13*DI301+DL14*DI301+DL15*DI301+DL16*DI301+DL17*DI301+DL18*DI301+DL19*DI301+DL20*DI301+DL21*DI301+DL22*DI301+DL23*DI301+DL24*DI301+DL26*DI301+DL25*DI301+DL5*DI301</f>
        <v>0</v>
      </c>
      <c r="DK301" s="64"/>
      <c r="DL301" s="64"/>
      <c r="DN301" s="64"/>
      <c r="DO301" s="64">
        <f>DO6*DN301+DO7*DN301+DO8*DN301+DO9*DN301+DO10*DN301+DO11*DN301+DO12*DN301+DO13*DN301+DO14*DN301+DO15*DN301+DO16*DN301+DO17*DN301+DO18*DN301+DO19*DN301+DO20*DN301+DO21*DN301+DO22*DN301+DO23*DN301+DO24*DN301+DO25*DN301+DO26*DN301+DO5*DN301+DP6*DN301+DP7*DN301+DP8*DN301+DP9*DN301+DP10*DN301+DP11*DN301+DP12*DN301+DP13*DN301+DP14*DN301+DP15*DN301+DP16*DN301+DP17*DN301+DP18*DN301+DP19*DN301+DP20*DN301+DP21*DN301+DP22*DN301+DP23*DN301+DP24*DN301+DP26*DN301+DP25*DN301+DP5*DN301+DQ6*DN301+DQ7*DN301+DQ8*DN301+DQ9*DN301+DQ10*DN301+DQ11*DN301+DQ12*DN301+DQ13*DN301+DQ14*DN301+DQ15*DN301+DQ16*DN301+DQ17*DN301+DQ18*DN301+DQ19*DN301+DQ20*DN301+DQ21*DN301+DQ22*DN301+DQ23*DN301+DQ24*DN301+DQ26*DN301+DQ25*DN301+DQ5*DN301</f>
        <v>0</v>
      </c>
      <c r="DP301" s="64"/>
      <c r="DQ301" s="64"/>
      <c r="DS301" s="60">
        <v>3</v>
      </c>
      <c r="DT301" s="41">
        <f>DT6*DS301+DT7*DS301+DT8*DS301+DT9*DS301+DT10*DS301+DT11*DS301+DT12*DS301+DT13*DS301+DT14*DS301+DT15*DS301+DT16*DS301+DT17*DS301+DT18*DS301+DT19*DS301+DT20*DS301+DT21*DS301+DT22*DS301+DT23*DS301+DT24*DS301+DT25*DS301+DT26*DS301+DT5*DS301+DU6*DS301+DU7*DS301+DU8*DS301+DU9*DS301+DU10*DS301+DU11*DS301+DU12*DS301+DU13*DS301+DU14*DS301+DU15*DS301+DU16*DS301+DU17*DS301+DU18*DS301+DU19*DS301+DU20*DS301+DU21*DS301+DU22*DS301+DU23*DS301+DU24*DS301+DU26*DS301+DU25*DS301+DU5*DS301+DV6*DS301+DV7*DS301+DV8*DS301+DV9*DS301+DV10*DS301+DV11*DS301+DV12*DS301+DV13*DS301+DV14*DS301+DV15*DS301+DV16*DS301+DV17*DS301+DV18*DS301+DV19*DS301+DV20*DS301+DV21*DS301+DV22*DS301+DV23*DS301+DV24*DS301+DV26*DS301+DV25*DS301+DV5*DS301</f>
        <v>0</v>
      </c>
      <c r="DU301" s="64"/>
      <c r="DV301" s="64"/>
      <c r="DX301" s="60">
        <v>3</v>
      </c>
      <c r="DY301" s="41">
        <f>DY6*DX301+DY7*DX301+DY8*DX301+DY9*DX301+DY10*DX301+DY11*DX301+DY12*DX301+DY13*DX301+DY14*DX301+DY15*DX301+DY16*DX301+DY17*DX301+DY18*DX301+DY19*DX301+DY20*DX301+DY21*DX301+DY22*DX301+DY23*DX301+DY24*DX301+DY25*DX301+DY26*DX301+DY5*DX301+DZ6*DX301+DZ7*DX301+DZ8*DX301+DZ9*DX301+DZ10*DX301+DZ11*DX301+DZ12*DX301+DZ13*DX301+DZ14*DX301+DZ15*DX301+DZ16*DX301+DZ17*DX301+DZ18*DX301+DZ19*DX301+DZ20*DX301+DZ21*DX301+DZ22*DX301+DZ23*DX301+DZ24*DX301+DZ26*DX301+DZ25*DX301+DZ5*DX301+EA6*DX301+EA7*DX301+EA8*DX301+EA9*DX301+EA10*DX301+EA11*DX301+EA12*DX301+EA13*DX301+EA14*DX301+EA15*DX301+EA16*DX301+EA17*DX301+EA18*DX301+EA19*DX301+EA20*DX301+EA21*DX301+EA22*DX301+EA23*DX301+EA24*DX301+EA26*DX301+EA25*DX301+EA5*DX301</f>
        <v>0</v>
      </c>
      <c r="DZ301" s="64"/>
      <c r="EA301" s="64"/>
      <c r="EC301" s="60">
        <v>6</v>
      </c>
      <c r="ED301" s="41">
        <f>ED6*EC301+ED7*EC301+ED8*EC301+ED9*EC301+ED10*EC301+ED11*EC301+ED12*EC301+ED13*EC301+ED14*EC301+ED15*EC301+ED16*EC301+ED17*EC301+ED18*EC301+ED19*EC301+ED20*EC301+ED21*EC301+ED22*EC301+ED23*EC301+ED24*EC301+ED25*EC301+ED26*EC301+ED5*EC301+EE6*EC301+EE7*EC301+EE8*EC301+EE9*EC301+EE10*EC301+EE11*EC301+EE12*EC301+EE13*EC301+EE14*EC301+EE15*EC301+EE16*EC301+EE17*EC301+EE18*EC301+EE19*EC301+EE20*EC301+EE21*EC301+EE22*EC301+EE23*EC301+EE24*EC301+EE26*EC301+EE25*EC301+EE5*EC301+EF6*EC301+EF7*EC301+EF8*EC301+EF9*EC301+EF10*EC301+EF11*EC301+EF12*EC301+EF13*EC301+EF14*EC301+EF15*EC301+EF16*EC301+EF17*EC301+EF18*EC301+EF19*EC301+EF20*EC301+EF21*EC301+EF22*EC301+EF23*EC301+EF24*EC301+EF26*EC301+EF25*EC301+EF5*EC301</f>
        <v>0</v>
      </c>
      <c r="EE301" s="64"/>
      <c r="EF301" s="64"/>
      <c r="EH301" s="60">
        <v>6</v>
      </c>
      <c r="EI301" s="41">
        <f>EI6*EH301+EI7*EH301+EI8*EH301+EI9*EH301+EI10*EH301+EI11*EH301+EI12*EH301+EI13*EH301+EI14*EH301+EI15*EH301+EI16*EH301+EI17*EH301+EI18*EH301+EI19*EH301+EI20*EH301+EI21*EH301+EI22*EH301+EI23*EH301+EI24*EH301+EI25*EH301+EI26*EH301+EI5*EH301+EJ6*EH301+EJ7*EH301+EJ8*EH301+EJ9*EH301+EJ10*EH301+EJ11*EH301+EJ12*EH301+EJ13*EH301+EJ14*EH301+EJ15*EH301+EJ16*EH301+EJ17*EH301+EJ18*EH301+EJ19*EH301+EJ20*EH301+EJ21*EH301+EJ22*EH301+EJ23*EH301+EJ24*EH301+EJ26*EH301+EJ25*EH301+EJ5*EH301+EK6*EH301+EK7*EH301+EK8*EH301+EK9*EH301+EK10*EH301+EK11*EH301+EK12*EH301+EK13*EH301+EK14*EH301+EK15*EH301+EK16*EH301+EK17*EH301+EK18*EH301+EK19*EH301+EK20*EH301+EK21*EH301+EK22*EH301+EK23*EH301+EK24*EH301+EK26*EH301+EK25*EH301+EK5*EH301</f>
        <v>0</v>
      </c>
      <c r="EJ301" s="64"/>
      <c r="EK301" s="64"/>
      <c r="ER301" s="855"/>
      <c r="EX301" s="203">
        <f t="shared" si="2"/>
        <v>0</v>
      </c>
    </row>
    <row r="302" spans="1:155" s="6" customFormat="1" ht="15.75" customHeight="1">
      <c r="A302" s="68" t="s">
        <v>21</v>
      </c>
      <c r="B302" s="118" t="s">
        <v>1497</v>
      </c>
      <c r="C302" s="4" t="s">
        <v>0</v>
      </c>
      <c r="D302" s="154"/>
      <c r="E302" s="40"/>
      <c r="F302" s="40"/>
      <c r="G302" s="40"/>
      <c r="H302" s="40"/>
      <c r="I302" s="2"/>
      <c r="J302" s="4"/>
      <c r="K302" s="4"/>
      <c r="L302" s="2"/>
      <c r="M302" s="2"/>
      <c r="N302" s="2"/>
      <c r="O302" s="2"/>
      <c r="P302" s="2"/>
      <c r="Q302" s="2"/>
      <c r="R302" s="40"/>
      <c r="S302" s="41"/>
      <c r="T302" s="140"/>
      <c r="U302" s="41"/>
      <c r="W302" s="40"/>
      <c r="X302" s="41"/>
      <c r="Y302" s="41"/>
      <c r="Z302" s="41"/>
      <c r="AB302" s="40"/>
      <c r="AC302" s="41"/>
      <c r="AD302" s="41"/>
      <c r="AE302" s="41"/>
      <c r="AG302" s="40"/>
      <c r="AH302" s="41"/>
      <c r="AI302" s="41"/>
      <c r="AJ302" s="41"/>
      <c r="AL302" s="40"/>
      <c r="AM302" s="41"/>
      <c r="AN302" s="41"/>
      <c r="AO302" s="41"/>
      <c r="AQ302" s="40"/>
      <c r="AR302" s="41"/>
      <c r="AS302" s="41"/>
      <c r="AT302" s="41"/>
      <c r="AV302" s="139"/>
      <c r="AW302" s="139"/>
      <c r="AX302" s="139"/>
      <c r="AY302" s="140"/>
      <c r="BA302" s="139"/>
      <c r="BB302" s="139"/>
      <c r="BC302" s="139"/>
      <c r="BD302" s="41"/>
      <c r="BF302" s="40"/>
      <c r="BG302" s="40"/>
      <c r="BH302" s="40"/>
      <c r="BI302" s="41"/>
      <c r="BK302" s="139"/>
      <c r="BL302" s="139"/>
      <c r="BM302" s="40"/>
      <c r="BN302" s="41"/>
      <c r="BP302" s="40"/>
      <c r="BQ302" s="40"/>
      <c r="BR302" s="40"/>
      <c r="BS302" s="41"/>
      <c r="BU302" s="40"/>
      <c r="BV302" s="40"/>
      <c r="BW302" s="40"/>
      <c r="BX302" s="41"/>
      <c r="BZ302" s="40"/>
      <c r="CA302" s="40"/>
      <c r="CB302" s="40"/>
      <c r="CC302" s="41"/>
      <c r="CD302" s="140"/>
      <c r="CE302" s="40"/>
      <c r="CF302" s="40"/>
      <c r="CG302" s="40"/>
      <c r="CH302" s="41"/>
      <c r="CJ302" s="139"/>
      <c r="CK302" s="139"/>
      <c r="CL302" s="139"/>
      <c r="CM302" s="140"/>
      <c r="CO302" s="222"/>
      <c r="CP302" s="40"/>
      <c r="CQ302" s="40"/>
      <c r="CR302" s="41"/>
      <c r="CT302" s="40"/>
      <c r="CU302" s="40"/>
      <c r="CV302" s="40"/>
      <c r="CW302" s="41"/>
      <c r="CY302" s="40"/>
      <c r="CZ302" s="40"/>
      <c r="DA302" s="40"/>
      <c r="DB302" s="41"/>
      <c r="DD302" s="40"/>
      <c r="DE302" s="40"/>
      <c r="DF302" s="40"/>
      <c r="DG302" s="41"/>
      <c r="DI302" s="64"/>
      <c r="DJ302" s="64"/>
      <c r="DK302" s="64"/>
      <c r="DL302" s="64"/>
      <c r="DN302" s="64"/>
      <c r="DO302" s="64"/>
      <c r="DP302" s="64"/>
      <c r="DQ302" s="64"/>
      <c r="DS302" s="64"/>
      <c r="DT302" s="64"/>
      <c r="DU302" s="64"/>
      <c r="DV302" s="64"/>
      <c r="DX302" s="64"/>
      <c r="DY302" s="64"/>
      <c r="DZ302" s="64"/>
      <c r="EA302" s="64"/>
      <c r="EC302" s="64"/>
      <c r="ED302" s="64"/>
      <c r="EE302" s="64"/>
      <c r="EF302" s="64"/>
      <c r="EH302" s="64"/>
      <c r="EI302" s="64"/>
      <c r="EJ302" s="64"/>
      <c r="EK302" s="64"/>
      <c r="ER302" s="855"/>
      <c r="EX302" s="203">
        <f t="shared" si="2"/>
        <v>0</v>
      </c>
    </row>
    <row r="303" spans="1:155" s="6" customFormat="1" ht="15.75" customHeight="1">
      <c r="A303" s="68" t="s">
        <v>22</v>
      </c>
      <c r="B303" s="118" t="s">
        <v>1498</v>
      </c>
      <c r="C303" s="4" t="s">
        <v>0</v>
      </c>
      <c r="D303" s="154"/>
      <c r="E303" s="40"/>
      <c r="F303" s="40"/>
      <c r="G303" s="40"/>
      <c r="H303" s="40"/>
      <c r="I303" s="2"/>
      <c r="J303" s="4"/>
      <c r="K303" s="4"/>
      <c r="L303" s="2"/>
      <c r="M303" s="2"/>
      <c r="N303" s="2"/>
      <c r="O303" s="2"/>
      <c r="P303" s="2"/>
      <c r="Q303" s="2"/>
      <c r="R303" s="40"/>
      <c r="S303" s="41"/>
      <c r="T303" s="140"/>
      <c r="U303" s="41"/>
      <c r="W303" s="40"/>
      <c r="X303" s="41"/>
      <c r="Y303" s="41"/>
      <c r="Z303" s="41"/>
      <c r="AB303" s="40"/>
      <c r="AC303" s="41"/>
      <c r="AD303" s="41"/>
      <c r="AE303" s="41"/>
      <c r="AG303" s="40"/>
      <c r="AH303" s="41"/>
      <c r="AI303" s="41"/>
      <c r="AJ303" s="41"/>
      <c r="AL303" s="40"/>
      <c r="AM303" s="41"/>
      <c r="AN303" s="41"/>
      <c r="AO303" s="41"/>
      <c r="AQ303" s="40"/>
      <c r="AR303" s="41"/>
      <c r="AS303" s="41"/>
      <c r="AT303" s="41"/>
      <c r="AV303" s="139"/>
      <c r="AW303" s="139"/>
      <c r="AX303" s="139"/>
      <c r="AY303" s="140"/>
      <c r="BA303" s="139"/>
      <c r="BB303" s="139"/>
      <c r="BC303" s="139"/>
      <c r="BD303" s="41"/>
      <c r="BF303" s="40"/>
      <c r="BG303" s="40"/>
      <c r="BH303" s="40"/>
      <c r="BI303" s="41"/>
      <c r="BK303" s="139"/>
      <c r="BL303" s="139"/>
      <c r="BM303" s="40"/>
      <c r="BN303" s="41"/>
      <c r="BP303" s="40"/>
      <c r="BQ303" s="40"/>
      <c r="BR303" s="40"/>
      <c r="BS303" s="41"/>
      <c r="BU303" s="40"/>
      <c r="BV303" s="40"/>
      <c r="BW303" s="40"/>
      <c r="BX303" s="41"/>
      <c r="BZ303" s="40"/>
      <c r="CA303" s="40"/>
      <c r="CB303" s="40"/>
      <c r="CC303" s="41"/>
      <c r="CD303" s="140"/>
      <c r="CE303" s="40"/>
      <c r="CF303" s="40"/>
      <c r="CG303" s="40"/>
      <c r="CH303" s="41"/>
      <c r="CJ303" s="139"/>
      <c r="CK303" s="139"/>
      <c r="CL303" s="139"/>
      <c r="CM303" s="140"/>
      <c r="CO303" s="222"/>
      <c r="CP303" s="40"/>
      <c r="CQ303" s="40"/>
      <c r="CR303" s="41"/>
      <c r="CT303" s="40"/>
      <c r="CU303" s="40"/>
      <c r="CV303" s="40"/>
      <c r="CW303" s="41"/>
      <c r="CY303" s="40"/>
      <c r="CZ303" s="40"/>
      <c r="DA303" s="40"/>
      <c r="DB303" s="41"/>
      <c r="DD303" s="40"/>
      <c r="DE303" s="40"/>
      <c r="DF303" s="40"/>
      <c r="DG303" s="41"/>
      <c r="DI303" s="64"/>
      <c r="DJ303" s="64"/>
      <c r="DK303" s="64"/>
      <c r="DL303" s="64"/>
      <c r="DN303" s="64"/>
      <c r="DO303" s="64"/>
      <c r="DP303" s="64"/>
      <c r="DQ303" s="64"/>
      <c r="DS303" s="64"/>
      <c r="DT303" s="64"/>
      <c r="DU303" s="64"/>
      <c r="DV303" s="64"/>
      <c r="DX303" s="64"/>
      <c r="DY303" s="64"/>
      <c r="DZ303" s="64"/>
      <c r="EA303" s="64"/>
      <c r="EC303" s="64"/>
      <c r="ED303" s="64"/>
      <c r="EE303" s="64"/>
      <c r="EF303" s="64"/>
      <c r="EH303" s="64"/>
      <c r="EI303" s="64"/>
      <c r="EJ303" s="64"/>
      <c r="EK303" s="64"/>
      <c r="ER303" s="855"/>
      <c r="EX303" s="203">
        <f t="shared" si="2"/>
        <v>0</v>
      </c>
    </row>
    <row r="304" spans="1:155" s="6" customFormat="1" ht="15.75" customHeight="1">
      <c r="A304" s="68" t="s">
        <v>23</v>
      </c>
      <c r="B304" s="118" t="s">
        <v>1499</v>
      </c>
      <c r="C304" s="4" t="s">
        <v>0</v>
      </c>
      <c r="D304" s="154"/>
      <c r="E304" s="40"/>
      <c r="F304" s="40"/>
      <c r="G304" s="40"/>
      <c r="H304" s="40"/>
      <c r="I304" s="2"/>
      <c r="J304" s="4"/>
      <c r="K304" s="4"/>
      <c r="L304" s="2"/>
      <c r="M304" s="2"/>
      <c r="N304" s="2"/>
      <c r="O304" s="2"/>
      <c r="P304" s="2"/>
      <c r="Q304" s="2"/>
      <c r="R304" s="40"/>
      <c r="S304" s="41"/>
      <c r="T304" s="140"/>
      <c r="U304" s="41"/>
      <c r="W304" s="40"/>
      <c r="X304" s="41"/>
      <c r="Y304" s="41"/>
      <c r="Z304" s="41"/>
      <c r="AB304" s="40"/>
      <c r="AC304" s="41"/>
      <c r="AD304" s="41"/>
      <c r="AE304" s="41"/>
      <c r="AG304" s="40"/>
      <c r="AH304" s="41"/>
      <c r="AI304" s="41"/>
      <c r="AJ304" s="41"/>
      <c r="AL304" s="40"/>
      <c r="AM304" s="41"/>
      <c r="AN304" s="41"/>
      <c r="AO304" s="41"/>
      <c r="AQ304" s="40"/>
      <c r="AR304" s="41"/>
      <c r="AS304" s="41"/>
      <c r="AT304" s="41"/>
      <c r="AV304" s="139"/>
      <c r="AW304" s="139"/>
      <c r="AX304" s="139"/>
      <c r="AY304" s="140"/>
      <c r="BA304" s="139"/>
      <c r="BB304" s="139"/>
      <c r="BC304" s="139"/>
      <c r="BD304" s="41"/>
      <c r="BF304" s="40"/>
      <c r="BG304" s="40"/>
      <c r="BH304" s="40"/>
      <c r="BI304" s="41"/>
      <c r="BK304" s="139"/>
      <c r="BL304" s="139"/>
      <c r="BM304" s="40"/>
      <c r="BN304" s="41"/>
      <c r="BP304" s="40"/>
      <c r="BQ304" s="40"/>
      <c r="BR304" s="40"/>
      <c r="BS304" s="41"/>
      <c r="BU304" s="40"/>
      <c r="BV304" s="40"/>
      <c r="BW304" s="40"/>
      <c r="BX304" s="41"/>
      <c r="BZ304" s="40"/>
      <c r="CA304" s="40"/>
      <c r="CB304" s="40"/>
      <c r="CC304" s="41"/>
      <c r="CD304" s="140"/>
      <c r="CE304" s="40"/>
      <c r="CF304" s="40"/>
      <c r="CG304" s="40"/>
      <c r="CH304" s="41"/>
      <c r="CJ304" s="139"/>
      <c r="CK304" s="139"/>
      <c r="CL304" s="139"/>
      <c r="CM304" s="140"/>
      <c r="CO304" s="222"/>
      <c r="CP304" s="40"/>
      <c r="CQ304" s="40"/>
      <c r="CR304" s="41"/>
      <c r="CT304" s="40"/>
      <c r="CU304" s="40"/>
      <c r="CV304" s="40"/>
      <c r="CW304" s="41"/>
      <c r="CY304" s="40"/>
      <c r="CZ304" s="40"/>
      <c r="DA304" s="40"/>
      <c r="DB304" s="41"/>
      <c r="DD304" s="40"/>
      <c r="DE304" s="40"/>
      <c r="DF304" s="40"/>
      <c r="DG304" s="41"/>
      <c r="DI304" s="64"/>
      <c r="DJ304" s="64"/>
      <c r="DK304" s="64"/>
      <c r="DL304" s="64"/>
      <c r="DN304" s="64"/>
      <c r="DO304" s="64"/>
      <c r="DP304" s="64"/>
      <c r="DQ304" s="64"/>
      <c r="DS304" s="64"/>
      <c r="DT304" s="64"/>
      <c r="DU304" s="64"/>
      <c r="DV304" s="64"/>
      <c r="DX304" s="64"/>
      <c r="DY304" s="64"/>
      <c r="DZ304" s="64"/>
      <c r="EA304" s="64"/>
      <c r="EC304" s="64"/>
      <c r="ED304" s="64"/>
      <c r="EE304" s="64"/>
      <c r="EF304" s="64"/>
      <c r="EH304" s="64"/>
      <c r="EI304" s="64"/>
      <c r="EJ304" s="64"/>
      <c r="EK304" s="64"/>
      <c r="ER304" s="855"/>
      <c r="EX304" s="203">
        <f t="shared" si="2"/>
        <v>0</v>
      </c>
    </row>
    <row r="305" spans="1:154" s="6" customFormat="1" ht="15.75" customHeight="1">
      <c r="A305" s="68" t="s">
        <v>24</v>
      </c>
      <c r="B305" s="118" t="s">
        <v>1501</v>
      </c>
      <c r="C305" s="4" t="s">
        <v>0</v>
      </c>
      <c r="D305" s="154"/>
      <c r="E305" s="40"/>
      <c r="F305" s="40"/>
      <c r="G305" s="40"/>
      <c r="H305" s="40"/>
      <c r="I305" s="2"/>
      <c r="J305" s="4"/>
      <c r="K305" s="4"/>
      <c r="L305" s="2"/>
      <c r="M305" s="2"/>
      <c r="N305" s="2"/>
      <c r="O305" s="2"/>
      <c r="P305" s="2"/>
      <c r="Q305" s="2"/>
      <c r="R305" s="40"/>
      <c r="S305" s="41"/>
      <c r="T305" s="140"/>
      <c r="U305" s="41"/>
      <c r="W305" s="40"/>
      <c r="X305" s="41"/>
      <c r="Y305" s="41"/>
      <c r="Z305" s="41"/>
      <c r="AB305" s="40"/>
      <c r="AC305" s="41"/>
      <c r="AD305" s="41"/>
      <c r="AE305" s="41"/>
      <c r="AG305" s="40"/>
      <c r="AH305" s="41"/>
      <c r="AI305" s="41"/>
      <c r="AJ305" s="41"/>
      <c r="AL305" s="40"/>
      <c r="AM305" s="41"/>
      <c r="AN305" s="41"/>
      <c r="AO305" s="41"/>
      <c r="AQ305" s="40"/>
      <c r="AR305" s="41"/>
      <c r="AS305" s="41"/>
      <c r="AT305" s="41"/>
      <c r="AV305" s="139"/>
      <c r="AW305" s="139"/>
      <c r="AX305" s="139"/>
      <c r="AY305" s="140"/>
      <c r="BA305" s="139"/>
      <c r="BB305" s="139"/>
      <c r="BC305" s="139"/>
      <c r="BD305" s="41"/>
      <c r="BF305" s="40"/>
      <c r="BG305" s="40"/>
      <c r="BH305" s="40"/>
      <c r="BI305" s="41"/>
      <c r="BK305" s="139"/>
      <c r="BL305" s="139"/>
      <c r="BM305" s="40"/>
      <c r="BN305" s="41"/>
      <c r="BP305" s="40"/>
      <c r="BQ305" s="40"/>
      <c r="BR305" s="40"/>
      <c r="BS305" s="41"/>
      <c r="BU305" s="40"/>
      <c r="BV305" s="40"/>
      <c r="BW305" s="40"/>
      <c r="BX305" s="41"/>
      <c r="BZ305" s="40"/>
      <c r="CA305" s="40"/>
      <c r="CB305" s="40"/>
      <c r="CC305" s="41"/>
      <c r="CD305" s="140"/>
      <c r="CE305" s="40"/>
      <c r="CF305" s="40"/>
      <c r="CG305" s="40"/>
      <c r="CH305" s="41"/>
      <c r="CJ305" s="139"/>
      <c r="CK305" s="139"/>
      <c r="CL305" s="139"/>
      <c r="CM305" s="140"/>
      <c r="CO305" s="222"/>
      <c r="CP305" s="40"/>
      <c r="CQ305" s="40"/>
      <c r="CR305" s="41"/>
      <c r="CT305" s="40"/>
      <c r="CU305" s="40"/>
      <c r="CV305" s="40"/>
      <c r="CW305" s="41"/>
      <c r="CY305" s="40"/>
      <c r="CZ305" s="40"/>
      <c r="DA305" s="40"/>
      <c r="DB305" s="41"/>
      <c r="DD305" s="40"/>
      <c r="DE305" s="40"/>
      <c r="DF305" s="40"/>
      <c r="DG305" s="41"/>
      <c r="DI305" s="64"/>
      <c r="DJ305" s="64"/>
      <c r="DK305" s="64"/>
      <c r="DL305" s="64"/>
      <c r="DN305" s="64"/>
      <c r="DO305" s="64"/>
      <c r="DP305" s="64"/>
      <c r="DQ305" s="64"/>
      <c r="DS305" s="64"/>
      <c r="DT305" s="64"/>
      <c r="DU305" s="64"/>
      <c r="DV305" s="64"/>
      <c r="DX305" s="64"/>
      <c r="DY305" s="64"/>
      <c r="DZ305" s="64"/>
      <c r="EA305" s="64"/>
      <c r="EC305" s="64"/>
      <c r="ED305" s="64"/>
      <c r="EE305" s="64"/>
      <c r="EF305" s="64"/>
      <c r="EH305" s="64"/>
      <c r="EI305" s="64"/>
      <c r="EJ305" s="64"/>
      <c r="EK305" s="64"/>
      <c r="ER305" s="855"/>
      <c r="EX305" s="203">
        <f t="shared" si="2"/>
        <v>0</v>
      </c>
    </row>
    <row r="306" spans="1:154" s="6" customFormat="1" ht="15.75" customHeight="1">
      <c r="A306" s="68"/>
      <c r="B306" s="118" t="s">
        <v>1494</v>
      </c>
      <c r="C306" s="4" t="s">
        <v>0</v>
      </c>
      <c r="D306" s="154"/>
      <c r="E306" s="40"/>
      <c r="F306" s="40"/>
      <c r="G306" s="40"/>
      <c r="H306" s="40"/>
      <c r="I306" s="2"/>
      <c r="J306" s="4"/>
      <c r="K306" s="4"/>
      <c r="L306" s="2"/>
      <c r="M306" s="2"/>
      <c r="N306" s="2"/>
      <c r="O306" s="2"/>
      <c r="P306" s="2"/>
      <c r="Q306" s="2"/>
      <c r="R306" s="40"/>
      <c r="S306" s="41"/>
      <c r="T306" s="140"/>
      <c r="U306" s="41"/>
      <c r="W306" s="40"/>
      <c r="X306" s="41"/>
      <c r="Y306" s="41"/>
      <c r="Z306" s="41"/>
      <c r="AB306" s="40"/>
      <c r="AC306" s="41"/>
      <c r="AD306" s="41"/>
      <c r="AE306" s="41"/>
      <c r="AG306" s="40"/>
      <c r="AH306" s="41"/>
      <c r="AI306" s="41"/>
      <c r="AJ306" s="41"/>
      <c r="AL306" s="40"/>
      <c r="AM306" s="41"/>
      <c r="AN306" s="41"/>
      <c r="AO306" s="41"/>
      <c r="AQ306" s="40"/>
      <c r="AR306" s="41"/>
      <c r="AS306" s="41"/>
      <c r="AT306" s="41"/>
      <c r="AV306" s="139"/>
      <c r="AW306" s="139"/>
      <c r="AX306" s="139"/>
      <c r="AY306" s="140"/>
      <c r="BA306" s="139"/>
      <c r="BB306" s="139"/>
      <c r="BC306" s="139"/>
      <c r="BD306" s="41"/>
      <c r="BF306" s="40"/>
      <c r="BG306" s="40"/>
      <c r="BH306" s="40"/>
      <c r="BI306" s="41"/>
      <c r="BK306" s="139"/>
      <c r="BL306" s="139"/>
      <c r="BM306" s="40"/>
      <c r="BN306" s="41"/>
      <c r="BP306" s="40"/>
      <c r="BQ306" s="40"/>
      <c r="BR306" s="40"/>
      <c r="BS306" s="41"/>
      <c r="BU306" s="40"/>
      <c r="BV306" s="40"/>
      <c r="BW306" s="40"/>
      <c r="BX306" s="41"/>
      <c r="BZ306" s="40"/>
      <c r="CA306" s="40"/>
      <c r="CB306" s="40"/>
      <c r="CC306" s="41"/>
      <c r="CD306" s="140"/>
      <c r="CE306" s="40"/>
      <c r="CF306" s="40"/>
      <c r="CG306" s="40"/>
      <c r="CH306" s="41"/>
      <c r="CJ306" s="139"/>
      <c r="CK306" s="139"/>
      <c r="CL306" s="139"/>
      <c r="CM306" s="140"/>
      <c r="CO306" s="222"/>
      <c r="CP306" s="40"/>
      <c r="CQ306" s="40"/>
      <c r="CR306" s="41"/>
      <c r="CT306" s="40"/>
      <c r="CU306" s="40"/>
      <c r="CV306" s="40"/>
      <c r="CW306" s="41"/>
      <c r="CY306" s="40"/>
      <c r="CZ306" s="40"/>
      <c r="DA306" s="40"/>
      <c r="DB306" s="41"/>
      <c r="DD306" s="40"/>
      <c r="DE306" s="40"/>
      <c r="DF306" s="40"/>
      <c r="DG306" s="41"/>
      <c r="DI306" s="64"/>
      <c r="DJ306" s="64"/>
      <c r="DK306" s="64"/>
      <c r="DL306" s="64"/>
      <c r="DN306" s="64"/>
      <c r="DO306" s="64"/>
      <c r="DP306" s="64"/>
      <c r="DQ306" s="64"/>
      <c r="DS306" s="64"/>
      <c r="DT306" s="64"/>
      <c r="DU306" s="64"/>
      <c r="DV306" s="64"/>
      <c r="DX306" s="64"/>
      <c r="DY306" s="64"/>
      <c r="DZ306" s="64"/>
      <c r="EA306" s="64"/>
      <c r="EC306" s="64"/>
      <c r="ED306" s="64"/>
      <c r="EE306" s="64"/>
      <c r="EF306" s="64"/>
      <c r="EH306" s="64"/>
      <c r="EI306" s="64"/>
      <c r="EJ306" s="64"/>
      <c r="EK306" s="64"/>
      <c r="ER306" s="855"/>
      <c r="EX306" s="203">
        <f t="shared" si="2"/>
        <v>0</v>
      </c>
    </row>
    <row r="307" spans="1:154" s="6" customFormat="1" ht="15.75" customHeight="1">
      <c r="A307" s="68"/>
      <c r="B307" s="118" t="s">
        <v>1495</v>
      </c>
      <c r="C307" s="4" t="s">
        <v>0</v>
      </c>
      <c r="D307" s="154"/>
      <c r="E307" s="40"/>
      <c r="F307" s="40"/>
      <c r="G307" s="40"/>
      <c r="H307" s="40"/>
      <c r="I307" s="2"/>
      <c r="J307" s="4"/>
      <c r="K307" s="4"/>
      <c r="L307" s="2"/>
      <c r="M307" s="2"/>
      <c r="N307" s="2"/>
      <c r="O307" s="2"/>
      <c r="P307" s="2"/>
      <c r="Q307" s="2"/>
      <c r="R307" s="40"/>
      <c r="S307" s="41"/>
      <c r="T307" s="140"/>
      <c r="U307" s="41"/>
      <c r="W307" s="40"/>
      <c r="X307" s="41"/>
      <c r="Y307" s="41"/>
      <c r="Z307" s="41"/>
      <c r="AB307" s="40"/>
      <c r="AC307" s="41"/>
      <c r="AD307" s="41"/>
      <c r="AE307" s="41"/>
      <c r="AG307" s="40"/>
      <c r="AH307" s="41"/>
      <c r="AI307" s="41"/>
      <c r="AJ307" s="41"/>
      <c r="AL307" s="40"/>
      <c r="AM307" s="41"/>
      <c r="AN307" s="41"/>
      <c r="AO307" s="41"/>
      <c r="AQ307" s="40"/>
      <c r="AR307" s="41"/>
      <c r="AS307" s="41"/>
      <c r="AT307" s="41"/>
      <c r="AV307" s="139"/>
      <c r="AW307" s="139"/>
      <c r="AX307" s="139"/>
      <c r="AY307" s="140"/>
      <c r="BA307" s="139"/>
      <c r="BB307" s="139"/>
      <c r="BC307" s="139"/>
      <c r="BD307" s="41"/>
      <c r="BF307" s="40"/>
      <c r="BG307" s="40"/>
      <c r="BH307" s="40"/>
      <c r="BI307" s="41"/>
      <c r="BK307" s="139"/>
      <c r="BL307" s="139"/>
      <c r="BM307" s="40"/>
      <c r="BN307" s="41"/>
      <c r="BP307" s="40"/>
      <c r="BQ307" s="40"/>
      <c r="BR307" s="40"/>
      <c r="BS307" s="41"/>
      <c r="BU307" s="40"/>
      <c r="BV307" s="40"/>
      <c r="BW307" s="40"/>
      <c r="BX307" s="41"/>
      <c r="BZ307" s="40"/>
      <c r="CA307" s="40"/>
      <c r="CB307" s="40"/>
      <c r="CC307" s="41"/>
      <c r="CD307" s="140"/>
      <c r="CE307" s="40"/>
      <c r="CF307" s="40"/>
      <c r="CG307" s="40"/>
      <c r="CH307" s="41"/>
      <c r="CJ307" s="139"/>
      <c r="CK307" s="139"/>
      <c r="CL307" s="139"/>
      <c r="CM307" s="140"/>
      <c r="CO307" s="222"/>
      <c r="CP307" s="40"/>
      <c r="CQ307" s="40"/>
      <c r="CR307" s="41"/>
      <c r="CT307" s="40"/>
      <c r="CU307" s="40"/>
      <c r="CV307" s="40"/>
      <c r="CW307" s="41"/>
      <c r="CY307" s="40"/>
      <c r="CZ307" s="40"/>
      <c r="DA307" s="40"/>
      <c r="DB307" s="41"/>
      <c r="DD307" s="40"/>
      <c r="DE307" s="40"/>
      <c r="DF307" s="40"/>
      <c r="DG307" s="41"/>
      <c r="DI307" s="64"/>
      <c r="DJ307" s="64"/>
      <c r="DK307" s="64"/>
      <c r="DL307" s="64"/>
      <c r="DN307" s="64"/>
      <c r="DO307" s="64"/>
      <c r="DP307" s="64"/>
      <c r="DQ307" s="64"/>
      <c r="DS307" s="64"/>
      <c r="DT307" s="64"/>
      <c r="DU307" s="64"/>
      <c r="DV307" s="64"/>
      <c r="DX307" s="64"/>
      <c r="DY307" s="64"/>
      <c r="DZ307" s="64"/>
      <c r="EA307" s="64"/>
      <c r="EC307" s="64"/>
      <c r="ED307" s="64"/>
      <c r="EE307" s="64"/>
      <c r="EF307" s="64"/>
      <c r="EH307" s="64"/>
      <c r="EI307" s="64"/>
      <c r="EJ307" s="64"/>
      <c r="EK307" s="64"/>
      <c r="ER307" s="855"/>
      <c r="EX307" s="203">
        <f t="shared" si="2"/>
        <v>0</v>
      </c>
    </row>
    <row r="308" spans="1:154" s="6" customFormat="1" ht="15.75" customHeight="1">
      <c r="A308" s="68"/>
      <c r="B308" s="118" t="s">
        <v>1496</v>
      </c>
      <c r="C308" s="4" t="s">
        <v>0</v>
      </c>
      <c r="D308" s="154"/>
      <c r="E308" s="40"/>
      <c r="F308" s="40"/>
      <c r="G308" s="40"/>
      <c r="H308" s="40"/>
      <c r="I308" s="2"/>
      <c r="J308" s="4"/>
      <c r="K308" s="4"/>
      <c r="L308" s="2"/>
      <c r="M308" s="2"/>
      <c r="N308" s="2"/>
      <c r="O308" s="2"/>
      <c r="P308" s="2"/>
      <c r="Q308" s="2"/>
      <c r="R308" s="40"/>
      <c r="S308" s="41"/>
      <c r="T308" s="140"/>
      <c r="U308" s="41"/>
      <c r="W308" s="40"/>
      <c r="X308" s="41"/>
      <c r="Y308" s="41"/>
      <c r="Z308" s="41"/>
      <c r="AB308" s="40"/>
      <c r="AC308" s="41"/>
      <c r="AD308" s="41"/>
      <c r="AE308" s="41"/>
      <c r="AG308" s="40"/>
      <c r="AH308" s="41"/>
      <c r="AI308" s="41"/>
      <c r="AJ308" s="41"/>
      <c r="AL308" s="40"/>
      <c r="AM308" s="41"/>
      <c r="AN308" s="41"/>
      <c r="AO308" s="41"/>
      <c r="AQ308" s="40"/>
      <c r="AR308" s="41"/>
      <c r="AS308" s="41"/>
      <c r="AT308" s="41"/>
      <c r="AV308" s="139"/>
      <c r="AW308" s="139"/>
      <c r="AX308" s="139"/>
      <c r="AY308" s="140"/>
      <c r="BA308" s="139"/>
      <c r="BB308" s="139"/>
      <c r="BC308" s="139"/>
      <c r="BD308" s="41"/>
      <c r="BF308" s="40"/>
      <c r="BG308" s="40"/>
      <c r="BH308" s="40"/>
      <c r="BI308" s="41"/>
      <c r="BK308" s="139"/>
      <c r="BL308" s="139"/>
      <c r="BM308" s="40"/>
      <c r="BN308" s="41"/>
      <c r="BP308" s="40"/>
      <c r="BQ308" s="40"/>
      <c r="BR308" s="40"/>
      <c r="BS308" s="41"/>
      <c r="BU308" s="40"/>
      <c r="BV308" s="40"/>
      <c r="BW308" s="40"/>
      <c r="BX308" s="41"/>
      <c r="BZ308" s="40"/>
      <c r="CA308" s="40"/>
      <c r="CB308" s="40"/>
      <c r="CC308" s="41"/>
      <c r="CD308" s="140"/>
      <c r="CE308" s="40"/>
      <c r="CF308" s="40"/>
      <c r="CG308" s="40"/>
      <c r="CH308" s="41"/>
      <c r="CJ308" s="139"/>
      <c r="CK308" s="139"/>
      <c r="CL308" s="139"/>
      <c r="CM308" s="140"/>
      <c r="CO308" s="222"/>
      <c r="CP308" s="40"/>
      <c r="CQ308" s="40"/>
      <c r="CR308" s="41"/>
      <c r="CT308" s="40"/>
      <c r="CU308" s="40"/>
      <c r="CV308" s="40"/>
      <c r="CW308" s="41"/>
      <c r="CY308" s="40"/>
      <c r="CZ308" s="40"/>
      <c r="DA308" s="40"/>
      <c r="DB308" s="41"/>
      <c r="DD308" s="40"/>
      <c r="DE308" s="40"/>
      <c r="DF308" s="40"/>
      <c r="DG308" s="41"/>
      <c r="DI308" s="64"/>
      <c r="DJ308" s="64"/>
      <c r="DK308" s="64"/>
      <c r="DL308" s="64"/>
      <c r="DN308" s="64"/>
      <c r="DO308" s="64"/>
      <c r="DP308" s="64"/>
      <c r="DQ308" s="64"/>
      <c r="DS308" s="64"/>
      <c r="DT308" s="64"/>
      <c r="DU308" s="64"/>
      <c r="DV308" s="64"/>
      <c r="DX308" s="64"/>
      <c r="DY308" s="64"/>
      <c r="DZ308" s="64"/>
      <c r="EA308" s="64"/>
      <c r="EC308" s="64"/>
      <c r="ED308" s="64"/>
      <c r="EE308" s="64"/>
      <c r="EF308" s="64"/>
      <c r="EH308" s="64"/>
      <c r="EI308" s="64"/>
      <c r="EJ308" s="64"/>
      <c r="EK308" s="64"/>
      <c r="ER308" s="855"/>
      <c r="EX308" s="203">
        <f t="shared" si="2"/>
        <v>0</v>
      </c>
    </row>
    <row r="309" spans="1:154" s="6" customFormat="1" ht="15.75" customHeight="1">
      <c r="A309" s="68"/>
      <c r="B309" s="118" t="s">
        <v>1500</v>
      </c>
      <c r="C309" s="4" t="s">
        <v>0</v>
      </c>
      <c r="D309" s="154"/>
      <c r="E309" s="40"/>
      <c r="F309" s="40"/>
      <c r="G309" s="40"/>
      <c r="H309" s="40"/>
      <c r="I309" s="2"/>
      <c r="J309" s="4"/>
      <c r="K309" s="4"/>
      <c r="L309" s="2"/>
      <c r="M309" s="2"/>
      <c r="N309" s="2"/>
      <c r="O309" s="2"/>
      <c r="P309" s="2"/>
      <c r="Q309" s="2"/>
      <c r="R309" s="40"/>
      <c r="S309" s="41"/>
      <c r="T309" s="140"/>
      <c r="U309" s="41"/>
      <c r="W309" s="40"/>
      <c r="X309" s="41"/>
      <c r="Y309" s="41"/>
      <c r="Z309" s="41"/>
      <c r="AB309" s="40"/>
      <c r="AC309" s="41"/>
      <c r="AD309" s="41"/>
      <c r="AE309" s="41"/>
      <c r="AG309" s="40"/>
      <c r="AH309" s="41"/>
      <c r="AI309" s="41"/>
      <c r="AJ309" s="41"/>
      <c r="AL309" s="40"/>
      <c r="AM309" s="41"/>
      <c r="AN309" s="41"/>
      <c r="AO309" s="41"/>
      <c r="AQ309" s="40"/>
      <c r="AR309" s="41"/>
      <c r="AS309" s="41"/>
      <c r="AT309" s="41"/>
      <c r="AV309" s="139"/>
      <c r="AW309" s="139"/>
      <c r="AX309" s="139"/>
      <c r="AY309" s="140"/>
      <c r="BA309" s="139"/>
      <c r="BB309" s="139"/>
      <c r="BC309" s="139"/>
      <c r="BD309" s="41"/>
      <c r="BF309" s="40"/>
      <c r="BG309" s="40"/>
      <c r="BH309" s="40"/>
      <c r="BI309" s="41"/>
      <c r="BK309" s="139"/>
      <c r="BL309" s="139"/>
      <c r="BM309" s="40"/>
      <c r="BN309" s="41"/>
      <c r="BP309" s="40"/>
      <c r="BQ309" s="40"/>
      <c r="BR309" s="40"/>
      <c r="BS309" s="41"/>
      <c r="BU309" s="40"/>
      <c r="BV309" s="40"/>
      <c r="BW309" s="40"/>
      <c r="BX309" s="41"/>
      <c r="BZ309" s="40"/>
      <c r="CA309" s="40"/>
      <c r="CB309" s="40"/>
      <c r="CC309" s="41"/>
      <c r="CD309" s="140"/>
      <c r="CE309" s="40"/>
      <c r="CF309" s="40"/>
      <c r="CG309" s="40"/>
      <c r="CH309" s="41"/>
      <c r="CJ309" s="139"/>
      <c r="CK309" s="139"/>
      <c r="CL309" s="139"/>
      <c r="CM309" s="140"/>
      <c r="CO309" s="222"/>
      <c r="CP309" s="40"/>
      <c r="CQ309" s="40"/>
      <c r="CR309" s="41"/>
      <c r="CT309" s="40"/>
      <c r="CU309" s="40"/>
      <c r="CV309" s="40"/>
      <c r="CW309" s="41"/>
      <c r="CY309" s="40"/>
      <c r="CZ309" s="40"/>
      <c r="DA309" s="40"/>
      <c r="DB309" s="41"/>
      <c r="DD309" s="40"/>
      <c r="DE309" s="40"/>
      <c r="DF309" s="40"/>
      <c r="DG309" s="41"/>
      <c r="DI309" s="64"/>
      <c r="DJ309" s="64"/>
      <c r="DK309" s="64"/>
      <c r="DL309" s="64"/>
      <c r="DN309" s="64"/>
      <c r="DO309" s="64"/>
      <c r="DP309" s="64"/>
      <c r="DQ309" s="64"/>
      <c r="DS309" s="64"/>
      <c r="DT309" s="64"/>
      <c r="DU309" s="64"/>
      <c r="DV309" s="64"/>
      <c r="DX309" s="64"/>
      <c r="DY309" s="64"/>
      <c r="DZ309" s="64"/>
      <c r="EA309" s="64"/>
      <c r="EC309" s="64"/>
      <c r="ED309" s="64"/>
      <c r="EE309" s="64"/>
      <c r="EF309" s="64"/>
      <c r="EH309" s="64"/>
      <c r="EI309" s="64"/>
      <c r="EJ309" s="64"/>
      <c r="EK309" s="64"/>
      <c r="ER309" s="855"/>
      <c r="EX309" s="203">
        <f t="shared" si="2"/>
        <v>0</v>
      </c>
    </row>
    <row r="310" spans="1:154" s="6" customFormat="1" ht="15.75" customHeight="1">
      <c r="A310" s="68"/>
      <c r="B310" s="118" t="s">
        <v>1538</v>
      </c>
      <c r="C310" s="4" t="s">
        <v>0</v>
      </c>
      <c r="D310" s="154"/>
      <c r="E310" s="40"/>
      <c r="F310" s="40"/>
      <c r="G310" s="40"/>
      <c r="H310" s="40"/>
      <c r="I310" s="2"/>
      <c r="J310" s="4"/>
      <c r="K310" s="4"/>
      <c r="L310" s="2"/>
      <c r="M310" s="2"/>
      <c r="N310" s="2"/>
      <c r="O310" s="2"/>
      <c r="P310" s="2"/>
      <c r="Q310" s="2"/>
      <c r="R310" s="40"/>
      <c r="S310" s="41"/>
      <c r="T310" s="140"/>
      <c r="U310" s="41"/>
      <c r="W310" s="40"/>
      <c r="X310" s="41"/>
      <c r="Y310" s="41"/>
      <c r="Z310" s="41"/>
      <c r="AB310" s="40"/>
      <c r="AC310" s="41"/>
      <c r="AD310" s="41"/>
      <c r="AE310" s="41"/>
      <c r="AG310" s="40"/>
      <c r="AH310" s="41"/>
      <c r="AI310" s="41"/>
      <c r="AJ310" s="41"/>
      <c r="AL310" s="40"/>
      <c r="AM310" s="41"/>
      <c r="AN310" s="41"/>
      <c r="AO310" s="41"/>
      <c r="AQ310" s="40"/>
      <c r="AR310" s="41"/>
      <c r="AS310" s="41"/>
      <c r="AT310" s="41"/>
      <c r="AV310" s="139"/>
      <c r="AW310" s="139"/>
      <c r="AX310" s="139"/>
      <c r="AY310" s="140"/>
      <c r="BA310" s="139"/>
      <c r="BB310" s="139"/>
      <c r="BC310" s="139"/>
      <c r="BD310" s="41"/>
      <c r="BF310" s="40"/>
      <c r="BG310" s="40"/>
      <c r="BH310" s="40"/>
      <c r="BI310" s="41"/>
      <c r="BK310" s="139"/>
      <c r="BL310" s="139"/>
      <c r="BM310" s="40"/>
      <c r="BN310" s="41"/>
      <c r="BP310" s="40"/>
      <c r="BQ310" s="40"/>
      <c r="BR310" s="40"/>
      <c r="BS310" s="41"/>
      <c r="BU310" s="40"/>
      <c r="BV310" s="40"/>
      <c r="BW310" s="40"/>
      <c r="BX310" s="41"/>
      <c r="BZ310" s="40"/>
      <c r="CA310" s="40"/>
      <c r="CB310" s="40"/>
      <c r="CC310" s="41"/>
      <c r="CD310" s="140"/>
      <c r="CE310" s="40"/>
      <c r="CF310" s="40"/>
      <c r="CG310" s="40"/>
      <c r="CH310" s="41"/>
      <c r="CJ310" s="139"/>
      <c r="CK310" s="139"/>
      <c r="CL310" s="139"/>
      <c r="CM310" s="140"/>
      <c r="CO310" s="222"/>
      <c r="CP310" s="40"/>
      <c r="CQ310" s="40"/>
      <c r="CR310" s="41"/>
      <c r="CT310" s="40"/>
      <c r="CU310" s="40"/>
      <c r="CV310" s="40"/>
      <c r="CW310" s="41"/>
      <c r="CY310" s="40"/>
      <c r="CZ310" s="40"/>
      <c r="DA310" s="40"/>
      <c r="DB310" s="41"/>
      <c r="DD310" s="40"/>
      <c r="DE310" s="40"/>
      <c r="DF310" s="40"/>
      <c r="DG310" s="41"/>
      <c r="DI310" s="64"/>
      <c r="DJ310" s="64"/>
      <c r="DK310" s="64"/>
      <c r="DL310" s="64"/>
      <c r="DN310" s="64"/>
      <c r="DO310" s="64"/>
      <c r="DP310" s="64"/>
      <c r="DQ310" s="64"/>
      <c r="DS310" s="64"/>
      <c r="DT310" s="64"/>
      <c r="DU310" s="64"/>
      <c r="DV310" s="64"/>
      <c r="DX310" s="64"/>
      <c r="DY310" s="64"/>
      <c r="DZ310" s="64"/>
      <c r="EA310" s="64"/>
      <c r="EC310" s="64"/>
      <c r="ED310" s="64"/>
      <c r="EE310" s="64"/>
      <c r="EF310" s="64"/>
      <c r="EH310" s="64"/>
      <c r="EI310" s="64"/>
      <c r="EJ310" s="64"/>
      <c r="EK310" s="64"/>
      <c r="ER310" s="855"/>
      <c r="EX310" s="203">
        <f t="shared" si="2"/>
        <v>0</v>
      </c>
    </row>
    <row r="311" spans="1:154" s="6" customFormat="1" ht="15.75" customHeight="1">
      <c r="A311" s="155" t="s">
        <v>305</v>
      </c>
      <c r="B311" s="214" t="s">
        <v>305</v>
      </c>
      <c r="C311" s="473" t="s">
        <v>515</v>
      </c>
      <c r="D311" s="154"/>
      <c r="E311" s="40"/>
      <c r="F311" s="40"/>
      <c r="G311" s="40"/>
      <c r="H311" s="40"/>
      <c r="I311" s="2"/>
      <c r="J311" s="4"/>
      <c r="K311" s="4"/>
      <c r="L311" s="2"/>
      <c r="M311" s="2"/>
      <c r="N311" s="2"/>
      <c r="O311" s="2"/>
      <c r="P311" s="2"/>
      <c r="Q311" s="2"/>
      <c r="R311" s="40"/>
      <c r="S311" s="41"/>
      <c r="T311" s="140"/>
      <c r="U311" s="41"/>
      <c r="W311" s="40"/>
      <c r="X311" s="41"/>
      <c r="Y311" s="41"/>
      <c r="Z311" s="41"/>
      <c r="AB311" s="40"/>
      <c r="AC311" s="41"/>
      <c r="AD311" s="41"/>
      <c r="AE311" s="41"/>
      <c r="AG311" s="40"/>
      <c r="AH311" s="41"/>
      <c r="AI311" s="41"/>
      <c r="AJ311" s="41"/>
      <c r="AL311" s="40"/>
      <c r="AM311" s="41"/>
      <c r="AN311" s="41"/>
      <c r="AO311" s="41"/>
      <c r="AQ311" s="40"/>
      <c r="AR311" s="41"/>
      <c r="AS311" s="41"/>
      <c r="AT311" s="41"/>
      <c r="AV311" s="139"/>
      <c r="AW311" s="139"/>
      <c r="AX311" s="139"/>
      <c r="AY311" s="140"/>
      <c r="BA311" s="139"/>
      <c r="BB311" s="139"/>
      <c r="BC311" s="139"/>
      <c r="BD311" s="41"/>
      <c r="BF311" s="40"/>
      <c r="BG311" s="40"/>
      <c r="BH311" s="40"/>
      <c r="BI311" s="41"/>
      <c r="BK311" s="139"/>
      <c r="BL311" s="139"/>
      <c r="BM311" s="40"/>
      <c r="BN311" s="41"/>
      <c r="BP311" s="40"/>
      <c r="BQ311" s="40"/>
      <c r="BR311" s="40"/>
      <c r="BS311" s="41"/>
      <c r="BU311" s="40"/>
      <c r="BV311" s="40"/>
      <c r="BW311" s="40"/>
      <c r="BX311" s="41"/>
      <c r="BZ311" s="40"/>
      <c r="CA311" s="40"/>
      <c r="CB311" s="40"/>
      <c r="CC311" s="41"/>
      <c r="CD311" s="140"/>
      <c r="CE311" s="40"/>
      <c r="CF311" s="40"/>
      <c r="CG311" s="40"/>
      <c r="CH311" s="41"/>
      <c r="CJ311" s="139"/>
      <c r="CK311" s="139"/>
      <c r="CL311" s="139"/>
      <c r="CM311" s="140"/>
      <c r="CO311" s="222"/>
      <c r="CP311" s="40"/>
      <c r="CQ311" s="40"/>
      <c r="CR311" s="41"/>
      <c r="CT311" s="40"/>
      <c r="CU311" s="40"/>
      <c r="CV311" s="40"/>
      <c r="CW311" s="41"/>
      <c r="CY311" s="40"/>
      <c r="CZ311" s="40"/>
      <c r="DA311" s="40"/>
      <c r="DB311" s="41"/>
      <c r="DD311" s="40"/>
      <c r="DE311" s="40"/>
      <c r="DF311" s="40"/>
      <c r="DG311" s="41"/>
      <c r="DI311" s="64"/>
      <c r="DJ311" s="64"/>
      <c r="DK311" s="64"/>
      <c r="DL311" s="64"/>
      <c r="DN311" s="64"/>
      <c r="DO311" s="64"/>
      <c r="DP311" s="64"/>
      <c r="DQ311" s="64"/>
      <c r="DS311" s="64"/>
      <c r="DT311" s="64"/>
      <c r="DU311" s="64"/>
      <c r="DV311" s="64"/>
      <c r="DX311" s="64"/>
      <c r="DY311" s="64"/>
      <c r="DZ311" s="64"/>
      <c r="EA311" s="64"/>
      <c r="EC311" s="64"/>
      <c r="ED311" s="64"/>
      <c r="EE311" s="64"/>
      <c r="EF311" s="64"/>
      <c r="EH311" s="64"/>
      <c r="EI311" s="64"/>
      <c r="EJ311" s="64"/>
      <c r="EK311" s="64"/>
      <c r="ER311" s="855"/>
      <c r="EX311" s="203">
        <f t="shared" si="2"/>
        <v>0</v>
      </c>
    </row>
    <row r="312" spans="1:154" s="6" customFormat="1" ht="15.75" customHeight="1">
      <c r="A312" s="155" t="s">
        <v>306</v>
      </c>
      <c r="B312" s="214" t="s">
        <v>306</v>
      </c>
      <c r="C312" s="473" t="s">
        <v>515</v>
      </c>
      <c r="D312" s="154"/>
      <c r="E312" s="40"/>
      <c r="F312" s="40"/>
      <c r="G312" s="40"/>
      <c r="H312" s="40"/>
      <c r="I312" s="2"/>
      <c r="J312" s="4"/>
      <c r="K312" s="4"/>
      <c r="L312" s="2"/>
      <c r="M312" s="2"/>
      <c r="N312" s="2"/>
      <c r="O312" s="2"/>
      <c r="P312" s="2"/>
      <c r="Q312" s="2"/>
      <c r="R312" s="40"/>
      <c r="S312" s="41"/>
      <c r="T312" s="140"/>
      <c r="U312" s="41"/>
      <c r="W312" s="40"/>
      <c r="X312" s="41"/>
      <c r="Y312" s="41"/>
      <c r="Z312" s="41"/>
      <c r="AB312" s="40"/>
      <c r="AC312" s="41"/>
      <c r="AD312" s="41"/>
      <c r="AE312" s="41"/>
      <c r="AG312" s="40"/>
      <c r="AH312" s="41"/>
      <c r="AI312" s="41"/>
      <c r="AJ312" s="41"/>
      <c r="AL312" s="40"/>
      <c r="AM312" s="41"/>
      <c r="AN312" s="41"/>
      <c r="AO312" s="41"/>
      <c r="AQ312" s="40"/>
      <c r="AR312" s="41"/>
      <c r="AS312" s="41"/>
      <c r="AT312" s="41"/>
      <c r="AV312" s="139"/>
      <c r="AW312" s="139"/>
      <c r="AX312" s="139"/>
      <c r="AY312" s="140"/>
      <c r="BA312" s="139"/>
      <c r="BB312" s="139"/>
      <c r="BC312" s="139"/>
      <c r="BD312" s="41"/>
      <c r="BF312" s="40"/>
      <c r="BG312" s="40"/>
      <c r="BH312" s="40"/>
      <c r="BI312" s="41"/>
      <c r="BK312" s="139"/>
      <c r="BL312" s="139"/>
      <c r="BM312" s="40"/>
      <c r="BN312" s="41"/>
      <c r="BP312" s="40"/>
      <c r="BQ312" s="40"/>
      <c r="BR312" s="40"/>
      <c r="BS312" s="41"/>
      <c r="BU312" s="40"/>
      <c r="BV312" s="40"/>
      <c r="BW312" s="40"/>
      <c r="BX312" s="41"/>
      <c r="BZ312" s="40"/>
      <c r="CA312" s="40"/>
      <c r="CB312" s="40"/>
      <c r="CC312" s="41"/>
      <c r="CD312" s="140"/>
      <c r="CE312" s="40"/>
      <c r="CF312" s="40"/>
      <c r="CG312" s="40"/>
      <c r="CH312" s="41"/>
      <c r="CJ312" s="139"/>
      <c r="CK312" s="139"/>
      <c r="CL312" s="139"/>
      <c r="CM312" s="140"/>
      <c r="CO312" s="222"/>
      <c r="CP312" s="40"/>
      <c r="CQ312" s="40"/>
      <c r="CR312" s="41"/>
      <c r="CT312" s="40"/>
      <c r="CU312" s="40"/>
      <c r="CV312" s="40"/>
      <c r="CW312" s="41"/>
      <c r="CY312" s="40"/>
      <c r="CZ312" s="40"/>
      <c r="DA312" s="40"/>
      <c r="DB312" s="41"/>
      <c r="DD312" s="40"/>
      <c r="DE312" s="40"/>
      <c r="DF312" s="40"/>
      <c r="DG312" s="41"/>
      <c r="DI312" s="64"/>
      <c r="DJ312" s="64"/>
      <c r="DK312" s="64"/>
      <c r="DL312" s="64"/>
      <c r="DN312" s="64"/>
      <c r="DO312" s="64"/>
      <c r="DP312" s="64"/>
      <c r="DQ312" s="64"/>
      <c r="DS312" s="64"/>
      <c r="DT312" s="64"/>
      <c r="DU312" s="64"/>
      <c r="DV312" s="64"/>
      <c r="DX312" s="64"/>
      <c r="DY312" s="64"/>
      <c r="DZ312" s="64"/>
      <c r="EA312" s="64"/>
      <c r="EC312" s="64"/>
      <c r="ED312" s="64"/>
      <c r="EE312" s="64"/>
      <c r="EF312" s="64"/>
      <c r="EH312" s="64"/>
      <c r="EI312" s="64"/>
      <c r="EJ312" s="64"/>
      <c r="EK312" s="64"/>
      <c r="ER312" s="855"/>
      <c r="EX312" s="203">
        <f t="shared" si="2"/>
        <v>0</v>
      </c>
    </row>
    <row r="313" spans="1:154" s="6" customFormat="1" ht="15.75" customHeight="1">
      <c r="A313" s="155" t="s">
        <v>307</v>
      </c>
      <c r="B313" s="214" t="s">
        <v>399</v>
      </c>
      <c r="C313" s="473" t="s">
        <v>515</v>
      </c>
      <c r="D313" s="154"/>
      <c r="E313" s="40"/>
      <c r="F313" s="40"/>
      <c r="G313" s="40"/>
      <c r="H313" s="40"/>
      <c r="I313" s="2"/>
      <c r="J313" s="4"/>
      <c r="K313" s="4"/>
      <c r="L313" s="2"/>
      <c r="M313" s="2"/>
      <c r="N313" s="2"/>
      <c r="O313" s="2"/>
      <c r="P313" s="2"/>
      <c r="Q313" s="2"/>
      <c r="R313" s="40"/>
      <c r="S313" s="41"/>
      <c r="T313" s="140"/>
      <c r="U313" s="41"/>
      <c r="W313" s="40"/>
      <c r="X313" s="41"/>
      <c r="Y313" s="41"/>
      <c r="Z313" s="41"/>
      <c r="AB313" s="40"/>
      <c r="AC313" s="41"/>
      <c r="AD313" s="41"/>
      <c r="AE313" s="41"/>
      <c r="AG313" s="40"/>
      <c r="AH313" s="41"/>
      <c r="AI313" s="41"/>
      <c r="AJ313" s="41"/>
      <c r="AL313" s="40"/>
      <c r="AM313" s="41"/>
      <c r="AN313" s="41"/>
      <c r="AO313" s="41"/>
      <c r="AQ313" s="40"/>
      <c r="AR313" s="41"/>
      <c r="AS313" s="41"/>
      <c r="AT313" s="41"/>
      <c r="AV313" s="139"/>
      <c r="AW313" s="139"/>
      <c r="AX313" s="139"/>
      <c r="AY313" s="140"/>
      <c r="BA313" s="139"/>
      <c r="BB313" s="139"/>
      <c r="BC313" s="139"/>
      <c r="BD313" s="41"/>
      <c r="BF313" s="40"/>
      <c r="BG313" s="40"/>
      <c r="BH313" s="40"/>
      <c r="BI313" s="41"/>
      <c r="BK313" s="139"/>
      <c r="BL313" s="139"/>
      <c r="BM313" s="40"/>
      <c r="BN313" s="41"/>
      <c r="BP313" s="40"/>
      <c r="BQ313" s="40"/>
      <c r="BR313" s="40"/>
      <c r="BS313" s="41"/>
      <c r="BU313" s="40"/>
      <c r="BV313" s="40"/>
      <c r="BW313" s="40"/>
      <c r="BX313" s="41"/>
      <c r="BZ313" s="40"/>
      <c r="CA313" s="40"/>
      <c r="CB313" s="40"/>
      <c r="CC313" s="41"/>
      <c r="CD313" s="140"/>
      <c r="CE313" s="40"/>
      <c r="CF313" s="40"/>
      <c r="CG313" s="40"/>
      <c r="CH313" s="41"/>
      <c r="CJ313" s="139"/>
      <c r="CK313" s="139"/>
      <c r="CL313" s="139"/>
      <c r="CM313" s="140"/>
      <c r="CO313" s="222"/>
      <c r="CP313" s="40"/>
      <c r="CQ313" s="40"/>
      <c r="CR313" s="41"/>
      <c r="CT313" s="40"/>
      <c r="CU313" s="40"/>
      <c r="CV313" s="40"/>
      <c r="CW313" s="41"/>
      <c r="CY313" s="40"/>
      <c r="CZ313" s="40"/>
      <c r="DA313" s="40"/>
      <c r="DB313" s="41"/>
      <c r="DD313" s="40"/>
      <c r="DE313" s="40"/>
      <c r="DF313" s="40"/>
      <c r="DG313" s="41"/>
      <c r="DI313" s="64"/>
      <c r="DJ313" s="64"/>
      <c r="DK313" s="64"/>
      <c r="DL313" s="64"/>
      <c r="DN313" s="64"/>
      <c r="DO313" s="64"/>
      <c r="DP313" s="64"/>
      <c r="DQ313" s="64"/>
      <c r="DS313" s="64"/>
      <c r="DT313" s="64"/>
      <c r="DU313" s="64"/>
      <c r="DV313" s="64"/>
      <c r="DX313" s="64"/>
      <c r="DY313" s="64"/>
      <c r="DZ313" s="64"/>
      <c r="EA313" s="64"/>
      <c r="EC313" s="64"/>
      <c r="ED313" s="64"/>
      <c r="EE313" s="64"/>
      <c r="EF313" s="64"/>
      <c r="EH313" s="64"/>
      <c r="EI313" s="64"/>
      <c r="EJ313" s="64"/>
      <c r="EK313" s="64"/>
      <c r="ER313" s="855"/>
      <c r="EX313" s="203">
        <f t="shared" si="2"/>
        <v>0</v>
      </c>
    </row>
    <row r="314" spans="1:154" s="6" customFormat="1" ht="15.75" customHeight="1">
      <c r="A314" s="155"/>
      <c r="B314" s="210" t="s">
        <v>1511</v>
      </c>
      <c r="C314" s="473" t="s">
        <v>515</v>
      </c>
      <c r="D314" s="154"/>
      <c r="E314" s="40"/>
      <c r="F314" s="139"/>
      <c r="G314" s="139"/>
      <c r="H314" s="139"/>
      <c r="I314" s="2"/>
      <c r="J314" s="4"/>
      <c r="K314" s="4"/>
      <c r="L314" s="2"/>
      <c r="M314" s="2"/>
      <c r="N314" s="2"/>
      <c r="O314" s="2"/>
      <c r="P314" s="2"/>
      <c r="Q314" s="2"/>
      <c r="R314" s="40"/>
      <c r="S314" s="41"/>
      <c r="T314" s="140"/>
      <c r="U314" s="41"/>
      <c r="W314" s="40"/>
      <c r="X314" s="41"/>
      <c r="Y314" s="41"/>
      <c r="Z314" s="41"/>
      <c r="AB314" s="40"/>
      <c r="AC314" s="41"/>
      <c r="AD314" s="41"/>
      <c r="AE314" s="41"/>
      <c r="AG314" s="40"/>
      <c r="AH314" s="41"/>
      <c r="AI314" s="41"/>
      <c r="AJ314" s="41"/>
      <c r="AL314" s="40"/>
      <c r="AM314" s="41"/>
      <c r="AN314" s="41"/>
      <c r="AO314" s="41"/>
      <c r="AQ314" s="40"/>
      <c r="AR314" s="41"/>
      <c r="AS314" s="41"/>
      <c r="AT314" s="41"/>
      <c r="AV314" s="139"/>
      <c r="AW314" s="139"/>
      <c r="AX314" s="139"/>
      <c r="AY314" s="140"/>
      <c r="BA314" s="139"/>
      <c r="BB314" s="139"/>
      <c r="BC314" s="139"/>
      <c r="BD314" s="41"/>
      <c r="BF314" s="40"/>
      <c r="BG314" s="40"/>
      <c r="BH314" s="40"/>
      <c r="BI314" s="41"/>
      <c r="BK314" s="139"/>
      <c r="BL314" s="139"/>
      <c r="BM314" s="40"/>
      <c r="BN314" s="41"/>
      <c r="BP314" s="40"/>
      <c r="BQ314" s="139"/>
      <c r="BR314" s="40"/>
      <c r="BS314" s="41"/>
      <c r="BU314" s="40"/>
      <c r="BV314" s="40"/>
      <c r="BW314" s="40"/>
      <c r="BX314" s="41"/>
      <c r="BZ314" s="40"/>
      <c r="CA314" s="40"/>
      <c r="CB314" s="40"/>
      <c r="CC314" s="41"/>
      <c r="CD314" s="140"/>
      <c r="CE314" s="40"/>
      <c r="CF314" s="40"/>
      <c r="CG314" s="40"/>
      <c r="CH314" s="41"/>
      <c r="CJ314" s="139"/>
      <c r="CK314" s="139"/>
      <c r="CL314" s="139"/>
      <c r="CM314" s="140"/>
      <c r="CO314" s="222"/>
      <c r="CP314" s="40"/>
      <c r="CQ314" s="40"/>
      <c r="CR314" s="41"/>
      <c r="CT314" s="40"/>
      <c r="CU314" s="40"/>
      <c r="CV314" s="40"/>
      <c r="CW314" s="41"/>
      <c r="CY314" s="40"/>
      <c r="CZ314" s="40"/>
      <c r="DA314" s="40"/>
      <c r="DB314" s="41"/>
      <c r="DD314" s="40"/>
      <c r="DE314" s="40"/>
      <c r="DF314" s="40"/>
      <c r="DG314" s="41"/>
      <c r="DI314" s="64"/>
      <c r="DJ314" s="64"/>
      <c r="DK314" s="64"/>
      <c r="DL314" s="64"/>
      <c r="DN314" s="64"/>
      <c r="DO314" s="64"/>
      <c r="DP314" s="64"/>
      <c r="DQ314" s="64"/>
      <c r="DS314" s="64"/>
      <c r="DT314" s="64"/>
      <c r="DU314" s="64"/>
      <c r="DV314" s="64"/>
      <c r="DX314" s="64"/>
      <c r="DY314" s="64"/>
      <c r="DZ314" s="64"/>
      <c r="EA314" s="64"/>
      <c r="EC314" s="64"/>
      <c r="ED314" s="64"/>
      <c r="EE314" s="64"/>
      <c r="EF314" s="64"/>
      <c r="EH314" s="64"/>
      <c r="EI314" s="64"/>
      <c r="EJ314" s="64"/>
      <c r="EK314" s="64"/>
      <c r="ER314" s="855"/>
      <c r="EX314" s="203">
        <f t="shared" si="2"/>
        <v>0</v>
      </c>
    </row>
    <row r="315" spans="1:154" s="6" customFormat="1" ht="15.75" customHeight="1">
      <c r="A315" s="155"/>
      <c r="B315" s="210" t="s">
        <v>952</v>
      </c>
      <c r="C315" s="473" t="s">
        <v>515</v>
      </c>
      <c r="D315" s="154"/>
      <c r="E315" s="40"/>
      <c r="F315" s="139"/>
      <c r="G315" s="139"/>
      <c r="H315" s="139"/>
      <c r="I315" s="2"/>
      <c r="J315" s="4"/>
      <c r="K315" s="4"/>
      <c r="L315" s="2"/>
      <c r="M315" s="2"/>
      <c r="N315" s="2"/>
      <c r="O315" s="2"/>
      <c r="P315" s="2"/>
      <c r="Q315" s="2"/>
      <c r="R315" s="40"/>
      <c r="S315" s="41"/>
      <c r="T315" s="140"/>
      <c r="U315" s="41"/>
      <c r="W315" s="40"/>
      <c r="X315" s="41"/>
      <c r="Y315" s="41"/>
      <c r="Z315" s="41"/>
      <c r="AB315" s="40"/>
      <c r="AC315" s="41"/>
      <c r="AD315" s="41"/>
      <c r="AE315" s="41"/>
      <c r="AG315" s="40"/>
      <c r="AH315" s="41"/>
      <c r="AI315" s="41"/>
      <c r="AJ315" s="41"/>
      <c r="AL315" s="40"/>
      <c r="AM315" s="41"/>
      <c r="AN315" s="41"/>
      <c r="AO315" s="41"/>
      <c r="AQ315" s="40"/>
      <c r="AR315" s="41"/>
      <c r="AS315" s="41"/>
      <c r="AT315" s="41"/>
      <c r="AV315" s="139"/>
      <c r="AW315" s="139"/>
      <c r="AX315" s="139"/>
      <c r="AY315" s="140"/>
      <c r="BA315" s="139"/>
      <c r="BB315" s="139"/>
      <c r="BC315" s="139"/>
      <c r="BD315" s="41"/>
      <c r="BF315" s="40"/>
      <c r="BG315" s="40"/>
      <c r="BH315" s="40"/>
      <c r="BI315" s="41"/>
      <c r="BK315" s="139"/>
      <c r="BL315" s="139"/>
      <c r="BM315" s="40"/>
      <c r="BN315" s="41"/>
      <c r="BP315" s="40"/>
      <c r="BQ315" s="139"/>
      <c r="BR315" s="40"/>
      <c r="BS315" s="41"/>
      <c r="BU315" s="40"/>
      <c r="BV315" s="40"/>
      <c r="BW315" s="40"/>
      <c r="BX315" s="41"/>
      <c r="BZ315" s="40"/>
      <c r="CA315" s="40"/>
      <c r="CB315" s="40"/>
      <c r="CC315" s="41"/>
      <c r="CD315" s="140"/>
      <c r="CE315" s="40"/>
      <c r="CF315" s="40"/>
      <c r="CG315" s="40"/>
      <c r="CH315" s="41"/>
      <c r="CJ315" s="139"/>
      <c r="CK315" s="139"/>
      <c r="CL315" s="139"/>
      <c r="CM315" s="140"/>
      <c r="CO315" s="222"/>
      <c r="CP315" s="40"/>
      <c r="CQ315" s="40"/>
      <c r="CR315" s="41"/>
      <c r="CT315" s="40"/>
      <c r="CU315" s="40"/>
      <c r="CV315" s="40"/>
      <c r="CW315" s="41"/>
      <c r="CY315" s="40"/>
      <c r="CZ315" s="40"/>
      <c r="DA315" s="40"/>
      <c r="DB315" s="41"/>
      <c r="DD315" s="40"/>
      <c r="DE315" s="40"/>
      <c r="DF315" s="40"/>
      <c r="DG315" s="41"/>
      <c r="DI315" s="64"/>
      <c r="DJ315" s="64"/>
      <c r="DK315" s="64"/>
      <c r="DL315" s="64"/>
      <c r="DN315" s="64"/>
      <c r="DO315" s="64"/>
      <c r="DP315" s="64"/>
      <c r="DQ315" s="64"/>
      <c r="DS315" s="64"/>
      <c r="DT315" s="64"/>
      <c r="DU315" s="64"/>
      <c r="DV315" s="64"/>
      <c r="DX315" s="64"/>
      <c r="DY315" s="64"/>
      <c r="DZ315" s="64"/>
      <c r="EA315" s="64"/>
      <c r="EC315" s="64"/>
      <c r="ED315" s="64"/>
      <c r="EE315" s="64"/>
      <c r="EF315" s="64"/>
      <c r="EH315" s="64"/>
      <c r="EI315" s="64"/>
      <c r="EJ315" s="64"/>
      <c r="EK315" s="64"/>
      <c r="ER315" s="855"/>
      <c r="EX315" s="203">
        <f t="shared" si="2"/>
        <v>0</v>
      </c>
    </row>
    <row r="316" spans="1:154" s="6" customFormat="1" ht="15" customHeight="1">
      <c r="A316" s="90" t="s">
        <v>151</v>
      </c>
      <c r="B316" s="210" t="s">
        <v>151</v>
      </c>
      <c r="C316" s="473" t="s">
        <v>515</v>
      </c>
      <c r="D316" s="154"/>
      <c r="E316" s="62">
        <v>4</v>
      </c>
      <c r="F316" s="140">
        <f>SUM(F5:F26,G5:G26,H5:H26)*E316</f>
        <v>0</v>
      </c>
      <c r="G316" s="140"/>
      <c r="H316" s="140"/>
      <c r="I316" s="2"/>
      <c r="J316" s="4"/>
      <c r="K316" s="4"/>
      <c r="L316" s="2"/>
      <c r="M316" s="2"/>
      <c r="N316" s="2"/>
      <c r="O316" s="2"/>
      <c r="P316" s="2"/>
      <c r="Q316" s="2"/>
      <c r="R316" s="40"/>
      <c r="S316" s="41"/>
      <c r="T316" s="140"/>
      <c r="U316" s="41"/>
      <c r="W316" s="40"/>
      <c r="X316" s="41"/>
      <c r="Y316" s="41"/>
      <c r="Z316" s="41"/>
      <c r="AB316" s="40"/>
      <c r="AC316" s="41"/>
      <c r="AD316" s="41"/>
      <c r="AE316" s="41"/>
      <c r="AG316" s="40"/>
      <c r="AH316" s="41"/>
      <c r="AI316" s="41"/>
      <c r="AJ316" s="41"/>
      <c r="AL316" s="40"/>
      <c r="AM316" s="41"/>
      <c r="AN316" s="41"/>
      <c r="AO316" s="41"/>
      <c r="AQ316" s="40"/>
      <c r="AR316" s="41"/>
      <c r="AS316" s="41"/>
      <c r="AT316" s="41"/>
      <c r="AV316" s="141">
        <v>2</v>
      </c>
      <c r="AW316" s="140">
        <f>SUM(AW5:AW26,AX5:AX26,AY5:AY26)*AV316</f>
        <v>0</v>
      </c>
      <c r="AX316" s="139"/>
      <c r="AY316" s="140"/>
      <c r="BA316" s="141">
        <v>2</v>
      </c>
      <c r="BB316" s="140">
        <f>SUM(BB5:BB26,BC5:BC26,BD5:BD26)*BA316</f>
        <v>0</v>
      </c>
      <c r="BC316" s="139"/>
      <c r="BD316" s="41"/>
      <c r="BF316" s="60">
        <v>4</v>
      </c>
      <c r="BG316" s="41">
        <f>SUM(BG5:BG26,BH5:BH26,BI5:BI26)*BF316</f>
        <v>0</v>
      </c>
      <c r="BH316" s="40"/>
      <c r="BI316" s="41"/>
      <c r="BK316" s="142">
        <v>4</v>
      </c>
      <c r="BL316" s="140">
        <f>SUM(BL5:BL26,BM5:BM26,BN5:BN26)*BK316</f>
        <v>0</v>
      </c>
      <c r="BM316" s="40"/>
      <c r="BN316" s="41"/>
      <c r="BP316" s="62">
        <v>4</v>
      </c>
      <c r="BQ316" s="140">
        <f>SUM(BQ5:BQ26,BR5:BR26,BS5:BS26)*BP316</f>
        <v>0</v>
      </c>
      <c r="BR316" s="40"/>
      <c r="BS316" s="41"/>
      <c r="BU316" s="62">
        <v>4</v>
      </c>
      <c r="BV316" s="41">
        <f>SUM(BV5:BV26,BW5:BW26,BX5:BX26)*BU316</f>
        <v>0</v>
      </c>
      <c r="BW316" s="40"/>
      <c r="BX316" s="41"/>
      <c r="BZ316" s="61">
        <v>8</v>
      </c>
      <c r="CA316" s="41">
        <f>SUM(CA5:CA26,CB5:CB26,CC5:CC26)*BZ316</f>
        <v>0</v>
      </c>
      <c r="CB316" s="40"/>
      <c r="CC316" s="41"/>
      <c r="CD316" s="140"/>
      <c r="CE316" s="61">
        <v>8</v>
      </c>
      <c r="CF316" s="41">
        <f>SUM(CF5:CF26,CG5:CG26,CH5:CH26)*CE316</f>
        <v>0</v>
      </c>
      <c r="CG316" s="40"/>
      <c r="CH316" s="41"/>
      <c r="CJ316" s="141">
        <v>0</v>
      </c>
      <c r="CK316" s="140">
        <f>CK5*CJ316+CK6*CJ316+CK7*CJ316+CK8*CJ316+CK9*CJ316+CK10*CJ316+CK11*CJ316+CK12*CJ316+CK13*CJ316+CK14*CJ316+CK15*CJ316+CK16*CJ316+CK17*CJ316+CK18*CJ316+CK19*CJ316+CK20*CJ316+CK21*CJ316+CK22*CJ316+CK23*CJ316+CK24*CJ316+CK25*CJ316+CK26*CJ316+CL5*CJ316+CL6*CJ316+CL7*CJ316+CL8*CJ316+CL9*CJ316+CL10*CJ316+CL11*CJ316+CL12*CJ316+CL13*CJ316+CL14*CJ316+CL15*CJ316+CL16*CJ316+CL17*CJ316+CL18*CJ316+CL19*CJ316+CL20*CJ316+CL21*CJ316+CL22*CJ316+CL23*CJ316+CL24*CJ316+CL25*CJ316+CL26*CJ316+CM5*CJ316+CM6*CJ316+CM7*CJ316+CM8*CJ316+CM9*CJ316+CM10*CJ316+CM11*CJ316+CM12*CJ316+CM13*CJ316+CM14*CJ316+CM15*CJ316+CM16*CJ316+CM17*CJ316+CM18*CJ316+CM19*CJ316+CM20*CJ316+CM21*CJ316+CM22*CJ316+CM23*CJ316+CM24*CJ316+CM25*CJ316+CM26*CJ316</f>
        <v>0</v>
      </c>
      <c r="CL316" s="139"/>
      <c r="CM316" s="140"/>
      <c r="CO316" s="223">
        <v>4</v>
      </c>
      <c r="CP316" s="41">
        <f>CP5*CO316+CP6*CO316+CP7*CO316+CP8*CO316+CP9*CO316+CP10*CO316+CP11*CO316+CP12*CO316+CP13*CO316+CP14*CO316+CP15*CO316+CP16*CO316+CP17*CO316+CP18*CO316+CP19*CO316+CP20*CO316+CP21*CO316+CP22*CO316+CP23*CO316+CP24*CO316+CP25*CO316+CP26*CO316+CQ5*CO316+CQ6*CO316+CQ7*CO316+CQ8*CO316+CQ9*CO316+CQ10*CO316+CQ11*CO316+CQ12*CO316+CQ13*CO316+CQ14*CO316+CQ15*CO316+CQ16*CO316+CQ17*CO316+CQ18*CO316+CQ19*CO316+CQ20*CO316+CQ21*CO316+CQ22*CO316+CQ23*CO316+CQ24*CO316+CQ25*CO316+CQ26*CO316+CR5*CO316+CR6*CO316+CR7*CO316+CR8*CO316+CR9*CO316+CR10*CO316+CR11*CO316+CR12*CO316+CR13*CO316+CR14*CO316+CR15*CO316+CR16*CO316+CR17*CO316+CR18*CO316+CR19*CO316+CR20*CO316+CR21*CO316+CR22*CO316+CR23*CO316+CR24*CO316+CR25*CO316+CR26*CO316</f>
        <v>0</v>
      </c>
      <c r="CQ316" s="40"/>
      <c r="CR316" s="41"/>
      <c r="CT316" s="62">
        <v>6</v>
      </c>
      <c r="CU316" s="41">
        <f>SUM(CU5:CU26,CV5:CV26,CW5:CW26)*CT316</f>
        <v>0</v>
      </c>
      <c r="CV316" s="40"/>
      <c r="CW316" s="41"/>
      <c r="CY316" s="62">
        <v>7</v>
      </c>
      <c r="CZ316" s="41">
        <f>SUM(CZ5:CZ26,DA5:DA26,DB5:DB26)*CY316</f>
        <v>0</v>
      </c>
      <c r="DA316" s="40"/>
      <c r="DB316" s="41"/>
      <c r="DD316" s="46">
        <v>2</v>
      </c>
      <c r="DE316" s="41">
        <f>DE5*DD316+DE6*DD316+DE7*DD316+DE8*DD316+DE9*DD316+DE10*DD316+DE11*DD316+DE12*DD316+DE13*DD316+DE14*DD316+DE15*DD316+DE16*DD316+DE17*DD316+DE18*DD316+DE19*DD316+DE20*DD316+DE21*DD316+DE22*DD316+DE23*DD316+DE24*DD316+DE25*DD316+DE26*DD316+DF5*DD316+DF6*DD316+DF7*DD316+DF8*DD316+DF9*DD316+DF10*DD316+DF11*DD316+DF12*DD316+DF13*DD316+DF14*DD316+DF15*DD316+DF16*DD316+DF17*DD316+DF18*DD316+DF19*DD316+DF20*DD316+DF21*DD316+DF22*DD316+DF23*DD316+DF24*DD316+DF25*DD316+DF26*DD316+DG5*DD316+DG6*DD316+DG7*DD316+DG8*DD316+DG9*DD316+DG10*DD316+DG11*DD316+DG12*DD316+DG13*DD316+DG14*DD316+DG15*DD316+DG16*DD316+DG17*DD316+DG18*DD316+DG19*DD316+DG20*DD316+DG21*DD316+DG22*DD316+DG23*DD316+DG24*DD316+DG25*DD316+DG26*DD316</f>
        <v>0</v>
      </c>
      <c r="DF316" s="40"/>
      <c r="DG316" s="41"/>
      <c r="DI316" s="71">
        <v>3</v>
      </c>
      <c r="DJ316" s="41">
        <f>DJ5*DI316+DJ6*DI316+DJ7*DI316+DJ8*DI316+DJ9*DI316+DJ10*DI316+DJ11*DI316+DJ12*DI316+DJ13*DI316+DJ14*DI316+DJ15*DI316+DJ16*DI316+DJ17*DI316+DJ18*DI316+DJ19*DI316+DJ20*DI316+DJ21*DI316+DJ22*DI316+DJ23*DI316+DJ24*DI316+DJ25*DI316+DJ26*DI316+DK5*DI316+DK6*DI316+DK7*DI316+DK8*DI316+DK9*DI316+DK10*DI316+DK11*DI316+DK12*DI316+DK13*DI316+DK14*DI316+DK15*DI316+DK16*DI316+DK17*DI316+DK18*DI316+DK19*DI316+DK20*DI316+DK21*DI316+DK22*DI316+DK23*DI316+DK24*DI316+DK25*DI316+DK26*DI316+DL5*DI316+DL6*DI316+DL7*DI316+DL8*DI316+DL9*DI316+DL10*DI316+DL11*DI316+DL12*DI316+DL13*DI316+DL14*DI316+DL15*DI316+DL16*DI316+DL17*DI316+DL18*DI316+DL19*DI316+DL20*DI316+DL21*DI316+DL22*DI316+DL23*DI316+DL24*DI316+DL25*DI316+DL26*DI316</f>
        <v>0</v>
      </c>
      <c r="DK316" s="64"/>
      <c r="DL316" s="64"/>
      <c r="DN316" s="71">
        <v>3</v>
      </c>
      <c r="DO316" s="41">
        <f>DO5*DN316+DO6*DN316+DO7*DN316+DO8*DN316+DO9*DN316+DO10*DN316+DO11*DN316+DO12*DN316+DO13*DN316+DO14*DN316+DO15*DN316+DO16*DN316+DO17*DN316+DO18*DN316+DO19*DN316+DO20*DN316+DO21*DN316+DO22*DN316+DO23*DN316+DO24*DN316+DO25*DN316+DO26*DN316+DP5*DN316+DP6*DN316+DP7*DN316+DP8*DN316+DP9*DN316+DP10*DN316+DP11*DN316+DP12*DN316+DP13*DN316+DP14*DN316+DP15*DN316+DP16*DN316+DP17*DN316+DP18*DN316+DP19*DN316+DP20*DN316+DP21*DN316+DP22*DN316+DP23*DN316+DP24*DN316+DP25*DN316+DP26*DN316+DQ5*DN316+DQ6*DN316+DQ7*DN316+DQ8*DN316+DQ9*DN316+DQ10*DN316+DQ11*DN316+DQ12*DN316+DQ13*DN316+DQ14*DN316+DQ15*DN316+DQ16*DN316+DQ17*DN316+DQ18*DN316+DQ19*DN316+DQ20*DN316+DQ21*DN316+DQ22*DN316+DQ23*DN316+DQ24*DN316+DQ25*DN316+DQ26*DN316</f>
        <v>0</v>
      </c>
      <c r="DP316" s="64"/>
      <c r="DQ316" s="64"/>
      <c r="DS316" s="60">
        <v>6</v>
      </c>
      <c r="DT316" s="41">
        <f>DT5*DS316+DT6*DS316+DT7*DS316+DT8*DS316+DT9*DS316+DT10*DS316+DT11*DS316+DT12*DS316+DT13*DS316+DT14*DS316+DT15*DS316+DT16*DS316+DT17*DS316+DT18*DS316+DT19*DS316+DT20*DS316+DT21*DS316+DT22*DS316+DT23*DS316+DT24*DS316+DT25*DS316+DT26*DS316+DU5*DS316+DU6*DS316+DU7*DS316+DU8*DS316+DU9*DS316+DU10*DS316+DU11*DS316+DU12*DS316+DU13*DS316+DU14*DS316+DU15*DS316+DU16*DS316+DU17*DS316+DU18*DS316+DU19*DS316+DU20*DS316+DU21*DS316+DU22*DS316+DU23*DS316+DU24*DS316+DU25*DS316+DU26*DS316+DV5*DS316+DV6*DS316+DV7*DS316+DV8*DS316+DV9*DS316+DV10*DS316+DV11*DS316+DV12*DS316+DV13*DS316+DV14*DS316+DV15*DS316+DV16*DS316+DV17*DS316+DV18*DS316+DV19*DS316+DV20*DS316+DV21*DS316+DV22*DS316+DV23*DS316+DV24*DS316+DV25*DS316+DV26*DS316</f>
        <v>0</v>
      </c>
      <c r="DU316" s="64"/>
      <c r="DV316" s="64"/>
      <c r="DX316" s="60">
        <v>6</v>
      </c>
      <c r="DY316" s="41">
        <f>DY5*DX316+DY6*DX316+DY7*DX316+DY8*DX316+DY9*DX316+DY10*DX316+DY11*DX316+DY12*DX316+DY13*DX316+DY14*DX316+DY15*DX316+DY16*DX316+DY17*DX316+DY18*DX316+DY19*DX316+DY20*DX316+DY21*DX316+DY22*DX316+DY23*DX316+DY24*DX316+DY25*DX316+DY26*DX316+DZ5*DX316+DZ6*DX316+DZ7*DX316+DZ8*DX316+DZ9*DX316+DZ10*DX316+DZ11*DX316+DZ12*DX316+DZ13*DX316+DZ14*DX316+DZ15*DX316+DZ16*DX316+DZ17*DX316+DZ18*DX316+DZ19*DX316+DZ20*DX316+DZ21*DX316+DZ22*DX316+DZ23*DX316+DZ24*DX316+DZ25*DX316+DZ26*DX316+EA5*DX316+EA6*DX316+EA7*DX316+EA8*DX316+EA9*DX316+EA10*DX316+EA11*DX316+EA12*DX316+EA13*DX316+EA14*DX316+EA15*DX316+EA16*DX316+EA17*DX316+EA18*DX316+EA19*DX316+EA20*DX316+EA21*DX316+EA22*DX316+EA23*DX316+EA24*DX316+EA25*DX316+EA26*DX316</f>
        <v>0</v>
      </c>
      <c r="DZ316" s="64"/>
      <c r="EA316" s="64"/>
      <c r="EC316" s="60">
        <v>6</v>
      </c>
      <c r="ED316" s="41">
        <f>ED5*EC316+ED6*EC316+ED7*EC316+ED8*EC316+ED9*EC316+ED10*EC316+ED11*EC316+ED12*EC316+ED13*EC316+ED14*EC316+ED15*EC316+ED16*EC316+ED17*EC316+ED18*EC316+ED19*EC316+ED20*EC316+ED21*EC316+ED22*EC316+ED23*EC316+ED24*EC316+ED25*EC316+ED26*EC316+EE5*EC316+EE6*EC316+EE7*EC316+EE8*EC316+EE9*EC316+EE10*EC316+EE11*EC316+EE12*EC316+EE13*EC316+EE14*EC316+EE15*EC316+EE16*EC316+EE17*EC316+EE18*EC316+EE19*EC316+EE20*EC316+EE21*EC316+EE22*EC316+EE23*EC316+EE24*EC316+EE25*EC316+EE26*EC316+EF5*EC316+EF6*EC316+EF7*EC316+EF8*EC316+EF9*EC316+EF10*EC316+EF11*EC316+EF12*EC316+EF13*EC316+EF14*EC316+EF15*EC316+EF16*EC316+EF17*EC316+EF18*EC316+EF19*EC316+EF20*EC316+EF21*EC316+EF22*EC316+EF23*EC316+EF24*EC316+EF25*EC316+EF26*EC316</f>
        <v>0</v>
      </c>
      <c r="EE316" s="64"/>
      <c r="EF316" s="64"/>
      <c r="EH316" s="60">
        <v>6</v>
      </c>
      <c r="EI316" s="41">
        <f>EI5*EH316+EI6*EH316+EI7*EH316+EI8*EH316+EI9*EH316+EI10*EH316+EI11*EH316+EI12*EH316+EI13*EH316+EI14*EH316+EI15*EH316+EI16*EH316+EI17*EH316+EI18*EH316+EI19*EH316+EI20*EH316+EI21*EH316+EI22*EH316+EI23*EH316+EI24*EH316+EI25*EH316+EI26*EH316+EJ5*EH316+EJ6*EH316+EJ7*EH316+EJ8*EH316+EJ9*EH316+EJ10*EH316+EJ11*EH316+EJ12*EH316+EJ13*EH316+EJ14*EH316+EJ15*EH316+EJ16*EH316+EJ17*EH316+EJ18*EH316+EJ19*EH316+EJ20*EH316+EJ21*EH316+EJ22*EH316+EJ23*EH316+EJ24*EH316+EJ25*EH316+EJ26*EH316+EK5*EH316+EK6*EH316+EK7*EH316+EK8*EH316+EK9*EH316+EK10*EH316+EK11*EH316+EK12*EH316+EK13*EH316+EK14*EH316+EK15*EH316+EK16*EH316+EK17*EH316+EK18*EH316+EK19*EH316+EK20*EH316+EK21*EH316+EK22*EH316+EK23*EH316+EK24*EH316+EK25*EH316+EK26*EH316</f>
        <v>0</v>
      </c>
      <c r="EJ316" s="64"/>
      <c r="EK316" s="64"/>
      <c r="ER316" s="855"/>
      <c r="EX316" s="203">
        <f t="shared" si="2"/>
        <v>0</v>
      </c>
    </row>
    <row r="317" spans="1:154" s="6" customFormat="1" ht="15" customHeight="1">
      <c r="A317" s="90" t="s">
        <v>219</v>
      </c>
      <c r="B317" s="210" t="s">
        <v>219</v>
      </c>
      <c r="C317" s="473" t="s">
        <v>515</v>
      </c>
      <c r="D317" s="154"/>
      <c r="E317" s="62"/>
      <c r="F317" s="41">
        <f>F5*E317+G5*E317+H5*E317</f>
        <v>0</v>
      </c>
      <c r="G317" s="41"/>
      <c r="H317" s="41"/>
      <c r="I317" s="2"/>
      <c r="J317" s="4"/>
      <c r="K317" s="4"/>
      <c r="L317" s="2"/>
      <c r="M317" s="2"/>
      <c r="N317" s="2"/>
      <c r="O317" s="2"/>
      <c r="P317" s="2"/>
      <c r="Q317" s="2"/>
      <c r="R317" s="40"/>
      <c r="S317" s="41"/>
      <c r="T317" s="140"/>
      <c r="U317" s="41"/>
      <c r="W317" s="40"/>
      <c r="X317" s="41"/>
      <c r="Y317" s="41"/>
      <c r="Z317" s="41"/>
      <c r="AB317" s="40"/>
      <c r="AC317" s="41"/>
      <c r="AD317" s="41"/>
      <c r="AE317" s="41"/>
      <c r="AG317" s="40"/>
      <c r="AH317" s="41"/>
      <c r="AI317" s="41"/>
      <c r="AJ317" s="41"/>
      <c r="AL317" s="40"/>
      <c r="AM317" s="41"/>
      <c r="AN317" s="41"/>
      <c r="AO317" s="41"/>
      <c r="AQ317" s="40"/>
      <c r="AR317" s="41"/>
      <c r="AS317" s="41"/>
      <c r="AT317" s="41"/>
      <c r="AV317" s="141">
        <v>1</v>
      </c>
      <c r="AW317" s="140">
        <f>SUM(AW5:AY5)*AV317</f>
        <v>0</v>
      </c>
      <c r="AX317" s="139"/>
      <c r="AY317" s="140"/>
      <c r="BA317" s="141"/>
      <c r="BB317" s="140"/>
      <c r="BC317" s="139"/>
      <c r="BD317" s="41"/>
      <c r="BF317" s="40"/>
      <c r="BG317" s="40"/>
      <c r="BH317" s="40"/>
      <c r="BI317" s="41"/>
      <c r="BK317" s="142"/>
      <c r="BL317" s="140">
        <f>BL5*BK317+BM5*BK317+BN5*BK317</f>
        <v>0</v>
      </c>
      <c r="BM317" s="40"/>
      <c r="BN317" s="41"/>
      <c r="BP317" s="62"/>
      <c r="BQ317" s="41">
        <f>BQ5*BP317+BR5*BP317+BS5*BP317</f>
        <v>0</v>
      </c>
      <c r="BR317" s="40"/>
      <c r="BS317" s="41"/>
      <c r="BU317" s="62"/>
      <c r="BV317" s="40"/>
      <c r="BW317" s="40"/>
      <c r="BX317" s="41"/>
      <c r="BZ317" s="40"/>
      <c r="CA317" s="40"/>
      <c r="CB317" s="40"/>
      <c r="CC317" s="41"/>
      <c r="CD317" s="140"/>
      <c r="CE317" s="40"/>
      <c r="CF317" s="40"/>
      <c r="CG317" s="40"/>
      <c r="CH317" s="41"/>
      <c r="CJ317" s="139"/>
      <c r="CK317" s="139"/>
      <c r="CL317" s="139"/>
      <c r="CM317" s="140"/>
      <c r="CO317" s="222"/>
      <c r="CP317" s="40"/>
      <c r="CQ317" s="40"/>
      <c r="CR317" s="41"/>
      <c r="CT317" s="62">
        <v>1</v>
      </c>
      <c r="CU317" s="40">
        <f>SUM(CU5:CW5)*CT317</f>
        <v>0</v>
      </c>
      <c r="CV317" s="40"/>
      <c r="CW317" s="41"/>
      <c r="CY317" s="62"/>
      <c r="CZ317" s="40"/>
      <c r="DA317" s="40"/>
      <c r="DB317" s="41"/>
      <c r="DD317" s="40"/>
      <c r="DE317" s="40"/>
      <c r="DF317" s="40"/>
      <c r="DG317" s="41"/>
      <c r="DI317" s="71">
        <v>1</v>
      </c>
      <c r="DJ317" s="64">
        <f>DJ5*DI317+DK5*DI317+DL5*DI317</f>
        <v>0</v>
      </c>
      <c r="DK317" s="64"/>
      <c r="DL317" s="64"/>
      <c r="DN317" s="71">
        <v>1</v>
      </c>
      <c r="DO317" s="64">
        <f>DO5*DN317+DP5*DN317+DQ5*DN317</f>
        <v>0</v>
      </c>
      <c r="DP317" s="64"/>
      <c r="DQ317" s="64"/>
      <c r="DS317" s="64"/>
      <c r="DT317" s="64">
        <f>DT5*DS317+DU5*DS317+DV5*DS317</f>
        <v>0</v>
      </c>
      <c r="DU317" s="64"/>
      <c r="DV317" s="64"/>
      <c r="DX317" s="64"/>
      <c r="DY317" s="64">
        <f>DY5*DX317+DZ5*DX317+EA5*DX317</f>
        <v>0</v>
      </c>
      <c r="DZ317" s="64"/>
      <c r="EA317" s="64"/>
      <c r="EC317" s="64"/>
      <c r="ED317" s="64">
        <f>ED5*EC317+EE5*EC317+EF5*EC317</f>
        <v>0</v>
      </c>
      <c r="EE317" s="64"/>
      <c r="EF317" s="64"/>
      <c r="EH317" s="64"/>
      <c r="EI317" s="64">
        <f>EI5*EH317+EJ5*EH317+EK5*EH317</f>
        <v>0</v>
      </c>
      <c r="EJ317" s="64"/>
      <c r="EK317" s="64"/>
      <c r="ER317" s="855"/>
      <c r="EX317" s="203">
        <f t="shared" si="2"/>
        <v>0</v>
      </c>
    </row>
    <row r="318" spans="1:154" s="6" customFormat="1" ht="15" customHeight="1">
      <c r="A318" s="90"/>
      <c r="B318" s="210" t="s">
        <v>509</v>
      </c>
      <c r="C318" s="473" t="s">
        <v>515</v>
      </c>
      <c r="D318" s="154"/>
      <c r="E318" s="62"/>
      <c r="F318" s="41"/>
      <c r="G318" s="41"/>
      <c r="H318" s="41"/>
      <c r="I318" s="2"/>
      <c r="J318" s="4"/>
      <c r="K318" s="4"/>
      <c r="L318" s="2"/>
      <c r="M318" s="2"/>
      <c r="N318" s="2"/>
      <c r="O318" s="2"/>
      <c r="P318" s="2"/>
      <c r="Q318" s="2"/>
      <c r="R318" s="40"/>
      <c r="S318" s="41"/>
      <c r="T318" s="140"/>
      <c r="U318" s="41"/>
      <c r="W318" s="40"/>
      <c r="X318" s="41"/>
      <c r="Y318" s="41"/>
      <c r="Z318" s="41"/>
      <c r="AB318" s="40"/>
      <c r="AC318" s="41"/>
      <c r="AD318" s="41"/>
      <c r="AE318" s="41"/>
      <c r="AG318" s="40"/>
      <c r="AH318" s="41"/>
      <c r="AI318" s="41"/>
      <c r="AJ318" s="41"/>
      <c r="AL318" s="40"/>
      <c r="AM318" s="41"/>
      <c r="AN318" s="41"/>
      <c r="AO318" s="41"/>
      <c r="AQ318" s="40"/>
      <c r="AR318" s="41"/>
      <c r="AS318" s="41"/>
      <c r="AT318" s="41"/>
      <c r="AV318" s="141"/>
      <c r="AW318" s="140"/>
      <c r="AX318" s="139"/>
      <c r="AY318" s="140"/>
      <c r="BA318" s="141"/>
      <c r="BB318" s="140"/>
      <c r="BC318" s="139"/>
      <c r="BD318" s="41"/>
      <c r="BF318" s="40"/>
      <c r="BG318" s="40"/>
      <c r="BH318" s="40"/>
      <c r="BI318" s="41"/>
      <c r="BK318" s="142"/>
      <c r="BL318" s="140"/>
      <c r="BM318" s="40"/>
      <c r="BN318" s="41"/>
      <c r="BP318" s="62"/>
      <c r="BQ318" s="41"/>
      <c r="BR318" s="40"/>
      <c r="BS318" s="41"/>
      <c r="BU318" s="62"/>
      <c r="BV318" s="40"/>
      <c r="BW318" s="40"/>
      <c r="BX318" s="41"/>
      <c r="BZ318" s="40"/>
      <c r="CA318" s="40"/>
      <c r="CB318" s="40"/>
      <c r="CC318" s="41"/>
      <c r="CD318" s="140"/>
      <c r="CE318" s="40"/>
      <c r="CF318" s="40"/>
      <c r="CG318" s="40"/>
      <c r="CH318" s="41"/>
      <c r="CJ318" s="139"/>
      <c r="CK318" s="139"/>
      <c r="CL318" s="139"/>
      <c r="CM318" s="140"/>
      <c r="CO318" s="222"/>
      <c r="CP318" s="40"/>
      <c r="CQ318" s="40"/>
      <c r="CR318" s="41"/>
      <c r="CT318" s="62"/>
      <c r="CU318" s="40"/>
      <c r="CV318" s="40"/>
      <c r="CW318" s="41"/>
      <c r="CY318" s="62"/>
      <c r="CZ318" s="40"/>
      <c r="DA318" s="40"/>
      <c r="DB318" s="41"/>
      <c r="DD318" s="40"/>
      <c r="DE318" s="40"/>
      <c r="DF318" s="40"/>
      <c r="DG318" s="41"/>
      <c r="DI318" s="71"/>
      <c r="DJ318" s="64"/>
      <c r="DK318" s="64"/>
      <c r="DL318" s="64"/>
      <c r="DN318" s="71"/>
      <c r="DO318" s="64"/>
      <c r="DP318" s="64"/>
      <c r="DQ318" s="64"/>
      <c r="DS318" s="64"/>
      <c r="DT318" s="64"/>
      <c r="DU318" s="64"/>
      <c r="DV318" s="64"/>
      <c r="DX318" s="64"/>
      <c r="DY318" s="64"/>
      <c r="DZ318" s="64"/>
      <c r="EA318" s="64"/>
      <c r="EC318" s="64"/>
      <c r="ED318" s="64"/>
      <c r="EE318" s="64"/>
      <c r="EF318" s="64"/>
      <c r="EH318" s="64"/>
      <c r="EI318" s="64"/>
      <c r="EJ318" s="64"/>
      <c r="EK318" s="64"/>
      <c r="ER318" s="855"/>
      <c r="EX318" s="203">
        <f t="shared" si="2"/>
        <v>0</v>
      </c>
    </row>
    <row r="319" spans="1:154" s="6" customFormat="1" ht="15" customHeight="1">
      <c r="A319" s="90" t="s">
        <v>25</v>
      </c>
      <c r="B319" s="210" t="s">
        <v>25</v>
      </c>
      <c r="C319" s="473" t="s">
        <v>515</v>
      </c>
      <c r="D319" s="138"/>
      <c r="E319" s="62">
        <v>1</v>
      </c>
      <c r="F319" s="41">
        <f>F5*E319+F6*E319+F7*E319+F9*E319+F10*E319+F11*E319+F13*E319+F14*E319+G5*E319+G6*E319+G7*E319+G9*E319+G10*E319+G11*E319+G13*E319+G14*E319+H5*E319+H6*E319+H7*E319+H9*E319+H10*E319+H11*E319+H13*E319+H14*E319</f>
        <v>0</v>
      </c>
      <c r="G319" s="41"/>
      <c r="H319" s="41"/>
      <c r="I319" s="4"/>
      <c r="J319" s="4">
        <v>1</v>
      </c>
      <c r="K319" s="658">
        <f>SUM(K5:K6,K9:K10,K13)*J319</f>
        <v>0</v>
      </c>
      <c r="L319" s="138"/>
      <c r="M319" s="4">
        <v>9</v>
      </c>
      <c r="N319" s="661">
        <f>SUM(N5:N6,O5:O6,P5:P6,N9:N10,O9:O10,P9:P10,N13,O13,P13)*M319</f>
        <v>0</v>
      </c>
      <c r="O319" s="4"/>
      <c r="P319" s="4"/>
      <c r="Q319" s="4"/>
      <c r="R319" s="40"/>
      <c r="S319" s="41"/>
      <c r="T319" s="140"/>
      <c r="U319" s="41"/>
      <c r="W319" s="46">
        <v>2</v>
      </c>
      <c r="X319" s="41">
        <f>X5*W319+Y5*W319+X9*W319+Y9*W319+Z5*W319+Z9*W319</f>
        <v>0</v>
      </c>
      <c r="Y319" s="41"/>
      <c r="Z319" s="41"/>
      <c r="AB319" s="5">
        <v>2</v>
      </c>
      <c r="AC319" s="5">
        <f>SUM(AC5:AE5,AC9:AE9)*AB319</f>
        <v>0</v>
      </c>
      <c r="AD319" s="41"/>
      <c r="AE319" s="41"/>
      <c r="AG319" s="49">
        <v>2</v>
      </c>
      <c r="AH319" s="41">
        <f>AH5*3+AI5*3+AH7*AG319+AI7*AG319+AH9*3+AI9*3+AH6*AG319+AI6*AG319+AH10*AG319+AI10*AG319+AH11*AG319+AI11*AG319+AH13*AG319+AI13*AG319+AH14*AG319+AI14*AG319+AJ9*3+AJ6*AG319+AJ5*3+AJ7*AG319+AJ10*AG319+AJ11*AG319+AJ13*AG319+AJ14*AG319</f>
        <v>0</v>
      </c>
      <c r="AI319" s="41"/>
      <c r="AJ319" s="41"/>
      <c r="AL319" s="49">
        <v>4</v>
      </c>
      <c r="AM319" s="41">
        <f>AM5*6+AN5*6+AM7*AL319+AN7*AL319+AM9*6+AN9*6+AM6*AL319+AN6*AL319+AM10*AL319+AN10*AL319+AM11*AL319+AN11*AL319+AM13*AL319+AN13*AL319+AM14*AL319+AN14*AL319+AO9*6+AO6*AL319+AO5*6+AO7*AL319+AO10*AL319+AO11*AL319+AO13*AL319+AO14*AL319</f>
        <v>0</v>
      </c>
      <c r="AN319" s="41"/>
      <c r="AO319" s="41"/>
      <c r="AQ319" s="49">
        <v>2</v>
      </c>
      <c r="AR319" s="41">
        <f>AR5*3+AS5*3+AR7*AQ319+AS7*AQ319+AR9*3+AS9*3+AR6*AQ319+AS6*AQ319+AR10*AQ319+AS10*AQ319+AR11*AQ319+AS11*AQ319+AR13*AQ319+AS13*AQ319+AR14*AQ319+AS14*AQ319+AT9*3+AT6*AQ319+AT5*3+AT7*AQ319+AT10*AQ319+AT11*AQ319+AT13*AQ319+AT14*AQ319</f>
        <v>0</v>
      </c>
      <c r="AS319" s="41"/>
      <c r="AT319" s="41"/>
      <c r="AV319" s="141">
        <v>1</v>
      </c>
      <c r="AW319" s="140">
        <f>SUM(AW6:AY15)*AV319</f>
        <v>0</v>
      </c>
      <c r="AX319" s="139"/>
      <c r="AY319" s="140"/>
      <c r="BA319" s="141">
        <v>1</v>
      </c>
      <c r="BB319" s="140">
        <f>BB5*BA319+BC5*BA319+BD5*BA319</f>
        <v>0</v>
      </c>
      <c r="BC319" s="139"/>
      <c r="BD319" s="41"/>
      <c r="BF319" s="60">
        <v>1</v>
      </c>
      <c r="BG319" s="41">
        <f>SUM(BG5:BI5,BG9:BI9)*BF319</f>
        <v>0</v>
      </c>
      <c r="BH319" s="40"/>
      <c r="BI319" s="41"/>
      <c r="BK319" s="142"/>
      <c r="BL319" s="140"/>
      <c r="BM319" s="40"/>
      <c r="BN319" s="41"/>
      <c r="BP319" s="62">
        <v>1</v>
      </c>
      <c r="BQ319" s="41">
        <f>BQ5*BP319+BQ6*BP319+BQ7*BP319+BQ9*BP319+BQ10*BP319+BQ11*BP319+BQ13*BP319+BQ14*BP319+BR5*BP319+BR6*BP319+BR7*BP319+BR9*BP319+BR10*BP319+BR11*BP319+BR13*BP319+BR14*BP319+BS5*BP319+BS6*BP319+BS7*BP319+BS9*BP319+BS10*BP319+BS11*BP319+BS13*BP319+BS14*BP319</f>
        <v>0</v>
      </c>
      <c r="BR319" s="40"/>
      <c r="BS319" s="41"/>
      <c r="BU319" s="62"/>
      <c r="BV319" s="41"/>
      <c r="BW319" s="40"/>
      <c r="BX319" s="41"/>
      <c r="BZ319" s="61">
        <v>1</v>
      </c>
      <c r="CA319" s="41">
        <f>SUM(CA5:CC5,CA9:CC9)*BZ319</f>
        <v>0</v>
      </c>
      <c r="CB319" s="40"/>
      <c r="CC319" s="41"/>
      <c r="CD319" s="140"/>
      <c r="CE319" s="61">
        <v>1</v>
      </c>
      <c r="CF319" s="41">
        <f>SUM(CF5:CH5,CF9:CH9)*CE319</f>
        <v>0</v>
      </c>
      <c r="CG319" s="40"/>
      <c r="CH319" s="41"/>
      <c r="CJ319" s="141">
        <v>0</v>
      </c>
      <c r="CK319" s="140">
        <f>CK5*CJ319+CL5*CJ319+CK9*CJ319+CL9*CJ319+CM5*CJ319+CM9*CJ319</f>
        <v>0</v>
      </c>
      <c r="CL319" s="139"/>
      <c r="CM319" s="140"/>
      <c r="CO319" s="223">
        <v>1</v>
      </c>
      <c r="CP319" s="41">
        <f>CP5*CO319+CQ5*CO319+CP9*CO319+CQ9*CO319+CR5*CO319+CR9*CO319</f>
        <v>0</v>
      </c>
      <c r="CQ319" s="40"/>
      <c r="CR319" s="41"/>
      <c r="CT319" s="62">
        <v>1</v>
      </c>
      <c r="CU319" s="41">
        <f>CU5*CT319+CV5*CT319+CU9*CT319+CV9*CT319+CW5*CT319+CW9*CT319</f>
        <v>0</v>
      </c>
      <c r="CV319" s="40"/>
      <c r="CW319" s="41"/>
      <c r="CY319" s="62"/>
      <c r="CZ319" s="41"/>
      <c r="DA319" s="40"/>
      <c r="DB319" s="41"/>
      <c r="DD319" s="46">
        <v>1</v>
      </c>
      <c r="DE319" s="41">
        <f>DE5*DD319+DF5*DD319+DE9*DD319+DF9*DD319+DG5*DD319+DG9*DD319</f>
        <v>0</v>
      </c>
      <c r="DF319" s="40"/>
      <c r="DG319" s="41"/>
      <c r="DI319" s="71">
        <v>1</v>
      </c>
      <c r="DJ319" s="41">
        <f>DJ5*DI319+DK5*DI319+DJ9*2+DK9*2+DL5*DI319+DL9*2+DJ6*DI319+DK6*DI319+DL6*DI319+DJ7*DI319+DK7*DI319+DL7*DI319+DJ10*DI319+DJ11*DI319+DJ13*DI319+DJ14*DI319+DK10*DI319+DK11*DI319+DK13*DI319+DK14*DI319+DL10*DI319+DL11*DI319+DL13*DI319+DL14*DI319</f>
        <v>0</v>
      </c>
      <c r="DK319" s="64"/>
      <c r="DL319" s="64"/>
      <c r="DN319" s="71">
        <v>1</v>
      </c>
      <c r="DO319" s="41">
        <f>DO5*DN319+DP5*DN319+DO9*2+DP9*2+DQ5*DN319+DQ9*2+DO6*DN319+DP6*DN319+DQ6*DN319+DO7*DN319+DP7*DN319+DQ7*DN319+DO10*DN319+DO11*DN319+DO13*DN319+DO14*DN319+DP10*DN319+DP11*DN319+DP13*DN319+DP14*DN319+DQ10*DN319+DQ11*DN319+DQ13*DN319+DQ14*DN319</f>
        <v>0</v>
      </c>
      <c r="DP319" s="64"/>
      <c r="DQ319" s="64"/>
      <c r="DS319" s="60">
        <v>2</v>
      </c>
      <c r="DT319" s="41">
        <f>DT5*DS319+DU5*DS319+DT9*DS319+DU9*DS319+DV5*DS319+DV9*DS319</f>
        <v>0</v>
      </c>
      <c r="DU319" s="64"/>
      <c r="DV319" s="64"/>
      <c r="DX319" s="60">
        <v>2</v>
      </c>
      <c r="DY319" s="41">
        <f>DY5*DX319+DZ5*DX319+DY9*DX319+DZ9*DX319+EA5*DX319+EA9*DX319</f>
        <v>0</v>
      </c>
      <c r="DZ319" s="64"/>
      <c r="EA319" s="64"/>
      <c r="EC319" s="60">
        <v>2</v>
      </c>
      <c r="ED319" s="41">
        <f>ED5*EC319+EE5*EC319+ED9*EC319+EE9*EC319+EF5*EC319+EF9*EC319</f>
        <v>0</v>
      </c>
      <c r="EE319" s="64"/>
      <c r="EF319" s="64"/>
      <c r="EH319" s="60">
        <v>2</v>
      </c>
      <c r="EI319" s="41">
        <f>EI5*EH319+EJ5*EH319+EI9*EH319+EJ9*EH319+EK5*EH319+EK9*EH319</f>
        <v>0</v>
      </c>
      <c r="EJ319" s="64"/>
      <c r="EK319" s="64"/>
      <c r="ER319" s="855"/>
      <c r="EX319" s="203">
        <f t="shared" si="2"/>
        <v>0</v>
      </c>
    </row>
    <row r="320" spans="1:154" s="6" customFormat="1" ht="15" customHeight="1">
      <c r="A320" s="90" t="s">
        <v>26</v>
      </c>
      <c r="B320" s="210" t="s">
        <v>26</v>
      </c>
      <c r="C320" s="473" t="s">
        <v>515</v>
      </c>
      <c r="D320" s="138"/>
      <c r="E320" s="62">
        <v>1</v>
      </c>
      <c r="F320" s="41">
        <f>SUM(F5:H5,F9:H9)*E320</f>
        <v>0</v>
      </c>
      <c r="G320" s="41"/>
      <c r="H320" s="41"/>
      <c r="I320" s="4"/>
      <c r="J320" s="4">
        <v>1</v>
      </c>
      <c r="K320" s="658">
        <f>SUM(K7,K11,K14)*J320</f>
        <v>0</v>
      </c>
      <c r="L320" s="138"/>
      <c r="M320" s="4">
        <v>9</v>
      </c>
      <c r="N320" s="661">
        <f>SUM(N7:P7,N11:P11,N14:P14)*M320</f>
        <v>0</v>
      </c>
      <c r="O320" s="4"/>
      <c r="P320" s="4"/>
      <c r="Q320" s="4"/>
      <c r="R320" s="40"/>
      <c r="S320" s="41"/>
      <c r="T320" s="140"/>
      <c r="U320" s="41"/>
      <c r="W320" s="46">
        <v>2</v>
      </c>
      <c r="X320" s="41">
        <f>X6*W320+Y6*W320+X7*W320+Y7*W320+X8*W320+Y8*W320+X10*W320+Y10*W320+X11*W320+Y11*W320+X12*W320+X13*W320+Y13*W320+Y12*W320+X14*W320+Y14*W320+X15*W320+Y15*W320+Z6*W320+Z7*W320+Z8*W320+Z10*W320+Z11*W320+Z12*W320+Z13*W320+Z14*W320+Z15*W320</f>
        <v>0</v>
      </c>
      <c r="Y320" s="41"/>
      <c r="Z320" s="41"/>
      <c r="AB320" s="5">
        <v>2</v>
      </c>
      <c r="AC320" s="5">
        <f>SUM(AC5:AE5,AC9:AE9,AC8:AE8,AC12:AE12,AC15:AE15)*AB320</f>
        <v>0</v>
      </c>
      <c r="AD320" s="41"/>
      <c r="AE320" s="41"/>
      <c r="AG320" s="49">
        <v>1</v>
      </c>
      <c r="AH320" s="41">
        <f>AH6*AG320+AI6*AG320+AH8*2+AI8*AG320+AH10*AG320+AI10*AG320+AH7*AG320+AI7*AG320+AH11*AG320+AI11*AG320+AH12*2+AI12*AG320+AH14*AG320+AI14*AG320+AH15*2+AI15*2+AJ10*AG320+AJ7*AG320+AJ6*AG320+AJ8*2+AJ11*AG320+AJ12*AG320+AJ14*AG320+AJ15*2+AH13*AG320+AI13*AG320+AJ13*AG320</f>
        <v>0</v>
      </c>
      <c r="AI320" s="41"/>
      <c r="AJ320" s="41"/>
      <c r="AL320" s="49">
        <v>2</v>
      </c>
      <c r="AM320" s="41">
        <f>AM6*AL320+AN6*AL320+AM8*4+AN8*AL320+AM10*AL320+AN10*AL320+AM7*AL320+AN7*AL320+AM11*AL320+AN11*AL320+AM12*4+AN12*AL320+AM14*AL320+AN14*AL320+AM15*4+AN15*4+AO10*AL320+AO7*AL320+AO6*AL320+AO8*4+AO11*AL320+AO12*AL320+AO14*AL320+AO15*4+AM13*AL320+AN13*AL320+AO13*AL320</f>
        <v>0</v>
      </c>
      <c r="AN320" s="41"/>
      <c r="AO320" s="41"/>
      <c r="AQ320" s="49">
        <v>1</v>
      </c>
      <c r="AR320" s="41">
        <f>AR6*AQ320+AS6*AQ320+AR8*2+AS8*AQ320+AR10*AQ320+AS10*AQ320+AR7*AQ320+AS7*AQ320+AR11*AQ320+AS11*AQ320+AR12*2+AS12*AQ320+AR14*AQ320+AS14*AQ320+AR15*2+AS15*2+AT10*AQ320+AT7*AQ320+AT6*AQ320+AT8*2+AT11*AQ320+AT12*AQ320+AT14*AQ320+AT15*2+AR13*AQ320+AS13*AQ320+AT13*AQ320</f>
        <v>0</v>
      </c>
      <c r="AS320" s="41"/>
      <c r="AT320" s="41"/>
      <c r="AV320" s="51">
        <v>1</v>
      </c>
      <c r="AW320" s="140">
        <f>SUM(AW5:AY5,AW6:AY6,AW7:AY7,AW9:AY9,AW10:AY10,AW11:AY11,AW13:AY13,AW14:AY14)*AV320</f>
        <v>0</v>
      </c>
      <c r="AX320" s="139"/>
      <c r="AY320" s="140"/>
      <c r="BA320" s="51">
        <v>1</v>
      </c>
      <c r="BB320" s="140">
        <f>SUM(BB6:BB8,BC6:BC8,BD6:BD8,BB10:BB15,BC10:BC15,BD10:BD15)*BA320</f>
        <v>0</v>
      </c>
      <c r="BC320" s="139"/>
      <c r="BD320" s="41"/>
      <c r="BF320" s="60">
        <v>1</v>
      </c>
      <c r="BG320" s="41">
        <f>SUM(BG6:BG8,BH6:BH8,BI6:BI8,BG10:BG15,BH10:BH15,BI10:BI15)*BF320</f>
        <v>0</v>
      </c>
      <c r="BH320" s="40"/>
      <c r="BI320" s="41"/>
      <c r="BK320" s="142">
        <v>1</v>
      </c>
      <c r="BL320" s="41">
        <f>SUM(BL5:BN5,BL9:BN9)*BK320</f>
        <v>0</v>
      </c>
      <c r="BM320" s="40"/>
      <c r="BN320" s="41"/>
      <c r="BP320" s="62">
        <v>1</v>
      </c>
      <c r="BQ320" s="41">
        <f>SUM(BQ5:BS5,BQ9:BS9)*BP320</f>
        <v>0</v>
      </c>
      <c r="BR320" s="40"/>
      <c r="BS320" s="41"/>
      <c r="BU320" s="62"/>
      <c r="BV320" s="41"/>
      <c r="BW320" s="40"/>
      <c r="BX320" s="41"/>
      <c r="BZ320" s="61" t="s">
        <v>155</v>
      </c>
      <c r="CA320" s="41">
        <f>SUM(CA5:CC5,CA8:CC8,CA9:CC9,CA12:CC12,CA15:CC15)*1+SUM(CA6:CC6,CA7:CC7,CA10:CC10,CA11:CC11,CA13:CC13,CA14:CC14)*2</f>
        <v>0</v>
      </c>
      <c r="CB320" s="40"/>
      <c r="CC320" s="41"/>
      <c r="CD320" s="140"/>
      <c r="CE320" s="61" t="s">
        <v>155</v>
      </c>
      <c r="CF320" s="41">
        <f>SUM(CF5:CH5,CF8:CH8,CF9:CH9,CF12:CH12,CF15:CH15)*1+SUM(CF6:CH6,CF7:CH7,CF10:CH10,CF11:CH11,CF13:CH13,CF14:CH14)*2</f>
        <v>0</v>
      </c>
      <c r="CG320" s="40"/>
      <c r="CH320" s="41"/>
      <c r="CJ320" s="141">
        <v>0</v>
      </c>
      <c r="CK320" s="140">
        <f>CK6*CJ320+CL6*CJ320+CK7*CJ320+CL7*CJ320+CK8*CJ320+CL8*CJ320+CK10*CJ320+CL10*CJ320+CK11*CJ320+CL11*CJ320+CK12*CJ320+CK13*CJ320+CL13*CJ320+CL12*CJ320+CK14*CJ320+CL14*CJ320+CK15*CJ320+CL15*CJ320+CM6*CJ320+CM7*CJ320+CM8*CJ320+CM10*CJ320+CM11*CJ320+CM12*CJ320+CM13*CJ320+CM14*CJ320+CM15*CJ320</f>
        <v>0</v>
      </c>
      <c r="CL320" s="139"/>
      <c r="CM320" s="140"/>
      <c r="CO320" s="223">
        <v>1</v>
      </c>
      <c r="CP320" s="41">
        <f>CP6*CO320+CQ6*CO320+CP7*CO320+CQ7*CO320+CP8*CO320+CQ8*CO320+CP10*CO320+CQ10*CO320+CP11*CO320+CQ11*CO320+CP12*CO320+CP13*CO320+CQ13*CO320+CQ12*CO320+CP14*CO320+CQ14*CO320+CP15*CO320+CQ15*CO320+CR6*CO320+CR7*CO320+CR8*CO320+CR10*CO320+CR11*CO320+CR12*CO320+CR13*CO320+CR14*CO320+CR15*CO320</f>
        <v>0</v>
      </c>
      <c r="CQ320" s="40"/>
      <c r="CR320" s="41"/>
      <c r="CT320" s="62">
        <v>2</v>
      </c>
      <c r="CU320" s="41">
        <f>SUM(CU5:CU26,CV5:CV26,CW5:CW26)*CT320</f>
        <v>0</v>
      </c>
      <c r="CV320" s="40"/>
      <c r="CW320" s="41"/>
      <c r="CY320" s="62">
        <v>1</v>
      </c>
      <c r="CZ320" s="41">
        <f>SUM(CZ5:CZ7,CZ9:CZ11,CZ13:CZ14,DA5:DA7,DA9:DA11,DA13:DA14,DB5:DB7,DB9:DB11,DB13:DB14)*CY320</f>
        <v>0</v>
      </c>
      <c r="DA320" s="40"/>
      <c r="DB320" s="41"/>
      <c r="DD320" s="46">
        <v>1</v>
      </c>
      <c r="DE320" s="41">
        <f>DE6*DD320+DF6*DD320+DE7*DD320+DF7*DD320+DE8*DD320+DF8*DD320+DE10*DD320+DF10*DD320+DE11*DD320+DF11*DD320+DE12*DD320+DE13*DD320+DF13*DD320+DF12*DD320+DE14*DD320+DF14*DD320+DE15*DD320+DF15*DD320+DG6*DD320+DG7*DD320+DG8*DD320+DG10*DD320+DG11*DD320+DG12*DD320+DG13*DD320+DG14*DD320+DG15*DD320</f>
        <v>0</v>
      </c>
      <c r="DF320" s="40"/>
      <c r="DG320" s="41"/>
      <c r="DI320" s="71">
        <v>2</v>
      </c>
      <c r="DJ320" s="41">
        <f>DJ5*6+DK5*6+DL5*6+DJ6*DI320+DJ7*DI320+DJ10*DI320+DJ11*DI320+DJ13*DI320+DJ14*DI320+DK6*DI320+DK7*DI320+DK10*DI320+DK11*DI320+DK13*DI320+DK14*DI320+DL6*DI320+DL7*DI320+DL10*DI320+DL11*DI320+DL13*DI320+DL14*DI320+DJ9*5+DK9*5+DL9*9+DJ8*1+DJ15*1+DJ12*1+DK8*1+DK15*1+DK12*1+DL8*1+DL15*1+DL12*1</f>
        <v>0</v>
      </c>
      <c r="DK320" s="64"/>
      <c r="DL320" s="64"/>
      <c r="DN320" s="71">
        <v>2</v>
      </c>
      <c r="DO320" s="41">
        <f>DO5*6+DP5*6+DQ5*6+DO6*DN320+DO7*DN320+DO10*DN320+DO11*DN320+DO13*DN320+DO14*DN320+DP6*DN320+DP7*DN320+DP10*DN320+DP11*DN320+DP13*DN320+DP14*DN320+DQ6*DN320+DQ7*DN320+DQ10*DN320+DQ11*DN320+DQ13*DN320+DQ14*DN320+DO9*5+DP9*5+DQ9*9+DO8*1+DO15*1+DO12*1+DP8*1+DP15*1+DP12*1+DQ8*1+DQ15*1+DQ12*1</f>
        <v>0</v>
      </c>
      <c r="DP320" s="64"/>
      <c r="DQ320" s="64"/>
      <c r="DS320" s="60">
        <v>5</v>
      </c>
      <c r="DT320" s="41">
        <f>DT5*5+DU5*5+DV5*5+DT9*5+DU9*5+DV9*5+DT6*DS320+DU6*DS320+DV6*DS320+DT7*DS320+DU7*DS320+DV7*DS320+DT10*DS320+DU10*DS320+DV10*DS320+DT11*DS320+DU11*DS320+DV11*DS320+DT13*DS320+DU13*DS320+DV13*DS320+DT14*DS320+DU14*DS320+DV14*DS320+DT12*1+DU12*1+DV12*1+DT15*1+DU15*1+DV15*1+DT8*1+DU8*1+DV8*1</f>
        <v>0</v>
      </c>
      <c r="DU320" s="64"/>
      <c r="DV320" s="64"/>
      <c r="DX320" s="60">
        <v>5</v>
      </c>
      <c r="DY320" s="41">
        <f>DY5*5+DZ5*5+EA5*5+DY9*5+DZ9*5+EA9*5+DY6*DX320+DZ6*DX320+EA6*DX320+DY7*DX320+DZ7*DX320+EA7*DX320+DY10*DX320+DZ10*DX320+EA10*DX320+DY11*DX320+DZ11*DX320+EA11*DX320+DY13*DX320+DZ13*DX320+EA13*DX320+DY14*DX320+DZ14*DX320+EA14*DX320+DY12*1+DZ12*1+EA12*1+DY15*1+DZ15*1+EA15*1+DY8*1+DZ8*1+EA8*1</f>
        <v>0</v>
      </c>
      <c r="DZ320" s="64"/>
      <c r="EA320" s="64"/>
      <c r="EC320" s="60">
        <v>5</v>
      </c>
      <c r="ED320" s="41">
        <f>ED5*5+EE5*5+EF5*5+ED9*5+EE9*5+EF9*5+ED6*EC320+EE6*EC320+EF6*EC320+ED7*EC320+EE7*EC320+EF7*EC320+ED10*EC320+EE10*EC320+EF10*EC320+ED11*EC320+EE11*EC320+EF11*EC320+ED13*EC320+EE13*EC320+EF13*EC320+ED14*EC320+EE14*EC320+EF14*EC320+ED12*1+EE12*1+EF12*1+ED15*1+EE15*1+EF15*1+ED8*1+EE8*1+EF8*1</f>
        <v>0</v>
      </c>
      <c r="EE320" s="64"/>
      <c r="EF320" s="64"/>
      <c r="EH320" s="60">
        <v>5</v>
      </c>
      <c r="EI320" s="41">
        <f>EI5*5+EJ5*5+EK5*5+EI9*5+EJ9*5+EK9*5+EI6*EH320+EJ6*EH320+EK6*EH320+EI7*EH320+EJ7*EH320+EK7*EH320+EI10*EH320+EJ10*EH320+EK10*EH320+EI11*EH320+EJ11*EH320+EK11*EH320+EI13*EH320+EJ13*EH320+EK13*EH320+EI14*EH320+EJ14*EH320+EK14*EH320+EI12*1+EJ12*1+EK12*1+EI15*1+EJ15*1+EK15*1+EI8*1+EJ8*1+EK8*1</f>
        <v>0</v>
      </c>
      <c r="EJ320" s="64"/>
      <c r="EK320" s="64"/>
      <c r="ER320" s="855"/>
      <c r="EX320" s="203">
        <f t="shared" si="2"/>
        <v>0</v>
      </c>
    </row>
    <row r="321" spans="1:155" s="6" customFormat="1" ht="15" customHeight="1">
      <c r="A321" s="90" t="s">
        <v>27</v>
      </c>
      <c r="B321" s="210" t="s">
        <v>27</v>
      </c>
      <c r="C321" s="473" t="s">
        <v>515</v>
      </c>
      <c r="D321" s="138"/>
      <c r="E321" s="62"/>
      <c r="F321" s="41">
        <f>SUM(F6:F8,G6:G8,H6:H8,F10:F15,G10:G15,H10:H15)*E321</f>
        <v>0</v>
      </c>
      <c r="G321" s="41"/>
      <c r="H321" s="41"/>
      <c r="I321" s="4"/>
      <c r="J321" s="4">
        <v>1</v>
      </c>
      <c r="K321" s="661">
        <f>SUM(K8,K12,K15)*J321</f>
        <v>0</v>
      </c>
      <c r="L321" s="138"/>
      <c r="M321" s="4">
        <v>9</v>
      </c>
      <c r="N321" s="661">
        <f>SUM(N8:P8,N12:P12,N15:P15)*M321</f>
        <v>0</v>
      </c>
      <c r="O321" s="4"/>
      <c r="P321" s="4"/>
      <c r="Q321" s="4"/>
      <c r="R321" s="40"/>
      <c r="S321" s="41"/>
      <c r="T321" s="140"/>
      <c r="U321" s="41"/>
      <c r="W321" s="40"/>
      <c r="X321" s="41"/>
      <c r="Y321" s="41"/>
      <c r="Z321" s="41"/>
      <c r="AB321" s="5">
        <v>2</v>
      </c>
      <c r="AC321" s="5">
        <f>SUM(AC6:AE7,AC10:AE11,AC13:AE14)*AB321</f>
        <v>0</v>
      </c>
      <c r="AD321" s="41"/>
      <c r="AE321" s="41"/>
      <c r="AG321" s="49">
        <v>1</v>
      </c>
      <c r="AH321" s="41">
        <f>AH8*AG321+AI8*AG321+AJ8*AG321+AH12*AG321+AI12*AG321+AH15*AG321+AI15*AG321+AJ12*AG321+AI12*AG321+AJ15*AG321</f>
        <v>0</v>
      </c>
      <c r="AI321" s="41"/>
      <c r="AJ321" s="41"/>
      <c r="AL321" s="49">
        <v>2</v>
      </c>
      <c r="AM321" s="41">
        <f>AM8*AL321+AN8*AL321+AO8*AL321+AM12*AL321+AN12*AL321+AM15*AL321+AN15*AL321+AO12*AL321+AN12*AL321+AO15*AL321</f>
        <v>0</v>
      </c>
      <c r="AN321" s="41"/>
      <c r="AO321" s="41"/>
      <c r="AQ321" s="49">
        <v>1</v>
      </c>
      <c r="AR321" s="41">
        <f>AR8*AQ321+AS8*AQ321+AT8*AQ321+AR12*AQ321+AS12*AQ321+AR15*AQ321+AS15*AQ321+AT12*AQ321+AS12*AQ321+AT15*AQ321</f>
        <v>0</v>
      </c>
      <c r="AS321" s="41"/>
      <c r="AT321" s="41"/>
      <c r="AV321" s="51">
        <v>1</v>
      </c>
      <c r="AW321" s="140">
        <f>SUM(AW12:AY12,AW15:AY15,AW8:AY8)*AV321</f>
        <v>0</v>
      </c>
      <c r="AX321" s="139"/>
      <c r="AY321" s="140"/>
      <c r="BA321" s="51">
        <v>1</v>
      </c>
      <c r="BB321" s="140">
        <f>SUM(BB5:BB7,BC5:BC7,BD5:BD7,BB9:BB11,BC9:BC11,BD9:BD11,BB13:BB14,BC13:BC14,BD13:BD14)*BA322</f>
        <v>0</v>
      </c>
      <c r="BC321" s="139"/>
      <c r="BD321" s="41"/>
      <c r="BF321" s="49"/>
      <c r="BG321" s="41"/>
      <c r="BH321" s="40"/>
      <c r="BI321" s="41"/>
      <c r="BK321" s="142">
        <v>1</v>
      </c>
      <c r="BL321" s="41">
        <f>SUM(BL6:BL8,BM6:BM8,BN6:BN8,BL10:BL15,BM10:BM15,BN10:BN15)*BK321</f>
        <v>0</v>
      </c>
      <c r="BM321" s="40"/>
      <c r="BN321" s="41"/>
      <c r="BP321" s="62"/>
      <c r="BQ321" s="41">
        <f>SUM(BQ6:BQ8,BR6:BR8,BS6:BS8,BQ10:BQ15,BR10:BR15,BS10:BS15)*BP321</f>
        <v>0</v>
      </c>
      <c r="BR321" s="40"/>
      <c r="BS321" s="41"/>
      <c r="BU321" s="62"/>
      <c r="BV321" s="41"/>
      <c r="BW321" s="40"/>
      <c r="BX321" s="41"/>
      <c r="BZ321" s="49">
        <v>1</v>
      </c>
      <c r="CA321" s="41">
        <f>SUM(CA8:CC8,CA12:CC12,CA15:CC15)*1</f>
        <v>0</v>
      </c>
      <c r="CB321" s="40"/>
      <c r="CC321" s="41"/>
      <c r="CD321" s="140"/>
      <c r="CE321" s="49">
        <v>1</v>
      </c>
      <c r="CF321" s="41">
        <f>SUM(CF8:CH8,CF12:CH12,CF15:CH15)*1</f>
        <v>0</v>
      </c>
      <c r="CG321" s="40"/>
      <c r="CH321" s="41"/>
      <c r="CJ321" s="139"/>
      <c r="CK321" s="139"/>
      <c r="CL321" s="139"/>
      <c r="CM321" s="140"/>
      <c r="CO321" s="222"/>
      <c r="CP321" s="40"/>
      <c r="CQ321" s="40"/>
      <c r="CR321" s="41"/>
      <c r="CT321" s="62">
        <v>1</v>
      </c>
      <c r="CU321" s="41">
        <f>SUM(CU5:CU26,CV5:CV26,CW5:CW26)*CT321</f>
        <v>0</v>
      </c>
      <c r="CV321" s="40"/>
      <c r="CW321" s="41"/>
      <c r="CY321" s="62">
        <v>1</v>
      </c>
      <c r="CZ321" s="41">
        <f>SUM(CZ8:DB8,CZ12:DB12,CZ15:DB15)*CY321</f>
        <v>0</v>
      </c>
      <c r="DA321" s="40"/>
      <c r="DB321" s="41"/>
      <c r="DD321" s="40"/>
      <c r="DE321" s="41"/>
      <c r="DF321" s="40"/>
      <c r="DG321" s="41"/>
      <c r="DI321" s="71">
        <v>5</v>
      </c>
      <c r="DJ321" s="41">
        <f>DJ8*2+DK8*2+DL8*2+DJ12*2+DJ9*1+DK9*1+DL9*1+DJ15*2+DK15*2+DL12*2+DK12*2+DL15*2+DJ6*DI321+DK6*DI321+DL6*DI321+DJ7*DI321+DK7*DI321+DL7*DI321+DJ10*DI321+DK10*DI321+DL10*DI321+DJ11*DI321+DK11*DI321+DL11*DI321+DJ13*DI321+DK13*DI321+DL13*DI321+DJ14*DI321+DK14*DI321+DL14*DI321</f>
        <v>0</v>
      </c>
      <c r="DK321" s="64"/>
      <c r="DL321" s="64"/>
      <c r="DN321" s="71">
        <v>5</v>
      </c>
      <c r="DO321" s="41">
        <f>DO8*2+DP8*2+DQ8*2+DO12*2+DO9*1+DP9*1+DQ9*1+DO15*2+DP15*2+DQ12*2+DP12*2+DQ15*2+DO6*DN321+DP6*DN321+DQ6*DN321+DO7*DN321+DP7*DN321+DQ7*DN321+DO10*DN321+DP10*DN321+DQ10*DN321+DO11*DN321+DP11*DN321+DQ11*DN321+DO13*DN321+DP13*DN321+DQ13*DN321+DO14*DN321+DP14*DN321+DQ14*DN321</f>
        <v>0</v>
      </c>
      <c r="DP321" s="64"/>
      <c r="DQ321" s="64"/>
      <c r="DS321" s="60">
        <v>5</v>
      </c>
      <c r="DT321" s="41">
        <f>DT8*1+DU8*1+DV8*1+DT12*1+DT15*1+DU15*1+DV12*1+DU12*1+DV15*1+DT6*DS321+DU6*DS321+DV6*DS321+DT7*DS321+DU7*DS321+DV7*DS321+DT10*DS321+DU10*DS321+DV10*DS321+DT11*DS321+DU11*DS321+DV11*DS321+DT13*DS321+DU13*DS321+DV13*DS321+DT14*DS321+DU14*DS321+DV14*DS321</f>
        <v>0</v>
      </c>
      <c r="DU321" s="64"/>
      <c r="DV321" s="64"/>
      <c r="DX321" s="60">
        <v>5</v>
      </c>
      <c r="DY321" s="41">
        <f>DY8*1+DZ8*1+EA8*1+DY12*1+DY15*1+DZ15*1+EA12*1+DZ12*1+EA15*1+DY6*DX321+DZ6*DX321+EA6*DX321+DY7*DX321+DZ7*DX321+EA7*DX321+DY10*DX321+DZ10*DX321+EA10*DX321+DY11*DX321+DZ11*DX321+EA11*DX321+DY13*DX321+DZ13*DX321+EA13*DX321+DY14*DX321+DZ14*DX321+EA14*DX321</f>
        <v>0</v>
      </c>
      <c r="DZ321" s="64"/>
      <c r="EA321" s="64"/>
      <c r="EC321" s="60">
        <v>5</v>
      </c>
      <c r="ED321" s="41">
        <f>ED8*1+EE8*1+EF8*1+ED12*1+ED15*1+EE15*1+EF12*1+EE12*1+EF15*1+ED6*EC321+EE6*EC321+EF6*EC321+ED7*EC321+EE7*EC321+EF7*EC321+ED10*EC321+EE10*EC321+EF10*EC321+ED11*EC321+EE11*EC321+EF11*EC321+ED13*EC321+EE13*EC321+EF13*EC321+ED14*EC321+EE14*EC321+EF14*EC321</f>
        <v>0</v>
      </c>
      <c r="EE321" s="64"/>
      <c r="EF321" s="64"/>
      <c r="EH321" s="60">
        <v>5</v>
      </c>
      <c r="EI321" s="41">
        <f>EI8*1+EJ8*1+EK8*1+EI12*1+EI15*1+EJ15*1+EK12*1+EJ12*1+EK15*1+EI6*EH321+EJ6*EH321+EK6*EH321+EI7*EH321+EJ7*EH321+EK7*EH321+EI10*EH321+EJ10*EH321+EK10*EH321+EI11*EH321+EJ11*EH321+EK11*EH321+EI13*EH321+EJ13*EH321+EK13*EH321+EI14*EH321+EJ14*EH321+EK14*EH321</f>
        <v>0</v>
      </c>
      <c r="EJ321" s="64"/>
      <c r="EK321" s="64"/>
      <c r="ER321" s="855"/>
      <c r="EX321" s="203">
        <f t="shared" si="2"/>
        <v>0</v>
      </c>
    </row>
    <row r="322" spans="1:155" s="6" customFormat="1" ht="15" customHeight="1">
      <c r="A322" s="90" t="s">
        <v>152</v>
      </c>
      <c r="B322" s="210" t="s">
        <v>152</v>
      </c>
      <c r="C322" s="473" t="s">
        <v>515</v>
      </c>
      <c r="D322" s="138"/>
      <c r="E322" s="40"/>
      <c r="F322" s="139"/>
      <c r="G322" s="139"/>
      <c r="H322" s="139"/>
      <c r="I322" s="4"/>
      <c r="J322" s="4"/>
      <c r="K322" s="4"/>
      <c r="L322" s="4"/>
      <c r="M322" s="4"/>
      <c r="N322" s="4"/>
      <c r="O322" s="4"/>
      <c r="P322" s="4"/>
      <c r="Q322" s="4"/>
      <c r="R322" s="40"/>
      <c r="S322" s="41"/>
      <c r="T322" s="140"/>
      <c r="U322" s="41"/>
      <c r="W322" s="40"/>
      <c r="X322" s="41"/>
      <c r="Y322" s="41"/>
      <c r="Z322" s="41"/>
      <c r="AB322" s="5">
        <v>2</v>
      </c>
      <c r="AC322" s="5">
        <f>SUM(AC12:AE12,AC8:AE8,AC15:AE15)*AB322</f>
        <v>0</v>
      </c>
      <c r="AD322" s="41"/>
      <c r="AE322" s="41"/>
      <c r="AG322" s="40"/>
      <c r="AH322" s="41"/>
      <c r="AI322" s="41"/>
      <c r="AJ322" s="41"/>
      <c r="AL322" s="40"/>
      <c r="AM322" s="41"/>
      <c r="AN322" s="41"/>
      <c r="AO322" s="41"/>
      <c r="AQ322" s="40"/>
      <c r="AR322" s="41"/>
      <c r="AS322" s="41"/>
      <c r="AT322" s="41"/>
      <c r="AV322" s="139"/>
      <c r="AW322" s="139"/>
      <c r="AX322" s="139"/>
      <c r="AY322" s="140"/>
      <c r="BA322" s="139">
        <v>1</v>
      </c>
      <c r="BB322" s="139">
        <f>BB8*BA322+BC8*BA322+BD8*BA322+BB12*BA322+BB15*BA322+BC15*BA322+BD12*BA322+BC12*BA322+BD15*BA322</f>
        <v>0</v>
      </c>
      <c r="BC322" s="139"/>
      <c r="BD322" s="41"/>
      <c r="BF322" s="40"/>
      <c r="BG322" s="40"/>
      <c r="BH322" s="40"/>
      <c r="BI322" s="41"/>
      <c r="BK322" s="139"/>
      <c r="BL322" s="139"/>
      <c r="BM322" s="40"/>
      <c r="BN322" s="41"/>
      <c r="BP322" s="40"/>
      <c r="BQ322" s="139"/>
      <c r="BR322" s="40"/>
      <c r="BS322" s="41"/>
      <c r="BU322" s="40">
        <v>1</v>
      </c>
      <c r="BV322" s="40">
        <f>SUM(BV5:BV7,BV9:BV11,BV13:BV14,BW5:BW7,BW9:BW11,BW13:BW14,BX5:BX7,BX9:BX11,BX13:BX14)*BU322</f>
        <v>0</v>
      </c>
      <c r="BW322" s="40"/>
      <c r="BX322" s="41"/>
      <c r="BZ322" s="40"/>
      <c r="CA322" s="40"/>
      <c r="CB322" s="40"/>
      <c r="CC322" s="41"/>
      <c r="CD322" s="140"/>
      <c r="CE322" s="40"/>
      <c r="CF322" s="40"/>
      <c r="CG322" s="40"/>
      <c r="CH322" s="41"/>
      <c r="CJ322" s="139"/>
      <c r="CK322" s="139"/>
      <c r="CL322" s="139"/>
      <c r="CM322" s="140"/>
      <c r="CO322" s="222"/>
      <c r="CP322" s="40"/>
      <c r="CQ322" s="40"/>
      <c r="CR322" s="41"/>
      <c r="CT322" s="40"/>
      <c r="CU322" s="40"/>
      <c r="CV322" s="40"/>
      <c r="CW322" s="41"/>
      <c r="CY322" s="40"/>
      <c r="CZ322" s="40"/>
      <c r="DA322" s="40"/>
      <c r="DB322" s="41"/>
      <c r="DD322" s="40"/>
      <c r="DE322" s="40"/>
      <c r="DF322" s="40"/>
      <c r="DG322" s="41"/>
      <c r="DI322" s="71">
        <v>5</v>
      </c>
      <c r="DJ322" s="41">
        <f>DJ8*DI322+DK8*DI322+DL8*DI322+DJ12*DI322+DK12*DI322+DL12*DI322+DJ15*DI322+DK15*DI322+DL15*DI322</f>
        <v>0</v>
      </c>
      <c r="DK322" s="64"/>
      <c r="DL322" s="64"/>
      <c r="DN322" s="71">
        <v>5</v>
      </c>
      <c r="DO322" s="41">
        <f>DO8*DN322+DP8*DN322+DQ8*DN322+DO12*DN322+DP12*DN322+DQ12*DN322+DO15*DN322+DP15*DN322+DQ15*DN322</f>
        <v>0</v>
      </c>
      <c r="DP322" s="64"/>
      <c r="DQ322" s="64"/>
      <c r="DS322" s="63"/>
      <c r="DT322" s="63"/>
      <c r="DU322" s="64"/>
      <c r="DV322" s="64"/>
      <c r="DX322" s="63"/>
      <c r="DY322" s="63"/>
      <c r="DZ322" s="64"/>
      <c r="EA322" s="64"/>
      <c r="EC322" s="63"/>
      <c r="ED322" s="63"/>
      <c r="EE322" s="64"/>
      <c r="EF322" s="64"/>
      <c r="EH322" s="63"/>
      <c r="EI322" s="63"/>
      <c r="EJ322" s="64"/>
      <c r="EK322" s="64"/>
      <c r="ER322" s="855"/>
      <c r="EX322" s="203">
        <f t="shared" si="2"/>
        <v>0</v>
      </c>
    </row>
    <row r="323" spans="1:155" s="6" customFormat="1" ht="15" customHeight="1">
      <c r="A323" s="858"/>
      <c r="B323" s="210" t="s">
        <v>1019</v>
      </c>
      <c r="C323" s="473" t="s">
        <v>515</v>
      </c>
      <c r="D323" s="138"/>
      <c r="E323" s="40"/>
      <c r="F323" s="139"/>
      <c r="G323" s="139"/>
      <c r="H323" s="139"/>
      <c r="I323" s="4"/>
      <c r="J323" s="4"/>
      <c r="K323" s="4"/>
      <c r="L323" s="4"/>
      <c r="M323" s="4"/>
      <c r="N323" s="4"/>
      <c r="O323" s="4"/>
      <c r="P323" s="4"/>
      <c r="Q323" s="4"/>
      <c r="R323" s="40"/>
      <c r="S323" s="41"/>
      <c r="T323" s="140"/>
      <c r="U323" s="41"/>
      <c r="W323" s="40"/>
      <c r="X323" s="41"/>
      <c r="Y323" s="41"/>
      <c r="Z323" s="41"/>
      <c r="AB323" s="46"/>
      <c r="AC323" s="41"/>
      <c r="AD323" s="41"/>
      <c r="AE323" s="41"/>
      <c r="AG323" s="40"/>
      <c r="AH323" s="41"/>
      <c r="AI323" s="41"/>
      <c r="AJ323" s="41"/>
      <c r="AL323" s="40"/>
      <c r="AM323" s="41"/>
      <c r="AN323" s="41"/>
      <c r="AO323" s="41"/>
      <c r="AQ323" s="40"/>
      <c r="AR323" s="41"/>
      <c r="AS323" s="41"/>
      <c r="AT323" s="41"/>
      <c r="AV323" s="139"/>
      <c r="AW323" s="139"/>
      <c r="AX323" s="139"/>
      <c r="AY323" s="140"/>
      <c r="BA323" s="139"/>
      <c r="BB323" s="139"/>
      <c r="BC323" s="139"/>
      <c r="BD323" s="41"/>
      <c r="BF323" s="40"/>
      <c r="BG323" s="139"/>
      <c r="BH323" s="40"/>
      <c r="BI323" s="41"/>
      <c r="BK323" s="139"/>
      <c r="BL323" s="139"/>
      <c r="BM323" s="40"/>
      <c r="BN323" s="41"/>
      <c r="BP323" s="40"/>
      <c r="BQ323" s="139"/>
      <c r="BR323" s="40"/>
      <c r="BS323" s="41"/>
      <c r="BU323" s="40">
        <v>1</v>
      </c>
      <c r="BV323" s="40">
        <f>SUM(BV8:BX8,BV12:BX12,BV15:BX15)*BU323</f>
        <v>0</v>
      </c>
      <c r="BW323" s="40"/>
      <c r="BX323" s="41"/>
      <c r="BZ323" s="40"/>
      <c r="CA323" s="40"/>
      <c r="CB323" s="40"/>
      <c r="CC323" s="41"/>
      <c r="CD323" s="140"/>
      <c r="CE323" s="40"/>
      <c r="CF323" s="40"/>
      <c r="CG323" s="40"/>
      <c r="CH323" s="41"/>
      <c r="CJ323" s="139"/>
      <c r="CK323" s="139"/>
      <c r="CL323" s="139"/>
      <c r="CM323" s="140"/>
      <c r="CO323" s="222"/>
      <c r="CP323" s="40"/>
      <c r="CQ323" s="40"/>
      <c r="CR323" s="41"/>
      <c r="CT323" s="40"/>
      <c r="CU323" s="40"/>
      <c r="CV323" s="40"/>
      <c r="CW323" s="41"/>
      <c r="CY323" s="40"/>
      <c r="CZ323" s="40"/>
      <c r="DA323" s="40"/>
      <c r="DB323" s="41"/>
      <c r="DD323" s="40"/>
      <c r="DE323" s="40"/>
      <c r="DF323" s="40"/>
      <c r="DG323" s="41"/>
      <c r="DI323" s="71"/>
      <c r="DJ323" s="41"/>
      <c r="DK323" s="64"/>
      <c r="DL323" s="64"/>
      <c r="DN323" s="71"/>
      <c r="DO323" s="41"/>
      <c r="DP323" s="64"/>
      <c r="DQ323" s="64"/>
      <c r="DS323" s="63"/>
      <c r="DT323" s="63"/>
      <c r="DU323" s="64"/>
      <c r="DV323" s="64"/>
      <c r="DX323" s="63"/>
      <c r="DY323" s="63"/>
      <c r="DZ323" s="64"/>
      <c r="EA323" s="64"/>
      <c r="EC323" s="63"/>
      <c r="ED323" s="63"/>
      <c r="EE323" s="64"/>
      <c r="EF323" s="64"/>
      <c r="EH323" s="63"/>
      <c r="EI323" s="63"/>
      <c r="EJ323" s="64"/>
      <c r="EK323" s="64"/>
      <c r="ER323" s="855"/>
      <c r="EX323" s="203">
        <f t="shared" si="2"/>
        <v>0</v>
      </c>
    </row>
    <row r="324" spans="1:155" s="6" customFormat="1" ht="15" customHeight="1">
      <c r="A324" s="90" t="s">
        <v>132</v>
      </c>
      <c r="B324" s="210" t="s">
        <v>132</v>
      </c>
      <c r="C324" s="473" t="s">
        <v>515</v>
      </c>
      <c r="D324" s="138"/>
      <c r="E324" s="62">
        <v>3</v>
      </c>
      <c r="F324" s="41">
        <f>SUM(F16:F26,G16:G26,H16:H26)*E324</f>
        <v>0</v>
      </c>
      <c r="G324" s="41"/>
      <c r="H324" s="41"/>
      <c r="I324" s="4"/>
      <c r="J324" s="4">
        <v>1</v>
      </c>
      <c r="K324" s="658">
        <f>SUM(K16:K26)*J324</f>
        <v>0</v>
      </c>
      <c r="L324" s="4"/>
      <c r="M324" s="4">
        <v>9</v>
      </c>
      <c r="N324" s="661">
        <f>SUM(N16:N26,O16:O26,P16:P26)*M324</f>
        <v>0</v>
      </c>
      <c r="O324" s="4"/>
      <c r="P324" s="4"/>
      <c r="Q324" s="4"/>
      <c r="R324" s="46">
        <v>6</v>
      </c>
      <c r="S324" s="41">
        <f>S16*R324+T16*R324+S17*R324+T17*R324+S18*R324+T18*R324+S19*R324+T19*R324+S20*R324+T20*R324+S21*R324+T21*R324+S22*R324+T22*R324+S23*R324+T23*R324+S24*R324+T24*R324+S25*R324+T25*R324+S26*R324+T26*R324+U16*R324+U17*R324+U18*R324+U19*R324+U20*R324+U21*R324+U22*R324+U23*R324+U24*R324+U25*R324+U26*R324</f>
        <v>0</v>
      </c>
      <c r="T324" s="140"/>
      <c r="U324" s="41"/>
      <c r="W324" s="46">
        <v>6</v>
      </c>
      <c r="X324" s="41">
        <f>X16*W324+Y16*W324+X17*W324+Y17*W324+X18*W324+Y18*W324+X19*W324+Y19*W324+X20*W324+Y20*W324+X21*W324+Y21*W324+X22*W324+Y22*W324+X23*W324+Y23*W324+X24*W324+Y24*W324+X25*W324+Y25*W324+X26*W324+Y26*W324+Z16*W324+Z17*W324+Z18*W324+Z19*W324+Z20*W324+Z21*W324+Z22*W324+Z23*W324+Z24*W324+Z25*W324+Z26*W324</f>
        <v>0</v>
      </c>
      <c r="Y324" s="41"/>
      <c r="Z324" s="41"/>
      <c r="AB324" s="46">
        <v>6</v>
      </c>
      <c r="AC324" s="41">
        <f>AC16*AB324+AD16*AB324+AC17*AB324+AD17*AB324+AC18*AB324+AD18*AB324+AC19*AB324+AD19*AB324+AC20*AB324+AD20*AB324+AC21*AB324+AD21*AB324+AC22*AB324+AD22*AB324+AC23*AB324+AD23*AB324+AC24*AB324+AD24*AB324+AC25*AB324+AD25*AB324+AC26*AB324+AD26*AB324+AE16*AB324+AE17*AB324+AE18*AB324+AE19*AB324+AE20*AB324+AE21*AB324+AE22*AB324+AE23*AB324+AE24*AB324+AE25*AB324+AE26*AB324</f>
        <v>0</v>
      </c>
      <c r="AD324" s="41"/>
      <c r="AE324" s="41"/>
      <c r="AG324" s="49">
        <v>3</v>
      </c>
      <c r="AH324" s="41">
        <f>AH16*AG324+AI16*AG324+AH17*AG324+AI17*AG324+AH18*AG324+AI18*AG324+AH19*AG324+AI19*AG324+AH20*AG324+AI20*AG324+AH21*AG324+AI21*AG324+AH22*AG324+AI22*AG324+AH23*AG324+AI23*AG324+AH24*AG324+AI24*AG324+AH25*AG324+AI25*AG324+AH26*AG324+AI26*AG324+AJ16*AG324+AJ17*AG324+AJ18*AG324+AJ19*AG324+AJ20*AG324+AJ21*AG324+AJ22*AG324+AJ23*AG324+AJ24*AG324+AJ25*AG324+AJ26*AG324</f>
        <v>0</v>
      </c>
      <c r="AI324" s="41"/>
      <c r="AJ324" s="41"/>
      <c r="AL324" s="49">
        <v>6</v>
      </c>
      <c r="AM324" s="41">
        <f>AM16*AL324+AN16*AL324+AM17*AL324+AN17*AL324+AM18*AL324+AN18*AL324+AM19*AL324+AN19*AL324+AM20*AL324+AN20*AL324+AM21*AL324+AN21*AL324+AM22*AL324+AN22*AL324+AM23*AL324+AN23*AL324+AM24*AL324+AN24*AL324+AM25*AL324+AN25*AL324+AM26*AL324+AN26*AL324+AO16*AL324+AO17*AL324+AO18*AL324+AO19*AL324+AO20*AL324+AO21*AL324+AO22*AL324+AO23*AL324+AO24*AL324+AO25*AL324+AO26*AL324</f>
        <v>0</v>
      </c>
      <c r="AN324" s="41"/>
      <c r="AO324" s="41"/>
      <c r="AQ324" s="49">
        <v>12</v>
      </c>
      <c r="AR324" s="41">
        <f>AR16*AQ324+AS16*AQ324+AR17*AQ324+AS17*AQ324+AR18*AQ324+AS18*AQ324+AR19*AQ324+AS19*AQ324+AR20*AQ324+AS20*AQ324+AR21*AQ324+AS21*AQ324+AR22*AQ324+AS22*AQ324+AR23*AQ324+AS23*AQ324+AR24*AQ324+AS24*AQ324+AR25*AQ324+AS25*AQ324+AR26*AQ324+AS26*AQ324+AT16*AQ324+AT17*AQ324+AT18*AQ324+AT19*AQ324+AT20*AQ324+AT21*AQ324+AT22*AQ324+AT23*AQ324+AT24*AQ324+AT25*AQ324+AT26*AQ324</f>
        <v>0</v>
      </c>
      <c r="AS324" s="41"/>
      <c r="AT324" s="41"/>
      <c r="AV324" s="51">
        <v>1</v>
      </c>
      <c r="AW324" s="140">
        <f>SUM(AW16:AW26,AX16:AX26,AY16:AY26)*AV324</f>
        <v>0</v>
      </c>
      <c r="AX324" s="139"/>
      <c r="AY324" s="140"/>
      <c r="BA324" s="51">
        <v>1</v>
      </c>
      <c r="BB324" s="140">
        <f>SUM(BB16:BB26,BC16:BC26,BD16:BD26)*BA324</f>
        <v>0</v>
      </c>
      <c r="BC324" s="139"/>
      <c r="BD324" s="41"/>
      <c r="BF324" s="60">
        <v>2</v>
      </c>
      <c r="BG324" s="140">
        <f>SUM(BG16:BG26,BH16:BH26,BI16:BI26)*BF324</f>
        <v>0</v>
      </c>
      <c r="BH324" s="40"/>
      <c r="BI324" s="41"/>
      <c r="BK324" s="142">
        <v>3</v>
      </c>
      <c r="BL324" s="41">
        <f>SUM(BL16:BL26,BM16:BM26,BN16:BN26)*BK324</f>
        <v>0</v>
      </c>
      <c r="BM324" s="40"/>
      <c r="BN324" s="41"/>
      <c r="BP324" s="62">
        <v>3</v>
      </c>
      <c r="BQ324" s="41">
        <f>SUM(BQ16:BQ26,BR16:BR26,BS16:BS26)*BP324</f>
        <v>0</v>
      </c>
      <c r="BR324" s="40"/>
      <c r="BS324" s="41"/>
      <c r="BU324" s="62">
        <v>2</v>
      </c>
      <c r="BV324" s="41">
        <f>SUM(BV16:BV26,BW16:BW26,BX16:BX26)*BU324</f>
        <v>0</v>
      </c>
      <c r="BW324" s="40"/>
      <c r="BX324" s="41"/>
      <c r="BZ324" s="61">
        <v>4</v>
      </c>
      <c r="CA324" s="41">
        <f>SUM(CA16:CA26,CB16:CB26,CC16:CC26)*BZ324</f>
        <v>0</v>
      </c>
      <c r="CB324" s="40"/>
      <c r="CC324" s="41"/>
      <c r="CD324" s="140"/>
      <c r="CE324" s="61">
        <v>4</v>
      </c>
      <c r="CF324" s="41">
        <f>SUM(CF16:CF26,CG16:CG26,CH16:CH26)*CE324</f>
        <v>0</v>
      </c>
      <c r="CG324" s="40"/>
      <c r="CH324" s="41"/>
      <c r="CJ324" s="141">
        <v>0</v>
      </c>
      <c r="CK324" s="140">
        <f>CK16*CJ324+CL16*CJ324+CK17*CJ324+CL17*CJ324+CK18*CJ324+CL18*CJ324+CK19*CJ324+CL19*CJ324+CK20*CJ324+CL20*CJ324+CK21*CJ324+CL21*CJ324+CK22*CJ324+CL22*CJ324+CK23*CJ324+CL23*CJ324+CK24*CJ324+CL24*CJ324+CK25*CJ324+CL25*CJ324+CK26*CJ324+CL26*CJ324+CM16*CJ324+CM17*CJ324+CM18*CJ324+CM19*CJ324+CM20*CJ324+CM21*CJ324+CM22*CJ324+CM23*CJ324+CM24*CJ324+CM25*CJ324+CM26*CJ324</f>
        <v>0</v>
      </c>
      <c r="CL324" s="139"/>
      <c r="CM324" s="140"/>
      <c r="CO324" s="223">
        <v>2</v>
      </c>
      <c r="CP324" s="41">
        <f>CP16*CO324+CQ16*CO324+CP17*CO324+CQ17*CO324+CP18*CO324+CQ18*CO324+CP19*CO324+CQ19*CO324+CP20*CO324+CQ20*CO324+CP21*CO324+CQ21*CO324+CP22*CO324+CQ22*CO324+CP23*CO324+CQ23*CO324+CP24*CO324+CQ24*CO324+CP25*CO324+CQ25*CO324+CP26*CO324+CQ26*CO324+CR16*CO324+CR17*CO324+CR18*CO324+CR19*CO324+CR20*CO324+CR21*CO324+CR22*CO324+CR23*CO324+CR24*CO324+CR25*CO324+CR26*CO324</f>
        <v>0</v>
      </c>
      <c r="CQ324" s="40"/>
      <c r="CR324" s="41"/>
      <c r="CT324" s="62">
        <v>3</v>
      </c>
      <c r="CU324" s="41">
        <f>CU16*CT324+CV16*CT324+CU17*CT324+CV17*CT324+CU18*CT324+CV18*CT324+CU19*CT324+CV19*CT324+CU20*CT324+CV20*CT324+CU21*CT324+CV21*CT324+CU22*CT324+CV22*CT324+CU23*CT324+CV23*CT324+CU24*CT324+CV24*CT324+CU25*CT324+CV25*CT324+CU26*CT324+CV26*CT324+CW16*CT324+CW17*CT324+CW18*CT324+CW19*CT324+CW20*CT324+CW21*CT324+CW22*CT324+CW23*CT324+CW24*CT324+CW25*CT324+CW26*CT324</f>
        <v>0</v>
      </c>
      <c r="CV324" s="40"/>
      <c r="CW324" s="41"/>
      <c r="CY324" s="62">
        <v>2</v>
      </c>
      <c r="CZ324" s="41">
        <f>SUM(CZ16:CZ26,DA16:DA26,DB16:DB26)*CY324</f>
        <v>0</v>
      </c>
      <c r="DA324" s="40"/>
      <c r="DB324" s="41"/>
      <c r="DD324" s="46">
        <v>2</v>
      </c>
      <c r="DE324" s="41">
        <f>DE16*DD324+DF16*DD324+DE17*DD324+DF17*DD324+DE18*DD324+DF18*DD324+DE19*DD324+DF19*DD324+DE20*DD324+DF20*DD324+DE21*DD324+DF21*DD324+DE22*DD324+DF22*DD324+DE23*DD324+DF23*DD324+DE24*DD324+DF24*DD324+DE25*DD324+DF25*DD324+DE26*DD324+DF26*DD324+DG16*DD324+DG17*DD324+DG18*DD324+DG19*DD324+DG20*DD324+DG21*DD324+DG22*DD324+DG23*DD324+DG24*DD324+DG25*DD324+DG26*DD324</f>
        <v>0</v>
      </c>
      <c r="DF324" s="40"/>
      <c r="DG324" s="41"/>
      <c r="DI324" s="71">
        <v>6</v>
      </c>
      <c r="DJ324" s="41">
        <f>DJ16*DI324+DK16*DI324+DJ17*DI324+DK17*DI324+DJ18*DI324+DK18*DI324+DJ19*DI324+DK19*DI324+DJ20*DI324+DK20*DI324+DJ21*DI324+DK21*DI324+DJ22*DI324+DK22*DI324+DJ23*DI324+DK23*DI324+DJ24*DI324+DK24*DI324+DJ25*DI324+DK25*DI324+DJ26*DI324+DK26*DI324+DL16*DI324+DL17*DI324+DL18*DI324+DL19*DI324+DL20*DI324+DL21*DI324+DL22*DI324+DL23*DI324+DL24*DI324+DL25*DI324+DL26*DI324</f>
        <v>0</v>
      </c>
      <c r="DK324" s="64"/>
      <c r="DL324" s="64"/>
      <c r="DN324" s="71">
        <v>6</v>
      </c>
      <c r="DO324" s="41">
        <f>DO16*DN324+DP16*DN324+DO17*DN324+DP17*DN324+DO18*DN324+DP18*DN324+DO19*DN324+DP19*DN324+DO20*DN324+DP20*DN324+DO21*DN324+DP21*DN324+DO22*DN324+DP22*DN324+DO23*DN324+DP23*DN324+DO24*DN324+DP24*DN324+DO25*DN324+DP25*DN324+DO26*DN324+DP26*DN324+DQ16*DN324+DQ17*DN324+DQ18*DN324+DQ19*DN324+DQ20*DN324+DQ21*DN324+DQ22*DN324+DQ23*DN324+DQ24*DN324+DQ25*DN324+DQ26*DN324</f>
        <v>0</v>
      </c>
      <c r="DP324" s="64"/>
      <c r="DQ324" s="64"/>
      <c r="DS324" s="60">
        <v>7</v>
      </c>
      <c r="DT324" s="41">
        <f>DT16*DS324+DU16*DS324+DT17*DS324+DU17*DS324+DT18*DS324+DU18*DS324+DT19*DS324+DU19*DS324+DT20*DS324+DU20*DS324+DT21*DS324+DU21*DS324+DT22*DS324+DU22*DS324+DT23*DS324+DU23*DS324+DT24*DS324+DU24*DS324+DT25*DS324+DU25*DS324+DT26*DS324+DU26*DS324+DV16*DS324+DV17*DS324+DV18*DS324+DV19*DS324+DV20*DS324+DV21*DS324+DV22*DS324+DV23*DS324+DV24*DS324+DV25*DS324+DV26*DS324</f>
        <v>0</v>
      </c>
      <c r="DU324" s="64"/>
      <c r="DV324" s="64"/>
      <c r="DX324" s="60">
        <v>7</v>
      </c>
      <c r="DY324" s="41">
        <f>DY16*DX324+DZ16*DX324+DY17*DX324+DZ17*DX324+DY18*DX324+DZ18*DX324+DY19*DX324+DZ19*DX324+DY20*DX324+DZ20*DX324+DY21*DX324+DZ21*DX324+DY22*DX324+DZ22*DX324+DY23*DX324+DZ23*DX324+DY24*DX324+DZ24*DX324+DY25*DX324+DZ25*DX324+DY26*DX324+DZ26*DX324+EA16*DX324+EA17*DX324+EA18*DX324+EA19*DX324+EA20*DX324+EA21*DX324+EA22*DX324+EA23*DX324+EA24*DX324+EA25*DX324+EA26*DX324</f>
        <v>0</v>
      </c>
      <c r="DZ324" s="64"/>
      <c r="EA324" s="64"/>
      <c r="EC324" s="60">
        <v>7</v>
      </c>
      <c r="ED324" s="41">
        <f>ED16*EC324+EE16*EC324+ED17*EC324+EE17*EC324+ED18*EC324+EE18*EC324+ED19*EC324+EE19*EC324+ED20*EC324+EE20*EC324+ED21*EC324+EE21*EC324+ED22*EC324+EE22*EC324+ED23*EC324+EE23*EC324+ED24*EC324+EE24*EC324+ED25*EC324+EE25*EC324+ED26*EC324+EE26*EC324+EF16*EC324+EF17*EC324+EF18*EC324+EF19*EC324+EF20*EC324+EF21*EC324+EF22*EC324+EF23*EC324+EF24*EC324+EF25*EC324+EF26*EC324</f>
        <v>0</v>
      </c>
      <c r="EE324" s="64"/>
      <c r="EF324" s="64"/>
      <c r="EH324" s="60">
        <v>7</v>
      </c>
      <c r="EI324" s="41">
        <f>EI16*EH324+EJ16*EH324+EI17*EH324+EJ17*EH324+EI18*EH324+EJ18*EH324+EI19*EH324+EJ19*EH324+EI20*EH324+EJ20*EH324+EI21*EH324+EJ21*EH324+EI22*EH324+EJ22*EH324+EI23*EH324+EJ23*EH324+EI24*EH324+EJ24*EH324+EI25*EH324+EJ25*EH324+EI26*EH324+EJ26*EH324+EK16*EH324+EK17*EH324+EK18*EH324+EK19*EH324+EK20*EH324+EK21*EH324+EK22*EH324+EK23*EH324+EK24*EH324+EK25*EH324+EK26*EH324</f>
        <v>0</v>
      </c>
      <c r="EJ324" s="64"/>
      <c r="EK324" s="64"/>
      <c r="ER324" s="855"/>
      <c r="EX324" s="203">
        <f t="shared" si="2"/>
        <v>0</v>
      </c>
    </row>
    <row r="325" spans="1:155" s="6" customFormat="1" ht="15" customHeight="1">
      <c r="A325" s="90" t="s">
        <v>153</v>
      </c>
      <c r="B325" s="210" t="s">
        <v>153</v>
      </c>
      <c r="C325" s="473" t="s">
        <v>515</v>
      </c>
      <c r="D325" s="138"/>
      <c r="E325" s="62">
        <v>3</v>
      </c>
      <c r="F325" s="41">
        <f>SUM(F16:F26,G16:G26,H16:H26)*E325</f>
        <v>0</v>
      </c>
      <c r="G325" s="41"/>
      <c r="H325" s="41"/>
      <c r="I325" s="4"/>
      <c r="J325" s="4"/>
      <c r="K325" s="4"/>
      <c r="L325" s="4"/>
      <c r="M325" s="4">
        <v>4</v>
      </c>
      <c r="N325" s="661">
        <f>SUM(N16:N26,O16:O26,P16:P26)*M325</f>
        <v>0</v>
      </c>
      <c r="O325" s="4"/>
      <c r="P325" s="4"/>
      <c r="Q325" s="4"/>
      <c r="R325" s="40"/>
      <c r="S325" s="41"/>
      <c r="T325" s="140"/>
      <c r="U325" s="41"/>
      <c r="W325" s="40"/>
      <c r="X325" s="41"/>
      <c r="Y325" s="41"/>
      <c r="Z325" s="41"/>
      <c r="AB325" s="40"/>
      <c r="AC325" s="41"/>
      <c r="AD325" s="41"/>
      <c r="AE325" s="41"/>
      <c r="AG325" s="40"/>
      <c r="AH325" s="41"/>
      <c r="AI325" s="41"/>
      <c r="AJ325" s="41"/>
      <c r="AL325" s="40"/>
      <c r="AM325" s="41"/>
      <c r="AN325" s="41"/>
      <c r="AO325" s="41"/>
      <c r="AQ325" s="40"/>
      <c r="AR325" s="41"/>
      <c r="AS325" s="41"/>
      <c r="AT325" s="41"/>
      <c r="AV325" s="51">
        <v>1</v>
      </c>
      <c r="AW325" s="140">
        <f>SUM(AW16:AW26,AX16:AX26,AY16:AY26)*AV325</f>
        <v>0</v>
      </c>
      <c r="AX325" s="139"/>
      <c r="AY325" s="140"/>
      <c r="BA325" s="51">
        <v>1</v>
      </c>
      <c r="BB325" s="140">
        <f>SUM(BB16:BB26,BC16:BC26,BD16:BD26)*BA325</f>
        <v>0</v>
      </c>
      <c r="BC325" s="139"/>
      <c r="BD325" s="41"/>
      <c r="BF325" s="60">
        <v>2</v>
      </c>
      <c r="BG325" s="140">
        <f>SUM(BG16:BG26,BH16:BH26,BI16:BI26)*BF325</f>
        <v>0</v>
      </c>
      <c r="BH325" s="40"/>
      <c r="BI325" s="41"/>
      <c r="BK325" s="142">
        <v>3</v>
      </c>
      <c r="BL325" s="41">
        <f>SUM(BL16:BL26,BM16:BM26,BN16:BN26)*BK325</f>
        <v>0</v>
      </c>
      <c r="BM325" s="40"/>
      <c r="BN325" s="41"/>
      <c r="BP325" s="62">
        <v>3</v>
      </c>
      <c r="BQ325" s="41">
        <f>SUM(BQ16:BQ26,BR16:BR26,BS16:BS26)*BP325</f>
        <v>0</v>
      </c>
      <c r="BR325" s="40"/>
      <c r="BS325" s="41"/>
      <c r="BU325" s="62">
        <v>3</v>
      </c>
      <c r="BV325" s="41">
        <f>SUM(BV16:BV26,BW16:BW26,BX16:BX26)*BU325</f>
        <v>0</v>
      </c>
      <c r="BW325" s="40"/>
      <c r="BX325" s="41"/>
      <c r="BZ325" s="61">
        <v>4</v>
      </c>
      <c r="CA325" s="41">
        <f>SUM(CA16:CA26,CB16:CB26,CC16:CC26)*BZ325</f>
        <v>0</v>
      </c>
      <c r="CB325" s="40"/>
      <c r="CC325" s="41"/>
      <c r="CD325" s="140"/>
      <c r="CE325" s="61">
        <v>4</v>
      </c>
      <c r="CF325" s="41">
        <f>SUM(CF16:CF26,CG16:CG26,CH16:CH26)*CE325</f>
        <v>0</v>
      </c>
      <c r="CG325" s="40"/>
      <c r="CH325" s="41"/>
      <c r="CJ325" s="141">
        <v>0</v>
      </c>
      <c r="CK325" s="140">
        <f>CK16*CJ325+CL16*CJ325+CK18*CJ325+CL18*CJ325+CK19*CJ325+CL19*CJ325+CK20*CJ325+CL20*CJ325+CK21*CJ325+CL21*CJ325+CK22*CJ325+CL22*CJ325+CK23*CJ325+CL23*CJ325+CK24*CJ325+CL24*CJ325+CK25*CJ325+CL25*CJ325+CK26*CJ325+CL26*CJ325+CK26*CJ325+CL26*CJ325+CM16*CJ325+CM18*CJ325+CM19*CJ325+CM20*CJ325+CM21*CJ325+CM22*CJ325+CM23*CJ325+CM24*CJ325+CM25*CJ325+CM26*CJ325+CM26*CJ325</f>
        <v>0</v>
      </c>
      <c r="CL325" s="139"/>
      <c r="CM325" s="140"/>
      <c r="CO325" s="223">
        <v>2</v>
      </c>
      <c r="CP325" s="41">
        <f>CP16*CO325+CQ16*CO325+CP18*CO325+CQ18*CO325+CP19*CO325+CQ19*CO325+CP20*CO325+CQ20*CO325+CP21*CO325+CQ21*CO325+CP22*CO325+CQ22*CO325+CP23*CO325+CQ23*CO325+CP24*CO325+CQ24*CO325+CP25*CO325+CQ25*CO325+CP26*CO325+CQ26*CO325+CP26*CO325+CQ26*CO325+CR16*CO325+CR18*CO325+CR19*CO325+CR20*CO325+CR21*CO325+CR22*CO325+CR23*CO325+CR24*CO325+CR25*CO325+CR26*CO325+CR26*CO325</f>
        <v>0</v>
      </c>
      <c r="CQ325" s="40"/>
      <c r="CR325" s="41"/>
      <c r="CT325" s="62">
        <v>3</v>
      </c>
      <c r="CU325" s="41">
        <f>CU16*CT325+CV16*CT325+CU18*CT325+CV18*CT325+CU19*CT325+CV19*CT325+CU20*CT325+CV20*CT325+CU21*CT325+CV21*CT325+CU22*CT325+CV22*CT325+CU23*CT325+CV23*CT325+CU24*CT325+CV24*CT325+CU25*CT325+CV25*CT325+CU26*CT325+CV26*CT325+CU26*CT325+CV26*CT325+CW16*CT325+CW18*CT325+CW19*CT325+CW20*CT325+CW21*CT325+CW22*CT325+CW23*CT325+CW24*CT325+CW25*CT325+CW26*CT325+CW26*CT325</f>
        <v>0</v>
      </c>
      <c r="CV325" s="40"/>
      <c r="CW325" s="41"/>
      <c r="CY325" s="62">
        <v>3</v>
      </c>
      <c r="CZ325" s="41">
        <f>SUM(CZ16:CZ26,DA16:DA26,DB16:DB26)*CY325</f>
        <v>0</v>
      </c>
      <c r="DA325" s="40"/>
      <c r="DB325" s="41"/>
      <c r="DD325" s="46">
        <v>2</v>
      </c>
      <c r="DE325" s="41">
        <f>DE16*DD325+DF16*DD325+DE18*DD325+DF18*DD325+DE19*DD325+DF19*DD325+DE20*DD325+DF20*DD325+DE21*DD325+DF21*DD325+DE22*DD325+DF22*DD325+DE23*DD325+DF23*DD325+DE24*DD325+DF24*DD325+DE25*DD325+DF25*DD325+DE26*DD325+DF26*DD325+DE26*DD325+DF26*DD325+DG16*DD325+DG18*DD325+DG19*DD325+DG20*DD325+DG21*DD325+DG22*DD325+DG23*DD325+DG24*DD325+DG25*DD325+DG26*DD325+DG26*DD325</f>
        <v>0</v>
      </c>
      <c r="DF325" s="40"/>
      <c r="DG325" s="41"/>
      <c r="DI325" s="71">
        <v>2</v>
      </c>
      <c r="DJ325" s="41">
        <f>DJ16*DI325+DK16*DI325+DJ18*DI325+DK18*DI325+DJ19*DI325+DK19*DI325+DJ20*DI325+DK20*DI325+DJ21*DI325+DK21*DI325+DJ22*DI325+DK22*DI325+DJ23*DI325+DK23*DI325+DJ24*DI325+DK24*DI325+DJ25*DI325+DK25*DI325+DJ26*DI325+DK26*DI325+DJ26*DI325+DK26*DI325+DL16*DI325+DL18*DI325+DL19*DI325+DL20*DI325+DL21*DI325+DL22*DI325+DL23*DI325+DL24*DI325+DL25*DI325+DL26*DI325+DL26*DI325</f>
        <v>0</v>
      </c>
      <c r="DK325" s="64"/>
      <c r="DL325" s="64"/>
      <c r="DN325" s="71">
        <v>2</v>
      </c>
      <c r="DO325" s="41">
        <f>DO16*DN325+DP16*DN325+DO18*DN325+DP18*DN325+DO19*DN325+DP19*DN325+DO20*DN325+DP20*DN325+DO21*DN325+DP21*DN325+DO22*DN325+DP22*DN325+DO23*DN325+DP23*DN325+DO24*DN325+DP24*DN325+DO25*DN325+DP25*DN325+DO26*DN325+DP26*DN325+DO26*DN325+DP26*DN325+DQ16*DN325+DQ18*DN325+DQ19*DN325+DQ20*DN325+DQ21*DN325+DQ22*DN325+DQ23*DN325+DQ24*DN325+DQ25*DN325+DQ26*DN325+DQ26*DN325</f>
        <v>0</v>
      </c>
      <c r="DP325" s="64"/>
      <c r="DQ325" s="64"/>
      <c r="DS325" s="60">
        <v>3</v>
      </c>
      <c r="DT325" s="41">
        <f>DT16*DS325+DU16*DS325+DT18*DS325+DU18*DS325+DT19*DS325+DU19*DS325+DT20*DS325+DU20*DS325+DT21*DS325+DU21*DS325+DT22*DS325+DU22*DS325+DT23*DS325+DU23*DS325+DT24*DS325+DU24*DS325+DT25*DS325+DU25*DS325+DT26*DS325+DU26*DS325+DT26*DS325+DU26*DS325+DV16*DS325+DV18*DS325+DV19*DS325+DV20*DS325+DV21*DS325+DV22*DS325+DV23*DS325+DV24*DS325+DV25*DS325+DV26*DS325+DV26*DS325</f>
        <v>0</v>
      </c>
      <c r="DU325" s="64"/>
      <c r="DV325" s="64"/>
      <c r="DX325" s="60">
        <v>3</v>
      </c>
      <c r="DY325" s="41">
        <f>DY16*DX325+DZ16*DX325+DY18*DX325+DZ18*DX325+DY19*DX325+DZ19*DX325+DY20*DX325+DZ20*DX325+DY21*DX325+DZ21*DX325+DY22*DX325+DZ22*DX325+DY23*DX325+DZ23*DX325+DY24*DX325+DZ24*DX325+DY25*DX325+DZ25*DX325+DY26*DX325+DZ26*DX325+DY26*DX325+DZ26*DX325+EA16*DX325+EA18*DX325+EA19*DX325+EA20*DX325+EA21*DX325+EA22*DX325+EA23*DX325+EA24*DX325+EA25*DX325+EA26*DX325+EA26*DX325</f>
        <v>0</v>
      </c>
      <c r="DZ325" s="64"/>
      <c r="EA325" s="64"/>
      <c r="EC325" s="60">
        <v>3</v>
      </c>
      <c r="ED325" s="41">
        <f>ED16*EC325+EE16*EC325+ED18*EC325+EE18*EC325+ED19*EC325+EE19*EC325+ED20*EC325+EE20*EC325+ED21*EC325+EE21*EC325+ED22*EC325+EE22*EC325+ED23*EC325+EE23*EC325+ED24*EC325+EE24*EC325+ED25*EC325+EE25*EC325+ED26*EC325+EE26*EC325+ED26*EC325+EE26*EC325+EF16*EC325+EF18*EC325+EF19*EC325+EF20*EC325+EF21*EC325+EF22*EC325+EF23*EC325+EF24*EC325+EF25*EC325+EF26*EC325+EF26*EC325</f>
        <v>0</v>
      </c>
      <c r="EE325" s="64"/>
      <c r="EF325" s="64"/>
      <c r="EH325" s="60">
        <v>3</v>
      </c>
      <c r="EI325" s="41">
        <f>EI16*EH325+EJ16*EH325+EI18*EH325+EJ18*EH325+EI19*EH325+EJ19*EH325+EI20*EH325+EJ20*EH325+EI21*EH325+EJ21*EH325+EI22*EH325+EJ22*EH325+EI23*EH325+EJ23*EH325+EI24*EH325+EJ24*EH325+EI25*EH325+EJ25*EH325+EI26*EH325+EJ26*EH325+EI26*EH325+EJ26*EH325+EK16*EH325+EK18*EH325+EK19*EH325+EK20*EH325+EK21*EH325+EK22*EH325+EK23*EH325+EK24*EH325+EK25*EH325+EK26*EH325+EK26*EH325</f>
        <v>0</v>
      </c>
      <c r="EJ325" s="64"/>
      <c r="EK325" s="64"/>
      <c r="ER325" s="855"/>
      <c r="EX325" s="203">
        <f t="shared" si="2"/>
        <v>0</v>
      </c>
    </row>
    <row r="326" spans="1:155" s="6" customFormat="1" ht="15" customHeight="1">
      <c r="A326" s="90"/>
      <c r="B326" s="210" t="s">
        <v>1474</v>
      </c>
      <c r="C326" s="473" t="s">
        <v>0</v>
      </c>
      <c r="D326" s="138"/>
      <c r="E326" s="62"/>
      <c r="F326" s="140"/>
      <c r="G326" s="140"/>
      <c r="H326" s="140"/>
      <c r="I326" s="4"/>
      <c r="J326" s="4"/>
      <c r="K326" s="4"/>
      <c r="L326" s="4"/>
      <c r="M326" s="4"/>
      <c r="N326" s="661"/>
      <c r="O326" s="4"/>
      <c r="P326" s="4"/>
      <c r="Q326" s="4"/>
      <c r="R326" s="40"/>
      <c r="S326" s="41"/>
      <c r="T326" s="140"/>
      <c r="U326" s="41"/>
      <c r="W326" s="40"/>
      <c r="X326" s="41"/>
      <c r="Y326" s="41"/>
      <c r="Z326" s="41"/>
      <c r="AB326" s="40"/>
      <c r="AC326" s="41"/>
      <c r="AD326" s="41"/>
      <c r="AE326" s="41"/>
      <c r="AG326" s="40"/>
      <c r="AH326" s="41"/>
      <c r="AI326" s="41"/>
      <c r="AJ326" s="41"/>
      <c r="AL326" s="40"/>
      <c r="AM326" s="41"/>
      <c r="AN326" s="41"/>
      <c r="AO326" s="41"/>
      <c r="AQ326" s="40"/>
      <c r="AR326" s="41"/>
      <c r="AS326" s="41"/>
      <c r="AT326" s="41"/>
      <c r="AV326" s="51"/>
      <c r="AW326" s="140"/>
      <c r="AX326" s="139"/>
      <c r="AY326" s="140"/>
      <c r="BA326" s="51"/>
      <c r="BB326" s="140"/>
      <c r="BC326" s="139"/>
      <c r="BD326" s="41"/>
      <c r="BF326" s="60"/>
      <c r="BG326" s="140"/>
      <c r="BH326" s="40"/>
      <c r="BI326" s="41"/>
      <c r="BK326" s="142"/>
      <c r="BL326" s="140"/>
      <c r="BM326" s="40"/>
      <c r="BN326" s="41"/>
      <c r="BP326" s="62"/>
      <c r="BQ326" s="140"/>
      <c r="BR326" s="40"/>
      <c r="BS326" s="41"/>
      <c r="BU326" s="62">
        <v>1</v>
      </c>
      <c r="BV326" s="41">
        <f>SUM(BV16:BV26,BW16:BW26,BX16:BX26)*BU326</f>
        <v>0</v>
      </c>
      <c r="BW326" s="40"/>
      <c r="BX326" s="41"/>
      <c r="BZ326" s="61"/>
      <c r="CA326" s="41"/>
      <c r="CB326" s="40"/>
      <c r="CC326" s="41"/>
      <c r="CD326" s="140"/>
      <c r="CE326" s="61"/>
      <c r="CF326" s="41"/>
      <c r="CG326" s="40"/>
      <c r="CH326" s="41"/>
      <c r="CJ326" s="141"/>
      <c r="CK326" s="140"/>
      <c r="CL326" s="139"/>
      <c r="CM326" s="140"/>
      <c r="CO326" s="223"/>
      <c r="CP326" s="41"/>
      <c r="CQ326" s="40"/>
      <c r="CR326" s="41"/>
      <c r="CT326" s="62"/>
      <c r="CU326" s="41"/>
      <c r="CV326" s="40"/>
      <c r="CW326" s="41"/>
      <c r="CY326" s="62">
        <v>1</v>
      </c>
      <c r="CZ326" s="41">
        <f>SUM(CZ16:CZ26,DA16:DA26,DB16:DB26)*CY326</f>
        <v>0</v>
      </c>
      <c r="DA326" s="40"/>
      <c r="DB326" s="41"/>
      <c r="DD326" s="46"/>
      <c r="DE326" s="41"/>
      <c r="DF326" s="40"/>
      <c r="DG326" s="41"/>
      <c r="DI326" s="71"/>
      <c r="DJ326" s="41"/>
      <c r="DK326" s="64"/>
      <c r="DL326" s="64"/>
      <c r="DN326" s="71"/>
      <c r="DO326" s="41"/>
      <c r="DP326" s="64"/>
      <c r="DQ326" s="64"/>
      <c r="DS326" s="135"/>
      <c r="DT326" s="140"/>
      <c r="DU326" s="64"/>
      <c r="DV326" s="64"/>
      <c r="DX326" s="135"/>
      <c r="DY326" s="140"/>
      <c r="DZ326" s="64"/>
      <c r="EA326" s="64"/>
      <c r="EC326" s="135"/>
      <c r="ED326" s="140"/>
      <c r="EE326" s="64"/>
      <c r="EF326" s="64"/>
      <c r="EH326" s="135"/>
      <c r="EI326" s="140"/>
      <c r="EJ326" s="64"/>
      <c r="EK326" s="64"/>
      <c r="ER326" s="855"/>
      <c r="EX326" s="203">
        <f t="shared" si="2"/>
        <v>0</v>
      </c>
    </row>
    <row r="327" spans="1:155" s="6" customFormat="1" ht="15" customHeight="1">
      <c r="A327" s="150" t="s">
        <v>236</v>
      </c>
      <c r="B327" s="210" t="s">
        <v>236</v>
      </c>
      <c r="C327" s="473" t="s">
        <v>515</v>
      </c>
      <c r="D327" s="138"/>
      <c r="E327" s="62"/>
      <c r="F327" s="140"/>
      <c r="G327" s="140"/>
      <c r="H327" s="140"/>
      <c r="I327" s="4"/>
      <c r="J327" s="4"/>
      <c r="K327" s="4"/>
      <c r="L327" s="4"/>
      <c r="M327" s="4"/>
      <c r="N327" s="4"/>
      <c r="O327" s="4"/>
      <c r="P327" s="4"/>
      <c r="Q327" s="4"/>
      <c r="R327" s="40"/>
      <c r="S327" s="41"/>
      <c r="T327" s="140"/>
      <c r="U327" s="41"/>
      <c r="W327" s="40"/>
      <c r="X327" s="41"/>
      <c r="Y327" s="41"/>
      <c r="Z327" s="41"/>
      <c r="AB327" s="40"/>
      <c r="AC327" s="41"/>
      <c r="AD327" s="41"/>
      <c r="AE327" s="41"/>
      <c r="AG327" s="40"/>
      <c r="AH327" s="41"/>
      <c r="AI327" s="41"/>
      <c r="AJ327" s="41"/>
      <c r="AL327" s="40"/>
      <c r="AM327" s="41"/>
      <c r="AN327" s="41"/>
      <c r="AO327" s="41"/>
      <c r="AQ327" s="40"/>
      <c r="AR327" s="41"/>
      <c r="AS327" s="41"/>
      <c r="AT327" s="41"/>
      <c r="AV327" s="51"/>
      <c r="AW327" s="140"/>
      <c r="AX327" s="139"/>
      <c r="AY327" s="140"/>
      <c r="BA327" s="51"/>
      <c r="BB327" s="140"/>
      <c r="BC327" s="139"/>
      <c r="BD327" s="41"/>
      <c r="BF327" s="60"/>
      <c r="BG327" s="41"/>
      <c r="BH327" s="40"/>
      <c r="BI327" s="41"/>
      <c r="BK327" s="142"/>
      <c r="BL327" s="140"/>
      <c r="BM327" s="40"/>
      <c r="BN327" s="41"/>
      <c r="BP327" s="62"/>
      <c r="BQ327" s="140"/>
      <c r="BR327" s="40"/>
      <c r="BS327" s="41"/>
      <c r="BU327" s="62"/>
      <c r="BV327" s="41"/>
      <c r="BW327" s="40"/>
      <c r="BX327" s="41"/>
      <c r="BZ327" s="61"/>
      <c r="CA327" s="41"/>
      <c r="CB327" s="40"/>
      <c r="CC327" s="41"/>
      <c r="CD327" s="140"/>
      <c r="CE327" s="61"/>
      <c r="CF327" s="41"/>
      <c r="CG327" s="40"/>
      <c r="CH327" s="41"/>
      <c r="CJ327" s="141"/>
      <c r="CK327" s="140"/>
      <c r="CL327" s="139"/>
      <c r="CM327" s="140"/>
      <c r="CO327" s="223"/>
      <c r="CP327" s="41"/>
      <c r="CQ327" s="40"/>
      <c r="CR327" s="41"/>
      <c r="CT327" s="62"/>
      <c r="CU327" s="41"/>
      <c r="CV327" s="40"/>
      <c r="CW327" s="41"/>
      <c r="CY327" s="62"/>
      <c r="CZ327" s="41"/>
      <c r="DA327" s="40"/>
      <c r="DB327" s="41"/>
      <c r="DD327" s="46"/>
      <c r="DE327" s="41"/>
      <c r="DF327" s="40"/>
      <c r="DG327" s="41"/>
      <c r="DI327" s="60">
        <v>5</v>
      </c>
      <c r="DJ327" s="41">
        <f>DJ8*DI327+DK8*DI327+DL8*DI327+DJ12*DI327+DK12*DI327+DL12*DI327+DJ15*DI327+DK15*DI327+DL15*DI327</f>
        <v>0</v>
      </c>
      <c r="DK327" s="64"/>
      <c r="DL327" s="64"/>
      <c r="DN327" s="60">
        <v>5</v>
      </c>
      <c r="DO327" s="41">
        <f>DO8*DN327+DP8*DN327+DQ8*DN327+DO12*DN327+DP12*DN327+DQ12*DN327+DO15*DN327+DP15*DN327+DQ15*DN327</f>
        <v>0</v>
      </c>
      <c r="DP327" s="64"/>
      <c r="DQ327" s="64"/>
      <c r="DS327" s="135">
        <v>3</v>
      </c>
      <c r="DT327" s="140">
        <f>DT5*DS328+DT6*DS328+DT9*DS328+DT10*DS328+DT13*DS328+DU5*DS328+DU6*DS328+DU9*DS328+DU10*DS328+DU13*DS328+DV5*DS328+DV6*DS328+DV9*DS328+DV10*DS328+DV13*DS328</f>
        <v>0</v>
      </c>
      <c r="DU327" s="64"/>
      <c r="DV327" s="64"/>
      <c r="DX327" s="135">
        <v>3</v>
      </c>
      <c r="DY327" s="140">
        <f>DY5*DX328+DY6*DX328+DY9*DX328+DY10*DX328+DY13*DX328+DZ5*DX328+DZ6*DX328+DZ9*DX328+DZ10*DX328+DZ13*DX328+EA5*DX328+EA6*DX328+EA9*DX328+EA10*DX328+EA13*DX328</f>
        <v>0</v>
      </c>
      <c r="DZ327" s="64"/>
      <c r="EA327" s="64"/>
      <c r="EC327" s="135">
        <v>3</v>
      </c>
      <c r="ED327" s="140">
        <f>ED5*EC328+ED6*EC328+ED9*EC328+ED10*EC328+ED13*EC328+EE5*EC328+EE6*EC328+EE9*EC328+EE10*EC328+EE13*EC328+EF5*EC328+EF6*EC328+EF9*EC328+EF10*EC328+EF13*EC328</f>
        <v>0</v>
      </c>
      <c r="EE327" s="64"/>
      <c r="EF327" s="64"/>
      <c r="EH327" s="135">
        <v>3</v>
      </c>
      <c r="EI327" s="140">
        <f>EI5*EH328+EI6*EH328+EI9*EH328+EI10*EH328+EI13*EH328+EJ5*EH328+EJ6*EH328+EJ9*EH328+EJ10*EH328+EJ13*EH328+EK5*EH328+EK6*EH328+EK9*EH328+EK10*EH328+EK13*EH328</f>
        <v>0</v>
      </c>
      <c r="EJ327" s="64"/>
      <c r="EK327" s="64"/>
      <c r="ER327" s="855"/>
      <c r="EX327" s="203">
        <f t="shared" si="2"/>
        <v>0</v>
      </c>
    </row>
    <row r="328" spans="1:155" s="6" customFormat="1" ht="15" customHeight="1">
      <c r="A328" s="150" t="s">
        <v>221</v>
      </c>
      <c r="B328" s="210" t="s">
        <v>221</v>
      </c>
      <c r="C328" s="473" t="s">
        <v>515</v>
      </c>
      <c r="D328" s="138"/>
      <c r="E328" s="62">
        <v>3</v>
      </c>
      <c r="F328" s="140">
        <f>SUM(F5:F15,G5:G15,H5:H15)*E328</f>
        <v>0</v>
      </c>
      <c r="G328" s="140"/>
      <c r="H328" s="140"/>
      <c r="I328" s="4"/>
      <c r="J328" s="4"/>
      <c r="K328" s="4"/>
      <c r="L328" s="4"/>
      <c r="M328" s="4"/>
      <c r="N328" s="4"/>
      <c r="O328" s="4"/>
      <c r="P328" s="4"/>
      <c r="Q328" s="4"/>
      <c r="R328" s="40"/>
      <c r="S328" s="41"/>
      <c r="T328" s="140"/>
      <c r="U328" s="41"/>
      <c r="W328" s="40"/>
      <c r="X328" s="41"/>
      <c r="Y328" s="41"/>
      <c r="Z328" s="41"/>
      <c r="AB328" s="40"/>
      <c r="AC328" s="41"/>
      <c r="AD328" s="41"/>
      <c r="AE328" s="41"/>
      <c r="AG328" s="40"/>
      <c r="AH328" s="41"/>
      <c r="AI328" s="41"/>
      <c r="AJ328" s="41"/>
      <c r="AL328" s="40"/>
      <c r="AM328" s="41"/>
      <c r="AN328" s="41"/>
      <c r="AO328" s="41"/>
      <c r="AQ328" s="40"/>
      <c r="AR328" s="41"/>
      <c r="AS328" s="41"/>
      <c r="AT328" s="41"/>
      <c r="AV328" s="51"/>
      <c r="AW328" s="140"/>
      <c r="AX328" s="139"/>
      <c r="AY328" s="140"/>
      <c r="BA328" s="51"/>
      <c r="BB328" s="140"/>
      <c r="BC328" s="139"/>
      <c r="BD328" s="41"/>
      <c r="BF328" s="60">
        <v>3</v>
      </c>
      <c r="BG328" s="41">
        <f>SUM(BG5:BG7,BH5:BH7,BI5:BI7,BG9:BG11,BH9:BH11,BI9:BI11,BG13:BG15,BH13:BH15,BI13:BI15)*BF328</f>
        <v>0</v>
      </c>
      <c r="BH328" s="40"/>
      <c r="BI328" s="41"/>
      <c r="BK328" s="142">
        <v>3</v>
      </c>
      <c r="BL328" s="140">
        <f>SUM(BL5:BL15,BM5:BM15,BN5:BN15)*BK328</f>
        <v>0</v>
      </c>
      <c r="BM328" s="40"/>
      <c r="BN328" s="41"/>
      <c r="BP328" s="62">
        <v>3</v>
      </c>
      <c r="BQ328" s="140">
        <f>SUM(BQ5:BQ15,BR5:BR15,BS5:BS15)*BP328</f>
        <v>0</v>
      </c>
      <c r="BR328" s="40"/>
      <c r="BS328" s="41"/>
      <c r="BU328" s="62"/>
      <c r="BV328" s="41"/>
      <c r="BW328" s="40"/>
      <c r="BX328" s="41"/>
      <c r="BZ328" s="61">
        <v>3</v>
      </c>
      <c r="CA328" s="41">
        <f>SUM(CA5:CC5,CA6:CC6,CA7:CC7,CA9:CA11,CB9:CB11,CC9:CC11,CA13:CC13,CA14:CC14)*BZ328</f>
        <v>0</v>
      </c>
      <c r="CB328" s="40"/>
      <c r="CC328" s="41"/>
      <c r="CD328" s="140"/>
      <c r="CE328" s="61">
        <v>3</v>
      </c>
      <c r="CF328" s="41">
        <f>SUM(CF5:CH5,CF6:CH6,CF7:CH7,CF9:CF11,CG9:CG11,CH9:CH11,CF13:CH13,CF14:CH14)*CE328</f>
        <v>0</v>
      </c>
      <c r="CG328" s="40"/>
      <c r="CH328" s="41"/>
      <c r="CJ328" s="141">
        <v>0</v>
      </c>
      <c r="CK328" s="140">
        <f>CK5*CJ328+CK6*CJ328+CK7*CJ328+CK9*CJ328+CK10*CJ328+CK11*CJ328+CK13*CJ328+CK14*CJ328+CL5*CJ328+CL6*CJ328+CL7*CJ328+CL9*CJ328+CL10*CJ328+CL11*CJ328+CL13*CJ328+CL14*CJ328+CM5*CJ328+CM6*CJ328+CM7*CJ328+CM9*CJ328+CM10*CJ328+CM11*CJ328+CM13*CJ328+CM14*CJ328</f>
        <v>0</v>
      </c>
      <c r="CL328" s="139"/>
      <c r="CM328" s="140"/>
      <c r="CO328" s="223">
        <v>3</v>
      </c>
      <c r="CP328" s="41">
        <f>CP5*CO328+CP6*CO328+CP7*CO328+CP9*CO328+CP10*CO328+CP11*CO328+CP13*CO328+CP14*CO328+CQ5*CO328+CQ6*CO328+CQ7*CO328+CQ9*CO328+CQ10*CO328+CQ11*CO328+CQ13*CO328+CQ14*CO328+CR5*CO328+CR6*CO328+CR7*CO328+CR9*CO328+CR10*CO328+CR11*CO328+CR13*CO328+CR14*CO328</f>
        <v>0</v>
      </c>
      <c r="CQ328" s="40"/>
      <c r="CR328" s="41"/>
      <c r="CT328" s="62">
        <v>3</v>
      </c>
      <c r="CU328" s="41">
        <f>CU5*CT328+CU9*CT328+CU13*CT328+CU14*CT328+CV5*CT328+CV9*CT328+CV13*CT328+CV14*CT328+CW5*CT328+CW9*CT328+CW13*CT328+CW14*CT328</f>
        <v>0</v>
      </c>
      <c r="CV328" s="40"/>
      <c r="CW328" s="41"/>
      <c r="CY328" s="62" t="s">
        <v>1018</v>
      </c>
      <c r="CZ328" s="41">
        <f>SUM(CZ5:CZ7,CZ9:CZ11,CZ13:CZ14,DA5:DA7,DA9:DA11,DA13:DA14,DB5:DB7,DB9:DB11,DB13:DB14)*3+SUM(CZ16:DB16,CZ20:DB20)*2</f>
        <v>0</v>
      </c>
      <c r="DA328" s="40"/>
      <c r="DB328" s="41"/>
      <c r="DD328" s="46">
        <v>3</v>
      </c>
      <c r="DE328" s="41">
        <f>DE5*DD328+DE6*DD328+DE7*DD328+DE9*DD328+DE10*DD328+DE11*DD328+DE13*DD328+DE14*DD328+DF5*DD328+DF6*DD328+DF7*DD328+DF9*DD328+DF10*DD328+DF11*DD328+DF13*DD328+DF14*DD328+DG5*DD328+DG6*DD328+DG7*DD328+DG9*DD328+DG10*DD328+DG11*DD328+DG13*DD328+DG14*DD328</f>
        <v>0</v>
      </c>
      <c r="DF328" s="40"/>
      <c r="DG328" s="41"/>
      <c r="DI328" s="60">
        <v>3</v>
      </c>
      <c r="DJ328" s="41">
        <f>DJ5*DI328+DJ6*DI328+DJ7*DI328+DJ9*DI328+DJ10*DI328+DJ11*DI328+DJ13*DI328+DJ14*DI328+DK5*DI328+DK6*DI328+DK7*DI328+DK9*DI328+DK10*DI328+DK11*DI328+DK13*DI328+DK14*DI328+DL5*DI328+DL6*DI328+DL7*DI328+DL9*DI328+DL10*DI328+DL11*DI328+DL13*DI328+DL14*DI328</f>
        <v>0</v>
      </c>
      <c r="DK328" s="64"/>
      <c r="DL328" s="64"/>
      <c r="DN328" s="60">
        <v>3</v>
      </c>
      <c r="DO328" s="41">
        <f>DO5*DN328+DO6*DN328+DO7*DN328+DO9*DN328+DO10*DN328+DO11*DN328+DO13*DN328+DO14*DN328+DP5*DN328+DP6*DN328+DP7*DN328+DP9*DN328+DP10*DN328+DP11*DN328+DP13*DN328+DP14*DN328+DQ5*DN328+DQ6*DN328+DQ7*DN328+DQ9*DN328+DQ10*DN328+DQ11*DN328+DQ13*DN328+DQ14*DN328</f>
        <v>0</v>
      </c>
      <c r="DP328" s="64"/>
      <c r="DQ328" s="64"/>
      <c r="DS328" s="135">
        <v>3</v>
      </c>
      <c r="DT328" s="140">
        <f>DT7*DS328+DT11*DS328+DT14*DS328+DU7*DS328+DU11*DS328+DU14*DS328+DV7*DS328+DV11*DS328+DV14*DS328</f>
        <v>0</v>
      </c>
      <c r="DU328" s="64"/>
      <c r="DV328" s="64"/>
      <c r="DX328" s="135">
        <v>3</v>
      </c>
      <c r="DY328" s="140">
        <f>DY7*DX328+DY11*DX328+DY14*DX328+DZ7*DX328+DZ11*DX328+DZ14*DX328+EA7*DX328+EA11*DX328+EA14*DX328</f>
        <v>0</v>
      </c>
      <c r="DZ328" s="64"/>
      <c r="EA328" s="64"/>
      <c r="EC328" s="135">
        <v>3</v>
      </c>
      <c r="ED328" s="140">
        <f>ED7*EC328+ED11*EC328+ED14*EC328+EE7*EC328+EE11*EC328+EE14*EC328+EF7*EC328+EF11*EC328+EF14*EC328</f>
        <v>0</v>
      </c>
      <c r="EE328" s="64"/>
      <c r="EF328" s="64"/>
      <c r="EH328" s="135">
        <v>3</v>
      </c>
      <c r="EI328" s="140">
        <f>EI7*EH328+EI11*EH328+EI14*EH328+EJ7*EH328+EJ11*EH328+EJ14*EH328+EK7*EH328+EK11*EH328+EK14*EH328</f>
        <v>0</v>
      </c>
      <c r="EJ328" s="64"/>
      <c r="EK328" s="64"/>
      <c r="ER328" s="855"/>
      <c r="EX328" s="203">
        <f t="shared" si="2"/>
        <v>0</v>
      </c>
    </row>
    <row r="329" spans="1:155" s="6" customFormat="1" ht="15" customHeight="1">
      <c r="A329" s="150" t="s">
        <v>222</v>
      </c>
      <c r="B329" s="210" t="s">
        <v>222</v>
      </c>
      <c r="C329" s="473" t="s">
        <v>515</v>
      </c>
      <c r="D329" s="138"/>
      <c r="E329" s="60" t="s">
        <v>155</v>
      </c>
      <c r="F329" s="140">
        <f>SUM(F8:H8,F12:H12,F15:H15)*3+SUM(F16:H16,F20:H20,F17:H17,F21:H21,F24:H24)*2</f>
        <v>0</v>
      </c>
      <c r="G329" s="140"/>
      <c r="H329" s="140"/>
      <c r="I329" s="4"/>
      <c r="J329" s="4"/>
      <c r="K329" s="4"/>
      <c r="L329" s="4"/>
      <c r="M329" s="4"/>
      <c r="N329" s="4"/>
      <c r="O329" s="4"/>
      <c r="P329" s="4"/>
      <c r="Q329" s="4"/>
      <c r="R329" s="40"/>
      <c r="S329" s="41"/>
      <c r="T329" s="140"/>
      <c r="U329" s="41"/>
      <c r="W329" s="40"/>
      <c r="X329" s="41"/>
      <c r="Y329" s="41"/>
      <c r="Z329" s="41"/>
      <c r="AB329" s="40"/>
      <c r="AC329" s="41"/>
      <c r="AD329" s="41"/>
      <c r="AE329" s="41"/>
      <c r="AG329" s="40"/>
      <c r="AH329" s="41"/>
      <c r="AI329" s="41"/>
      <c r="AJ329" s="41"/>
      <c r="AL329" s="40"/>
      <c r="AM329" s="41"/>
      <c r="AN329" s="41"/>
      <c r="AO329" s="41"/>
      <c r="AQ329" s="40"/>
      <c r="AR329" s="41"/>
      <c r="AS329" s="41"/>
      <c r="AT329" s="41"/>
      <c r="AV329" s="51"/>
      <c r="AW329" s="140"/>
      <c r="AX329" s="139"/>
      <c r="AY329" s="140"/>
      <c r="BA329" s="51"/>
      <c r="BB329" s="140"/>
      <c r="BC329" s="139"/>
      <c r="BD329" s="41"/>
      <c r="BF329" s="60" t="s">
        <v>155</v>
      </c>
      <c r="BG329" s="41">
        <f>SUM(BG8:BI8,BG12:BI12,BG15:BI15)*3+SUM(BG16:BG18,BH16:BH18,BI16:BI18,BG20:BG22,BH20:BH22,BI20:BI22,BG24:BG26,BH24:BH26,BI24:BI26)*2</f>
        <v>0</v>
      </c>
      <c r="BH329" s="40"/>
      <c r="BI329" s="41"/>
      <c r="BK329" s="60" t="s">
        <v>155</v>
      </c>
      <c r="BL329" s="140">
        <f>SUM(BL8:BN8,BL12:BN12,BL15:BN15)*3+SUM(BL16:BN16,BL20:BN20,BL17:BN17,BL21:BN21,BL24:BN24)*2</f>
        <v>0</v>
      </c>
      <c r="BM329" s="40"/>
      <c r="BN329" s="41"/>
      <c r="BP329" s="60" t="s">
        <v>155</v>
      </c>
      <c r="BQ329" s="140">
        <f>SUM(BQ8:BS8,BQ12:BS12,BQ15:BS15)*3+SUM(BQ16:BS16,BQ20:BS20,BQ17:BS17,BQ21:BS21,BQ24:BS24)*2</f>
        <v>0</v>
      </c>
      <c r="BR329" s="40"/>
      <c r="BS329" s="41"/>
      <c r="BU329" s="62"/>
      <c r="BV329" s="41"/>
      <c r="BW329" s="40"/>
      <c r="BX329" s="41"/>
      <c r="BZ329" s="61" t="s">
        <v>155</v>
      </c>
      <c r="CA329" s="41">
        <f>SUM(CA5:CA15,CB5:CB15,CC5:CC15)*3+SUM(CA16:CC16,CA17:CC17)*2+SUM(CA18:CA26,CB18:CB26,CC18:CC26)*2</f>
        <v>0</v>
      </c>
      <c r="CB329" s="40"/>
      <c r="CC329" s="41"/>
      <c r="CD329" s="140"/>
      <c r="CE329" s="61" t="s">
        <v>155</v>
      </c>
      <c r="CF329" s="41">
        <f>SUM(CF5:CF15,CG5:CG15,CH5:CH15)*3+SUM(CF16:CH16,CF17:CH17)*2+SUM(CF18:CF26,CG18:CG26,CH18:CH26)*2</f>
        <v>0</v>
      </c>
      <c r="CG329" s="40"/>
      <c r="CH329" s="41"/>
      <c r="CJ329" s="141">
        <v>0</v>
      </c>
      <c r="CK329" s="140">
        <f>CK12*CJ329+CK15*CJ329+CK8*CJ329+CL12*CJ329+CL15*CJ329+CL8*CJ329+CM12*CJ329+CM15*CJ329+CM8*CJ329+CK16*2+CK17*2+CK18*2+CK20*2+CK21*2+CK22*2+CK24*2+CK25*2+CL16*2+CL17*2+CL18*2+CL20*2+CL21*2+CL22*2+CL24*2+CL25*2+CM16*2+CM17*2+CM18*2+CM20*2+CM21*2+CM22*2+CM24*2+CM25*2</f>
        <v>0</v>
      </c>
      <c r="CL329" s="139"/>
      <c r="CM329" s="140"/>
      <c r="CO329" s="223">
        <v>3</v>
      </c>
      <c r="CP329" s="41">
        <f>CP12*CO329+CP15*CO329+CP8*CO329+CQ12*CO329+CQ15*CO329+CQ8*CO329+CR12*CO329+CR15*CO329+CR8*CO329+CP16*2+CP17*2+CP18*2+CP20*2+CP21*2+CP22*2+CP24*2+CP25*2+CQ16*2+CQ17*2+CQ18*2+CQ20*2+CQ21*2+CQ22*2+CQ24*2+CQ25*2+CR16*2+CR17*2+CR18*2+CR20*2+CR21*2+CR22*2+CR24*2+CR25*2</f>
        <v>0</v>
      </c>
      <c r="CQ329" s="40"/>
      <c r="CR329" s="41"/>
      <c r="CT329" s="62">
        <v>3</v>
      </c>
      <c r="CU329" s="41">
        <f>CU11*CT329+CU14*CT329+CU7*CT329+CV11*CT329+CV14*CT329+CV7*CT329+CW11*CT329+CW14*CT329+CW7*CT329+CU10*CT329+CU13*CT329+CU6*CT329+CV10*CT329+CV13*CT329+CV6*CT329+CW10*CT329+CW13*CT329+CW6*CT329+CU16*2+CV16*2+CW16*2</f>
        <v>0</v>
      </c>
      <c r="CV329" s="40"/>
      <c r="CW329" s="41"/>
      <c r="CY329" s="62" t="s">
        <v>1018</v>
      </c>
      <c r="CZ329" s="41">
        <f>SUM(CZ5:DB5,CZ9:DB9,CZ8:DB8,CZ12:DB12,CZ15:DB15)*3+SUM(CZ17:DB17,CZ18:DB18,CZ21:DB21,CZ22:DB22,CZ24:DB24,CZ25:DB25)*2</f>
        <v>0</v>
      </c>
      <c r="DA329" s="40"/>
      <c r="DB329" s="41"/>
      <c r="DD329" s="46">
        <v>3</v>
      </c>
      <c r="DE329" s="41">
        <f>DE12*DD329+DE15*DD329+DE8*DD329+DF12*DD329+DF15*DD329+DF8*DD329+DG12*DD329+DG15*DD329+DG8*DD329</f>
        <v>0</v>
      </c>
      <c r="DF329" s="40"/>
      <c r="DG329" s="41"/>
      <c r="DI329" s="60">
        <v>3</v>
      </c>
      <c r="DJ329" s="41">
        <f>DJ12*DI329+DJ15*DI329+DJ8*DI329+DK12*DI329+DK15*DI329+DK8*DI329+DL12*DI329+DL15*DI329+DL8*DI329+DJ16*2+DJ17*2+DJ18*2+DJ20*2+DJ21*2+DJ22*2+DJ24*2+DJ25*2+DK16*2+DK17*2+DK18*2+DK20*2+DK21*2+DK22*2+DK24*2+DK25*2+DL16*2+DL17*2+DL18*2+DL20*2+DL21*2+DL22*2+DL24*2+DL25*2</f>
        <v>0</v>
      </c>
      <c r="DK329" s="64"/>
      <c r="DL329" s="64"/>
      <c r="DN329" s="60">
        <v>3</v>
      </c>
      <c r="DO329" s="41">
        <f>DO12*DN329+DO15*DN329+DO8*DN329+DP12*DN329+DP15*DN329+DP8*DN329+DQ12*DN329+DQ15*DN329+DQ8*DN329+DO16*2+DO17*2+DO18*2+DO20*2+DO21*2+DO22*2+DO24*2+DO25*2+DP16*2+DP17*2+DP18*2+DP20*2+DP21*2+DP22*2+DP24*2+DP25*2+DQ16*2+DQ17*2+DQ18*2+DQ20*2+DQ21*2+DQ22*2+DQ24*2+DQ25*2</f>
        <v>0</v>
      </c>
      <c r="DP329" s="64"/>
      <c r="DQ329" s="64"/>
      <c r="DS329" s="142" t="s">
        <v>514</v>
      </c>
      <c r="DT329" s="140">
        <f>DT8*5+DU8*5+DV8*5+DT12*5+DU12*5+DV12*5+DT15*5+DU15*5+DV15*5</f>
        <v>0</v>
      </c>
      <c r="DU329" s="64"/>
      <c r="DV329" s="64"/>
      <c r="DX329" s="142" t="s">
        <v>514</v>
      </c>
      <c r="DY329" s="140">
        <f>DY8*5+DZ8*5+EA8*5+DY12*5+DZ12*5+EA12*5+DY15*5+DZ15*5+EA15*5</f>
        <v>0</v>
      </c>
      <c r="DZ329" s="64"/>
      <c r="EA329" s="64"/>
      <c r="EC329" s="142" t="s">
        <v>514</v>
      </c>
      <c r="ED329" s="140">
        <f>ED8*5+EE8*5+EF8*5+ED12*5+EE12*5+EF12*5+ED15*5+EE15*5+EF15*5</f>
        <v>0</v>
      </c>
      <c r="EE329" s="64"/>
      <c r="EF329" s="64"/>
      <c r="EH329" s="142" t="s">
        <v>514</v>
      </c>
      <c r="EI329" s="140">
        <f>EI8*5+EJ8*5+EK8*5+EI12*5+EJ12*5+EK12*5+EI15*5+EJ15*5+EK15*5</f>
        <v>0</v>
      </c>
      <c r="EJ329" s="64"/>
      <c r="EK329" s="64"/>
      <c r="ER329" s="855"/>
      <c r="EX329" s="203">
        <f t="shared" si="2"/>
        <v>0</v>
      </c>
    </row>
    <row r="330" spans="1:155" s="6" customFormat="1" ht="15" customHeight="1">
      <c r="A330" s="150" t="s">
        <v>223</v>
      </c>
      <c r="B330" s="210" t="s">
        <v>223</v>
      </c>
      <c r="C330" s="473" t="s">
        <v>515</v>
      </c>
      <c r="D330" s="138"/>
      <c r="E330" s="62">
        <v>2</v>
      </c>
      <c r="F330" s="140">
        <f>SUM(F18:H18,F22:H22,F25:H25)*E330</f>
        <v>0</v>
      </c>
      <c r="G330" s="140"/>
      <c r="H330" s="140"/>
      <c r="I330" s="4"/>
      <c r="J330" s="4"/>
      <c r="K330" s="4"/>
      <c r="L330" s="4"/>
      <c r="M330" s="4"/>
      <c r="N330" s="4"/>
      <c r="O330" s="4"/>
      <c r="P330" s="4"/>
      <c r="Q330" s="4"/>
      <c r="R330" s="40"/>
      <c r="S330" s="41"/>
      <c r="T330" s="140"/>
      <c r="U330" s="41"/>
      <c r="W330" s="40"/>
      <c r="X330" s="41"/>
      <c r="Y330" s="41"/>
      <c r="Z330" s="41"/>
      <c r="AB330" s="40"/>
      <c r="AC330" s="41"/>
      <c r="AD330" s="41"/>
      <c r="AE330" s="41"/>
      <c r="AG330" s="40"/>
      <c r="AH330" s="41"/>
      <c r="AI330" s="41"/>
      <c r="AJ330" s="41"/>
      <c r="AL330" s="40"/>
      <c r="AM330" s="41"/>
      <c r="AN330" s="41"/>
      <c r="AO330" s="41"/>
      <c r="AQ330" s="40"/>
      <c r="AR330" s="41"/>
      <c r="AS330" s="41"/>
      <c r="AT330" s="41"/>
      <c r="AV330" s="51"/>
      <c r="AW330" s="140"/>
      <c r="AX330" s="139"/>
      <c r="AY330" s="140"/>
      <c r="BA330" s="51"/>
      <c r="BB330" s="140"/>
      <c r="BC330" s="139"/>
      <c r="BD330" s="41"/>
      <c r="BF330" s="60">
        <v>2</v>
      </c>
      <c r="BG330" s="41">
        <f>SUM(BG19:BI19,BG23:BI23,BG26:BI26)*BF330</f>
        <v>0</v>
      </c>
      <c r="BH330" s="40"/>
      <c r="BI330" s="41"/>
      <c r="BK330" s="142">
        <v>2</v>
      </c>
      <c r="BL330" s="140">
        <f>SUM(BL18:BN18,BL22:BN22,BL25:BN25)*BK330</f>
        <v>0</v>
      </c>
      <c r="BM330" s="40"/>
      <c r="BN330" s="41"/>
      <c r="BP330" s="62">
        <v>2</v>
      </c>
      <c r="BQ330" s="140">
        <f>SUM(BQ18:BS18,BQ22:BS22,BQ25:BS25)*BP330</f>
        <v>0</v>
      </c>
      <c r="BR330" s="40"/>
      <c r="BS330" s="41"/>
      <c r="BU330" s="62" t="s">
        <v>1018</v>
      </c>
      <c r="BV330" s="41">
        <f>SUM(BV5:BV7,BV9:BV11,BV13:BV14,BW5:BW7,BW9:BW11,BW13:BW14,BX5:BX7,BX9:BX11,BX13:BX14)*2+SUM(BV16:BX16,BV20:BX20)*2</f>
        <v>0</v>
      </c>
      <c r="BW330" s="40"/>
      <c r="BX330" s="41"/>
      <c r="BZ330" s="61" t="s">
        <v>155</v>
      </c>
      <c r="CA330" s="41">
        <f>SUM(CA8:CC8,CA12:CC12,CA15:CC15)*3+SUM(CA16:CA26,CB16:CB26,CC16:CC26)*2</f>
        <v>0</v>
      </c>
      <c r="CB330" s="40"/>
      <c r="CC330" s="41"/>
      <c r="CD330" s="140"/>
      <c r="CE330" s="61" t="s">
        <v>155</v>
      </c>
      <c r="CF330" s="41">
        <f>SUM(CF8:CH8,CF12:CH12,CF15:CH15)*3+SUM(CF16:CF26,CG16:CG26,CH16:CH26)*2</f>
        <v>0</v>
      </c>
      <c r="CG330" s="40"/>
      <c r="CH330" s="41"/>
      <c r="CJ330" s="141">
        <v>0</v>
      </c>
      <c r="CK330" s="140">
        <f>CK19*CJ330+CK23*CJ330+CK26*CJ330+CL19*CJ330+CL23*CJ330+CL26*CJ330+CM19*CJ330+CM23*CJ330+CM26*CJ330</f>
        <v>0</v>
      </c>
      <c r="CL330" s="139"/>
      <c r="CM330" s="140"/>
      <c r="CO330" s="223">
        <v>2</v>
      </c>
      <c r="CP330" s="41">
        <f>CP19*CO330+CP23*CO330+CP26*CO330+CQ19*CO330+CQ23*CO330+CQ26*CO330+CR19*CO330+CR23*CO330+CR26*CO330</f>
        <v>0</v>
      </c>
      <c r="CQ330" s="40"/>
      <c r="CR330" s="41"/>
      <c r="CT330" s="62">
        <v>3</v>
      </c>
      <c r="CU330" s="41">
        <f>CU12*CT330+CU15*CT330+CU8*CT330+CV12*CT330+CV15*CT330+CV8*CT330+CW12*CT330+CW15*CT330+CW8*CT330+CU17*2+CU21*2+CU24*2+CV17*2+CV21*2+CV24*2+CW17*2+CW21*2+CW24*2+CU18*2+CU22*2+CU25*2+CV18*2+CV22*2+CV25*2+CW18*2+CW22*2+CW25*2</f>
        <v>0</v>
      </c>
      <c r="CV330" s="40"/>
      <c r="CW330" s="41"/>
      <c r="CY330" s="62" t="s">
        <v>1018</v>
      </c>
      <c r="CZ330" s="41">
        <f>SUM(CZ6:DB6,CZ7:DB7,CZ10:DB10,CZ11:DB11,CZ13:DB13,CZ14:DB14)*3+SUM(CZ16:DB16,CZ17:DB17,CZ21:DB21,CZ20:DB20,CZ24:DB24,CZ23:DB23)*2</f>
        <v>0</v>
      </c>
      <c r="DA330" s="40"/>
      <c r="DB330" s="41"/>
      <c r="DD330" s="46">
        <v>2</v>
      </c>
      <c r="DE330" s="41">
        <f>DE5*DD330+DE6*DD330+DE7*DD330+DE9*DD330+DE10*DD330+DE11*DD330+DE13*DD330+DE14*DD330+DF5*DD330+DF6*DD330+DF7*DD330+DF9*DD330+DF10*DD330+DF11*DD330+DF13*DD330+DF14*DD330+DG5*DD330+DG6*DD330+DG7*DD330+DG9*DD330+DG10*DD330+DG11*DD330+DG13*DD330+DG14*DD330</f>
        <v>0</v>
      </c>
      <c r="DF330" s="40"/>
      <c r="DG330" s="41"/>
      <c r="DI330" s="60">
        <v>3</v>
      </c>
      <c r="DJ330" s="41">
        <f>DJ12*DI330+DJ15*DI330+DJ8*DI330+DK12*DI330+DK15*DI330+DK8*DI330+DL12*DI330+DL15*DI330+DL8*DI330+DJ16*2+DJ17*2+DJ18*2+DJ20*2+DJ21*2+DJ22*2+DJ24*2+DJ25*2+DK16*2+DK17*2+DK18*2+DK20*2+DK21*2+DK22*2+DK24*2+DK25*2+DL16*2+DL17*2+DL18*2+DL20*2+DL21*2+DL22*2+DL24*2+DL25*2</f>
        <v>0</v>
      </c>
      <c r="DK330" s="64"/>
      <c r="DL330" s="64"/>
      <c r="DN330" s="60">
        <v>3</v>
      </c>
      <c r="DO330" s="41">
        <f>DO12*DN330+DO15*DN330+DO8*DN330+DP12*DN330+DP15*DN330+DP8*DN330+DQ12*DN330+DQ15*DN330+DQ8*DN330+DO16*2+DO17*2+DO18*2+DO20*2+DO21*2+DO22*2+DO24*2+DO25*2+DP16*2+DP17*2+DP18*2+DP20*2+DP21*2+DP22*2+DP24*2+DP25*2+DQ16*2+DQ17*2+DQ18*2+DQ20*2+DQ21*2+DQ22*2+DQ24*2+DQ25*2</f>
        <v>0</v>
      </c>
      <c r="DP330" s="64"/>
      <c r="DQ330" s="64"/>
      <c r="DS330" s="135">
        <v>3</v>
      </c>
      <c r="DT330" s="41">
        <f>DT12*DS330+DT15*DS330+DT8*DS330+DU12*DS330+DU15*DS330+DU8*DS330+DV12*DS330+DV15*DS330+DV8*DS330+DT16*2+DT17*2+DT18*2+DT20*2+DT21*2+DT22*2+DT24*2+DT25*2+DU16*2+DU17*2+DU18*2+DU20*2+DU21*2+DU22*2+DU24*2+DU25*2+DV16*2+DV17*2+DV18*2+DV20*2+DV21*2+DV22*2+DV24*2+DV25*2</f>
        <v>0</v>
      </c>
      <c r="DU330" s="64"/>
      <c r="DV330" s="64"/>
      <c r="DX330" s="135">
        <v>3</v>
      </c>
      <c r="DY330" s="41">
        <f>DY12*DX330+DY15*DX330+DY8*DX330+DZ12*DX330+DZ15*DX330+DZ8*DX330+EA12*DX330+EA15*DX330+EA8*DX330+DY16*2+DY17*2+DY18*2+DY20*2+DY21*2+DY22*2+DY24*2+DY25*2+DZ16*2+DZ17*2+DZ18*2+DZ20*2+DZ21*2+DZ22*2+DZ24*2+DZ25*2+EA16*2+EA17*2+EA18*2+EA20*2+EA21*2+EA22*2+EA24*2+EA25*2</f>
        <v>0</v>
      </c>
      <c r="DZ330" s="64"/>
      <c r="EA330" s="64"/>
      <c r="EC330" s="135">
        <v>3</v>
      </c>
      <c r="ED330" s="41">
        <f>ED12*EC330+ED15*EC330+ED8*EC330+EE12*EC330+EE15*EC330+EE8*EC330+EF12*EC330+EF15*EC330+EF8*EC330+ED16*2+ED17*2+ED18*2+ED20*2+ED21*2+ED22*2+ED24*2+ED25*2+EE16*2+EE17*2+EE18*2+EE20*2+EE21*2+EE22*2+EE24*2+EE25*2+EF16*2+EF17*2+EF18*2+EF20*2+EF21*2+EF22*2+EF24*2+EF25*2</f>
        <v>0</v>
      </c>
      <c r="EE330" s="64"/>
      <c r="EF330" s="64"/>
      <c r="EH330" s="135">
        <v>3</v>
      </c>
      <c r="EI330" s="41">
        <f>EI12*EH330+EI15*EH330+EI8*EH330+EJ12*EH330+EJ15*EH330+EJ8*EH330+EK12*EH330+EK15*EH330+EK8*EH330+EI16*2+EI17*2+EI18*2+EI20*2+EI21*2+EI22*2+EI24*2+EI25*2+EJ16*2+EJ17*2+EJ18*2+EJ20*2+EJ21*2+EJ22*2+EJ24*2+EJ25*2+EK16*2+EK17*2+EK18*2+EK20*2+EK21*2+EK22*2+EK24*2+EK25*2</f>
        <v>0</v>
      </c>
      <c r="EJ330" s="64"/>
      <c r="EK330" s="64"/>
      <c r="ER330" s="855"/>
      <c r="EX330" s="203">
        <f t="shared" si="2"/>
        <v>0</v>
      </c>
    </row>
    <row r="331" spans="1:155" s="6" customFormat="1" ht="15" customHeight="1">
      <c r="A331" s="150" t="s">
        <v>228</v>
      </c>
      <c r="B331" s="210" t="s">
        <v>228</v>
      </c>
      <c r="C331" s="473" t="s">
        <v>515</v>
      </c>
      <c r="D331" s="138"/>
      <c r="E331" s="62">
        <v>2</v>
      </c>
      <c r="F331" s="140">
        <f>SUM(F19:H19,F23:H23,F25:H25)*E331</f>
        <v>0</v>
      </c>
      <c r="G331" s="140"/>
      <c r="H331" s="140"/>
      <c r="I331" s="4"/>
      <c r="J331" s="4"/>
      <c r="K331" s="4"/>
      <c r="L331" s="4"/>
      <c r="M331" s="4"/>
      <c r="N331" s="4"/>
      <c r="O331" s="4"/>
      <c r="P331" s="4"/>
      <c r="Q331" s="4"/>
      <c r="R331" s="40"/>
      <c r="S331" s="41"/>
      <c r="T331" s="140"/>
      <c r="U331" s="41"/>
      <c r="W331" s="40"/>
      <c r="X331" s="41"/>
      <c r="Y331" s="41"/>
      <c r="Z331" s="41"/>
      <c r="AB331" s="40"/>
      <c r="AC331" s="41"/>
      <c r="AD331" s="41"/>
      <c r="AE331" s="41"/>
      <c r="AG331" s="40"/>
      <c r="AH331" s="41"/>
      <c r="AI331" s="41"/>
      <c r="AJ331" s="41"/>
      <c r="AL331" s="40"/>
      <c r="AM331" s="41"/>
      <c r="AN331" s="41"/>
      <c r="AO331" s="41"/>
      <c r="AQ331" s="40"/>
      <c r="AR331" s="41"/>
      <c r="AS331" s="41"/>
      <c r="AT331" s="41"/>
      <c r="AV331" s="51"/>
      <c r="AW331" s="140"/>
      <c r="AX331" s="139"/>
      <c r="AY331" s="140"/>
      <c r="BA331" s="51"/>
      <c r="BB331" s="140"/>
      <c r="BC331" s="139"/>
      <c r="BD331" s="41"/>
      <c r="BF331" s="60"/>
      <c r="BG331" s="41"/>
      <c r="BH331" s="40"/>
      <c r="BI331" s="41"/>
      <c r="BK331" s="142">
        <v>2</v>
      </c>
      <c r="BL331" s="140">
        <f>SUM(BL19:BN19,BL23:BN23,BL25:BN25)*BK331</f>
        <v>0</v>
      </c>
      <c r="BM331" s="40"/>
      <c r="BN331" s="41"/>
      <c r="BP331" s="62">
        <v>2</v>
      </c>
      <c r="BQ331" s="140">
        <f>SUM(BQ19:BS19,BQ23:BS23,BQ25:BS25)*BP331</f>
        <v>0</v>
      </c>
      <c r="BR331" s="40"/>
      <c r="BS331" s="41"/>
      <c r="BU331" s="62" t="s">
        <v>1018</v>
      </c>
      <c r="BV331" s="41">
        <f>SUM(BV5:BX5,BV9:BX9,BV8:BX8,BV12:BX12,BV15:BX15)*2+SUM(BV17:BX17,BV18:BX18,BV21:BX21,BV22:BX22,BV24:BX24,BV25:BX25)*2</f>
        <v>0</v>
      </c>
      <c r="BW331" s="40"/>
      <c r="BX331" s="41"/>
      <c r="BZ331" s="61" t="s">
        <v>155</v>
      </c>
      <c r="CA331" s="41">
        <f>SUM(CA18:CA26,CB18:CB26,CC18:CC26)*2</f>
        <v>0</v>
      </c>
      <c r="CB331" s="40"/>
      <c r="CC331" s="41"/>
      <c r="CD331" s="140"/>
      <c r="CE331" s="61" t="s">
        <v>155</v>
      </c>
      <c r="CF331" s="41">
        <f>SUM(CF18:CF26,CG18:CG26,CH18:CH26)*2</f>
        <v>0</v>
      </c>
      <c r="CG331" s="40"/>
      <c r="CH331" s="41"/>
      <c r="CJ331" s="141"/>
      <c r="CK331" s="140"/>
      <c r="CL331" s="139"/>
      <c r="CM331" s="140"/>
      <c r="CO331" s="223"/>
      <c r="CP331" s="41"/>
      <c r="CQ331" s="40"/>
      <c r="CR331" s="41"/>
      <c r="CT331" s="62">
        <v>2</v>
      </c>
      <c r="CU331" s="41">
        <f>CU19*CT331+CU23*CT331+CU26*CT331+CV19*CT331+CV23*CT331+CV26*CT331+CW19*CT331+CW23*CT331+CW26*CT331</f>
        <v>0</v>
      </c>
      <c r="CV331" s="40"/>
      <c r="CW331" s="41"/>
      <c r="CY331" s="62" t="s">
        <v>1018</v>
      </c>
      <c r="CZ331" s="41">
        <f>SUM(CZ8:DB8,CZ12:DB12,CZ15:DB15)*3+SUM(CZ18:DB18,CZ19:DB19,CZ23:DB23,CZ22:DB22,CZ26:DB26,CZ25:DB25)*2</f>
        <v>0</v>
      </c>
      <c r="DA331" s="40"/>
      <c r="DB331" s="41"/>
      <c r="DD331" s="46">
        <v>2</v>
      </c>
      <c r="DE331" s="41">
        <f>DE19*DD331+DE23*DD331+DE26*DD331+DF19*DD331+DF23*DD331+DF26*DD331+DG19*DD331+DG23*DD331+DG26*DD331</f>
        <v>0</v>
      </c>
      <c r="DF331" s="40"/>
      <c r="DG331" s="41"/>
      <c r="DI331" s="64">
        <v>2</v>
      </c>
      <c r="DJ331" s="64">
        <f>DJ19*DI331+DJ23*DI331+DJ26*DI331+DK19*DI331+DK23*DI331+DK26*DI331+DL19*DI331+DL23*DI331+DL26*DI331</f>
        <v>0</v>
      </c>
      <c r="DK331" s="64"/>
      <c r="DL331" s="64"/>
      <c r="DN331" s="64">
        <v>2</v>
      </c>
      <c r="DO331" s="64">
        <f>DO19*DN331+DO23*DN331+DO26*DN331+DP19*DN331+DP23*DN331+DP26*DN331+DQ19*DN331+DQ23*DN331+DQ26*DN331</f>
        <v>0</v>
      </c>
      <c r="DP331" s="64"/>
      <c r="DQ331" s="64"/>
      <c r="DS331" s="136">
        <v>2</v>
      </c>
      <c r="DT331" s="136">
        <f>DT19*DS331+DT23*DS331+DT26*DS331+DU19*DS331+DU23*DS331+DU26*DS331+DV19*DS331+DV23*DS331+DV26*DS331</f>
        <v>0</v>
      </c>
      <c r="DU331" s="64"/>
      <c r="DV331" s="64"/>
      <c r="DX331" s="136">
        <v>2</v>
      </c>
      <c r="DY331" s="136">
        <f>DY19*DX331+DY23*DX331+DY26*DX331+DZ19*DX331+DZ23*DX331+DZ26*DX331+EA19*DX331+EA23*DX331+EA26*DX331</f>
        <v>0</v>
      </c>
      <c r="DZ331" s="64"/>
      <c r="EA331" s="64"/>
      <c r="EC331" s="136">
        <v>2</v>
      </c>
      <c r="ED331" s="136">
        <f>ED19*EC331+ED23*EC331+ED26*EC331+EE19*EC331+EE23*EC331+EE26*EC331+EF19*EC331+EF23*EC331+EF26*EC331</f>
        <v>0</v>
      </c>
      <c r="EE331" s="64"/>
      <c r="EF331" s="64"/>
      <c r="EH331" s="136">
        <v>2</v>
      </c>
      <c r="EI331" s="136">
        <f>EI19*EH331+EI23*EH331+EI26*EH331+EJ19*EH331+EJ23*EH331+EJ26*EH331+EK19*EH331+EK23*EH331+EK26*EH331</f>
        <v>0</v>
      </c>
      <c r="EJ331" s="64"/>
      <c r="EK331" s="64"/>
      <c r="ER331" s="855"/>
      <c r="EX331" s="203">
        <f t="shared" si="2"/>
        <v>0</v>
      </c>
    </row>
    <row r="332" spans="1:155" s="6" customFormat="1" ht="15" customHeight="1">
      <c r="A332" s="857"/>
      <c r="B332" s="210" t="s">
        <v>1476</v>
      </c>
      <c r="C332" s="473" t="s">
        <v>515</v>
      </c>
      <c r="D332" s="138"/>
      <c r="E332" s="62"/>
      <c r="F332" s="140"/>
      <c r="G332" s="140"/>
      <c r="H332" s="140"/>
      <c r="I332" s="4"/>
      <c r="J332" s="4"/>
      <c r="K332" s="4"/>
      <c r="L332" s="4"/>
      <c r="M332" s="4"/>
      <c r="N332" s="4"/>
      <c r="O332" s="4"/>
      <c r="P332" s="4"/>
      <c r="Q332" s="4"/>
      <c r="R332" s="40"/>
      <c r="S332" s="41"/>
      <c r="T332" s="140"/>
      <c r="U332" s="41"/>
      <c r="W332" s="40"/>
      <c r="X332" s="41"/>
      <c r="Y332" s="41"/>
      <c r="Z332" s="41"/>
      <c r="AB332" s="40"/>
      <c r="AC332" s="41"/>
      <c r="AD332" s="41"/>
      <c r="AE332" s="41"/>
      <c r="AG332" s="40"/>
      <c r="AH332" s="41"/>
      <c r="AI332" s="41"/>
      <c r="AJ332" s="41"/>
      <c r="AL332" s="40"/>
      <c r="AM332" s="41"/>
      <c r="AN332" s="41"/>
      <c r="AO332" s="41"/>
      <c r="AQ332" s="40"/>
      <c r="AR332" s="41"/>
      <c r="AS332" s="41"/>
      <c r="AT332" s="41"/>
      <c r="AV332" s="51"/>
      <c r="AW332" s="140"/>
      <c r="AX332" s="139"/>
      <c r="AY332" s="140"/>
      <c r="BA332" s="51"/>
      <c r="BB332" s="140"/>
      <c r="BC332" s="139"/>
      <c r="BD332" s="41"/>
      <c r="BF332" s="60"/>
      <c r="BG332" s="41"/>
      <c r="BH332" s="40"/>
      <c r="BI332" s="41"/>
      <c r="BK332" s="142"/>
      <c r="BL332" s="140"/>
      <c r="BM332" s="40"/>
      <c r="BN332" s="41"/>
      <c r="BP332" s="62"/>
      <c r="BQ332" s="140"/>
      <c r="BR332" s="40"/>
      <c r="BS332" s="41"/>
      <c r="BU332" s="62" t="s">
        <v>1018</v>
      </c>
      <c r="BV332" s="41">
        <f>SUM(BV6:BX6,BV7:BX7,BV10:BX10,BV11:BX11,BV13:BX13,BV14:BX14)*2+SUM(BV16:BX16,BV17:BX17,BV21:BX21,BV20:BX20,BV24:BX24,BV23:BX23)*2</f>
        <v>0</v>
      </c>
      <c r="BW332" s="40"/>
      <c r="BX332" s="41"/>
      <c r="BZ332" s="61"/>
      <c r="CA332" s="41"/>
      <c r="CB332" s="40"/>
      <c r="CC332" s="41"/>
      <c r="CD332" s="140"/>
      <c r="CE332" s="61"/>
      <c r="CF332" s="41"/>
      <c r="CG332" s="40"/>
      <c r="CH332" s="41"/>
      <c r="CJ332" s="141"/>
      <c r="CK332" s="140"/>
      <c r="CL332" s="139"/>
      <c r="CM332" s="140"/>
      <c r="CO332" s="223"/>
      <c r="CP332" s="41"/>
      <c r="CQ332" s="40"/>
      <c r="CR332" s="41"/>
      <c r="CT332" s="62"/>
      <c r="CU332" s="41"/>
      <c r="CV332" s="40"/>
      <c r="CW332" s="41"/>
      <c r="CY332" s="62"/>
      <c r="CZ332" s="41"/>
      <c r="DA332" s="40"/>
      <c r="DB332" s="41"/>
      <c r="DD332" s="46"/>
      <c r="DE332" s="41"/>
      <c r="DF332" s="40"/>
      <c r="DG332" s="41"/>
      <c r="DI332" s="136"/>
      <c r="DJ332" s="136"/>
      <c r="DK332" s="136"/>
      <c r="DL332" s="136"/>
      <c r="DN332" s="136"/>
      <c r="DO332" s="136"/>
      <c r="DP332" s="136"/>
      <c r="DQ332" s="136"/>
      <c r="DS332" s="136"/>
      <c r="DT332" s="136"/>
      <c r="DU332" s="136"/>
      <c r="DV332" s="136"/>
      <c r="DX332" s="136"/>
      <c r="DY332" s="136"/>
      <c r="DZ332" s="136"/>
      <c r="EA332" s="136"/>
      <c r="EC332" s="136"/>
      <c r="ED332" s="136"/>
      <c r="EE332" s="136"/>
      <c r="EF332" s="136"/>
      <c r="EH332" s="136"/>
      <c r="EI332" s="136"/>
      <c r="EJ332" s="64"/>
      <c r="EK332" s="64"/>
      <c r="ER332" s="855"/>
      <c r="EX332" s="203">
        <f t="shared" si="2"/>
        <v>0</v>
      </c>
    </row>
    <row r="333" spans="1:155" s="6" customFormat="1" ht="15" customHeight="1">
      <c r="A333" s="857"/>
      <c r="B333" s="210" t="s">
        <v>1477</v>
      </c>
      <c r="C333" s="473" t="s">
        <v>515</v>
      </c>
      <c r="D333" s="138"/>
      <c r="E333" s="62"/>
      <c r="F333" s="140"/>
      <c r="G333" s="140"/>
      <c r="H333" s="140"/>
      <c r="I333" s="4"/>
      <c r="J333" s="4"/>
      <c r="K333" s="4"/>
      <c r="L333" s="4"/>
      <c r="M333" s="4"/>
      <c r="N333" s="4"/>
      <c r="O333" s="4"/>
      <c r="P333" s="4"/>
      <c r="Q333" s="4"/>
      <c r="R333" s="40"/>
      <c r="S333" s="41"/>
      <c r="T333" s="140"/>
      <c r="U333" s="41"/>
      <c r="W333" s="40"/>
      <c r="X333" s="41"/>
      <c r="Y333" s="41"/>
      <c r="Z333" s="41"/>
      <c r="AB333" s="40"/>
      <c r="AC333" s="41"/>
      <c r="AD333" s="41"/>
      <c r="AE333" s="41"/>
      <c r="AG333" s="40"/>
      <c r="AH333" s="41"/>
      <c r="AI333" s="41"/>
      <c r="AJ333" s="41"/>
      <c r="AL333" s="40"/>
      <c r="AM333" s="41"/>
      <c r="AN333" s="41"/>
      <c r="AO333" s="41"/>
      <c r="AQ333" s="40"/>
      <c r="AR333" s="41"/>
      <c r="AS333" s="41"/>
      <c r="AT333" s="41"/>
      <c r="AV333" s="51"/>
      <c r="AW333" s="140"/>
      <c r="AX333" s="139"/>
      <c r="AY333" s="140"/>
      <c r="BA333" s="51"/>
      <c r="BB333" s="140"/>
      <c r="BC333" s="139"/>
      <c r="BD333" s="41"/>
      <c r="BF333" s="60"/>
      <c r="BG333" s="41"/>
      <c r="BH333" s="40"/>
      <c r="BI333" s="41"/>
      <c r="BK333" s="142"/>
      <c r="BL333" s="140"/>
      <c r="BM333" s="40"/>
      <c r="BN333" s="41"/>
      <c r="BP333" s="62"/>
      <c r="BQ333" s="140"/>
      <c r="BR333" s="40"/>
      <c r="BS333" s="41"/>
      <c r="BU333" s="62" t="s">
        <v>1018</v>
      </c>
      <c r="BV333" s="41">
        <f>SUM(BV8:BX8,BV12:BX12,BV15:BX15)*2+SUM(BV18:BX18,BV19:BX19,BV23:BX23,BV22:BX22,BV26:BX26,BV25:BX25)*2</f>
        <v>0</v>
      </c>
      <c r="BW333" s="40"/>
      <c r="BX333" s="41"/>
      <c r="BZ333" s="61"/>
      <c r="CA333" s="41"/>
      <c r="CB333" s="40"/>
      <c r="CC333" s="41"/>
      <c r="CD333" s="140"/>
      <c r="CE333" s="61"/>
      <c r="CF333" s="41"/>
      <c r="CG333" s="40"/>
      <c r="CH333" s="41"/>
      <c r="CJ333" s="141"/>
      <c r="CK333" s="140"/>
      <c r="CL333" s="139"/>
      <c r="CM333" s="140"/>
      <c r="CO333" s="223"/>
      <c r="CP333" s="41"/>
      <c r="CQ333" s="40"/>
      <c r="CR333" s="41"/>
      <c r="CT333" s="62"/>
      <c r="CU333" s="41"/>
      <c r="CV333" s="40"/>
      <c r="CW333" s="41"/>
      <c r="CY333" s="62"/>
      <c r="CZ333" s="41"/>
      <c r="DA333" s="40"/>
      <c r="DB333" s="41"/>
      <c r="DD333" s="46"/>
      <c r="DE333" s="41"/>
      <c r="DF333" s="40"/>
      <c r="DG333" s="41"/>
      <c r="DI333" s="136"/>
      <c r="DJ333" s="136"/>
      <c r="DK333" s="136"/>
      <c r="DL333" s="136"/>
      <c r="DN333" s="136"/>
      <c r="DO333" s="136"/>
      <c r="DP333" s="136"/>
      <c r="DQ333" s="136"/>
      <c r="DS333" s="136"/>
      <c r="DT333" s="136"/>
      <c r="DU333" s="136"/>
      <c r="DV333" s="136"/>
      <c r="DX333" s="136"/>
      <c r="DY333" s="136"/>
      <c r="DZ333" s="136"/>
      <c r="EA333" s="136"/>
      <c r="EC333" s="136"/>
      <c r="ED333" s="136"/>
      <c r="EE333" s="136"/>
      <c r="EF333" s="136"/>
      <c r="EH333" s="136"/>
      <c r="EI333" s="136"/>
      <c r="EJ333" s="64"/>
      <c r="EK333" s="64"/>
      <c r="ER333" s="855"/>
      <c r="EX333" s="203">
        <f t="shared" si="2"/>
        <v>0</v>
      </c>
    </row>
    <row r="334" spans="1:155" s="6" customFormat="1" ht="15" customHeight="1">
      <c r="A334" s="90" t="s">
        <v>162</v>
      </c>
      <c r="B334" s="210" t="s">
        <v>162</v>
      </c>
      <c r="C334" s="473" t="s">
        <v>515</v>
      </c>
      <c r="D334" s="138"/>
      <c r="E334" s="40"/>
      <c r="F334" s="40"/>
      <c r="G334" s="40"/>
      <c r="H334" s="40"/>
      <c r="I334" s="4"/>
      <c r="J334" s="4"/>
      <c r="K334" s="4"/>
      <c r="L334" s="4"/>
      <c r="M334" s="4"/>
      <c r="N334" s="4"/>
      <c r="O334" s="4"/>
      <c r="P334" s="4"/>
      <c r="Q334" s="4"/>
      <c r="R334" s="40"/>
      <c r="S334" s="41"/>
      <c r="T334" s="140"/>
      <c r="U334" s="41"/>
      <c r="W334" s="40"/>
      <c r="X334" s="41"/>
      <c r="Y334" s="41"/>
      <c r="Z334" s="41"/>
      <c r="AB334" s="40"/>
      <c r="AC334" s="41"/>
      <c r="AD334" s="41"/>
      <c r="AE334" s="41"/>
      <c r="AG334" s="40"/>
      <c r="AH334" s="41"/>
      <c r="AI334" s="41"/>
      <c r="AJ334" s="41"/>
      <c r="AL334" s="40"/>
      <c r="AM334" s="41"/>
      <c r="AN334" s="41"/>
      <c r="AO334" s="41"/>
      <c r="AQ334" s="40"/>
      <c r="AR334" s="41"/>
      <c r="AS334" s="41"/>
      <c r="AT334" s="41"/>
      <c r="AV334" s="139"/>
      <c r="AW334" s="139"/>
      <c r="AX334" s="139"/>
      <c r="AY334" s="140"/>
      <c r="BA334" s="139"/>
      <c r="BB334" s="139"/>
      <c r="BC334" s="139"/>
      <c r="BD334" s="41"/>
      <c r="BF334" s="40"/>
      <c r="BG334" s="40"/>
      <c r="BH334" s="40"/>
      <c r="BI334" s="41"/>
      <c r="BK334" s="139"/>
      <c r="BL334" s="139"/>
      <c r="BM334" s="40"/>
      <c r="BN334" s="41"/>
      <c r="BP334" s="40"/>
      <c r="BQ334" s="40"/>
      <c r="BR334" s="40"/>
      <c r="BS334" s="41"/>
      <c r="BU334" s="40"/>
      <c r="BV334" s="40"/>
      <c r="BW334" s="40"/>
      <c r="BX334" s="41"/>
      <c r="BZ334" s="40"/>
      <c r="CA334" s="40"/>
      <c r="CB334" s="40"/>
      <c r="CC334" s="41"/>
      <c r="CD334" s="140"/>
      <c r="CE334" s="40"/>
      <c r="CF334" s="40"/>
      <c r="CG334" s="40"/>
      <c r="CH334" s="41"/>
      <c r="CJ334" s="139"/>
      <c r="CK334" s="139"/>
      <c r="CL334" s="139"/>
      <c r="CM334" s="140"/>
      <c r="CO334" s="222"/>
      <c r="CP334" s="40"/>
      <c r="CQ334" s="40"/>
      <c r="CR334" s="41"/>
      <c r="CT334" s="40"/>
      <c r="CU334" s="40"/>
      <c r="CV334" s="40"/>
      <c r="CW334" s="41"/>
      <c r="CY334" s="40"/>
      <c r="CZ334" s="40"/>
      <c r="DA334" s="40"/>
      <c r="DB334" s="41"/>
      <c r="DD334" s="40"/>
      <c r="DE334" s="40"/>
      <c r="DF334" s="40"/>
      <c r="DG334" s="41"/>
      <c r="DI334" s="145">
        <v>3</v>
      </c>
      <c r="DJ334" s="140">
        <f>DJ26*DI334+DJ5*DI334+DJ6*DI334+DJ7*DI334+DJ8*DI334+DJ9*DI334+DJ10*DI334+DJ11*DI334+DJ12*DI334+DJ13*DI334+DJ14*DI334+DJ15*DI334+DJ16*DI334+DJ17*DI334+DJ18*DI334+DJ19*DI334+DJ20*DI334+DJ21*DI334+DJ22*DI334+DJ23*DI334+DK24*DI334+DK25*DI334+DK26*DI334+DK5*DI334+DK6*DI334+DK7*DI334+DK8*DI334+DK9*DI334+DK10*DI334+DK11*DI334+DK12*DI334+DK13*DI334+DK14*DI334+DK15*DI334+DK16*DI334+DK17*DI334+DK18*DI334+DK19*DI334+DK20*DI334+DK21*DI334+DK22*DI334+DK23*DI334+DJ24*DI334+DJ25*DI334+DL26*DI334+DL5*DI334+DL6*DI334+DL7*DI334+DL8*DI334+DL9*DI334+DL10*DI334+DL11*DI334+DL12*DI334+DL13*DI334+DL14*DI334+DL15*DI334+DL16*DI334+DL17*DI334+DL18*DI334+DL19*DI334+DL20*DI334+DL21*DI334+DL22*DI334+DL23*DI334+DL24*DI334+DL25*DI334</f>
        <v>0</v>
      </c>
      <c r="DK334" s="136"/>
      <c r="DL334" s="136"/>
      <c r="DN334" s="145">
        <v>3</v>
      </c>
      <c r="DO334" s="140">
        <f>DO26*DN334+DO5*DN334+DO6*DN334+DO7*DN334+DO8*DN334+DO9*DN334+DO10*DN334+DO11*DN334+DO12*DN334+DO13*DN334+DO14*DN334+DO15*DN334+DO16*DN334+DO17*DN334+DO18*DN334+DO19*DN334+DO20*DN334+DO21*DN334+DO22*DN334+DO23*DN334+DP24*DN334+DP25*DN334+DP26*DN334+DP5*DN334+DP6*DN334+DP7*DN334+DP8*DN334+DP9*DN334+DP10*DN334+DP11*DN334+DP12*DN334+DP13*DN334+DP14*DN334+DP15*DN334+DP16*DN334+DP17*DN334+DP18*DN334+DP19*DN334+DP20*DN334+DP21*DN334+DP22*DN334+DP23*DN334+DO24*DN334+DO25*DN334+DQ26*DN334+DQ5*DN334+DQ6*DN334+DQ7*DN334+DQ8*DN334+DQ9*DN334+DQ10*DN334+DQ11*DN334+DQ12*DN334+DQ13*DN334+DQ14*DN334+DQ15*DN334+DQ16*DN334+DQ17*DN334+DQ18*DN334+DQ19*DN334+DQ20*DN334+DQ21*DN334+DQ22*DN334+DQ23*DN334+DQ24*DN334+DQ25*DN334</f>
        <v>0</v>
      </c>
      <c r="DP334" s="136"/>
      <c r="DQ334" s="136"/>
      <c r="DS334" s="135">
        <v>3</v>
      </c>
      <c r="DT334" s="140">
        <f>DT26*DS334+DT5*DS334+DT6*DS334+DT7*DS334+DT8*DS334+DT9*DS334+DT10*DS334+DT11*DS334+DT12*DS334+DT13*DS334+DT14*DS334+DT15*DS334+DT16*DS334+DT17*DS334+DT18*DS334+DT19*DS334+DT20*DS334+DT21*DS334+DT22*DS334+DT23*DS334+DU24*DS334+DU25*DS334+DU26*DS334+DU5*DS334+DU6*DS334+DU7*DS334+DU8*DS334+DU9*DS334+DU10*DS334+DU11*DS334+DU12*DS334+DU13*DS334+DU14*DS334+DU15*DS334+DU16*DS334+DU17*DS334+DU18*DS334+DU19*DS334+DU20*DS334+DU21*DS334+DU22*DS334+DU23*DS334+DT24*DS334+DT25*DS334+DV26*DS334+DV5*DS334+DV6*DS334+DV7*DS334+DV8*DS334+DV9*DS334+DV10*DS334+DV11*DS334+DV12*DS334+DV13*DS334+DV14*DS334+DV15*DS334+DV16*DS334+DV17*DS334+DV18*DS334+DV19*DS334+DV20*DS334+DV21*DS334+DV22*DS334+DV23*DS334+DV24*DS334+DV25*DS334</f>
        <v>0</v>
      </c>
      <c r="DU334" s="136"/>
      <c r="DV334" s="136"/>
      <c r="DX334" s="135">
        <v>3</v>
      </c>
      <c r="DY334" s="140">
        <f>DY26*DX334+DY5*DX334+DY6*DX334+DY7*DX334+DY8*DX334+DY9*DX334+DY10*DX334+DY11*DX334+DY12*DX334+DY13*DX334+DY14*DX334+DY15*DX334+DY16*DX334+DY17*DX334+DY18*DX334+DY19*DX334+DY20*DX334+DY21*DX334+DY22*DX334+DY23*DX334+DZ24*DX334+DZ25*DX334+DZ26*DX334+DZ5*DX334+DZ6*DX334+DZ7*DX334+DZ8*DX334+DZ9*DX334+DZ10*DX334+DZ11*DX334+DZ12*DX334+DZ13*DX334+DZ14*DX334+DZ15*DX334+DZ16*DX334+DZ17*DX334+DZ18*DX334+DZ19*DX334+DZ20*DX334+DZ21*DX334+DZ22*DX334+DZ23*DX334+DY24*DX334+DY25*DX334+EA26*DX334+EA5*DX334+EA6*DX334+EA7*DX334+EA8*DX334+EA9*DX334+EA10*DX334+EA11*DX334+EA12*DX334+EA13*DX334+EA14*DX334+EA15*DX334+EA16*DX334+EA17*DX334+EA18*DX334+EA19*DX334+EA20*DX334+EA21*DX334+EA22*DX334+EA23*DX334+EA24*DX334+EA25*DX334</f>
        <v>0</v>
      </c>
      <c r="DZ334" s="136"/>
      <c r="EA334" s="136"/>
      <c r="EC334" s="135">
        <v>3</v>
      </c>
      <c r="ED334" s="140">
        <f>ED26*EC334+ED5*EC334+ED6*EC334+ED7*EC334+ED8*EC334+ED9*EC334+ED10*EC334+ED11*EC334+ED12*EC334+ED13*EC334+ED14*EC334+ED15*EC334+ED16*EC334+ED17*EC334+ED18*EC334+ED19*EC334+ED20*EC334+ED21*EC334+ED22*EC334+ED23*EC334+EE24*EC334+EE25*EC334+EE26*EC334+EE5*EC334+EE6*EC334+EE7*EC334+EE8*EC334+EE9*EC334+EE10*EC334+EE11*EC334+EE12*EC334+EE13*EC334+EE14*EC334+EE15*EC334+EE16*EC334+EE17*EC334+EE18*EC334+EE19*EC334+EE20*EC334+EE21*EC334+EE22*EC334+EE23*EC334+ED24*EC334+ED25*EC334+EF26*EC334+EF5*EC334+EF6*EC334+EF7*EC334+EF8*EC334+EF9*EC334+EF10*EC334+EF11*EC334+EF12*EC334+EF13*EC334+EF14*EC334+EF15*EC334+EF16*EC334+EF17*EC334+EF18*EC334+EF19*EC334+EF20*EC334+EF21*EC334+EF22*EC334+EF23*EC334+EF24*EC334+EF25*EC334</f>
        <v>0</v>
      </c>
      <c r="EE334" s="136"/>
      <c r="EF334" s="136"/>
      <c r="EH334" s="135">
        <v>3</v>
      </c>
      <c r="EI334" s="140">
        <f>EI26*EH334+EI5*EH334+EI6*EH334+EI7*EH334+EI8*EH334+EI9*EH334+EI10*EH334+EI11*EH334+EI12*EH334+EI13*EH334+EI14*EH334+EI15*EH334+EI16*EH334+EI17*EH334+EI18*EH334+EI19*EH334+EI20*EH334+EI21*EH334+EI22*EH334+EI23*EH334+EJ24*EH334+EJ25*EH334+EJ26*EH334+EJ5*EH334+EJ6*EH334+EJ7*EH334+EJ8*EH334+EJ9*EH334+EJ10*EH334+EJ11*EH334+EJ12*EH334+EJ13*EH334+EJ14*EH334+EJ15*EH334+EJ16*EH334+EJ17*EH334+EJ18*EH334+EJ19*EH334+EJ20*EH334+EJ21*EH334+EJ22*EH334+EJ23*EH334+EI24*EH334+EI25*EH334+EK26*EH334+EK5*EH334+EK6*EH334+EK7*EH334+EK8*EH334+EK9*EH334+EK10*EH334+EK11*EH334+EK12*EH334+EK13*EH334+EK14*EH334+EK15*EH334+EK16*EH334+EK17*EH334+EK18*EH334+EK19*EH334+EK20*EH334+EK21*EH334+EK22*EH334+EK23*EH334+EK24*EH334+EK25*EH334</f>
        <v>0</v>
      </c>
      <c r="EJ334" s="64"/>
      <c r="EK334" s="64"/>
      <c r="ER334" s="855"/>
      <c r="EX334" s="203">
        <f t="shared" si="2"/>
        <v>0</v>
      </c>
      <c r="EY334" s="142">
        <v>13</v>
      </c>
    </row>
    <row r="335" spans="1:155" s="6" customFormat="1" ht="15" customHeight="1">
      <c r="A335" s="90" t="s">
        <v>69</v>
      </c>
      <c r="B335" s="210" t="s">
        <v>69</v>
      </c>
      <c r="C335" s="473" t="s">
        <v>515</v>
      </c>
      <c r="D335" s="138"/>
      <c r="E335" s="40"/>
      <c r="F335" s="40"/>
      <c r="G335" s="40"/>
      <c r="H335" s="40"/>
      <c r="I335" s="4"/>
      <c r="J335" s="4"/>
      <c r="K335" s="4"/>
      <c r="L335" s="4"/>
      <c r="M335" s="4"/>
      <c r="N335" s="4"/>
      <c r="O335" s="4"/>
      <c r="P335" s="4"/>
      <c r="Q335" s="4"/>
      <c r="R335" s="40"/>
      <c r="S335" s="41"/>
      <c r="T335" s="140"/>
      <c r="U335" s="41"/>
      <c r="W335" s="40"/>
      <c r="X335" s="41"/>
      <c r="Y335" s="41"/>
      <c r="Z335" s="41"/>
      <c r="AB335" s="40"/>
      <c r="AC335" s="41"/>
      <c r="AD335" s="41"/>
      <c r="AE335" s="41"/>
      <c r="AG335" s="40"/>
      <c r="AH335" s="41"/>
      <c r="AI335" s="41"/>
      <c r="AJ335" s="41"/>
      <c r="AL335" s="40"/>
      <c r="AM335" s="41"/>
      <c r="AN335" s="41"/>
      <c r="AO335" s="41"/>
      <c r="AQ335" s="40"/>
      <c r="AR335" s="41"/>
      <c r="AS335" s="41"/>
      <c r="AT335" s="41"/>
      <c r="AV335" s="139"/>
      <c r="AW335" s="139"/>
      <c r="AX335" s="139"/>
      <c r="AY335" s="140"/>
      <c r="BA335" s="139"/>
      <c r="BB335" s="139"/>
      <c r="BC335" s="139"/>
      <c r="BD335" s="41"/>
      <c r="BF335" s="40"/>
      <c r="BG335" s="40"/>
      <c r="BH335" s="40"/>
      <c r="BI335" s="41"/>
      <c r="BK335" s="139"/>
      <c r="BL335" s="139"/>
      <c r="BM335" s="40"/>
      <c r="BN335" s="41"/>
      <c r="BP335" s="40"/>
      <c r="BQ335" s="40"/>
      <c r="BR335" s="40"/>
      <c r="BS335" s="41"/>
      <c r="BU335" s="40"/>
      <c r="BV335" s="40"/>
      <c r="BW335" s="40"/>
      <c r="BX335" s="41"/>
      <c r="BZ335" s="40"/>
      <c r="CA335" s="40"/>
      <c r="CB335" s="40"/>
      <c r="CC335" s="41"/>
      <c r="CD335" s="140"/>
      <c r="CE335" s="40"/>
      <c r="CF335" s="40"/>
      <c r="CG335" s="40"/>
      <c r="CH335" s="41"/>
      <c r="CJ335" s="139"/>
      <c r="CK335" s="139"/>
      <c r="CL335" s="139"/>
      <c r="CM335" s="140"/>
      <c r="CO335" s="222"/>
      <c r="CP335" s="40"/>
      <c r="CQ335" s="40"/>
      <c r="CR335" s="41"/>
      <c r="CT335" s="40"/>
      <c r="CU335" s="40"/>
      <c r="CV335" s="40"/>
      <c r="CW335" s="41"/>
      <c r="CY335" s="40"/>
      <c r="CZ335" s="40"/>
      <c r="DA335" s="40"/>
      <c r="DB335" s="41"/>
      <c r="DD335" s="40"/>
      <c r="DE335" s="40"/>
      <c r="DF335" s="40"/>
      <c r="DG335" s="41"/>
      <c r="DI335" s="145">
        <v>3</v>
      </c>
      <c r="DJ335" s="140">
        <f>DJ5*DI335+DJ6*DI335+DJ7*DI335+DJ8*DI335+DJ9*DI335+DJ10*DI335+DJ11*DI335+DJ12*DI335+DJ13*DI335+DJ14*DI335+DJ15*DI335+DJ16*DI335+DJ17*DI335+DJ18*DI335+DJ19*DI335+DJ20*DI335+DJ21*DI335+DJ22*DI335+DJ23*DI335+DJ24*DI335+DK25*DI335+DK26*DI335+DK5*DI335+DK6*DI335+DK7*DI335+DK8*DI335+DK9*DI335+DK10*DI335+DK11*DI335+DK12*DI335+DK13*DI335+DK14*DI335+DK15*DI335+DK16*DI335+DK17*DI335+DK18*DI335+DK19*DI335+DK20*DI335+DK21*DI335+DK22*DI335+DK23*DI335+DK24*DI335+DJ25*DI335+DJ26*DI335+DL5*DI335+DL6*DI335+DL7*DI335+DL8*DI335+DL9*DI335+DL10*DI335+DL11*DI335+DL12*DI335+DL13*DI335+DL14*DI335+DL15*DI335+DL16*DI335+DL17*DI335+DL18*DI335+DL19*DI335+DL20*DI335+DL21*DI335+DL22*DI335+DL23*DI335+DL24*DI335+DL25*DI335+DL26*DI335</f>
        <v>0</v>
      </c>
      <c r="DK335" s="136"/>
      <c r="DL335" s="136"/>
      <c r="DN335" s="145">
        <v>3</v>
      </c>
      <c r="DO335" s="140">
        <f>DO5*DN335+DO6*DN335+DO7*DN335+DO8*DN335+DO9*DN335+DO10*DN335+DO11*DN335+DO12*DN335+DO13*DN335+DO14*DN335+DO15*DN335+DO16*DN335+DO17*DN335+DO18*DN335+DO19*DN335+DO20*DN335+DO21*DN335+DO22*DN335+DO23*DN335+DO24*DN335+DP25*DN335+DP26*DN335+DP5*DN335+DP6*DN335+DP7*DN335+DP8*DN335+DP9*DN335+DP10*DN335+DP11*DN335+DP12*DN335+DP13*DN335+DP14*DN335+DP15*DN335+DP16*DN335+DP17*DN335+DP18*DN335+DP19*DN335+DP20*DN335+DP21*DN335+DP22*DN335+DP23*DN335+DP24*DN335+DO25*DN335+DO26*DN335+DQ5*DN335+DQ6*DN335+DQ7*DN335+DQ8*DN335+DQ9*DN335+DQ10*DN335+DQ11*DN335+DQ12*DN335+DQ13*DN335+DQ14*DN335+DQ15*DN335+DQ16*DN335+DQ17*DN335+DQ18*DN335+DQ19*DN335+DQ20*DN335+DQ21*DN335+DQ22*DN335+DQ23*DN335+DQ24*DN335+DQ25*DN335+DQ26*DN335</f>
        <v>0</v>
      </c>
      <c r="DP335" s="136"/>
      <c r="DQ335" s="136"/>
      <c r="DS335" s="135">
        <v>3</v>
      </c>
      <c r="DT335" s="140">
        <f>DT5*DS335+DT6*DS335+DT7*DS335+DT8*DS335+DT9*DS335+DT10*DS335+DT11*DS335+DT12*DS335+DT13*DS335+DT14*DS335+DT15*DS335+DT16*DS335+DT17*DS335+DT18*DS335+DT19*DS335+DT20*DS335+DT21*DS335+DT22*DS335+DT23*DS335+DT24*DS335+DU25*DS335+DU26*DS335+DU5*DS335+DU6*DS335+DU7*DS335+DU8*DS335+DU9*DS335+DU10*DS335+DU11*DS335+DU12*DS335+DU13*DS335+DU14*DS335+DU15*DS335+DU16*DS335+DU17*DS335+DU18*DS335+DU19*DS335+DU20*DS335+DU21*DS335+DU22*DS335+DU23*DS335+DU24*DS335+DT25*DS335+DT26*DS335+DV5*DS335+DV6*DS335+DV7*DS335+DV8*DS335+DV9*DS335+DV10*DS335+DV11*DS335+DV12*DS335+DV13*DS335+DV14*DS335+DV15*DS335+DV16*DS335+DV17*DS335+DV18*DS335+DV19*DS335+DV20*DS335+DV21*DS335+DV22*DS335+DV23*DS335+DV24*DS335+DV25*DS335+DV26*DS335</f>
        <v>0</v>
      </c>
      <c r="DU335" s="136"/>
      <c r="DV335" s="136"/>
      <c r="DX335" s="135">
        <v>3</v>
      </c>
      <c r="DY335" s="140">
        <f>DY5*DX335+DY6*DX335+DY7*DX335+DY8*DX335+DY9*DX335+DY10*DX335+DY11*DX335+DY12*DX335+DY13*DX335+DY14*DX335+DY15*DX335+DY16*DX335+DY17*DX335+DY18*DX335+DY19*DX335+DY20*DX335+DY21*DX335+DY22*DX335+DY23*DX335+DY24*DX335+DZ25*DX335+DZ26*DX335+DZ5*DX335+DZ6*DX335+DZ7*DX335+DZ8*DX335+DZ9*DX335+DZ10*DX335+DZ11*DX335+DZ12*DX335+DZ13*DX335+DZ14*DX335+DZ15*DX335+DZ16*DX335+DZ17*DX335+DZ18*DX335+DZ19*DX335+DZ20*DX335+DZ21*DX335+DZ22*DX335+DZ23*DX335+DZ24*DX335+DY25*DX335+DY26*DX335+EA5*DX335+EA6*DX335+EA7*DX335+EA8*DX335+EA9*DX335+EA10*DX335+EA11*DX335+EA12*DX335+EA13*DX335+EA14*DX335+EA15*DX335+EA16*DX335+EA17*DX335+EA18*DX335+EA19*DX335+EA20*DX335+EA21*DX335+EA22*DX335+EA23*DX335+EA24*DX335+EA25*DX335+EA26*DX335</f>
        <v>0</v>
      </c>
      <c r="DZ335" s="136"/>
      <c r="EA335" s="136"/>
      <c r="EC335" s="135">
        <v>3</v>
      </c>
      <c r="ED335" s="140">
        <f>ED5*EC335+ED6*EC335+ED7*EC335+ED8*EC335+ED9*EC335+ED10*EC335+ED11*EC335+ED12*EC335+ED13*EC335+ED14*EC335+ED15*EC335+ED16*EC335+ED17*EC335+ED18*EC335+ED19*EC335+ED20*EC335+ED21*EC335+ED22*EC335+ED23*EC335+ED24*EC335+EE25*EC335+EE26*EC335+EE5*EC335+EE6*EC335+EE7*EC335+EE8*EC335+EE9*EC335+EE10*EC335+EE11*EC335+EE12*EC335+EE13*EC335+EE14*EC335+EE15*EC335+EE16*EC335+EE17*EC335+EE18*EC335+EE19*EC335+EE20*EC335+EE21*EC335+EE22*EC335+EE23*EC335+EE24*EC335+ED25*EC335+ED26*EC335+EF5*EC335+EF6*EC335+EF7*EC335+EF8*EC335+EF9*EC335+EF10*EC335+EF11*EC335+EF12*EC335+EF13*EC335+EF14*EC335+EF15*EC335+EF16*EC335+EF17*EC335+EF18*EC335+EF19*EC335+EF20*EC335+EF21*EC335+EF22*EC335+EF23*EC335+EF24*EC335+EF25*EC335+EF26*EC335</f>
        <v>0</v>
      </c>
      <c r="EE335" s="136"/>
      <c r="EF335" s="136"/>
      <c r="EH335" s="135">
        <v>3</v>
      </c>
      <c r="EI335" s="140">
        <f>EI5*EH335+EI6*EH335+EI7*EH335+EI8*EH335+EI9*EH335+EI10*EH335+EI11*EH335+EI12*EH335+EI13*EH335+EI14*EH335+EI15*EH335+EI16*EH335+EI17*EH335+EI18*EH335+EI19*EH335+EI20*EH335+EI21*EH335+EI22*EH335+EI23*EH335+EI24*EH335+EJ25*EH335+EJ26*EH335+EJ5*EH335+EJ6*EH335+EJ7*EH335+EJ8*EH335+EJ9*EH335+EJ10*EH335+EJ11*EH335+EJ12*EH335+EJ13*EH335+EJ14*EH335+EJ15*EH335+EJ16*EH335+EJ17*EH335+EJ18*EH335+EJ19*EH335+EJ20*EH335+EJ21*EH335+EJ22*EH335+EJ23*EH335+EJ24*EH335+EI25*EH335+EI26*EH335+EK5*EH335+EK6*EH335+EK7*EH335+EK8*EH335+EK9*EH335+EK10*EH335+EK11*EH335+EK12*EH335+EK13*EH335+EK14*EH335+EK15*EH335+EK16*EH335+EK17*EH335+EK18*EH335+EK19*EH335+EK20*EH335+EK21*EH335+EK22*EH335+EK23*EH335+EK24*EH335+EK25*EH335+EK26*EH335</f>
        <v>0</v>
      </c>
      <c r="EJ335" s="64"/>
      <c r="EK335" s="64"/>
      <c r="ER335" s="855"/>
      <c r="EX335" s="203">
        <f t="shared" si="2"/>
        <v>0</v>
      </c>
      <c r="EY335" s="116">
        <v>34</v>
      </c>
    </row>
    <row r="336" spans="1:155" s="6" customFormat="1" ht="15" customHeight="1">
      <c r="A336" s="90" t="s">
        <v>28</v>
      </c>
      <c r="B336" s="210" t="s">
        <v>556</v>
      </c>
      <c r="C336" s="473" t="s">
        <v>515</v>
      </c>
      <c r="D336" s="138"/>
      <c r="E336" s="40"/>
      <c r="F336" s="40"/>
      <c r="G336" s="40"/>
      <c r="H336" s="40"/>
      <c r="I336" s="4"/>
      <c r="J336" s="4"/>
      <c r="K336" s="4"/>
      <c r="L336" s="4"/>
      <c r="M336" s="4">
        <v>3</v>
      </c>
      <c r="N336" s="661">
        <f>SUM(N5:N26,O5:O26,P5:P26)*M336</f>
        <v>0</v>
      </c>
      <c r="O336" s="4"/>
      <c r="P336" s="4"/>
      <c r="Q336" s="4"/>
      <c r="R336" s="5">
        <v>3</v>
      </c>
      <c r="S336" s="5">
        <f>SUM(S16:U26)*R336</f>
        <v>0</v>
      </c>
      <c r="U336" s="5"/>
      <c r="W336" s="5" t="s">
        <v>1018</v>
      </c>
      <c r="X336" s="5">
        <f>SUM(X5:Z15)*1+SUM(X16:Z26)*3</f>
        <v>0</v>
      </c>
      <c r="Y336" s="5"/>
      <c r="Z336" s="5"/>
      <c r="AB336" s="5">
        <v>3</v>
      </c>
      <c r="AC336" s="5">
        <f>SUM(AC5:AE26)*AB336</f>
        <v>0</v>
      </c>
      <c r="AD336" s="41"/>
      <c r="AE336" s="41"/>
      <c r="AG336" s="40"/>
      <c r="AH336" s="41"/>
      <c r="AI336" s="41"/>
      <c r="AJ336" s="41"/>
      <c r="AL336" s="40"/>
      <c r="AM336" s="41"/>
      <c r="AN336" s="41"/>
      <c r="AO336" s="41"/>
      <c r="AQ336" s="49">
        <v>3</v>
      </c>
      <c r="AR336" s="41">
        <f>AR16*AQ336+AS16*AQ336+AR17*AQ336+AS17*AQ336+AR18*AQ336+AS18*AQ336+AR19*AQ336+AS19*AQ336+AR20*AQ336+AS20*AQ336+AR21*AQ336+AS21*AQ336+AR22*AQ336+AS22*AQ336+AR23*AQ336+AS23*AQ336+AR24*AQ336+AS24*AQ336+AR25*AQ336+AS25*AQ336+AR26*AQ336+AS26*AQ336+AT448*AQ336+AT449*AQ336+AT17*AQ336+AT18*AQ336+AT19*AQ336+AT20*AQ336+AT21*AQ336+AT22*AQ336+AT23*AQ336+AT24*AQ336++AT25*AQ336+AT26*AQ336</f>
        <v>0</v>
      </c>
      <c r="AS336" s="41"/>
      <c r="AT336" s="41"/>
      <c r="AV336" s="139"/>
      <c r="AW336" s="139"/>
      <c r="AX336" s="139"/>
      <c r="AY336" s="140"/>
      <c r="BA336" s="139"/>
      <c r="BB336" s="139"/>
      <c r="BC336" s="139"/>
      <c r="BD336" s="41"/>
      <c r="BF336" s="40"/>
      <c r="BG336" s="40"/>
      <c r="BH336" s="40"/>
      <c r="BI336" s="41"/>
      <c r="BK336" s="139"/>
      <c r="BL336" s="139"/>
      <c r="BM336" s="40"/>
      <c r="BN336" s="41"/>
      <c r="BP336" s="40"/>
      <c r="BQ336" s="40"/>
      <c r="BR336" s="40"/>
      <c r="BS336" s="41"/>
      <c r="BU336" s="40"/>
      <c r="BV336" s="40"/>
      <c r="BW336" s="40"/>
      <c r="BX336" s="41"/>
      <c r="BZ336" s="40"/>
      <c r="CA336" s="40"/>
      <c r="CB336" s="40"/>
      <c r="CC336" s="41"/>
      <c r="CD336" s="140"/>
      <c r="CE336" s="40"/>
      <c r="CF336" s="40"/>
      <c r="CG336" s="40"/>
      <c r="CH336" s="41"/>
      <c r="CJ336" s="139"/>
      <c r="CK336" s="139"/>
      <c r="CL336" s="139"/>
      <c r="CM336" s="140"/>
      <c r="CO336" s="222"/>
      <c r="CP336" s="40"/>
      <c r="CQ336" s="40"/>
      <c r="CR336" s="41"/>
      <c r="CT336" s="40"/>
      <c r="CU336" s="40"/>
      <c r="CV336" s="40"/>
      <c r="CW336" s="41"/>
      <c r="CY336" s="40"/>
      <c r="CZ336" s="40"/>
      <c r="DA336" s="40"/>
      <c r="DB336" s="41"/>
      <c r="DD336" s="40"/>
      <c r="DE336" s="40"/>
      <c r="DF336" s="40"/>
      <c r="DG336" s="41"/>
      <c r="DI336" s="64"/>
      <c r="DJ336" s="64"/>
      <c r="DK336" s="64"/>
      <c r="DL336" s="64"/>
      <c r="DN336" s="64"/>
      <c r="DO336" s="64"/>
      <c r="DP336" s="64"/>
      <c r="DQ336" s="64"/>
      <c r="DS336" s="64"/>
      <c r="DT336" s="64"/>
      <c r="DU336" s="64"/>
      <c r="DV336" s="64"/>
      <c r="DX336" s="64"/>
      <c r="DY336" s="64"/>
      <c r="DZ336" s="64"/>
      <c r="EA336" s="64"/>
      <c r="EC336" s="64"/>
      <c r="ED336" s="64"/>
      <c r="EE336" s="64"/>
      <c r="EF336" s="64"/>
      <c r="EH336" s="64"/>
      <c r="EI336" s="64"/>
      <c r="EJ336" s="64"/>
      <c r="EK336" s="64"/>
      <c r="ER336" s="855"/>
      <c r="EX336" s="203">
        <f t="shared" si="2"/>
        <v>0</v>
      </c>
    </row>
    <row r="337" spans="1:154" s="6" customFormat="1" ht="15" customHeight="1">
      <c r="A337" s="90" t="s">
        <v>148</v>
      </c>
      <c r="B337" s="210" t="s">
        <v>148</v>
      </c>
      <c r="C337" s="473" t="s">
        <v>515</v>
      </c>
      <c r="D337" s="138"/>
      <c r="E337" s="62">
        <v>1</v>
      </c>
      <c r="F337" s="140">
        <f>SUM(F5:F26,G5:G26,H5:H26)*E337</f>
        <v>0</v>
      </c>
      <c r="G337" s="140"/>
      <c r="H337" s="140"/>
      <c r="I337" s="4"/>
      <c r="J337" s="4"/>
      <c r="K337" s="4"/>
      <c r="L337" s="4"/>
      <c r="M337" s="4"/>
      <c r="N337" s="661"/>
      <c r="O337" s="4"/>
      <c r="P337" s="4"/>
      <c r="Q337" s="4"/>
      <c r="R337" s="5"/>
      <c r="S337" s="5"/>
      <c r="U337" s="5"/>
      <c r="W337" s="5"/>
      <c r="X337" s="5"/>
      <c r="Y337" s="5"/>
      <c r="Z337" s="5"/>
      <c r="AB337" s="5"/>
      <c r="AC337" s="5"/>
      <c r="AD337" s="5"/>
      <c r="AE337" s="5"/>
      <c r="AG337" s="5"/>
      <c r="AH337" s="5"/>
      <c r="AI337" s="5"/>
      <c r="AJ337" s="5"/>
      <c r="AL337" s="5"/>
      <c r="AM337" s="5"/>
      <c r="AN337" s="5"/>
      <c r="AO337" s="5"/>
      <c r="AQ337" s="5"/>
      <c r="AR337" s="5"/>
      <c r="AS337" s="5"/>
      <c r="AT337" s="5"/>
      <c r="AV337" s="6">
        <v>3</v>
      </c>
      <c r="AW337" s="6">
        <f>SUM(AW5:AW26,AX5:AX26,AY5:AY26)*AV337</f>
        <v>0</v>
      </c>
      <c r="BA337" s="6">
        <v>3</v>
      </c>
      <c r="BB337" s="6">
        <f>SUM(BB5:BB26,BC5:BC26,BD5:BD26)*BA337</f>
        <v>0</v>
      </c>
      <c r="BD337" s="5"/>
      <c r="BF337" s="5"/>
      <c r="BG337" s="5"/>
      <c r="BH337" s="5"/>
      <c r="BI337" s="5"/>
      <c r="BK337" s="6">
        <v>1</v>
      </c>
      <c r="BL337" s="6">
        <f>SUM(BL5:BL26,BM5:BM26,BN5:BN26)*BK337</f>
        <v>0</v>
      </c>
      <c r="BM337" s="5"/>
      <c r="BN337" s="5"/>
      <c r="BP337" s="5">
        <v>1</v>
      </c>
      <c r="BQ337" s="6">
        <f>SUM(BQ5:BQ26,BR5:BR26,BS5:BS26)*BP337</f>
        <v>0</v>
      </c>
      <c r="BR337" s="5"/>
      <c r="BS337" s="5"/>
      <c r="BU337" s="5">
        <v>1</v>
      </c>
      <c r="BV337" s="5">
        <f>SUM(BV5:BV26,BW5:BW26,BX5:BX26)*BU337-BV182</f>
        <v>0</v>
      </c>
      <c r="BW337" s="5"/>
      <c r="BX337" s="5"/>
      <c r="BZ337" s="5">
        <v>2</v>
      </c>
      <c r="CA337" s="5">
        <f>SUM(CA5:CA26,CB5:CB26,CC5:CC26)*BZ337</f>
        <v>0</v>
      </c>
      <c r="CB337" s="5"/>
      <c r="CC337" s="5"/>
      <c r="CE337" s="5">
        <v>2</v>
      </c>
      <c r="CF337" s="5">
        <f>SUM(CF5:CF26,CG5:CG26,CH5:CH26)*CE337</f>
        <v>0</v>
      </c>
      <c r="CG337" s="5"/>
      <c r="CH337" s="5"/>
      <c r="CJ337" s="6">
        <v>3</v>
      </c>
      <c r="CK337" s="5">
        <f>SUM(CK5:CK26,CL5:CL26,CM5:CM26)*CJ337</f>
        <v>0</v>
      </c>
      <c r="CO337" s="13">
        <v>3</v>
      </c>
      <c r="CP337" s="5">
        <f>SUM(CP5:CP26,CQ5:CQ26,CR5:CR26)*CO337</f>
        <v>0</v>
      </c>
      <c r="CQ337" s="5"/>
      <c r="CR337" s="5"/>
      <c r="CT337" s="5">
        <v>3</v>
      </c>
      <c r="CU337" s="5">
        <f>SUM(CU5:CU26,CV5:CV26,CW5:CW26)*CT337</f>
        <v>0</v>
      </c>
      <c r="CV337" s="5"/>
      <c r="CW337" s="5"/>
      <c r="CY337" s="5">
        <v>1</v>
      </c>
      <c r="CZ337" s="5">
        <f>SUM(CZ5:CZ26,DA5:DA26,DB5:DB26)*CY337</f>
        <v>0</v>
      </c>
      <c r="DA337" s="5"/>
      <c r="DB337" s="5"/>
      <c r="DD337" s="5"/>
      <c r="DE337" s="5"/>
      <c r="DF337" s="5"/>
      <c r="DG337" s="5"/>
      <c r="DI337" s="5">
        <v>4</v>
      </c>
      <c r="DJ337" s="5">
        <f>DJ5*DI337+DJ6*DI337+DJ7*DI337+DJ8*DI337+DJ9*DI337+DJ10*DI337+DJ11*DI337+DJ12*DI337+DJ13*DI337+DJ14*DI337+DJ15*DI337+DJ16*DI337+DJ17*DI337+DJ18*DI337+DJ19*DI337+DJ20*DI337+DJ21*DI337+DJ22*DI337+DJ23*DI337+DJ24*DI337+DJ25*DI293+DJ26*DI293+DK5*DI293+DK6*DI293+DK7*DI293+DK8*DI293+DK9*DI337+DK10*DI337+DK11*DI337+DK12*DI337+DK13*DI337+DK14*DI337+DK15*DI337+DK16*DI337+DK17*DI337+DK18*DI337+DK19*DI337+DK20*DI337+DK21*DI337+DK22*DI337+DK23*DI337+DK24*DI337+DK25*DI337+DK26*DI337+DL5*DI337+DL6*DI337+DL7*DI337+DL8*DI337+DL9*DI337+DL10*DL11+DI337*DL12*DI337+DL13*DI337+DL14*DI337+DL15*DI337+DL16*DI337+DL17*DI337+DL18*DI337+DL19*DI337+DL20*DI337+DL21*DI337+DL22*DI337+DL23*DI337+DL24*DI337+DL25*DI337+DL26*DI337</f>
        <v>0</v>
      </c>
      <c r="DK337" s="5"/>
      <c r="DL337" s="5"/>
      <c r="DN337" s="5">
        <v>4</v>
      </c>
      <c r="DO337" s="5">
        <f>SUM(DO5:DO26,DP5:DP26,DQ5:DQ26)*DN337</f>
        <v>0</v>
      </c>
      <c r="DP337" s="5"/>
      <c r="DQ337" s="5"/>
      <c r="DS337" s="5">
        <v>3</v>
      </c>
      <c r="DT337" s="5">
        <f>SUM(DT5:DT26,DU5:DU26,DV5:DV26)*DS337</f>
        <v>0</v>
      </c>
      <c r="DU337" s="5"/>
      <c r="DV337" s="5"/>
      <c r="DX337" s="5">
        <v>1</v>
      </c>
      <c r="DY337" s="5">
        <f>SUM(DY5:DY26,DZ5:DZ26,EA5:EA26)*DX337</f>
        <v>0</v>
      </c>
      <c r="DZ337" s="5"/>
      <c r="EA337" s="5"/>
      <c r="EC337" s="5">
        <v>4</v>
      </c>
      <c r="ED337" s="5">
        <f>ED5*EC337+ED6*EC337+ED7*EC337+ED8*EC337+ED9*EC337+ED10*EC337+ED11*EC337+ED12*EC337+ED13*EC337+ED14*EC337+ED15*EC337+ED16*EC337+ED17*EC337+ED18*EC337+ED19*EC337+ED20*EC337+ED21*EC337+ED22*EC337+ED23*EC337+ED24*EC337+ED25*EC293+ED26*EC293+EE5*EC293+EE6*EC293+EE7*EC293+EE8*EC293+EE9*EC337+EE10*EC337+EE11*EC337+EE12*EC337+EE13*EC337+EE14*EC337+EE15*EC337+EE16*EC337+EE17*EC337+EE18*EC337+EE19*EC337+EE20*EC337+EE21*EC337+EE22*EC337+EE23*EC337+EE24*EC337+EE25*EC337+EE26*EC337+EF5*EC337+EF6*EC337+EF7*EC337+EF8*EC337+EF9*EC337+EF10*EF11+EC337*EF12*EC337+EF13*EC337+EF14*EC337+EF15*EC337+EF16*EC337+EF17*EC337+EF18*EC337+EF19*EC337+EF20*EC337+EF21*EC337+EF22*EC337+EF23*EC337+EF24*EC337+EF25*EC337+EF26*EC337</f>
        <v>0</v>
      </c>
      <c r="EE337" s="5"/>
      <c r="EF337" s="5"/>
      <c r="EH337" s="5">
        <v>4</v>
      </c>
      <c r="EI337" s="5">
        <f>SUM(EI5:EI26,EJ5:EJ26,EK5:EK26)*EH337</f>
        <v>0</v>
      </c>
      <c r="EJ337" s="5"/>
      <c r="EK337" s="5"/>
      <c r="ER337" s="855"/>
      <c r="EX337" s="203">
        <f t="shared" si="2"/>
        <v>0</v>
      </c>
    </row>
    <row r="338" spans="1:154" s="6" customFormat="1" ht="15" customHeight="1">
      <c r="A338" s="90" t="s">
        <v>29</v>
      </c>
      <c r="B338" s="210" t="s">
        <v>555</v>
      </c>
      <c r="C338" s="473" t="s">
        <v>515</v>
      </c>
      <c r="D338" s="138"/>
      <c r="E338" s="40"/>
      <c r="F338" s="40"/>
      <c r="G338" s="40"/>
      <c r="H338" s="40"/>
      <c r="I338" s="4"/>
      <c r="J338" s="4"/>
      <c r="K338" s="4"/>
      <c r="L338" s="4"/>
      <c r="M338" s="4"/>
      <c r="N338" s="661"/>
      <c r="O338" s="4"/>
      <c r="P338" s="4"/>
      <c r="Q338" s="4"/>
      <c r="R338" s="5">
        <v>3</v>
      </c>
      <c r="S338" s="5">
        <f>SUM(S5:U7,S9:U11,S13:U14)*R338</f>
        <v>0</v>
      </c>
      <c r="U338" s="5"/>
      <c r="W338" s="5">
        <v>2</v>
      </c>
      <c r="X338" s="5">
        <f>SUM(X5:Z7,X9:Z11,X13:Z14)*W338</f>
        <v>0</v>
      </c>
      <c r="Y338" s="5"/>
      <c r="Z338" s="5"/>
      <c r="AB338" s="5"/>
      <c r="AC338" s="5"/>
      <c r="AD338" s="41"/>
      <c r="AE338" s="41"/>
      <c r="AG338" s="40"/>
      <c r="AH338" s="41"/>
      <c r="AI338" s="41"/>
      <c r="AJ338" s="41"/>
      <c r="AL338" s="40"/>
      <c r="AM338" s="41"/>
      <c r="AN338" s="41"/>
      <c r="AO338" s="41"/>
      <c r="AQ338" s="49">
        <v>3</v>
      </c>
      <c r="AR338" s="41">
        <f>AR5*AQ338+AS5*AQ338+AR6*AQ338+AS6*AQ338+AR7*AQ338+AS7*AQ338+AR9*AQ338+AS9*AQ338+AR10*AQ338+AS10*AQ338+AR11*AQ338+AS11*AQ338+AR13*AQ338+AS13*AQ338+AR14*AQ338+AS14*AQ338+AT5*AQ338+AT6*AQ338+AT7*AQ338+AT8*AQ338+AT10*AQ338+AT11*AQ338+AT13*AQ338+AT9*AQ338+AT14*AQ338</f>
        <v>0</v>
      </c>
      <c r="AS338" s="41"/>
      <c r="AT338" s="41"/>
      <c r="AV338" s="139"/>
      <c r="AW338" s="139"/>
      <c r="AX338" s="139"/>
      <c r="AY338" s="140"/>
      <c r="BA338" s="139"/>
      <c r="BB338" s="139"/>
      <c r="BC338" s="139"/>
      <c r="BD338" s="41"/>
      <c r="BF338" s="40"/>
      <c r="BG338" s="40"/>
      <c r="BH338" s="40"/>
      <c r="BI338" s="41"/>
      <c r="BK338" s="139"/>
      <c r="BL338" s="139"/>
      <c r="BM338" s="40"/>
      <c r="BN338" s="41"/>
      <c r="BP338" s="40"/>
      <c r="BQ338" s="40"/>
      <c r="BR338" s="40"/>
      <c r="BS338" s="41"/>
      <c r="BU338" s="40"/>
      <c r="BV338" s="40"/>
      <c r="BW338" s="40"/>
      <c r="BX338" s="41"/>
      <c r="BZ338" s="40"/>
      <c r="CA338" s="40"/>
      <c r="CB338" s="40"/>
      <c r="CC338" s="41"/>
      <c r="CD338" s="140"/>
      <c r="CE338" s="40"/>
      <c r="CF338" s="40"/>
      <c r="CG338" s="40"/>
      <c r="CH338" s="41"/>
      <c r="CJ338" s="139"/>
      <c r="CK338" s="139"/>
      <c r="CL338" s="139"/>
      <c r="CM338" s="140"/>
      <c r="CO338" s="222"/>
      <c r="CP338" s="40"/>
      <c r="CQ338" s="40"/>
      <c r="CR338" s="41"/>
      <c r="CT338" s="40"/>
      <c r="CU338" s="40"/>
      <c r="CV338" s="40"/>
      <c r="CW338" s="41"/>
      <c r="CY338" s="40"/>
      <c r="CZ338" s="40"/>
      <c r="DA338" s="40"/>
      <c r="DB338" s="41"/>
      <c r="DD338" s="40"/>
      <c r="DE338" s="40"/>
      <c r="DF338" s="40"/>
      <c r="DG338" s="41"/>
      <c r="DI338" s="64"/>
      <c r="DJ338" s="64"/>
      <c r="DK338" s="64"/>
      <c r="DL338" s="64"/>
      <c r="DN338" s="64"/>
      <c r="DO338" s="64"/>
      <c r="DP338" s="64"/>
      <c r="DQ338" s="64"/>
      <c r="DS338" s="64"/>
      <c r="DT338" s="64"/>
      <c r="DU338" s="64"/>
      <c r="DV338" s="64"/>
      <c r="DX338" s="64"/>
      <c r="DY338" s="64"/>
      <c r="DZ338" s="64"/>
      <c r="EA338" s="64"/>
      <c r="EC338" s="64"/>
      <c r="ED338" s="64"/>
      <c r="EE338" s="64"/>
      <c r="EF338" s="64"/>
      <c r="EH338" s="64"/>
      <c r="EI338" s="64"/>
      <c r="EJ338" s="64"/>
      <c r="EK338" s="64"/>
      <c r="ER338" s="855"/>
      <c r="EX338" s="203">
        <f t="shared" si="2"/>
        <v>0</v>
      </c>
    </row>
    <row r="339" spans="1:154" s="6" customFormat="1" ht="15" customHeight="1">
      <c r="A339" s="90" t="s">
        <v>133</v>
      </c>
      <c r="B339" s="210" t="s">
        <v>133</v>
      </c>
      <c r="C339" s="473" t="s">
        <v>515</v>
      </c>
      <c r="D339" s="138"/>
      <c r="E339" s="40"/>
      <c r="F339" s="40"/>
      <c r="G339" s="40"/>
      <c r="H339" s="40"/>
      <c r="I339" s="4"/>
      <c r="J339" s="4"/>
      <c r="K339" s="4"/>
      <c r="L339" s="4"/>
      <c r="M339" s="4"/>
      <c r="N339" s="661"/>
      <c r="O339" s="4"/>
      <c r="P339" s="4"/>
      <c r="Q339" s="4"/>
      <c r="R339" s="5">
        <v>3</v>
      </c>
      <c r="S339" s="5">
        <f>SUM(S8:U8,S12:U12,S15:U15)</f>
        <v>0</v>
      </c>
      <c r="U339" s="5"/>
      <c r="W339" s="5">
        <v>2</v>
      </c>
      <c r="X339" s="5">
        <f>SUM(X8:Z8,X12:Z12,X15:Z15)</f>
        <v>0</v>
      </c>
      <c r="Y339" s="5"/>
      <c r="Z339" s="5"/>
      <c r="AB339" s="5"/>
      <c r="AC339" s="5"/>
      <c r="AD339" s="41"/>
      <c r="AE339" s="41"/>
      <c r="AG339" s="40"/>
      <c r="AH339" s="41"/>
      <c r="AI339" s="41"/>
      <c r="AJ339" s="41"/>
      <c r="AL339" s="40"/>
      <c r="AM339" s="41"/>
      <c r="AN339" s="41"/>
      <c r="AO339" s="41"/>
      <c r="AQ339" s="49">
        <v>3</v>
      </c>
      <c r="AR339" s="41">
        <f>AR8*AQ339+AS8*AQ339+AR12*AQ339+AS12*AQ339+AR15*AQ339+AS15*AQ339+AT8*AQ339+AT12*AQ339+AT15*AQ339</f>
        <v>0</v>
      </c>
      <c r="AS339" s="41"/>
      <c r="AT339" s="41"/>
      <c r="AV339" s="139"/>
      <c r="AW339" s="139"/>
      <c r="AX339" s="139"/>
      <c r="AY339" s="140"/>
      <c r="BA339" s="139"/>
      <c r="BB339" s="139"/>
      <c r="BC339" s="139"/>
      <c r="BD339" s="41"/>
      <c r="BF339" s="40"/>
      <c r="BG339" s="40"/>
      <c r="BH339" s="40"/>
      <c r="BI339" s="41"/>
      <c r="BK339" s="139"/>
      <c r="BL339" s="139"/>
      <c r="BM339" s="40"/>
      <c r="BN339" s="41"/>
      <c r="BP339" s="40"/>
      <c r="BQ339" s="40"/>
      <c r="BR339" s="40"/>
      <c r="BS339" s="41"/>
      <c r="BU339" s="40"/>
      <c r="BV339" s="40"/>
      <c r="BW339" s="40"/>
      <c r="BX339" s="41"/>
      <c r="BZ339" s="40"/>
      <c r="CA339" s="40"/>
      <c r="CB339" s="40"/>
      <c r="CC339" s="41"/>
      <c r="CD339" s="140"/>
      <c r="CE339" s="40"/>
      <c r="CF339" s="40"/>
      <c r="CG339" s="40"/>
      <c r="CH339" s="41"/>
      <c r="CJ339" s="139"/>
      <c r="CK339" s="139"/>
      <c r="CL339" s="139"/>
      <c r="CM339" s="140"/>
      <c r="CO339" s="222"/>
      <c r="CP339" s="40"/>
      <c r="CQ339" s="40"/>
      <c r="CR339" s="41"/>
      <c r="CT339" s="40"/>
      <c r="CU339" s="40"/>
      <c r="CV339" s="40"/>
      <c r="CW339" s="41"/>
      <c r="CY339" s="40"/>
      <c r="CZ339" s="40"/>
      <c r="DA339" s="40"/>
      <c r="DB339" s="41"/>
      <c r="DD339" s="40"/>
      <c r="DE339" s="40"/>
      <c r="DF339" s="40"/>
      <c r="DG339" s="41"/>
      <c r="DI339" s="64"/>
      <c r="DJ339" s="64"/>
      <c r="DK339" s="64"/>
      <c r="DL339" s="64"/>
      <c r="DN339" s="64"/>
      <c r="DO339" s="64"/>
      <c r="DP339" s="64"/>
      <c r="DQ339" s="64"/>
      <c r="DS339" s="64"/>
      <c r="DT339" s="64"/>
      <c r="DU339" s="64"/>
      <c r="DV339" s="64"/>
      <c r="DX339" s="64"/>
      <c r="DY339" s="64"/>
      <c r="DZ339" s="64"/>
      <c r="EA339" s="64"/>
      <c r="EC339" s="64"/>
      <c r="ED339" s="64"/>
      <c r="EE339" s="64"/>
      <c r="EF339" s="64"/>
      <c r="EH339" s="64"/>
      <c r="EI339" s="64"/>
      <c r="EJ339" s="64"/>
      <c r="EK339" s="64"/>
      <c r="ER339" s="855"/>
      <c r="EX339" s="203">
        <f t="shared" si="2"/>
        <v>0</v>
      </c>
    </row>
    <row r="340" spans="1:154" s="6" customFormat="1" ht="15" customHeight="1">
      <c r="A340" s="90" t="s">
        <v>39</v>
      </c>
      <c r="B340" s="210" t="s">
        <v>39</v>
      </c>
      <c r="C340" s="473" t="s">
        <v>515</v>
      </c>
      <c r="D340" s="138"/>
      <c r="E340" s="62"/>
      <c r="F340" s="41"/>
      <c r="G340" s="41"/>
      <c r="H340" s="41"/>
      <c r="I340" s="4"/>
      <c r="J340" s="4">
        <v>1</v>
      </c>
      <c r="K340" s="658">
        <f>SUM(K5:K26)*J340</f>
        <v>0</v>
      </c>
      <c r="L340" s="4"/>
      <c r="M340" s="4">
        <v>2</v>
      </c>
      <c r="N340" s="661">
        <f>SUM(N5:N26,O5:O26,P5:P26)*(2)+SUM(N6:P6,N10:P10,N13:P13,N13:P13,N17:P17,N21:P21,N24:P24)*(2)</f>
        <v>0</v>
      </c>
      <c r="O340" s="4"/>
      <c r="P340" s="4"/>
      <c r="Q340" s="4"/>
      <c r="R340" s="46">
        <v>2</v>
      </c>
      <c r="S340" s="5">
        <f>SUM(S6:U6,S10:U10,S13:U13,S17:U17,S21:U21,S24:U24)*R340</f>
        <v>0</v>
      </c>
      <c r="T340" s="140"/>
      <c r="U340" s="41"/>
      <c r="W340" s="46">
        <v>2</v>
      </c>
      <c r="X340" s="5">
        <f>SUM(X6:Z6,X10:Z10,X13:Z13,X17:Z17,X21:Z21,X24:Z24)*W340</f>
        <v>0</v>
      </c>
      <c r="Y340" s="41"/>
      <c r="Z340" s="41"/>
      <c r="AB340" s="46">
        <v>2</v>
      </c>
      <c r="AC340" s="5">
        <f>SUM(AC6:AE6,AC10:AE10,AC13:AE13,AC17:AE17,AC21:AE21,AC24:AE24)*AB340</f>
        <v>0</v>
      </c>
      <c r="AD340" s="41"/>
      <c r="AE340" s="41"/>
      <c r="AG340" s="46"/>
      <c r="AH340" s="41"/>
      <c r="AI340" s="41"/>
      <c r="AJ340" s="41"/>
      <c r="AL340" s="46">
        <v>2</v>
      </c>
      <c r="AM340" s="5">
        <f>SUM(AM6:AO6,AM10:AO10,AM13:AO13,AM17:AO17,AM21:AO21,AM24:AO24)*AL340</f>
        <v>0</v>
      </c>
      <c r="AN340" s="41"/>
      <c r="AO340" s="41"/>
      <c r="AQ340" s="49">
        <v>2</v>
      </c>
      <c r="AR340" s="5">
        <f>SUM(AR6:AT6,AR10:AT10,AR13:AT13,AR17:AT17,AR21:AT21,AR24:AT24)*AQ340</f>
        <v>0</v>
      </c>
      <c r="AS340" s="41"/>
      <c r="AT340" s="41"/>
      <c r="AV340" s="51">
        <v>2</v>
      </c>
      <c r="AW340" s="5">
        <f>SUM(AW6:AY6,AW10:AY10,AW13:AY13,AW17:AY17,AW21:AY21,AW24:AY24)*AV340</f>
        <v>0</v>
      </c>
      <c r="AX340" s="139"/>
      <c r="AY340" s="140"/>
      <c r="BA340" s="51">
        <v>2</v>
      </c>
      <c r="BB340" s="5">
        <f>SUM(BB6:BD6,BB10:BD10,BB13:BD13,BB17:BD17,BB21:BD21,BB24:BD24)*BA340</f>
        <v>0</v>
      </c>
      <c r="BC340" s="139"/>
      <c r="BD340" s="41"/>
      <c r="BF340" s="60">
        <v>2</v>
      </c>
      <c r="BG340" s="5">
        <f>SUM(BG6:BI6,BG10:BI10,BG13:BI13,BG17:BI17,BG21:BI21,BG24:BI24)*BF340</f>
        <v>0</v>
      </c>
      <c r="BH340" s="40"/>
      <c r="BI340" s="41"/>
      <c r="BK340" s="142"/>
      <c r="BL340" s="140"/>
      <c r="BM340" s="40"/>
      <c r="BN340" s="41"/>
      <c r="BP340" s="62"/>
      <c r="BQ340" s="41"/>
      <c r="BR340" s="40"/>
      <c r="BS340" s="41"/>
      <c r="BU340" s="62"/>
      <c r="BV340" s="5">
        <f>SUM(BV6:BX6,BV10:BX10,BV13:BX13,BV17:BX17,BV21:BX21,BV24:BX24)*BU340</f>
        <v>0</v>
      </c>
      <c r="BW340" s="40"/>
      <c r="BX340" s="41"/>
      <c r="BZ340" s="61">
        <v>2</v>
      </c>
      <c r="CA340" s="5">
        <f>SUM(CA6:CC6,CA10:CC10,CA13:CC13,CA17:CC17,CA21:CC21,CA24:CC24)*BZ340</f>
        <v>0</v>
      </c>
      <c r="CB340" s="40"/>
      <c r="CC340" s="41"/>
      <c r="CD340" s="140"/>
      <c r="CE340" s="61">
        <v>2</v>
      </c>
      <c r="CF340" s="5">
        <f>SUM(CF6:CH6,CF10:CH10,CF13:CH13,CF17:CH17,CF21:CH21,CF24:CH24)*CE340</f>
        <v>0</v>
      </c>
      <c r="CG340" s="40"/>
      <c r="CH340" s="41"/>
      <c r="CJ340" s="141"/>
      <c r="CK340" s="5"/>
      <c r="CL340" s="139"/>
      <c r="CM340" s="140"/>
      <c r="CO340" s="223">
        <v>2</v>
      </c>
      <c r="CP340" s="5">
        <f>SUM(CP6:CR6,CP10:CR10,CP13:CR13,CP17:CR17,CP21:CR21,CP24:CR24)*CO340</f>
        <v>0</v>
      </c>
      <c r="CQ340" s="40"/>
      <c r="CR340" s="41"/>
      <c r="CT340" s="62">
        <v>2</v>
      </c>
      <c r="CU340" s="5">
        <f>SUM(CU6:CW6,CU10:CW10,CU13:CW13,CU17:CW17,CU21:CW21,CU24:CW24)*CT340</f>
        <v>0</v>
      </c>
      <c r="CV340" s="40"/>
      <c r="CW340" s="41"/>
      <c r="CY340" s="62">
        <v>2</v>
      </c>
      <c r="CZ340" s="5">
        <f>SUM(CZ6:DB6,CZ10:DB10,CZ13:DB13,CZ17:DB17,CZ21:DB21,CZ24:DB24)*CY340</f>
        <v>0</v>
      </c>
      <c r="DA340" s="40"/>
      <c r="DB340" s="41"/>
      <c r="DD340" s="46">
        <v>2</v>
      </c>
      <c r="DE340" s="5">
        <f>SUM(DE6:DG6,DE10:DG10,DE13:DG13,DE17:DG17,DE21:DG21,DE24:DG24)*DD340</f>
        <v>0</v>
      </c>
      <c r="DF340" s="40"/>
      <c r="DG340" s="41"/>
      <c r="DI340" s="71">
        <v>2</v>
      </c>
      <c r="DJ340" s="5">
        <f>SUM(DJ6:DL6,DJ10:DL10,DJ13:DL13,DJ17:DL17,DJ21:DL21,DJ24:DL24)*DI340</f>
        <v>0</v>
      </c>
      <c r="DK340" s="64"/>
      <c r="DL340" s="64"/>
      <c r="DN340" s="71">
        <v>2</v>
      </c>
      <c r="DO340" s="5">
        <f>SUM(DO6:DQ6,DO10:DQ10,DO13:DQ13,DO17:DQ17,DO21:DQ21,DO24:DQ24)*DN340</f>
        <v>0</v>
      </c>
      <c r="DP340" s="64"/>
      <c r="DQ340" s="64"/>
      <c r="DS340" s="60">
        <v>2</v>
      </c>
      <c r="DT340" s="5">
        <f>SUM(DT6:DV6,DT10:DV10,DT13:DV13,DT17:DV17,DT21:DV21,DT24:DV24)*DS340</f>
        <v>0</v>
      </c>
      <c r="DU340" s="64"/>
      <c r="DV340" s="64"/>
      <c r="DX340" s="60">
        <v>2</v>
      </c>
      <c r="DY340" s="5">
        <f>SUM(DY6:EA6,DY10:EA10,DY13:EA13,DY17:EA17,DY21:EA21,DY24:EA24)*DX340</f>
        <v>0</v>
      </c>
      <c r="DZ340" s="64"/>
      <c r="EA340" s="64"/>
      <c r="EC340" s="60">
        <v>2</v>
      </c>
      <c r="ED340" s="5">
        <f>SUM(ED6:EF6,ED10:EF10,ED13:EF13,ED17:EF17,ED21:EF21,ED24:EF24)*EC340</f>
        <v>0</v>
      </c>
      <c r="EE340" s="64"/>
      <c r="EF340" s="64"/>
      <c r="EH340" s="60">
        <v>2</v>
      </c>
      <c r="EI340" s="5">
        <f>SUM(EI6:EK6,EI10:EK10,EI13:EK13,EI17:EK17,EI21:EK21,EI24:EK24)*EH340</f>
        <v>0</v>
      </c>
      <c r="EJ340" s="64"/>
      <c r="EK340" s="64"/>
      <c r="ER340" s="855"/>
      <c r="EX340" s="203">
        <f t="shared" si="2"/>
        <v>0</v>
      </c>
    </row>
    <row r="341" spans="1:154" s="6" customFormat="1" ht="15" customHeight="1">
      <c r="A341" s="90" t="s">
        <v>30</v>
      </c>
      <c r="B341" s="210" t="s">
        <v>30</v>
      </c>
      <c r="C341" s="473" t="s">
        <v>515</v>
      </c>
      <c r="D341" s="138"/>
      <c r="E341" s="62"/>
      <c r="F341" s="41"/>
      <c r="G341" s="41"/>
      <c r="H341" s="41"/>
      <c r="I341" s="4"/>
      <c r="J341" s="4"/>
      <c r="K341" s="4"/>
      <c r="L341" s="4"/>
      <c r="M341" s="4">
        <v>3</v>
      </c>
      <c r="N341" s="661">
        <f t="shared" ref="N341:N351" si="3">SUM(N5:P5)*M341</f>
        <v>0</v>
      </c>
      <c r="O341" s="4"/>
      <c r="P341" s="4"/>
      <c r="Q341" s="4"/>
      <c r="R341" s="46">
        <v>1</v>
      </c>
      <c r="S341" s="41">
        <f t="shared" ref="S341:S351" si="4">S5+T5+U5</f>
        <v>0</v>
      </c>
      <c r="T341" s="140"/>
      <c r="U341" s="41"/>
      <c r="W341" s="46">
        <v>1</v>
      </c>
      <c r="X341" s="41">
        <f t="shared" ref="X341:X351" si="5">X5+Y5+Z5</f>
        <v>0</v>
      </c>
      <c r="Y341" s="41"/>
      <c r="Z341" s="41"/>
      <c r="AB341" s="46">
        <v>1</v>
      </c>
      <c r="AC341" s="41">
        <f t="shared" ref="AC341:AC351" si="6">AC5+AD5+AE5</f>
        <v>0</v>
      </c>
      <c r="AD341" s="41"/>
      <c r="AE341" s="41"/>
      <c r="AG341" s="46"/>
      <c r="AH341" s="41"/>
      <c r="AI341" s="41"/>
      <c r="AJ341" s="41"/>
      <c r="AL341" s="46">
        <v>1</v>
      </c>
      <c r="AM341" s="41">
        <f t="shared" ref="AM341:AM351" si="7">AM5+AN5+AO5</f>
        <v>0</v>
      </c>
      <c r="AN341" s="41"/>
      <c r="AO341" s="41"/>
      <c r="AQ341" s="49">
        <v>1</v>
      </c>
      <c r="AR341" s="41">
        <f t="shared" ref="AR341:AR351" si="8">AR5+AS5+AT5</f>
        <v>0</v>
      </c>
      <c r="AS341" s="41"/>
      <c r="AT341" s="41"/>
      <c r="AV341" s="51">
        <v>1</v>
      </c>
      <c r="AW341" s="140">
        <f t="shared" ref="AW341:AW351" si="9">SUM(AW5:AY5)</f>
        <v>0</v>
      </c>
      <c r="AX341" s="139"/>
      <c r="AY341" s="140"/>
      <c r="BA341" s="51">
        <v>1</v>
      </c>
      <c r="BB341" s="140">
        <f t="shared" ref="BB341:BB351" si="10">SUM(BB5:BD5)</f>
        <v>0</v>
      </c>
      <c r="BC341" s="139"/>
      <c r="BD341" s="41"/>
      <c r="BF341" s="60">
        <v>1</v>
      </c>
      <c r="BG341" s="140">
        <f t="shared" ref="BG341:BG351" si="11">SUM(BG5:BI5)</f>
        <v>0</v>
      </c>
      <c r="BH341" s="40"/>
      <c r="BI341" s="41"/>
      <c r="BK341" s="142"/>
      <c r="BL341" s="140"/>
      <c r="BM341" s="40"/>
      <c r="BN341" s="41"/>
      <c r="BP341" s="62"/>
      <c r="BQ341" s="41"/>
      <c r="BR341" s="40"/>
      <c r="BS341" s="41"/>
      <c r="BU341" s="62"/>
      <c r="BV341" s="41">
        <f t="shared" ref="BV341:BV351" si="12">BV5+BW5+BX5</f>
        <v>0</v>
      </c>
      <c r="BW341" s="40"/>
      <c r="BX341" s="41"/>
      <c r="BZ341" s="61">
        <v>1</v>
      </c>
      <c r="CA341" s="41">
        <f t="shared" ref="CA341:CA351" si="13">SUM(CA5:CC5)*BZ341</f>
        <v>0</v>
      </c>
      <c r="CB341" s="40"/>
      <c r="CC341" s="41"/>
      <c r="CD341" s="140"/>
      <c r="CE341" s="61">
        <v>1</v>
      </c>
      <c r="CF341" s="41">
        <f t="shared" ref="CF341:CF351" si="14">SUM(CF5:CH5)*CE341</f>
        <v>0</v>
      </c>
      <c r="CG341" s="40"/>
      <c r="CH341" s="41"/>
      <c r="CJ341" s="141"/>
      <c r="CK341" s="140"/>
      <c r="CL341" s="139"/>
      <c r="CM341" s="140"/>
      <c r="CO341" s="223">
        <v>1</v>
      </c>
      <c r="CP341" s="41">
        <f t="shared" ref="CP341:CP351" si="15">CP5+CQ5+CR5</f>
        <v>0</v>
      </c>
      <c r="CQ341" s="40"/>
      <c r="CR341" s="41"/>
      <c r="CT341" s="62">
        <v>1</v>
      </c>
      <c r="CU341" s="41">
        <f t="shared" ref="CU341:CU351" si="16">CU5+CV5+CW5</f>
        <v>0</v>
      </c>
      <c r="CV341" s="40"/>
      <c r="CW341" s="41"/>
      <c r="CY341" s="62">
        <v>1</v>
      </c>
      <c r="CZ341" s="41">
        <f t="shared" ref="CZ341:CZ351" si="17">CZ5+DA5+DB5</f>
        <v>0</v>
      </c>
      <c r="DA341" s="40"/>
      <c r="DB341" s="41"/>
      <c r="DD341" s="46">
        <v>1</v>
      </c>
      <c r="DE341" s="41">
        <f t="shared" ref="DE341:DE351" si="18">DE5+DF5+DG5</f>
        <v>0</v>
      </c>
      <c r="DF341" s="40"/>
      <c r="DG341" s="41"/>
      <c r="DI341" s="71">
        <v>1</v>
      </c>
      <c r="DJ341" s="41">
        <f t="shared" ref="DJ341:DJ351" si="19">DJ5+DK5+DL5</f>
        <v>0</v>
      </c>
      <c r="DK341" s="64"/>
      <c r="DL341" s="64"/>
      <c r="DN341" s="71">
        <v>1</v>
      </c>
      <c r="DO341" s="41">
        <f t="shared" ref="DO341:DO351" si="20">DO5+DP5+DQ5</f>
        <v>0</v>
      </c>
      <c r="DP341" s="64"/>
      <c r="DQ341" s="64"/>
      <c r="DS341" s="60">
        <v>1</v>
      </c>
      <c r="DT341" s="41">
        <f t="shared" ref="DT341:DT351" si="21">DT5+DU5+DV5</f>
        <v>0</v>
      </c>
      <c r="DU341" s="64"/>
      <c r="DV341" s="64"/>
      <c r="DX341" s="60">
        <v>1</v>
      </c>
      <c r="DY341" s="41">
        <f t="shared" ref="DY341:DY351" si="22">DY5+DZ5+EA5</f>
        <v>0</v>
      </c>
      <c r="DZ341" s="64"/>
      <c r="EA341" s="64"/>
      <c r="EC341" s="60">
        <v>1</v>
      </c>
      <c r="ED341" s="41">
        <f t="shared" ref="ED341:ED351" si="23">ED5+EE5+EF5</f>
        <v>0</v>
      </c>
      <c r="EE341" s="64"/>
      <c r="EF341" s="64"/>
      <c r="EH341" s="60">
        <v>1</v>
      </c>
      <c r="EI341" s="41">
        <f t="shared" ref="EI341:EI351" si="24">EI5+EJ5+EK5</f>
        <v>0</v>
      </c>
      <c r="EJ341" s="64"/>
      <c r="EK341" s="64"/>
      <c r="ER341" s="855"/>
      <c r="EX341" s="203">
        <f t="shared" si="2"/>
        <v>0</v>
      </c>
    </row>
    <row r="342" spans="1:154" s="6" customFormat="1" ht="15" customHeight="1">
      <c r="A342" s="90" t="s">
        <v>31</v>
      </c>
      <c r="B342" s="210" t="s">
        <v>31</v>
      </c>
      <c r="C342" s="473" t="s">
        <v>515</v>
      </c>
      <c r="D342" s="138"/>
      <c r="E342" s="62"/>
      <c r="F342" s="41"/>
      <c r="G342" s="41"/>
      <c r="H342" s="41"/>
      <c r="I342" s="4"/>
      <c r="J342" s="4"/>
      <c r="K342" s="4"/>
      <c r="L342" s="4"/>
      <c r="M342" s="4">
        <v>3</v>
      </c>
      <c r="N342" s="661">
        <f t="shared" si="3"/>
        <v>0</v>
      </c>
      <c r="O342" s="4"/>
      <c r="P342" s="4"/>
      <c r="Q342" s="4"/>
      <c r="R342" s="46">
        <v>1</v>
      </c>
      <c r="S342" s="41">
        <f t="shared" si="4"/>
        <v>0</v>
      </c>
      <c r="T342" s="140"/>
      <c r="U342" s="41"/>
      <c r="W342" s="46">
        <v>1</v>
      </c>
      <c r="X342" s="41">
        <f t="shared" si="5"/>
        <v>0</v>
      </c>
      <c r="Y342" s="41"/>
      <c r="Z342" s="41"/>
      <c r="AB342" s="46">
        <v>1</v>
      </c>
      <c r="AC342" s="41">
        <f t="shared" si="6"/>
        <v>0</v>
      </c>
      <c r="AD342" s="41"/>
      <c r="AE342" s="41"/>
      <c r="AG342" s="46"/>
      <c r="AH342" s="41"/>
      <c r="AI342" s="41"/>
      <c r="AJ342" s="41"/>
      <c r="AL342" s="46">
        <v>1</v>
      </c>
      <c r="AM342" s="41">
        <f t="shared" si="7"/>
        <v>0</v>
      </c>
      <c r="AN342" s="41"/>
      <c r="AO342" s="41"/>
      <c r="AQ342" s="49">
        <v>1</v>
      </c>
      <c r="AR342" s="41">
        <f t="shared" si="8"/>
        <v>0</v>
      </c>
      <c r="AS342" s="41"/>
      <c r="AT342" s="41"/>
      <c r="AV342" s="51">
        <v>1</v>
      </c>
      <c r="AW342" s="140">
        <f t="shared" si="9"/>
        <v>0</v>
      </c>
      <c r="AX342" s="139"/>
      <c r="AY342" s="140"/>
      <c r="BA342" s="51">
        <v>1</v>
      </c>
      <c r="BB342" s="140">
        <f t="shared" si="10"/>
        <v>0</v>
      </c>
      <c r="BC342" s="139"/>
      <c r="BD342" s="41"/>
      <c r="BF342" s="60">
        <v>1</v>
      </c>
      <c r="BG342" s="140">
        <f t="shared" si="11"/>
        <v>0</v>
      </c>
      <c r="BH342" s="40"/>
      <c r="BI342" s="41"/>
      <c r="BK342" s="142"/>
      <c r="BL342" s="140"/>
      <c r="BM342" s="40"/>
      <c r="BN342" s="41"/>
      <c r="BP342" s="62"/>
      <c r="BQ342" s="41"/>
      <c r="BR342" s="40"/>
      <c r="BS342" s="41"/>
      <c r="BU342" s="62"/>
      <c r="BV342" s="41">
        <f t="shared" si="12"/>
        <v>0</v>
      </c>
      <c r="BW342" s="40"/>
      <c r="BX342" s="41"/>
      <c r="BZ342" s="61">
        <v>1</v>
      </c>
      <c r="CA342" s="41">
        <f t="shared" si="13"/>
        <v>0</v>
      </c>
      <c r="CB342" s="40"/>
      <c r="CC342" s="41"/>
      <c r="CD342" s="140"/>
      <c r="CE342" s="61">
        <v>1</v>
      </c>
      <c r="CF342" s="41">
        <f t="shared" si="14"/>
        <v>0</v>
      </c>
      <c r="CG342" s="40"/>
      <c r="CH342" s="41"/>
      <c r="CJ342" s="141"/>
      <c r="CK342" s="140"/>
      <c r="CL342" s="139"/>
      <c r="CM342" s="140"/>
      <c r="CO342" s="223">
        <v>1</v>
      </c>
      <c r="CP342" s="41">
        <f t="shared" si="15"/>
        <v>0</v>
      </c>
      <c r="CQ342" s="40"/>
      <c r="CR342" s="41"/>
      <c r="CT342" s="62">
        <v>1</v>
      </c>
      <c r="CU342" s="41">
        <f t="shared" si="16"/>
        <v>0</v>
      </c>
      <c r="CV342" s="40"/>
      <c r="CW342" s="41"/>
      <c r="CY342" s="62">
        <v>1</v>
      </c>
      <c r="CZ342" s="41">
        <f t="shared" si="17"/>
        <v>0</v>
      </c>
      <c r="DA342" s="40"/>
      <c r="DB342" s="41"/>
      <c r="DD342" s="46">
        <v>1</v>
      </c>
      <c r="DE342" s="41">
        <f t="shared" si="18"/>
        <v>0</v>
      </c>
      <c r="DF342" s="40"/>
      <c r="DG342" s="41"/>
      <c r="DI342" s="71">
        <v>1</v>
      </c>
      <c r="DJ342" s="41">
        <f t="shared" si="19"/>
        <v>0</v>
      </c>
      <c r="DK342" s="64"/>
      <c r="DL342" s="64"/>
      <c r="DN342" s="71">
        <v>1</v>
      </c>
      <c r="DO342" s="41">
        <f t="shared" si="20"/>
        <v>0</v>
      </c>
      <c r="DP342" s="64"/>
      <c r="DQ342" s="64"/>
      <c r="DS342" s="60">
        <v>1</v>
      </c>
      <c r="DT342" s="41">
        <f t="shared" si="21"/>
        <v>0</v>
      </c>
      <c r="DU342" s="64"/>
      <c r="DV342" s="64"/>
      <c r="DX342" s="60">
        <v>1</v>
      </c>
      <c r="DY342" s="41">
        <f t="shared" si="22"/>
        <v>0</v>
      </c>
      <c r="DZ342" s="64"/>
      <c r="EA342" s="64"/>
      <c r="EC342" s="60">
        <v>1</v>
      </c>
      <c r="ED342" s="41">
        <f t="shared" si="23"/>
        <v>0</v>
      </c>
      <c r="EE342" s="64"/>
      <c r="EF342" s="64"/>
      <c r="EH342" s="60">
        <v>1</v>
      </c>
      <c r="EI342" s="41">
        <f t="shared" si="24"/>
        <v>0</v>
      </c>
      <c r="EJ342" s="64"/>
      <c r="EK342" s="64"/>
      <c r="ER342" s="855"/>
      <c r="EX342" s="203">
        <f t="shared" si="2"/>
        <v>0</v>
      </c>
    </row>
    <row r="343" spans="1:154" s="6" customFormat="1" ht="15" customHeight="1">
      <c r="A343" s="90" t="s">
        <v>41</v>
      </c>
      <c r="B343" s="210" t="s">
        <v>41</v>
      </c>
      <c r="C343" s="473" t="s">
        <v>515</v>
      </c>
      <c r="D343" s="138"/>
      <c r="E343" s="62"/>
      <c r="F343" s="41"/>
      <c r="G343" s="41"/>
      <c r="H343" s="41"/>
      <c r="I343" s="4"/>
      <c r="J343" s="4"/>
      <c r="K343" s="4"/>
      <c r="L343" s="4"/>
      <c r="M343" s="4">
        <v>3</v>
      </c>
      <c r="N343" s="661">
        <f t="shared" si="3"/>
        <v>0</v>
      </c>
      <c r="O343" s="4"/>
      <c r="P343" s="4"/>
      <c r="Q343" s="4"/>
      <c r="R343" s="46">
        <v>1</v>
      </c>
      <c r="S343" s="41">
        <f t="shared" si="4"/>
        <v>0</v>
      </c>
      <c r="T343" s="140"/>
      <c r="U343" s="41"/>
      <c r="W343" s="46">
        <v>1</v>
      </c>
      <c r="X343" s="41">
        <f t="shared" si="5"/>
        <v>0</v>
      </c>
      <c r="Y343" s="41"/>
      <c r="Z343" s="41"/>
      <c r="AB343" s="46">
        <v>1</v>
      </c>
      <c r="AC343" s="41">
        <f t="shared" si="6"/>
        <v>0</v>
      </c>
      <c r="AD343" s="41"/>
      <c r="AE343" s="41"/>
      <c r="AG343" s="46"/>
      <c r="AH343" s="41"/>
      <c r="AI343" s="41"/>
      <c r="AJ343" s="41"/>
      <c r="AL343" s="46">
        <v>1</v>
      </c>
      <c r="AM343" s="41">
        <f t="shared" si="7"/>
        <v>0</v>
      </c>
      <c r="AN343" s="41"/>
      <c r="AO343" s="41"/>
      <c r="AQ343" s="49">
        <v>1</v>
      </c>
      <c r="AR343" s="41">
        <f t="shared" si="8"/>
        <v>0</v>
      </c>
      <c r="AS343" s="41"/>
      <c r="AT343" s="41"/>
      <c r="AV343" s="51">
        <v>1</v>
      </c>
      <c r="AW343" s="140">
        <f t="shared" si="9"/>
        <v>0</v>
      </c>
      <c r="AX343" s="139"/>
      <c r="AY343" s="140"/>
      <c r="BA343" s="51">
        <v>1</v>
      </c>
      <c r="BB343" s="140">
        <f t="shared" si="10"/>
        <v>0</v>
      </c>
      <c r="BC343" s="139"/>
      <c r="BD343" s="41"/>
      <c r="BF343" s="60">
        <v>1</v>
      </c>
      <c r="BG343" s="140">
        <f t="shared" si="11"/>
        <v>0</v>
      </c>
      <c r="BH343" s="40"/>
      <c r="BI343" s="41"/>
      <c r="BK343" s="142"/>
      <c r="BL343" s="140"/>
      <c r="BM343" s="40"/>
      <c r="BN343" s="41"/>
      <c r="BP343" s="62"/>
      <c r="BQ343" s="41"/>
      <c r="BR343" s="40"/>
      <c r="BS343" s="41"/>
      <c r="BU343" s="62"/>
      <c r="BV343" s="41">
        <f t="shared" si="12"/>
        <v>0</v>
      </c>
      <c r="BW343" s="40"/>
      <c r="BX343" s="41"/>
      <c r="BZ343" s="61">
        <v>1</v>
      </c>
      <c r="CA343" s="41">
        <f t="shared" si="13"/>
        <v>0</v>
      </c>
      <c r="CB343" s="40"/>
      <c r="CC343" s="41"/>
      <c r="CD343" s="140"/>
      <c r="CE343" s="61">
        <v>1</v>
      </c>
      <c r="CF343" s="41">
        <f t="shared" si="14"/>
        <v>0</v>
      </c>
      <c r="CG343" s="40"/>
      <c r="CH343" s="41"/>
      <c r="CJ343" s="141"/>
      <c r="CK343" s="140"/>
      <c r="CL343" s="139"/>
      <c r="CM343" s="140"/>
      <c r="CO343" s="223">
        <v>1</v>
      </c>
      <c r="CP343" s="41">
        <f t="shared" si="15"/>
        <v>0</v>
      </c>
      <c r="CQ343" s="40"/>
      <c r="CR343" s="41"/>
      <c r="CT343" s="62">
        <v>1</v>
      </c>
      <c r="CU343" s="41">
        <f t="shared" si="16"/>
        <v>0</v>
      </c>
      <c r="CV343" s="40"/>
      <c r="CW343" s="41"/>
      <c r="CY343" s="62">
        <v>1</v>
      </c>
      <c r="CZ343" s="41">
        <f t="shared" si="17"/>
        <v>0</v>
      </c>
      <c r="DA343" s="40"/>
      <c r="DB343" s="41"/>
      <c r="DD343" s="46">
        <v>1</v>
      </c>
      <c r="DE343" s="41">
        <f t="shared" si="18"/>
        <v>0</v>
      </c>
      <c r="DF343" s="40"/>
      <c r="DG343" s="41"/>
      <c r="DI343" s="71">
        <v>1</v>
      </c>
      <c r="DJ343" s="41">
        <f t="shared" si="19"/>
        <v>0</v>
      </c>
      <c r="DK343" s="64"/>
      <c r="DL343" s="64"/>
      <c r="DN343" s="71">
        <v>1</v>
      </c>
      <c r="DO343" s="41">
        <f t="shared" si="20"/>
        <v>0</v>
      </c>
      <c r="DP343" s="64"/>
      <c r="DQ343" s="64"/>
      <c r="DS343" s="60">
        <v>1</v>
      </c>
      <c r="DT343" s="41">
        <f t="shared" si="21"/>
        <v>0</v>
      </c>
      <c r="DU343" s="64"/>
      <c r="DV343" s="64"/>
      <c r="DX343" s="60">
        <v>1</v>
      </c>
      <c r="DY343" s="41">
        <f t="shared" si="22"/>
        <v>0</v>
      </c>
      <c r="DZ343" s="64"/>
      <c r="EA343" s="64"/>
      <c r="EC343" s="60">
        <v>1</v>
      </c>
      <c r="ED343" s="41">
        <f t="shared" si="23"/>
        <v>0</v>
      </c>
      <c r="EE343" s="64"/>
      <c r="EF343" s="64"/>
      <c r="EH343" s="60">
        <v>1</v>
      </c>
      <c r="EI343" s="41">
        <f t="shared" si="24"/>
        <v>0</v>
      </c>
      <c r="EJ343" s="64"/>
      <c r="EK343" s="64"/>
      <c r="ER343" s="855"/>
      <c r="EX343" s="203">
        <f t="shared" si="2"/>
        <v>0</v>
      </c>
    </row>
    <row r="344" spans="1:154" s="6" customFormat="1" ht="15" customHeight="1">
      <c r="A344" s="90" t="s">
        <v>98</v>
      </c>
      <c r="B344" s="210" t="s">
        <v>98</v>
      </c>
      <c r="C344" s="473" t="s">
        <v>515</v>
      </c>
      <c r="D344" s="138"/>
      <c r="E344" s="62"/>
      <c r="F344" s="41"/>
      <c r="G344" s="41"/>
      <c r="H344" s="41"/>
      <c r="I344" s="4"/>
      <c r="J344" s="4"/>
      <c r="K344" s="4"/>
      <c r="L344" s="4"/>
      <c r="M344" s="4">
        <v>3</v>
      </c>
      <c r="N344" s="661">
        <f t="shared" si="3"/>
        <v>0</v>
      </c>
      <c r="O344" s="4"/>
      <c r="P344" s="4"/>
      <c r="Q344" s="4"/>
      <c r="R344" s="46">
        <v>1</v>
      </c>
      <c r="S344" s="41">
        <f t="shared" si="4"/>
        <v>0</v>
      </c>
      <c r="T344" s="140"/>
      <c r="U344" s="41"/>
      <c r="W344" s="46">
        <v>1</v>
      </c>
      <c r="X344" s="41">
        <f t="shared" si="5"/>
        <v>0</v>
      </c>
      <c r="Y344" s="41"/>
      <c r="Z344" s="41"/>
      <c r="AB344" s="46">
        <v>1</v>
      </c>
      <c r="AC344" s="41">
        <f t="shared" si="6"/>
        <v>0</v>
      </c>
      <c r="AD344" s="41"/>
      <c r="AE344" s="41"/>
      <c r="AG344" s="46"/>
      <c r="AH344" s="41"/>
      <c r="AI344" s="41"/>
      <c r="AJ344" s="41"/>
      <c r="AL344" s="46">
        <v>1</v>
      </c>
      <c r="AM344" s="41">
        <f t="shared" si="7"/>
        <v>0</v>
      </c>
      <c r="AN344" s="41"/>
      <c r="AO344" s="41"/>
      <c r="AQ344" s="49">
        <v>1</v>
      </c>
      <c r="AR344" s="41">
        <f t="shared" si="8"/>
        <v>0</v>
      </c>
      <c r="AS344" s="41"/>
      <c r="AT344" s="41"/>
      <c r="AV344" s="51">
        <v>1</v>
      </c>
      <c r="AW344" s="140">
        <f t="shared" si="9"/>
        <v>0</v>
      </c>
      <c r="AX344" s="139"/>
      <c r="AY344" s="140"/>
      <c r="BA344" s="51">
        <v>1</v>
      </c>
      <c r="BB344" s="140">
        <f t="shared" si="10"/>
        <v>0</v>
      </c>
      <c r="BC344" s="139"/>
      <c r="BD344" s="41"/>
      <c r="BF344" s="60">
        <v>1</v>
      </c>
      <c r="BG344" s="140">
        <f t="shared" si="11"/>
        <v>0</v>
      </c>
      <c r="BH344" s="40"/>
      <c r="BI344" s="41"/>
      <c r="BK344" s="142"/>
      <c r="BL344" s="140"/>
      <c r="BM344" s="40"/>
      <c r="BN344" s="41"/>
      <c r="BP344" s="62"/>
      <c r="BQ344" s="41"/>
      <c r="BR344" s="40"/>
      <c r="BS344" s="41"/>
      <c r="BU344" s="62"/>
      <c r="BV344" s="41">
        <f t="shared" si="12"/>
        <v>0</v>
      </c>
      <c r="BW344" s="40"/>
      <c r="BX344" s="41"/>
      <c r="BZ344" s="61">
        <v>1</v>
      </c>
      <c r="CA344" s="41">
        <f t="shared" si="13"/>
        <v>0</v>
      </c>
      <c r="CB344" s="40"/>
      <c r="CC344" s="41"/>
      <c r="CD344" s="140"/>
      <c r="CE344" s="61">
        <v>1</v>
      </c>
      <c r="CF344" s="41">
        <f t="shared" si="14"/>
        <v>0</v>
      </c>
      <c r="CG344" s="40"/>
      <c r="CH344" s="41"/>
      <c r="CJ344" s="141"/>
      <c r="CK344" s="140"/>
      <c r="CL344" s="139"/>
      <c r="CM344" s="140"/>
      <c r="CO344" s="223">
        <v>1</v>
      </c>
      <c r="CP344" s="41">
        <f t="shared" si="15"/>
        <v>0</v>
      </c>
      <c r="CQ344" s="40"/>
      <c r="CR344" s="41"/>
      <c r="CT344" s="62">
        <v>1</v>
      </c>
      <c r="CU344" s="41">
        <f t="shared" si="16"/>
        <v>0</v>
      </c>
      <c r="CV344" s="40"/>
      <c r="CW344" s="41"/>
      <c r="CY344" s="62">
        <v>1</v>
      </c>
      <c r="CZ344" s="41">
        <f t="shared" si="17"/>
        <v>0</v>
      </c>
      <c r="DA344" s="40"/>
      <c r="DB344" s="41"/>
      <c r="DD344" s="46">
        <v>1</v>
      </c>
      <c r="DE344" s="41">
        <f t="shared" si="18"/>
        <v>0</v>
      </c>
      <c r="DF344" s="40"/>
      <c r="DG344" s="41"/>
      <c r="DI344" s="71">
        <v>1</v>
      </c>
      <c r="DJ344" s="41">
        <f t="shared" si="19"/>
        <v>0</v>
      </c>
      <c r="DK344" s="64"/>
      <c r="DL344" s="64"/>
      <c r="DN344" s="71">
        <v>1</v>
      </c>
      <c r="DO344" s="41">
        <f t="shared" si="20"/>
        <v>0</v>
      </c>
      <c r="DP344" s="64"/>
      <c r="DQ344" s="64"/>
      <c r="DS344" s="60">
        <v>1</v>
      </c>
      <c r="DT344" s="41">
        <f t="shared" si="21"/>
        <v>0</v>
      </c>
      <c r="DU344" s="64"/>
      <c r="DV344" s="64"/>
      <c r="DX344" s="60">
        <v>1</v>
      </c>
      <c r="DY344" s="41">
        <f t="shared" si="22"/>
        <v>0</v>
      </c>
      <c r="DZ344" s="64"/>
      <c r="EA344" s="64"/>
      <c r="EC344" s="60">
        <v>1</v>
      </c>
      <c r="ED344" s="41">
        <f t="shared" si="23"/>
        <v>0</v>
      </c>
      <c r="EE344" s="64"/>
      <c r="EF344" s="64"/>
      <c r="EH344" s="60">
        <v>1</v>
      </c>
      <c r="EI344" s="41">
        <f t="shared" si="24"/>
        <v>0</v>
      </c>
      <c r="EJ344" s="64"/>
      <c r="EK344" s="64"/>
      <c r="ER344" s="855"/>
      <c r="EX344" s="203">
        <f t="shared" si="2"/>
        <v>0</v>
      </c>
    </row>
    <row r="345" spans="1:154" s="6" customFormat="1" ht="15" customHeight="1">
      <c r="A345" s="90" t="s">
        <v>99</v>
      </c>
      <c r="B345" s="210" t="s">
        <v>99</v>
      </c>
      <c r="C345" s="473" t="s">
        <v>515</v>
      </c>
      <c r="D345" s="138"/>
      <c r="E345" s="62"/>
      <c r="F345" s="41"/>
      <c r="G345" s="41"/>
      <c r="H345" s="41"/>
      <c r="I345" s="4"/>
      <c r="J345" s="4"/>
      <c r="K345" s="4"/>
      <c r="L345" s="4"/>
      <c r="M345" s="4">
        <v>3</v>
      </c>
      <c r="N345" s="661">
        <f t="shared" si="3"/>
        <v>0</v>
      </c>
      <c r="O345" s="4"/>
      <c r="P345" s="4"/>
      <c r="Q345" s="4"/>
      <c r="R345" s="46">
        <v>1</v>
      </c>
      <c r="S345" s="41">
        <f t="shared" si="4"/>
        <v>0</v>
      </c>
      <c r="T345" s="140"/>
      <c r="U345" s="41"/>
      <c r="W345" s="46">
        <v>1</v>
      </c>
      <c r="X345" s="41">
        <f t="shared" si="5"/>
        <v>0</v>
      </c>
      <c r="Y345" s="41"/>
      <c r="Z345" s="41"/>
      <c r="AB345" s="46">
        <v>1</v>
      </c>
      <c r="AC345" s="41">
        <f t="shared" si="6"/>
        <v>0</v>
      </c>
      <c r="AD345" s="41"/>
      <c r="AE345" s="41"/>
      <c r="AG345" s="46"/>
      <c r="AH345" s="41"/>
      <c r="AI345" s="41"/>
      <c r="AJ345" s="41"/>
      <c r="AL345" s="46">
        <v>1</v>
      </c>
      <c r="AM345" s="41">
        <f t="shared" si="7"/>
        <v>0</v>
      </c>
      <c r="AN345" s="41"/>
      <c r="AO345" s="41"/>
      <c r="AQ345" s="49">
        <v>1</v>
      </c>
      <c r="AR345" s="41">
        <f t="shared" si="8"/>
        <v>0</v>
      </c>
      <c r="AS345" s="41"/>
      <c r="AT345" s="41"/>
      <c r="AV345" s="51">
        <v>1</v>
      </c>
      <c r="AW345" s="140">
        <f t="shared" si="9"/>
        <v>0</v>
      </c>
      <c r="AX345" s="139"/>
      <c r="AY345" s="140"/>
      <c r="BA345" s="51">
        <v>1</v>
      </c>
      <c r="BB345" s="140">
        <f t="shared" si="10"/>
        <v>0</v>
      </c>
      <c r="BC345" s="139"/>
      <c r="BD345" s="41"/>
      <c r="BF345" s="60">
        <v>1</v>
      </c>
      <c r="BG345" s="140">
        <f t="shared" si="11"/>
        <v>0</v>
      </c>
      <c r="BH345" s="40"/>
      <c r="BI345" s="41"/>
      <c r="BK345" s="142"/>
      <c r="BL345" s="140"/>
      <c r="BM345" s="40"/>
      <c r="BN345" s="41"/>
      <c r="BP345" s="62"/>
      <c r="BQ345" s="41"/>
      <c r="BR345" s="40"/>
      <c r="BS345" s="41"/>
      <c r="BU345" s="62"/>
      <c r="BV345" s="41">
        <f t="shared" si="12"/>
        <v>0</v>
      </c>
      <c r="BW345" s="40"/>
      <c r="BX345" s="41"/>
      <c r="BZ345" s="61">
        <v>1</v>
      </c>
      <c r="CA345" s="41">
        <f t="shared" si="13"/>
        <v>0</v>
      </c>
      <c r="CB345" s="40"/>
      <c r="CC345" s="41"/>
      <c r="CD345" s="140"/>
      <c r="CE345" s="61">
        <v>1</v>
      </c>
      <c r="CF345" s="41">
        <f t="shared" si="14"/>
        <v>0</v>
      </c>
      <c r="CG345" s="40"/>
      <c r="CH345" s="41"/>
      <c r="CJ345" s="141"/>
      <c r="CK345" s="140"/>
      <c r="CL345" s="139"/>
      <c r="CM345" s="140"/>
      <c r="CO345" s="223">
        <v>1</v>
      </c>
      <c r="CP345" s="41">
        <f t="shared" si="15"/>
        <v>0</v>
      </c>
      <c r="CQ345" s="40"/>
      <c r="CR345" s="41"/>
      <c r="CT345" s="62">
        <v>1</v>
      </c>
      <c r="CU345" s="41">
        <f t="shared" si="16"/>
        <v>0</v>
      </c>
      <c r="CV345" s="40"/>
      <c r="CW345" s="41"/>
      <c r="CY345" s="62">
        <v>1</v>
      </c>
      <c r="CZ345" s="41">
        <f t="shared" si="17"/>
        <v>0</v>
      </c>
      <c r="DA345" s="40"/>
      <c r="DB345" s="41"/>
      <c r="DD345" s="46">
        <v>1</v>
      </c>
      <c r="DE345" s="41">
        <f t="shared" si="18"/>
        <v>0</v>
      </c>
      <c r="DF345" s="40"/>
      <c r="DG345" s="41"/>
      <c r="DI345" s="71">
        <v>1</v>
      </c>
      <c r="DJ345" s="41">
        <f t="shared" si="19"/>
        <v>0</v>
      </c>
      <c r="DK345" s="64"/>
      <c r="DL345" s="64"/>
      <c r="DN345" s="71">
        <v>1</v>
      </c>
      <c r="DO345" s="41">
        <f t="shared" si="20"/>
        <v>0</v>
      </c>
      <c r="DP345" s="64"/>
      <c r="DQ345" s="64"/>
      <c r="DS345" s="60">
        <v>1</v>
      </c>
      <c r="DT345" s="41">
        <f t="shared" si="21"/>
        <v>0</v>
      </c>
      <c r="DU345" s="64"/>
      <c r="DV345" s="64"/>
      <c r="DX345" s="60">
        <v>1</v>
      </c>
      <c r="DY345" s="41">
        <f t="shared" si="22"/>
        <v>0</v>
      </c>
      <c r="DZ345" s="64"/>
      <c r="EA345" s="64"/>
      <c r="EC345" s="60">
        <v>1</v>
      </c>
      <c r="ED345" s="41">
        <f t="shared" si="23"/>
        <v>0</v>
      </c>
      <c r="EE345" s="64"/>
      <c r="EF345" s="64"/>
      <c r="EH345" s="60">
        <v>1</v>
      </c>
      <c r="EI345" s="41">
        <f t="shared" si="24"/>
        <v>0</v>
      </c>
      <c r="EJ345" s="64"/>
      <c r="EK345" s="64"/>
      <c r="ER345" s="855"/>
      <c r="EX345" s="203">
        <f t="shared" si="2"/>
        <v>0</v>
      </c>
    </row>
    <row r="346" spans="1:154" s="6" customFormat="1" ht="15" customHeight="1">
      <c r="A346" s="90" t="s">
        <v>102</v>
      </c>
      <c r="B346" s="210" t="s">
        <v>102</v>
      </c>
      <c r="C346" s="473" t="s">
        <v>515</v>
      </c>
      <c r="D346" s="138"/>
      <c r="E346" s="62"/>
      <c r="F346" s="41"/>
      <c r="G346" s="41"/>
      <c r="H346" s="41"/>
      <c r="I346" s="4"/>
      <c r="J346" s="4"/>
      <c r="K346" s="4"/>
      <c r="L346" s="4"/>
      <c r="M346" s="4">
        <v>3</v>
      </c>
      <c r="N346" s="661">
        <f t="shared" si="3"/>
        <v>0</v>
      </c>
      <c r="O346" s="4"/>
      <c r="P346" s="4"/>
      <c r="Q346" s="4"/>
      <c r="R346" s="46">
        <v>1</v>
      </c>
      <c r="S346" s="41">
        <f t="shared" si="4"/>
        <v>0</v>
      </c>
      <c r="T346" s="140"/>
      <c r="U346" s="41"/>
      <c r="W346" s="46">
        <v>1</v>
      </c>
      <c r="X346" s="41">
        <f t="shared" si="5"/>
        <v>0</v>
      </c>
      <c r="Y346" s="41"/>
      <c r="Z346" s="41"/>
      <c r="AB346" s="46">
        <v>1</v>
      </c>
      <c r="AC346" s="41">
        <f t="shared" si="6"/>
        <v>0</v>
      </c>
      <c r="AD346" s="41"/>
      <c r="AE346" s="41"/>
      <c r="AG346" s="46"/>
      <c r="AH346" s="41"/>
      <c r="AI346" s="41"/>
      <c r="AJ346" s="41"/>
      <c r="AL346" s="46">
        <v>1</v>
      </c>
      <c r="AM346" s="41">
        <f t="shared" si="7"/>
        <v>0</v>
      </c>
      <c r="AN346" s="41"/>
      <c r="AO346" s="41"/>
      <c r="AQ346" s="49">
        <v>1</v>
      </c>
      <c r="AR346" s="41">
        <f t="shared" si="8"/>
        <v>0</v>
      </c>
      <c r="AS346" s="41"/>
      <c r="AT346" s="41"/>
      <c r="AV346" s="51">
        <v>1</v>
      </c>
      <c r="AW346" s="140">
        <f t="shared" si="9"/>
        <v>0</v>
      </c>
      <c r="AX346" s="139"/>
      <c r="AY346" s="140"/>
      <c r="BA346" s="51">
        <v>1</v>
      </c>
      <c r="BB346" s="140">
        <f t="shared" si="10"/>
        <v>0</v>
      </c>
      <c r="BC346" s="139"/>
      <c r="BD346" s="41"/>
      <c r="BF346" s="60">
        <v>1</v>
      </c>
      <c r="BG346" s="140">
        <f t="shared" si="11"/>
        <v>0</v>
      </c>
      <c r="BH346" s="40"/>
      <c r="BI346" s="41"/>
      <c r="BK346" s="142"/>
      <c r="BL346" s="140"/>
      <c r="BM346" s="40"/>
      <c r="BN346" s="41"/>
      <c r="BP346" s="62"/>
      <c r="BQ346" s="41"/>
      <c r="BR346" s="40"/>
      <c r="BS346" s="41"/>
      <c r="BU346" s="62"/>
      <c r="BV346" s="41">
        <f t="shared" si="12"/>
        <v>0</v>
      </c>
      <c r="BW346" s="40"/>
      <c r="BX346" s="41"/>
      <c r="BZ346" s="61">
        <v>1</v>
      </c>
      <c r="CA346" s="41">
        <f t="shared" si="13"/>
        <v>0</v>
      </c>
      <c r="CB346" s="40"/>
      <c r="CC346" s="41"/>
      <c r="CD346" s="140"/>
      <c r="CE346" s="61">
        <v>1</v>
      </c>
      <c r="CF346" s="41">
        <f t="shared" si="14"/>
        <v>0</v>
      </c>
      <c r="CG346" s="40"/>
      <c r="CH346" s="41"/>
      <c r="CJ346" s="141"/>
      <c r="CK346" s="140"/>
      <c r="CL346" s="139"/>
      <c r="CM346" s="140"/>
      <c r="CO346" s="223">
        <v>1</v>
      </c>
      <c r="CP346" s="41">
        <f t="shared" si="15"/>
        <v>0</v>
      </c>
      <c r="CQ346" s="40"/>
      <c r="CR346" s="41"/>
      <c r="CT346" s="62">
        <v>1</v>
      </c>
      <c r="CU346" s="41">
        <f t="shared" si="16"/>
        <v>0</v>
      </c>
      <c r="CV346" s="40"/>
      <c r="CW346" s="41"/>
      <c r="CY346" s="62">
        <v>1</v>
      </c>
      <c r="CZ346" s="41">
        <f t="shared" si="17"/>
        <v>0</v>
      </c>
      <c r="DA346" s="40"/>
      <c r="DB346" s="41"/>
      <c r="DD346" s="46">
        <v>1</v>
      </c>
      <c r="DE346" s="41">
        <f t="shared" si="18"/>
        <v>0</v>
      </c>
      <c r="DF346" s="40"/>
      <c r="DG346" s="41"/>
      <c r="DI346" s="71">
        <v>1</v>
      </c>
      <c r="DJ346" s="41">
        <f t="shared" si="19"/>
        <v>0</v>
      </c>
      <c r="DK346" s="64"/>
      <c r="DL346" s="64"/>
      <c r="DN346" s="71">
        <v>1</v>
      </c>
      <c r="DO346" s="41">
        <f t="shared" si="20"/>
        <v>0</v>
      </c>
      <c r="DP346" s="64"/>
      <c r="DQ346" s="64"/>
      <c r="DS346" s="60">
        <v>1</v>
      </c>
      <c r="DT346" s="41">
        <f t="shared" si="21"/>
        <v>0</v>
      </c>
      <c r="DU346" s="64"/>
      <c r="DV346" s="64"/>
      <c r="DX346" s="60">
        <v>1</v>
      </c>
      <c r="DY346" s="41">
        <f t="shared" si="22"/>
        <v>0</v>
      </c>
      <c r="DZ346" s="64"/>
      <c r="EA346" s="64"/>
      <c r="EC346" s="60">
        <v>1</v>
      </c>
      <c r="ED346" s="41">
        <f t="shared" si="23"/>
        <v>0</v>
      </c>
      <c r="EE346" s="64"/>
      <c r="EF346" s="64"/>
      <c r="EH346" s="60">
        <v>1</v>
      </c>
      <c r="EI346" s="41">
        <f t="shared" si="24"/>
        <v>0</v>
      </c>
      <c r="EJ346" s="64"/>
      <c r="EK346" s="64"/>
      <c r="ER346" s="855"/>
      <c r="EX346" s="203">
        <f t="shared" si="2"/>
        <v>0</v>
      </c>
    </row>
    <row r="347" spans="1:154" s="6" customFormat="1" ht="15" customHeight="1">
      <c r="A347" s="90" t="s">
        <v>103</v>
      </c>
      <c r="B347" s="210" t="s">
        <v>103</v>
      </c>
      <c r="C347" s="473" t="s">
        <v>515</v>
      </c>
      <c r="D347" s="138"/>
      <c r="E347" s="62"/>
      <c r="F347" s="41"/>
      <c r="G347" s="41"/>
      <c r="H347" s="41"/>
      <c r="I347" s="4"/>
      <c r="J347" s="4"/>
      <c r="K347" s="4"/>
      <c r="L347" s="4"/>
      <c r="M347" s="4">
        <v>3</v>
      </c>
      <c r="N347" s="661">
        <f t="shared" si="3"/>
        <v>0</v>
      </c>
      <c r="O347" s="4"/>
      <c r="P347" s="4"/>
      <c r="Q347" s="4"/>
      <c r="R347" s="46">
        <v>1</v>
      </c>
      <c r="S347" s="41">
        <f t="shared" si="4"/>
        <v>0</v>
      </c>
      <c r="T347" s="140"/>
      <c r="U347" s="41"/>
      <c r="W347" s="46">
        <v>1</v>
      </c>
      <c r="X347" s="41">
        <f t="shared" si="5"/>
        <v>0</v>
      </c>
      <c r="Y347" s="41"/>
      <c r="Z347" s="41"/>
      <c r="AB347" s="46">
        <v>1</v>
      </c>
      <c r="AC347" s="41">
        <f t="shared" si="6"/>
        <v>0</v>
      </c>
      <c r="AD347" s="41"/>
      <c r="AE347" s="41"/>
      <c r="AG347" s="46"/>
      <c r="AH347" s="41"/>
      <c r="AI347" s="41"/>
      <c r="AJ347" s="41"/>
      <c r="AL347" s="46">
        <v>1</v>
      </c>
      <c r="AM347" s="41">
        <f t="shared" si="7"/>
        <v>0</v>
      </c>
      <c r="AN347" s="41"/>
      <c r="AO347" s="41"/>
      <c r="AQ347" s="49">
        <v>1</v>
      </c>
      <c r="AR347" s="41">
        <f t="shared" si="8"/>
        <v>0</v>
      </c>
      <c r="AS347" s="41"/>
      <c r="AT347" s="41"/>
      <c r="AV347" s="51">
        <v>1</v>
      </c>
      <c r="AW347" s="140">
        <f t="shared" si="9"/>
        <v>0</v>
      </c>
      <c r="AX347" s="139"/>
      <c r="AY347" s="140"/>
      <c r="BA347" s="51">
        <v>1</v>
      </c>
      <c r="BB347" s="140">
        <f t="shared" si="10"/>
        <v>0</v>
      </c>
      <c r="BC347" s="139"/>
      <c r="BD347" s="41"/>
      <c r="BF347" s="60">
        <v>1</v>
      </c>
      <c r="BG347" s="140">
        <f t="shared" si="11"/>
        <v>0</v>
      </c>
      <c r="BH347" s="40"/>
      <c r="BI347" s="41"/>
      <c r="BK347" s="142"/>
      <c r="BL347" s="140"/>
      <c r="BM347" s="40"/>
      <c r="BN347" s="41"/>
      <c r="BP347" s="62"/>
      <c r="BQ347" s="41"/>
      <c r="BR347" s="40"/>
      <c r="BS347" s="41"/>
      <c r="BU347" s="62"/>
      <c r="BV347" s="41">
        <f t="shared" si="12"/>
        <v>0</v>
      </c>
      <c r="BW347" s="40"/>
      <c r="BX347" s="41"/>
      <c r="BZ347" s="61">
        <v>1</v>
      </c>
      <c r="CA347" s="41">
        <f t="shared" si="13"/>
        <v>0</v>
      </c>
      <c r="CB347" s="40"/>
      <c r="CC347" s="41"/>
      <c r="CD347" s="140"/>
      <c r="CE347" s="61">
        <v>1</v>
      </c>
      <c r="CF347" s="41">
        <f t="shared" si="14"/>
        <v>0</v>
      </c>
      <c r="CG347" s="40"/>
      <c r="CH347" s="41"/>
      <c r="CJ347" s="141"/>
      <c r="CK347" s="140"/>
      <c r="CL347" s="139"/>
      <c r="CM347" s="140"/>
      <c r="CO347" s="223">
        <v>1</v>
      </c>
      <c r="CP347" s="41">
        <f t="shared" si="15"/>
        <v>0</v>
      </c>
      <c r="CQ347" s="40"/>
      <c r="CR347" s="41"/>
      <c r="CT347" s="62">
        <v>1</v>
      </c>
      <c r="CU347" s="41">
        <f t="shared" si="16"/>
        <v>0</v>
      </c>
      <c r="CV347" s="40"/>
      <c r="CW347" s="41"/>
      <c r="CY347" s="62">
        <v>1</v>
      </c>
      <c r="CZ347" s="41">
        <f t="shared" si="17"/>
        <v>0</v>
      </c>
      <c r="DA347" s="40"/>
      <c r="DB347" s="41"/>
      <c r="DD347" s="46">
        <v>1</v>
      </c>
      <c r="DE347" s="41">
        <f t="shared" si="18"/>
        <v>0</v>
      </c>
      <c r="DF347" s="40"/>
      <c r="DG347" s="41"/>
      <c r="DI347" s="71">
        <v>1</v>
      </c>
      <c r="DJ347" s="41">
        <f t="shared" si="19"/>
        <v>0</v>
      </c>
      <c r="DK347" s="64"/>
      <c r="DL347" s="64"/>
      <c r="DN347" s="71">
        <v>1</v>
      </c>
      <c r="DO347" s="41">
        <f t="shared" si="20"/>
        <v>0</v>
      </c>
      <c r="DP347" s="64"/>
      <c r="DQ347" s="64"/>
      <c r="DS347" s="60">
        <v>1</v>
      </c>
      <c r="DT347" s="41">
        <f t="shared" si="21"/>
        <v>0</v>
      </c>
      <c r="DU347" s="64"/>
      <c r="DV347" s="64"/>
      <c r="DX347" s="60">
        <v>1</v>
      </c>
      <c r="DY347" s="41">
        <f t="shared" si="22"/>
        <v>0</v>
      </c>
      <c r="DZ347" s="64"/>
      <c r="EA347" s="64"/>
      <c r="EC347" s="60">
        <v>1</v>
      </c>
      <c r="ED347" s="41">
        <f t="shared" si="23"/>
        <v>0</v>
      </c>
      <c r="EE347" s="64"/>
      <c r="EF347" s="64"/>
      <c r="EH347" s="60">
        <v>1</v>
      </c>
      <c r="EI347" s="41">
        <f t="shared" si="24"/>
        <v>0</v>
      </c>
      <c r="EJ347" s="64"/>
      <c r="EK347" s="64"/>
      <c r="ER347" s="855"/>
      <c r="EX347" s="203">
        <f t="shared" si="2"/>
        <v>0</v>
      </c>
    </row>
    <row r="348" spans="1:154" s="6" customFormat="1" ht="15" customHeight="1">
      <c r="A348" s="90" t="s">
        <v>104</v>
      </c>
      <c r="B348" s="210" t="s">
        <v>104</v>
      </c>
      <c r="C348" s="473" t="s">
        <v>515</v>
      </c>
      <c r="D348" s="138"/>
      <c r="E348" s="62"/>
      <c r="F348" s="41"/>
      <c r="G348" s="41"/>
      <c r="H348" s="41"/>
      <c r="I348" s="4"/>
      <c r="J348" s="4"/>
      <c r="K348" s="4"/>
      <c r="L348" s="4"/>
      <c r="M348" s="4">
        <v>3</v>
      </c>
      <c r="N348" s="661">
        <f t="shared" si="3"/>
        <v>0</v>
      </c>
      <c r="O348" s="4"/>
      <c r="P348" s="4"/>
      <c r="Q348" s="4"/>
      <c r="R348" s="46">
        <v>1</v>
      </c>
      <c r="S348" s="41">
        <f t="shared" si="4"/>
        <v>0</v>
      </c>
      <c r="T348" s="140"/>
      <c r="U348" s="41"/>
      <c r="W348" s="46">
        <v>1</v>
      </c>
      <c r="X348" s="41">
        <f t="shared" si="5"/>
        <v>0</v>
      </c>
      <c r="Y348" s="41"/>
      <c r="Z348" s="41"/>
      <c r="AB348" s="46">
        <v>1</v>
      </c>
      <c r="AC348" s="41">
        <f t="shared" si="6"/>
        <v>0</v>
      </c>
      <c r="AD348" s="41"/>
      <c r="AE348" s="41"/>
      <c r="AG348" s="46"/>
      <c r="AH348" s="41"/>
      <c r="AI348" s="41"/>
      <c r="AJ348" s="41"/>
      <c r="AL348" s="46">
        <v>1</v>
      </c>
      <c r="AM348" s="41">
        <f t="shared" si="7"/>
        <v>0</v>
      </c>
      <c r="AN348" s="41"/>
      <c r="AO348" s="41"/>
      <c r="AQ348" s="49">
        <v>1</v>
      </c>
      <c r="AR348" s="41">
        <f t="shared" si="8"/>
        <v>0</v>
      </c>
      <c r="AS348" s="41"/>
      <c r="AT348" s="41"/>
      <c r="AV348" s="51">
        <v>1</v>
      </c>
      <c r="AW348" s="140">
        <f t="shared" si="9"/>
        <v>0</v>
      </c>
      <c r="AX348" s="139"/>
      <c r="AY348" s="140"/>
      <c r="BA348" s="51">
        <v>1</v>
      </c>
      <c r="BB348" s="140">
        <f t="shared" si="10"/>
        <v>0</v>
      </c>
      <c r="BC348" s="139"/>
      <c r="BD348" s="41"/>
      <c r="BF348" s="60">
        <v>1</v>
      </c>
      <c r="BG348" s="140">
        <f t="shared" si="11"/>
        <v>0</v>
      </c>
      <c r="BH348" s="40"/>
      <c r="BI348" s="41"/>
      <c r="BK348" s="142"/>
      <c r="BL348" s="140"/>
      <c r="BM348" s="40"/>
      <c r="BN348" s="41"/>
      <c r="BP348" s="62"/>
      <c r="BQ348" s="41"/>
      <c r="BR348" s="40"/>
      <c r="BS348" s="41"/>
      <c r="BU348" s="62"/>
      <c r="BV348" s="41">
        <f t="shared" si="12"/>
        <v>0</v>
      </c>
      <c r="BW348" s="40"/>
      <c r="BX348" s="41"/>
      <c r="BZ348" s="61">
        <v>1</v>
      </c>
      <c r="CA348" s="41">
        <f t="shared" si="13"/>
        <v>0</v>
      </c>
      <c r="CB348" s="40"/>
      <c r="CC348" s="41"/>
      <c r="CD348" s="140"/>
      <c r="CE348" s="61">
        <v>1</v>
      </c>
      <c r="CF348" s="41">
        <f t="shared" si="14"/>
        <v>0</v>
      </c>
      <c r="CG348" s="40"/>
      <c r="CH348" s="41"/>
      <c r="CJ348" s="141"/>
      <c r="CK348" s="140"/>
      <c r="CL348" s="139"/>
      <c r="CM348" s="140"/>
      <c r="CO348" s="223">
        <v>1</v>
      </c>
      <c r="CP348" s="41">
        <f t="shared" si="15"/>
        <v>0</v>
      </c>
      <c r="CQ348" s="40"/>
      <c r="CR348" s="41"/>
      <c r="CT348" s="62">
        <v>1</v>
      </c>
      <c r="CU348" s="41">
        <f t="shared" si="16"/>
        <v>0</v>
      </c>
      <c r="CV348" s="40"/>
      <c r="CW348" s="41"/>
      <c r="CY348" s="62">
        <v>1</v>
      </c>
      <c r="CZ348" s="41">
        <f t="shared" si="17"/>
        <v>0</v>
      </c>
      <c r="DA348" s="40"/>
      <c r="DB348" s="41"/>
      <c r="DD348" s="46">
        <v>1</v>
      </c>
      <c r="DE348" s="41">
        <f t="shared" si="18"/>
        <v>0</v>
      </c>
      <c r="DF348" s="40"/>
      <c r="DG348" s="41"/>
      <c r="DI348" s="71">
        <v>1</v>
      </c>
      <c r="DJ348" s="41">
        <f t="shared" si="19"/>
        <v>0</v>
      </c>
      <c r="DK348" s="64"/>
      <c r="DL348" s="64"/>
      <c r="DN348" s="71">
        <v>1</v>
      </c>
      <c r="DO348" s="41">
        <f t="shared" si="20"/>
        <v>0</v>
      </c>
      <c r="DP348" s="64"/>
      <c r="DQ348" s="64"/>
      <c r="DS348" s="60">
        <v>1</v>
      </c>
      <c r="DT348" s="41">
        <f t="shared" si="21"/>
        <v>0</v>
      </c>
      <c r="DU348" s="64"/>
      <c r="DV348" s="64"/>
      <c r="DX348" s="60">
        <v>1</v>
      </c>
      <c r="DY348" s="41">
        <f t="shared" si="22"/>
        <v>0</v>
      </c>
      <c r="DZ348" s="64"/>
      <c r="EA348" s="64"/>
      <c r="EC348" s="60">
        <v>1</v>
      </c>
      <c r="ED348" s="41">
        <f t="shared" si="23"/>
        <v>0</v>
      </c>
      <c r="EE348" s="64"/>
      <c r="EF348" s="64"/>
      <c r="EH348" s="60">
        <v>1</v>
      </c>
      <c r="EI348" s="41">
        <f t="shared" si="24"/>
        <v>0</v>
      </c>
      <c r="EJ348" s="64"/>
      <c r="EK348" s="64"/>
      <c r="ER348" s="855"/>
      <c r="EX348" s="203">
        <f t="shared" si="2"/>
        <v>0</v>
      </c>
    </row>
    <row r="349" spans="1:154" s="6" customFormat="1" ht="15" customHeight="1">
      <c r="A349" s="90" t="s">
        <v>105</v>
      </c>
      <c r="B349" s="210" t="s">
        <v>105</v>
      </c>
      <c r="C349" s="473" t="s">
        <v>515</v>
      </c>
      <c r="D349" s="138"/>
      <c r="E349" s="62"/>
      <c r="F349" s="41"/>
      <c r="G349" s="41"/>
      <c r="H349" s="41"/>
      <c r="I349" s="4"/>
      <c r="J349" s="4"/>
      <c r="K349" s="4"/>
      <c r="L349" s="4"/>
      <c r="M349" s="4">
        <v>3</v>
      </c>
      <c r="N349" s="661">
        <f t="shared" si="3"/>
        <v>0</v>
      </c>
      <c r="O349" s="4"/>
      <c r="P349" s="4"/>
      <c r="Q349" s="4"/>
      <c r="R349" s="46">
        <v>1</v>
      </c>
      <c r="S349" s="41">
        <f t="shared" si="4"/>
        <v>0</v>
      </c>
      <c r="T349" s="140"/>
      <c r="U349" s="41"/>
      <c r="W349" s="46">
        <v>1</v>
      </c>
      <c r="X349" s="41">
        <f t="shared" si="5"/>
        <v>0</v>
      </c>
      <c r="Y349" s="41"/>
      <c r="Z349" s="41"/>
      <c r="AB349" s="46">
        <v>1</v>
      </c>
      <c r="AC349" s="41">
        <f t="shared" si="6"/>
        <v>0</v>
      </c>
      <c r="AD349" s="41"/>
      <c r="AE349" s="41"/>
      <c r="AG349" s="46"/>
      <c r="AH349" s="41"/>
      <c r="AI349" s="41"/>
      <c r="AJ349" s="41"/>
      <c r="AL349" s="46">
        <v>1</v>
      </c>
      <c r="AM349" s="41">
        <f t="shared" si="7"/>
        <v>0</v>
      </c>
      <c r="AN349" s="41"/>
      <c r="AO349" s="41"/>
      <c r="AQ349" s="49">
        <v>1</v>
      </c>
      <c r="AR349" s="41">
        <f t="shared" si="8"/>
        <v>0</v>
      </c>
      <c r="AS349" s="41"/>
      <c r="AT349" s="41"/>
      <c r="AV349" s="51">
        <v>1</v>
      </c>
      <c r="AW349" s="140">
        <f t="shared" si="9"/>
        <v>0</v>
      </c>
      <c r="AX349" s="139"/>
      <c r="AY349" s="140"/>
      <c r="BA349" s="51">
        <v>1</v>
      </c>
      <c r="BB349" s="140">
        <f t="shared" si="10"/>
        <v>0</v>
      </c>
      <c r="BC349" s="139"/>
      <c r="BD349" s="41"/>
      <c r="BF349" s="60">
        <v>1</v>
      </c>
      <c r="BG349" s="140">
        <f t="shared" si="11"/>
        <v>0</v>
      </c>
      <c r="BH349" s="40"/>
      <c r="BI349" s="41"/>
      <c r="BK349" s="142"/>
      <c r="BL349" s="140"/>
      <c r="BM349" s="40"/>
      <c r="BN349" s="41"/>
      <c r="BP349" s="62"/>
      <c r="BQ349" s="41"/>
      <c r="BR349" s="40"/>
      <c r="BS349" s="41"/>
      <c r="BU349" s="62"/>
      <c r="BV349" s="41">
        <f t="shared" si="12"/>
        <v>0</v>
      </c>
      <c r="BW349" s="40"/>
      <c r="BX349" s="41"/>
      <c r="BZ349" s="61">
        <v>1</v>
      </c>
      <c r="CA349" s="41">
        <f t="shared" si="13"/>
        <v>0</v>
      </c>
      <c r="CB349" s="40"/>
      <c r="CC349" s="41"/>
      <c r="CD349" s="140"/>
      <c r="CE349" s="61">
        <v>1</v>
      </c>
      <c r="CF349" s="41">
        <f t="shared" si="14"/>
        <v>0</v>
      </c>
      <c r="CG349" s="40"/>
      <c r="CH349" s="41"/>
      <c r="CJ349" s="141"/>
      <c r="CK349" s="140"/>
      <c r="CL349" s="139"/>
      <c r="CM349" s="140"/>
      <c r="CO349" s="223">
        <v>1</v>
      </c>
      <c r="CP349" s="41">
        <f t="shared" si="15"/>
        <v>0</v>
      </c>
      <c r="CQ349" s="40"/>
      <c r="CR349" s="41"/>
      <c r="CT349" s="62">
        <v>1</v>
      </c>
      <c r="CU349" s="41">
        <f t="shared" si="16"/>
        <v>0</v>
      </c>
      <c r="CV349" s="40"/>
      <c r="CW349" s="41"/>
      <c r="CY349" s="62">
        <v>1</v>
      </c>
      <c r="CZ349" s="41">
        <f t="shared" si="17"/>
        <v>0</v>
      </c>
      <c r="DA349" s="40"/>
      <c r="DB349" s="41"/>
      <c r="DD349" s="46">
        <v>1</v>
      </c>
      <c r="DE349" s="41">
        <f t="shared" si="18"/>
        <v>0</v>
      </c>
      <c r="DF349" s="40"/>
      <c r="DG349" s="41"/>
      <c r="DI349" s="71">
        <v>1</v>
      </c>
      <c r="DJ349" s="41">
        <f t="shared" si="19"/>
        <v>0</v>
      </c>
      <c r="DK349" s="64"/>
      <c r="DL349" s="64"/>
      <c r="DN349" s="71">
        <v>1</v>
      </c>
      <c r="DO349" s="41">
        <f t="shared" si="20"/>
        <v>0</v>
      </c>
      <c r="DP349" s="64"/>
      <c r="DQ349" s="64"/>
      <c r="DS349" s="60">
        <v>1</v>
      </c>
      <c r="DT349" s="41">
        <f t="shared" si="21"/>
        <v>0</v>
      </c>
      <c r="DU349" s="64"/>
      <c r="DV349" s="64"/>
      <c r="DX349" s="60">
        <v>1</v>
      </c>
      <c r="DY349" s="41">
        <f t="shared" si="22"/>
        <v>0</v>
      </c>
      <c r="DZ349" s="64"/>
      <c r="EA349" s="64"/>
      <c r="EC349" s="60">
        <v>1</v>
      </c>
      <c r="ED349" s="41">
        <f t="shared" si="23"/>
        <v>0</v>
      </c>
      <c r="EE349" s="64"/>
      <c r="EF349" s="64"/>
      <c r="EH349" s="60">
        <v>1</v>
      </c>
      <c r="EI349" s="41">
        <f t="shared" si="24"/>
        <v>0</v>
      </c>
      <c r="EJ349" s="64"/>
      <c r="EK349" s="64"/>
      <c r="ER349" s="855"/>
      <c r="EX349" s="203">
        <f t="shared" si="2"/>
        <v>0</v>
      </c>
    </row>
    <row r="350" spans="1:154" s="6" customFormat="1" ht="15" customHeight="1">
      <c r="A350" s="90" t="s">
        <v>106</v>
      </c>
      <c r="B350" s="210" t="s">
        <v>106</v>
      </c>
      <c r="C350" s="473" t="s">
        <v>515</v>
      </c>
      <c r="D350" s="138"/>
      <c r="E350" s="62"/>
      <c r="F350" s="41"/>
      <c r="G350" s="41"/>
      <c r="H350" s="41"/>
      <c r="I350" s="4"/>
      <c r="J350" s="4"/>
      <c r="K350" s="4"/>
      <c r="L350" s="4"/>
      <c r="M350" s="4">
        <v>3</v>
      </c>
      <c r="N350" s="661">
        <f t="shared" si="3"/>
        <v>0</v>
      </c>
      <c r="O350" s="4"/>
      <c r="P350" s="4"/>
      <c r="Q350" s="4"/>
      <c r="R350" s="46">
        <v>1</v>
      </c>
      <c r="S350" s="41">
        <f t="shared" si="4"/>
        <v>0</v>
      </c>
      <c r="T350" s="140"/>
      <c r="U350" s="41"/>
      <c r="W350" s="46">
        <v>1</v>
      </c>
      <c r="X350" s="41">
        <f t="shared" si="5"/>
        <v>0</v>
      </c>
      <c r="Y350" s="41"/>
      <c r="Z350" s="41"/>
      <c r="AB350" s="46">
        <v>1</v>
      </c>
      <c r="AC350" s="41">
        <f t="shared" si="6"/>
        <v>0</v>
      </c>
      <c r="AD350" s="41"/>
      <c r="AE350" s="41"/>
      <c r="AG350" s="46"/>
      <c r="AH350" s="41"/>
      <c r="AI350" s="41"/>
      <c r="AJ350" s="41"/>
      <c r="AL350" s="46">
        <v>1</v>
      </c>
      <c r="AM350" s="41">
        <f t="shared" si="7"/>
        <v>0</v>
      </c>
      <c r="AN350" s="41"/>
      <c r="AO350" s="41"/>
      <c r="AQ350" s="49">
        <v>1</v>
      </c>
      <c r="AR350" s="41">
        <f t="shared" si="8"/>
        <v>0</v>
      </c>
      <c r="AS350" s="41"/>
      <c r="AT350" s="41"/>
      <c r="AV350" s="51">
        <v>1</v>
      </c>
      <c r="AW350" s="140">
        <f t="shared" si="9"/>
        <v>0</v>
      </c>
      <c r="AX350" s="139"/>
      <c r="AY350" s="140"/>
      <c r="BA350" s="51">
        <v>1</v>
      </c>
      <c r="BB350" s="140">
        <f t="shared" si="10"/>
        <v>0</v>
      </c>
      <c r="BC350" s="139"/>
      <c r="BD350" s="41"/>
      <c r="BF350" s="60">
        <v>1</v>
      </c>
      <c r="BG350" s="140">
        <f t="shared" si="11"/>
        <v>0</v>
      </c>
      <c r="BH350" s="40"/>
      <c r="BI350" s="41"/>
      <c r="BK350" s="142"/>
      <c r="BL350" s="140"/>
      <c r="BM350" s="40"/>
      <c r="BN350" s="41"/>
      <c r="BP350" s="62"/>
      <c r="BQ350" s="41"/>
      <c r="BR350" s="40"/>
      <c r="BS350" s="41"/>
      <c r="BU350" s="62"/>
      <c r="BV350" s="41">
        <f t="shared" si="12"/>
        <v>0</v>
      </c>
      <c r="BW350" s="40"/>
      <c r="BX350" s="41"/>
      <c r="BZ350" s="61">
        <v>1</v>
      </c>
      <c r="CA350" s="41">
        <f t="shared" si="13"/>
        <v>0</v>
      </c>
      <c r="CB350" s="40"/>
      <c r="CC350" s="41"/>
      <c r="CD350" s="140"/>
      <c r="CE350" s="61">
        <v>1</v>
      </c>
      <c r="CF350" s="41">
        <f t="shared" si="14"/>
        <v>0</v>
      </c>
      <c r="CG350" s="40"/>
      <c r="CH350" s="41"/>
      <c r="CJ350" s="141"/>
      <c r="CK350" s="140"/>
      <c r="CL350" s="139"/>
      <c r="CM350" s="140"/>
      <c r="CO350" s="223">
        <v>1</v>
      </c>
      <c r="CP350" s="41">
        <f t="shared" si="15"/>
        <v>0</v>
      </c>
      <c r="CQ350" s="40"/>
      <c r="CR350" s="41"/>
      <c r="CT350" s="62">
        <v>1</v>
      </c>
      <c r="CU350" s="41">
        <f t="shared" si="16"/>
        <v>0</v>
      </c>
      <c r="CV350" s="40"/>
      <c r="CW350" s="41"/>
      <c r="CY350" s="62">
        <v>1</v>
      </c>
      <c r="CZ350" s="41">
        <f t="shared" si="17"/>
        <v>0</v>
      </c>
      <c r="DA350" s="40"/>
      <c r="DB350" s="41"/>
      <c r="DD350" s="46">
        <v>1</v>
      </c>
      <c r="DE350" s="41">
        <f t="shared" si="18"/>
        <v>0</v>
      </c>
      <c r="DF350" s="40"/>
      <c r="DG350" s="41"/>
      <c r="DI350" s="71">
        <v>1</v>
      </c>
      <c r="DJ350" s="41">
        <f t="shared" si="19"/>
        <v>0</v>
      </c>
      <c r="DK350" s="64"/>
      <c r="DL350" s="64"/>
      <c r="DN350" s="71">
        <v>1</v>
      </c>
      <c r="DO350" s="41">
        <f t="shared" si="20"/>
        <v>0</v>
      </c>
      <c r="DP350" s="64"/>
      <c r="DQ350" s="64"/>
      <c r="DS350" s="60">
        <v>1</v>
      </c>
      <c r="DT350" s="41">
        <f t="shared" si="21"/>
        <v>0</v>
      </c>
      <c r="DU350" s="64"/>
      <c r="DV350" s="64"/>
      <c r="DX350" s="60">
        <v>1</v>
      </c>
      <c r="DY350" s="41">
        <f t="shared" si="22"/>
        <v>0</v>
      </c>
      <c r="DZ350" s="64"/>
      <c r="EA350" s="64"/>
      <c r="EC350" s="60">
        <v>1</v>
      </c>
      <c r="ED350" s="41">
        <f t="shared" si="23"/>
        <v>0</v>
      </c>
      <c r="EE350" s="64"/>
      <c r="EF350" s="64"/>
      <c r="EH350" s="60">
        <v>1</v>
      </c>
      <c r="EI350" s="41">
        <f t="shared" si="24"/>
        <v>0</v>
      </c>
      <c r="EJ350" s="64"/>
      <c r="EK350" s="64"/>
      <c r="ER350" s="855"/>
      <c r="EX350" s="203">
        <f t="shared" si="2"/>
        <v>0</v>
      </c>
    </row>
    <row r="351" spans="1:154" s="6" customFormat="1" ht="15" customHeight="1">
      <c r="A351" s="90" t="s">
        <v>107</v>
      </c>
      <c r="B351" s="210" t="s">
        <v>107</v>
      </c>
      <c r="C351" s="473" t="s">
        <v>515</v>
      </c>
      <c r="D351" s="138"/>
      <c r="E351" s="62"/>
      <c r="F351" s="41"/>
      <c r="G351" s="41"/>
      <c r="H351" s="41"/>
      <c r="I351" s="4"/>
      <c r="J351" s="4"/>
      <c r="K351" s="4"/>
      <c r="L351" s="4"/>
      <c r="M351" s="4">
        <v>3</v>
      </c>
      <c r="N351" s="661">
        <f t="shared" si="3"/>
        <v>0</v>
      </c>
      <c r="O351" s="4"/>
      <c r="P351" s="4"/>
      <c r="Q351" s="4"/>
      <c r="R351" s="46">
        <v>1</v>
      </c>
      <c r="S351" s="41">
        <f t="shared" si="4"/>
        <v>0</v>
      </c>
      <c r="T351" s="140"/>
      <c r="U351" s="41"/>
      <c r="W351" s="46">
        <v>1</v>
      </c>
      <c r="X351" s="41">
        <f t="shared" si="5"/>
        <v>0</v>
      </c>
      <c r="Y351" s="41"/>
      <c r="Z351" s="41"/>
      <c r="AB351" s="46">
        <v>1</v>
      </c>
      <c r="AC351" s="41">
        <f t="shared" si="6"/>
        <v>0</v>
      </c>
      <c r="AD351" s="41"/>
      <c r="AE351" s="41"/>
      <c r="AG351" s="46"/>
      <c r="AH351" s="41"/>
      <c r="AI351" s="41"/>
      <c r="AJ351" s="41"/>
      <c r="AL351" s="46">
        <v>1</v>
      </c>
      <c r="AM351" s="41">
        <f t="shared" si="7"/>
        <v>0</v>
      </c>
      <c r="AN351" s="41"/>
      <c r="AO351" s="41"/>
      <c r="AQ351" s="49">
        <v>1</v>
      </c>
      <c r="AR351" s="41">
        <f t="shared" si="8"/>
        <v>0</v>
      </c>
      <c r="AS351" s="41"/>
      <c r="AT351" s="41"/>
      <c r="AV351" s="51">
        <v>1</v>
      </c>
      <c r="AW351" s="140">
        <f t="shared" si="9"/>
        <v>0</v>
      </c>
      <c r="AX351" s="139"/>
      <c r="AY351" s="140"/>
      <c r="BA351" s="51">
        <v>1</v>
      </c>
      <c r="BB351" s="140">
        <f t="shared" si="10"/>
        <v>0</v>
      </c>
      <c r="BC351" s="139"/>
      <c r="BD351" s="41"/>
      <c r="BF351" s="60">
        <v>1</v>
      </c>
      <c r="BG351" s="140">
        <f t="shared" si="11"/>
        <v>0</v>
      </c>
      <c r="BH351" s="40"/>
      <c r="BI351" s="41"/>
      <c r="BK351" s="142"/>
      <c r="BL351" s="140"/>
      <c r="BM351" s="40"/>
      <c r="BN351" s="41"/>
      <c r="BP351" s="62"/>
      <c r="BQ351" s="41"/>
      <c r="BR351" s="40"/>
      <c r="BS351" s="41"/>
      <c r="BU351" s="62"/>
      <c r="BV351" s="41">
        <f t="shared" si="12"/>
        <v>0</v>
      </c>
      <c r="BW351" s="40"/>
      <c r="BX351" s="41"/>
      <c r="BZ351" s="61">
        <v>1</v>
      </c>
      <c r="CA351" s="41">
        <f t="shared" si="13"/>
        <v>0</v>
      </c>
      <c r="CB351" s="40"/>
      <c r="CC351" s="41"/>
      <c r="CD351" s="140"/>
      <c r="CE351" s="61">
        <v>1</v>
      </c>
      <c r="CF351" s="41">
        <f t="shared" si="14"/>
        <v>0</v>
      </c>
      <c r="CG351" s="40"/>
      <c r="CH351" s="41"/>
      <c r="CJ351" s="141"/>
      <c r="CK351" s="140"/>
      <c r="CL351" s="139"/>
      <c r="CM351" s="140"/>
      <c r="CO351" s="223">
        <v>1</v>
      </c>
      <c r="CP351" s="41">
        <f t="shared" si="15"/>
        <v>0</v>
      </c>
      <c r="CQ351" s="40"/>
      <c r="CR351" s="41"/>
      <c r="CT351" s="62">
        <v>1</v>
      </c>
      <c r="CU351" s="41">
        <f t="shared" si="16"/>
        <v>0</v>
      </c>
      <c r="CV351" s="40"/>
      <c r="CW351" s="41"/>
      <c r="CY351" s="62">
        <v>1</v>
      </c>
      <c r="CZ351" s="41">
        <f t="shared" si="17"/>
        <v>0</v>
      </c>
      <c r="DA351" s="40"/>
      <c r="DB351" s="41"/>
      <c r="DD351" s="46">
        <v>1</v>
      </c>
      <c r="DE351" s="41">
        <f t="shared" si="18"/>
        <v>0</v>
      </c>
      <c r="DF351" s="40"/>
      <c r="DG351" s="41"/>
      <c r="DI351" s="71">
        <v>1</v>
      </c>
      <c r="DJ351" s="41">
        <f t="shared" si="19"/>
        <v>0</v>
      </c>
      <c r="DK351" s="64"/>
      <c r="DL351" s="64"/>
      <c r="DN351" s="71">
        <v>1</v>
      </c>
      <c r="DO351" s="41">
        <f t="shared" si="20"/>
        <v>0</v>
      </c>
      <c r="DP351" s="64"/>
      <c r="DQ351" s="64"/>
      <c r="DS351" s="60">
        <v>1</v>
      </c>
      <c r="DT351" s="41">
        <f t="shared" si="21"/>
        <v>0</v>
      </c>
      <c r="DU351" s="64"/>
      <c r="DV351" s="64"/>
      <c r="DX351" s="60">
        <v>1</v>
      </c>
      <c r="DY351" s="41">
        <f t="shared" si="22"/>
        <v>0</v>
      </c>
      <c r="DZ351" s="64"/>
      <c r="EA351" s="64"/>
      <c r="EC351" s="60">
        <v>1</v>
      </c>
      <c r="ED351" s="41">
        <f t="shared" si="23"/>
        <v>0</v>
      </c>
      <c r="EE351" s="64"/>
      <c r="EF351" s="64"/>
      <c r="EH351" s="60">
        <v>1</v>
      </c>
      <c r="EI351" s="41">
        <f t="shared" si="24"/>
        <v>0</v>
      </c>
      <c r="EJ351" s="64"/>
      <c r="EK351" s="64"/>
      <c r="ER351" s="855"/>
      <c r="EX351" s="203">
        <f t="shared" ref="EX351:EX422" si="25">IF(EY351=13,0,K351+N351+O351+P351+S351+T351+X351+EN351+AC351+AH351+AM351+AR351+AW351+BB351+BG351+ET351+BL351+BQ351+BV351+CA351+CF351+CK351+CP351+CU351+CZ351+DE351+DJ351+DO351+DT351+DY351+ED351+EI351+EU351+F351+EV351)</f>
        <v>0</v>
      </c>
    </row>
    <row r="352" spans="1:154" s="6" customFormat="1" ht="15" customHeight="1">
      <c r="A352" s="90"/>
      <c r="B352" s="210" t="s">
        <v>401</v>
      </c>
      <c r="C352" s="473" t="s">
        <v>515</v>
      </c>
      <c r="D352" s="138"/>
      <c r="E352" s="62"/>
      <c r="F352" s="41"/>
      <c r="G352" s="41"/>
      <c r="H352" s="41"/>
      <c r="I352" s="4"/>
      <c r="J352" s="4"/>
      <c r="K352" s="4"/>
      <c r="L352" s="4"/>
      <c r="M352" s="4"/>
      <c r="N352" s="661"/>
      <c r="O352" s="4"/>
      <c r="P352" s="4"/>
      <c r="Q352" s="4"/>
      <c r="R352" s="46"/>
      <c r="S352" s="41"/>
      <c r="T352" s="140"/>
      <c r="U352" s="41"/>
      <c r="W352" s="46"/>
      <c r="X352" s="41"/>
      <c r="Y352" s="41"/>
      <c r="Z352" s="41"/>
      <c r="AB352" s="46"/>
      <c r="AC352" s="41"/>
      <c r="AD352" s="41"/>
      <c r="AE352" s="41"/>
      <c r="AG352" s="46"/>
      <c r="AH352" s="41"/>
      <c r="AI352" s="41"/>
      <c r="AJ352" s="41"/>
      <c r="AL352" s="46"/>
      <c r="AM352" s="41"/>
      <c r="AN352" s="41"/>
      <c r="AO352" s="41"/>
      <c r="AQ352" s="49"/>
      <c r="AR352" s="41"/>
      <c r="AS352" s="41"/>
      <c r="AT352" s="41"/>
      <c r="AV352" s="51"/>
      <c r="AW352" s="140"/>
      <c r="AX352" s="139"/>
      <c r="AY352" s="140"/>
      <c r="BA352" s="51"/>
      <c r="BB352" s="140"/>
      <c r="BC352" s="139"/>
      <c r="BD352" s="41"/>
      <c r="BF352" s="60"/>
      <c r="BG352" s="140"/>
      <c r="BH352" s="40"/>
      <c r="BI352" s="41"/>
      <c r="BK352" s="142"/>
      <c r="BL352" s="140"/>
      <c r="BM352" s="40"/>
      <c r="BN352" s="41"/>
      <c r="BP352" s="62"/>
      <c r="BQ352" s="41"/>
      <c r="BR352" s="40"/>
      <c r="BS352" s="41"/>
      <c r="BU352" s="62"/>
      <c r="BV352" s="41"/>
      <c r="BW352" s="40"/>
      <c r="BX352" s="41"/>
      <c r="BZ352" s="61"/>
      <c r="CA352" s="41"/>
      <c r="CB352" s="40"/>
      <c r="CC352" s="41"/>
      <c r="CD352" s="140"/>
      <c r="CE352" s="61"/>
      <c r="CF352" s="41"/>
      <c r="CG352" s="40"/>
      <c r="CH352" s="41"/>
      <c r="CJ352" s="141"/>
      <c r="CK352" s="140"/>
      <c r="CL352" s="139"/>
      <c r="CM352" s="140"/>
      <c r="CO352" s="223"/>
      <c r="CP352" s="41"/>
      <c r="CQ352" s="40"/>
      <c r="CR352" s="41"/>
      <c r="CT352" s="62"/>
      <c r="CU352" s="41"/>
      <c r="CV352" s="40"/>
      <c r="CW352" s="41"/>
      <c r="CY352" s="62"/>
      <c r="CZ352" s="41"/>
      <c r="DA352" s="40"/>
      <c r="DB352" s="41"/>
      <c r="DD352" s="46"/>
      <c r="DE352" s="41"/>
      <c r="DF352" s="40"/>
      <c r="DG352" s="41"/>
      <c r="DI352" s="71"/>
      <c r="DJ352" s="41"/>
      <c r="DK352" s="64"/>
      <c r="DL352" s="64"/>
      <c r="DN352" s="71"/>
      <c r="DO352" s="41"/>
      <c r="DP352" s="64"/>
      <c r="DQ352" s="64"/>
      <c r="DS352" s="60"/>
      <c r="DT352" s="41"/>
      <c r="DU352" s="64"/>
      <c r="DV352" s="64"/>
      <c r="DX352" s="60"/>
      <c r="DY352" s="41"/>
      <c r="DZ352" s="64"/>
      <c r="EA352" s="64"/>
      <c r="EC352" s="60"/>
      <c r="ED352" s="41"/>
      <c r="EE352" s="64"/>
      <c r="EF352" s="64"/>
      <c r="EH352" s="60"/>
      <c r="EI352" s="41"/>
      <c r="EJ352" s="64"/>
      <c r="EK352" s="64"/>
      <c r="ER352" s="855"/>
      <c r="EX352" s="203">
        <f t="shared" si="25"/>
        <v>0</v>
      </c>
    </row>
    <row r="353" spans="1:154" s="6" customFormat="1" ht="15" customHeight="1">
      <c r="A353" s="90"/>
      <c r="B353" s="210" t="s">
        <v>402</v>
      </c>
      <c r="C353" s="473" t="s">
        <v>515</v>
      </c>
      <c r="D353" s="138"/>
      <c r="E353" s="62"/>
      <c r="F353" s="41"/>
      <c r="G353" s="41"/>
      <c r="H353" s="41"/>
      <c r="I353" s="4"/>
      <c r="J353" s="4"/>
      <c r="K353" s="4"/>
      <c r="L353" s="4"/>
      <c r="M353" s="4"/>
      <c r="N353" s="661"/>
      <c r="O353" s="4"/>
      <c r="P353" s="4"/>
      <c r="Q353" s="4"/>
      <c r="R353" s="46"/>
      <c r="S353" s="41"/>
      <c r="T353" s="140"/>
      <c r="U353" s="41"/>
      <c r="W353" s="46"/>
      <c r="X353" s="41"/>
      <c r="Y353" s="41"/>
      <c r="Z353" s="41"/>
      <c r="AB353" s="46"/>
      <c r="AC353" s="41"/>
      <c r="AD353" s="41"/>
      <c r="AE353" s="41"/>
      <c r="AG353" s="46"/>
      <c r="AH353" s="41"/>
      <c r="AI353" s="41"/>
      <c r="AJ353" s="41"/>
      <c r="AL353" s="46"/>
      <c r="AM353" s="41"/>
      <c r="AN353" s="41"/>
      <c r="AO353" s="41"/>
      <c r="AQ353" s="49"/>
      <c r="AR353" s="41"/>
      <c r="AS353" s="41"/>
      <c r="AT353" s="41"/>
      <c r="AV353" s="51"/>
      <c r="AW353" s="140"/>
      <c r="AX353" s="139"/>
      <c r="AY353" s="140"/>
      <c r="BA353" s="51"/>
      <c r="BB353" s="140"/>
      <c r="BC353" s="139"/>
      <c r="BD353" s="41"/>
      <c r="BF353" s="60"/>
      <c r="BG353" s="140"/>
      <c r="BH353" s="40"/>
      <c r="BI353" s="41"/>
      <c r="BK353" s="142"/>
      <c r="BL353" s="140"/>
      <c r="BM353" s="40"/>
      <c r="BN353" s="41"/>
      <c r="BP353" s="62"/>
      <c r="BQ353" s="41"/>
      <c r="BR353" s="40"/>
      <c r="BS353" s="41"/>
      <c r="BU353" s="62"/>
      <c r="BV353" s="41"/>
      <c r="BW353" s="40"/>
      <c r="BX353" s="41"/>
      <c r="BZ353" s="61"/>
      <c r="CA353" s="41"/>
      <c r="CB353" s="40"/>
      <c r="CC353" s="41"/>
      <c r="CD353" s="140"/>
      <c r="CE353" s="61"/>
      <c r="CF353" s="41"/>
      <c r="CG353" s="40"/>
      <c r="CH353" s="41"/>
      <c r="CJ353" s="141"/>
      <c r="CK353" s="140"/>
      <c r="CL353" s="139"/>
      <c r="CM353" s="140"/>
      <c r="CO353" s="223"/>
      <c r="CP353" s="41"/>
      <c r="CQ353" s="40"/>
      <c r="CR353" s="41"/>
      <c r="CT353" s="62"/>
      <c r="CU353" s="41"/>
      <c r="CV353" s="40"/>
      <c r="CW353" s="41"/>
      <c r="CY353" s="62"/>
      <c r="CZ353" s="41"/>
      <c r="DA353" s="40"/>
      <c r="DB353" s="41"/>
      <c r="DD353" s="46"/>
      <c r="DE353" s="41"/>
      <c r="DF353" s="40"/>
      <c r="DG353" s="41"/>
      <c r="DI353" s="71"/>
      <c r="DJ353" s="41"/>
      <c r="DK353" s="64"/>
      <c r="DL353" s="64"/>
      <c r="DN353" s="71"/>
      <c r="DO353" s="41"/>
      <c r="DP353" s="64"/>
      <c r="DQ353" s="64"/>
      <c r="DS353" s="60"/>
      <c r="DT353" s="41"/>
      <c r="DU353" s="64"/>
      <c r="DV353" s="64"/>
      <c r="DX353" s="60"/>
      <c r="DY353" s="41"/>
      <c r="DZ353" s="64"/>
      <c r="EA353" s="64"/>
      <c r="EC353" s="60"/>
      <c r="ED353" s="41"/>
      <c r="EE353" s="64"/>
      <c r="EF353" s="64"/>
      <c r="EH353" s="60"/>
      <c r="EI353" s="41"/>
      <c r="EJ353" s="64"/>
      <c r="EK353" s="64"/>
      <c r="ER353" s="855"/>
      <c r="EX353" s="203">
        <f t="shared" si="25"/>
        <v>0</v>
      </c>
    </row>
    <row r="354" spans="1:154" s="6" customFormat="1" ht="15" customHeight="1">
      <c r="A354" s="90"/>
      <c r="B354" s="210" t="s">
        <v>403</v>
      </c>
      <c r="C354" s="473" t="s">
        <v>515</v>
      </c>
      <c r="D354" s="138"/>
      <c r="E354" s="62"/>
      <c r="F354" s="41"/>
      <c r="G354" s="41"/>
      <c r="H354" s="41"/>
      <c r="I354" s="4"/>
      <c r="J354" s="4"/>
      <c r="K354" s="4"/>
      <c r="L354" s="4"/>
      <c r="M354" s="4"/>
      <c r="N354" s="661"/>
      <c r="O354" s="4"/>
      <c r="P354" s="4"/>
      <c r="Q354" s="4"/>
      <c r="R354" s="46"/>
      <c r="S354" s="41"/>
      <c r="T354" s="140"/>
      <c r="U354" s="41"/>
      <c r="W354" s="46"/>
      <c r="X354" s="41"/>
      <c r="Y354" s="41"/>
      <c r="Z354" s="41"/>
      <c r="AB354" s="46"/>
      <c r="AC354" s="41"/>
      <c r="AD354" s="41"/>
      <c r="AE354" s="41"/>
      <c r="AG354" s="46"/>
      <c r="AH354" s="41"/>
      <c r="AI354" s="41"/>
      <c r="AJ354" s="41"/>
      <c r="AL354" s="46"/>
      <c r="AM354" s="41"/>
      <c r="AN354" s="41"/>
      <c r="AO354" s="41"/>
      <c r="AQ354" s="49"/>
      <c r="AR354" s="41"/>
      <c r="AS354" s="41"/>
      <c r="AT354" s="41"/>
      <c r="AV354" s="51"/>
      <c r="AW354" s="140"/>
      <c r="AX354" s="139"/>
      <c r="AY354" s="140"/>
      <c r="BA354" s="51"/>
      <c r="BB354" s="140"/>
      <c r="BC354" s="139"/>
      <c r="BD354" s="41"/>
      <c r="BF354" s="60"/>
      <c r="BG354" s="140"/>
      <c r="BH354" s="40"/>
      <c r="BI354" s="41"/>
      <c r="BK354" s="142"/>
      <c r="BL354" s="140"/>
      <c r="BM354" s="40"/>
      <c r="BN354" s="41"/>
      <c r="BP354" s="62"/>
      <c r="BQ354" s="41"/>
      <c r="BR354" s="40"/>
      <c r="BS354" s="41"/>
      <c r="BU354" s="62"/>
      <c r="BV354" s="41"/>
      <c r="BW354" s="40"/>
      <c r="BX354" s="41"/>
      <c r="BZ354" s="61"/>
      <c r="CA354" s="41"/>
      <c r="CB354" s="40"/>
      <c r="CC354" s="41"/>
      <c r="CD354" s="140"/>
      <c r="CE354" s="61"/>
      <c r="CF354" s="41"/>
      <c r="CG354" s="40"/>
      <c r="CH354" s="41"/>
      <c r="CJ354" s="141"/>
      <c r="CK354" s="140"/>
      <c r="CL354" s="139"/>
      <c r="CM354" s="140"/>
      <c r="CO354" s="223"/>
      <c r="CP354" s="41"/>
      <c r="CQ354" s="40"/>
      <c r="CR354" s="41"/>
      <c r="CT354" s="62"/>
      <c r="CU354" s="41"/>
      <c r="CV354" s="40"/>
      <c r="CW354" s="41"/>
      <c r="CY354" s="62"/>
      <c r="CZ354" s="41"/>
      <c r="DA354" s="40"/>
      <c r="DB354" s="41"/>
      <c r="DD354" s="46"/>
      <c r="DE354" s="41"/>
      <c r="DF354" s="40"/>
      <c r="DG354" s="41"/>
      <c r="DI354" s="71"/>
      <c r="DJ354" s="41"/>
      <c r="DK354" s="64"/>
      <c r="DL354" s="64"/>
      <c r="DN354" s="71"/>
      <c r="DO354" s="41"/>
      <c r="DP354" s="64"/>
      <c r="DQ354" s="64"/>
      <c r="DS354" s="60"/>
      <c r="DT354" s="41"/>
      <c r="DU354" s="64"/>
      <c r="DV354" s="64"/>
      <c r="DX354" s="60"/>
      <c r="DY354" s="41"/>
      <c r="DZ354" s="64"/>
      <c r="EA354" s="64"/>
      <c r="EC354" s="60"/>
      <c r="ED354" s="41"/>
      <c r="EE354" s="64"/>
      <c r="EF354" s="64"/>
      <c r="EH354" s="60"/>
      <c r="EI354" s="41"/>
      <c r="EJ354" s="64"/>
      <c r="EK354" s="64"/>
      <c r="ER354" s="855"/>
      <c r="EX354" s="203">
        <f t="shared" si="25"/>
        <v>0</v>
      </c>
    </row>
    <row r="355" spans="1:154" s="6" customFormat="1" ht="15" customHeight="1">
      <c r="A355" s="90">
        <v>163</v>
      </c>
      <c r="B355" s="210" t="s">
        <v>108</v>
      </c>
      <c r="C355" s="473" t="s">
        <v>515</v>
      </c>
      <c r="D355" s="138"/>
      <c r="E355" s="62"/>
      <c r="F355" s="41"/>
      <c r="G355" s="41"/>
      <c r="H355" s="41"/>
      <c r="I355" s="4"/>
      <c r="J355" s="4"/>
      <c r="K355" s="4"/>
      <c r="L355" s="4"/>
      <c r="M355" s="4">
        <v>3</v>
      </c>
      <c r="N355" s="661">
        <f t="shared" ref="N355:N365" si="26">SUM(N16:P16)*M355</f>
        <v>0</v>
      </c>
      <c r="O355" s="4"/>
      <c r="P355" s="4"/>
      <c r="Q355" s="4"/>
      <c r="R355" s="46">
        <v>1</v>
      </c>
      <c r="S355" s="41">
        <f t="shared" ref="S355:S365" si="27">S16+T16+U16</f>
        <v>0</v>
      </c>
      <c r="T355" s="140"/>
      <c r="U355" s="41"/>
      <c r="W355" s="46">
        <v>1</v>
      </c>
      <c r="X355" s="41">
        <f t="shared" ref="X355:X365" si="28">X16+Y16+Z16</f>
        <v>0</v>
      </c>
      <c r="Y355" s="41"/>
      <c r="Z355" s="41"/>
      <c r="AB355" s="46">
        <v>1</v>
      </c>
      <c r="AC355" s="41">
        <f t="shared" ref="AC355:AC365" si="29">AC16+AD16+AE16</f>
        <v>0</v>
      </c>
      <c r="AD355" s="41"/>
      <c r="AE355" s="41"/>
      <c r="AG355" s="46"/>
      <c r="AH355" s="41"/>
      <c r="AI355" s="41"/>
      <c r="AJ355" s="41"/>
      <c r="AL355" s="46">
        <v>1</v>
      </c>
      <c r="AM355" s="41">
        <f t="shared" ref="AM355:AM365" si="30">AM16+AN16+AO16</f>
        <v>0</v>
      </c>
      <c r="AN355" s="41"/>
      <c r="AO355" s="41"/>
      <c r="AQ355" s="49">
        <v>1</v>
      </c>
      <c r="AR355" s="41">
        <f t="shared" ref="AR355:AR365" si="31">AR16+AS16+AT16</f>
        <v>0</v>
      </c>
      <c r="AS355" s="41"/>
      <c r="AT355" s="41"/>
      <c r="AV355" s="51">
        <v>1</v>
      </c>
      <c r="AW355" s="140">
        <f t="shared" ref="AW355:AW365" si="32">SUM(AW16:AY16)</f>
        <v>0</v>
      </c>
      <c r="AX355" s="139"/>
      <c r="AY355" s="140"/>
      <c r="BA355" s="51">
        <v>1</v>
      </c>
      <c r="BB355" s="140">
        <f t="shared" ref="BB355:BB365" si="33">SUM(BB16:BD16)</f>
        <v>0</v>
      </c>
      <c r="BC355" s="139"/>
      <c r="BD355" s="41"/>
      <c r="BF355" s="60">
        <v>1</v>
      </c>
      <c r="BG355" s="140">
        <f t="shared" ref="BG355:BG365" si="34">SUM(BG16:BI16)</f>
        <v>0</v>
      </c>
      <c r="BH355" s="40"/>
      <c r="BI355" s="41"/>
      <c r="BK355" s="142"/>
      <c r="BL355" s="140"/>
      <c r="BM355" s="40"/>
      <c r="BN355" s="41"/>
      <c r="BP355" s="62"/>
      <c r="BQ355" s="41"/>
      <c r="BR355" s="40"/>
      <c r="BS355" s="41"/>
      <c r="BU355" s="62"/>
      <c r="BV355" s="41">
        <f t="shared" ref="BV355:BV365" si="35">BV16+BW16+BX16</f>
        <v>0</v>
      </c>
      <c r="BW355" s="40"/>
      <c r="BX355" s="41"/>
      <c r="BZ355" s="61">
        <v>1</v>
      </c>
      <c r="CA355" s="41">
        <f t="shared" ref="CA355:CA365" si="36">SUM(CA16:CC16)*BZ355</f>
        <v>0</v>
      </c>
      <c r="CB355" s="40"/>
      <c r="CC355" s="41"/>
      <c r="CD355" s="140"/>
      <c r="CE355" s="61">
        <v>1</v>
      </c>
      <c r="CF355" s="41">
        <f t="shared" ref="CF355:CF365" si="37">SUM(CF16:CH16)*CE355</f>
        <v>0</v>
      </c>
      <c r="CG355" s="40"/>
      <c r="CH355" s="41"/>
      <c r="CJ355" s="141"/>
      <c r="CK355" s="140"/>
      <c r="CL355" s="139"/>
      <c r="CM355" s="140"/>
      <c r="CO355" s="223">
        <v>1</v>
      </c>
      <c r="CP355" s="41">
        <f t="shared" ref="CP355:CP365" si="38">CP16+CQ16+CR16</f>
        <v>0</v>
      </c>
      <c r="CQ355" s="40"/>
      <c r="CR355" s="41"/>
      <c r="CT355" s="62">
        <v>1</v>
      </c>
      <c r="CU355" s="41">
        <f t="shared" ref="CU355:CU365" si="39">CU16+CV16+CW16</f>
        <v>0</v>
      </c>
      <c r="CV355" s="40"/>
      <c r="CW355" s="41"/>
      <c r="CY355" s="62">
        <v>1</v>
      </c>
      <c r="CZ355" s="41">
        <f t="shared" ref="CZ355:CZ365" si="40">CZ16+DA16+DB16</f>
        <v>0</v>
      </c>
      <c r="DA355" s="40"/>
      <c r="DB355" s="41"/>
      <c r="DD355" s="46">
        <v>1</v>
      </c>
      <c r="DE355" s="41">
        <f t="shared" ref="DE355:DE365" si="41">DE16+DF16+DG16</f>
        <v>0</v>
      </c>
      <c r="DF355" s="40"/>
      <c r="DG355" s="41"/>
      <c r="DI355" s="71">
        <v>1</v>
      </c>
      <c r="DJ355" s="41">
        <f t="shared" ref="DJ355:DJ365" si="42">DJ16+DK16+DL16</f>
        <v>0</v>
      </c>
      <c r="DK355" s="64"/>
      <c r="DL355" s="64"/>
      <c r="DN355" s="71">
        <v>1</v>
      </c>
      <c r="DO355" s="41">
        <f t="shared" ref="DO355:DO365" si="43">DO16+DP16+DQ16</f>
        <v>0</v>
      </c>
      <c r="DP355" s="64"/>
      <c r="DQ355" s="64"/>
      <c r="DS355" s="60">
        <v>1</v>
      </c>
      <c r="DT355" s="41">
        <f t="shared" ref="DT355:DT365" si="44">DT16+DU16+DV16</f>
        <v>0</v>
      </c>
      <c r="DU355" s="64"/>
      <c r="DV355" s="64"/>
      <c r="DX355" s="60">
        <v>1</v>
      </c>
      <c r="DY355" s="41">
        <f t="shared" ref="DY355:DY365" si="45">DY16+DZ16+EA16</f>
        <v>0</v>
      </c>
      <c r="DZ355" s="64"/>
      <c r="EA355" s="64"/>
      <c r="EC355" s="60">
        <v>1</v>
      </c>
      <c r="ED355" s="41">
        <f t="shared" ref="ED355:ED365" si="46">ED16+EE16+EF16</f>
        <v>0</v>
      </c>
      <c r="EE355" s="64"/>
      <c r="EF355" s="64"/>
      <c r="EH355" s="60">
        <v>1</v>
      </c>
      <c r="EI355" s="41">
        <f t="shared" ref="EI355:EI365" si="47">EI16+EJ16+EK16</f>
        <v>0</v>
      </c>
      <c r="EJ355" s="64"/>
      <c r="EK355" s="64"/>
      <c r="ER355" s="855"/>
      <c r="EX355" s="203">
        <f t="shared" si="25"/>
        <v>0</v>
      </c>
    </row>
    <row r="356" spans="1:154" s="6" customFormat="1" ht="15" customHeight="1">
      <c r="A356" s="90">
        <v>164</v>
      </c>
      <c r="B356" s="210" t="s">
        <v>109</v>
      </c>
      <c r="C356" s="473" t="s">
        <v>515</v>
      </c>
      <c r="D356" s="138"/>
      <c r="E356" s="62"/>
      <c r="F356" s="41"/>
      <c r="G356" s="41"/>
      <c r="H356" s="41"/>
      <c r="I356" s="4"/>
      <c r="J356" s="4"/>
      <c r="K356" s="4"/>
      <c r="L356" s="4"/>
      <c r="M356" s="4">
        <v>3</v>
      </c>
      <c r="N356" s="661">
        <f t="shared" si="26"/>
        <v>0</v>
      </c>
      <c r="O356" s="4"/>
      <c r="P356" s="4"/>
      <c r="Q356" s="4"/>
      <c r="R356" s="46">
        <v>1</v>
      </c>
      <c r="S356" s="41">
        <f t="shared" si="27"/>
        <v>0</v>
      </c>
      <c r="T356" s="140"/>
      <c r="U356" s="41"/>
      <c r="W356" s="46">
        <v>1</v>
      </c>
      <c r="X356" s="41">
        <f t="shared" si="28"/>
        <v>0</v>
      </c>
      <c r="Y356" s="41"/>
      <c r="Z356" s="41"/>
      <c r="AB356" s="46">
        <v>1</v>
      </c>
      <c r="AC356" s="41">
        <f t="shared" si="29"/>
        <v>0</v>
      </c>
      <c r="AD356" s="41"/>
      <c r="AE356" s="41"/>
      <c r="AG356" s="46"/>
      <c r="AH356" s="41"/>
      <c r="AI356" s="41"/>
      <c r="AJ356" s="41"/>
      <c r="AL356" s="46">
        <v>1</v>
      </c>
      <c r="AM356" s="41">
        <f t="shared" si="30"/>
        <v>0</v>
      </c>
      <c r="AN356" s="41"/>
      <c r="AO356" s="41"/>
      <c r="AQ356" s="49">
        <v>1</v>
      </c>
      <c r="AR356" s="41">
        <f t="shared" si="31"/>
        <v>0</v>
      </c>
      <c r="AS356" s="41"/>
      <c r="AT356" s="41"/>
      <c r="AV356" s="51">
        <v>1</v>
      </c>
      <c r="AW356" s="140">
        <f t="shared" si="32"/>
        <v>0</v>
      </c>
      <c r="AX356" s="139"/>
      <c r="AY356" s="140"/>
      <c r="BA356" s="51">
        <v>1</v>
      </c>
      <c r="BB356" s="140">
        <f t="shared" si="33"/>
        <v>0</v>
      </c>
      <c r="BC356" s="139"/>
      <c r="BD356" s="41"/>
      <c r="BF356" s="60">
        <v>1</v>
      </c>
      <c r="BG356" s="140">
        <f t="shared" si="34"/>
        <v>0</v>
      </c>
      <c r="BH356" s="40"/>
      <c r="BI356" s="41"/>
      <c r="BK356" s="142"/>
      <c r="BL356" s="140"/>
      <c r="BM356" s="40"/>
      <c r="BN356" s="41"/>
      <c r="BP356" s="62"/>
      <c r="BQ356" s="41"/>
      <c r="BR356" s="40"/>
      <c r="BS356" s="41"/>
      <c r="BU356" s="62"/>
      <c r="BV356" s="41">
        <f t="shared" si="35"/>
        <v>0</v>
      </c>
      <c r="BW356" s="40"/>
      <c r="BX356" s="41"/>
      <c r="BZ356" s="61">
        <v>1</v>
      </c>
      <c r="CA356" s="41">
        <f t="shared" si="36"/>
        <v>0</v>
      </c>
      <c r="CB356" s="40"/>
      <c r="CC356" s="41"/>
      <c r="CD356" s="140"/>
      <c r="CE356" s="61">
        <v>1</v>
      </c>
      <c r="CF356" s="41">
        <f t="shared" si="37"/>
        <v>0</v>
      </c>
      <c r="CG356" s="40"/>
      <c r="CH356" s="41"/>
      <c r="CJ356" s="141"/>
      <c r="CK356" s="140"/>
      <c r="CL356" s="139"/>
      <c r="CM356" s="140"/>
      <c r="CO356" s="223">
        <v>1</v>
      </c>
      <c r="CP356" s="41">
        <f t="shared" si="38"/>
        <v>0</v>
      </c>
      <c r="CQ356" s="40"/>
      <c r="CR356" s="41"/>
      <c r="CT356" s="62">
        <v>1</v>
      </c>
      <c r="CU356" s="41">
        <f t="shared" si="39"/>
        <v>0</v>
      </c>
      <c r="CV356" s="40"/>
      <c r="CW356" s="41"/>
      <c r="CY356" s="62">
        <v>1</v>
      </c>
      <c r="CZ356" s="41">
        <f t="shared" si="40"/>
        <v>0</v>
      </c>
      <c r="DA356" s="40"/>
      <c r="DB356" s="41"/>
      <c r="DD356" s="46">
        <v>1</v>
      </c>
      <c r="DE356" s="41">
        <f t="shared" si="41"/>
        <v>0</v>
      </c>
      <c r="DF356" s="40"/>
      <c r="DG356" s="41"/>
      <c r="DI356" s="71">
        <v>1</v>
      </c>
      <c r="DJ356" s="41">
        <f t="shared" si="42"/>
        <v>0</v>
      </c>
      <c r="DK356" s="64"/>
      <c r="DL356" s="64"/>
      <c r="DN356" s="71">
        <v>1</v>
      </c>
      <c r="DO356" s="41">
        <f t="shared" si="43"/>
        <v>0</v>
      </c>
      <c r="DP356" s="64"/>
      <c r="DQ356" s="64"/>
      <c r="DS356" s="60">
        <v>1</v>
      </c>
      <c r="DT356" s="41">
        <f t="shared" si="44"/>
        <v>0</v>
      </c>
      <c r="DU356" s="64"/>
      <c r="DV356" s="64"/>
      <c r="DX356" s="60">
        <v>1</v>
      </c>
      <c r="DY356" s="41">
        <f t="shared" si="45"/>
        <v>0</v>
      </c>
      <c r="DZ356" s="64"/>
      <c r="EA356" s="64"/>
      <c r="EC356" s="60">
        <v>1</v>
      </c>
      <c r="ED356" s="41">
        <f t="shared" si="46"/>
        <v>0</v>
      </c>
      <c r="EE356" s="64"/>
      <c r="EF356" s="64"/>
      <c r="EH356" s="60">
        <v>1</v>
      </c>
      <c r="EI356" s="41">
        <f t="shared" si="47"/>
        <v>0</v>
      </c>
      <c r="EJ356" s="64"/>
      <c r="EK356" s="64"/>
      <c r="ER356" s="855"/>
      <c r="EX356" s="203">
        <f t="shared" si="25"/>
        <v>0</v>
      </c>
    </row>
    <row r="357" spans="1:154" s="6" customFormat="1" ht="15" customHeight="1">
      <c r="A357" s="90">
        <v>165</v>
      </c>
      <c r="B357" s="210" t="s">
        <v>32</v>
      </c>
      <c r="C357" s="473" t="s">
        <v>515</v>
      </c>
      <c r="D357" s="138"/>
      <c r="E357" s="62"/>
      <c r="F357" s="41"/>
      <c r="G357" s="41"/>
      <c r="H357" s="41"/>
      <c r="I357" s="4"/>
      <c r="J357" s="4"/>
      <c r="K357" s="4"/>
      <c r="L357" s="4"/>
      <c r="M357" s="4">
        <v>3</v>
      </c>
      <c r="N357" s="661">
        <f t="shared" si="26"/>
        <v>0</v>
      </c>
      <c r="O357" s="4"/>
      <c r="P357" s="4"/>
      <c r="Q357" s="4"/>
      <c r="R357" s="46">
        <v>1</v>
      </c>
      <c r="S357" s="41">
        <f t="shared" si="27"/>
        <v>0</v>
      </c>
      <c r="T357" s="140"/>
      <c r="U357" s="41"/>
      <c r="W357" s="46">
        <v>1</v>
      </c>
      <c r="X357" s="41">
        <f t="shared" si="28"/>
        <v>0</v>
      </c>
      <c r="Y357" s="41"/>
      <c r="Z357" s="41"/>
      <c r="AB357" s="46">
        <v>1</v>
      </c>
      <c r="AC357" s="41">
        <f t="shared" si="29"/>
        <v>0</v>
      </c>
      <c r="AD357" s="41"/>
      <c r="AE357" s="41"/>
      <c r="AG357" s="46"/>
      <c r="AH357" s="41"/>
      <c r="AI357" s="41"/>
      <c r="AJ357" s="41"/>
      <c r="AL357" s="46">
        <v>1</v>
      </c>
      <c r="AM357" s="41">
        <f t="shared" si="30"/>
        <v>0</v>
      </c>
      <c r="AN357" s="41"/>
      <c r="AO357" s="41"/>
      <c r="AQ357" s="49">
        <v>1</v>
      </c>
      <c r="AR357" s="41">
        <f t="shared" si="31"/>
        <v>0</v>
      </c>
      <c r="AS357" s="41"/>
      <c r="AT357" s="41"/>
      <c r="AV357" s="51">
        <v>1</v>
      </c>
      <c r="AW357" s="140">
        <f t="shared" si="32"/>
        <v>0</v>
      </c>
      <c r="AX357" s="139"/>
      <c r="AY357" s="140"/>
      <c r="BA357" s="51">
        <v>1</v>
      </c>
      <c r="BB357" s="140">
        <f t="shared" si="33"/>
        <v>0</v>
      </c>
      <c r="BC357" s="139"/>
      <c r="BD357" s="41"/>
      <c r="BF357" s="60">
        <v>1</v>
      </c>
      <c r="BG357" s="140">
        <f t="shared" si="34"/>
        <v>0</v>
      </c>
      <c r="BH357" s="40"/>
      <c r="BI357" s="41"/>
      <c r="BK357" s="142"/>
      <c r="BL357" s="140"/>
      <c r="BM357" s="40"/>
      <c r="BN357" s="41"/>
      <c r="BP357" s="62"/>
      <c r="BQ357" s="41"/>
      <c r="BR357" s="40"/>
      <c r="BS357" s="41"/>
      <c r="BU357" s="62"/>
      <c r="BV357" s="41">
        <f t="shared" si="35"/>
        <v>0</v>
      </c>
      <c r="BW357" s="40"/>
      <c r="BX357" s="41"/>
      <c r="BZ357" s="61">
        <v>1</v>
      </c>
      <c r="CA357" s="41">
        <f t="shared" si="36"/>
        <v>0</v>
      </c>
      <c r="CB357" s="40"/>
      <c r="CC357" s="41"/>
      <c r="CD357" s="140"/>
      <c r="CE357" s="61">
        <v>1</v>
      </c>
      <c r="CF357" s="41">
        <f t="shared" si="37"/>
        <v>0</v>
      </c>
      <c r="CG357" s="40"/>
      <c r="CH357" s="41"/>
      <c r="CJ357" s="141"/>
      <c r="CK357" s="140"/>
      <c r="CL357" s="139"/>
      <c r="CM357" s="140"/>
      <c r="CO357" s="223">
        <v>1</v>
      </c>
      <c r="CP357" s="41">
        <f t="shared" si="38"/>
        <v>0</v>
      </c>
      <c r="CQ357" s="40"/>
      <c r="CR357" s="41"/>
      <c r="CT357" s="62">
        <v>1</v>
      </c>
      <c r="CU357" s="41">
        <f t="shared" si="39"/>
        <v>0</v>
      </c>
      <c r="CV357" s="40"/>
      <c r="CW357" s="41"/>
      <c r="CY357" s="62">
        <v>1</v>
      </c>
      <c r="CZ357" s="41">
        <f t="shared" si="40"/>
        <v>0</v>
      </c>
      <c r="DA357" s="40"/>
      <c r="DB357" s="41"/>
      <c r="DD357" s="46">
        <v>1</v>
      </c>
      <c r="DE357" s="41">
        <f t="shared" si="41"/>
        <v>0</v>
      </c>
      <c r="DF357" s="40"/>
      <c r="DG357" s="41"/>
      <c r="DI357" s="71">
        <v>1</v>
      </c>
      <c r="DJ357" s="41">
        <f t="shared" si="42"/>
        <v>0</v>
      </c>
      <c r="DK357" s="64"/>
      <c r="DL357" s="64"/>
      <c r="DN357" s="71">
        <v>1</v>
      </c>
      <c r="DO357" s="41">
        <f t="shared" si="43"/>
        <v>0</v>
      </c>
      <c r="DP357" s="64"/>
      <c r="DQ357" s="64"/>
      <c r="DS357" s="60">
        <v>1</v>
      </c>
      <c r="DT357" s="41">
        <f t="shared" si="44"/>
        <v>0</v>
      </c>
      <c r="DU357" s="64"/>
      <c r="DV357" s="64"/>
      <c r="DX357" s="60">
        <v>1</v>
      </c>
      <c r="DY357" s="41">
        <f t="shared" si="45"/>
        <v>0</v>
      </c>
      <c r="DZ357" s="64"/>
      <c r="EA357" s="64"/>
      <c r="EC357" s="60">
        <v>1</v>
      </c>
      <c r="ED357" s="41">
        <f t="shared" si="46"/>
        <v>0</v>
      </c>
      <c r="EE357" s="64"/>
      <c r="EF357" s="64"/>
      <c r="EH357" s="60">
        <v>1</v>
      </c>
      <c r="EI357" s="41">
        <f t="shared" si="47"/>
        <v>0</v>
      </c>
      <c r="EJ357" s="64"/>
      <c r="EK357" s="64"/>
      <c r="ER357" s="855"/>
      <c r="EX357" s="203">
        <f t="shared" si="25"/>
        <v>0</v>
      </c>
    </row>
    <row r="358" spans="1:154" s="6" customFormat="1" ht="15" customHeight="1">
      <c r="A358" s="90">
        <v>166</v>
      </c>
      <c r="B358" s="210" t="s">
        <v>110</v>
      </c>
      <c r="C358" s="473" t="s">
        <v>515</v>
      </c>
      <c r="D358" s="138"/>
      <c r="E358" s="62"/>
      <c r="F358" s="41"/>
      <c r="G358" s="41"/>
      <c r="H358" s="41"/>
      <c r="I358" s="4"/>
      <c r="J358" s="4"/>
      <c r="K358" s="4"/>
      <c r="L358" s="4"/>
      <c r="M358" s="4">
        <v>3</v>
      </c>
      <c r="N358" s="661">
        <f t="shared" si="26"/>
        <v>0</v>
      </c>
      <c r="O358" s="4"/>
      <c r="P358" s="4"/>
      <c r="Q358" s="4"/>
      <c r="R358" s="46">
        <v>1</v>
      </c>
      <c r="S358" s="41">
        <f t="shared" si="27"/>
        <v>0</v>
      </c>
      <c r="T358" s="140"/>
      <c r="U358" s="41"/>
      <c r="W358" s="46">
        <v>1</v>
      </c>
      <c r="X358" s="41">
        <f t="shared" si="28"/>
        <v>0</v>
      </c>
      <c r="Y358" s="41"/>
      <c r="Z358" s="41"/>
      <c r="AB358" s="46">
        <v>1</v>
      </c>
      <c r="AC358" s="41">
        <f t="shared" si="29"/>
        <v>0</v>
      </c>
      <c r="AD358" s="41"/>
      <c r="AE358" s="41"/>
      <c r="AG358" s="46"/>
      <c r="AH358" s="41"/>
      <c r="AI358" s="41"/>
      <c r="AJ358" s="41"/>
      <c r="AL358" s="46">
        <v>1</v>
      </c>
      <c r="AM358" s="41">
        <f t="shared" si="30"/>
        <v>0</v>
      </c>
      <c r="AN358" s="41"/>
      <c r="AO358" s="41"/>
      <c r="AQ358" s="49">
        <v>1</v>
      </c>
      <c r="AR358" s="41">
        <f t="shared" si="31"/>
        <v>0</v>
      </c>
      <c r="AS358" s="41"/>
      <c r="AT358" s="41"/>
      <c r="AV358" s="51">
        <v>1</v>
      </c>
      <c r="AW358" s="140">
        <f t="shared" si="32"/>
        <v>0</v>
      </c>
      <c r="AX358" s="139"/>
      <c r="AY358" s="140"/>
      <c r="BA358" s="51">
        <v>1</v>
      </c>
      <c r="BB358" s="140">
        <f t="shared" si="33"/>
        <v>0</v>
      </c>
      <c r="BC358" s="139"/>
      <c r="BD358" s="41"/>
      <c r="BF358" s="60">
        <v>1</v>
      </c>
      <c r="BG358" s="140">
        <f t="shared" si="34"/>
        <v>0</v>
      </c>
      <c r="BH358" s="40"/>
      <c r="BI358" s="41"/>
      <c r="BK358" s="142"/>
      <c r="BL358" s="140"/>
      <c r="BM358" s="40"/>
      <c r="BN358" s="41"/>
      <c r="BP358" s="62"/>
      <c r="BQ358" s="41"/>
      <c r="BR358" s="40"/>
      <c r="BS358" s="41"/>
      <c r="BU358" s="62"/>
      <c r="BV358" s="41">
        <f t="shared" si="35"/>
        <v>0</v>
      </c>
      <c r="BW358" s="40"/>
      <c r="BX358" s="41"/>
      <c r="BZ358" s="61">
        <v>1</v>
      </c>
      <c r="CA358" s="41">
        <f t="shared" si="36"/>
        <v>0</v>
      </c>
      <c r="CB358" s="40"/>
      <c r="CC358" s="41"/>
      <c r="CD358" s="140"/>
      <c r="CE358" s="61">
        <v>1</v>
      </c>
      <c r="CF358" s="41">
        <f t="shared" si="37"/>
        <v>0</v>
      </c>
      <c r="CG358" s="40"/>
      <c r="CH358" s="41"/>
      <c r="CJ358" s="141"/>
      <c r="CK358" s="140"/>
      <c r="CL358" s="139"/>
      <c r="CM358" s="140"/>
      <c r="CO358" s="223">
        <v>1</v>
      </c>
      <c r="CP358" s="41">
        <f t="shared" si="38"/>
        <v>0</v>
      </c>
      <c r="CQ358" s="40"/>
      <c r="CR358" s="41"/>
      <c r="CT358" s="62">
        <v>1</v>
      </c>
      <c r="CU358" s="41">
        <f t="shared" si="39"/>
        <v>0</v>
      </c>
      <c r="CV358" s="40"/>
      <c r="CW358" s="41"/>
      <c r="CY358" s="62">
        <v>1</v>
      </c>
      <c r="CZ358" s="41">
        <f t="shared" si="40"/>
        <v>0</v>
      </c>
      <c r="DA358" s="40"/>
      <c r="DB358" s="41"/>
      <c r="DD358" s="46">
        <v>1</v>
      </c>
      <c r="DE358" s="41">
        <f t="shared" si="41"/>
        <v>0</v>
      </c>
      <c r="DF358" s="40"/>
      <c r="DG358" s="41"/>
      <c r="DI358" s="71">
        <v>1</v>
      </c>
      <c r="DJ358" s="41">
        <f t="shared" si="42"/>
        <v>0</v>
      </c>
      <c r="DK358" s="64"/>
      <c r="DL358" s="64"/>
      <c r="DN358" s="71">
        <v>1</v>
      </c>
      <c r="DO358" s="41">
        <f t="shared" si="43"/>
        <v>0</v>
      </c>
      <c r="DP358" s="64"/>
      <c r="DQ358" s="64"/>
      <c r="DS358" s="60">
        <v>1</v>
      </c>
      <c r="DT358" s="41">
        <f t="shared" si="44"/>
        <v>0</v>
      </c>
      <c r="DU358" s="64"/>
      <c r="DV358" s="64"/>
      <c r="DX358" s="60">
        <v>1</v>
      </c>
      <c r="DY358" s="41">
        <f t="shared" si="45"/>
        <v>0</v>
      </c>
      <c r="DZ358" s="64"/>
      <c r="EA358" s="64"/>
      <c r="EC358" s="60">
        <v>1</v>
      </c>
      <c r="ED358" s="41">
        <f t="shared" si="46"/>
        <v>0</v>
      </c>
      <c r="EE358" s="64"/>
      <c r="EF358" s="64"/>
      <c r="EH358" s="60">
        <v>1</v>
      </c>
      <c r="EI358" s="41">
        <f t="shared" si="47"/>
        <v>0</v>
      </c>
      <c r="EJ358" s="64"/>
      <c r="EK358" s="64"/>
      <c r="ER358" s="855"/>
      <c r="EX358" s="203">
        <f t="shared" si="25"/>
        <v>0</v>
      </c>
    </row>
    <row r="359" spans="1:154" s="6" customFormat="1" ht="15" customHeight="1">
      <c r="A359" s="90">
        <v>167</v>
      </c>
      <c r="B359" s="210" t="s">
        <v>111</v>
      </c>
      <c r="C359" s="473" t="s">
        <v>515</v>
      </c>
      <c r="D359" s="138"/>
      <c r="E359" s="62"/>
      <c r="F359" s="41"/>
      <c r="G359" s="41"/>
      <c r="H359" s="41"/>
      <c r="I359" s="4"/>
      <c r="J359" s="4"/>
      <c r="K359" s="4"/>
      <c r="L359" s="4"/>
      <c r="M359" s="4">
        <v>3</v>
      </c>
      <c r="N359" s="661">
        <f t="shared" si="26"/>
        <v>0</v>
      </c>
      <c r="O359" s="4"/>
      <c r="P359" s="4"/>
      <c r="Q359" s="4"/>
      <c r="R359" s="46">
        <v>1</v>
      </c>
      <c r="S359" s="41">
        <f t="shared" si="27"/>
        <v>0</v>
      </c>
      <c r="T359" s="140"/>
      <c r="U359" s="41"/>
      <c r="W359" s="46">
        <v>1</v>
      </c>
      <c r="X359" s="41">
        <f t="shared" si="28"/>
        <v>0</v>
      </c>
      <c r="Y359" s="41"/>
      <c r="Z359" s="41"/>
      <c r="AB359" s="46">
        <v>1</v>
      </c>
      <c r="AC359" s="41">
        <f t="shared" si="29"/>
        <v>0</v>
      </c>
      <c r="AD359" s="41"/>
      <c r="AE359" s="41"/>
      <c r="AG359" s="46"/>
      <c r="AH359" s="41"/>
      <c r="AI359" s="41"/>
      <c r="AJ359" s="41"/>
      <c r="AL359" s="46">
        <v>1</v>
      </c>
      <c r="AM359" s="41">
        <f t="shared" si="30"/>
        <v>0</v>
      </c>
      <c r="AN359" s="41"/>
      <c r="AO359" s="41"/>
      <c r="AQ359" s="49">
        <v>1</v>
      </c>
      <c r="AR359" s="41">
        <f t="shared" si="31"/>
        <v>0</v>
      </c>
      <c r="AS359" s="41"/>
      <c r="AT359" s="41"/>
      <c r="AV359" s="51">
        <v>1</v>
      </c>
      <c r="AW359" s="140">
        <f t="shared" si="32"/>
        <v>0</v>
      </c>
      <c r="AX359" s="139"/>
      <c r="AY359" s="140"/>
      <c r="BA359" s="51">
        <v>1</v>
      </c>
      <c r="BB359" s="140">
        <f t="shared" si="33"/>
        <v>0</v>
      </c>
      <c r="BC359" s="139"/>
      <c r="BD359" s="41"/>
      <c r="BF359" s="60">
        <v>1</v>
      </c>
      <c r="BG359" s="140">
        <f t="shared" si="34"/>
        <v>0</v>
      </c>
      <c r="BH359" s="40"/>
      <c r="BI359" s="41"/>
      <c r="BK359" s="142"/>
      <c r="BL359" s="140"/>
      <c r="BM359" s="40"/>
      <c r="BN359" s="41"/>
      <c r="BP359" s="62"/>
      <c r="BQ359" s="41"/>
      <c r="BR359" s="40"/>
      <c r="BS359" s="41"/>
      <c r="BU359" s="62"/>
      <c r="BV359" s="41">
        <f t="shared" si="35"/>
        <v>0</v>
      </c>
      <c r="BW359" s="40"/>
      <c r="BX359" s="41"/>
      <c r="BZ359" s="61">
        <v>1</v>
      </c>
      <c r="CA359" s="41">
        <f t="shared" si="36"/>
        <v>0</v>
      </c>
      <c r="CB359" s="40"/>
      <c r="CC359" s="41"/>
      <c r="CD359" s="140"/>
      <c r="CE359" s="61">
        <v>1</v>
      </c>
      <c r="CF359" s="41">
        <f t="shared" si="37"/>
        <v>0</v>
      </c>
      <c r="CG359" s="40"/>
      <c r="CH359" s="41"/>
      <c r="CJ359" s="141"/>
      <c r="CK359" s="140"/>
      <c r="CL359" s="139"/>
      <c r="CM359" s="140"/>
      <c r="CO359" s="223">
        <v>1</v>
      </c>
      <c r="CP359" s="41">
        <f t="shared" si="38"/>
        <v>0</v>
      </c>
      <c r="CQ359" s="40"/>
      <c r="CR359" s="41"/>
      <c r="CT359" s="62">
        <v>1</v>
      </c>
      <c r="CU359" s="41">
        <f t="shared" si="39"/>
        <v>0</v>
      </c>
      <c r="CV359" s="40"/>
      <c r="CW359" s="41"/>
      <c r="CY359" s="62">
        <v>1</v>
      </c>
      <c r="CZ359" s="41">
        <f t="shared" si="40"/>
        <v>0</v>
      </c>
      <c r="DA359" s="40"/>
      <c r="DB359" s="41"/>
      <c r="DD359" s="46">
        <v>1</v>
      </c>
      <c r="DE359" s="41">
        <f t="shared" si="41"/>
        <v>0</v>
      </c>
      <c r="DF359" s="40"/>
      <c r="DG359" s="41"/>
      <c r="DI359" s="71">
        <v>1</v>
      </c>
      <c r="DJ359" s="41">
        <f t="shared" si="42"/>
        <v>0</v>
      </c>
      <c r="DK359" s="64"/>
      <c r="DL359" s="64"/>
      <c r="DN359" s="71">
        <v>1</v>
      </c>
      <c r="DO359" s="41">
        <f t="shared" si="43"/>
        <v>0</v>
      </c>
      <c r="DP359" s="64"/>
      <c r="DQ359" s="64"/>
      <c r="DS359" s="60">
        <v>1</v>
      </c>
      <c r="DT359" s="41">
        <f t="shared" si="44"/>
        <v>0</v>
      </c>
      <c r="DU359" s="64"/>
      <c r="DV359" s="64"/>
      <c r="DX359" s="60">
        <v>1</v>
      </c>
      <c r="DY359" s="41">
        <f t="shared" si="45"/>
        <v>0</v>
      </c>
      <c r="DZ359" s="64"/>
      <c r="EA359" s="64"/>
      <c r="EC359" s="60">
        <v>1</v>
      </c>
      <c r="ED359" s="41">
        <f t="shared" si="46"/>
        <v>0</v>
      </c>
      <c r="EE359" s="64"/>
      <c r="EF359" s="64"/>
      <c r="EH359" s="60">
        <v>1</v>
      </c>
      <c r="EI359" s="41">
        <f t="shared" si="47"/>
        <v>0</v>
      </c>
      <c r="EJ359" s="64"/>
      <c r="EK359" s="64"/>
      <c r="ER359" s="855"/>
      <c r="EX359" s="203">
        <f t="shared" si="25"/>
        <v>0</v>
      </c>
    </row>
    <row r="360" spans="1:154" s="6" customFormat="1" ht="15" customHeight="1">
      <c r="A360" s="90">
        <v>168</v>
      </c>
      <c r="B360" s="210" t="s">
        <v>112</v>
      </c>
      <c r="C360" s="473" t="s">
        <v>515</v>
      </c>
      <c r="D360" s="138"/>
      <c r="E360" s="62"/>
      <c r="F360" s="41"/>
      <c r="G360" s="41"/>
      <c r="H360" s="41"/>
      <c r="I360" s="4"/>
      <c r="J360" s="4"/>
      <c r="K360" s="4"/>
      <c r="L360" s="4"/>
      <c r="M360" s="4">
        <v>3</v>
      </c>
      <c r="N360" s="661">
        <f t="shared" si="26"/>
        <v>0</v>
      </c>
      <c r="O360" s="4"/>
      <c r="P360" s="4"/>
      <c r="Q360" s="4"/>
      <c r="R360" s="46">
        <v>1</v>
      </c>
      <c r="S360" s="41">
        <f t="shared" si="27"/>
        <v>0</v>
      </c>
      <c r="T360" s="140"/>
      <c r="U360" s="41"/>
      <c r="W360" s="46">
        <v>1</v>
      </c>
      <c r="X360" s="41">
        <f t="shared" si="28"/>
        <v>0</v>
      </c>
      <c r="Y360" s="41"/>
      <c r="Z360" s="41"/>
      <c r="AB360" s="46">
        <v>1</v>
      </c>
      <c r="AC360" s="41">
        <f t="shared" si="29"/>
        <v>0</v>
      </c>
      <c r="AD360" s="41"/>
      <c r="AE360" s="41"/>
      <c r="AG360" s="46"/>
      <c r="AH360" s="41"/>
      <c r="AI360" s="41"/>
      <c r="AJ360" s="41"/>
      <c r="AL360" s="46">
        <v>1</v>
      </c>
      <c r="AM360" s="41">
        <f t="shared" si="30"/>
        <v>0</v>
      </c>
      <c r="AN360" s="41"/>
      <c r="AO360" s="41"/>
      <c r="AQ360" s="49">
        <v>1</v>
      </c>
      <c r="AR360" s="41">
        <f t="shared" si="31"/>
        <v>0</v>
      </c>
      <c r="AS360" s="41"/>
      <c r="AT360" s="41"/>
      <c r="AV360" s="51">
        <v>1</v>
      </c>
      <c r="AW360" s="140">
        <f t="shared" si="32"/>
        <v>0</v>
      </c>
      <c r="AX360" s="139"/>
      <c r="AY360" s="140"/>
      <c r="BA360" s="51">
        <v>1</v>
      </c>
      <c r="BB360" s="140">
        <f t="shared" si="33"/>
        <v>0</v>
      </c>
      <c r="BC360" s="139"/>
      <c r="BD360" s="41"/>
      <c r="BF360" s="60">
        <v>1</v>
      </c>
      <c r="BG360" s="140">
        <f t="shared" si="34"/>
        <v>0</v>
      </c>
      <c r="BH360" s="40"/>
      <c r="BI360" s="41"/>
      <c r="BK360" s="142"/>
      <c r="BL360" s="140"/>
      <c r="BM360" s="40"/>
      <c r="BN360" s="41"/>
      <c r="BP360" s="62"/>
      <c r="BQ360" s="41"/>
      <c r="BR360" s="40"/>
      <c r="BS360" s="41"/>
      <c r="BU360" s="62"/>
      <c r="BV360" s="41">
        <f t="shared" si="35"/>
        <v>0</v>
      </c>
      <c r="BW360" s="40"/>
      <c r="BX360" s="41"/>
      <c r="BZ360" s="61">
        <v>1</v>
      </c>
      <c r="CA360" s="41">
        <f t="shared" si="36"/>
        <v>0</v>
      </c>
      <c r="CB360" s="40"/>
      <c r="CC360" s="41"/>
      <c r="CD360" s="140"/>
      <c r="CE360" s="61">
        <v>1</v>
      </c>
      <c r="CF360" s="41">
        <f t="shared" si="37"/>
        <v>0</v>
      </c>
      <c r="CG360" s="40"/>
      <c r="CH360" s="41"/>
      <c r="CJ360" s="141"/>
      <c r="CK360" s="140"/>
      <c r="CL360" s="139"/>
      <c r="CM360" s="140"/>
      <c r="CO360" s="223">
        <v>1</v>
      </c>
      <c r="CP360" s="41">
        <f t="shared" si="38"/>
        <v>0</v>
      </c>
      <c r="CQ360" s="40"/>
      <c r="CR360" s="41"/>
      <c r="CT360" s="62">
        <v>1</v>
      </c>
      <c r="CU360" s="41">
        <f t="shared" si="39"/>
        <v>0</v>
      </c>
      <c r="CV360" s="40"/>
      <c r="CW360" s="41"/>
      <c r="CY360" s="62">
        <v>1</v>
      </c>
      <c r="CZ360" s="41">
        <f t="shared" si="40"/>
        <v>0</v>
      </c>
      <c r="DA360" s="40"/>
      <c r="DB360" s="41"/>
      <c r="DD360" s="46">
        <v>1</v>
      </c>
      <c r="DE360" s="41">
        <f t="shared" si="41"/>
        <v>0</v>
      </c>
      <c r="DF360" s="40"/>
      <c r="DG360" s="41"/>
      <c r="DI360" s="71">
        <v>1</v>
      </c>
      <c r="DJ360" s="41">
        <f t="shared" si="42"/>
        <v>0</v>
      </c>
      <c r="DK360" s="64"/>
      <c r="DL360" s="64"/>
      <c r="DN360" s="71">
        <v>1</v>
      </c>
      <c r="DO360" s="41">
        <f t="shared" si="43"/>
        <v>0</v>
      </c>
      <c r="DP360" s="64"/>
      <c r="DQ360" s="64"/>
      <c r="DS360" s="60">
        <v>1</v>
      </c>
      <c r="DT360" s="41">
        <f t="shared" si="44"/>
        <v>0</v>
      </c>
      <c r="DU360" s="64"/>
      <c r="DV360" s="64"/>
      <c r="DX360" s="60">
        <v>1</v>
      </c>
      <c r="DY360" s="41">
        <f t="shared" si="45"/>
        <v>0</v>
      </c>
      <c r="DZ360" s="64"/>
      <c r="EA360" s="64"/>
      <c r="EC360" s="60">
        <v>1</v>
      </c>
      <c r="ED360" s="41">
        <f t="shared" si="46"/>
        <v>0</v>
      </c>
      <c r="EE360" s="64"/>
      <c r="EF360" s="64"/>
      <c r="EH360" s="60">
        <v>1</v>
      </c>
      <c r="EI360" s="41">
        <f t="shared" si="47"/>
        <v>0</v>
      </c>
      <c r="EJ360" s="64"/>
      <c r="EK360" s="64"/>
      <c r="ER360" s="855"/>
      <c r="EX360" s="203">
        <f t="shared" si="25"/>
        <v>0</v>
      </c>
    </row>
    <row r="361" spans="1:154" s="6" customFormat="1" ht="15" customHeight="1">
      <c r="A361" s="90">
        <v>169</v>
      </c>
      <c r="B361" s="210" t="s">
        <v>38</v>
      </c>
      <c r="C361" s="473" t="s">
        <v>515</v>
      </c>
      <c r="D361" s="138"/>
      <c r="E361" s="62"/>
      <c r="F361" s="41"/>
      <c r="G361" s="41"/>
      <c r="H361" s="41"/>
      <c r="I361" s="4"/>
      <c r="J361" s="4"/>
      <c r="K361" s="4"/>
      <c r="L361" s="4"/>
      <c r="M361" s="4">
        <v>3</v>
      </c>
      <c r="N361" s="661">
        <f t="shared" si="26"/>
        <v>0</v>
      </c>
      <c r="O361" s="4"/>
      <c r="P361" s="4"/>
      <c r="Q361" s="4"/>
      <c r="R361" s="46">
        <v>1</v>
      </c>
      <c r="S361" s="41">
        <f t="shared" si="27"/>
        <v>0</v>
      </c>
      <c r="T361" s="140"/>
      <c r="U361" s="41"/>
      <c r="W361" s="46">
        <v>1</v>
      </c>
      <c r="X361" s="41">
        <f t="shared" si="28"/>
        <v>0</v>
      </c>
      <c r="Y361" s="41"/>
      <c r="Z361" s="41"/>
      <c r="AB361" s="46">
        <v>1</v>
      </c>
      <c r="AC361" s="41">
        <f t="shared" si="29"/>
        <v>0</v>
      </c>
      <c r="AD361" s="41"/>
      <c r="AE361" s="41"/>
      <c r="AG361" s="46"/>
      <c r="AH361" s="41"/>
      <c r="AI361" s="41"/>
      <c r="AJ361" s="41"/>
      <c r="AL361" s="46">
        <v>1</v>
      </c>
      <c r="AM361" s="41">
        <f t="shared" si="30"/>
        <v>0</v>
      </c>
      <c r="AN361" s="41"/>
      <c r="AO361" s="41"/>
      <c r="AQ361" s="49">
        <v>1</v>
      </c>
      <c r="AR361" s="41">
        <f t="shared" si="31"/>
        <v>0</v>
      </c>
      <c r="AS361" s="41"/>
      <c r="AT361" s="41"/>
      <c r="AV361" s="51">
        <v>1</v>
      </c>
      <c r="AW361" s="140">
        <f t="shared" si="32"/>
        <v>0</v>
      </c>
      <c r="AX361" s="139"/>
      <c r="AY361" s="140"/>
      <c r="BA361" s="51">
        <v>1</v>
      </c>
      <c r="BB361" s="140">
        <f t="shared" si="33"/>
        <v>0</v>
      </c>
      <c r="BC361" s="139"/>
      <c r="BD361" s="41"/>
      <c r="BF361" s="60">
        <v>1</v>
      </c>
      <c r="BG361" s="140">
        <f t="shared" si="34"/>
        <v>0</v>
      </c>
      <c r="BH361" s="40"/>
      <c r="BI361" s="41"/>
      <c r="BK361" s="142"/>
      <c r="BL361" s="140"/>
      <c r="BM361" s="40"/>
      <c r="BN361" s="41"/>
      <c r="BP361" s="62"/>
      <c r="BQ361" s="41"/>
      <c r="BR361" s="40"/>
      <c r="BS361" s="41"/>
      <c r="BU361" s="62"/>
      <c r="BV361" s="41">
        <f t="shared" si="35"/>
        <v>0</v>
      </c>
      <c r="BW361" s="40"/>
      <c r="BX361" s="41"/>
      <c r="BZ361" s="61">
        <v>1</v>
      </c>
      <c r="CA361" s="41">
        <f t="shared" si="36"/>
        <v>0</v>
      </c>
      <c r="CB361" s="40"/>
      <c r="CC361" s="41"/>
      <c r="CD361" s="140"/>
      <c r="CE361" s="61">
        <v>1</v>
      </c>
      <c r="CF361" s="41">
        <f t="shared" si="37"/>
        <v>0</v>
      </c>
      <c r="CG361" s="40"/>
      <c r="CH361" s="41"/>
      <c r="CJ361" s="141"/>
      <c r="CK361" s="140"/>
      <c r="CL361" s="139"/>
      <c r="CM361" s="140"/>
      <c r="CO361" s="223">
        <v>1</v>
      </c>
      <c r="CP361" s="41">
        <f t="shared" si="38"/>
        <v>0</v>
      </c>
      <c r="CQ361" s="40"/>
      <c r="CR361" s="41"/>
      <c r="CT361" s="62">
        <v>1</v>
      </c>
      <c r="CU361" s="41">
        <f t="shared" si="39"/>
        <v>0</v>
      </c>
      <c r="CV361" s="40"/>
      <c r="CW361" s="41"/>
      <c r="CY361" s="62">
        <v>1</v>
      </c>
      <c r="CZ361" s="41">
        <f t="shared" si="40"/>
        <v>0</v>
      </c>
      <c r="DA361" s="40"/>
      <c r="DB361" s="41"/>
      <c r="DD361" s="46">
        <v>1</v>
      </c>
      <c r="DE361" s="41">
        <f t="shared" si="41"/>
        <v>0</v>
      </c>
      <c r="DF361" s="40"/>
      <c r="DG361" s="41"/>
      <c r="DI361" s="71">
        <v>1</v>
      </c>
      <c r="DJ361" s="41">
        <f t="shared" si="42"/>
        <v>0</v>
      </c>
      <c r="DK361" s="64"/>
      <c r="DL361" s="64"/>
      <c r="DN361" s="71">
        <v>1</v>
      </c>
      <c r="DO361" s="41">
        <f t="shared" si="43"/>
        <v>0</v>
      </c>
      <c r="DP361" s="64"/>
      <c r="DQ361" s="64"/>
      <c r="DS361" s="60">
        <v>1</v>
      </c>
      <c r="DT361" s="41">
        <f t="shared" si="44"/>
        <v>0</v>
      </c>
      <c r="DU361" s="64"/>
      <c r="DV361" s="64"/>
      <c r="DX361" s="60">
        <v>1</v>
      </c>
      <c r="DY361" s="41">
        <f t="shared" si="45"/>
        <v>0</v>
      </c>
      <c r="DZ361" s="64"/>
      <c r="EA361" s="64"/>
      <c r="EC361" s="60">
        <v>1</v>
      </c>
      <c r="ED361" s="41">
        <f t="shared" si="46"/>
        <v>0</v>
      </c>
      <c r="EE361" s="64"/>
      <c r="EF361" s="64"/>
      <c r="EH361" s="60">
        <v>1</v>
      </c>
      <c r="EI361" s="41">
        <f t="shared" si="47"/>
        <v>0</v>
      </c>
      <c r="EJ361" s="64"/>
      <c r="EK361" s="64"/>
      <c r="ER361" s="855"/>
      <c r="EX361" s="203">
        <f t="shared" si="25"/>
        <v>0</v>
      </c>
    </row>
    <row r="362" spans="1:154" s="6" customFormat="1" ht="15" customHeight="1">
      <c r="A362" s="90">
        <v>170</v>
      </c>
      <c r="B362" s="210" t="s">
        <v>113</v>
      </c>
      <c r="C362" s="473" t="s">
        <v>515</v>
      </c>
      <c r="D362" s="138"/>
      <c r="E362" s="62"/>
      <c r="F362" s="41"/>
      <c r="G362" s="41"/>
      <c r="H362" s="41"/>
      <c r="I362" s="4"/>
      <c r="J362" s="4"/>
      <c r="K362" s="4"/>
      <c r="L362" s="4"/>
      <c r="M362" s="4">
        <v>3</v>
      </c>
      <c r="N362" s="661">
        <f t="shared" si="26"/>
        <v>0</v>
      </c>
      <c r="O362" s="4"/>
      <c r="P362" s="4"/>
      <c r="Q362" s="4"/>
      <c r="R362" s="46">
        <v>1</v>
      </c>
      <c r="S362" s="41">
        <f t="shared" si="27"/>
        <v>0</v>
      </c>
      <c r="T362" s="140"/>
      <c r="U362" s="41"/>
      <c r="W362" s="46">
        <v>1</v>
      </c>
      <c r="X362" s="41">
        <f t="shared" si="28"/>
        <v>0</v>
      </c>
      <c r="Y362" s="41"/>
      <c r="Z362" s="41"/>
      <c r="AB362" s="46">
        <v>1</v>
      </c>
      <c r="AC362" s="41">
        <f t="shared" si="29"/>
        <v>0</v>
      </c>
      <c r="AD362" s="41"/>
      <c r="AE362" s="41"/>
      <c r="AG362" s="46"/>
      <c r="AH362" s="41"/>
      <c r="AI362" s="41"/>
      <c r="AJ362" s="41"/>
      <c r="AL362" s="46">
        <v>1</v>
      </c>
      <c r="AM362" s="41">
        <f t="shared" si="30"/>
        <v>0</v>
      </c>
      <c r="AN362" s="41"/>
      <c r="AO362" s="41"/>
      <c r="AQ362" s="49">
        <v>1</v>
      </c>
      <c r="AR362" s="41">
        <f t="shared" si="31"/>
        <v>0</v>
      </c>
      <c r="AS362" s="41"/>
      <c r="AT362" s="41"/>
      <c r="AV362" s="51">
        <v>1</v>
      </c>
      <c r="AW362" s="140">
        <f t="shared" si="32"/>
        <v>0</v>
      </c>
      <c r="AX362" s="139"/>
      <c r="AY362" s="140"/>
      <c r="BA362" s="51">
        <v>1</v>
      </c>
      <c r="BB362" s="140">
        <f t="shared" si="33"/>
        <v>0</v>
      </c>
      <c r="BC362" s="139"/>
      <c r="BD362" s="41"/>
      <c r="BF362" s="60">
        <v>1</v>
      </c>
      <c r="BG362" s="140">
        <f t="shared" si="34"/>
        <v>0</v>
      </c>
      <c r="BH362" s="40"/>
      <c r="BI362" s="41"/>
      <c r="BK362" s="142"/>
      <c r="BL362" s="140"/>
      <c r="BM362" s="40"/>
      <c r="BN362" s="41"/>
      <c r="BP362" s="62"/>
      <c r="BQ362" s="41"/>
      <c r="BR362" s="40"/>
      <c r="BS362" s="41"/>
      <c r="BU362" s="62"/>
      <c r="BV362" s="41">
        <f t="shared" si="35"/>
        <v>0</v>
      </c>
      <c r="BW362" s="40"/>
      <c r="BX362" s="41"/>
      <c r="BZ362" s="61">
        <v>1</v>
      </c>
      <c r="CA362" s="41">
        <f t="shared" si="36"/>
        <v>0</v>
      </c>
      <c r="CB362" s="40"/>
      <c r="CC362" s="41"/>
      <c r="CD362" s="140"/>
      <c r="CE362" s="61">
        <v>1</v>
      </c>
      <c r="CF362" s="41">
        <f t="shared" si="37"/>
        <v>0</v>
      </c>
      <c r="CG362" s="40"/>
      <c r="CH362" s="41"/>
      <c r="CJ362" s="141"/>
      <c r="CK362" s="140"/>
      <c r="CL362" s="139"/>
      <c r="CM362" s="140"/>
      <c r="CO362" s="223">
        <v>1</v>
      </c>
      <c r="CP362" s="41">
        <f t="shared" si="38"/>
        <v>0</v>
      </c>
      <c r="CQ362" s="40"/>
      <c r="CR362" s="41"/>
      <c r="CT362" s="62">
        <v>1</v>
      </c>
      <c r="CU362" s="41">
        <f t="shared" si="39"/>
        <v>0</v>
      </c>
      <c r="CV362" s="40"/>
      <c r="CW362" s="41"/>
      <c r="CY362" s="62">
        <v>1</v>
      </c>
      <c r="CZ362" s="41">
        <f t="shared" si="40"/>
        <v>0</v>
      </c>
      <c r="DA362" s="40"/>
      <c r="DB362" s="41"/>
      <c r="DD362" s="46">
        <v>1</v>
      </c>
      <c r="DE362" s="41">
        <f t="shared" si="41"/>
        <v>0</v>
      </c>
      <c r="DF362" s="40"/>
      <c r="DG362" s="41"/>
      <c r="DI362" s="71">
        <v>1</v>
      </c>
      <c r="DJ362" s="41">
        <f t="shared" si="42"/>
        <v>0</v>
      </c>
      <c r="DK362" s="64"/>
      <c r="DL362" s="64"/>
      <c r="DN362" s="71">
        <v>1</v>
      </c>
      <c r="DO362" s="41">
        <f t="shared" si="43"/>
        <v>0</v>
      </c>
      <c r="DP362" s="64"/>
      <c r="DQ362" s="64"/>
      <c r="DS362" s="60">
        <v>1</v>
      </c>
      <c r="DT362" s="41">
        <f t="shared" si="44"/>
        <v>0</v>
      </c>
      <c r="DU362" s="64"/>
      <c r="DV362" s="64"/>
      <c r="DX362" s="60">
        <v>1</v>
      </c>
      <c r="DY362" s="41">
        <f t="shared" si="45"/>
        <v>0</v>
      </c>
      <c r="DZ362" s="64"/>
      <c r="EA362" s="64"/>
      <c r="EC362" s="60">
        <v>1</v>
      </c>
      <c r="ED362" s="41">
        <f t="shared" si="46"/>
        <v>0</v>
      </c>
      <c r="EE362" s="64"/>
      <c r="EF362" s="64"/>
      <c r="EH362" s="60">
        <v>1</v>
      </c>
      <c r="EI362" s="41">
        <f t="shared" si="47"/>
        <v>0</v>
      </c>
      <c r="EJ362" s="64"/>
      <c r="EK362" s="64"/>
      <c r="ER362" s="855"/>
      <c r="EX362" s="203">
        <f t="shared" si="25"/>
        <v>0</v>
      </c>
    </row>
    <row r="363" spans="1:154" s="6" customFormat="1" ht="15" customHeight="1">
      <c r="A363" s="90">
        <v>171</v>
      </c>
      <c r="B363" s="210" t="s">
        <v>114</v>
      </c>
      <c r="C363" s="473" t="s">
        <v>515</v>
      </c>
      <c r="D363" s="138"/>
      <c r="E363" s="62"/>
      <c r="F363" s="41"/>
      <c r="G363" s="41"/>
      <c r="H363" s="41"/>
      <c r="I363" s="4"/>
      <c r="J363" s="4"/>
      <c r="K363" s="4"/>
      <c r="L363" s="4"/>
      <c r="M363" s="4">
        <v>3</v>
      </c>
      <c r="N363" s="661">
        <f t="shared" si="26"/>
        <v>0</v>
      </c>
      <c r="O363" s="4"/>
      <c r="P363" s="4"/>
      <c r="Q363" s="4"/>
      <c r="R363" s="46">
        <v>1</v>
      </c>
      <c r="S363" s="41">
        <f t="shared" si="27"/>
        <v>0</v>
      </c>
      <c r="T363" s="140"/>
      <c r="U363" s="41"/>
      <c r="W363" s="46">
        <v>1</v>
      </c>
      <c r="X363" s="41">
        <f t="shared" si="28"/>
        <v>0</v>
      </c>
      <c r="Y363" s="41"/>
      <c r="Z363" s="41"/>
      <c r="AB363" s="46">
        <v>1</v>
      </c>
      <c r="AC363" s="41">
        <f t="shared" si="29"/>
        <v>0</v>
      </c>
      <c r="AD363" s="41"/>
      <c r="AE363" s="41"/>
      <c r="AG363" s="46"/>
      <c r="AH363" s="41"/>
      <c r="AI363" s="41"/>
      <c r="AJ363" s="41"/>
      <c r="AL363" s="46">
        <v>1</v>
      </c>
      <c r="AM363" s="41">
        <f t="shared" si="30"/>
        <v>0</v>
      </c>
      <c r="AN363" s="41"/>
      <c r="AO363" s="41"/>
      <c r="AQ363" s="49">
        <v>1</v>
      </c>
      <c r="AR363" s="41">
        <f t="shared" si="31"/>
        <v>0</v>
      </c>
      <c r="AS363" s="41"/>
      <c r="AT363" s="41"/>
      <c r="AV363" s="51">
        <v>1</v>
      </c>
      <c r="AW363" s="140">
        <f t="shared" si="32"/>
        <v>0</v>
      </c>
      <c r="AX363" s="139"/>
      <c r="AY363" s="140"/>
      <c r="BA363" s="51">
        <v>1</v>
      </c>
      <c r="BB363" s="140">
        <f t="shared" si="33"/>
        <v>0</v>
      </c>
      <c r="BC363" s="139"/>
      <c r="BD363" s="41"/>
      <c r="BF363" s="60">
        <v>1</v>
      </c>
      <c r="BG363" s="140">
        <f t="shared" si="34"/>
        <v>0</v>
      </c>
      <c r="BH363" s="40"/>
      <c r="BI363" s="41"/>
      <c r="BK363" s="142"/>
      <c r="BL363" s="140"/>
      <c r="BM363" s="40"/>
      <c r="BN363" s="41"/>
      <c r="BP363" s="62"/>
      <c r="BQ363" s="41"/>
      <c r="BR363" s="40"/>
      <c r="BS363" s="41"/>
      <c r="BU363" s="62"/>
      <c r="BV363" s="41">
        <f t="shared" si="35"/>
        <v>0</v>
      </c>
      <c r="BW363" s="40"/>
      <c r="BX363" s="41"/>
      <c r="BZ363" s="61">
        <v>1</v>
      </c>
      <c r="CA363" s="41">
        <f t="shared" si="36"/>
        <v>0</v>
      </c>
      <c r="CB363" s="40"/>
      <c r="CC363" s="41"/>
      <c r="CD363" s="140"/>
      <c r="CE363" s="61">
        <v>1</v>
      </c>
      <c r="CF363" s="41">
        <f t="shared" si="37"/>
        <v>0</v>
      </c>
      <c r="CG363" s="40"/>
      <c r="CH363" s="41"/>
      <c r="CJ363" s="141"/>
      <c r="CK363" s="140"/>
      <c r="CL363" s="139"/>
      <c r="CM363" s="140"/>
      <c r="CO363" s="223">
        <v>1</v>
      </c>
      <c r="CP363" s="41">
        <f t="shared" si="38"/>
        <v>0</v>
      </c>
      <c r="CQ363" s="40"/>
      <c r="CR363" s="41"/>
      <c r="CT363" s="62">
        <v>1</v>
      </c>
      <c r="CU363" s="41">
        <f t="shared" si="39"/>
        <v>0</v>
      </c>
      <c r="CV363" s="40"/>
      <c r="CW363" s="41"/>
      <c r="CY363" s="62">
        <v>1</v>
      </c>
      <c r="CZ363" s="41">
        <f t="shared" si="40"/>
        <v>0</v>
      </c>
      <c r="DA363" s="40"/>
      <c r="DB363" s="41"/>
      <c r="DD363" s="46">
        <v>1</v>
      </c>
      <c r="DE363" s="41">
        <f t="shared" si="41"/>
        <v>0</v>
      </c>
      <c r="DF363" s="40"/>
      <c r="DG363" s="41"/>
      <c r="DI363" s="71">
        <v>1</v>
      </c>
      <c r="DJ363" s="41">
        <f t="shared" si="42"/>
        <v>0</v>
      </c>
      <c r="DK363" s="64"/>
      <c r="DL363" s="64"/>
      <c r="DN363" s="71">
        <v>1</v>
      </c>
      <c r="DO363" s="41">
        <f t="shared" si="43"/>
        <v>0</v>
      </c>
      <c r="DP363" s="64"/>
      <c r="DQ363" s="64"/>
      <c r="DS363" s="60">
        <v>1</v>
      </c>
      <c r="DT363" s="41">
        <f t="shared" si="44"/>
        <v>0</v>
      </c>
      <c r="DU363" s="64"/>
      <c r="DV363" s="64"/>
      <c r="DX363" s="60">
        <v>1</v>
      </c>
      <c r="DY363" s="41">
        <f t="shared" si="45"/>
        <v>0</v>
      </c>
      <c r="DZ363" s="64"/>
      <c r="EA363" s="64"/>
      <c r="EC363" s="60">
        <v>1</v>
      </c>
      <c r="ED363" s="41">
        <f t="shared" si="46"/>
        <v>0</v>
      </c>
      <c r="EE363" s="64"/>
      <c r="EF363" s="64"/>
      <c r="EH363" s="60">
        <v>1</v>
      </c>
      <c r="EI363" s="41">
        <f t="shared" si="47"/>
        <v>0</v>
      </c>
      <c r="EJ363" s="64"/>
      <c r="EK363" s="64"/>
      <c r="ER363" s="855"/>
      <c r="EX363" s="203">
        <f t="shared" si="25"/>
        <v>0</v>
      </c>
    </row>
    <row r="364" spans="1:154" s="6" customFormat="1" ht="15" customHeight="1">
      <c r="A364" s="90">
        <v>172</v>
      </c>
      <c r="B364" s="210" t="s">
        <v>115</v>
      </c>
      <c r="C364" s="473" t="s">
        <v>515</v>
      </c>
      <c r="D364" s="138"/>
      <c r="E364" s="62"/>
      <c r="F364" s="41"/>
      <c r="G364" s="41"/>
      <c r="H364" s="41"/>
      <c r="I364" s="4"/>
      <c r="J364" s="4"/>
      <c r="K364" s="4"/>
      <c r="L364" s="4"/>
      <c r="M364" s="4">
        <v>3</v>
      </c>
      <c r="N364" s="661">
        <f t="shared" si="26"/>
        <v>0</v>
      </c>
      <c r="O364" s="4"/>
      <c r="P364" s="4"/>
      <c r="Q364" s="4"/>
      <c r="R364" s="46">
        <v>1</v>
      </c>
      <c r="S364" s="41">
        <f t="shared" si="27"/>
        <v>0</v>
      </c>
      <c r="T364" s="140"/>
      <c r="U364" s="41"/>
      <c r="W364" s="46">
        <v>1</v>
      </c>
      <c r="X364" s="41">
        <f t="shared" si="28"/>
        <v>0</v>
      </c>
      <c r="Y364" s="41"/>
      <c r="Z364" s="41"/>
      <c r="AB364" s="46">
        <v>1</v>
      </c>
      <c r="AC364" s="41">
        <f t="shared" si="29"/>
        <v>0</v>
      </c>
      <c r="AD364" s="41"/>
      <c r="AE364" s="41"/>
      <c r="AG364" s="46"/>
      <c r="AH364" s="41"/>
      <c r="AI364" s="41"/>
      <c r="AJ364" s="41"/>
      <c r="AL364" s="46">
        <v>1</v>
      </c>
      <c r="AM364" s="41">
        <f t="shared" si="30"/>
        <v>0</v>
      </c>
      <c r="AN364" s="41"/>
      <c r="AO364" s="41"/>
      <c r="AQ364" s="49">
        <v>1</v>
      </c>
      <c r="AR364" s="41">
        <f t="shared" si="31"/>
        <v>0</v>
      </c>
      <c r="AS364" s="41"/>
      <c r="AT364" s="41"/>
      <c r="AV364" s="51">
        <v>1</v>
      </c>
      <c r="AW364" s="140">
        <f t="shared" si="32"/>
        <v>0</v>
      </c>
      <c r="AX364" s="139"/>
      <c r="AY364" s="140"/>
      <c r="BA364" s="51">
        <v>1</v>
      </c>
      <c r="BB364" s="140">
        <f t="shared" si="33"/>
        <v>0</v>
      </c>
      <c r="BC364" s="139"/>
      <c r="BD364" s="41"/>
      <c r="BF364" s="60">
        <v>1</v>
      </c>
      <c r="BG364" s="140">
        <f t="shared" si="34"/>
        <v>0</v>
      </c>
      <c r="BH364" s="40"/>
      <c r="BI364" s="41"/>
      <c r="BK364" s="142"/>
      <c r="BL364" s="140"/>
      <c r="BM364" s="40"/>
      <c r="BN364" s="41"/>
      <c r="BP364" s="62"/>
      <c r="BQ364" s="41"/>
      <c r="BR364" s="40"/>
      <c r="BS364" s="41"/>
      <c r="BU364" s="62"/>
      <c r="BV364" s="41">
        <f t="shared" si="35"/>
        <v>0</v>
      </c>
      <c r="BW364" s="40"/>
      <c r="BX364" s="41"/>
      <c r="BZ364" s="61">
        <v>1</v>
      </c>
      <c r="CA364" s="41">
        <f t="shared" si="36"/>
        <v>0</v>
      </c>
      <c r="CB364" s="40"/>
      <c r="CC364" s="41"/>
      <c r="CD364" s="140"/>
      <c r="CE364" s="61">
        <v>1</v>
      </c>
      <c r="CF364" s="41">
        <f t="shared" si="37"/>
        <v>0</v>
      </c>
      <c r="CG364" s="40"/>
      <c r="CH364" s="41"/>
      <c r="CJ364" s="141"/>
      <c r="CK364" s="140"/>
      <c r="CL364" s="139"/>
      <c r="CM364" s="140"/>
      <c r="CO364" s="223">
        <v>1</v>
      </c>
      <c r="CP364" s="41">
        <f t="shared" si="38"/>
        <v>0</v>
      </c>
      <c r="CQ364" s="40"/>
      <c r="CR364" s="41"/>
      <c r="CT364" s="62">
        <v>1</v>
      </c>
      <c r="CU364" s="41">
        <f t="shared" si="39"/>
        <v>0</v>
      </c>
      <c r="CV364" s="40"/>
      <c r="CW364" s="41"/>
      <c r="CY364" s="62">
        <v>1</v>
      </c>
      <c r="CZ364" s="41">
        <f t="shared" si="40"/>
        <v>0</v>
      </c>
      <c r="DA364" s="40"/>
      <c r="DB364" s="41"/>
      <c r="DD364" s="46">
        <v>1</v>
      </c>
      <c r="DE364" s="41">
        <f t="shared" si="41"/>
        <v>0</v>
      </c>
      <c r="DF364" s="40"/>
      <c r="DG364" s="41"/>
      <c r="DI364" s="71">
        <v>1</v>
      </c>
      <c r="DJ364" s="41">
        <f t="shared" si="42"/>
        <v>0</v>
      </c>
      <c r="DK364" s="64"/>
      <c r="DL364" s="64"/>
      <c r="DN364" s="71">
        <v>1</v>
      </c>
      <c r="DO364" s="41">
        <f t="shared" si="43"/>
        <v>0</v>
      </c>
      <c r="DP364" s="64"/>
      <c r="DQ364" s="64"/>
      <c r="DS364" s="60">
        <v>1</v>
      </c>
      <c r="DT364" s="41">
        <f t="shared" si="44"/>
        <v>0</v>
      </c>
      <c r="DU364" s="64"/>
      <c r="DV364" s="64"/>
      <c r="DX364" s="60">
        <v>1</v>
      </c>
      <c r="DY364" s="41">
        <f t="shared" si="45"/>
        <v>0</v>
      </c>
      <c r="DZ364" s="64"/>
      <c r="EA364" s="64"/>
      <c r="EC364" s="60">
        <v>1</v>
      </c>
      <c r="ED364" s="41">
        <f t="shared" si="46"/>
        <v>0</v>
      </c>
      <c r="EE364" s="64"/>
      <c r="EF364" s="64"/>
      <c r="EH364" s="60">
        <v>1</v>
      </c>
      <c r="EI364" s="41">
        <f t="shared" si="47"/>
        <v>0</v>
      </c>
      <c r="EJ364" s="64"/>
      <c r="EK364" s="64"/>
      <c r="ER364" s="855"/>
      <c r="EX364" s="203">
        <f t="shared" si="25"/>
        <v>0</v>
      </c>
    </row>
    <row r="365" spans="1:154" s="6" customFormat="1" ht="15" customHeight="1">
      <c r="A365" s="90">
        <v>173</v>
      </c>
      <c r="B365" s="210" t="s">
        <v>116</v>
      </c>
      <c r="C365" s="473" t="s">
        <v>515</v>
      </c>
      <c r="D365" s="138"/>
      <c r="E365" s="62"/>
      <c r="F365" s="41"/>
      <c r="G365" s="41"/>
      <c r="H365" s="41"/>
      <c r="I365" s="4"/>
      <c r="J365" s="4"/>
      <c r="K365" s="4"/>
      <c r="L365" s="4"/>
      <c r="M365" s="4">
        <v>3</v>
      </c>
      <c r="N365" s="661">
        <f t="shared" si="26"/>
        <v>0</v>
      </c>
      <c r="O365" s="4"/>
      <c r="P365" s="4"/>
      <c r="Q365" s="4"/>
      <c r="R365" s="46">
        <v>1</v>
      </c>
      <c r="S365" s="41">
        <f t="shared" si="27"/>
        <v>0</v>
      </c>
      <c r="T365" s="140"/>
      <c r="U365" s="41"/>
      <c r="W365" s="46">
        <v>1</v>
      </c>
      <c r="X365" s="41">
        <f t="shared" si="28"/>
        <v>0</v>
      </c>
      <c r="Y365" s="41"/>
      <c r="Z365" s="41"/>
      <c r="AB365" s="46">
        <v>1</v>
      </c>
      <c r="AC365" s="41">
        <f t="shared" si="29"/>
        <v>0</v>
      </c>
      <c r="AD365" s="41"/>
      <c r="AE365" s="41"/>
      <c r="AG365" s="46"/>
      <c r="AH365" s="41"/>
      <c r="AI365" s="41"/>
      <c r="AJ365" s="41"/>
      <c r="AL365" s="46">
        <v>1</v>
      </c>
      <c r="AM365" s="41">
        <f t="shared" si="30"/>
        <v>0</v>
      </c>
      <c r="AN365" s="41"/>
      <c r="AO365" s="41"/>
      <c r="AQ365" s="49">
        <v>1</v>
      </c>
      <c r="AR365" s="41">
        <f t="shared" si="31"/>
        <v>0</v>
      </c>
      <c r="AS365" s="41"/>
      <c r="AT365" s="41"/>
      <c r="AV365" s="51">
        <v>1</v>
      </c>
      <c r="AW365" s="140">
        <f t="shared" si="32"/>
        <v>0</v>
      </c>
      <c r="AX365" s="139"/>
      <c r="AY365" s="140"/>
      <c r="BA365" s="51">
        <v>1</v>
      </c>
      <c r="BB365" s="140">
        <f t="shared" si="33"/>
        <v>0</v>
      </c>
      <c r="BC365" s="139"/>
      <c r="BD365" s="41"/>
      <c r="BF365" s="60">
        <v>1</v>
      </c>
      <c r="BG365" s="140">
        <f t="shared" si="34"/>
        <v>0</v>
      </c>
      <c r="BH365" s="40"/>
      <c r="BI365" s="41"/>
      <c r="BK365" s="142"/>
      <c r="BL365" s="140"/>
      <c r="BM365" s="40"/>
      <c r="BN365" s="41"/>
      <c r="BP365" s="62"/>
      <c r="BQ365" s="41"/>
      <c r="BR365" s="40"/>
      <c r="BS365" s="41"/>
      <c r="BU365" s="62"/>
      <c r="BV365" s="41">
        <f t="shared" si="35"/>
        <v>0</v>
      </c>
      <c r="BW365" s="40"/>
      <c r="BX365" s="41"/>
      <c r="BZ365" s="61">
        <v>1</v>
      </c>
      <c r="CA365" s="41">
        <f t="shared" si="36"/>
        <v>0</v>
      </c>
      <c r="CB365" s="40"/>
      <c r="CC365" s="41"/>
      <c r="CD365" s="140"/>
      <c r="CE365" s="61">
        <v>1</v>
      </c>
      <c r="CF365" s="41">
        <f t="shared" si="37"/>
        <v>0</v>
      </c>
      <c r="CG365" s="40"/>
      <c r="CH365" s="41"/>
      <c r="CJ365" s="141"/>
      <c r="CK365" s="140"/>
      <c r="CL365" s="139"/>
      <c r="CM365" s="140"/>
      <c r="CO365" s="223">
        <v>1</v>
      </c>
      <c r="CP365" s="41">
        <f t="shared" si="38"/>
        <v>0</v>
      </c>
      <c r="CQ365" s="40"/>
      <c r="CR365" s="41"/>
      <c r="CT365" s="62">
        <v>1</v>
      </c>
      <c r="CU365" s="41">
        <f t="shared" si="39"/>
        <v>0</v>
      </c>
      <c r="CV365" s="40"/>
      <c r="CW365" s="41"/>
      <c r="CY365" s="62">
        <v>1</v>
      </c>
      <c r="CZ365" s="41">
        <f t="shared" si="40"/>
        <v>0</v>
      </c>
      <c r="DA365" s="40"/>
      <c r="DB365" s="41"/>
      <c r="DD365" s="46">
        <v>1</v>
      </c>
      <c r="DE365" s="41">
        <f t="shared" si="41"/>
        <v>0</v>
      </c>
      <c r="DF365" s="40"/>
      <c r="DG365" s="41"/>
      <c r="DI365" s="71">
        <v>1</v>
      </c>
      <c r="DJ365" s="41">
        <f t="shared" si="42"/>
        <v>0</v>
      </c>
      <c r="DK365" s="64"/>
      <c r="DL365" s="64"/>
      <c r="DN365" s="71">
        <v>1</v>
      </c>
      <c r="DO365" s="41">
        <f t="shared" si="43"/>
        <v>0</v>
      </c>
      <c r="DP365" s="64"/>
      <c r="DQ365" s="64"/>
      <c r="DS365" s="60">
        <v>1</v>
      </c>
      <c r="DT365" s="41">
        <f t="shared" si="44"/>
        <v>0</v>
      </c>
      <c r="DU365" s="64"/>
      <c r="DV365" s="64"/>
      <c r="DX365" s="60">
        <v>1</v>
      </c>
      <c r="DY365" s="41">
        <f t="shared" si="45"/>
        <v>0</v>
      </c>
      <c r="DZ365" s="64"/>
      <c r="EA365" s="64"/>
      <c r="EC365" s="60">
        <v>1</v>
      </c>
      <c r="ED365" s="41">
        <f t="shared" si="46"/>
        <v>0</v>
      </c>
      <c r="EE365" s="64"/>
      <c r="EF365" s="64"/>
      <c r="EH365" s="60">
        <v>1</v>
      </c>
      <c r="EI365" s="41">
        <f t="shared" si="47"/>
        <v>0</v>
      </c>
      <c r="EJ365" s="64"/>
      <c r="EK365" s="64"/>
      <c r="ER365" s="855"/>
      <c r="EX365" s="203">
        <f t="shared" si="25"/>
        <v>0</v>
      </c>
    </row>
    <row r="366" spans="1:154" s="6" customFormat="1" ht="15" customHeight="1">
      <c r="A366" s="90"/>
      <c r="B366" s="210" t="s">
        <v>404</v>
      </c>
      <c r="C366" s="473" t="s">
        <v>515</v>
      </c>
      <c r="D366" s="138"/>
      <c r="E366" s="62"/>
      <c r="F366" s="41"/>
      <c r="G366" s="41"/>
      <c r="H366" s="41"/>
      <c r="I366" s="4"/>
      <c r="J366" s="4"/>
      <c r="K366" s="4"/>
      <c r="L366" s="4"/>
      <c r="M366" s="4"/>
      <c r="N366" s="661"/>
      <c r="O366" s="4"/>
      <c r="P366" s="4"/>
      <c r="Q366" s="4"/>
      <c r="R366" s="46"/>
      <c r="S366" s="41"/>
      <c r="T366" s="140"/>
      <c r="U366" s="41"/>
      <c r="W366" s="46"/>
      <c r="X366" s="41"/>
      <c r="Y366" s="41"/>
      <c r="Z366" s="41"/>
      <c r="AB366" s="46"/>
      <c r="AC366" s="41"/>
      <c r="AD366" s="41"/>
      <c r="AE366" s="41"/>
      <c r="AG366" s="46"/>
      <c r="AH366" s="41"/>
      <c r="AI366" s="41"/>
      <c r="AJ366" s="41"/>
      <c r="AL366" s="46"/>
      <c r="AM366" s="41"/>
      <c r="AN366" s="41"/>
      <c r="AO366" s="41"/>
      <c r="AQ366" s="49"/>
      <c r="AR366" s="41"/>
      <c r="AS366" s="41"/>
      <c r="AT366" s="41"/>
      <c r="AV366" s="51"/>
      <c r="AW366" s="140"/>
      <c r="AX366" s="139"/>
      <c r="AY366" s="140"/>
      <c r="BA366" s="51"/>
      <c r="BB366" s="140"/>
      <c r="BC366" s="139"/>
      <c r="BD366" s="41"/>
      <c r="BF366" s="60"/>
      <c r="BG366" s="41"/>
      <c r="BH366" s="40"/>
      <c r="BI366" s="41"/>
      <c r="BK366" s="142"/>
      <c r="BL366" s="140"/>
      <c r="BM366" s="40"/>
      <c r="BN366" s="41"/>
      <c r="BP366" s="62"/>
      <c r="BQ366" s="41"/>
      <c r="BR366" s="40"/>
      <c r="BS366" s="41"/>
      <c r="BU366" s="62"/>
      <c r="BV366" s="41"/>
      <c r="BW366" s="40"/>
      <c r="BX366" s="41"/>
      <c r="BZ366" s="61"/>
      <c r="CA366" s="41"/>
      <c r="CB366" s="40"/>
      <c r="CC366" s="41"/>
      <c r="CD366" s="140"/>
      <c r="CE366" s="61"/>
      <c r="CF366" s="41"/>
      <c r="CG366" s="40"/>
      <c r="CH366" s="41"/>
      <c r="CJ366" s="141"/>
      <c r="CK366" s="140"/>
      <c r="CL366" s="139"/>
      <c r="CM366" s="140"/>
      <c r="CO366" s="223"/>
      <c r="CP366" s="41"/>
      <c r="CQ366" s="40"/>
      <c r="CR366" s="41"/>
      <c r="CT366" s="62"/>
      <c r="CU366" s="41"/>
      <c r="CV366" s="40"/>
      <c r="CW366" s="41"/>
      <c r="CY366" s="62"/>
      <c r="CZ366" s="41"/>
      <c r="DA366" s="40"/>
      <c r="DB366" s="41"/>
      <c r="DD366" s="46"/>
      <c r="DE366" s="41"/>
      <c r="DF366" s="40"/>
      <c r="DG366" s="41"/>
      <c r="DI366" s="71"/>
      <c r="DJ366" s="41"/>
      <c r="DK366" s="64"/>
      <c r="DL366" s="64"/>
      <c r="DN366" s="71"/>
      <c r="DO366" s="41"/>
      <c r="DP366" s="64"/>
      <c r="DQ366" s="64"/>
      <c r="DS366" s="60"/>
      <c r="DT366" s="41"/>
      <c r="DU366" s="64"/>
      <c r="DV366" s="64"/>
      <c r="DX366" s="60"/>
      <c r="DY366" s="41"/>
      <c r="DZ366" s="64"/>
      <c r="EA366" s="64"/>
      <c r="EC366" s="60"/>
      <c r="ED366" s="41"/>
      <c r="EE366" s="64"/>
      <c r="EF366" s="64"/>
      <c r="EH366" s="60"/>
      <c r="EI366" s="41"/>
      <c r="EJ366" s="64"/>
      <c r="EK366" s="64"/>
      <c r="ER366" s="855"/>
      <c r="EX366" s="203">
        <f t="shared" si="25"/>
        <v>0</v>
      </c>
    </row>
    <row r="367" spans="1:154" s="6" customFormat="1" ht="15" customHeight="1">
      <c r="A367" s="90"/>
      <c r="B367" s="210" t="s">
        <v>405</v>
      </c>
      <c r="C367" s="473" t="s">
        <v>515</v>
      </c>
      <c r="D367" s="138"/>
      <c r="E367" s="62"/>
      <c r="F367" s="41"/>
      <c r="G367" s="41"/>
      <c r="H367" s="41"/>
      <c r="I367" s="4"/>
      <c r="J367" s="4"/>
      <c r="K367" s="4"/>
      <c r="L367" s="4"/>
      <c r="M367" s="4"/>
      <c r="N367" s="661"/>
      <c r="O367" s="4"/>
      <c r="P367" s="4"/>
      <c r="Q367" s="4"/>
      <c r="R367" s="46"/>
      <c r="S367" s="41"/>
      <c r="T367" s="140"/>
      <c r="U367" s="41"/>
      <c r="W367" s="46"/>
      <c r="X367" s="41"/>
      <c r="Y367" s="41"/>
      <c r="Z367" s="41"/>
      <c r="AB367" s="46"/>
      <c r="AC367" s="41"/>
      <c r="AD367" s="41"/>
      <c r="AE367" s="41"/>
      <c r="AG367" s="46"/>
      <c r="AH367" s="41"/>
      <c r="AI367" s="41"/>
      <c r="AJ367" s="41"/>
      <c r="AL367" s="46"/>
      <c r="AM367" s="41"/>
      <c r="AN367" s="41"/>
      <c r="AO367" s="41"/>
      <c r="AQ367" s="49"/>
      <c r="AR367" s="41"/>
      <c r="AS367" s="41"/>
      <c r="AT367" s="41"/>
      <c r="AV367" s="51"/>
      <c r="AW367" s="140"/>
      <c r="AX367" s="139"/>
      <c r="AY367" s="140"/>
      <c r="BA367" s="51"/>
      <c r="BB367" s="140"/>
      <c r="BC367" s="139"/>
      <c r="BD367" s="41"/>
      <c r="BF367" s="60"/>
      <c r="BG367" s="41"/>
      <c r="BH367" s="40"/>
      <c r="BI367" s="41"/>
      <c r="BK367" s="142"/>
      <c r="BL367" s="140"/>
      <c r="BM367" s="40"/>
      <c r="BN367" s="41"/>
      <c r="BP367" s="62"/>
      <c r="BQ367" s="41"/>
      <c r="BR367" s="40"/>
      <c r="BS367" s="41"/>
      <c r="BU367" s="62"/>
      <c r="BV367" s="41"/>
      <c r="BW367" s="40"/>
      <c r="BX367" s="41"/>
      <c r="BZ367" s="61"/>
      <c r="CA367" s="41"/>
      <c r="CB367" s="40"/>
      <c r="CC367" s="41"/>
      <c r="CD367" s="140"/>
      <c r="CE367" s="61"/>
      <c r="CF367" s="41"/>
      <c r="CG367" s="40"/>
      <c r="CH367" s="41"/>
      <c r="CJ367" s="141"/>
      <c r="CK367" s="140"/>
      <c r="CL367" s="139"/>
      <c r="CM367" s="140"/>
      <c r="CO367" s="223"/>
      <c r="CP367" s="41"/>
      <c r="CQ367" s="40"/>
      <c r="CR367" s="41"/>
      <c r="CT367" s="62"/>
      <c r="CU367" s="41"/>
      <c r="CV367" s="40"/>
      <c r="CW367" s="41"/>
      <c r="CY367" s="62"/>
      <c r="CZ367" s="41"/>
      <c r="DA367" s="40"/>
      <c r="DB367" s="41"/>
      <c r="DD367" s="46"/>
      <c r="DE367" s="41"/>
      <c r="DF367" s="40"/>
      <c r="DG367" s="41"/>
      <c r="DI367" s="71"/>
      <c r="DJ367" s="41"/>
      <c r="DK367" s="64"/>
      <c r="DL367" s="64"/>
      <c r="DN367" s="71"/>
      <c r="DO367" s="41"/>
      <c r="DP367" s="64"/>
      <c r="DQ367" s="64"/>
      <c r="DS367" s="60"/>
      <c r="DT367" s="41"/>
      <c r="DU367" s="64"/>
      <c r="DV367" s="64"/>
      <c r="DX367" s="60"/>
      <c r="DY367" s="41"/>
      <c r="DZ367" s="64"/>
      <c r="EA367" s="64"/>
      <c r="EC367" s="60"/>
      <c r="ED367" s="41"/>
      <c r="EE367" s="64"/>
      <c r="EF367" s="64"/>
      <c r="EH367" s="60"/>
      <c r="EI367" s="41"/>
      <c r="EJ367" s="64"/>
      <c r="EK367" s="64"/>
      <c r="ER367" s="855"/>
      <c r="EX367" s="203">
        <f t="shared" si="25"/>
        <v>0</v>
      </c>
    </row>
    <row r="368" spans="1:154" s="6" customFormat="1" ht="15" customHeight="1">
      <c r="A368" s="90"/>
      <c r="B368" s="210" t="s">
        <v>406</v>
      </c>
      <c r="C368" s="473" t="s">
        <v>515</v>
      </c>
      <c r="D368" s="138"/>
      <c r="E368" s="62"/>
      <c r="F368" s="41"/>
      <c r="G368" s="41"/>
      <c r="H368" s="41"/>
      <c r="I368" s="4"/>
      <c r="J368" s="4"/>
      <c r="K368" s="4"/>
      <c r="L368" s="4"/>
      <c r="M368" s="4"/>
      <c r="N368" s="661"/>
      <c r="O368" s="4"/>
      <c r="P368" s="4"/>
      <c r="Q368" s="4"/>
      <c r="R368" s="46"/>
      <c r="S368" s="41"/>
      <c r="T368" s="140"/>
      <c r="U368" s="41"/>
      <c r="W368" s="46"/>
      <c r="X368" s="41"/>
      <c r="Y368" s="41"/>
      <c r="Z368" s="41"/>
      <c r="AB368" s="46"/>
      <c r="AC368" s="41"/>
      <c r="AD368" s="41"/>
      <c r="AE368" s="41"/>
      <c r="AG368" s="46"/>
      <c r="AH368" s="41"/>
      <c r="AI368" s="41"/>
      <c r="AJ368" s="41"/>
      <c r="AL368" s="46"/>
      <c r="AM368" s="41"/>
      <c r="AN368" s="41"/>
      <c r="AO368" s="41"/>
      <c r="AQ368" s="49"/>
      <c r="AR368" s="41"/>
      <c r="AS368" s="41"/>
      <c r="AT368" s="41"/>
      <c r="AV368" s="51"/>
      <c r="AW368" s="140"/>
      <c r="AX368" s="139"/>
      <c r="AY368" s="140"/>
      <c r="BA368" s="51"/>
      <c r="BB368" s="140"/>
      <c r="BC368" s="139"/>
      <c r="BD368" s="41"/>
      <c r="BF368" s="60"/>
      <c r="BG368" s="41"/>
      <c r="BH368" s="40"/>
      <c r="BI368" s="41"/>
      <c r="BK368" s="142"/>
      <c r="BL368" s="140"/>
      <c r="BM368" s="40"/>
      <c r="BN368" s="41"/>
      <c r="BP368" s="62"/>
      <c r="BQ368" s="41"/>
      <c r="BR368" s="40"/>
      <c r="BS368" s="41"/>
      <c r="BU368" s="62"/>
      <c r="BV368" s="41"/>
      <c r="BW368" s="40"/>
      <c r="BX368" s="41"/>
      <c r="BZ368" s="61"/>
      <c r="CA368" s="41"/>
      <c r="CB368" s="40"/>
      <c r="CC368" s="41"/>
      <c r="CD368" s="140"/>
      <c r="CE368" s="61"/>
      <c r="CF368" s="41"/>
      <c r="CG368" s="40"/>
      <c r="CH368" s="41"/>
      <c r="CJ368" s="141"/>
      <c r="CK368" s="140"/>
      <c r="CL368" s="139"/>
      <c r="CM368" s="140"/>
      <c r="CO368" s="223"/>
      <c r="CP368" s="41"/>
      <c r="CQ368" s="40"/>
      <c r="CR368" s="41"/>
      <c r="CT368" s="62"/>
      <c r="CU368" s="41"/>
      <c r="CV368" s="40"/>
      <c r="CW368" s="41"/>
      <c r="CY368" s="62"/>
      <c r="CZ368" s="41"/>
      <c r="DA368" s="40"/>
      <c r="DB368" s="41"/>
      <c r="DD368" s="46"/>
      <c r="DE368" s="41"/>
      <c r="DF368" s="40"/>
      <c r="DG368" s="41"/>
      <c r="DI368" s="71"/>
      <c r="DJ368" s="41"/>
      <c r="DK368" s="64"/>
      <c r="DL368" s="64"/>
      <c r="DN368" s="71"/>
      <c r="DO368" s="41"/>
      <c r="DP368" s="64"/>
      <c r="DQ368" s="64"/>
      <c r="DS368" s="60"/>
      <c r="DT368" s="41"/>
      <c r="DU368" s="64"/>
      <c r="DV368" s="64"/>
      <c r="DX368" s="60"/>
      <c r="DY368" s="41"/>
      <c r="DZ368" s="64"/>
      <c r="EA368" s="64"/>
      <c r="EC368" s="60"/>
      <c r="ED368" s="41"/>
      <c r="EE368" s="64"/>
      <c r="EF368" s="64"/>
      <c r="EH368" s="60"/>
      <c r="EI368" s="41"/>
      <c r="EJ368" s="64"/>
      <c r="EK368" s="64"/>
      <c r="ER368" s="855"/>
      <c r="EX368" s="203">
        <f t="shared" si="25"/>
        <v>0</v>
      </c>
    </row>
    <row r="369" spans="1:155" s="6" customFormat="1" ht="15" customHeight="1">
      <c r="A369" s="90" t="s">
        <v>33</v>
      </c>
      <c r="B369" s="210" t="s">
        <v>33</v>
      </c>
      <c r="C369" s="473" t="s">
        <v>515</v>
      </c>
      <c r="D369" s="138"/>
      <c r="E369" s="40"/>
      <c r="F369" s="40"/>
      <c r="G369" s="40"/>
      <c r="H369" s="40"/>
      <c r="I369" s="4"/>
      <c r="J369" s="4"/>
      <c r="K369" s="4"/>
      <c r="L369" s="4"/>
      <c r="M369" s="4"/>
      <c r="N369" s="661"/>
      <c r="O369" s="4"/>
      <c r="P369" s="4"/>
      <c r="Q369" s="4"/>
      <c r="R369" s="40"/>
      <c r="S369" s="41"/>
      <c r="T369" s="140"/>
      <c r="U369" s="41"/>
      <c r="W369" s="40"/>
      <c r="X369" s="41"/>
      <c r="Y369" s="41"/>
      <c r="Z369" s="41"/>
      <c r="AB369" s="40"/>
      <c r="AC369" s="41"/>
      <c r="AD369" s="41"/>
      <c r="AE369" s="41"/>
      <c r="AG369" s="40"/>
      <c r="AH369" s="41"/>
      <c r="AI369" s="41"/>
      <c r="AJ369" s="41"/>
      <c r="AL369" s="40"/>
      <c r="AM369" s="41"/>
      <c r="AN369" s="41"/>
      <c r="AO369" s="41"/>
      <c r="AQ369" s="40"/>
      <c r="AR369" s="41"/>
      <c r="AS369" s="41"/>
      <c r="AT369" s="41"/>
      <c r="AV369" s="139"/>
      <c r="AW369" s="139"/>
      <c r="AX369" s="139"/>
      <c r="AY369" s="140"/>
      <c r="BA369" s="139"/>
      <c r="BB369" s="139"/>
      <c r="BC369" s="139"/>
      <c r="BD369" s="41"/>
      <c r="BF369" s="40"/>
      <c r="BG369" s="40"/>
      <c r="BH369" s="40"/>
      <c r="BI369" s="41"/>
      <c r="BK369" s="139"/>
      <c r="BL369" s="139"/>
      <c r="BM369" s="40"/>
      <c r="BN369" s="41"/>
      <c r="BP369" s="40"/>
      <c r="BQ369" s="40"/>
      <c r="BR369" s="40"/>
      <c r="BS369" s="41"/>
      <c r="BU369" s="40"/>
      <c r="BV369" s="40"/>
      <c r="BW369" s="40"/>
      <c r="BX369" s="41"/>
      <c r="BZ369" s="40"/>
      <c r="CA369" s="40"/>
      <c r="CB369" s="40"/>
      <c r="CC369" s="41"/>
      <c r="CD369" s="140"/>
      <c r="CE369" s="40"/>
      <c r="CF369" s="40"/>
      <c r="CG369" s="40"/>
      <c r="CH369" s="41"/>
      <c r="CJ369" s="139"/>
      <c r="CK369" s="139"/>
      <c r="CL369" s="139"/>
      <c r="CM369" s="140"/>
      <c r="CO369" s="222"/>
      <c r="CP369" s="40"/>
      <c r="CQ369" s="40"/>
      <c r="CR369" s="41"/>
      <c r="CT369" s="40"/>
      <c r="CU369" s="40"/>
      <c r="CV369" s="40"/>
      <c r="CW369" s="41"/>
      <c r="CY369" s="40"/>
      <c r="CZ369" s="40"/>
      <c r="DA369" s="40"/>
      <c r="DB369" s="41"/>
      <c r="DD369" s="40"/>
      <c r="DE369" s="40"/>
      <c r="DF369" s="40"/>
      <c r="DG369" s="41"/>
      <c r="DI369" s="71">
        <v>6</v>
      </c>
      <c r="DJ369" s="41">
        <f>DJ5*DI369+DJ6*DI369+DJ7*DI369+DJ8*DI369+DJ9*DI369+DJ10*DI369+DJ11*DI369+DJ12*DI369+DJ13*DI369+DJ14*DI369+DJ15*DI369+DJ16*DI369+DJ17*DI369+DJ18*DI369+DJ19*DI369+DJ20*DI369+DJ21*DI369+DJ22*DI369+DJ23*DI369+DJ24*DI369+DK25*DI369+DK26*DI369+DK5*DI369+DK6*DI369+DK7*DI369+DK8*DI369+DK9*DI369+DK10*DI369+DK11*DI369+DK12*DI369+DK13*DI369+DK14*DI369+DK15*DI369+DK16*DI369+DK17*DI369+DK18*DI369+DK19*DI369+DK20*DI369+DK21*DI369+DK22*DI369+DK23*DI369+DK24*DI369+DJ25*DI369+DJ26*DI369+DL5*DI369+DL6*DI369+DL7*DI369+DL8*DI369+DL9*DI369+DL10*DI369+DL11*DI369+DL12*DI369+DL13*DI369+DL14*DI369+DL15*DI369+DL16*DI369+DL17*DI369+DL18*DI369+DL19*DI369+DL20*DI369+DL21*DI369+DL22*DI369+DL23*DI369+DL24*DI369+DL25*DI369+DL26*DI369</f>
        <v>0</v>
      </c>
      <c r="DK369" s="64"/>
      <c r="DL369" s="64"/>
      <c r="DN369" s="71">
        <v>6</v>
      </c>
      <c r="DO369" s="41">
        <f>DO5*DN369+DO6*DN369+DO7*DN369+DO8*DN369+DO9*DN369+DO10*DN369+DO11*DN369+DO12*DN369+DO13*DN369+DO14*DN369+DO15*DN369+DO16*DN369+DO17*DN369+DO18*DN369+DO19*DN369+DO20*DN369+DO21*DN369+DO22*DN369+DO23*DN369+DO24*DN369+DP25*DN369+DP26*DN369+DP5*DN369+DP6*DN369+DP7*DN369+DP8*DN369+DP9*DN369+DP10*DN369+DP11*DN369+DP12*DN369+DP13*DN369+DP14*DN369+DP15*DN369+DP16*DN369+DP17*DN369+DP18*DN369+DP19*DN369+DP20*DN369+DP21*DN369+DP22*DN369+DP23*DN369+DP24*DN369+DO25*DN369+DO26*DN369+DQ5*DN369+DQ6*DN369+DQ7*DN369+DQ8*DN369+DQ9*DN369+DQ10*DN369+DQ11*DN369+DQ12*DN369+DQ13*DN369+DQ14*DN369+DQ15*DN369+DQ16*DN369+DQ17*DN369+DQ18*DN369+DQ19*DN369+DQ20*DN369+DQ21*DN369+DQ22*DN369+DQ23*DN369+DQ24*DN369+DQ25*DN369+DQ26*DN369</f>
        <v>0</v>
      </c>
      <c r="DP369" s="64"/>
      <c r="DQ369" s="64"/>
      <c r="DS369" s="60">
        <v>6</v>
      </c>
      <c r="DT369" s="41">
        <f>DT5*DS369+DT6*DS369+DT7*DS369+DT8*DS369+DT9*DS369+DT10*DS369+DT11*DS369+DT12*DS369+DT13*DS369+DT14*DS369+DT15*DS369+DT16*DS369+DT17*DS369+DT18*DS369+DT19*DS369+DT20*DS369+DT21*DS369+DT22*DS369+DT23*DS369+DT24*DS369+DU25*DS369+DU26*DS369+DU5*DS369+DU6*DS369+DU7*DS369+DU8*DS369+DU9*DS369+DU10*DS369+DU11*DS369+DU12*DS369+DU13*DS369+DU14*DS369+DU15*DS369+DU16*DS369+DU17*DS369+DU18*DS369+DU19*DS369+DU20*DS369+DU21*DS369+DU22*DS369+DU23*DS369+DU24*DS369+DT25*DS369+DT26*DS369+DV5*DS369+DV6*DS369+DV7*DS369+DV8*DS369+DV9*DS369+DV10*DS369+DV11*DS369+DV12*DS369+DV13*DS369+DV14*DS369+DV15*DS369+DV16*DS369+DV17*DS369+DV18*DS369+DV19*DS369+DV20*DS369+DV21*DS369+DV22*DS369+DV23*DS369+DV24*DS369+DV25*DS369+DV26*DS369</f>
        <v>0</v>
      </c>
      <c r="DU369" s="64"/>
      <c r="DV369" s="64"/>
      <c r="DX369" s="60">
        <v>6</v>
      </c>
      <c r="DY369" s="41">
        <f>DY5*DX369+DY6*DX369+DY7*DX369+DY8*DX369+DY9*DX369+DY10*DX369+DY11*DX369+DY12*DX369+DY13*DX369+DY14*DX369+DY15*DX369+DY16*DX369+DY17*DX369+DY18*DX369+DY19*DX369+DY20*DX369+DY21*DX369+DY22*DX369+DY23*DX369+DY24*DX369+DZ25*DX369+DZ26*DX369+DZ5*DX369+DZ6*DX369+DZ7*DX369+DZ8*DX369+DZ9*DX369+DZ10*DX369+DZ11*DX369+DZ12*DX369+DZ13*DX369+DZ14*DX369+DZ15*DX369+DZ16*DX369+DZ17*DX369+DZ18*DX369+DZ19*DX369+DZ20*DX369+DZ21*DX369+DZ22*DX369+DZ23*DX369+DZ24*DX369+DY25*DX369+DY26*DX369+EA5*DX369+EA6*DX369+EA7*DX369+EA8*DX369+EA9*DX369+EA10*DX369+EA11*DX369+EA12*DX369+EA13*DX369+EA14*DX369+EA15*DX369+EA16*DX369+EA17*DX369+EA18*DX369+EA19*DX369+EA20*DX369+EA21*DX369+EA22*DX369+EA23*DX369+EA24*DX369+EA25*DX369+EA26*DX369</f>
        <v>0</v>
      </c>
      <c r="DZ369" s="64"/>
      <c r="EA369" s="64"/>
      <c r="EC369" s="60">
        <v>6</v>
      </c>
      <c r="ED369" s="41">
        <f>ED5*EC369+ED6*EC369+ED7*EC369+ED8*EC369+ED9*EC369+ED10*EC369+ED11*EC369+ED12*EC369+ED13*EC369+ED14*EC369+ED15*EC369+ED16*EC369+ED17*EC369+ED18*EC369+ED19*EC369+ED20*EC369+ED21*EC369+ED22*EC369+ED23*EC369+ED24*EC369+EE25*EC369+EE26*EC369+EE5*EC369+EE6*EC369+EE7*EC369+EE8*EC369+EE9*EC369+EE10*EC369+EE11*EC369+EE12*EC369+EE13*EC369+EE14*EC369+EE15*EC369+EE16*EC369+EE17*EC369+EE18*EC369+EE19*EC369+EE20*EC369+EE21*EC369+EE22*EC369+EE23*EC369+EE24*EC369+ED25*EC369+ED26*EC369+EF5*EC369+EF6*EC369+EF7*EC369+EF8*EC369+EF9*EC369+EF10*EC369+EF11*EC369+EF12*EC369+EF13*EC369+EF14*EC369+EF15*EC369+EF16*EC369+EF17*EC369+EF18*EC369+EF19*EC369+EF20*EC369+EF21*EC369+EF22*EC369+EF23*EC369+EF24*EC369+EF25*EC369+EF26*EC369</f>
        <v>0</v>
      </c>
      <c r="EE369" s="64"/>
      <c r="EF369" s="64"/>
      <c r="EH369" s="60">
        <v>6</v>
      </c>
      <c r="EI369" s="41">
        <f>EI5*EH369+EI6*EH369+EI7*EH369+EI8*EH369+EI9*EH369+EI10*EH369+EI11*EH369+EI12*EH369+EI13*EH369+EI14*EH369+EI15*EH369+EI16*EH369+EI17*EH369+EI18*EH369+EI19*EH369+EI20*EH369+EI21*EH369+EI22*EH369+EI23*EH369+EI24*EH369+EJ25*EH369+EJ26*EH369+EJ5*EH369+EJ6*EH369+EJ7*EH369+EJ8*EH369+EJ9*EH369+EJ10*EH369+EJ11*EH369+EJ12*EH369+EJ13*EH369+EJ14*EH369+EJ15*EH369+EJ16*EH369+EJ17*EH369+EJ18*EH369+EJ19*EH369+EJ20*EH369+EJ21*EH369+EJ22*EH369+EJ23*EH369+EJ24*EH369+EI25*EH369+EI26*EH369+EK5*EH369+EK6*EH369+EK7*EH369+EK8*EH369+EK9*EH369+EK10*EH369+EK11*EH369+EK12*EH369+EK13*EH369+EK14*EH369+EK15*EH369+EK16*EH369+EK17*EH369+EK18*EH369+EK19*EH369+EK20*EH369+EK21*EH369+EK22*EH369+EK23*EH369+EK24*EH369+EK25*EH369+EK26*EH369</f>
        <v>0</v>
      </c>
      <c r="EJ369" s="64"/>
      <c r="EK369" s="64"/>
      <c r="ER369" s="855"/>
      <c r="EX369" s="203">
        <f t="shared" si="25"/>
        <v>0</v>
      </c>
    </row>
    <row r="370" spans="1:155" s="6" customFormat="1" ht="15" customHeight="1">
      <c r="A370" s="90"/>
      <c r="B370" s="210" t="s">
        <v>1512</v>
      </c>
      <c r="C370" s="473" t="s">
        <v>0</v>
      </c>
      <c r="D370" s="138"/>
      <c r="E370" s="40"/>
      <c r="F370" s="40"/>
      <c r="G370" s="40"/>
      <c r="H370" s="40"/>
      <c r="I370" s="4"/>
      <c r="J370" s="4"/>
      <c r="K370" s="4"/>
      <c r="L370" s="4"/>
      <c r="M370" s="4"/>
      <c r="N370" s="661"/>
      <c r="O370" s="4"/>
      <c r="P370" s="4"/>
      <c r="Q370" s="4"/>
      <c r="R370" s="40"/>
      <c r="S370" s="41"/>
      <c r="T370" s="140"/>
      <c r="U370" s="41"/>
      <c r="W370" s="40"/>
      <c r="X370" s="41"/>
      <c r="Y370" s="41"/>
      <c r="Z370" s="41"/>
      <c r="AB370" s="40"/>
      <c r="AC370" s="41"/>
      <c r="AD370" s="41"/>
      <c r="AE370" s="41"/>
      <c r="AG370" s="40"/>
      <c r="AH370" s="41"/>
      <c r="AI370" s="41"/>
      <c r="AJ370" s="41"/>
      <c r="AL370" s="40"/>
      <c r="AM370" s="41"/>
      <c r="AN370" s="41"/>
      <c r="AO370" s="41"/>
      <c r="AQ370" s="40"/>
      <c r="AR370" s="41"/>
      <c r="AS370" s="41"/>
      <c r="AT370" s="41"/>
      <c r="AV370" s="139"/>
      <c r="AW370" s="139"/>
      <c r="AX370" s="139"/>
      <c r="AY370" s="140"/>
      <c r="BA370" s="139"/>
      <c r="BB370" s="139"/>
      <c r="BC370" s="139"/>
      <c r="BD370" s="41"/>
      <c r="BF370" s="40"/>
      <c r="BG370" s="40"/>
      <c r="BH370" s="40"/>
      <c r="BI370" s="41"/>
      <c r="BK370" s="139"/>
      <c r="BL370" s="139"/>
      <c r="BM370" s="40"/>
      <c r="BN370" s="41"/>
      <c r="BP370" s="40"/>
      <c r="BQ370" s="40"/>
      <c r="BR370" s="40"/>
      <c r="BS370" s="41"/>
      <c r="BU370" s="40"/>
      <c r="BV370" s="40"/>
      <c r="BW370" s="40"/>
      <c r="BX370" s="41"/>
      <c r="BZ370" s="40"/>
      <c r="CA370" s="40"/>
      <c r="CB370" s="40"/>
      <c r="CC370" s="41"/>
      <c r="CD370" s="140"/>
      <c r="CE370" s="40"/>
      <c r="CF370" s="40"/>
      <c r="CG370" s="40"/>
      <c r="CH370" s="41"/>
      <c r="CJ370" s="139"/>
      <c r="CK370" s="139"/>
      <c r="CL370" s="139"/>
      <c r="CM370" s="140"/>
      <c r="CO370" s="222"/>
      <c r="CP370" s="40"/>
      <c r="CQ370" s="40"/>
      <c r="CR370" s="41"/>
      <c r="CT370" s="40"/>
      <c r="CU370" s="40"/>
      <c r="CV370" s="40"/>
      <c r="CW370" s="41"/>
      <c r="CY370" s="40"/>
      <c r="CZ370" s="40"/>
      <c r="DA370" s="40"/>
      <c r="DB370" s="41"/>
      <c r="DD370" s="40"/>
      <c r="DE370" s="40"/>
      <c r="DF370" s="40"/>
      <c r="DG370" s="41"/>
      <c r="DI370" s="71"/>
      <c r="DJ370" s="41"/>
      <c r="DK370" s="64"/>
      <c r="DL370" s="64"/>
      <c r="DN370" s="71"/>
      <c r="DO370" s="41"/>
      <c r="DP370" s="64"/>
      <c r="DQ370" s="64"/>
      <c r="DS370" s="60"/>
      <c r="DT370" s="41"/>
      <c r="DU370" s="64"/>
      <c r="DV370" s="64"/>
      <c r="DX370" s="60"/>
      <c r="DY370" s="41"/>
      <c r="DZ370" s="64"/>
      <c r="EA370" s="64"/>
      <c r="EC370" s="60"/>
      <c r="ED370" s="41"/>
      <c r="EE370" s="64"/>
      <c r="EF370" s="64"/>
      <c r="EH370" s="60"/>
      <c r="EI370" s="41"/>
      <c r="EJ370" s="64"/>
      <c r="EK370" s="64"/>
      <c r="ER370" s="855"/>
      <c r="EX370" s="203">
        <f t="shared" si="25"/>
        <v>0</v>
      </c>
    </row>
    <row r="371" spans="1:155" s="6" customFormat="1" ht="15" customHeight="1">
      <c r="A371" s="90"/>
      <c r="B371" s="210" t="s">
        <v>1513</v>
      </c>
      <c r="C371" s="473" t="s">
        <v>0</v>
      </c>
      <c r="D371" s="138"/>
      <c r="E371" s="40"/>
      <c r="F371" s="40"/>
      <c r="G371" s="40"/>
      <c r="H371" s="40"/>
      <c r="I371" s="4"/>
      <c r="J371" s="4"/>
      <c r="K371" s="4"/>
      <c r="L371" s="4"/>
      <c r="M371" s="4"/>
      <c r="N371" s="661"/>
      <c r="O371" s="4"/>
      <c r="P371" s="4"/>
      <c r="Q371" s="4"/>
      <c r="R371" s="40"/>
      <c r="S371" s="41"/>
      <c r="T371" s="140"/>
      <c r="U371" s="41"/>
      <c r="W371" s="40"/>
      <c r="X371" s="41"/>
      <c r="Y371" s="41"/>
      <c r="Z371" s="41"/>
      <c r="AB371" s="40"/>
      <c r="AC371" s="41"/>
      <c r="AD371" s="41"/>
      <c r="AE371" s="41"/>
      <c r="AG371" s="40"/>
      <c r="AH371" s="41"/>
      <c r="AI371" s="41"/>
      <c r="AJ371" s="41"/>
      <c r="AL371" s="40"/>
      <c r="AM371" s="41"/>
      <c r="AN371" s="41"/>
      <c r="AO371" s="41"/>
      <c r="AQ371" s="40"/>
      <c r="AR371" s="41"/>
      <c r="AS371" s="41"/>
      <c r="AT371" s="41"/>
      <c r="AV371" s="139"/>
      <c r="AW371" s="139"/>
      <c r="AX371" s="139"/>
      <c r="AY371" s="140"/>
      <c r="BA371" s="139"/>
      <c r="BB371" s="139"/>
      <c r="BC371" s="139"/>
      <c r="BD371" s="41"/>
      <c r="BF371" s="40"/>
      <c r="BG371" s="40"/>
      <c r="BH371" s="40"/>
      <c r="BI371" s="41"/>
      <c r="BK371" s="139"/>
      <c r="BL371" s="139"/>
      <c r="BM371" s="40"/>
      <c r="BN371" s="41"/>
      <c r="BP371" s="40"/>
      <c r="BQ371" s="40"/>
      <c r="BR371" s="40"/>
      <c r="BS371" s="41"/>
      <c r="BU371" s="40"/>
      <c r="BV371" s="40"/>
      <c r="BW371" s="40"/>
      <c r="BX371" s="41"/>
      <c r="BZ371" s="40"/>
      <c r="CA371" s="40"/>
      <c r="CB371" s="40"/>
      <c r="CC371" s="41"/>
      <c r="CD371" s="140"/>
      <c r="CE371" s="40"/>
      <c r="CF371" s="40"/>
      <c r="CG371" s="40"/>
      <c r="CH371" s="41"/>
      <c r="CJ371" s="139"/>
      <c r="CK371" s="139"/>
      <c r="CL371" s="139"/>
      <c r="CM371" s="140"/>
      <c r="CO371" s="222"/>
      <c r="CP371" s="40"/>
      <c r="CQ371" s="40"/>
      <c r="CR371" s="41"/>
      <c r="CT371" s="40"/>
      <c r="CU371" s="40"/>
      <c r="CV371" s="40"/>
      <c r="CW371" s="41"/>
      <c r="CY371" s="40"/>
      <c r="CZ371" s="40"/>
      <c r="DA371" s="40"/>
      <c r="DB371" s="41"/>
      <c r="DD371" s="40"/>
      <c r="DE371" s="40"/>
      <c r="DF371" s="40"/>
      <c r="DG371" s="41"/>
      <c r="DI371" s="71"/>
      <c r="DJ371" s="41"/>
      <c r="DK371" s="64"/>
      <c r="DL371" s="64"/>
      <c r="DN371" s="71"/>
      <c r="DO371" s="41"/>
      <c r="DP371" s="64"/>
      <c r="DQ371" s="64"/>
      <c r="DS371" s="60"/>
      <c r="DT371" s="41"/>
      <c r="DU371" s="64"/>
      <c r="DV371" s="64"/>
      <c r="DX371" s="60"/>
      <c r="DY371" s="41"/>
      <c r="DZ371" s="64"/>
      <c r="EA371" s="64"/>
      <c r="EC371" s="60"/>
      <c r="ED371" s="41"/>
      <c r="EE371" s="64"/>
      <c r="EF371" s="64"/>
      <c r="EH371" s="60"/>
      <c r="EI371" s="41"/>
      <c r="EJ371" s="64"/>
      <c r="EK371" s="64"/>
      <c r="ER371" s="855"/>
      <c r="EX371" s="203">
        <f t="shared" si="25"/>
        <v>0</v>
      </c>
    </row>
    <row r="372" spans="1:155" s="6" customFormat="1" ht="15" customHeight="1">
      <c r="A372" s="90"/>
      <c r="B372" s="210" t="s">
        <v>1514</v>
      </c>
      <c r="C372" s="473" t="s">
        <v>0</v>
      </c>
      <c r="D372" s="138"/>
      <c r="E372" s="40"/>
      <c r="F372" s="40"/>
      <c r="G372" s="40"/>
      <c r="H372" s="40"/>
      <c r="I372" s="4"/>
      <c r="J372" s="4"/>
      <c r="K372" s="4"/>
      <c r="L372" s="4"/>
      <c r="M372" s="4"/>
      <c r="N372" s="661"/>
      <c r="O372" s="4"/>
      <c r="P372" s="4"/>
      <c r="Q372" s="4"/>
      <c r="R372" s="40"/>
      <c r="S372" s="41"/>
      <c r="T372" s="140"/>
      <c r="U372" s="41"/>
      <c r="W372" s="40"/>
      <c r="X372" s="41"/>
      <c r="Y372" s="41"/>
      <c r="Z372" s="41"/>
      <c r="AB372" s="40"/>
      <c r="AC372" s="41"/>
      <c r="AD372" s="41"/>
      <c r="AE372" s="41"/>
      <c r="AG372" s="40"/>
      <c r="AH372" s="41"/>
      <c r="AI372" s="41"/>
      <c r="AJ372" s="41"/>
      <c r="AL372" s="40"/>
      <c r="AM372" s="41"/>
      <c r="AN372" s="41"/>
      <c r="AO372" s="41"/>
      <c r="AQ372" s="40"/>
      <c r="AR372" s="41"/>
      <c r="AS372" s="41"/>
      <c r="AT372" s="41"/>
      <c r="AV372" s="139"/>
      <c r="AW372" s="139"/>
      <c r="AX372" s="139"/>
      <c r="AY372" s="140"/>
      <c r="BA372" s="139"/>
      <c r="BB372" s="139"/>
      <c r="BC372" s="139"/>
      <c r="BD372" s="41"/>
      <c r="BF372" s="40"/>
      <c r="BG372" s="40"/>
      <c r="BH372" s="40"/>
      <c r="BI372" s="41"/>
      <c r="BK372" s="139"/>
      <c r="BL372" s="139"/>
      <c r="BM372" s="40"/>
      <c r="BN372" s="41"/>
      <c r="BP372" s="40"/>
      <c r="BQ372" s="40"/>
      <c r="BR372" s="40"/>
      <c r="BS372" s="41"/>
      <c r="BU372" s="40"/>
      <c r="BV372" s="40"/>
      <c r="BW372" s="40"/>
      <c r="BX372" s="41"/>
      <c r="BZ372" s="40"/>
      <c r="CA372" s="40"/>
      <c r="CB372" s="40"/>
      <c r="CC372" s="41"/>
      <c r="CD372" s="140"/>
      <c r="CE372" s="40"/>
      <c r="CF372" s="40"/>
      <c r="CG372" s="40"/>
      <c r="CH372" s="41"/>
      <c r="CJ372" s="139"/>
      <c r="CK372" s="139"/>
      <c r="CL372" s="139"/>
      <c r="CM372" s="140"/>
      <c r="CO372" s="222"/>
      <c r="CP372" s="40"/>
      <c r="CQ372" s="40"/>
      <c r="CR372" s="41"/>
      <c r="CT372" s="40"/>
      <c r="CU372" s="40"/>
      <c r="CV372" s="40"/>
      <c r="CW372" s="41"/>
      <c r="CY372" s="40"/>
      <c r="CZ372" s="40"/>
      <c r="DA372" s="40"/>
      <c r="DB372" s="41"/>
      <c r="DD372" s="40"/>
      <c r="DE372" s="40"/>
      <c r="DF372" s="40"/>
      <c r="DG372" s="41"/>
      <c r="DI372" s="71"/>
      <c r="DJ372" s="41"/>
      <c r="DK372" s="64"/>
      <c r="DL372" s="64"/>
      <c r="DN372" s="71"/>
      <c r="DO372" s="41"/>
      <c r="DP372" s="64"/>
      <c r="DQ372" s="64"/>
      <c r="DS372" s="60"/>
      <c r="DT372" s="41"/>
      <c r="DU372" s="64"/>
      <c r="DV372" s="64"/>
      <c r="DX372" s="60"/>
      <c r="DY372" s="41"/>
      <c r="DZ372" s="64"/>
      <c r="EA372" s="64"/>
      <c r="EC372" s="60"/>
      <c r="ED372" s="41"/>
      <c r="EE372" s="64"/>
      <c r="EF372" s="64"/>
      <c r="EH372" s="60"/>
      <c r="EI372" s="41"/>
      <c r="EJ372" s="64"/>
      <c r="EK372" s="64"/>
      <c r="ER372" s="855"/>
      <c r="EX372" s="203">
        <f t="shared" si="25"/>
        <v>0</v>
      </c>
    </row>
    <row r="373" spans="1:155" s="6" customFormat="1" ht="15" customHeight="1">
      <c r="A373" s="150" t="s">
        <v>225</v>
      </c>
      <c r="B373" s="210" t="s">
        <v>225</v>
      </c>
      <c r="C373" s="473" t="s">
        <v>515</v>
      </c>
      <c r="D373" s="138"/>
      <c r="E373" s="62"/>
      <c r="F373" s="41"/>
      <c r="G373" s="41"/>
      <c r="H373" s="41"/>
      <c r="I373" s="4"/>
      <c r="J373" s="4">
        <v>2</v>
      </c>
      <c r="K373" s="661">
        <f>SUM(K5:K26)*J373</f>
        <v>0</v>
      </c>
      <c r="L373" s="4"/>
      <c r="M373" s="4">
        <v>6</v>
      </c>
      <c r="N373" s="661">
        <f>SUM(N5:N26,O5:O26,P5:P26)*M373</f>
        <v>0</v>
      </c>
      <c r="O373" s="4"/>
      <c r="P373" s="4"/>
      <c r="Q373" s="4"/>
      <c r="R373" s="40"/>
      <c r="S373" s="41"/>
      <c r="T373" s="140"/>
      <c r="U373" s="41"/>
      <c r="W373" s="40"/>
      <c r="X373" s="41"/>
      <c r="Y373" s="41"/>
      <c r="Z373" s="41"/>
      <c r="AB373" s="40"/>
      <c r="AC373" s="41"/>
      <c r="AD373" s="41"/>
      <c r="AE373" s="41"/>
      <c r="AG373" s="49"/>
      <c r="AH373" s="41"/>
      <c r="AI373" s="41"/>
      <c r="AJ373" s="41"/>
      <c r="AL373" s="49"/>
      <c r="AM373" s="41"/>
      <c r="AN373" s="41"/>
      <c r="AO373" s="41"/>
      <c r="AQ373" s="49"/>
      <c r="AR373" s="41"/>
      <c r="AS373" s="41"/>
      <c r="AT373" s="41"/>
      <c r="AV373" s="139"/>
      <c r="AW373" s="139"/>
      <c r="AX373" s="139"/>
      <c r="AY373" s="140"/>
      <c r="BA373" s="139"/>
      <c r="BB373" s="139"/>
      <c r="BC373" s="139"/>
      <c r="BD373" s="41"/>
      <c r="BF373" s="60"/>
      <c r="BG373" s="41"/>
      <c r="BH373" s="40"/>
      <c r="BI373" s="41"/>
      <c r="BK373" s="142"/>
      <c r="BL373" s="140"/>
      <c r="BM373" s="40"/>
      <c r="BN373" s="41"/>
      <c r="BP373" s="62"/>
      <c r="BQ373" s="41"/>
      <c r="BR373" s="40"/>
      <c r="BS373" s="41"/>
      <c r="BU373" s="62"/>
      <c r="BV373" s="41"/>
      <c r="BW373" s="40"/>
      <c r="BX373" s="41"/>
      <c r="BZ373" s="61"/>
      <c r="CA373" s="41"/>
      <c r="CB373" s="40"/>
      <c r="CC373" s="41"/>
      <c r="CD373" s="140"/>
      <c r="CE373" s="61"/>
      <c r="CF373" s="41"/>
      <c r="CG373" s="40"/>
      <c r="CH373" s="41"/>
      <c r="CJ373" s="141"/>
      <c r="CK373" s="140"/>
      <c r="CL373" s="139"/>
      <c r="CM373" s="140"/>
      <c r="CO373" s="223"/>
      <c r="CP373" s="41"/>
      <c r="CQ373" s="40"/>
      <c r="CR373" s="41"/>
      <c r="CT373" s="62"/>
      <c r="CU373" s="41"/>
      <c r="CV373" s="40"/>
      <c r="CW373" s="41"/>
      <c r="CY373" s="62"/>
      <c r="CZ373" s="41"/>
      <c r="DA373" s="40"/>
      <c r="DB373" s="41"/>
      <c r="DD373" s="46"/>
      <c r="DE373" s="41"/>
      <c r="DF373" s="40"/>
      <c r="DG373" s="41"/>
      <c r="DI373" s="60"/>
      <c r="DJ373" s="64"/>
      <c r="DK373" s="64"/>
      <c r="DL373" s="64"/>
      <c r="DN373" s="60"/>
      <c r="DO373" s="64"/>
      <c r="DP373" s="64"/>
      <c r="DQ373" s="64"/>
      <c r="DS373" s="60"/>
      <c r="DT373" s="64"/>
      <c r="DU373" s="64"/>
      <c r="DV373" s="64"/>
      <c r="DX373" s="60"/>
      <c r="DY373" s="64"/>
      <c r="DZ373" s="64"/>
      <c r="EA373" s="64"/>
      <c r="EC373" s="60"/>
      <c r="ED373" s="64"/>
      <c r="EE373" s="64"/>
      <c r="EF373" s="64"/>
      <c r="EH373" s="60"/>
      <c r="EI373" s="64"/>
      <c r="EJ373" s="64"/>
      <c r="EK373" s="64"/>
      <c r="ER373" s="855"/>
      <c r="EX373" s="203">
        <f t="shared" si="25"/>
        <v>0</v>
      </c>
    </row>
    <row r="374" spans="1:155" s="6" customFormat="1" ht="15" customHeight="1">
      <c r="A374" s="90" t="s">
        <v>34</v>
      </c>
      <c r="B374" s="210" t="s">
        <v>34</v>
      </c>
      <c r="C374" s="473" t="s">
        <v>515</v>
      </c>
      <c r="D374" s="138"/>
      <c r="E374" s="40"/>
      <c r="F374" s="40"/>
      <c r="G374" s="40"/>
      <c r="H374" s="40"/>
      <c r="I374" s="4"/>
      <c r="J374" s="4"/>
      <c r="K374" s="4"/>
      <c r="L374" s="4"/>
      <c r="M374" s="4"/>
      <c r="N374" s="661"/>
      <c r="O374" s="4"/>
      <c r="P374" s="4"/>
      <c r="Q374" s="4"/>
      <c r="R374" s="40"/>
      <c r="S374" s="41"/>
      <c r="T374" s="140">
        <f>C14</f>
        <v>0</v>
      </c>
      <c r="U374" s="41"/>
      <c r="W374" s="40"/>
      <c r="X374" s="41"/>
      <c r="Y374" s="41"/>
      <c r="Z374" s="41"/>
      <c r="AB374" s="40"/>
      <c r="AC374" s="41"/>
      <c r="AD374" s="41"/>
      <c r="AE374" s="41"/>
      <c r="AG374" s="40"/>
      <c r="AH374" s="41"/>
      <c r="AI374" s="41"/>
      <c r="AJ374" s="41"/>
      <c r="AL374" s="40"/>
      <c r="AM374" s="41"/>
      <c r="AN374" s="41"/>
      <c r="AO374" s="41"/>
      <c r="AQ374" s="40"/>
      <c r="AR374" s="41"/>
      <c r="AS374" s="41"/>
      <c r="AT374" s="41"/>
      <c r="AV374" s="139"/>
      <c r="AW374" s="139"/>
      <c r="AX374" s="139"/>
      <c r="AY374" s="140"/>
      <c r="BA374" s="139"/>
      <c r="BB374" s="139"/>
      <c r="BC374" s="139"/>
      <c r="BD374" s="41"/>
      <c r="BF374" s="40"/>
      <c r="BG374" s="40"/>
      <c r="BH374" s="40"/>
      <c r="BI374" s="41"/>
      <c r="BK374" s="139"/>
      <c r="BL374" s="139"/>
      <c r="BM374" s="40"/>
      <c r="BN374" s="41"/>
      <c r="BP374" s="40"/>
      <c r="BQ374" s="40"/>
      <c r="BR374" s="40"/>
      <c r="BS374" s="41"/>
      <c r="BU374" s="40"/>
      <c r="BV374" s="40"/>
      <c r="BW374" s="40"/>
      <c r="BX374" s="41"/>
      <c r="BZ374" s="40"/>
      <c r="CA374" s="40"/>
      <c r="CB374" s="40"/>
      <c r="CC374" s="41"/>
      <c r="CD374" s="140"/>
      <c r="CE374" s="40"/>
      <c r="CF374" s="40"/>
      <c r="CG374" s="40"/>
      <c r="CH374" s="41"/>
      <c r="CJ374" s="139"/>
      <c r="CK374" s="139"/>
      <c r="CL374" s="139"/>
      <c r="CM374" s="140"/>
      <c r="CO374" s="222"/>
      <c r="CP374" s="40"/>
      <c r="CQ374" s="40"/>
      <c r="CR374" s="41"/>
      <c r="CT374" s="40"/>
      <c r="CU374" s="40"/>
      <c r="CV374" s="40"/>
      <c r="CW374" s="41"/>
      <c r="CY374" s="40"/>
      <c r="CZ374" s="40"/>
      <c r="DA374" s="40"/>
      <c r="DB374" s="41"/>
      <c r="DD374" s="40"/>
      <c r="DE374" s="40"/>
      <c r="DF374" s="40"/>
      <c r="DG374" s="41"/>
      <c r="DI374" s="64"/>
      <c r="DJ374" s="64"/>
      <c r="DK374" s="64"/>
      <c r="DL374" s="64"/>
      <c r="DN374" s="64"/>
      <c r="DO374" s="64"/>
      <c r="DP374" s="64"/>
      <c r="DQ374" s="64"/>
      <c r="DS374" s="64"/>
      <c r="DT374" s="64"/>
      <c r="DU374" s="64"/>
      <c r="DV374" s="64"/>
      <c r="DX374" s="64"/>
      <c r="DY374" s="64"/>
      <c r="DZ374" s="64"/>
      <c r="EA374" s="64"/>
      <c r="EC374" s="64"/>
      <c r="ED374" s="64"/>
      <c r="EE374" s="64"/>
      <c r="EF374" s="64"/>
      <c r="EH374" s="64"/>
      <c r="EI374" s="64"/>
      <c r="EJ374" s="64"/>
      <c r="EK374" s="64"/>
      <c r="ER374" s="855"/>
      <c r="EX374" s="203">
        <f t="shared" si="25"/>
        <v>0</v>
      </c>
    </row>
    <row r="375" spans="1:155" s="6" customFormat="1" ht="15" customHeight="1">
      <c r="A375" s="90" t="s">
        <v>230</v>
      </c>
      <c r="B375" s="210" t="s">
        <v>230</v>
      </c>
      <c r="C375" s="473" t="s">
        <v>515</v>
      </c>
      <c r="D375" s="138"/>
      <c r="E375" s="62">
        <v>2</v>
      </c>
      <c r="F375" s="41">
        <f>SUM(F16:F26,G16:G26,H16:H26)*E375</f>
        <v>0</v>
      </c>
      <c r="G375" s="140"/>
      <c r="H375" s="140"/>
      <c r="I375" s="4"/>
      <c r="J375" s="4"/>
      <c r="K375" s="4"/>
      <c r="L375" s="4"/>
      <c r="M375" s="4"/>
      <c r="N375" s="4"/>
      <c r="O375" s="4"/>
      <c r="P375" s="4"/>
      <c r="Q375" s="4"/>
      <c r="R375" s="40"/>
      <c r="S375" s="41"/>
      <c r="T375" s="140"/>
      <c r="U375" s="41"/>
      <c r="W375" s="40"/>
      <c r="X375" s="41"/>
      <c r="Y375" s="41"/>
      <c r="Z375" s="41"/>
      <c r="AB375" s="40"/>
      <c r="AC375" s="41"/>
      <c r="AD375" s="41"/>
      <c r="AE375" s="41"/>
      <c r="AG375" s="40"/>
      <c r="AH375" s="41"/>
      <c r="AI375" s="41"/>
      <c r="AJ375" s="41"/>
      <c r="AL375" s="40"/>
      <c r="AM375" s="41"/>
      <c r="AN375" s="41"/>
      <c r="AO375" s="41"/>
      <c r="AQ375" s="40"/>
      <c r="AR375" s="41"/>
      <c r="AS375" s="41"/>
      <c r="AT375" s="41"/>
      <c r="AV375" s="51">
        <v>1</v>
      </c>
      <c r="AW375" s="41">
        <f>SUM(AW16:AW26,AX16:AX26,AY16:AY26)*AV375</f>
        <v>0</v>
      </c>
      <c r="AX375" s="139"/>
      <c r="AY375" s="140"/>
      <c r="BA375" s="51">
        <v>1</v>
      </c>
      <c r="BB375" s="41">
        <f>SUM(BB16:BB26,BC16:BC26,BD16:BD26)*BA375</f>
        <v>0</v>
      </c>
      <c r="BC375" s="139"/>
      <c r="BD375" s="41"/>
      <c r="BF375" s="60">
        <v>2</v>
      </c>
      <c r="BG375" s="41">
        <f>SUM(BG16:BG26,BH16:BH26,BI16:BI26)*BF375</f>
        <v>0</v>
      </c>
      <c r="BH375" s="40"/>
      <c r="BI375" s="41"/>
      <c r="BK375" s="142">
        <v>2</v>
      </c>
      <c r="BL375" s="41">
        <f>SUM(BL16:BL26,BM16:BM26,BN16:BN26)*BK375</f>
        <v>0</v>
      </c>
      <c r="BM375" s="40"/>
      <c r="BN375" s="41"/>
      <c r="BP375" s="62">
        <v>2</v>
      </c>
      <c r="BQ375" s="41">
        <f>SUM(BQ16:BQ26,BR16:BR26,BS16:BS26)*BP375</f>
        <v>0</v>
      </c>
      <c r="BR375" s="40"/>
      <c r="BS375" s="41"/>
      <c r="BU375" s="62">
        <v>2</v>
      </c>
      <c r="BV375" s="41">
        <f>SUM(BV16:BV26,BW16:BW26,BX16:BX26)*BU375</f>
        <v>0</v>
      </c>
      <c r="BW375" s="40"/>
      <c r="BX375" s="41"/>
      <c r="BZ375" s="61">
        <v>4</v>
      </c>
      <c r="CA375" s="41">
        <f>SUM(CA16:CA26,CB16:CB26,CC16:CC26)*BZ375</f>
        <v>0</v>
      </c>
      <c r="CB375" s="40"/>
      <c r="CC375" s="41"/>
      <c r="CD375" s="140"/>
      <c r="CE375" s="61">
        <v>4</v>
      </c>
      <c r="CF375" s="41">
        <f>SUM(CF16:CF26,CG16:CG26,CH16:CH26)*CE375</f>
        <v>0</v>
      </c>
      <c r="CG375" s="40"/>
      <c r="CH375" s="41"/>
      <c r="CJ375" s="141"/>
      <c r="CK375" s="140">
        <f>CK16*CJ375+CL16*CJ375+CK17*CJ375+CL17*CJ375+CK18*CJ375+CL18*CJ375+CK19*CJ375+CL19*CJ375+CK20*CJ375+CL20*CJ375+CK21*CJ375+CL21*CJ375+CK22*CJ375+CL22*CJ375+CK23*CJ375+CL23*CJ375+CK24*CJ375+CL24*CJ375+CK25*CJ375+CL25*CJ375+CK26*CJ375+CL26*CJ375+CM16*CJ375+CM17*CJ375+CM18*CJ375+CM19*CJ375+CM20*CJ375+CM21*CJ375+CM22*CJ375+CM23*CJ375+CM24*CJ375+CM25*CJ375+CM26*CJ375</f>
        <v>0</v>
      </c>
      <c r="CL375" s="139"/>
      <c r="CM375" s="140"/>
      <c r="CO375" s="223">
        <v>2</v>
      </c>
      <c r="CP375" s="41">
        <f>CP16*CO375+CQ16*CO375+CP17*CO375+CQ17*CO375+CP18*CO375+CQ18*CO375+CP19*CO375+CQ19*CO375+CP20*CO375+CQ20*CO375+CP21*CO375+CQ21*CO375+CP22*CO375+CQ22*CO375+CP23*CO375+CQ23*CO375+CP24*CO375+CQ24*CO375+CP25*CO375+CQ25*CO375+CP26*CO375+CQ26*CO375+CR16*CO375+CR17*CO375+CR18*CO375+CR19*CO375+CR20*CO375+CR21*CO375+CR22*CO375+CR23*CO375+CR24*CO375+CR25*CO375+CR26*CO375</f>
        <v>0</v>
      </c>
      <c r="CQ375" s="40"/>
      <c r="CR375" s="41"/>
      <c r="CT375" s="62">
        <v>3</v>
      </c>
      <c r="CU375" s="41">
        <f>SUM(CU16:CU26,CV16:CV26,CW16:CW26)*CT375</f>
        <v>0</v>
      </c>
      <c r="CV375" s="40"/>
      <c r="CW375" s="41"/>
      <c r="CY375" s="62">
        <v>4</v>
      </c>
      <c r="CZ375" s="41">
        <f>SUM(CZ16:CZ26,DA16:DA26,DB16:DB26)*CY375</f>
        <v>0</v>
      </c>
      <c r="DA375" s="40"/>
      <c r="DB375" s="41"/>
      <c r="DD375" s="46">
        <v>2</v>
      </c>
      <c r="DE375" s="41">
        <f>SUM(DE16:DE26,DF16:DF26,DG16:DG26)*DD375</f>
        <v>0</v>
      </c>
      <c r="DF375" s="40"/>
      <c r="DG375" s="41"/>
      <c r="DI375" s="71">
        <v>2</v>
      </c>
      <c r="DJ375" s="41">
        <f>SUM(DJ16:DJ26,DK16:DK26,DL16:DL26)*DI375</f>
        <v>0</v>
      </c>
      <c r="DK375" s="64"/>
      <c r="DL375" s="64"/>
      <c r="DN375" s="71">
        <v>2</v>
      </c>
      <c r="DO375" s="41">
        <f>SUM(DO16:DO26,DP16:DP26,DQ16:DQ26)*DN375</f>
        <v>0</v>
      </c>
      <c r="DP375" s="64"/>
      <c r="DQ375" s="64"/>
      <c r="DS375" s="60">
        <v>3</v>
      </c>
      <c r="DT375" s="41">
        <f>SUM(DT16:DT26,DU16:DU26,DV16:DV26)*DS375</f>
        <v>0</v>
      </c>
      <c r="DU375" s="64"/>
      <c r="DV375" s="64"/>
      <c r="DX375" s="60">
        <v>3</v>
      </c>
      <c r="DY375" s="41">
        <f>SUM(DY16:DY26,DZ16:DZ26,EA16:EA26)*DX375</f>
        <v>0</v>
      </c>
      <c r="DZ375" s="64"/>
      <c r="EA375" s="64"/>
      <c r="EC375" s="60">
        <v>3</v>
      </c>
      <c r="ED375" s="41">
        <f>SUM(ED16:ED26,EE16:EE26,EF16:EF26)*EC375</f>
        <v>0</v>
      </c>
      <c r="EE375" s="64"/>
      <c r="EF375" s="64"/>
      <c r="EH375" s="60">
        <v>3</v>
      </c>
      <c r="EI375" s="41">
        <f>SUM(EI16:EI26,EJ16:EJ26,EK16:EK26)*EH375</f>
        <v>0</v>
      </c>
      <c r="EJ375" s="64"/>
      <c r="EK375" s="64"/>
      <c r="ER375" s="855"/>
      <c r="EX375" s="203">
        <f t="shared" si="25"/>
        <v>0</v>
      </c>
    </row>
    <row r="376" spans="1:155" s="6" customFormat="1" ht="15" customHeight="1">
      <c r="A376" s="156" t="s">
        <v>238</v>
      </c>
      <c r="B376" s="210" t="s">
        <v>238</v>
      </c>
      <c r="C376" s="473" t="s">
        <v>515</v>
      </c>
      <c r="D376" s="138"/>
      <c r="E376" s="62"/>
      <c r="F376" s="41"/>
      <c r="G376" s="41"/>
      <c r="H376" s="41"/>
      <c r="I376" s="4"/>
      <c r="J376" s="4"/>
      <c r="K376" s="4"/>
      <c r="L376" s="4"/>
      <c r="M376" s="4"/>
      <c r="N376" s="4"/>
      <c r="O376" s="4"/>
      <c r="P376" s="4"/>
      <c r="Q376" s="4"/>
      <c r="R376" s="40"/>
      <c r="S376" s="41"/>
      <c r="T376" s="140"/>
      <c r="U376" s="41"/>
      <c r="W376" s="40"/>
      <c r="X376" s="41"/>
      <c r="Y376" s="41"/>
      <c r="Z376" s="41"/>
      <c r="AB376" s="40"/>
      <c r="AC376" s="41"/>
      <c r="AD376" s="41"/>
      <c r="AE376" s="41"/>
      <c r="AG376" s="40"/>
      <c r="AH376" s="41"/>
      <c r="AI376" s="41"/>
      <c r="AJ376" s="41"/>
      <c r="AL376" s="40"/>
      <c r="AM376" s="41"/>
      <c r="AN376" s="41"/>
      <c r="AO376" s="41"/>
      <c r="AQ376" s="40"/>
      <c r="AR376" s="41"/>
      <c r="AS376" s="41"/>
      <c r="AT376" s="41"/>
      <c r="AV376" s="51"/>
      <c r="AW376" s="140"/>
      <c r="AX376" s="139"/>
      <c r="AY376" s="140"/>
      <c r="BA376" s="51"/>
      <c r="BB376" s="140"/>
      <c r="BC376" s="139"/>
      <c r="BD376" s="41"/>
      <c r="BF376" s="60"/>
      <c r="BG376" s="41"/>
      <c r="BH376" s="40"/>
      <c r="BI376" s="41"/>
      <c r="BK376" s="142"/>
      <c r="BL376" s="140"/>
      <c r="BM376" s="40"/>
      <c r="BN376" s="41"/>
      <c r="BP376" s="62"/>
      <c r="BQ376" s="41"/>
      <c r="BR376" s="40"/>
      <c r="BS376" s="41"/>
      <c r="BU376" s="62"/>
      <c r="BV376" s="41"/>
      <c r="BW376" s="40"/>
      <c r="BX376" s="41"/>
      <c r="BZ376" s="61"/>
      <c r="CA376" s="41"/>
      <c r="CB376" s="40"/>
      <c r="CC376" s="41"/>
      <c r="CD376" s="140"/>
      <c r="CE376" s="61"/>
      <c r="CF376" s="41"/>
      <c r="CG376" s="40"/>
      <c r="CH376" s="41"/>
      <c r="CJ376" s="141"/>
      <c r="CK376" s="140"/>
      <c r="CL376" s="139"/>
      <c r="CM376" s="140"/>
      <c r="CO376" s="223"/>
      <c r="CP376" s="41"/>
      <c r="CQ376" s="40"/>
      <c r="CR376" s="41"/>
      <c r="CT376" s="62"/>
      <c r="CU376" s="41"/>
      <c r="CV376" s="40"/>
      <c r="CW376" s="41"/>
      <c r="CY376" s="62"/>
      <c r="CZ376" s="41"/>
      <c r="DA376" s="40"/>
      <c r="DB376" s="41"/>
      <c r="DD376" s="46"/>
      <c r="DE376" s="41"/>
      <c r="DF376" s="40"/>
      <c r="DG376" s="41"/>
      <c r="DI376" s="71">
        <v>2</v>
      </c>
      <c r="DJ376" s="65">
        <f>DJ16*DI376+DK16*DI376+DL16*DI376+DJ20*DI376+DK20*DI376+DL20*DI376</f>
        <v>0</v>
      </c>
      <c r="DK376" s="64"/>
      <c r="DL376" s="64"/>
      <c r="DN376" s="71">
        <v>2</v>
      </c>
      <c r="DO376" s="65">
        <f>DO16*DN376+DP16*DN376+DQ16*DN376+DO20*DN376+DP20*DN376+DQ20*DN376</f>
        <v>0</v>
      </c>
      <c r="DP376" s="64"/>
      <c r="DQ376" s="64"/>
      <c r="DS376" s="60">
        <v>2</v>
      </c>
      <c r="DT376" s="65">
        <f>DT16*DS376+DU16*DS376+DV16*DS376+DT20*DS376+DU20*DS376+DV20*DS376</f>
        <v>0</v>
      </c>
      <c r="DU376" s="64"/>
      <c r="DV376" s="64"/>
      <c r="DX376" s="60">
        <v>2</v>
      </c>
      <c r="DY376" s="65">
        <f>DY16*DX376+DZ16*DX376+EA16*DX376+DY20*DX376+DZ20*DX376+EA20*DX376</f>
        <v>0</v>
      </c>
      <c r="DZ376" s="64"/>
      <c r="EA376" s="64"/>
      <c r="EC376" s="60">
        <v>2</v>
      </c>
      <c r="ED376" s="65">
        <f>ED16*EC376+EE16*EC376+EF16*EC376+ED20*EC376+EE20*EC376+EF20*EC376</f>
        <v>0</v>
      </c>
      <c r="EE376" s="64"/>
      <c r="EF376" s="64"/>
      <c r="EH376" s="60">
        <v>2</v>
      </c>
      <c r="EI376" s="65">
        <f>EI16*EH376+EJ16*EH376+EK16*EH376+EI20*EH376+EJ20*EH376+EK20*EH376</f>
        <v>0</v>
      </c>
      <c r="EJ376" s="64"/>
      <c r="EK376" s="64"/>
      <c r="ER376" s="855"/>
      <c r="EX376" s="203">
        <f t="shared" si="25"/>
        <v>0</v>
      </c>
    </row>
    <row r="377" spans="1:155" s="6" customFormat="1" ht="15" customHeight="1">
      <c r="A377" s="156" t="s">
        <v>239</v>
      </c>
      <c r="B377" s="210" t="s">
        <v>239</v>
      </c>
      <c r="C377" s="473" t="s">
        <v>515</v>
      </c>
      <c r="D377" s="138"/>
      <c r="E377" s="62"/>
      <c r="F377" s="41"/>
      <c r="G377" s="41"/>
      <c r="H377" s="41"/>
      <c r="I377" s="4"/>
      <c r="J377" s="4"/>
      <c r="K377" s="4"/>
      <c r="L377" s="4"/>
      <c r="M377" s="4"/>
      <c r="N377" s="4"/>
      <c r="O377" s="4"/>
      <c r="P377" s="4"/>
      <c r="Q377" s="4"/>
      <c r="R377" s="40"/>
      <c r="S377" s="41"/>
      <c r="T377" s="140"/>
      <c r="U377" s="41"/>
      <c r="W377" s="40"/>
      <c r="X377" s="41"/>
      <c r="Y377" s="41"/>
      <c r="Z377" s="41"/>
      <c r="AB377" s="40"/>
      <c r="AC377" s="41"/>
      <c r="AD377" s="41"/>
      <c r="AE377" s="41"/>
      <c r="AG377" s="40"/>
      <c r="AH377" s="41"/>
      <c r="AI377" s="41"/>
      <c r="AJ377" s="41"/>
      <c r="AL377" s="40"/>
      <c r="AM377" s="41"/>
      <c r="AN377" s="41"/>
      <c r="AO377" s="41"/>
      <c r="AQ377" s="40"/>
      <c r="AR377" s="41"/>
      <c r="AS377" s="41"/>
      <c r="AT377" s="41"/>
      <c r="AV377" s="51"/>
      <c r="AW377" s="140"/>
      <c r="AX377" s="139"/>
      <c r="AY377" s="140"/>
      <c r="BA377" s="51"/>
      <c r="BB377" s="140"/>
      <c r="BC377" s="139"/>
      <c r="BD377" s="41"/>
      <c r="BF377" s="60"/>
      <c r="BG377" s="41"/>
      <c r="BH377" s="40"/>
      <c r="BI377" s="41"/>
      <c r="BK377" s="142"/>
      <c r="BL377" s="140"/>
      <c r="BM377" s="40"/>
      <c r="BN377" s="41"/>
      <c r="BP377" s="62"/>
      <c r="BQ377" s="41"/>
      <c r="BR377" s="40"/>
      <c r="BS377" s="41"/>
      <c r="BU377" s="62"/>
      <c r="BV377" s="41"/>
      <c r="BW377" s="40"/>
      <c r="BX377" s="41"/>
      <c r="BZ377" s="61"/>
      <c r="CA377" s="41"/>
      <c r="CB377" s="40"/>
      <c r="CC377" s="41"/>
      <c r="CD377" s="140"/>
      <c r="CE377" s="61"/>
      <c r="CF377" s="41"/>
      <c r="CG377" s="40"/>
      <c r="CH377" s="41"/>
      <c r="CJ377" s="141"/>
      <c r="CK377" s="140"/>
      <c r="CL377" s="139"/>
      <c r="CM377" s="140"/>
      <c r="CO377" s="223"/>
      <c r="CP377" s="41"/>
      <c r="CQ377" s="40"/>
      <c r="CR377" s="41"/>
      <c r="CT377" s="62"/>
      <c r="CU377" s="41"/>
      <c r="CV377" s="40"/>
      <c r="CW377" s="41"/>
      <c r="CY377" s="62"/>
      <c r="CZ377" s="41"/>
      <c r="DA377" s="40"/>
      <c r="DB377" s="41"/>
      <c r="DD377" s="46"/>
      <c r="DE377" s="41"/>
      <c r="DF377" s="40"/>
      <c r="DG377" s="41"/>
      <c r="DI377" s="71">
        <v>2</v>
      </c>
      <c r="DJ377" s="65">
        <f>DJ17*DI377+DK17*DI377+DL17*DI377+DJ21*DI377+DK21*DI377+DL21*DI377+DJ24*DI377+DK24*DI377+DL24*DI377</f>
        <v>0</v>
      </c>
      <c r="DK377" s="64"/>
      <c r="DL377" s="64"/>
      <c r="DN377" s="71">
        <v>2</v>
      </c>
      <c r="DO377" s="65">
        <f>DO17*DN377+DP17*DN377+DQ17*DN377+DO21*DN377+DP21*DN377+DQ21*DN377+DO24*DN377+DP24*DN377+DQ24*DN377</f>
        <v>0</v>
      </c>
      <c r="DP377" s="64"/>
      <c r="DQ377" s="64"/>
      <c r="DS377" s="60">
        <v>2</v>
      </c>
      <c r="DT377" s="65">
        <f>DT17*DS377+DU17*DS377+DV17*DS377+DT21*DS377+DU21*DS377+DV21*DS377+DT24*DS377+DU24*DS377+DV24*DS377</f>
        <v>0</v>
      </c>
      <c r="DU377" s="64"/>
      <c r="DV377" s="64"/>
      <c r="DX377" s="60">
        <v>2</v>
      </c>
      <c r="DY377" s="65">
        <f>DY17*DX377+DZ17*DX377+EA17*DX377+DY21*DX377+DZ21*DX377+EA21*DX377+DY24*DX377+DZ24*DX377+EA24*DX377</f>
        <v>0</v>
      </c>
      <c r="DZ377" s="64"/>
      <c r="EA377" s="64"/>
      <c r="EC377" s="60">
        <v>2</v>
      </c>
      <c r="ED377" s="65">
        <f>ED17*EC377+EE17*EC377+EF17*EC377+ED21*EC377+EE21*EC377+EF21*EC377+ED24*EC377+EE24*EC377+EF24*EC377</f>
        <v>0</v>
      </c>
      <c r="EE377" s="64"/>
      <c r="EF377" s="64"/>
      <c r="EH377" s="60">
        <v>2</v>
      </c>
      <c r="EI377" s="65">
        <f>EI17*EH377+EJ17*EH377+EK17*EH377+EI21*EH377+EJ21*EH377+EK21*EH377+EI24*EH377+EJ24*EH377+EK24*EH377</f>
        <v>0</v>
      </c>
      <c r="EJ377" s="64"/>
      <c r="EK377" s="64"/>
      <c r="ER377" s="855"/>
      <c r="EX377" s="203">
        <f t="shared" si="25"/>
        <v>0</v>
      </c>
    </row>
    <row r="378" spans="1:155" s="6" customFormat="1" ht="15" customHeight="1">
      <c r="A378" s="156" t="s">
        <v>240</v>
      </c>
      <c r="B378" s="210" t="s">
        <v>240</v>
      </c>
      <c r="C378" s="473" t="s">
        <v>515</v>
      </c>
      <c r="D378" s="138"/>
      <c r="E378" s="62"/>
      <c r="F378" s="41"/>
      <c r="G378" s="41"/>
      <c r="H378" s="41"/>
      <c r="I378" s="4"/>
      <c r="J378" s="4"/>
      <c r="K378" s="4"/>
      <c r="L378" s="4"/>
      <c r="M378" s="4"/>
      <c r="N378" s="4"/>
      <c r="O378" s="4"/>
      <c r="P378" s="4"/>
      <c r="Q378" s="4"/>
      <c r="R378" s="40"/>
      <c r="S378" s="41"/>
      <c r="T378" s="140"/>
      <c r="U378" s="41"/>
      <c r="W378" s="40"/>
      <c r="X378" s="41"/>
      <c r="Y378" s="41"/>
      <c r="Z378" s="41"/>
      <c r="AB378" s="40"/>
      <c r="AC378" s="41"/>
      <c r="AD378" s="41"/>
      <c r="AE378" s="41"/>
      <c r="AG378" s="40"/>
      <c r="AH378" s="41"/>
      <c r="AI378" s="41"/>
      <c r="AJ378" s="41"/>
      <c r="AL378" s="40"/>
      <c r="AM378" s="41"/>
      <c r="AN378" s="41"/>
      <c r="AO378" s="41"/>
      <c r="AQ378" s="40"/>
      <c r="AR378" s="41"/>
      <c r="AS378" s="41"/>
      <c r="AT378" s="41"/>
      <c r="AV378" s="51"/>
      <c r="AW378" s="140"/>
      <c r="AX378" s="139"/>
      <c r="AY378" s="140"/>
      <c r="BA378" s="51"/>
      <c r="BB378" s="140"/>
      <c r="BC378" s="139"/>
      <c r="BD378" s="41"/>
      <c r="BF378" s="60"/>
      <c r="BG378" s="41"/>
      <c r="BH378" s="40"/>
      <c r="BI378" s="41"/>
      <c r="BK378" s="142"/>
      <c r="BL378" s="140"/>
      <c r="BM378" s="40"/>
      <c r="BN378" s="41"/>
      <c r="BP378" s="62"/>
      <c r="BQ378" s="41"/>
      <c r="BR378" s="40"/>
      <c r="BS378" s="41"/>
      <c r="BU378" s="62"/>
      <c r="BV378" s="41"/>
      <c r="BW378" s="40"/>
      <c r="BX378" s="41"/>
      <c r="BZ378" s="61"/>
      <c r="CA378" s="41"/>
      <c r="CB378" s="40"/>
      <c r="CC378" s="41"/>
      <c r="CD378" s="140"/>
      <c r="CE378" s="61"/>
      <c r="CF378" s="41"/>
      <c r="CG378" s="40"/>
      <c r="CH378" s="41"/>
      <c r="CJ378" s="141"/>
      <c r="CK378" s="140"/>
      <c r="CL378" s="139"/>
      <c r="CM378" s="140"/>
      <c r="CO378" s="223"/>
      <c r="CP378" s="41"/>
      <c r="CQ378" s="40"/>
      <c r="CR378" s="41"/>
      <c r="CT378" s="62"/>
      <c r="CU378" s="41"/>
      <c r="CV378" s="40"/>
      <c r="CW378" s="41"/>
      <c r="CY378" s="62"/>
      <c r="CZ378" s="41"/>
      <c r="DA378" s="40"/>
      <c r="DB378" s="41"/>
      <c r="DD378" s="46"/>
      <c r="DE378" s="41"/>
      <c r="DF378" s="40"/>
      <c r="DG378" s="41"/>
      <c r="DI378" s="71">
        <v>2</v>
      </c>
      <c r="DJ378" s="65">
        <f>DJ18*DI378+DK18*DI378+DL18*DI378+DJ22*DI378+DK22*DI378+DL22*DI378+DJ25*DI378+DK25*DI378+DL25*DI378</f>
        <v>0</v>
      </c>
      <c r="DK378" s="64"/>
      <c r="DL378" s="64"/>
      <c r="DN378" s="71">
        <v>2</v>
      </c>
      <c r="DO378" s="65">
        <f>DO18*DN378+DP18*DN378+DQ18*DN378+DO22*DN378+DP22*DN378+DQ22*DN378+DO25*DN378+DP25*DN378+DQ25*DN378</f>
        <v>0</v>
      </c>
      <c r="DP378" s="64"/>
      <c r="DQ378" s="64"/>
      <c r="DS378" s="60">
        <v>2</v>
      </c>
      <c r="DT378" s="65">
        <f>DT18*DS378+DU18*DS378+DV18*DS378+DT22*DS378+DU22*DS378+DV22*DS378+DT25*DS378+DU25*DS378+DV25*DS378</f>
        <v>0</v>
      </c>
      <c r="DU378" s="64"/>
      <c r="DV378" s="64"/>
      <c r="DX378" s="60">
        <v>2</v>
      </c>
      <c r="DY378" s="65">
        <f>DY18*DX378+DZ18*DX378+EA18*DX378+DY22*DX378+DZ22*DX378+EA22*DX378+DY25*DX378+DZ25*DX378+EA25*DX378</f>
        <v>0</v>
      </c>
      <c r="DZ378" s="64"/>
      <c r="EA378" s="64"/>
      <c r="EC378" s="60">
        <v>2</v>
      </c>
      <c r="ED378" s="65">
        <f>ED18*EC378+EE18*EC378+EF18*EC378+ED22*EC378+EE22*EC378+EF22*EC378+ED25*EC378+EE25*EC378+EF25*EC378</f>
        <v>0</v>
      </c>
      <c r="EE378" s="64"/>
      <c r="EF378" s="64"/>
      <c r="EH378" s="60">
        <v>2</v>
      </c>
      <c r="EI378" s="65">
        <f>EI18*EH378+EJ18*EH378+EK18*EH378+EI22*EH378+EJ22*EH378+EK22*EH378+EI25*EH378+EJ25*EH378+EK25*EH378</f>
        <v>0</v>
      </c>
      <c r="EJ378" s="64"/>
      <c r="EK378" s="64"/>
      <c r="ER378" s="855"/>
      <c r="EX378" s="203">
        <f t="shared" si="25"/>
        <v>0</v>
      </c>
    </row>
    <row r="379" spans="1:155" s="6" customFormat="1" ht="15" customHeight="1">
      <c r="A379" s="156"/>
      <c r="B379" s="210" t="s">
        <v>1515</v>
      </c>
      <c r="C379" s="473" t="s">
        <v>0</v>
      </c>
      <c r="D379" s="138"/>
      <c r="E379" s="62"/>
      <c r="F379" s="41"/>
      <c r="G379" s="41"/>
      <c r="H379" s="41"/>
      <c r="I379" s="4"/>
      <c r="J379" s="4"/>
      <c r="K379" s="4"/>
      <c r="L379" s="4"/>
      <c r="M379" s="4"/>
      <c r="N379" s="4"/>
      <c r="O379" s="4"/>
      <c r="P379" s="4"/>
      <c r="Q379" s="4"/>
      <c r="R379" s="40"/>
      <c r="S379" s="41"/>
      <c r="T379" s="140"/>
      <c r="U379" s="41"/>
      <c r="W379" s="40"/>
      <c r="X379" s="41"/>
      <c r="Y379" s="41"/>
      <c r="Z379" s="41"/>
      <c r="AB379" s="40"/>
      <c r="AC379" s="41"/>
      <c r="AD379" s="41"/>
      <c r="AE379" s="41"/>
      <c r="AG379" s="40"/>
      <c r="AH379" s="41"/>
      <c r="AI379" s="41"/>
      <c r="AJ379" s="41"/>
      <c r="AL379" s="40"/>
      <c r="AM379" s="41"/>
      <c r="AN379" s="41"/>
      <c r="AO379" s="41"/>
      <c r="AQ379" s="40"/>
      <c r="AR379" s="41"/>
      <c r="AS379" s="41"/>
      <c r="AT379" s="41"/>
      <c r="AV379" s="51"/>
      <c r="AW379" s="140"/>
      <c r="AX379" s="139"/>
      <c r="AY379" s="140"/>
      <c r="BA379" s="51"/>
      <c r="BB379" s="140"/>
      <c r="BC379" s="139"/>
      <c r="BD379" s="41"/>
      <c r="BF379" s="60"/>
      <c r="BG379" s="41"/>
      <c r="BH379" s="40"/>
      <c r="BI379" s="41"/>
      <c r="BK379" s="142"/>
      <c r="BL379" s="140"/>
      <c r="BM379" s="40"/>
      <c r="BN379" s="41"/>
      <c r="BP379" s="62"/>
      <c r="BQ379" s="41"/>
      <c r="BR379" s="40"/>
      <c r="BS379" s="41"/>
      <c r="BU379" s="62"/>
      <c r="BV379" s="41"/>
      <c r="BW379" s="40"/>
      <c r="BX379" s="41"/>
      <c r="BZ379" s="61"/>
      <c r="CA379" s="41"/>
      <c r="CB379" s="40"/>
      <c r="CC379" s="41"/>
      <c r="CD379" s="140"/>
      <c r="CE379" s="61"/>
      <c r="CF379" s="41"/>
      <c r="CG379" s="40"/>
      <c r="CH379" s="41"/>
      <c r="CJ379" s="141"/>
      <c r="CK379" s="140"/>
      <c r="CL379" s="139"/>
      <c r="CM379" s="140"/>
      <c r="CO379" s="223"/>
      <c r="CP379" s="41"/>
      <c r="CQ379" s="40"/>
      <c r="CR379" s="41"/>
      <c r="CT379" s="62"/>
      <c r="CU379" s="41"/>
      <c r="CV379" s="40"/>
      <c r="CW379" s="41"/>
      <c r="CY379" s="62"/>
      <c r="CZ379" s="41"/>
      <c r="DA379" s="40"/>
      <c r="DB379" s="41"/>
      <c r="DD379" s="46"/>
      <c r="DE379" s="41"/>
      <c r="DF379" s="40"/>
      <c r="DG379" s="41"/>
      <c r="DI379" s="71"/>
      <c r="DJ379" s="65"/>
      <c r="DK379" s="64"/>
      <c r="DL379" s="64"/>
      <c r="DN379" s="71"/>
      <c r="DO379" s="65"/>
      <c r="DP379" s="64"/>
      <c r="DQ379" s="64"/>
      <c r="DS379" s="60"/>
      <c r="DT379" s="65"/>
      <c r="DU379" s="64"/>
      <c r="DV379" s="64"/>
      <c r="DX379" s="60"/>
      <c r="DY379" s="65"/>
      <c r="DZ379" s="64"/>
      <c r="EA379" s="64"/>
      <c r="EC379" s="60"/>
      <c r="ED379" s="65"/>
      <c r="EE379" s="64"/>
      <c r="EF379" s="64"/>
      <c r="EH379" s="60"/>
      <c r="EI379" s="65"/>
      <c r="EJ379" s="64"/>
      <c r="EK379" s="64"/>
      <c r="ER379" s="855"/>
      <c r="EX379" s="203">
        <f t="shared" si="25"/>
        <v>0</v>
      </c>
    </row>
    <row r="380" spans="1:155" s="6" customFormat="1" ht="15" customHeight="1">
      <c r="A380" s="156" t="s">
        <v>241</v>
      </c>
      <c r="B380" s="210" t="s">
        <v>241</v>
      </c>
      <c r="C380" s="473" t="s">
        <v>515</v>
      </c>
      <c r="D380" s="138"/>
      <c r="E380" s="62"/>
      <c r="F380" s="41"/>
      <c r="G380" s="41"/>
      <c r="H380" s="41"/>
      <c r="I380" s="4"/>
      <c r="J380" s="4"/>
      <c r="K380" s="4"/>
      <c r="L380" s="4"/>
      <c r="M380" s="4"/>
      <c r="N380" s="4"/>
      <c r="O380" s="4"/>
      <c r="P380" s="4"/>
      <c r="Q380" s="4"/>
      <c r="R380" s="40"/>
      <c r="S380" s="41"/>
      <c r="T380" s="140"/>
      <c r="U380" s="41"/>
      <c r="W380" s="40"/>
      <c r="X380" s="41"/>
      <c r="Y380" s="41"/>
      <c r="Z380" s="41"/>
      <c r="AB380" s="40"/>
      <c r="AC380" s="41"/>
      <c r="AD380" s="41"/>
      <c r="AE380" s="41"/>
      <c r="AG380" s="40"/>
      <c r="AH380" s="41"/>
      <c r="AI380" s="41"/>
      <c r="AJ380" s="41"/>
      <c r="AL380" s="40"/>
      <c r="AM380" s="41"/>
      <c r="AN380" s="41"/>
      <c r="AO380" s="41"/>
      <c r="AQ380" s="40"/>
      <c r="AR380" s="41"/>
      <c r="AS380" s="41"/>
      <c r="AT380" s="41"/>
      <c r="AV380" s="51"/>
      <c r="AW380" s="140"/>
      <c r="AX380" s="139"/>
      <c r="AY380" s="140"/>
      <c r="BA380" s="51"/>
      <c r="BB380" s="140"/>
      <c r="BC380" s="139"/>
      <c r="BD380" s="41"/>
      <c r="BF380" s="60"/>
      <c r="BG380" s="41"/>
      <c r="BH380" s="40"/>
      <c r="BI380" s="41"/>
      <c r="BK380" s="142"/>
      <c r="BL380" s="140"/>
      <c r="BM380" s="40"/>
      <c r="BN380" s="41"/>
      <c r="BP380" s="62"/>
      <c r="BQ380" s="41"/>
      <c r="BR380" s="40"/>
      <c r="BS380" s="41"/>
      <c r="BU380" s="62"/>
      <c r="BV380" s="41"/>
      <c r="BW380" s="40"/>
      <c r="BX380" s="41"/>
      <c r="BZ380" s="61"/>
      <c r="CA380" s="41"/>
      <c r="CB380" s="40"/>
      <c r="CC380" s="41"/>
      <c r="CD380" s="140"/>
      <c r="CE380" s="61"/>
      <c r="CF380" s="41"/>
      <c r="CG380" s="40"/>
      <c r="CH380" s="41"/>
      <c r="CJ380" s="141"/>
      <c r="CK380" s="140"/>
      <c r="CL380" s="139"/>
      <c r="CM380" s="140"/>
      <c r="CO380" s="223"/>
      <c r="CP380" s="41"/>
      <c r="CQ380" s="40"/>
      <c r="CR380" s="41"/>
      <c r="CT380" s="62"/>
      <c r="CU380" s="41"/>
      <c r="CV380" s="40"/>
      <c r="CW380" s="41"/>
      <c r="CY380" s="62"/>
      <c r="CZ380" s="41"/>
      <c r="DA380" s="40"/>
      <c r="DB380" s="41"/>
      <c r="DD380" s="46"/>
      <c r="DE380" s="41"/>
      <c r="DF380" s="40"/>
      <c r="DG380" s="41"/>
      <c r="DI380" s="71">
        <v>2</v>
      </c>
      <c r="DJ380" s="65">
        <f>DJ19*DI380+DK19*DI380+DL19*DI380+DJ23*DI380+DK23*DI380+DL23*DI380+DJ26*DI380+DK26*DI380+DL26*DI380</f>
        <v>0</v>
      </c>
      <c r="DK380" s="64"/>
      <c r="DL380" s="64"/>
      <c r="DN380" s="71">
        <v>2</v>
      </c>
      <c r="DO380" s="65">
        <f>DO19*DN380+DP19*DN380+DQ19*DN380+DO23*DN380+DP23*DN380+DQ23*DN380+DO26*DN380+DP26*DN380+DQ26*DN380</f>
        <v>0</v>
      </c>
      <c r="DP380" s="64"/>
      <c r="DQ380" s="64"/>
      <c r="DS380" s="60">
        <v>2</v>
      </c>
      <c r="DT380" s="65">
        <f>DT19*DS380+DU19*DS380+DV19*DS380+DT23*DS380+DU23*DS380+DV23*DS380+DT26*DS380+DU26*DS380+DV26*DS380</f>
        <v>0</v>
      </c>
      <c r="DU380" s="64"/>
      <c r="DV380" s="64"/>
      <c r="DX380" s="60">
        <v>2</v>
      </c>
      <c r="DY380" s="65">
        <f>DY19*DX380+DZ19*DX380+EA19*DX380+DY23*DX380+DZ23*DX380+EA23*DX380+DY26*DX380+DZ26*DX380+EA26*DX380</f>
        <v>0</v>
      </c>
      <c r="DZ380" s="64"/>
      <c r="EA380" s="64"/>
      <c r="EC380" s="60">
        <v>2</v>
      </c>
      <c r="ED380" s="65">
        <f>ED19*EC380+EE19*EC380+EF19*EC380+ED23*EC380+EE23*EC380+EF23*EC380+ED26*EC380+EE26*EC380+EF26*EC380</f>
        <v>0</v>
      </c>
      <c r="EE380" s="64"/>
      <c r="EF380" s="64"/>
      <c r="EH380" s="60">
        <v>2</v>
      </c>
      <c r="EI380" s="65">
        <f>EI19*EH380+EJ19*EH380+EK19*EH380+EI23*EH380+EJ23*EH380+EK23*EH380+EI26*EH380+EJ26*EH380+EK26*EH380</f>
        <v>0</v>
      </c>
      <c r="EJ380" s="64"/>
      <c r="EK380" s="64"/>
      <c r="ER380" s="855"/>
      <c r="EX380" s="203">
        <f t="shared" si="25"/>
        <v>0</v>
      </c>
    </row>
    <row r="381" spans="1:155" s="6" customFormat="1" ht="15" customHeight="1">
      <c r="A381" s="90" t="s">
        <v>237</v>
      </c>
      <c r="B381" s="210" t="s">
        <v>237</v>
      </c>
      <c r="C381" s="473" t="s">
        <v>515</v>
      </c>
      <c r="D381" s="138"/>
      <c r="E381" s="62"/>
      <c r="F381" s="41"/>
      <c r="G381" s="41"/>
      <c r="H381" s="41"/>
      <c r="I381" s="4"/>
      <c r="J381" s="4"/>
      <c r="K381" s="4"/>
      <c r="L381" s="4"/>
      <c r="M381" s="4"/>
      <c r="N381" s="4"/>
      <c r="O381" s="4"/>
      <c r="P381" s="4"/>
      <c r="Q381" s="4"/>
      <c r="R381" s="40"/>
      <c r="S381" s="41"/>
      <c r="T381" s="140"/>
      <c r="U381" s="41"/>
      <c r="W381" s="40"/>
      <c r="X381" s="41"/>
      <c r="Y381" s="41"/>
      <c r="Z381" s="41"/>
      <c r="AB381" s="40"/>
      <c r="AC381" s="41"/>
      <c r="AD381" s="41"/>
      <c r="AE381" s="41"/>
      <c r="AG381" s="40"/>
      <c r="AH381" s="41"/>
      <c r="AI381" s="41"/>
      <c r="AJ381" s="41"/>
      <c r="AL381" s="40"/>
      <c r="AM381" s="41"/>
      <c r="AN381" s="41"/>
      <c r="AO381" s="41"/>
      <c r="AQ381" s="40"/>
      <c r="AR381" s="41"/>
      <c r="AS381" s="41"/>
      <c r="AT381" s="41"/>
      <c r="AV381" s="51"/>
      <c r="AW381" s="140"/>
      <c r="AX381" s="139"/>
      <c r="AY381" s="140"/>
      <c r="BA381" s="51"/>
      <c r="BB381" s="140"/>
      <c r="BC381" s="139"/>
      <c r="BD381" s="41"/>
      <c r="BF381" s="60"/>
      <c r="BG381" s="41"/>
      <c r="BH381" s="40"/>
      <c r="BI381" s="41"/>
      <c r="BK381" s="142"/>
      <c r="BL381" s="140"/>
      <c r="BM381" s="40"/>
      <c r="BN381" s="41"/>
      <c r="BP381" s="62"/>
      <c r="BQ381" s="41"/>
      <c r="BR381" s="40"/>
      <c r="BS381" s="41"/>
      <c r="BU381" s="62"/>
      <c r="BV381" s="41"/>
      <c r="BW381" s="40"/>
      <c r="BX381" s="41"/>
      <c r="BZ381" s="61"/>
      <c r="CA381" s="41"/>
      <c r="CB381" s="40"/>
      <c r="CC381" s="41"/>
      <c r="CD381" s="140"/>
      <c r="CE381" s="61"/>
      <c r="CF381" s="41"/>
      <c r="CG381" s="40"/>
      <c r="CH381" s="41"/>
      <c r="CJ381" s="141"/>
      <c r="CK381" s="140"/>
      <c r="CL381" s="139"/>
      <c r="CM381" s="140"/>
      <c r="CO381" s="223"/>
      <c r="CP381" s="41"/>
      <c r="CQ381" s="40"/>
      <c r="CR381" s="41"/>
      <c r="CT381" s="62"/>
      <c r="CU381" s="41"/>
      <c r="CV381" s="40"/>
      <c r="CW381" s="41"/>
      <c r="CY381" s="62"/>
      <c r="CZ381" s="41"/>
      <c r="DA381" s="40"/>
      <c r="DB381" s="41"/>
      <c r="DD381" s="46"/>
      <c r="DE381" s="41"/>
      <c r="DF381" s="40"/>
      <c r="DG381" s="41"/>
      <c r="DI381" s="71">
        <v>2</v>
      </c>
      <c r="DJ381" s="66">
        <f>DJ5*DI381+DJ6*DI381+DJ7*DI381+DJ8*DI381+DJ9*DI381+DJ10*DI381+DJ11*DI381+DJ12*DI381+DJ13*DI381+DJ14*DI381+DJ15*DI381+DK5*DI381+DK6*DI381+DK7*DI381+DK8*DI381+DK9*DI381+DK10*DI381+DK11*DI381+DK12*DI381+DK13*DI381+DK14*DI381+DK15*DI381+DL5*DI381+DL6*DI381+DL7*DI381+DL8*DI381+DL9*DI381+DL10*DI381+DL11*DI381+DL12*DI381+DL13*DI381+DL14*DI381+DL15*DI381</f>
        <v>0</v>
      </c>
      <c r="DK381" s="64"/>
      <c r="DL381" s="64"/>
      <c r="DN381" s="71">
        <v>2</v>
      </c>
      <c r="DO381" s="66">
        <f>DO5*DN381+DO6*DN381+DO7*DN381+DO8*DN381+DO9*DN381+DO10*DN381+DO11*DN381+DO12*DN381+DO13*DN381+DO14*DN381+DO15*DN381+DP5*DN381+DP6*DN381+DP7*DN381+DP8*DN381+DP9*DN381+DP10*DN381+DP11*DN381+DP12*DN381+DP13*DN381+DP14*DN381+DP15*DN381+DQ5*DN381+DQ6*DN381+DQ7*DN381+DQ8*DN381+DQ9*DN381+DQ10*DN381+DQ11*DN381+DQ12*DN381+DQ13*DN381+DQ14*DN381+DQ15*DN381</f>
        <v>0</v>
      </c>
      <c r="DP381" s="64"/>
      <c r="DQ381" s="64"/>
      <c r="DS381" s="60">
        <v>2</v>
      </c>
      <c r="DT381" s="66">
        <f>DT5*DS381+DT6*DS381+DT7*DS381+DT8*DS381+DT9*DS381+DT10*DS381+DT11*DS381+DT12*DS381+DT13*DS381+DT14*DS381+DT15*DS381+DU5*DS381+DU6*DS381+DU7*DS381+DU8*DS381+DU9*DS381+DU10*DS381+DU11*DS381+DU12*DS381+DU13*DS381+DU14*DS381+DU15*DS381+DV5*DS381+DV6*DS381+DV7*DS381+DV8*DS381+DV9*DS381+DV10*DS381+DV11*DS381+DV12*DS381+DV13*DS381+DV14*DS381+DV15*DS381</f>
        <v>0</v>
      </c>
      <c r="DU381" s="64"/>
      <c r="DV381" s="64"/>
      <c r="DX381" s="60">
        <v>2</v>
      </c>
      <c r="DY381" s="66">
        <f>DY5*DX381+DY6*DX381+DY7*DX381+DY8*DX381+DY9*DX381+DY10*DX381+DY11*DX381+DY12*DX381+DY13*DX381+DY14*DX381+DY15*DX381+DZ5*DX381+DZ6*DX381+DZ7*DX381+DZ8*DX381+DZ9*DX381+DZ10*DX381+DZ11*DX381+DZ12*DX381+DZ13*DX381+DZ14*DX381+DZ15*DX381+EA5*DX381+EA6*DX381+EA7*DX381+EA8*DX381+EA9*DX381+EA10*DX381+EA11*DX381+EA12*DX381+EA13*DX381+EA14*DX381+EA15*DX381</f>
        <v>0</v>
      </c>
      <c r="DZ381" s="64"/>
      <c r="EA381" s="64"/>
      <c r="EC381" s="60">
        <v>2</v>
      </c>
      <c r="ED381" s="66">
        <f>ED5*EC381+ED6*EC381+ED7*EC381+ED8*EC381+ED9*EC381+ED10*EC381+ED11*EC381+ED12*EC381+ED13*EC381+ED14*EC381+ED15*EC381+EE5*EC381+EE6*EC381+EE7*EC381+EE8*EC381+EE9*EC381+EE10*EC381+EE11*EC381+EE12*EC381+EE13*EC381+EE14*EC381+EE15*EC381+EF5*EC381+EF6*EC381+EF7*EC381+EF8*EC381+EF9*EC381+EF10*EC381+EF11*EC381+EF12*EC381+EF13*EC381+EF14*EC381+EF15*EC381</f>
        <v>0</v>
      </c>
      <c r="EE381" s="64"/>
      <c r="EF381" s="64"/>
      <c r="EH381" s="60">
        <v>2</v>
      </c>
      <c r="EI381" s="66">
        <f>EI5*EH381+EI6*EH381+EI7*EH381+EI8*EH381+EI9*EH381+EI10*EH381+EI11*EH381+EI12*EH381+EI13*EH381+EI14*EH381+EI15*EH381+EJ5*EH381+EJ6*EH381+EJ7*EH381+EJ8*EH381+EJ9*EH381+EJ10*EH381+EJ11*EH381+EJ12*EH381+EJ13*EH381+EJ14*EH381+EJ15*EH381+EK5*EH381+EK6*EH381+EK7*EH381+EK8*EH381+EK9*EH381+EK10*EH381+EK11*EH381+EK12*EH381+EK13*EH381+EK14*EH381+EK15*EH381</f>
        <v>0</v>
      </c>
      <c r="EJ381" s="64"/>
      <c r="EK381" s="64"/>
      <c r="ER381" s="855"/>
      <c r="EX381" s="203">
        <f t="shared" si="25"/>
        <v>0</v>
      </c>
    </row>
    <row r="382" spans="1:155" s="6" customFormat="1" ht="15" customHeight="1">
      <c r="A382" s="90"/>
      <c r="B382" s="210" t="s">
        <v>1516</v>
      </c>
      <c r="C382" s="473" t="s">
        <v>0</v>
      </c>
      <c r="D382" s="138"/>
      <c r="E382" s="62"/>
      <c r="F382" s="41"/>
      <c r="G382" s="41"/>
      <c r="H382" s="41"/>
      <c r="I382" s="4"/>
      <c r="J382" s="4"/>
      <c r="K382" s="4"/>
      <c r="L382" s="4"/>
      <c r="M382" s="4"/>
      <c r="N382" s="4"/>
      <c r="O382" s="4"/>
      <c r="P382" s="4"/>
      <c r="Q382" s="4"/>
      <c r="R382" s="40"/>
      <c r="S382" s="41"/>
      <c r="T382" s="140"/>
      <c r="U382" s="41"/>
      <c r="W382" s="40"/>
      <c r="X382" s="41"/>
      <c r="Y382" s="41"/>
      <c r="Z382" s="41"/>
      <c r="AB382" s="40"/>
      <c r="AC382" s="41"/>
      <c r="AD382" s="41"/>
      <c r="AE382" s="41"/>
      <c r="AG382" s="40"/>
      <c r="AH382" s="41"/>
      <c r="AI382" s="41"/>
      <c r="AJ382" s="41"/>
      <c r="AL382" s="40"/>
      <c r="AM382" s="41"/>
      <c r="AN382" s="41"/>
      <c r="AO382" s="41"/>
      <c r="AQ382" s="40"/>
      <c r="AR382" s="41"/>
      <c r="AS382" s="41"/>
      <c r="AT382" s="41"/>
      <c r="AV382" s="51"/>
      <c r="AW382" s="140"/>
      <c r="AX382" s="139"/>
      <c r="AY382" s="140"/>
      <c r="BA382" s="51"/>
      <c r="BB382" s="140"/>
      <c r="BC382" s="139"/>
      <c r="BD382" s="41"/>
      <c r="BF382" s="60"/>
      <c r="BG382" s="41"/>
      <c r="BH382" s="40"/>
      <c r="BI382" s="41"/>
      <c r="BK382" s="142"/>
      <c r="BL382" s="140"/>
      <c r="BM382" s="40"/>
      <c r="BN382" s="41"/>
      <c r="BP382" s="62"/>
      <c r="BQ382" s="41"/>
      <c r="BR382" s="40"/>
      <c r="BS382" s="41"/>
      <c r="BU382" s="62"/>
      <c r="BV382" s="41"/>
      <c r="BW382" s="40"/>
      <c r="BX382" s="41"/>
      <c r="BZ382" s="61"/>
      <c r="CA382" s="41"/>
      <c r="CB382" s="40"/>
      <c r="CC382" s="41"/>
      <c r="CD382" s="140"/>
      <c r="CE382" s="61"/>
      <c r="CF382" s="41"/>
      <c r="CG382" s="40"/>
      <c r="CH382" s="41"/>
      <c r="CJ382" s="141"/>
      <c r="CK382" s="140"/>
      <c r="CL382" s="139"/>
      <c r="CM382" s="140"/>
      <c r="CO382" s="223"/>
      <c r="CP382" s="41"/>
      <c r="CQ382" s="40"/>
      <c r="CR382" s="41"/>
      <c r="CT382" s="62"/>
      <c r="CU382" s="41"/>
      <c r="CV382" s="40"/>
      <c r="CW382" s="41"/>
      <c r="CY382" s="62"/>
      <c r="CZ382" s="41"/>
      <c r="DA382" s="40"/>
      <c r="DB382" s="41"/>
      <c r="DD382" s="46"/>
      <c r="DE382" s="41"/>
      <c r="DF382" s="40"/>
      <c r="DG382" s="41"/>
      <c r="DI382" s="71"/>
      <c r="DJ382" s="66"/>
      <c r="DK382" s="64"/>
      <c r="DL382" s="64"/>
      <c r="DN382" s="71"/>
      <c r="DO382" s="66"/>
      <c r="DP382" s="64"/>
      <c r="DQ382" s="64"/>
      <c r="DS382" s="60"/>
      <c r="DT382" s="66"/>
      <c r="DU382" s="64"/>
      <c r="DV382" s="64"/>
      <c r="DX382" s="60"/>
      <c r="DY382" s="66"/>
      <c r="DZ382" s="64"/>
      <c r="EA382" s="64"/>
      <c r="EC382" s="60"/>
      <c r="ED382" s="66"/>
      <c r="EE382" s="64"/>
      <c r="EF382" s="64"/>
      <c r="EH382" s="60"/>
      <c r="EI382" s="66"/>
      <c r="EJ382" s="64"/>
      <c r="EK382" s="64"/>
      <c r="ER382" s="855"/>
      <c r="EX382" s="203">
        <f t="shared" si="25"/>
        <v>0</v>
      </c>
    </row>
    <row r="383" spans="1:155" s="6" customFormat="1" ht="15" customHeight="1">
      <c r="A383" s="90"/>
      <c r="B383" s="210" t="s">
        <v>1517</v>
      </c>
      <c r="C383" s="473" t="s">
        <v>0</v>
      </c>
      <c r="D383" s="138"/>
      <c r="E383" s="62"/>
      <c r="F383" s="41"/>
      <c r="G383" s="41"/>
      <c r="H383" s="41"/>
      <c r="I383" s="4"/>
      <c r="J383" s="4"/>
      <c r="K383" s="4"/>
      <c r="L383" s="4"/>
      <c r="M383" s="4"/>
      <c r="N383" s="4"/>
      <c r="O383" s="4"/>
      <c r="P383" s="4"/>
      <c r="Q383" s="4"/>
      <c r="R383" s="40"/>
      <c r="S383" s="41"/>
      <c r="T383" s="140"/>
      <c r="U383" s="41"/>
      <c r="W383" s="40"/>
      <c r="X383" s="41"/>
      <c r="Y383" s="41"/>
      <c r="Z383" s="41"/>
      <c r="AB383" s="40"/>
      <c r="AC383" s="41"/>
      <c r="AD383" s="41"/>
      <c r="AE383" s="41"/>
      <c r="AG383" s="40"/>
      <c r="AH383" s="41"/>
      <c r="AI383" s="41"/>
      <c r="AJ383" s="41"/>
      <c r="AL383" s="40"/>
      <c r="AM383" s="41"/>
      <c r="AN383" s="41"/>
      <c r="AO383" s="41"/>
      <c r="AQ383" s="40"/>
      <c r="AR383" s="41"/>
      <c r="AS383" s="41"/>
      <c r="AT383" s="41"/>
      <c r="AV383" s="51"/>
      <c r="AW383" s="140"/>
      <c r="AX383" s="139"/>
      <c r="AY383" s="140"/>
      <c r="BA383" s="51"/>
      <c r="BB383" s="140"/>
      <c r="BC383" s="139"/>
      <c r="BD383" s="41"/>
      <c r="BF383" s="60"/>
      <c r="BG383" s="41"/>
      <c r="BH383" s="40"/>
      <c r="BI383" s="41"/>
      <c r="BK383" s="142"/>
      <c r="BL383" s="140"/>
      <c r="BM383" s="40"/>
      <c r="BN383" s="41"/>
      <c r="BP383" s="62"/>
      <c r="BQ383" s="41"/>
      <c r="BR383" s="40"/>
      <c r="BS383" s="41"/>
      <c r="BU383" s="62"/>
      <c r="BV383" s="41"/>
      <c r="BW383" s="40"/>
      <c r="BX383" s="41"/>
      <c r="BZ383" s="61"/>
      <c r="CA383" s="41"/>
      <c r="CB383" s="40"/>
      <c r="CC383" s="41"/>
      <c r="CD383" s="140"/>
      <c r="CE383" s="61"/>
      <c r="CF383" s="41"/>
      <c r="CG383" s="40"/>
      <c r="CH383" s="41"/>
      <c r="CJ383" s="141"/>
      <c r="CK383" s="140"/>
      <c r="CL383" s="139"/>
      <c r="CM383" s="140"/>
      <c r="CO383" s="223"/>
      <c r="CP383" s="41"/>
      <c r="CQ383" s="40"/>
      <c r="CR383" s="41"/>
      <c r="CT383" s="62"/>
      <c r="CU383" s="41"/>
      <c r="CV383" s="40"/>
      <c r="CW383" s="41"/>
      <c r="CY383" s="62"/>
      <c r="CZ383" s="41"/>
      <c r="DA383" s="40"/>
      <c r="DB383" s="41"/>
      <c r="DD383" s="46"/>
      <c r="DE383" s="41"/>
      <c r="DF383" s="40"/>
      <c r="DG383" s="41"/>
      <c r="DI383" s="71"/>
      <c r="DJ383" s="66"/>
      <c r="DK383" s="64"/>
      <c r="DL383" s="64"/>
      <c r="DN383" s="71"/>
      <c r="DO383" s="66"/>
      <c r="DP383" s="64"/>
      <c r="DQ383" s="64"/>
      <c r="DS383" s="60"/>
      <c r="DT383" s="66"/>
      <c r="DU383" s="64"/>
      <c r="DV383" s="64"/>
      <c r="DX383" s="60"/>
      <c r="DY383" s="66"/>
      <c r="DZ383" s="64"/>
      <c r="EA383" s="64"/>
      <c r="EC383" s="60"/>
      <c r="ED383" s="66"/>
      <c r="EE383" s="64"/>
      <c r="EF383" s="64"/>
      <c r="EH383" s="60"/>
      <c r="EI383" s="66"/>
      <c r="EJ383" s="64"/>
      <c r="EK383" s="64"/>
      <c r="ER383" s="855"/>
      <c r="EX383" s="203">
        <f t="shared" si="25"/>
        <v>0</v>
      </c>
    </row>
    <row r="384" spans="1:155" s="6" customFormat="1" ht="15" customHeight="1">
      <c r="A384" s="90" t="s">
        <v>160</v>
      </c>
      <c r="B384" s="210" t="s">
        <v>160</v>
      </c>
      <c r="C384" s="473" t="s">
        <v>515</v>
      </c>
      <c r="D384" s="138"/>
      <c r="E384" s="40"/>
      <c r="F384" s="40"/>
      <c r="G384" s="40"/>
      <c r="H384" s="40"/>
      <c r="I384" s="4"/>
      <c r="J384" s="4"/>
      <c r="K384" s="4"/>
      <c r="L384" s="4"/>
      <c r="M384" s="4"/>
      <c r="N384" s="4"/>
      <c r="O384" s="4"/>
      <c r="P384" s="4"/>
      <c r="Q384" s="4"/>
      <c r="R384" s="40"/>
      <c r="S384" s="41"/>
      <c r="T384" s="140"/>
      <c r="U384" s="41"/>
      <c r="W384" s="40"/>
      <c r="X384" s="41"/>
      <c r="Y384" s="41"/>
      <c r="Z384" s="41"/>
      <c r="AB384" s="40"/>
      <c r="AC384" s="41"/>
      <c r="AD384" s="41"/>
      <c r="AE384" s="41"/>
      <c r="AG384" s="40"/>
      <c r="AH384" s="41"/>
      <c r="AI384" s="41"/>
      <c r="AJ384" s="41"/>
      <c r="AL384" s="40"/>
      <c r="AM384" s="41"/>
      <c r="AN384" s="41"/>
      <c r="AO384" s="41"/>
      <c r="AQ384" s="40"/>
      <c r="AR384" s="41"/>
      <c r="AS384" s="41"/>
      <c r="AT384" s="41"/>
      <c r="AV384" s="139"/>
      <c r="AW384" s="139"/>
      <c r="AX384" s="139"/>
      <c r="AY384" s="140"/>
      <c r="BA384" s="139"/>
      <c r="BB384" s="139"/>
      <c r="BC384" s="139"/>
      <c r="BD384" s="41"/>
      <c r="BF384" s="40"/>
      <c r="BG384" s="40"/>
      <c r="BH384" s="40"/>
      <c r="BI384" s="41"/>
      <c r="BK384" s="139"/>
      <c r="BL384" s="139"/>
      <c r="BM384" s="40"/>
      <c r="BN384" s="41"/>
      <c r="BP384" s="40"/>
      <c r="BQ384" s="40"/>
      <c r="BR384" s="40"/>
      <c r="BS384" s="41"/>
      <c r="BU384" s="40"/>
      <c r="BV384" s="40"/>
      <c r="BW384" s="40"/>
      <c r="BX384" s="41"/>
      <c r="BZ384" s="40"/>
      <c r="CA384" s="40"/>
      <c r="CB384" s="40"/>
      <c r="CC384" s="41"/>
      <c r="CD384" s="140"/>
      <c r="CE384" s="40"/>
      <c r="CF384" s="40"/>
      <c r="CG384" s="40"/>
      <c r="CH384" s="41"/>
      <c r="CJ384" s="139"/>
      <c r="CK384" s="139"/>
      <c r="CL384" s="139"/>
      <c r="CM384" s="140"/>
      <c r="CO384" s="222"/>
      <c r="CP384" s="40"/>
      <c r="CQ384" s="40"/>
      <c r="CR384" s="41"/>
      <c r="CT384" s="40"/>
      <c r="CU384" s="40"/>
      <c r="CV384" s="40"/>
      <c r="CW384" s="41"/>
      <c r="CY384" s="40"/>
      <c r="CZ384" s="40"/>
      <c r="DA384" s="40"/>
      <c r="DB384" s="41"/>
      <c r="DD384" s="40"/>
      <c r="DE384" s="40"/>
      <c r="DF384" s="40"/>
      <c r="DG384" s="41"/>
      <c r="DI384" s="64"/>
      <c r="DJ384" s="64"/>
      <c r="DK384" s="64"/>
      <c r="DL384" s="64"/>
      <c r="DN384" s="64"/>
      <c r="DO384" s="64"/>
      <c r="DP384" s="64"/>
      <c r="DQ384" s="64"/>
      <c r="DS384" s="64"/>
      <c r="DT384" s="64"/>
      <c r="DU384" s="64"/>
      <c r="DV384" s="64"/>
      <c r="DX384" s="64"/>
      <c r="DY384" s="64"/>
      <c r="DZ384" s="64"/>
      <c r="EA384" s="64"/>
      <c r="EC384" s="64"/>
      <c r="ED384" s="64"/>
      <c r="EE384" s="64"/>
      <c r="EF384" s="64"/>
      <c r="EH384" s="64"/>
      <c r="EI384" s="64"/>
      <c r="EJ384" s="64"/>
      <c r="EK384" s="64"/>
      <c r="ER384" s="855"/>
      <c r="EX384" s="203">
        <f t="shared" si="25"/>
        <v>0</v>
      </c>
      <c r="EY384" s="142">
        <v>13</v>
      </c>
    </row>
    <row r="385" spans="1:155" s="6" customFormat="1" ht="15" customHeight="1">
      <c r="A385" s="90" t="s">
        <v>161</v>
      </c>
      <c r="B385" s="210" t="s">
        <v>161</v>
      </c>
      <c r="C385" s="473" t="s">
        <v>515</v>
      </c>
      <c r="D385" s="138"/>
      <c r="E385" s="40"/>
      <c r="F385" s="40"/>
      <c r="G385" s="40"/>
      <c r="H385" s="40"/>
      <c r="I385" s="4"/>
      <c r="J385" s="4"/>
      <c r="K385" s="4"/>
      <c r="L385" s="4"/>
      <c r="M385" s="4"/>
      <c r="N385" s="4"/>
      <c r="O385" s="4"/>
      <c r="P385" s="4"/>
      <c r="Q385" s="4"/>
      <c r="R385" s="40"/>
      <c r="S385" s="41"/>
      <c r="T385" s="140"/>
      <c r="U385" s="41"/>
      <c r="W385" s="40"/>
      <c r="X385" s="41"/>
      <c r="Y385" s="41"/>
      <c r="Z385" s="41"/>
      <c r="AB385" s="40"/>
      <c r="AC385" s="41"/>
      <c r="AD385" s="41"/>
      <c r="AE385" s="41"/>
      <c r="AG385" s="40"/>
      <c r="AH385" s="41"/>
      <c r="AI385" s="41"/>
      <c r="AJ385" s="41"/>
      <c r="AL385" s="40"/>
      <c r="AM385" s="41"/>
      <c r="AN385" s="41"/>
      <c r="AO385" s="41"/>
      <c r="AQ385" s="40"/>
      <c r="AR385" s="41"/>
      <c r="AS385" s="41"/>
      <c r="AT385" s="41"/>
      <c r="AV385" s="139"/>
      <c r="AW385" s="139"/>
      <c r="AX385" s="139"/>
      <c r="AY385" s="140"/>
      <c r="BA385" s="139"/>
      <c r="BB385" s="139"/>
      <c r="BC385" s="139"/>
      <c r="BD385" s="41"/>
      <c r="BF385" s="40"/>
      <c r="BG385" s="40"/>
      <c r="BH385" s="40"/>
      <c r="BI385" s="41"/>
      <c r="BK385" s="139"/>
      <c r="BL385" s="139"/>
      <c r="BM385" s="40"/>
      <c r="BN385" s="41"/>
      <c r="BP385" s="40"/>
      <c r="BQ385" s="40"/>
      <c r="BR385" s="40"/>
      <c r="BS385" s="41"/>
      <c r="BU385" s="40"/>
      <c r="BV385" s="40"/>
      <c r="BW385" s="40"/>
      <c r="BX385" s="41"/>
      <c r="BZ385" s="40"/>
      <c r="CA385" s="40"/>
      <c r="CB385" s="40"/>
      <c r="CC385" s="41"/>
      <c r="CD385" s="140"/>
      <c r="CE385" s="40"/>
      <c r="CF385" s="40"/>
      <c r="CG385" s="40"/>
      <c r="CH385" s="41"/>
      <c r="CJ385" s="139"/>
      <c r="CK385" s="139"/>
      <c r="CL385" s="139"/>
      <c r="CM385" s="140"/>
      <c r="CO385" s="222"/>
      <c r="CP385" s="40"/>
      <c r="CQ385" s="40"/>
      <c r="CR385" s="41"/>
      <c r="CT385" s="40"/>
      <c r="CU385" s="40"/>
      <c r="CV385" s="40"/>
      <c r="CW385" s="41"/>
      <c r="CY385" s="40"/>
      <c r="CZ385" s="40"/>
      <c r="DA385" s="40"/>
      <c r="DB385" s="41"/>
      <c r="DD385" s="40"/>
      <c r="DE385" s="40"/>
      <c r="DF385" s="40"/>
      <c r="DG385" s="41"/>
      <c r="DI385" s="64"/>
      <c r="DJ385" s="64"/>
      <c r="DK385" s="64"/>
      <c r="DL385" s="64"/>
      <c r="DN385" s="64"/>
      <c r="DO385" s="64"/>
      <c r="DP385" s="64"/>
      <c r="DQ385" s="64"/>
      <c r="DS385" s="64"/>
      <c r="DT385" s="64"/>
      <c r="DU385" s="64"/>
      <c r="DV385" s="64"/>
      <c r="DX385" s="64"/>
      <c r="DY385" s="64"/>
      <c r="DZ385" s="64"/>
      <c r="EA385" s="64"/>
      <c r="EC385" s="64"/>
      <c r="ED385" s="64"/>
      <c r="EE385" s="64"/>
      <c r="EF385" s="64"/>
      <c r="EH385" s="64"/>
      <c r="EI385" s="64"/>
      <c r="EJ385" s="64"/>
      <c r="EK385" s="64"/>
      <c r="ER385" s="855"/>
      <c r="EX385" s="203">
        <f t="shared" si="25"/>
        <v>0</v>
      </c>
      <c r="EY385" s="116">
        <v>34</v>
      </c>
    </row>
    <row r="386" spans="1:155" s="6" customFormat="1" ht="15" customHeight="1">
      <c r="A386" s="90" t="s">
        <v>128</v>
      </c>
      <c r="B386" s="210" t="s">
        <v>128</v>
      </c>
      <c r="C386" s="473" t="s">
        <v>515</v>
      </c>
      <c r="D386" s="138"/>
      <c r="E386" s="40"/>
      <c r="F386" s="40"/>
      <c r="G386" s="40"/>
      <c r="H386" s="40"/>
      <c r="I386" s="4"/>
      <c r="J386" s="4"/>
      <c r="K386" s="4"/>
      <c r="L386" s="4"/>
      <c r="M386" s="658">
        <v>3</v>
      </c>
      <c r="N386" s="658">
        <f>SUM(N16:N26,O16:O26,P16:P26)*M386</f>
        <v>0</v>
      </c>
      <c r="O386" s="4"/>
      <c r="P386" s="4"/>
      <c r="Q386" s="4"/>
      <c r="R386" s="46">
        <v>3</v>
      </c>
      <c r="S386" s="41">
        <f>S16*R386+T16*R386+S17*R386+T17*R386+S18*R386+T18*R386+S19*R386+T19*R386+S20*R386+T20*R386+S21*R386+T21*R386+S22*R386+T22*R386+S23*R386+T23*R386+S24*R386+T24*R386+S25*R386+T25*R386+S26*R386+T26*R386+U16*R386+U17*R386+U18*R386+U20*R386+U21*R386+U24*R386+U22*R386+U25*R386+U23*R386+U26*R386+U19*R386</f>
        <v>0</v>
      </c>
      <c r="T386" s="140"/>
      <c r="U386" s="41"/>
      <c r="W386" s="47">
        <v>2</v>
      </c>
      <c r="X386" s="47">
        <f>X16*W386+Z16*W386+X17*W386+Z17*W386+X18*W386+Z18*W386+X19*W386+Z19*W386+X20*W386+Z20*W386+X21*W386+Z21*W386+X22*W386+Z22*W386+X23*W386+Z23*W386+X24*W386+Z24*W386+X25*W386+Z25*W386+X26*W386+Z26*W386+Y16*W386+Y17*W386+Y18*W386+Y19*W386+Y20*W386+Y21*W386+Y22*W386+Y23*W386+Y24*W386+Y25*W386+Y26*W386</f>
        <v>0</v>
      </c>
      <c r="Y386" s="41"/>
      <c r="Z386" s="41"/>
      <c r="AB386" s="46">
        <v>2</v>
      </c>
      <c r="AC386" s="41">
        <f>AC16*AB386+AD16*AB386+AC17*AB386+AD17*AB386+AC18*AB386+AD18*AB386+AC19*AB386+AD19*AB386+AC20*AB386+AD20*AB386+AC21*AB386+AD21*AB386+AC22*AB386+AD22*AB386+AC23*AB386+AD23*AB386+AC24*AB386+AD24*AB386+AC25*AB386+AD25*AB386+AC26*AB386+AD26*AB386+AE16*AB386+AE17*AB386+AE18*AB386+AE20*AB386+AE21*AB386+AE24*AB386+AE22*AB386+AE25*AB386+AE23*AB386+AE26*AB386+AE19*AB386</f>
        <v>0</v>
      </c>
      <c r="AD386" s="41"/>
      <c r="AE386" s="41"/>
      <c r="AG386" s="40"/>
      <c r="AH386" s="41"/>
      <c r="AI386" s="41"/>
      <c r="AJ386" s="41"/>
      <c r="AL386" s="46">
        <v>3</v>
      </c>
      <c r="AM386" s="41">
        <f>AM16*AL386+AN16*AL386+AM17*AL386+AN17*AL386+AM18*AL386+AN18*AL386+AM19*AL386+AN19*AL386+AM20*AL386+AN20*AL386+AM21*AL386+AN21*AL386+AM22*AL386+AN22*AL386+AM23*AL386+AN23*AL386+AM24*AL386+AN24*AL386+AM25*AL386+AN25*AL386+AM26*AL386+AN26*AL386+AO16*AL386+AO17*AL386+AO18*AL386+AO20*AL386+AO21*AL386+AO24*AL386+AO22*AL386+AO25*AL386+AO23*AL386+AO26*AL386+AO19*AL386</f>
        <v>0</v>
      </c>
      <c r="AN386" s="41"/>
      <c r="AO386" s="41"/>
      <c r="AQ386" s="46">
        <v>3</v>
      </c>
      <c r="AR386" s="41">
        <f>AR16*AQ386+AS16*AQ386+AR17*AQ386+AS17*AQ386+AR18*AQ386+AS18*AQ386+AR19*AQ386+AS19*AQ386+AR20*AQ386+AS20*AQ386+AR21*AQ386+AS21*AQ386+AR22*AQ386+AS22*AQ386+AR23*AQ386+AS23*AQ386+AR24*AQ386+AS24*AQ386+AR25*AQ386+AS25*AQ386+AR26*AQ386+AS26*AQ386+AT16*AQ386+AT17*AQ386+AT18*AQ386+AT20*AQ386+AT21*AQ386+AT24*AQ386+AT22*AQ386+AT25*AQ386+AT23*AQ386+AT26*AQ386+AT19*AQ386</f>
        <v>0</v>
      </c>
      <c r="AS386" s="41"/>
      <c r="AT386" s="41"/>
      <c r="AV386" s="139"/>
      <c r="AW386" s="139"/>
      <c r="AX386" s="139"/>
      <c r="AY386" s="140"/>
      <c r="BA386" s="139"/>
      <c r="BB386" s="139"/>
      <c r="BC386" s="139"/>
      <c r="BD386" s="41"/>
      <c r="BF386" s="40"/>
      <c r="BG386" s="40"/>
      <c r="BH386" s="40"/>
      <c r="BI386" s="41"/>
      <c r="BK386" s="139"/>
      <c r="BL386" s="139"/>
      <c r="BM386" s="40"/>
      <c r="BN386" s="41"/>
      <c r="BP386" s="40"/>
      <c r="BQ386" s="40"/>
      <c r="BR386" s="40"/>
      <c r="BS386" s="41"/>
      <c r="BU386" s="40"/>
      <c r="BV386" s="40"/>
      <c r="BW386" s="40"/>
      <c r="BX386" s="41"/>
      <c r="BZ386" s="40"/>
      <c r="CA386" s="40"/>
      <c r="CB386" s="40"/>
      <c r="CC386" s="41"/>
      <c r="CD386" s="140"/>
      <c r="CE386" s="40"/>
      <c r="CF386" s="40"/>
      <c r="CG386" s="40"/>
      <c r="CH386" s="41"/>
      <c r="CJ386" s="139"/>
      <c r="CK386" s="139"/>
      <c r="CL386" s="139"/>
      <c r="CM386" s="140"/>
      <c r="CO386" s="222"/>
      <c r="CP386" s="40"/>
      <c r="CQ386" s="40"/>
      <c r="CR386" s="41"/>
      <c r="CT386" s="40"/>
      <c r="CU386" s="40"/>
      <c r="CV386" s="40"/>
      <c r="CW386" s="41"/>
      <c r="CY386" s="40"/>
      <c r="CZ386" s="40"/>
      <c r="DA386" s="40"/>
      <c r="DB386" s="41"/>
      <c r="DD386" s="40"/>
      <c r="DE386" s="40"/>
      <c r="DF386" s="40"/>
      <c r="DG386" s="41"/>
      <c r="DI386" s="64"/>
      <c r="DJ386" s="64"/>
      <c r="DK386" s="64"/>
      <c r="DL386" s="64"/>
      <c r="DN386" s="64"/>
      <c r="DO386" s="64"/>
      <c r="DP386" s="64"/>
      <c r="DQ386" s="64"/>
      <c r="DS386" s="64"/>
      <c r="DT386" s="64"/>
      <c r="DU386" s="64"/>
      <c r="DV386" s="64"/>
      <c r="DX386" s="64"/>
      <c r="DY386" s="64"/>
      <c r="DZ386" s="64"/>
      <c r="EA386" s="64"/>
      <c r="EC386" s="64"/>
      <c r="ED386" s="64"/>
      <c r="EE386" s="64"/>
      <c r="EF386" s="64"/>
      <c r="EH386" s="64"/>
      <c r="EI386" s="64"/>
      <c r="EJ386" s="64"/>
      <c r="EK386" s="64"/>
      <c r="ER386" s="855"/>
      <c r="EX386" s="203">
        <f t="shared" si="25"/>
        <v>0</v>
      </c>
    </row>
    <row r="387" spans="1:155" s="6" customFormat="1" ht="15" customHeight="1">
      <c r="A387" s="90" t="s">
        <v>35</v>
      </c>
      <c r="B387" s="210" t="s">
        <v>35</v>
      </c>
      <c r="C387" s="473" t="s">
        <v>515</v>
      </c>
      <c r="D387" s="138"/>
      <c r="E387" s="40"/>
      <c r="F387" s="40"/>
      <c r="G387" s="40"/>
      <c r="H387" s="40"/>
      <c r="I387" s="4"/>
      <c r="J387" s="4"/>
      <c r="K387" s="4"/>
      <c r="L387" s="4"/>
      <c r="M387" s="4"/>
      <c r="N387" s="4"/>
      <c r="O387" s="4"/>
      <c r="P387" s="4"/>
      <c r="Q387" s="4"/>
      <c r="R387" s="40"/>
      <c r="S387" s="41"/>
      <c r="T387" s="140"/>
      <c r="U387" s="41"/>
      <c r="W387" s="47">
        <v>1</v>
      </c>
      <c r="X387" s="47">
        <f>X5*W387+X6*W387+X7*W387+X8*W387+X9*W387+X10*W387+X11*W387+X12*W387+X13*W387+X14*W387+X15*W387+X16*W387+X17*W387+X18*W387+X19*W387+X20*W387+X21*W387+X22*W387+X23*W387+X24*W387+X25*W387+X26*W387+Y5*W387+Y6*W387+Y7*W387+Y8*W387+Y9*W387+Y10*W387+Y11*W387+Y12*W387+Y13*W387+Y14*W387+Y15*W387+Y16*W387+Y17*W387+Y18*W387+Y19*W387+Y20*W387+Y21*W387+Y22*W387+Y23*W387+Y24*W387+Y25*W387+Y26*W387+Z5*W387+Z6*W387+Z7*W387+Z8*W387+Z9*W387+Z10*W387+Z11*W387+Z12*W387+Z13*W387+Z14*W387+Z15*W387+Z16*W387+Z17*W387+Z18*W387+Z19*W387+Z20*W387+Z21*W387+Z22*W387+Z23*W387+Z24*W387+Z25*W387+Z26*W387</f>
        <v>0</v>
      </c>
      <c r="Y387" s="41"/>
      <c r="Z387" s="41"/>
      <c r="AB387" s="47">
        <v>1</v>
      </c>
      <c r="AC387" s="47">
        <f>AC5*AB387+AC6*AB387+AC7*AB387+AC8*AB387+AC9*AB387+AC10*AB387+AC11*AB387+AC12*AB387+AC13*AB387+AC14*AB387+AC15*AB387+AC16*AB387+AC17*AB387+AC18*AB387+AC19*AB387+AC20*AB387+AC21*AB387+AC22*AB387+AC23*AB387+AC24*AB387+AC25*AB387+AC26*AB387+AD5*AB387+AD6*AB387+AD7*AB387+AD8*AB387+AD9*AB387+AD10*AB387+AD11*AB387+AD12*AB387+AD13*AB387+AD14*AB387+AD15*AB387+AD16*AB387+AD17*AB387+AD18*AB387+AD19*AB387+AD20*AB387+AD21*AB387+AD22*AB387+AD23*AB387+AD24*AB387+AD25*AB387+AD26*AB387+AE5*AB387+AE6*AB387+AE7*AB387+AE8*AB387+AE9*AB387+AE10*AB387+AE11*AB387+AE12*AB387+AE13*AB387+AE14*AB387+AE15*AB387+AE16*AB387+AE17*AB387+AE18*AB387+AE19*AB387+AE20*AB387+AE21*AB387+AE22*AB387+AE23*AB387+AE24*AB387+AE25*AB387+AE26*AB387</f>
        <v>0</v>
      </c>
      <c r="AD387" s="41"/>
      <c r="AE387" s="41"/>
      <c r="AG387" s="40"/>
      <c r="AH387" s="41"/>
      <c r="AI387" s="41"/>
      <c r="AJ387" s="41"/>
      <c r="AL387" s="40"/>
      <c r="AM387" s="41"/>
      <c r="AN387" s="41"/>
      <c r="AO387" s="41"/>
      <c r="AQ387" s="40"/>
      <c r="AR387" s="41"/>
      <c r="AS387" s="41"/>
      <c r="AT387" s="41"/>
      <c r="AV387" s="139"/>
      <c r="AW387" s="139"/>
      <c r="AX387" s="139"/>
      <c r="AY387" s="140"/>
      <c r="BA387" s="139"/>
      <c r="BB387" s="139"/>
      <c r="BC387" s="139"/>
      <c r="BD387" s="41"/>
      <c r="BF387" s="40"/>
      <c r="BG387" s="40"/>
      <c r="BH387" s="40"/>
      <c r="BI387" s="41"/>
      <c r="BK387" s="139"/>
      <c r="BL387" s="139"/>
      <c r="BM387" s="40"/>
      <c r="BN387" s="41"/>
      <c r="BP387" s="40"/>
      <c r="BQ387" s="40"/>
      <c r="BR387" s="40"/>
      <c r="BS387" s="41"/>
      <c r="BU387" s="40"/>
      <c r="BV387" s="40"/>
      <c r="BW387" s="40"/>
      <c r="BX387" s="41"/>
      <c r="BZ387" s="40"/>
      <c r="CA387" s="40"/>
      <c r="CB387" s="40"/>
      <c r="CC387" s="41"/>
      <c r="CD387" s="140"/>
      <c r="CE387" s="40"/>
      <c r="CF387" s="40"/>
      <c r="CG387" s="40"/>
      <c r="CH387" s="41"/>
      <c r="CJ387" s="139"/>
      <c r="CK387" s="139"/>
      <c r="CL387" s="139"/>
      <c r="CM387" s="140"/>
      <c r="CO387" s="222"/>
      <c r="CP387" s="40"/>
      <c r="CQ387" s="40"/>
      <c r="CR387" s="41"/>
      <c r="CT387" s="40"/>
      <c r="CU387" s="40"/>
      <c r="CV387" s="40"/>
      <c r="CW387" s="41"/>
      <c r="CY387" s="40"/>
      <c r="CZ387" s="40"/>
      <c r="DA387" s="40"/>
      <c r="DB387" s="41"/>
      <c r="DD387" s="40"/>
      <c r="DE387" s="40"/>
      <c r="DF387" s="40"/>
      <c r="DG387" s="41"/>
      <c r="DI387" s="64"/>
      <c r="DJ387" s="64"/>
      <c r="DK387" s="64"/>
      <c r="DL387" s="64"/>
      <c r="DN387" s="64"/>
      <c r="DO387" s="64"/>
      <c r="DP387" s="64"/>
      <c r="DQ387" s="64"/>
      <c r="DS387" s="64"/>
      <c r="DT387" s="64"/>
      <c r="DU387" s="64"/>
      <c r="DV387" s="64"/>
      <c r="DX387" s="64"/>
      <c r="DY387" s="64"/>
      <c r="DZ387" s="64"/>
      <c r="EA387" s="64"/>
      <c r="EC387" s="64"/>
      <c r="ED387" s="64"/>
      <c r="EE387" s="64"/>
      <c r="EF387" s="64"/>
      <c r="EH387" s="64"/>
      <c r="EI387" s="64"/>
      <c r="EJ387" s="64"/>
      <c r="EK387" s="64"/>
      <c r="ER387" s="855"/>
      <c r="EX387" s="203">
        <f t="shared" si="25"/>
        <v>0</v>
      </c>
    </row>
    <row r="388" spans="1:155" s="6" customFormat="1" ht="15" customHeight="1">
      <c r="A388" s="90" t="s">
        <v>40</v>
      </c>
      <c r="B388" s="210" t="s">
        <v>40</v>
      </c>
      <c r="C388" s="473" t="s">
        <v>515</v>
      </c>
      <c r="D388" s="138"/>
      <c r="E388" s="40"/>
      <c r="F388" s="40"/>
      <c r="G388" s="40"/>
      <c r="H388" s="40"/>
      <c r="I388" s="4"/>
      <c r="J388" s="4"/>
      <c r="K388" s="4"/>
      <c r="L388" s="4"/>
      <c r="M388" s="4"/>
      <c r="N388" s="4"/>
      <c r="O388" s="4"/>
      <c r="P388" s="4"/>
      <c r="Q388" s="4"/>
      <c r="R388" s="40"/>
      <c r="S388" s="41"/>
      <c r="T388" s="140"/>
      <c r="U388" s="41"/>
      <c r="W388" s="40"/>
      <c r="X388" s="41"/>
      <c r="Y388" s="41"/>
      <c r="Z388" s="41"/>
      <c r="AB388" s="40"/>
      <c r="AC388" s="41"/>
      <c r="AD388" s="41"/>
      <c r="AE388" s="41"/>
      <c r="AG388" s="40"/>
      <c r="AH388" s="41"/>
      <c r="AI388" s="41"/>
      <c r="AJ388" s="41"/>
      <c r="AL388" s="40"/>
      <c r="AM388" s="41"/>
      <c r="AN388" s="41"/>
      <c r="AO388" s="41"/>
      <c r="AQ388" s="40"/>
      <c r="AR388" s="41"/>
      <c r="AS388" s="41"/>
      <c r="AT388" s="41"/>
      <c r="AV388" s="139"/>
      <c r="AW388" s="139"/>
      <c r="AX388" s="139"/>
      <c r="AY388" s="140"/>
      <c r="BA388" s="139"/>
      <c r="BB388" s="139"/>
      <c r="BC388" s="139"/>
      <c r="BD388" s="41"/>
      <c r="BF388" s="40"/>
      <c r="BG388" s="40"/>
      <c r="BH388" s="40"/>
      <c r="BI388" s="41"/>
      <c r="BK388" s="139"/>
      <c r="BL388" s="139"/>
      <c r="BM388" s="40"/>
      <c r="BN388" s="41"/>
      <c r="BP388" s="40"/>
      <c r="BQ388" s="40"/>
      <c r="BR388" s="40"/>
      <c r="BS388" s="41"/>
      <c r="BU388" s="40"/>
      <c r="BV388" s="40"/>
      <c r="BW388" s="40"/>
      <c r="BX388" s="41"/>
      <c r="BZ388" s="40"/>
      <c r="CA388" s="40"/>
      <c r="CB388" s="40"/>
      <c r="CC388" s="41"/>
      <c r="CD388" s="140"/>
      <c r="CE388" s="40"/>
      <c r="CF388" s="40"/>
      <c r="CG388" s="40"/>
      <c r="CH388" s="41"/>
      <c r="CJ388" s="139"/>
      <c r="CK388" s="139"/>
      <c r="CL388" s="139"/>
      <c r="CM388" s="140"/>
      <c r="CO388" s="222"/>
      <c r="CP388" s="40"/>
      <c r="CQ388" s="40"/>
      <c r="CR388" s="41"/>
      <c r="CT388" s="40"/>
      <c r="CU388" s="40"/>
      <c r="CV388" s="40"/>
      <c r="CW388" s="41"/>
      <c r="CY388" s="40"/>
      <c r="CZ388" s="40"/>
      <c r="DA388" s="40"/>
      <c r="DB388" s="41"/>
      <c r="DD388" s="40"/>
      <c r="DE388" s="40"/>
      <c r="DF388" s="40"/>
      <c r="DG388" s="41"/>
      <c r="DI388" s="64"/>
      <c r="DJ388" s="64"/>
      <c r="DK388" s="64"/>
      <c r="DL388" s="64"/>
      <c r="DN388" s="64"/>
      <c r="DO388" s="64"/>
      <c r="DP388" s="64"/>
      <c r="DQ388" s="64"/>
      <c r="DS388" s="64"/>
      <c r="DT388" s="64"/>
      <c r="DU388" s="64"/>
      <c r="DV388" s="64"/>
      <c r="DX388" s="64"/>
      <c r="DY388" s="64"/>
      <c r="DZ388" s="64"/>
      <c r="EA388" s="64"/>
      <c r="EC388" s="64"/>
      <c r="ED388" s="64"/>
      <c r="EE388" s="64"/>
      <c r="EF388" s="64"/>
      <c r="EH388" s="64"/>
      <c r="EI388" s="64"/>
      <c r="EJ388" s="64"/>
      <c r="EK388" s="64"/>
      <c r="ER388" s="855"/>
      <c r="EX388" s="203">
        <f t="shared" si="25"/>
        <v>0</v>
      </c>
    </row>
    <row r="389" spans="1:155" s="6" customFormat="1" ht="15" customHeight="1">
      <c r="A389" s="90" t="s">
        <v>156</v>
      </c>
      <c r="B389" s="210" t="s">
        <v>156</v>
      </c>
      <c r="C389" s="473" t="s">
        <v>515</v>
      </c>
      <c r="D389" s="138"/>
      <c r="E389" s="40"/>
      <c r="F389" s="40"/>
      <c r="G389" s="40"/>
      <c r="H389" s="40"/>
      <c r="I389" s="4"/>
      <c r="J389" s="4"/>
      <c r="K389" s="4"/>
      <c r="L389" s="4"/>
      <c r="M389" s="4"/>
      <c r="N389" s="4"/>
      <c r="O389" s="4"/>
      <c r="P389" s="4"/>
      <c r="Q389" s="4"/>
      <c r="R389" s="40"/>
      <c r="S389" s="41"/>
      <c r="T389" s="140"/>
      <c r="U389" s="41"/>
      <c r="W389" s="40"/>
      <c r="X389" s="41"/>
      <c r="Y389" s="41"/>
      <c r="Z389" s="41"/>
      <c r="AB389" s="40"/>
      <c r="AC389" s="41"/>
      <c r="AD389" s="41"/>
      <c r="AE389" s="41"/>
      <c r="AG389" s="40"/>
      <c r="AH389" s="41"/>
      <c r="AI389" s="41"/>
      <c r="AJ389" s="41"/>
      <c r="AL389" s="40"/>
      <c r="AM389" s="41"/>
      <c r="AN389" s="41"/>
      <c r="AO389" s="41"/>
      <c r="AQ389" s="40"/>
      <c r="AR389" s="41"/>
      <c r="AS389" s="41"/>
      <c r="AT389" s="41"/>
      <c r="AV389" s="139"/>
      <c r="AW389" s="139"/>
      <c r="AX389" s="139"/>
      <c r="AY389" s="140"/>
      <c r="BA389" s="139"/>
      <c r="BB389" s="139"/>
      <c r="BC389" s="139"/>
      <c r="BD389" s="41"/>
      <c r="BF389" s="40"/>
      <c r="BG389" s="40"/>
      <c r="BH389" s="40"/>
      <c r="BI389" s="41"/>
      <c r="BK389" s="139"/>
      <c r="BL389" s="139"/>
      <c r="BM389" s="40"/>
      <c r="BN389" s="41"/>
      <c r="BP389" s="40"/>
      <c r="BQ389" s="40"/>
      <c r="BR389" s="40"/>
      <c r="BS389" s="41"/>
      <c r="BU389" s="40"/>
      <c r="BV389" s="40"/>
      <c r="BW389" s="40"/>
      <c r="BX389" s="41"/>
      <c r="BZ389" s="40"/>
      <c r="CA389" s="40"/>
      <c r="CB389" s="40"/>
      <c r="CC389" s="41"/>
      <c r="CD389" s="140"/>
      <c r="CE389" s="40"/>
      <c r="CF389" s="40"/>
      <c r="CG389" s="40"/>
      <c r="CH389" s="41"/>
      <c r="CJ389" s="139"/>
      <c r="CK389" s="139"/>
      <c r="CL389" s="139"/>
      <c r="CM389" s="140"/>
      <c r="CO389" s="222"/>
      <c r="CP389" s="40"/>
      <c r="CQ389" s="40"/>
      <c r="CR389" s="41"/>
      <c r="CT389" s="40"/>
      <c r="CU389" s="40"/>
      <c r="CV389" s="40"/>
      <c r="CW389" s="41"/>
      <c r="CY389" s="40"/>
      <c r="CZ389" s="40"/>
      <c r="DA389" s="40"/>
      <c r="DB389" s="41"/>
      <c r="DD389" s="40"/>
      <c r="DE389" s="40"/>
      <c r="DF389" s="40"/>
      <c r="DG389" s="41"/>
      <c r="DI389" s="64"/>
      <c r="DJ389" s="64"/>
      <c r="DK389" s="64"/>
      <c r="DL389" s="64"/>
      <c r="DN389" s="64"/>
      <c r="DO389" s="64"/>
      <c r="DP389" s="64"/>
      <c r="DQ389" s="64"/>
      <c r="DS389" s="64"/>
      <c r="DT389" s="64"/>
      <c r="DU389" s="64"/>
      <c r="DV389" s="64"/>
      <c r="DX389" s="64"/>
      <c r="DY389" s="64"/>
      <c r="DZ389" s="64"/>
      <c r="EA389" s="64"/>
      <c r="EC389" s="64"/>
      <c r="ED389" s="64"/>
      <c r="EE389" s="64"/>
      <c r="EF389" s="64"/>
      <c r="EH389" s="64"/>
      <c r="EI389" s="64"/>
      <c r="EJ389" s="64"/>
      <c r="EK389" s="64"/>
      <c r="ER389" s="855"/>
      <c r="EX389" s="203">
        <f t="shared" si="25"/>
        <v>0</v>
      </c>
      <c r="EY389" s="142">
        <v>13</v>
      </c>
    </row>
    <row r="390" spans="1:155" s="6" customFormat="1" ht="15" customHeight="1">
      <c r="A390" s="90" t="s">
        <v>70</v>
      </c>
      <c r="B390" s="210" t="s">
        <v>70</v>
      </c>
      <c r="C390" s="473" t="s">
        <v>515</v>
      </c>
      <c r="D390" s="138"/>
      <c r="E390" s="40"/>
      <c r="F390" s="40"/>
      <c r="G390" s="40"/>
      <c r="H390" s="40"/>
      <c r="I390" s="4"/>
      <c r="J390" s="4"/>
      <c r="K390" s="4"/>
      <c r="L390" s="4"/>
      <c r="M390" s="4"/>
      <c r="N390" s="4"/>
      <c r="O390" s="4"/>
      <c r="P390" s="4"/>
      <c r="Q390" s="4"/>
      <c r="R390" s="40"/>
      <c r="S390" s="41"/>
      <c r="T390" s="140"/>
      <c r="U390" s="41"/>
      <c r="W390" s="40"/>
      <c r="X390" s="41"/>
      <c r="Y390" s="41"/>
      <c r="Z390" s="41"/>
      <c r="AB390" s="40"/>
      <c r="AC390" s="41"/>
      <c r="AD390" s="41"/>
      <c r="AE390" s="41"/>
      <c r="AG390" s="40"/>
      <c r="AH390" s="41"/>
      <c r="AI390" s="41"/>
      <c r="AJ390" s="41"/>
      <c r="AL390" s="40"/>
      <c r="AM390" s="41"/>
      <c r="AN390" s="41"/>
      <c r="AO390" s="41"/>
      <c r="AQ390" s="40"/>
      <c r="AR390" s="41"/>
      <c r="AS390" s="41"/>
      <c r="AT390" s="41"/>
      <c r="AV390" s="139"/>
      <c r="AW390" s="139"/>
      <c r="AX390" s="139"/>
      <c r="AY390" s="140"/>
      <c r="BA390" s="139"/>
      <c r="BB390" s="139"/>
      <c r="BC390" s="139"/>
      <c r="BD390" s="41"/>
      <c r="BF390" s="40"/>
      <c r="BG390" s="40"/>
      <c r="BH390" s="40"/>
      <c r="BI390" s="41"/>
      <c r="BK390" s="139"/>
      <c r="BL390" s="139"/>
      <c r="BM390" s="40"/>
      <c r="BN390" s="41"/>
      <c r="BP390" s="40"/>
      <c r="BQ390" s="40"/>
      <c r="BR390" s="40"/>
      <c r="BS390" s="41"/>
      <c r="BU390" s="40"/>
      <c r="BV390" s="40"/>
      <c r="BW390" s="40"/>
      <c r="BX390" s="41"/>
      <c r="BZ390" s="40"/>
      <c r="CA390" s="40"/>
      <c r="CB390" s="40"/>
      <c r="CC390" s="41"/>
      <c r="CD390" s="140"/>
      <c r="CE390" s="40"/>
      <c r="CF390" s="40"/>
      <c r="CG390" s="40"/>
      <c r="CH390" s="41"/>
      <c r="CJ390" s="139"/>
      <c r="CK390" s="139"/>
      <c r="CL390" s="139"/>
      <c r="CM390" s="140"/>
      <c r="CO390" s="222"/>
      <c r="CP390" s="40"/>
      <c r="CQ390" s="40"/>
      <c r="CR390" s="41"/>
      <c r="CT390" s="40"/>
      <c r="CU390" s="40"/>
      <c r="CV390" s="40"/>
      <c r="CW390" s="41"/>
      <c r="CY390" s="40"/>
      <c r="CZ390" s="40"/>
      <c r="DA390" s="40"/>
      <c r="DB390" s="41"/>
      <c r="DD390" s="40"/>
      <c r="DE390" s="40"/>
      <c r="DF390" s="40"/>
      <c r="DG390" s="41"/>
      <c r="DI390" s="64"/>
      <c r="DJ390" s="64"/>
      <c r="DK390" s="64"/>
      <c r="DL390" s="64"/>
      <c r="DN390" s="64"/>
      <c r="DO390" s="64"/>
      <c r="DP390" s="64"/>
      <c r="DQ390" s="64"/>
      <c r="DS390" s="64"/>
      <c r="DT390" s="64"/>
      <c r="DU390" s="64"/>
      <c r="DV390" s="64"/>
      <c r="DX390" s="64"/>
      <c r="DY390" s="64"/>
      <c r="DZ390" s="64"/>
      <c r="EA390" s="64"/>
      <c r="EC390" s="64"/>
      <c r="ED390" s="64"/>
      <c r="EE390" s="64"/>
      <c r="EF390" s="64"/>
      <c r="EH390" s="64"/>
      <c r="EI390" s="64"/>
      <c r="EJ390" s="64"/>
      <c r="EK390" s="64"/>
      <c r="ER390" s="855"/>
      <c r="EX390" s="203">
        <f t="shared" si="25"/>
        <v>0</v>
      </c>
      <c r="EY390" s="116">
        <v>34</v>
      </c>
    </row>
    <row r="391" spans="1:155" s="6" customFormat="1" ht="15" customHeight="1">
      <c r="A391" s="90" t="s">
        <v>157</v>
      </c>
      <c r="B391" s="210" t="s">
        <v>157</v>
      </c>
      <c r="C391" s="473" t="s">
        <v>515</v>
      </c>
      <c r="D391" s="138"/>
      <c r="E391" s="40"/>
      <c r="F391" s="40"/>
      <c r="G391" s="40"/>
      <c r="H391" s="40"/>
      <c r="I391" s="4"/>
      <c r="J391" s="4"/>
      <c r="K391" s="4"/>
      <c r="L391" s="4"/>
      <c r="M391" s="4"/>
      <c r="N391" s="4"/>
      <c r="O391" s="4"/>
      <c r="P391" s="4"/>
      <c r="Q391" s="4"/>
      <c r="R391" s="40"/>
      <c r="S391" s="41"/>
      <c r="T391" s="140"/>
      <c r="U391" s="41"/>
      <c r="W391" s="40"/>
      <c r="X391" s="41"/>
      <c r="Y391" s="41"/>
      <c r="Z391" s="41"/>
      <c r="AB391" s="40"/>
      <c r="AC391" s="41"/>
      <c r="AD391" s="41"/>
      <c r="AE391" s="41"/>
      <c r="AG391" s="40"/>
      <c r="AH391" s="41"/>
      <c r="AI391" s="41"/>
      <c r="AJ391" s="41"/>
      <c r="AL391" s="40"/>
      <c r="AM391" s="41"/>
      <c r="AN391" s="41"/>
      <c r="AO391" s="41"/>
      <c r="AQ391" s="40"/>
      <c r="AR391" s="41"/>
      <c r="AS391" s="41"/>
      <c r="AT391" s="41"/>
      <c r="AV391" s="139"/>
      <c r="AW391" s="139"/>
      <c r="AX391" s="139"/>
      <c r="AY391" s="140"/>
      <c r="BA391" s="139"/>
      <c r="BB391" s="139"/>
      <c r="BC391" s="139"/>
      <c r="BD391" s="41"/>
      <c r="BF391" s="40"/>
      <c r="BG391" s="40"/>
      <c r="BH391" s="40"/>
      <c r="BI391" s="41"/>
      <c r="BK391" s="139"/>
      <c r="BL391" s="139"/>
      <c r="BM391" s="40"/>
      <c r="BN391" s="41"/>
      <c r="BP391" s="40"/>
      <c r="BQ391" s="40"/>
      <c r="BR391" s="40"/>
      <c r="BS391" s="41"/>
      <c r="BU391" s="40"/>
      <c r="BV391" s="40"/>
      <c r="BW391" s="40"/>
      <c r="BX391" s="41"/>
      <c r="BZ391" s="40"/>
      <c r="CA391" s="40"/>
      <c r="CB391" s="40"/>
      <c r="CC391" s="41"/>
      <c r="CD391" s="140"/>
      <c r="CE391" s="40"/>
      <c r="CF391" s="40"/>
      <c r="CG391" s="40"/>
      <c r="CH391" s="41"/>
      <c r="CJ391" s="139"/>
      <c r="CK391" s="139"/>
      <c r="CL391" s="139"/>
      <c r="CM391" s="140"/>
      <c r="CO391" s="222"/>
      <c r="CP391" s="40"/>
      <c r="CQ391" s="40"/>
      <c r="CR391" s="41"/>
      <c r="CT391" s="40"/>
      <c r="CU391" s="40"/>
      <c r="CV391" s="40"/>
      <c r="CW391" s="41"/>
      <c r="CY391" s="40"/>
      <c r="CZ391" s="40"/>
      <c r="DA391" s="40"/>
      <c r="DB391" s="41"/>
      <c r="DD391" s="40"/>
      <c r="DE391" s="40"/>
      <c r="DF391" s="40"/>
      <c r="DG391" s="41"/>
      <c r="DI391" s="64"/>
      <c r="DJ391" s="64"/>
      <c r="DK391" s="64"/>
      <c r="DL391" s="64"/>
      <c r="DN391" s="64"/>
      <c r="DO391" s="64"/>
      <c r="DP391" s="64"/>
      <c r="DQ391" s="64"/>
      <c r="DS391" s="64"/>
      <c r="DT391" s="64"/>
      <c r="DU391" s="64"/>
      <c r="DV391" s="64"/>
      <c r="DX391" s="64"/>
      <c r="DY391" s="64"/>
      <c r="DZ391" s="64"/>
      <c r="EA391" s="64"/>
      <c r="EC391" s="64"/>
      <c r="ED391" s="64"/>
      <c r="EE391" s="64"/>
      <c r="EF391" s="64"/>
      <c r="EH391" s="64"/>
      <c r="EI391" s="64"/>
      <c r="EJ391" s="64"/>
      <c r="EK391" s="64"/>
      <c r="ER391" s="855"/>
      <c r="EX391" s="203">
        <f t="shared" si="25"/>
        <v>0</v>
      </c>
      <c r="EY391" s="142">
        <v>13</v>
      </c>
    </row>
    <row r="392" spans="1:155" s="6" customFormat="1" ht="15" customHeight="1">
      <c r="A392" s="90" t="s">
        <v>71</v>
      </c>
      <c r="B392" s="210" t="s">
        <v>71</v>
      </c>
      <c r="C392" s="473" t="s">
        <v>515</v>
      </c>
      <c r="D392" s="138"/>
      <c r="E392" s="40"/>
      <c r="F392" s="40"/>
      <c r="G392" s="40"/>
      <c r="H392" s="40"/>
      <c r="I392" s="4"/>
      <c r="J392" s="4"/>
      <c r="K392" s="4"/>
      <c r="L392" s="4"/>
      <c r="M392" s="4"/>
      <c r="N392" s="4"/>
      <c r="O392" s="4"/>
      <c r="P392" s="4"/>
      <c r="Q392" s="4"/>
      <c r="R392" s="40"/>
      <c r="S392" s="41"/>
      <c r="T392" s="140"/>
      <c r="U392" s="41"/>
      <c r="W392" s="40"/>
      <c r="X392" s="41"/>
      <c r="Y392" s="41"/>
      <c r="Z392" s="41"/>
      <c r="AB392" s="40"/>
      <c r="AC392" s="41"/>
      <c r="AD392" s="41"/>
      <c r="AE392" s="41"/>
      <c r="AG392" s="40"/>
      <c r="AH392" s="41"/>
      <c r="AI392" s="41"/>
      <c r="AJ392" s="41"/>
      <c r="AL392" s="40"/>
      <c r="AM392" s="41"/>
      <c r="AN392" s="41"/>
      <c r="AO392" s="41"/>
      <c r="AQ392" s="40"/>
      <c r="AR392" s="41"/>
      <c r="AS392" s="41"/>
      <c r="AT392" s="41"/>
      <c r="AV392" s="139"/>
      <c r="AW392" s="139"/>
      <c r="AX392" s="139"/>
      <c r="AY392" s="140"/>
      <c r="BA392" s="139"/>
      <c r="BB392" s="139"/>
      <c r="BC392" s="139"/>
      <c r="BD392" s="41"/>
      <c r="BF392" s="40"/>
      <c r="BG392" s="40"/>
      <c r="BH392" s="40"/>
      <c r="BI392" s="41"/>
      <c r="BK392" s="139"/>
      <c r="BL392" s="139"/>
      <c r="BM392" s="40"/>
      <c r="BN392" s="41"/>
      <c r="BP392" s="40"/>
      <c r="BQ392" s="40"/>
      <c r="BR392" s="40"/>
      <c r="BS392" s="41"/>
      <c r="BU392" s="40"/>
      <c r="BV392" s="40"/>
      <c r="BW392" s="40"/>
      <c r="BX392" s="41"/>
      <c r="BZ392" s="40"/>
      <c r="CA392" s="40"/>
      <c r="CB392" s="40"/>
      <c r="CC392" s="41"/>
      <c r="CD392" s="140"/>
      <c r="CE392" s="40"/>
      <c r="CF392" s="40"/>
      <c r="CG392" s="40"/>
      <c r="CH392" s="41"/>
      <c r="CJ392" s="139"/>
      <c r="CK392" s="139"/>
      <c r="CL392" s="139"/>
      <c r="CM392" s="140"/>
      <c r="CO392" s="222"/>
      <c r="CP392" s="40"/>
      <c r="CQ392" s="40"/>
      <c r="CR392" s="41"/>
      <c r="CT392" s="40"/>
      <c r="CU392" s="40"/>
      <c r="CV392" s="40"/>
      <c r="CW392" s="41"/>
      <c r="CY392" s="40"/>
      <c r="CZ392" s="40"/>
      <c r="DA392" s="40"/>
      <c r="DB392" s="41"/>
      <c r="DD392" s="40"/>
      <c r="DE392" s="40"/>
      <c r="DF392" s="40"/>
      <c r="DG392" s="41"/>
      <c r="DI392" s="64"/>
      <c r="DJ392" s="64"/>
      <c r="DK392" s="64"/>
      <c r="DL392" s="64"/>
      <c r="DN392" s="64"/>
      <c r="DO392" s="64"/>
      <c r="DP392" s="64"/>
      <c r="DQ392" s="64"/>
      <c r="DS392" s="64"/>
      <c r="DT392" s="64"/>
      <c r="DU392" s="64"/>
      <c r="DV392" s="64"/>
      <c r="DX392" s="64"/>
      <c r="DY392" s="64"/>
      <c r="DZ392" s="64"/>
      <c r="EA392" s="64"/>
      <c r="EC392" s="64"/>
      <c r="ED392" s="64"/>
      <c r="EE392" s="64"/>
      <c r="EF392" s="64"/>
      <c r="EH392" s="64"/>
      <c r="EI392" s="64"/>
      <c r="EJ392" s="64"/>
      <c r="EK392" s="64"/>
      <c r="ER392" s="855"/>
      <c r="EX392" s="203">
        <f t="shared" si="25"/>
        <v>0</v>
      </c>
      <c r="EY392" s="116">
        <v>34</v>
      </c>
    </row>
    <row r="393" spans="1:155" s="6" customFormat="1" ht="15" customHeight="1">
      <c r="A393" s="90" t="s">
        <v>158</v>
      </c>
      <c r="B393" s="210" t="s">
        <v>158</v>
      </c>
      <c r="C393" s="473" t="s">
        <v>515</v>
      </c>
      <c r="D393" s="138"/>
      <c r="E393" s="40"/>
      <c r="F393" s="40"/>
      <c r="G393" s="40"/>
      <c r="H393" s="40"/>
      <c r="I393" s="4"/>
      <c r="J393" s="4"/>
      <c r="K393" s="4"/>
      <c r="L393" s="4"/>
      <c r="M393" s="4"/>
      <c r="N393" s="4"/>
      <c r="O393" s="4"/>
      <c r="P393" s="4"/>
      <c r="Q393" s="4"/>
      <c r="R393" s="40"/>
      <c r="S393" s="41"/>
      <c r="T393" s="140"/>
      <c r="U393" s="41"/>
      <c r="W393" s="40"/>
      <c r="X393" s="41"/>
      <c r="Y393" s="41"/>
      <c r="Z393" s="41"/>
      <c r="AB393" s="40"/>
      <c r="AC393" s="41"/>
      <c r="AD393" s="41"/>
      <c r="AE393" s="41"/>
      <c r="AG393" s="40"/>
      <c r="AH393" s="41"/>
      <c r="AI393" s="41"/>
      <c r="AJ393" s="41"/>
      <c r="AL393" s="40"/>
      <c r="AM393" s="41"/>
      <c r="AN393" s="41"/>
      <c r="AO393" s="41"/>
      <c r="AQ393" s="40"/>
      <c r="AR393" s="41"/>
      <c r="AS393" s="41"/>
      <c r="AT393" s="41"/>
      <c r="AV393" s="139"/>
      <c r="AW393" s="139"/>
      <c r="AX393" s="139"/>
      <c r="AY393" s="140"/>
      <c r="BA393" s="139"/>
      <c r="BB393" s="139"/>
      <c r="BC393" s="139"/>
      <c r="BD393" s="41"/>
      <c r="BF393" s="40"/>
      <c r="BG393" s="40"/>
      <c r="BH393" s="40"/>
      <c r="BI393" s="41"/>
      <c r="BK393" s="139"/>
      <c r="BL393" s="139"/>
      <c r="BM393" s="40"/>
      <c r="BN393" s="41"/>
      <c r="BP393" s="40"/>
      <c r="BQ393" s="40"/>
      <c r="BR393" s="40"/>
      <c r="BS393" s="41"/>
      <c r="BU393" s="40"/>
      <c r="BV393" s="40"/>
      <c r="BW393" s="40"/>
      <c r="BX393" s="41"/>
      <c r="BZ393" s="40"/>
      <c r="CA393" s="40"/>
      <c r="CB393" s="40"/>
      <c r="CC393" s="41"/>
      <c r="CD393" s="140"/>
      <c r="CE393" s="40"/>
      <c r="CF393" s="40"/>
      <c r="CG393" s="40"/>
      <c r="CH393" s="41"/>
      <c r="CJ393" s="139"/>
      <c r="CK393" s="139"/>
      <c r="CL393" s="139"/>
      <c r="CM393" s="140"/>
      <c r="CO393" s="222"/>
      <c r="CP393" s="40"/>
      <c r="CQ393" s="40"/>
      <c r="CR393" s="41"/>
      <c r="CT393" s="40"/>
      <c r="CU393" s="40"/>
      <c r="CV393" s="40"/>
      <c r="CW393" s="41"/>
      <c r="CY393" s="40"/>
      <c r="CZ393" s="40"/>
      <c r="DA393" s="40"/>
      <c r="DB393" s="41"/>
      <c r="DD393" s="40"/>
      <c r="DE393" s="40"/>
      <c r="DF393" s="40"/>
      <c r="DG393" s="41"/>
      <c r="DI393" s="64"/>
      <c r="DJ393" s="64"/>
      <c r="DK393" s="64"/>
      <c r="DL393" s="64"/>
      <c r="DN393" s="64"/>
      <c r="DO393" s="64"/>
      <c r="DP393" s="64"/>
      <c r="DQ393" s="64"/>
      <c r="DS393" s="64"/>
      <c r="DT393" s="64"/>
      <c r="DU393" s="64"/>
      <c r="DV393" s="64"/>
      <c r="DX393" s="64"/>
      <c r="DY393" s="64"/>
      <c r="DZ393" s="64"/>
      <c r="EA393" s="64"/>
      <c r="EC393" s="64"/>
      <c r="ED393" s="64"/>
      <c r="EE393" s="64"/>
      <c r="EF393" s="64"/>
      <c r="EH393" s="64"/>
      <c r="EI393" s="64"/>
      <c r="EJ393" s="64"/>
      <c r="EK393" s="64"/>
      <c r="ER393" s="855"/>
      <c r="EX393" s="203">
        <f t="shared" si="25"/>
        <v>0</v>
      </c>
      <c r="EY393" s="142">
        <v>13</v>
      </c>
    </row>
    <row r="394" spans="1:155" s="6" customFormat="1" ht="15" customHeight="1">
      <c r="A394" s="90" t="s">
        <v>72</v>
      </c>
      <c r="B394" s="210" t="s">
        <v>72</v>
      </c>
      <c r="C394" s="473" t="s">
        <v>515</v>
      </c>
      <c r="D394" s="138"/>
      <c r="E394" s="40"/>
      <c r="F394" s="40"/>
      <c r="G394" s="40"/>
      <c r="H394" s="40"/>
      <c r="I394" s="4"/>
      <c r="J394" s="4"/>
      <c r="K394" s="4"/>
      <c r="L394" s="4"/>
      <c r="M394" s="4"/>
      <c r="N394" s="4"/>
      <c r="O394" s="4"/>
      <c r="P394" s="4"/>
      <c r="Q394" s="4"/>
      <c r="R394" s="40"/>
      <c r="S394" s="41"/>
      <c r="T394" s="140"/>
      <c r="U394" s="41"/>
      <c r="W394" s="40"/>
      <c r="X394" s="41"/>
      <c r="Y394" s="41"/>
      <c r="Z394" s="41"/>
      <c r="AB394" s="40"/>
      <c r="AC394" s="41"/>
      <c r="AD394" s="41"/>
      <c r="AE394" s="41"/>
      <c r="AG394" s="40"/>
      <c r="AH394" s="41"/>
      <c r="AI394" s="41"/>
      <c r="AJ394" s="41"/>
      <c r="AL394" s="40"/>
      <c r="AM394" s="41"/>
      <c r="AN394" s="41"/>
      <c r="AO394" s="41"/>
      <c r="AQ394" s="40"/>
      <c r="AR394" s="41"/>
      <c r="AS394" s="41"/>
      <c r="AT394" s="41"/>
      <c r="AV394" s="139"/>
      <c r="AW394" s="139"/>
      <c r="AX394" s="139"/>
      <c r="AY394" s="140"/>
      <c r="BA394" s="139"/>
      <c r="BB394" s="139"/>
      <c r="BC394" s="139"/>
      <c r="BD394" s="41"/>
      <c r="BF394" s="40"/>
      <c r="BG394" s="40"/>
      <c r="BH394" s="40"/>
      <c r="BI394" s="41"/>
      <c r="BK394" s="139"/>
      <c r="BL394" s="139"/>
      <c r="BM394" s="40"/>
      <c r="BN394" s="41"/>
      <c r="BP394" s="40"/>
      <c r="BQ394" s="40"/>
      <c r="BR394" s="40"/>
      <c r="BS394" s="41"/>
      <c r="BU394" s="40"/>
      <c r="BV394" s="40"/>
      <c r="BW394" s="40"/>
      <c r="BX394" s="41"/>
      <c r="BZ394" s="40"/>
      <c r="CA394" s="40"/>
      <c r="CB394" s="40"/>
      <c r="CC394" s="41"/>
      <c r="CD394" s="140"/>
      <c r="CE394" s="40"/>
      <c r="CF394" s="40"/>
      <c r="CG394" s="40"/>
      <c r="CH394" s="41"/>
      <c r="CJ394" s="139"/>
      <c r="CK394" s="139"/>
      <c r="CL394" s="139"/>
      <c r="CM394" s="140"/>
      <c r="CO394" s="222"/>
      <c r="CP394" s="40"/>
      <c r="CQ394" s="40"/>
      <c r="CR394" s="41"/>
      <c r="CT394" s="40"/>
      <c r="CU394" s="40"/>
      <c r="CV394" s="40"/>
      <c r="CW394" s="41"/>
      <c r="CY394" s="40"/>
      <c r="CZ394" s="40"/>
      <c r="DA394" s="40"/>
      <c r="DB394" s="41"/>
      <c r="DD394" s="40"/>
      <c r="DE394" s="40"/>
      <c r="DF394" s="40"/>
      <c r="DG394" s="41"/>
      <c r="DI394" s="64"/>
      <c r="DJ394" s="64"/>
      <c r="DK394" s="64"/>
      <c r="DL394" s="64"/>
      <c r="DN394" s="64"/>
      <c r="DO394" s="64"/>
      <c r="DP394" s="64"/>
      <c r="DQ394" s="64"/>
      <c r="DS394" s="64"/>
      <c r="DT394" s="64"/>
      <c r="DU394" s="64"/>
      <c r="DV394" s="64"/>
      <c r="DX394" s="64"/>
      <c r="DY394" s="64"/>
      <c r="DZ394" s="64"/>
      <c r="EA394" s="64"/>
      <c r="EC394" s="64"/>
      <c r="ED394" s="64"/>
      <c r="EE394" s="64"/>
      <c r="EF394" s="64"/>
      <c r="EH394" s="64"/>
      <c r="EI394" s="64"/>
      <c r="EJ394" s="64"/>
      <c r="EK394" s="64"/>
      <c r="ER394" s="855"/>
      <c r="EX394" s="203">
        <f t="shared" si="25"/>
        <v>0</v>
      </c>
      <c r="EY394" s="116">
        <v>34</v>
      </c>
    </row>
    <row r="395" spans="1:155" s="6" customFormat="1" ht="15" customHeight="1">
      <c r="A395" s="90" t="s">
        <v>159</v>
      </c>
      <c r="B395" s="210" t="s">
        <v>159</v>
      </c>
      <c r="C395" s="473" t="s">
        <v>515</v>
      </c>
      <c r="D395" s="138"/>
      <c r="E395" s="40"/>
      <c r="F395" s="40"/>
      <c r="G395" s="40"/>
      <c r="H395" s="40"/>
      <c r="I395" s="4"/>
      <c r="J395" s="4"/>
      <c r="K395" s="4"/>
      <c r="L395" s="4"/>
      <c r="M395" s="4"/>
      <c r="N395" s="4"/>
      <c r="O395" s="4"/>
      <c r="P395" s="4"/>
      <c r="Q395" s="4"/>
      <c r="R395" s="40"/>
      <c r="S395" s="41"/>
      <c r="T395" s="140"/>
      <c r="U395" s="41"/>
      <c r="W395" s="40"/>
      <c r="X395" s="41"/>
      <c r="Y395" s="41"/>
      <c r="Z395" s="41"/>
      <c r="AB395" s="40"/>
      <c r="AC395" s="41"/>
      <c r="AD395" s="41"/>
      <c r="AE395" s="41"/>
      <c r="AG395" s="40"/>
      <c r="AH395" s="41"/>
      <c r="AI395" s="41"/>
      <c r="AJ395" s="41"/>
      <c r="AL395" s="40"/>
      <c r="AM395" s="41"/>
      <c r="AN395" s="41"/>
      <c r="AO395" s="41"/>
      <c r="AQ395" s="40"/>
      <c r="AR395" s="41"/>
      <c r="AS395" s="41"/>
      <c r="AT395" s="41"/>
      <c r="AV395" s="139"/>
      <c r="AW395" s="139"/>
      <c r="AX395" s="139"/>
      <c r="AY395" s="140"/>
      <c r="BA395" s="139"/>
      <c r="BB395" s="139"/>
      <c r="BC395" s="139"/>
      <c r="BD395" s="41"/>
      <c r="BF395" s="40"/>
      <c r="BG395" s="40"/>
      <c r="BH395" s="40"/>
      <c r="BI395" s="41"/>
      <c r="BK395" s="139"/>
      <c r="BL395" s="139"/>
      <c r="BM395" s="40"/>
      <c r="BN395" s="41"/>
      <c r="BP395" s="40"/>
      <c r="BQ395" s="40"/>
      <c r="BR395" s="40"/>
      <c r="BS395" s="41"/>
      <c r="BU395" s="40"/>
      <c r="BV395" s="40"/>
      <c r="BW395" s="40"/>
      <c r="BX395" s="41"/>
      <c r="BZ395" s="40"/>
      <c r="CA395" s="40"/>
      <c r="CB395" s="40"/>
      <c r="CC395" s="41"/>
      <c r="CD395" s="140"/>
      <c r="CE395" s="40"/>
      <c r="CF395" s="40"/>
      <c r="CG395" s="40"/>
      <c r="CH395" s="41"/>
      <c r="CJ395" s="139"/>
      <c r="CK395" s="139"/>
      <c r="CL395" s="139"/>
      <c r="CM395" s="140"/>
      <c r="CO395" s="222"/>
      <c r="CP395" s="40"/>
      <c r="CQ395" s="40"/>
      <c r="CR395" s="41"/>
      <c r="CT395" s="40"/>
      <c r="CU395" s="40"/>
      <c r="CV395" s="40"/>
      <c r="CW395" s="41"/>
      <c r="CY395" s="40"/>
      <c r="CZ395" s="40"/>
      <c r="DA395" s="40"/>
      <c r="DB395" s="41"/>
      <c r="DD395" s="40"/>
      <c r="DE395" s="40"/>
      <c r="DF395" s="40"/>
      <c r="DG395" s="41"/>
      <c r="DI395" s="64"/>
      <c r="DJ395" s="64"/>
      <c r="DK395" s="64"/>
      <c r="DL395" s="64"/>
      <c r="DN395" s="64"/>
      <c r="DO395" s="64"/>
      <c r="DP395" s="64"/>
      <c r="DQ395" s="64"/>
      <c r="DS395" s="64"/>
      <c r="DT395" s="64"/>
      <c r="DU395" s="64"/>
      <c r="DV395" s="64"/>
      <c r="DX395" s="64"/>
      <c r="DY395" s="64"/>
      <c r="DZ395" s="64"/>
      <c r="EA395" s="64"/>
      <c r="EC395" s="64"/>
      <c r="ED395" s="64"/>
      <c r="EE395" s="64"/>
      <c r="EF395" s="64"/>
      <c r="EH395" s="64"/>
      <c r="EI395" s="64"/>
      <c r="EJ395" s="64"/>
      <c r="EK395" s="64"/>
      <c r="ER395" s="855"/>
      <c r="EX395" s="203">
        <f t="shared" si="25"/>
        <v>0</v>
      </c>
      <c r="EY395" s="142">
        <v>13</v>
      </c>
    </row>
    <row r="396" spans="1:155" s="6" customFormat="1" ht="15" customHeight="1">
      <c r="A396" s="90" t="s">
        <v>73</v>
      </c>
      <c r="B396" s="210" t="s">
        <v>73</v>
      </c>
      <c r="C396" s="473" t="s">
        <v>515</v>
      </c>
      <c r="D396" s="138"/>
      <c r="E396" s="40"/>
      <c r="F396" s="40"/>
      <c r="G396" s="40"/>
      <c r="H396" s="40"/>
      <c r="I396" s="4"/>
      <c r="J396" s="4"/>
      <c r="K396" s="4"/>
      <c r="L396" s="4"/>
      <c r="M396" s="4"/>
      <c r="N396" s="4"/>
      <c r="O396" s="4"/>
      <c r="P396" s="4"/>
      <c r="Q396" s="4"/>
      <c r="R396" s="40"/>
      <c r="S396" s="41"/>
      <c r="T396" s="140"/>
      <c r="U396" s="41"/>
      <c r="W396" s="40"/>
      <c r="X396" s="41"/>
      <c r="Y396" s="41"/>
      <c r="Z396" s="41"/>
      <c r="AB396" s="40"/>
      <c r="AC396" s="41"/>
      <c r="AD396" s="41"/>
      <c r="AE396" s="41"/>
      <c r="AG396" s="40"/>
      <c r="AH396" s="41"/>
      <c r="AI396" s="41"/>
      <c r="AJ396" s="41"/>
      <c r="AL396" s="40"/>
      <c r="AM396" s="41"/>
      <c r="AN396" s="41"/>
      <c r="AO396" s="41"/>
      <c r="AQ396" s="40"/>
      <c r="AR396" s="41"/>
      <c r="AS396" s="41"/>
      <c r="AT396" s="41"/>
      <c r="AV396" s="139"/>
      <c r="AW396" s="139"/>
      <c r="AX396" s="139"/>
      <c r="AY396" s="140"/>
      <c r="BA396" s="139"/>
      <c r="BB396" s="139"/>
      <c r="BC396" s="139"/>
      <c r="BD396" s="41"/>
      <c r="BF396" s="40"/>
      <c r="BG396" s="40"/>
      <c r="BH396" s="40"/>
      <c r="BI396" s="41"/>
      <c r="BK396" s="139"/>
      <c r="BL396" s="139"/>
      <c r="BM396" s="40"/>
      <c r="BN396" s="41"/>
      <c r="BP396" s="40"/>
      <c r="BQ396" s="40"/>
      <c r="BR396" s="40"/>
      <c r="BS396" s="41"/>
      <c r="BU396" s="40"/>
      <c r="BV396" s="40"/>
      <c r="BW396" s="40"/>
      <c r="BX396" s="41"/>
      <c r="BZ396" s="40"/>
      <c r="CA396" s="40"/>
      <c r="CB396" s="40"/>
      <c r="CC396" s="41"/>
      <c r="CD396" s="140"/>
      <c r="CE396" s="40"/>
      <c r="CF396" s="40"/>
      <c r="CG396" s="40"/>
      <c r="CH396" s="41"/>
      <c r="CJ396" s="139"/>
      <c r="CK396" s="139"/>
      <c r="CL396" s="139"/>
      <c r="CM396" s="140"/>
      <c r="CO396" s="222"/>
      <c r="CP396" s="40"/>
      <c r="CQ396" s="40"/>
      <c r="CR396" s="41"/>
      <c r="CT396" s="40"/>
      <c r="CU396" s="40"/>
      <c r="CV396" s="40"/>
      <c r="CW396" s="41"/>
      <c r="CY396" s="40"/>
      <c r="CZ396" s="40"/>
      <c r="DA396" s="40"/>
      <c r="DB396" s="41"/>
      <c r="DD396" s="40"/>
      <c r="DE396" s="40"/>
      <c r="DF396" s="40"/>
      <c r="DG396" s="41"/>
      <c r="DI396" s="64"/>
      <c r="DJ396" s="64"/>
      <c r="DK396" s="64"/>
      <c r="DL396" s="64"/>
      <c r="DN396" s="64"/>
      <c r="DO396" s="64"/>
      <c r="DP396" s="64"/>
      <c r="DQ396" s="64"/>
      <c r="DS396" s="64"/>
      <c r="DT396" s="64"/>
      <c r="DU396" s="64"/>
      <c r="DV396" s="64"/>
      <c r="DX396" s="64"/>
      <c r="DY396" s="64"/>
      <c r="DZ396" s="64"/>
      <c r="EA396" s="64"/>
      <c r="EC396" s="64"/>
      <c r="ED396" s="64"/>
      <c r="EE396" s="64"/>
      <c r="EF396" s="64"/>
      <c r="EH396" s="64"/>
      <c r="EI396" s="64"/>
      <c r="EJ396" s="64"/>
      <c r="EK396" s="64"/>
      <c r="ER396" s="855"/>
      <c r="EX396" s="203">
        <f t="shared" si="25"/>
        <v>0</v>
      </c>
      <c r="EY396" s="116">
        <v>34</v>
      </c>
    </row>
    <row r="397" spans="1:155" s="6" customFormat="1" ht="15" customHeight="1">
      <c r="A397" s="90"/>
      <c r="B397" s="210" t="s">
        <v>1552</v>
      </c>
      <c r="C397" s="473" t="s">
        <v>515</v>
      </c>
      <c r="D397" s="138"/>
      <c r="E397" s="139"/>
      <c r="F397" s="139"/>
      <c r="G397" s="139"/>
      <c r="H397" s="139"/>
      <c r="I397" s="138"/>
      <c r="J397" s="138"/>
      <c r="K397" s="138"/>
      <c r="L397" s="138"/>
      <c r="M397" s="138"/>
      <c r="N397" s="138"/>
      <c r="O397" s="138"/>
      <c r="P397" s="138"/>
      <c r="Q397" s="138"/>
      <c r="R397" s="139"/>
      <c r="S397" s="140"/>
      <c r="T397" s="140"/>
      <c r="U397" s="140"/>
      <c r="W397" s="139"/>
      <c r="X397" s="140"/>
      <c r="Y397" s="140"/>
      <c r="Z397" s="140"/>
      <c r="AB397" s="139"/>
      <c r="AC397" s="140"/>
      <c r="AD397" s="140"/>
      <c r="AE397" s="140"/>
      <c r="AG397" s="139"/>
      <c r="AH397" s="140"/>
      <c r="AI397" s="140"/>
      <c r="AJ397" s="140"/>
      <c r="AL397" s="139"/>
      <c r="AM397" s="140"/>
      <c r="AN397" s="140"/>
      <c r="AO397" s="140"/>
      <c r="AQ397" s="139"/>
      <c r="AR397" s="140"/>
      <c r="AS397" s="140"/>
      <c r="AT397" s="140"/>
      <c r="AV397" s="139"/>
      <c r="AW397" s="139"/>
      <c r="AX397" s="139"/>
      <c r="AY397" s="140"/>
      <c r="BA397" s="139"/>
      <c r="BB397" s="139"/>
      <c r="BC397" s="139"/>
      <c r="BD397" s="140"/>
      <c r="BF397" s="139"/>
      <c r="BG397" s="139"/>
      <c r="BH397" s="139"/>
      <c r="BI397" s="140"/>
      <c r="BK397" s="139"/>
      <c r="BL397" s="139"/>
      <c r="BM397" s="139"/>
      <c r="BN397" s="140"/>
      <c r="BP397" s="139"/>
      <c r="BQ397" s="139"/>
      <c r="BR397" s="139"/>
      <c r="BS397" s="140"/>
      <c r="BU397" s="139"/>
      <c r="BV397" s="139"/>
      <c r="BW397" s="139"/>
      <c r="BX397" s="140"/>
      <c r="BZ397" s="139"/>
      <c r="CA397" s="139"/>
      <c r="CB397" s="139"/>
      <c r="CC397" s="140"/>
      <c r="CD397" s="140"/>
      <c r="CE397" s="139"/>
      <c r="CF397" s="139"/>
      <c r="CG397" s="139"/>
      <c r="CH397" s="140"/>
      <c r="CJ397" s="139"/>
      <c r="CK397" s="139"/>
      <c r="CL397" s="139"/>
      <c r="CM397" s="140"/>
      <c r="CO397" s="139"/>
      <c r="CP397" s="139"/>
      <c r="CQ397" s="139"/>
      <c r="CR397" s="140"/>
      <c r="CT397" s="139"/>
      <c r="CU397" s="139"/>
      <c r="CV397" s="139"/>
      <c r="CW397" s="140"/>
      <c r="CY397" s="139"/>
      <c r="CZ397" s="139"/>
      <c r="DA397" s="139"/>
      <c r="DB397" s="140"/>
      <c r="DD397" s="139"/>
      <c r="DE397" s="139"/>
      <c r="DF397" s="139"/>
      <c r="DG397" s="140"/>
      <c r="DI397" s="64"/>
      <c r="DJ397" s="64"/>
      <c r="DK397" s="64"/>
      <c r="DL397" s="64"/>
      <c r="DN397" s="64"/>
      <c r="DO397" s="64"/>
      <c r="DP397" s="64"/>
      <c r="DQ397" s="64"/>
      <c r="DS397" s="64"/>
      <c r="DT397" s="64"/>
      <c r="DU397" s="64"/>
      <c r="DV397" s="64"/>
      <c r="DX397" s="64"/>
      <c r="DY397" s="64"/>
      <c r="DZ397" s="64"/>
      <c r="EA397" s="64"/>
      <c r="EC397" s="64"/>
      <c r="ED397" s="64"/>
      <c r="EE397" s="64"/>
      <c r="EF397" s="64"/>
      <c r="EH397" s="64"/>
      <c r="EI397" s="64"/>
      <c r="EJ397" s="64"/>
      <c r="EK397" s="64"/>
      <c r="ER397" s="855"/>
      <c r="EX397" s="203">
        <f t="shared" si="25"/>
        <v>0</v>
      </c>
      <c r="EY397" s="142">
        <v>13</v>
      </c>
    </row>
    <row r="398" spans="1:155" s="6" customFormat="1" ht="15" customHeight="1">
      <c r="A398" s="90"/>
      <c r="B398" s="210" t="s">
        <v>1553</v>
      </c>
      <c r="C398" s="473" t="s">
        <v>515</v>
      </c>
      <c r="D398" s="138"/>
      <c r="E398" s="139"/>
      <c r="F398" s="139"/>
      <c r="G398" s="139"/>
      <c r="H398" s="139"/>
      <c r="I398" s="138"/>
      <c r="J398" s="138"/>
      <c r="K398" s="138"/>
      <c r="L398" s="138"/>
      <c r="M398" s="138"/>
      <c r="N398" s="138"/>
      <c r="O398" s="138"/>
      <c r="P398" s="138"/>
      <c r="Q398" s="138"/>
      <c r="R398" s="139"/>
      <c r="S398" s="140"/>
      <c r="T398" s="140"/>
      <c r="U398" s="140"/>
      <c r="W398" s="139"/>
      <c r="X398" s="140"/>
      <c r="Y398" s="140"/>
      <c r="Z398" s="140"/>
      <c r="AB398" s="139"/>
      <c r="AC398" s="140"/>
      <c r="AD398" s="140"/>
      <c r="AE398" s="140"/>
      <c r="AG398" s="139"/>
      <c r="AH398" s="140"/>
      <c r="AI398" s="140"/>
      <c r="AJ398" s="140"/>
      <c r="AL398" s="139"/>
      <c r="AM398" s="140"/>
      <c r="AN398" s="140"/>
      <c r="AO398" s="140"/>
      <c r="AQ398" s="139"/>
      <c r="AR398" s="140"/>
      <c r="AS398" s="140"/>
      <c r="AT398" s="140"/>
      <c r="AV398" s="139"/>
      <c r="AW398" s="139"/>
      <c r="AX398" s="139"/>
      <c r="AY398" s="140"/>
      <c r="BA398" s="139"/>
      <c r="BB398" s="139"/>
      <c r="BC398" s="139"/>
      <c r="BD398" s="140"/>
      <c r="BF398" s="139"/>
      <c r="BG398" s="139"/>
      <c r="BH398" s="139"/>
      <c r="BI398" s="140"/>
      <c r="BK398" s="139"/>
      <c r="BL398" s="139"/>
      <c r="BM398" s="139"/>
      <c r="BN398" s="140"/>
      <c r="BP398" s="139"/>
      <c r="BQ398" s="139"/>
      <c r="BR398" s="139"/>
      <c r="BS398" s="140"/>
      <c r="BU398" s="139"/>
      <c r="BV398" s="139"/>
      <c r="BW398" s="139"/>
      <c r="BX398" s="140"/>
      <c r="BZ398" s="139"/>
      <c r="CA398" s="139"/>
      <c r="CB398" s="139"/>
      <c r="CC398" s="140"/>
      <c r="CD398" s="140"/>
      <c r="CE398" s="139"/>
      <c r="CF398" s="139"/>
      <c r="CG398" s="139"/>
      <c r="CH398" s="140"/>
      <c r="CJ398" s="139"/>
      <c r="CK398" s="139"/>
      <c r="CL398" s="139"/>
      <c r="CM398" s="140"/>
      <c r="CO398" s="139"/>
      <c r="CP398" s="139"/>
      <c r="CQ398" s="139"/>
      <c r="CR398" s="140"/>
      <c r="CT398" s="139"/>
      <c r="CU398" s="139"/>
      <c r="CV398" s="139"/>
      <c r="CW398" s="140"/>
      <c r="CY398" s="139"/>
      <c r="CZ398" s="139"/>
      <c r="DA398" s="139"/>
      <c r="DB398" s="140"/>
      <c r="DD398" s="139"/>
      <c r="DE398" s="139"/>
      <c r="DF398" s="139"/>
      <c r="DG398" s="140"/>
      <c r="DI398" s="64"/>
      <c r="DJ398" s="64"/>
      <c r="DK398" s="64"/>
      <c r="DL398" s="64"/>
      <c r="DN398" s="64"/>
      <c r="DO398" s="64"/>
      <c r="DP398" s="64"/>
      <c r="DQ398" s="64"/>
      <c r="DS398" s="64"/>
      <c r="DT398" s="64"/>
      <c r="DU398" s="64"/>
      <c r="DV398" s="64"/>
      <c r="DX398" s="64"/>
      <c r="DY398" s="64"/>
      <c r="DZ398" s="64"/>
      <c r="EA398" s="64"/>
      <c r="EC398" s="64"/>
      <c r="ED398" s="64"/>
      <c r="EE398" s="64"/>
      <c r="EF398" s="64"/>
      <c r="EH398" s="64"/>
      <c r="EI398" s="64"/>
      <c r="EJ398" s="64"/>
      <c r="EK398" s="64"/>
      <c r="ER398" s="855"/>
      <c r="EX398" s="203">
        <f t="shared" si="25"/>
        <v>0</v>
      </c>
      <c r="EY398" s="116">
        <v>34</v>
      </c>
    </row>
    <row r="399" spans="1:155" ht="15" customHeight="1">
      <c r="A399" s="68" t="s">
        <v>315</v>
      </c>
      <c r="B399" s="214" t="s">
        <v>374</v>
      </c>
      <c r="C399" s="473" t="s">
        <v>515</v>
      </c>
      <c r="J399" s="138"/>
      <c r="K399" s="138"/>
      <c r="M399" s="6"/>
      <c r="N399" s="6"/>
      <c r="O399" s="6"/>
      <c r="P399" s="6"/>
      <c r="BU399" s="6"/>
      <c r="BV399" s="6"/>
      <c r="BW399" s="6"/>
      <c r="BX399" s="6"/>
      <c r="BY399" s="6"/>
      <c r="BZ399" s="6"/>
      <c r="CA399" s="6"/>
      <c r="CB399" s="6"/>
      <c r="CC399" s="6"/>
      <c r="CD399" s="6"/>
      <c r="CE399" s="6"/>
      <c r="CF399" s="6"/>
      <c r="CG399" s="6"/>
      <c r="CH399" s="6"/>
      <c r="CI399" s="6"/>
      <c r="CJ399" s="6"/>
      <c r="CK399" s="6"/>
      <c r="CL399" s="6"/>
      <c r="CM399" s="6"/>
      <c r="CN399" s="6"/>
      <c r="CO399" s="6"/>
      <c r="CP399" s="6"/>
      <c r="CQ399" s="6"/>
      <c r="CR399" s="6"/>
      <c r="CS399" s="6"/>
      <c r="CT399" s="6"/>
      <c r="CU399" s="6"/>
      <c r="CV399" s="6"/>
      <c r="CW399" s="6"/>
      <c r="CX399" s="6"/>
      <c r="CY399" s="6"/>
      <c r="CZ399" s="6"/>
      <c r="DA399" s="6"/>
      <c r="DB399" s="6"/>
      <c r="DC399" s="6"/>
      <c r="DD399" s="6"/>
      <c r="DE399" s="6"/>
      <c r="DF399" s="6"/>
      <c r="DG399" s="6"/>
      <c r="DH399" s="6"/>
      <c r="DI399" s="5"/>
      <c r="DJ399" s="5"/>
      <c r="DK399" s="5"/>
      <c r="DL399" s="5"/>
      <c r="DM399" s="6"/>
      <c r="DN399" s="5"/>
      <c r="DO399" s="5"/>
      <c r="DP399" s="5"/>
      <c r="DQ399" s="5"/>
      <c r="DR399" s="6"/>
      <c r="DS399" s="5"/>
      <c r="DT399" s="5"/>
      <c r="DU399" s="5"/>
      <c r="DV399" s="5"/>
      <c r="DW399" s="6"/>
      <c r="DX399" s="5"/>
      <c r="DY399" s="5"/>
      <c r="DZ399" s="5"/>
      <c r="EA399" s="5"/>
      <c r="EB399" s="6"/>
      <c r="EC399" s="5"/>
      <c r="ED399" s="5"/>
      <c r="EE399" s="5"/>
      <c r="EF399" s="5"/>
      <c r="EG399" s="6"/>
      <c r="EH399" s="5"/>
      <c r="EI399" s="5"/>
      <c r="EJ399" s="5"/>
      <c r="EK399" s="5"/>
      <c r="EL399" s="6"/>
      <c r="EM399" s="6">
        <v>1</v>
      </c>
      <c r="EN399" s="6">
        <f>EN5*EM399+EO5*EM399</f>
        <v>0</v>
      </c>
      <c r="EO399" s="6"/>
      <c r="EP399" s="6"/>
      <c r="EQ399" s="6"/>
      <c r="EX399" s="203">
        <f t="shared" si="25"/>
        <v>0</v>
      </c>
      <c r="EY399" s="142">
        <v>13</v>
      </c>
    </row>
    <row r="400" spans="1:155" ht="15" customHeight="1">
      <c r="A400" s="69" t="s">
        <v>255</v>
      </c>
      <c r="B400" s="214" t="s">
        <v>375</v>
      </c>
      <c r="C400" s="473" t="s">
        <v>515</v>
      </c>
      <c r="J400" s="138"/>
      <c r="K400" s="138"/>
      <c r="BU400" s="6"/>
      <c r="BV400" s="6"/>
      <c r="BW400" s="6"/>
      <c r="BX400" s="6"/>
      <c r="BY400" s="6"/>
      <c r="BZ400" s="6"/>
      <c r="CA400" s="6"/>
      <c r="CB400" s="6"/>
      <c r="CC400" s="6"/>
      <c r="CD400" s="6"/>
      <c r="CE400" s="6"/>
      <c r="CF400" s="6"/>
      <c r="CG400" s="6"/>
      <c r="CH400" s="6"/>
      <c r="CI400" s="6"/>
      <c r="CJ400" s="6"/>
      <c r="CK400" s="6"/>
      <c r="CL400" s="6"/>
      <c r="CM400" s="6"/>
      <c r="CN400" s="6"/>
      <c r="CO400" s="6"/>
      <c r="CP400" s="6"/>
      <c r="CQ400" s="6"/>
      <c r="CR400" s="6"/>
      <c r="CS400" s="6"/>
      <c r="CT400" s="6"/>
      <c r="CU400" s="6"/>
      <c r="CV400" s="6"/>
      <c r="CW400" s="6"/>
      <c r="CX400" s="6"/>
      <c r="CY400" s="6"/>
      <c r="CZ400" s="6"/>
      <c r="DA400" s="6"/>
      <c r="DB400" s="6"/>
      <c r="DC400" s="6"/>
      <c r="DD400" s="6"/>
      <c r="DE400" s="6"/>
      <c r="DF400" s="6"/>
      <c r="DG400" s="6"/>
      <c r="DH400" s="6"/>
      <c r="DI400" s="5"/>
      <c r="DJ400" s="5"/>
      <c r="DK400" s="5"/>
      <c r="DL400" s="5"/>
      <c r="DM400" s="6"/>
      <c r="DN400" s="5"/>
      <c r="DO400" s="5"/>
      <c r="DP400" s="5"/>
      <c r="DQ400" s="5"/>
      <c r="DR400" s="6"/>
      <c r="DS400" s="5"/>
      <c r="DT400" s="5"/>
      <c r="DU400" s="5"/>
      <c r="DV400" s="5"/>
      <c r="DW400" s="6"/>
      <c r="DX400" s="5"/>
      <c r="DY400" s="5"/>
      <c r="DZ400" s="5"/>
      <c r="EA400" s="5"/>
      <c r="EB400" s="6"/>
      <c r="EC400" s="5"/>
      <c r="ED400" s="5"/>
      <c r="EE400" s="5"/>
      <c r="EF400" s="5"/>
      <c r="EG400" s="6"/>
      <c r="EH400" s="5"/>
      <c r="EI400" s="5"/>
      <c r="EJ400" s="5"/>
      <c r="EK400" s="5"/>
      <c r="EL400" s="6"/>
      <c r="EM400" s="6">
        <v>1</v>
      </c>
      <c r="EN400" s="6">
        <f>EN5*EM399+EO5*EM399</f>
        <v>0</v>
      </c>
      <c r="EO400" s="6"/>
      <c r="EP400" s="6"/>
      <c r="EQ400" s="6"/>
      <c r="EX400" s="203">
        <f t="shared" si="25"/>
        <v>0</v>
      </c>
      <c r="EY400" s="116">
        <v>34</v>
      </c>
    </row>
    <row r="401" spans="1:155" ht="15" customHeight="1">
      <c r="A401" s="68" t="s">
        <v>256</v>
      </c>
      <c r="B401" s="214" t="s">
        <v>376</v>
      </c>
      <c r="C401" s="473" t="s">
        <v>515</v>
      </c>
      <c r="J401" s="138"/>
      <c r="K401" s="138"/>
      <c r="BU401" s="6"/>
      <c r="BV401" s="6"/>
      <c r="BW401" s="6"/>
      <c r="BX401" s="6"/>
      <c r="BY401" s="6"/>
      <c r="BZ401" s="6"/>
      <c r="CA401" s="6"/>
      <c r="CB401" s="6"/>
      <c r="CC401" s="6"/>
      <c r="CD401" s="6"/>
      <c r="CE401" s="6"/>
      <c r="CF401" s="6"/>
      <c r="CG401" s="6"/>
      <c r="CH401" s="6"/>
      <c r="CI401" s="6"/>
      <c r="CJ401" s="6"/>
      <c r="CK401" s="6"/>
      <c r="CL401" s="6"/>
      <c r="CM401" s="6"/>
      <c r="CN401" s="6"/>
      <c r="CO401" s="6"/>
      <c r="CP401" s="6"/>
      <c r="CQ401" s="6"/>
      <c r="CR401" s="6"/>
      <c r="CS401" s="6"/>
      <c r="CT401" s="6"/>
      <c r="CU401" s="6"/>
      <c r="CV401" s="6"/>
      <c r="CW401" s="6"/>
      <c r="CX401" s="6"/>
      <c r="CY401" s="6"/>
      <c r="CZ401" s="6"/>
      <c r="DA401" s="6"/>
      <c r="DB401" s="6"/>
      <c r="DC401" s="6"/>
      <c r="DD401" s="6"/>
      <c r="DE401" s="6"/>
      <c r="DF401" s="6"/>
      <c r="DG401" s="6"/>
      <c r="DH401" s="6"/>
      <c r="DI401" s="5"/>
      <c r="DJ401" s="5"/>
      <c r="DK401" s="5"/>
      <c r="DL401" s="5"/>
      <c r="DM401" s="6"/>
      <c r="DN401" s="5"/>
      <c r="DO401" s="5"/>
      <c r="DP401" s="5"/>
      <c r="DQ401" s="5"/>
      <c r="DR401" s="6"/>
      <c r="DS401" s="5"/>
      <c r="DT401" s="5"/>
      <c r="DU401" s="5"/>
      <c r="DV401" s="5"/>
      <c r="DW401" s="6"/>
      <c r="DX401" s="5"/>
      <c r="DY401" s="5"/>
      <c r="DZ401" s="5"/>
      <c r="EA401" s="5"/>
      <c r="EB401" s="6"/>
      <c r="EC401" s="5"/>
      <c r="ED401" s="5"/>
      <c r="EE401" s="5"/>
      <c r="EF401" s="5"/>
      <c r="EG401" s="6"/>
      <c r="EH401" s="5"/>
      <c r="EI401" s="5"/>
      <c r="EJ401" s="5"/>
      <c r="EK401" s="5"/>
      <c r="EL401" s="6"/>
      <c r="EM401" s="6">
        <v>1</v>
      </c>
      <c r="EN401" s="6">
        <f>EN6*EM401+EO6*EM401</f>
        <v>0</v>
      </c>
      <c r="EO401" s="6"/>
      <c r="EP401" s="6"/>
      <c r="EQ401" s="6"/>
      <c r="EX401" s="203">
        <f t="shared" si="25"/>
        <v>0</v>
      </c>
      <c r="EY401" s="142">
        <v>13</v>
      </c>
    </row>
    <row r="402" spans="1:155" ht="15" customHeight="1">
      <c r="A402" s="69" t="s">
        <v>257</v>
      </c>
      <c r="B402" s="214" t="s">
        <v>490</v>
      </c>
      <c r="C402" s="473" t="s">
        <v>515</v>
      </c>
      <c r="J402" s="138"/>
      <c r="K402" s="138"/>
      <c r="BU402" s="6"/>
      <c r="BV402" s="6"/>
      <c r="BW402" s="6"/>
      <c r="BX402" s="6"/>
      <c r="BY402" s="6"/>
      <c r="BZ402" s="6"/>
      <c r="CA402" s="6"/>
      <c r="CB402" s="6"/>
      <c r="CC402" s="6"/>
      <c r="CD402" s="6"/>
      <c r="CE402" s="6"/>
      <c r="CF402" s="6"/>
      <c r="CG402" s="6"/>
      <c r="CH402" s="6"/>
      <c r="CI402" s="6"/>
      <c r="CJ402" s="6"/>
      <c r="CK402" s="6"/>
      <c r="CL402" s="6"/>
      <c r="CM402" s="6"/>
      <c r="CN402" s="6"/>
      <c r="CO402" s="6"/>
      <c r="CP402" s="6"/>
      <c r="CQ402" s="6"/>
      <c r="CR402" s="6"/>
      <c r="CS402" s="6"/>
      <c r="CT402" s="6"/>
      <c r="CU402" s="6"/>
      <c r="CV402" s="6"/>
      <c r="CW402" s="6"/>
      <c r="CX402" s="6"/>
      <c r="CY402" s="6"/>
      <c r="CZ402" s="6"/>
      <c r="DA402" s="6"/>
      <c r="DB402" s="6"/>
      <c r="DC402" s="6"/>
      <c r="DD402" s="6"/>
      <c r="DE402" s="6"/>
      <c r="DF402" s="6"/>
      <c r="DG402" s="6"/>
      <c r="DH402" s="6"/>
      <c r="DI402" s="5"/>
      <c r="DJ402" s="5"/>
      <c r="DK402" s="5"/>
      <c r="DL402" s="5"/>
      <c r="DM402" s="6"/>
      <c r="DN402" s="5"/>
      <c r="DO402" s="5"/>
      <c r="DP402" s="5"/>
      <c r="DQ402" s="5"/>
      <c r="DR402" s="6"/>
      <c r="DS402" s="5"/>
      <c r="DT402" s="5"/>
      <c r="DU402" s="5"/>
      <c r="DV402" s="5"/>
      <c r="DW402" s="6"/>
      <c r="DX402" s="5"/>
      <c r="DY402" s="5"/>
      <c r="DZ402" s="5"/>
      <c r="EA402" s="5"/>
      <c r="EB402" s="6"/>
      <c r="EC402" s="5"/>
      <c r="ED402" s="5"/>
      <c r="EE402" s="5"/>
      <c r="EF402" s="5"/>
      <c r="EG402" s="6"/>
      <c r="EH402" s="5"/>
      <c r="EI402" s="5"/>
      <c r="EJ402" s="5"/>
      <c r="EK402" s="5"/>
      <c r="EL402" s="6"/>
      <c r="EM402" s="6">
        <v>1</v>
      </c>
      <c r="EN402" s="6">
        <f>EN6*EM401+EO6*EM401</f>
        <v>0</v>
      </c>
      <c r="EO402" s="6"/>
      <c r="EP402" s="6"/>
      <c r="EQ402" s="6"/>
      <c r="EX402" s="203">
        <f t="shared" si="25"/>
        <v>0</v>
      </c>
      <c r="EY402" s="116">
        <v>34</v>
      </c>
    </row>
    <row r="403" spans="1:155" ht="15" customHeight="1">
      <c r="A403" s="68" t="s">
        <v>258</v>
      </c>
      <c r="B403" s="214" t="s">
        <v>258</v>
      </c>
      <c r="C403" s="473" t="s">
        <v>515</v>
      </c>
      <c r="J403" s="138"/>
      <c r="K403" s="138"/>
      <c r="BU403" s="6"/>
      <c r="BV403" s="6"/>
      <c r="BW403" s="6"/>
      <c r="BX403" s="6"/>
      <c r="BY403" s="6"/>
      <c r="BZ403" s="6"/>
      <c r="CA403" s="6"/>
      <c r="CB403" s="6"/>
      <c r="CC403" s="6"/>
      <c r="CD403" s="6"/>
      <c r="CE403" s="6"/>
      <c r="CF403" s="6"/>
      <c r="CG403" s="6"/>
      <c r="CH403" s="6"/>
      <c r="CI403" s="6"/>
      <c r="CJ403" s="6"/>
      <c r="CK403" s="6"/>
      <c r="CL403" s="6"/>
      <c r="CM403" s="6"/>
      <c r="CN403" s="6"/>
      <c r="CO403" s="6"/>
      <c r="CP403" s="6"/>
      <c r="CQ403" s="6"/>
      <c r="CR403" s="6"/>
      <c r="CS403" s="6"/>
      <c r="CT403" s="6"/>
      <c r="CU403" s="6"/>
      <c r="CV403" s="6"/>
      <c r="CW403" s="6"/>
      <c r="CX403" s="6"/>
      <c r="CY403" s="6"/>
      <c r="CZ403" s="6"/>
      <c r="DA403" s="6"/>
      <c r="DB403" s="6"/>
      <c r="DC403" s="6"/>
      <c r="DD403" s="6"/>
      <c r="DE403" s="6"/>
      <c r="DF403" s="6"/>
      <c r="DG403" s="6"/>
      <c r="DH403" s="6"/>
      <c r="DI403" s="5"/>
      <c r="DJ403" s="5"/>
      <c r="DK403" s="5"/>
      <c r="DL403" s="5"/>
      <c r="DM403" s="6"/>
      <c r="DN403" s="5"/>
      <c r="DO403" s="5"/>
      <c r="DP403" s="5"/>
      <c r="DQ403" s="5"/>
      <c r="DR403" s="6"/>
      <c r="DS403" s="5"/>
      <c r="DT403" s="5"/>
      <c r="DU403" s="5"/>
      <c r="DV403" s="5"/>
      <c r="DW403" s="6"/>
      <c r="DX403" s="5"/>
      <c r="DY403" s="5"/>
      <c r="DZ403" s="5"/>
      <c r="EA403" s="5"/>
      <c r="EB403" s="6"/>
      <c r="EC403" s="5"/>
      <c r="ED403" s="5"/>
      <c r="EE403" s="5"/>
      <c r="EF403" s="5"/>
      <c r="EG403" s="6"/>
      <c r="EH403" s="5"/>
      <c r="EI403" s="5"/>
      <c r="EJ403" s="5"/>
      <c r="EK403" s="5"/>
      <c r="EL403" s="6"/>
      <c r="EM403" s="6">
        <v>1</v>
      </c>
      <c r="EN403" s="6">
        <f>EN7*EM403+EO7*EM403</f>
        <v>0</v>
      </c>
      <c r="EO403" s="6"/>
      <c r="EP403" s="6"/>
      <c r="EQ403" s="6"/>
      <c r="EX403" s="203">
        <f t="shared" si="25"/>
        <v>0</v>
      </c>
      <c r="EY403" s="142">
        <v>13</v>
      </c>
    </row>
    <row r="404" spans="1:155" ht="15" customHeight="1">
      <c r="A404" s="69" t="s">
        <v>259</v>
      </c>
      <c r="B404" s="214" t="s">
        <v>491</v>
      </c>
      <c r="C404" s="473" t="s">
        <v>515</v>
      </c>
      <c r="J404" s="138"/>
      <c r="K404" s="138"/>
      <c r="BU404" s="6"/>
      <c r="BV404" s="6"/>
      <c r="BW404" s="6"/>
      <c r="BX404" s="6"/>
      <c r="BY404" s="6"/>
      <c r="BZ404" s="6"/>
      <c r="CA404" s="6"/>
      <c r="CB404" s="6"/>
      <c r="CC404" s="6"/>
      <c r="CD404" s="6"/>
      <c r="CE404" s="6"/>
      <c r="CF404" s="6"/>
      <c r="CG404" s="6"/>
      <c r="CH404" s="6"/>
      <c r="CI404" s="6"/>
      <c r="CJ404" s="6"/>
      <c r="CK404" s="6"/>
      <c r="CL404" s="6"/>
      <c r="CM404" s="6"/>
      <c r="CN404" s="6"/>
      <c r="CO404" s="6"/>
      <c r="CP404" s="6"/>
      <c r="CQ404" s="6"/>
      <c r="CR404" s="6"/>
      <c r="CS404" s="6"/>
      <c r="CT404" s="6"/>
      <c r="CU404" s="6"/>
      <c r="CV404" s="6"/>
      <c r="CW404" s="6"/>
      <c r="CX404" s="6"/>
      <c r="CY404" s="6"/>
      <c r="CZ404" s="6"/>
      <c r="DA404" s="6"/>
      <c r="DB404" s="6"/>
      <c r="DC404" s="6"/>
      <c r="DD404" s="6"/>
      <c r="DE404" s="6"/>
      <c r="DF404" s="6"/>
      <c r="DG404" s="6"/>
      <c r="DH404" s="6"/>
      <c r="DI404" s="5"/>
      <c r="DJ404" s="5"/>
      <c r="DK404" s="5"/>
      <c r="DL404" s="5"/>
      <c r="DM404" s="6"/>
      <c r="DN404" s="5"/>
      <c r="DO404" s="5"/>
      <c r="DP404" s="5"/>
      <c r="DQ404" s="5"/>
      <c r="DR404" s="6"/>
      <c r="DS404" s="5"/>
      <c r="DT404" s="5"/>
      <c r="DU404" s="5"/>
      <c r="DV404" s="5"/>
      <c r="DW404" s="6"/>
      <c r="DX404" s="5"/>
      <c r="DY404" s="5"/>
      <c r="DZ404" s="5"/>
      <c r="EA404" s="5"/>
      <c r="EB404" s="6"/>
      <c r="EC404" s="5"/>
      <c r="ED404" s="5"/>
      <c r="EE404" s="5"/>
      <c r="EF404" s="5"/>
      <c r="EG404" s="6"/>
      <c r="EH404" s="5"/>
      <c r="EI404" s="5"/>
      <c r="EJ404" s="5"/>
      <c r="EK404" s="5"/>
      <c r="EL404" s="6"/>
      <c r="EM404" s="6">
        <v>1</v>
      </c>
      <c r="EN404" s="6">
        <f>EN7*EM403+EO7*EM403</f>
        <v>0</v>
      </c>
      <c r="EO404" s="6"/>
      <c r="EP404" s="6"/>
      <c r="EQ404" s="6"/>
      <c r="EX404" s="203">
        <f t="shared" si="25"/>
        <v>0</v>
      </c>
      <c r="EY404" s="116">
        <v>34</v>
      </c>
    </row>
    <row r="405" spans="1:155" ht="15" customHeight="1">
      <c r="A405" s="68" t="s">
        <v>260</v>
      </c>
      <c r="B405" s="214" t="s">
        <v>260</v>
      </c>
      <c r="C405" s="473" t="s">
        <v>515</v>
      </c>
      <c r="J405" s="138"/>
      <c r="K405" s="138"/>
      <c r="BU405" s="6"/>
      <c r="BV405" s="6"/>
      <c r="BW405" s="6"/>
      <c r="BX405" s="6"/>
      <c r="BY405" s="6"/>
      <c r="BZ405" s="6"/>
      <c r="CA405" s="6"/>
      <c r="CB405" s="6"/>
      <c r="CC405" s="6"/>
      <c r="CD405" s="6"/>
      <c r="CE405" s="6"/>
      <c r="CF405" s="6"/>
      <c r="CG405" s="6"/>
      <c r="CH405" s="6"/>
      <c r="CI405" s="6"/>
      <c r="CJ405" s="6"/>
      <c r="CK405" s="6"/>
      <c r="CL405" s="6"/>
      <c r="CM405" s="6"/>
      <c r="CN405" s="6"/>
      <c r="CO405" s="6"/>
      <c r="CP405" s="6"/>
      <c r="CQ405" s="6"/>
      <c r="CR405" s="6"/>
      <c r="CS405" s="6"/>
      <c r="CT405" s="6"/>
      <c r="CU405" s="6"/>
      <c r="CV405" s="6"/>
      <c r="CW405" s="6"/>
      <c r="CX405" s="6"/>
      <c r="CY405" s="6"/>
      <c r="CZ405" s="6"/>
      <c r="DA405" s="6"/>
      <c r="DB405" s="6"/>
      <c r="DC405" s="6"/>
      <c r="DD405" s="6"/>
      <c r="DE405" s="6"/>
      <c r="DF405" s="6"/>
      <c r="DG405" s="6"/>
      <c r="DH405" s="6"/>
      <c r="DI405" s="5"/>
      <c r="DJ405" s="5"/>
      <c r="DK405" s="5"/>
      <c r="DL405" s="5"/>
      <c r="DM405" s="6"/>
      <c r="DN405" s="5"/>
      <c r="DO405" s="5"/>
      <c r="DP405" s="5"/>
      <c r="DQ405" s="5"/>
      <c r="DR405" s="6"/>
      <c r="DS405" s="5"/>
      <c r="DT405" s="5"/>
      <c r="DU405" s="5"/>
      <c r="DV405" s="5"/>
      <c r="DW405" s="6"/>
      <c r="DX405" s="5"/>
      <c r="DY405" s="5"/>
      <c r="DZ405" s="5"/>
      <c r="EA405" s="5"/>
      <c r="EB405" s="6"/>
      <c r="EC405" s="5"/>
      <c r="ED405" s="5"/>
      <c r="EE405" s="5"/>
      <c r="EF405" s="5"/>
      <c r="EG405" s="6"/>
      <c r="EH405" s="5"/>
      <c r="EI405" s="5"/>
      <c r="EJ405" s="5"/>
      <c r="EK405" s="5"/>
      <c r="EL405" s="6"/>
      <c r="EM405" s="6">
        <v>1</v>
      </c>
      <c r="EN405" s="6">
        <f>EN8*EM405+EO8*EM405</f>
        <v>0</v>
      </c>
      <c r="EO405" s="6"/>
      <c r="EP405" s="6"/>
      <c r="EQ405" s="6"/>
      <c r="EX405" s="203">
        <f t="shared" si="25"/>
        <v>0</v>
      </c>
      <c r="EY405" s="142">
        <v>13</v>
      </c>
    </row>
    <row r="406" spans="1:155" ht="15" customHeight="1">
      <c r="A406" s="69" t="s">
        <v>261</v>
      </c>
      <c r="B406" s="214" t="s">
        <v>492</v>
      </c>
      <c r="C406" s="473" t="s">
        <v>515</v>
      </c>
      <c r="J406" s="138"/>
      <c r="K406" s="138"/>
      <c r="BU406" s="6"/>
      <c r="BV406" s="6"/>
      <c r="BW406" s="6"/>
      <c r="BX406" s="6"/>
      <c r="BY406" s="6"/>
      <c r="BZ406" s="6"/>
      <c r="CA406" s="6"/>
      <c r="CB406" s="6"/>
      <c r="CC406" s="6"/>
      <c r="CD406" s="6"/>
      <c r="CE406" s="6"/>
      <c r="CF406" s="6"/>
      <c r="CG406" s="6"/>
      <c r="CH406" s="6"/>
      <c r="CI406" s="6"/>
      <c r="CJ406" s="6"/>
      <c r="CK406" s="6"/>
      <c r="CL406" s="6"/>
      <c r="CM406" s="6"/>
      <c r="CN406" s="6"/>
      <c r="CO406" s="6"/>
      <c r="CP406" s="6"/>
      <c r="CQ406" s="6"/>
      <c r="CR406" s="6"/>
      <c r="CS406" s="6"/>
      <c r="CT406" s="6"/>
      <c r="CU406" s="6"/>
      <c r="CV406" s="6"/>
      <c r="CW406" s="6"/>
      <c r="CX406" s="6"/>
      <c r="CY406" s="6"/>
      <c r="CZ406" s="6"/>
      <c r="DA406" s="6"/>
      <c r="DB406" s="6"/>
      <c r="DC406" s="6"/>
      <c r="DD406" s="6"/>
      <c r="DE406" s="6"/>
      <c r="DF406" s="6"/>
      <c r="DG406" s="6"/>
      <c r="DH406" s="6"/>
      <c r="DI406" s="5"/>
      <c r="DJ406" s="5"/>
      <c r="DK406" s="5"/>
      <c r="DL406" s="5"/>
      <c r="DM406" s="6"/>
      <c r="DN406" s="5"/>
      <c r="DO406" s="5"/>
      <c r="DP406" s="5"/>
      <c r="DQ406" s="5"/>
      <c r="DR406" s="6"/>
      <c r="DS406" s="5"/>
      <c r="DT406" s="5"/>
      <c r="DU406" s="5"/>
      <c r="DV406" s="5"/>
      <c r="DW406" s="6"/>
      <c r="DX406" s="5"/>
      <c r="DY406" s="5"/>
      <c r="DZ406" s="5"/>
      <c r="EA406" s="5"/>
      <c r="EB406" s="6"/>
      <c r="EC406" s="5"/>
      <c r="ED406" s="5"/>
      <c r="EE406" s="5"/>
      <c r="EF406" s="5"/>
      <c r="EG406" s="6"/>
      <c r="EH406" s="5"/>
      <c r="EI406" s="5"/>
      <c r="EJ406" s="5"/>
      <c r="EK406" s="5"/>
      <c r="EL406" s="6"/>
      <c r="EM406" s="6">
        <v>1</v>
      </c>
      <c r="EN406" s="6">
        <f>EN8*EM405+EO8*EM405</f>
        <v>0</v>
      </c>
      <c r="EO406" s="6"/>
      <c r="EP406" s="6"/>
      <c r="EQ406" s="6"/>
      <c r="EX406" s="203">
        <f t="shared" si="25"/>
        <v>0</v>
      </c>
      <c r="EY406" s="116">
        <v>34</v>
      </c>
    </row>
    <row r="407" spans="1:155" ht="15" customHeight="1">
      <c r="A407" s="68" t="s">
        <v>262</v>
      </c>
      <c r="B407" s="214" t="s">
        <v>262</v>
      </c>
      <c r="C407" s="473" t="s">
        <v>515</v>
      </c>
      <c r="J407" s="138"/>
      <c r="K407" s="138"/>
      <c r="BU407" s="6"/>
      <c r="BV407" s="6"/>
      <c r="BW407" s="6"/>
      <c r="BX407" s="6"/>
      <c r="BY407" s="6"/>
      <c r="BZ407" s="6"/>
      <c r="CA407" s="6"/>
      <c r="CB407" s="6"/>
      <c r="CC407" s="6"/>
      <c r="CD407" s="6"/>
      <c r="CE407" s="6"/>
      <c r="CF407" s="6"/>
      <c r="CG407" s="6"/>
      <c r="CH407" s="6"/>
      <c r="CI407" s="6"/>
      <c r="CJ407" s="6"/>
      <c r="CK407" s="6"/>
      <c r="CL407" s="6"/>
      <c r="CM407" s="6"/>
      <c r="CN407" s="6"/>
      <c r="CO407" s="6"/>
      <c r="CP407" s="6"/>
      <c r="CQ407" s="6"/>
      <c r="CR407" s="6"/>
      <c r="CS407" s="6"/>
      <c r="CT407" s="6"/>
      <c r="CU407" s="6"/>
      <c r="CV407" s="6"/>
      <c r="CW407" s="6"/>
      <c r="CX407" s="6"/>
      <c r="CY407" s="6"/>
      <c r="CZ407" s="6"/>
      <c r="DA407" s="6"/>
      <c r="DB407" s="6"/>
      <c r="DC407" s="6"/>
      <c r="DD407" s="6"/>
      <c r="DE407" s="6"/>
      <c r="DF407" s="6"/>
      <c r="DG407" s="6"/>
      <c r="DH407" s="6"/>
      <c r="DI407" s="5"/>
      <c r="DJ407" s="5"/>
      <c r="DK407" s="5"/>
      <c r="DL407" s="5"/>
      <c r="DM407" s="6"/>
      <c r="DN407" s="5"/>
      <c r="DO407" s="5"/>
      <c r="DP407" s="5"/>
      <c r="DQ407" s="5"/>
      <c r="DR407" s="6"/>
      <c r="DS407" s="5"/>
      <c r="DT407" s="5"/>
      <c r="DU407" s="5"/>
      <c r="DV407" s="5"/>
      <c r="DW407" s="6"/>
      <c r="DX407" s="5"/>
      <c r="DY407" s="5"/>
      <c r="DZ407" s="5"/>
      <c r="EA407" s="5"/>
      <c r="EB407" s="6"/>
      <c r="EC407" s="5"/>
      <c r="ED407" s="5"/>
      <c r="EE407" s="5"/>
      <c r="EF407" s="5"/>
      <c r="EG407" s="6"/>
      <c r="EH407" s="5"/>
      <c r="EI407" s="5"/>
      <c r="EJ407" s="5"/>
      <c r="EK407" s="5"/>
      <c r="EL407" s="6"/>
      <c r="EM407" s="6">
        <v>1</v>
      </c>
      <c r="EN407" s="6">
        <f>EN9*EM407+EO9*EM407</f>
        <v>0</v>
      </c>
      <c r="EO407" s="6"/>
      <c r="EP407" s="6"/>
      <c r="EQ407" s="6"/>
      <c r="EX407" s="203">
        <f t="shared" si="25"/>
        <v>0</v>
      </c>
      <c r="EY407" s="142">
        <v>13</v>
      </c>
    </row>
    <row r="408" spans="1:155" ht="15" customHeight="1">
      <c r="A408" s="69" t="s">
        <v>263</v>
      </c>
      <c r="B408" s="214" t="s">
        <v>493</v>
      </c>
      <c r="C408" s="473" t="s">
        <v>515</v>
      </c>
      <c r="J408" s="138"/>
      <c r="K408" s="138"/>
      <c r="BU408" s="6"/>
      <c r="BV408" s="6"/>
      <c r="BW408" s="6"/>
      <c r="BX408" s="6"/>
      <c r="BY408" s="6"/>
      <c r="BZ408" s="6"/>
      <c r="CA408" s="6"/>
      <c r="CB408" s="6"/>
      <c r="CC408" s="6"/>
      <c r="CD408" s="6"/>
      <c r="CE408" s="6"/>
      <c r="CF408" s="6"/>
      <c r="CG408" s="6"/>
      <c r="CH408" s="6"/>
      <c r="CI408" s="6"/>
      <c r="CJ408" s="6"/>
      <c r="CK408" s="6"/>
      <c r="CL408" s="6"/>
      <c r="CM408" s="6"/>
      <c r="CN408" s="6"/>
      <c r="CO408" s="6"/>
      <c r="CP408" s="6"/>
      <c r="CQ408" s="6"/>
      <c r="CR408" s="6"/>
      <c r="CS408" s="6"/>
      <c r="CT408" s="6"/>
      <c r="CU408" s="6"/>
      <c r="CV408" s="6"/>
      <c r="CW408" s="6"/>
      <c r="CX408" s="6"/>
      <c r="CY408" s="6"/>
      <c r="CZ408" s="6"/>
      <c r="DA408" s="6"/>
      <c r="DB408" s="6"/>
      <c r="DC408" s="6"/>
      <c r="DD408" s="6"/>
      <c r="DE408" s="6"/>
      <c r="DF408" s="6"/>
      <c r="DG408" s="6"/>
      <c r="DH408" s="6"/>
      <c r="DI408" s="5"/>
      <c r="DJ408" s="5"/>
      <c r="DK408" s="5"/>
      <c r="DL408" s="5"/>
      <c r="DM408" s="6"/>
      <c r="DN408" s="5"/>
      <c r="DO408" s="5"/>
      <c r="DP408" s="5"/>
      <c r="DQ408" s="5"/>
      <c r="DR408" s="6"/>
      <c r="DS408" s="5"/>
      <c r="DT408" s="5"/>
      <c r="DU408" s="5"/>
      <c r="DV408" s="5"/>
      <c r="DW408" s="6"/>
      <c r="DX408" s="5"/>
      <c r="DY408" s="5"/>
      <c r="DZ408" s="5"/>
      <c r="EA408" s="5"/>
      <c r="EB408" s="6"/>
      <c r="EC408" s="5"/>
      <c r="ED408" s="5"/>
      <c r="EE408" s="5"/>
      <c r="EF408" s="5"/>
      <c r="EG408" s="6"/>
      <c r="EH408" s="5"/>
      <c r="EI408" s="5"/>
      <c r="EJ408" s="5"/>
      <c r="EK408" s="5"/>
      <c r="EL408" s="6"/>
      <c r="EM408" s="6">
        <v>1</v>
      </c>
      <c r="EN408" s="6">
        <f>EN9*EM407+EO9*EM407</f>
        <v>0</v>
      </c>
      <c r="EO408" s="6"/>
      <c r="EP408" s="6"/>
      <c r="EQ408" s="6"/>
      <c r="EX408" s="203">
        <f t="shared" si="25"/>
        <v>0</v>
      </c>
      <c r="EY408" s="116">
        <v>34</v>
      </c>
    </row>
    <row r="409" spans="1:155" ht="15" customHeight="1">
      <c r="A409" s="68" t="s">
        <v>264</v>
      </c>
      <c r="B409" s="214" t="s">
        <v>264</v>
      </c>
      <c r="C409" s="473" t="s">
        <v>515</v>
      </c>
      <c r="J409" s="138"/>
      <c r="K409" s="138"/>
      <c r="BU409" s="6"/>
      <c r="BV409" s="6"/>
      <c r="BW409" s="6"/>
      <c r="BX409" s="6"/>
      <c r="BY409" s="6"/>
      <c r="BZ409" s="6"/>
      <c r="CA409" s="6"/>
      <c r="CB409" s="6"/>
      <c r="CC409" s="6"/>
      <c r="CD409" s="6"/>
      <c r="CE409" s="6"/>
      <c r="CF409" s="6"/>
      <c r="CG409" s="6"/>
      <c r="CH409" s="6"/>
      <c r="CI409" s="6"/>
      <c r="CJ409" s="6"/>
      <c r="CK409" s="6"/>
      <c r="CL409" s="6"/>
      <c r="CM409" s="6"/>
      <c r="CN409" s="6"/>
      <c r="CO409" s="6"/>
      <c r="CP409" s="6"/>
      <c r="CQ409" s="6"/>
      <c r="CR409" s="6"/>
      <c r="CS409" s="6"/>
      <c r="CT409" s="6"/>
      <c r="CU409" s="6"/>
      <c r="CV409" s="6"/>
      <c r="CW409" s="6"/>
      <c r="CX409" s="6"/>
      <c r="CY409" s="6"/>
      <c r="CZ409" s="6"/>
      <c r="DA409" s="6"/>
      <c r="DB409" s="6"/>
      <c r="DC409" s="6"/>
      <c r="DD409" s="6"/>
      <c r="DE409" s="6"/>
      <c r="DF409" s="6"/>
      <c r="DG409" s="6"/>
      <c r="DH409" s="6"/>
      <c r="DI409" s="5"/>
      <c r="DJ409" s="5"/>
      <c r="DK409" s="5"/>
      <c r="DL409" s="5"/>
      <c r="DM409" s="6"/>
      <c r="DN409" s="5"/>
      <c r="DO409" s="5"/>
      <c r="DP409" s="5"/>
      <c r="DQ409" s="5"/>
      <c r="DR409" s="6"/>
      <c r="DS409" s="5"/>
      <c r="DT409" s="5"/>
      <c r="DU409" s="5"/>
      <c r="DV409" s="5"/>
      <c r="DW409" s="6"/>
      <c r="DX409" s="5"/>
      <c r="DY409" s="5"/>
      <c r="DZ409" s="5"/>
      <c r="EA409" s="5"/>
      <c r="EB409" s="6"/>
      <c r="EC409" s="5"/>
      <c r="ED409" s="5"/>
      <c r="EE409" s="5"/>
      <c r="EF409" s="5"/>
      <c r="EG409" s="6"/>
      <c r="EH409" s="5"/>
      <c r="EI409" s="5"/>
      <c r="EJ409" s="5"/>
      <c r="EK409" s="5"/>
      <c r="EL409" s="6"/>
      <c r="EM409" s="6">
        <v>1</v>
      </c>
      <c r="EN409" s="6">
        <f>EN10*EM409+EO10*EM409</f>
        <v>0</v>
      </c>
      <c r="EO409" s="6"/>
      <c r="EP409" s="6"/>
      <c r="EQ409" s="6"/>
      <c r="EX409" s="203">
        <f t="shared" si="25"/>
        <v>0</v>
      </c>
      <c r="EY409" s="142">
        <v>13</v>
      </c>
    </row>
    <row r="410" spans="1:155" ht="15" customHeight="1">
      <c r="A410" s="69" t="s">
        <v>265</v>
      </c>
      <c r="B410" s="214" t="s">
        <v>494</v>
      </c>
      <c r="C410" s="473" t="s">
        <v>515</v>
      </c>
      <c r="J410" s="138"/>
      <c r="K410" s="138"/>
      <c r="BU410" s="6"/>
      <c r="BV410" s="6"/>
      <c r="BW410" s="6"/>
      <c r="BX410" s="6"/>
      <c r="BY410" s="6"/>
      <c r="BZ410" s="6"/>
      <c r="CA410" s="6"/>
      <c r="CB410" s="6"/>
      <c r="CC410" s="6"/>
      <c r="CD410" s="6"/>
      <c r="CE410" s="6"/>
      <c r="CF410" s="6"/>
      <c r="CG410" s="6"/>
      <c r="CH410" s="6"/>
      <c r="CI410" s="6"/>
      <c r="CJ410" s="6"/>
      <c r="CK410" s="6"/>
      <c r="CL410" s="6"/>
      <c r="CM410" s="6"/>
      <c r="CN410" s="6"/>
      <c r="CO410" s="6"/>
      <c r="CP410" s="6"/>
      <c r="CQ410" s="6"/>
      <c r="CR410" s="6"/>
      <c r="CS410" s="6"/>
      <c r="CT410" s="6"/>
      <c r="CU410" s="6"/>
      <c r="CV410" s="6"/>
      <c r="CW410" s="6"/>
      <c r="CX410" s="6"/>
      <c r="CY410" s="6"/>
      <c r="CZ410" s="6"/>
      <c r="DA410" s="6"/>
      <c r="DB410" s="6"/>
      <c r="DC410" s="6"/>
      <c r="DD410" s="6"/>
      <c r="DE410" s="6"/>
      <c r="DF410" s="6"/>
      <c r="DG410" s="6"/>
      <c r="DH410" s="6"/>
      <c r="DI410" s="5"/>
      <c r="DJ410" s="5"/>
      <c r="DK410" s="5"/>
      <c r="DL410" s="5"/>
      <c r="DM410" s="6"/>
      <c r="DN410" s="5"/>
      <c r="DO410" s="5"/>
      <c r="DP410" s="5"/>
      <c r="DQ410" s="5"/>
      <c r="DR410" s="6"/>
      <c r="DS410" s="5"/>
      <c r="DT410" s="5"/>
      <c r="DU410" s="5"/>
      <c r="DV410" s="5"/>
      <c r="DW410" s="6"/>
      <c r="DX410" s="5"/>
      <c r="DY410" s="5"/>
      <c r="DZ410" s="5"/>
      <c r="EA410" s="5"/>
      <c r="EB410" s="6"/>
      <c r="EC410" s="5"/>
      <c r="ED410" s="5"/>
      <c r="EE410" s="5"/>
      <c r="EF410" s="5"/>
      <c r="EG410" s="6"/>
      <c r="EH410" s="5"/>
      <c r="EI410" s="5"/>
      <c r="EJ410" s="5"/>
      <c r="EK410" s="5"/>
      <c r="EL410" s="6"/>
      <c r="EM410" s="6">
        <v>1</v>
      </c>
      <c r="EN410" s="6">
        <f>EN10*EM409+EO10*EM409</f>
        <v>0</v>
      </c>
      <c r="EO410" s="6"/>
      <c r="EP410" s="6"/>
      <c r="EQ410" s="6"/>
      <c r="EX410" s="203">
        <f t="shared" si="25"/>
        <v>0</v>
      </c>
      <c r="EY410" s="116">
        <v>34</v>
      </c>
    </row>
    <row r="411" spans="1:155" ht="15" customHeight="1">
      <c r="A411" s="68" t="s">
        <v>266</v>
      </c>
      <c r="B411" s="214" t="s">
        <v>266</v>
      </c>
      <c r="C411" s="473" t="s">
        <v>515</v>
      </c>
      <c r="J411" s="138"/>
      <c r="K411" s="138"/>
      <c r="BU411" s="6"/>
      <c r="BV411" s="6"/>
      <c r="BW411" s="6"/>
      <c r="BX411" s="6"/>
      <c r="BY411" s="6"/>
      <c r="BZ411" s="6"/>
      <c r="CA411" s="6"/>
      <c r="CB411" s="6"/>
      <c r="CC411" s="6"/>
      <c r="CD411" s="6"/>
      <c r="CE411" s="6"/>
      <c r="CF411" s="6"/>
      <c r="CG411" s="6"/>
      <c r="CH411" s="6"/>
      <c r="CI411" s="6"/>
      <c r="CJ411" s="6"/>
      <c r="CK411" s="6"/>
      <c r="CL411" s="6"/>
      <c r="CM411" s="6"/>
      <c r="CN411" s="6"/>
      <c r="CO411" s="6"/>
      <c r="CP411" s="6"/>
      <c r="CQ411" s="6"/>
      <c r="CR411" s="6"/>
      <c r="CS411" s="6"/>
      <c r="CT411" s="6"/>
      <c r="CU411" s="6"/>
      <c r="CV411" s="6"/>
      <c r="CW411" s="6"/>
      <c r="CX411" s="6"/>
      <c r="CY411" s="6"/>
      <c r="CZ411" s="6"/>
      <c r="DA411" s="6"/>
      <c r="DB411" s="6"/>
      <c r="DC411" s="6"/>
      <c r="DD411" s="6"/>
      <c r="DE411" s="6"/>
      <c r="DF411" s="6"/>
      <c r="DG411" s="6"/>
      <c r="DH411" s="6"/>
      <c r="DI411" s="5"/>
      <c r="DJ411" s="5"/>
      <c r="DK411" s="5"/>
      <c r="DL411" s="5"/>
      <c r="DM411" s="6"/>
      <c r="DN411" s="5"/>
      <c r="DO411" s="5"/>
      <c r="DP411" s="5"/>
      <c r="DQ411" s="5"/>
      <c r="DR411" s="6"/>
      <c r="DS411" s="5"/>
      <c r="DT411" s="5"/>
      <c r="DU411" s="5"/>
      <c r="DV411" s="5"/>
      <c r="DW411" s="6"/>
      <c r="DX411" s="5"/>
      <c r="DY411" s="5"/>
      <c r="DZ411" s="5"/>
      <c r="EA411" s="5"/>
      <c r="EB411" s="6"/>
      <c r="EC411" s="5"/>
      <c r="ED411" s="5"/>
      <c r="EE411" s="5"/>
      <c r="EF411" s="5"/>
      <c r="EG411" s="6"/>
      <c r="EH411" s="5"/>
      <c r="EI411" s="5"/>
      <c r="EJ411" s="5"/>
      <c r="EK411" s="5"/>
      <c r="EL411" s="6"/>
      <c r="EM411" s="6">
        <v>1</v>
      </c>
      <c r="EN411" s="6">
        <f>EN11*EM411+EO11*EM411</f>
        <v>0</v>
      </c>
      <c r="EO411" s="6"/>
      <c r="EP411" s="6"/>
      <c r="EQ411" s="6"/>
      <c r="EX411" s="203">
        <f t="shared" si="25"/>
        <v>0</v>
      </c>
      <c r="EY411" s="142">
        <v>13</v>
      </c>
    </row>
    <row r="412" spans="1:155" ht="15" customHeight="1">
      <c r="A412" s="69" t="s">
        <v>267</v>
      </c>
      <c r="B412" s="214" t="s">
        <v>495</v>
      </c>
      <c r="C412" s="473" t="s">
        <v>515</v>
      </c>
      <c r="J412" s="138"/>
      <c r="K412" s="138"/>
      <c r="BU412" s="6"/>
      <c r="BV412" s="6"/>
      <c r="BW412" s="6"/>
      <c r="BX412" s="6"/>
      <c r="BY412" s="6"/>
      <c r="BZ412" s="6"/>
      <c r="CA412" s="6"/>
      <c r="CB412" s="6"/>
      <c r="CC412" s="6"/>
      <c r="CD412" s="6"/>
      <c r="CE412" s="6"/>
      <c r="CF412" s="6"/>
      <c r="CG412" s="6"/>
      <c r="CH412" s="6"/>
      <c r="CI412" s="6"/>
      <c r="CJ412" s="6"/>
      <c r="CK412" s="6"/>
      <c r="CL412" s="6"/>
      <c r="CM412" s="6"/>
      <c r="CN412" s="6"/>
      <c r="CO412" s="6"/>
      <c r="CP412" s="6"/>
      <c r="CQ412" s="6"/>
      <c r="CR412" s="6"/>
      <c r="CS412" s="6"/>
      <c r="CT412" s="6"/>
      <c r="CU412" s="6"/>
      <c r="CV412" s="6"/>
      <c r="CW412" s="6"/>
      <c r="CX412" s="6"/>
      <c r="CY412" s="6"/>
      <c r="CZ412" s="6"/>
      <c r="DA412" s="6"/>
      <c r="DB412" s="6"/>
      <c r="DC412" s="6"/>
      <c r="DD412" s="6"/>
      <c r="DE412" s="6"/>
      <c r="DF412" s="6"/>
      <c r="DG412" s="6"/>
      <c r="DH412" s="6"/>
      <c r="DI412" s="5"/>
      <c r="DJ412" s="5"/>
      <c r="DK412" s="5"/>
      <c r="DL412" s="5"/>
      <c r="DM412" s="6"/>
      <c r="DN412" s="5"/>
      <c r="DO412" s="5"/>
      <c r="DP412" s="5"/>
      <c r="DQ412" s="5"/>
      <c r="DR412" s="6"/>
      <c r="DS412" s="5"/>
      <c r="DT412" s="5"/>
      <c r="DU412" s="5"/>
      <c r="DV412" s="5"/>
      <c r="DW412" s="6"/>
      <c r="DX412" s="5"/>
      <c r="DY412" s="5"/>
      <c r="DZ412" s="5"/>
      <c r="EA412" s="5"/>
      <c r="EB412" s="6"/>
      <c r="EC412" s="5"/>
      <c r="ED412" s="5"/>
      <c r="EE412" s="5"/>
      <c r="EF412" s="5"/>
      <c r="EG412" s="6"/>
      <c r="EH412" s="5"/>
      <c r="EI412" s="5"/>
      <c r="EJ412" s="5"/>
      <c r="EK412" s="5"/>
      <c r="EL412" s="6"/>
      <c r="EM412" s="6">
        <v>1</v>
      </c>
      <c r="EN412" s="6">
        <f>EN11*EM411+EO11*EM411</f>
        <v>0</v>
      </c>
      <c r="EO412" s="6"/>
      <c r="EP412" s="6"/>
      <c r="EQ412" s="6"/>
      <c r="EX412" s="203">
        <f t="shared" si="25"/>
        <v>0</v>
      </c>
      <c r="EY412" s="116">
        <v>34</v>
      </c>
    </row>
    <row r="413" spans="1:155" ht="15" customHeight="1">
      <c r="A413" s="68" t="s">
        <v>268</v>
      </c>
      <c r="B413" s="214" t="s">
        <v>268</v>
      </c>
      <c r="C413" s="473" t="s">
        <v>515</v>
      </c>
      <c r="J413" s="138"/>
      <c r="K413" s="138"/>
      <c r="BU413" s="6"/>
      <c r="BV413" s="6"/>
      <c r="BW413" s="6"/>
      <c r="BX413" s="6"/>
      <c r="BY413" s="6"/>
      <c r="BZ413" s="6"/>
      <c r="CA413" s="6"/>
      <c r="CB413" s="6"/>
      <c r="CC413" s="6"/>
      <c r="CD413" s="6"/>
      <c r="CE413" s="6"/>
      <c r="CF413" s="6"/>
      <c r="CG413" s="6"/>
      <c r="CH413" s="6"/>
      <c r="CI413" s="6"/>
      <c r="CJ413" s="6"/>
      <c r="CK413" s="6"/>
      <c r="CL413" s="6"/>
      <c r="CM413" s="6"/>
      <c r="CN413" s="6"/>
      <c r="CO413" s="6"/>
      <c r="CP413" s="6"/>
      <c r="CQ413" s="6"/>
      <c r="CR413" s="6"/>
      <c r="CS413" s="6"/>
      <c r="CT413" s="6"/>
      <c r="CU413" s="6"/>
      <c r="CV413" s="6"/>
      <c r="CW413" s="6"/>
      <c r="CX413" s="6"/>
      <c r="CY413" s="6"/>
      <c r="CZ413" s="6"/>
      <c r="DA413" s="6"/>
      <c r="DB413" s="6"/>
      <c r="DC413" s="6"/>
      <c r="DD413" s="6"/>
      <c r="DE413" s="6"/>
      <c r="DF413" s="6"/>
      <c r="DG413" s="6"/>
      <c r="DH413" s="6"/>
      <c r="DI413" s="5"/>
      <c r="DJ413" s="5"/>
      <c r="DK413" s="5"/>
      <c r="DL413" s="5"/>
      <c r="DM413" s="6"/>
      <c r="DN413" s="5"/>
      <c r="DO413" s="5"/>
      <c r="DP413" s="5"/>
      <c r="DQ413" s="5"/>
      <c r="DR413" s="6"/>
      <c r="DS413" s="5"/>
      <c r="DT413" s="5"/>
      <c r="DU413" s="5"/>
      <c r="DV413" s="5"/>
      <c r="DW413" s="6"/>
      <c r="DX413" s="5"/>
      <c r="DY413" s="5"/>
      <c r="DZ413" s="5"/>
      <c r="EA413" s="5"/>
      <c r="EB413" s="6"/>
      <c r="EC413" s="5"/>
      <c r="ED413" s="5"/>
      <c r="EE413" s="5"/>
      <c r="EF413" s="5"/>
      <c r="EG413" s="6"/>
      <c r="EH413" s="5"/>
      <c r="EI413" s="5"/>
      <c r="EJ413" s="5"/>
      <c r="EK413" s="5"/>
      <c r="EL413" s="6"/>
      <c r="EM413" s="6">
        <v>1</v>
      </c>
      <c r="EN413" s="6">
        <f>EN12*EM413+EO12*EM413</f>
        <v>0</v>
      </c>
      <c r="EO413" s="6"/>
      <c r="EP413" s="6"/>
      <c r="EQ413" s="6"/>
      <c r="EX413" s="203">
        <f t="shared" si="25"/>
        <v>0</v>
      </c>
      <c r="EY413" s="142">
        <v>13</v>
      </c>
    </row>
    <row r="414" spans="1:155" ht="15" customHeight="1">
      <c r="A414" s="69" t="s">
        <v>269</v>
      </c>
      <c r="B414" s="214" t="s">
        <v>496</v>
      </c>
      <c r="C414" s="473" t="s">
        <v>515</v>
      </c>
      <c r="J414" s="138"/>
      <c r="K414" s="138"/>
      <c r="BU414" s="6"/>
      <c r="BV414" s="6"/>
      <c r="BW414" s="6"/>
      <c r="BX414" s="6"/>
      <c r="BY414" s="6"/>
      <c r="BZ414" s="6"/>
      <c r="CA414" s="6"/>
      <c r="CB414" s="6"/>
      <c r="CC414" s="6"/>
      <c r="CD414" s="6"/>
      <c r="CE414" s="6"/>
      <c r="CF414" s="6"/>
      <c r="CG414" s="6"/>
      <c r="CH414" s="6"/>
      <c r="CI414" s="6"/>
      <c r="CJ414" s="6"/>
      <c r="CK414" s="6"/>
      <c r="CL414" s="6"/>
      <c r="CM414" s="6"/>
      <c r="CN414" s="6"/>
      <c r="CO414" s="6"/>
      <c r="CP414" s="6"/>
      <c r="CQ414" s="6"/>
      <c r="CR414" s="6"/>
      <c r="CS414" s="6"/>
      <c r="CT414" s="6"/>
      <c r="CU414" s="6"/>
      <c r="CV414" s="6"/>
      <c r="CW414" s="6"/>
      <c r="CX414" s="6"/>
      <c r="CY414" s="6"/>
      <c r="CZ414" s="6"/>
      <c r="DA414" s="6"/>
      <c r="DB414" s="6"/>
      <c r="DC414" s="6"/>
      <c r="DD414" s="6"/>
      <c r="DE414" s="6"/>
      <c r="DF414" s="6"/>
      <c r="DG414" s="6"/>
      <c r="DH414" s="6"/>
      <c r="DI414" s="5"/>
      <c r="DJ414" s="5"/>
      <c r="DK414" s="5"/>
      <c r="DL414" s="5"/>
      <c r="DM414" s="6"/>
      <c r="DN414" s="5"/>
      <c r="DO414" s="5"/>
      <c r="DP414" s="5"/>
      <c r="DQ414" s="5"/>
      <c r="DR414" s="6"/>
      <c r="DS414" s="5"/>
      <c r="DT414" s="5"/>
      <c r="DU414" s="5"/>
      <c r="DV414" s="5"/>
      <c r="DW414" s="6"/>
      <c r="DX414" s="5"/>
      <c r="DY414" s="5"/>
      <c r="DZ414" s="5"/>
      <c r="EA414" s="5"/>
      <c r="EB414" s="6"/>
      <c r="EC414" s="5"/>
      <c r="ED414" s="5"/>
      <c r="EE414" s="5"/>
      <c r="EF414" s="5"/>
      <c r="EG414" s="6"/>
      <c r="EH414" s="5"/>
      <c r="EI414" s="5"/>
      <c r="EJ414" s="5"/>
      <c r="EK414" s="5"/>
      <c r="EL414" s="6"/>
      <c r="EM414" s="6">
        <v>1</v>
      </c>
      <c r="EN414" s="6">
        <f>EN12*EM413+EO12*EM413</f>
        <v>0</v>
      </c>
      <c r="EO414" s="6"/>
      <c r="EP414" s="6"/>
      <c r="EQ414" s="6"/>
      <c r="EX414" s="203">
        <f t="shared" si="25"/>
        <v>0</v>
      </c>
      <c r="EY414" s="116">
        <v>34</v>
      </c>
    </row>
    <row r="415" spans="1:155" ht="15" customHeight="1">
      <c r="A415" s="68" t="s">
        <v>270</v>
      </c>
      <c r="B415" s="214" t="s">
        <v>270</v>
      </c>
      <c r="C415" s="473" t="s">
        <v>515</v>
      </c>
      <c r="J415" s="138"/>
      <c r="K415" s="138"/>
      <c r="BU415" s="6"/>
      <c r="BV415" s="6"/>
      <c r="BW415" s="6"/>
      <c r="BX415" s="6"/>
      <c r="BY415" s="6"/>
      <c r="BZ415" s="6"/>
      <c r="CA415" s="6"/>
      <c r="CB415" s="6"/>
      <c r="CC415" s="6"/>
      <c r="CD415" s="6"/>
      <c r="CE415" s="6"/>
      <c r="CF415" s="6"/>
      <c r="CG415" s="6"/>
      <c r="CH415" s="6"/>
      <c r="CI415" s="6"/>
      <c r="CJ415" s="6"/>
      <c r="CK415" s="6"/>
      <c r="CL415" s="6"/>
      <c r="CM415" s="6"/>
      <c r="CN415" s="6"/>
      <c r="CO415" s="6"/>
      <c r="CP415" s="6"/>
      <c r="CQ415" s="6"/>
      <c r="CR415" s="6"/>
      <c r="CS415" s="6"/>
      <c r="CT415" s="6"/>
      <c r="CU415" s="6"/>
      <c r="CV415" s="6"/>
      <c r="CW415" s="6"/>
      <c r="CX415" s="6"/>
      <c r="CY415" s="6"/>
      <c r="CZ415" s="6"/>
      <c r="DA415" s="6"/>
      <c r="DB415" s="6"/>
      <c r="DC415" s="6"/>
      <c r="DD415" s="6"/>
      <c r="DE415" s="6"/>
      <c r="DF415" s="6"/>
      <c r="DG415" s="6"/>
      <c r="DH415" s="6"/>
      <c r="DI415" s="5"/>
      <c r="DJ415" s="5"/>
      <c r="DK415" s="5"/>
      <c r="DL415" s="5"/>
      <c r="DM415" s="6"/>
      <c r="DN415" s="5"/>
      <c r="DO415" s="5"/>
      <c r="DP415" s="5"/>
      <c r="DQ415" s="5"/>
      <c r="DR415" s="6"/>
      <c r="DS415" s="5"/>
      <c r="DT415" s="5"/>
      <c r="DU415" s="5"/>
      <c r="DV415" s="5"/>
      <c r="DW415" s="6"/>
      <c r="DX415" s="5"/>
      <c r="DY415" s="5"/>
      <c r="DZ415" s="5"/>
      <c r="EA415" s="5"/>
      <c r="EB415" s="6"/>
      <c r="EC415" s="5"/>
      <c r="ED415" s="5"/>
      <c r="EE415" s="5"/>
      <c r="EF415" s="5"/>
      <c r="EG415" s="6"/>
      <c r="EH415" s="5"/>
      <c r="EI415" s="5"/>
      <c r="EJ415" s="5"/>
      <c r="EK415" s="5"/>
      <c r="EL415" s="6"/>
      <c r="EM415" s="6">
        <v>1</v>
      </c>
      <c r="EN415" s="6">
        <f>EP5*EM415+EQ5*EM415</f>
        <v>0</v>
      </c>
      <c r="EO415" s="6"/>
      <c r="EP415" s="6"/>
      <c r="EQ415" s="6"/>
      <c r="EX415" s="203">
        <f t="shared" si="25"/>
        <v>0</v>
      </c>
      <c r="EY415" s="142">
        <v>13</v>
      </c>
    </row>
    <row r="416" spans="1:155" ht="15" customHeight="1">
      <c r="A416" s="69" t="s">
        <v>271</v>
      </c>
      <c r="B416" s="214" t="s">
        <v>497</v>
      </c>
      <c r="C416" s="473" t="s">
        <v>515</v>
      </c>
      <c r="J416" s="138"/>
      <c r="K416" s="138"/>
      <c r="BU416" s="6"/>
      <c r="BV416" s="6"/>
      <c r="BW416" s="6"/>
      <c r="BX416" s="6"/>
      <c r="BY416" s="6"/>
      <c r="BZ416" s="6"/>
      <c r="CA416" s="6"/>
      <c r="CB416" s="6"/>
      <c r="CC416" s="6"/>
      <c r="CD416" s="6"/>
      <c r="CE416" s="6"/>
      <c r="CF416" s="6"/>
      <c r="CG416" s="6"/>
      <c r="CH416" s="6"/>
      <c r="CI416" s="6"/>
      <c r="CJ416" s="6"/>
      <c r="CK416" s="6"/>
      <c r="CL416" s="6"/>
      <c r="CM416" s="6"/>
      <c r="CN416" s="6"/>
      <c r="CO416" s="6"/>
      <c r="CP416" s="6"/>
      <c r="CQ416" s="6"/>
      <c r="CR416" s="6"/>
      <c r="CS416" s="6"/>
      <c r="CT416" s="6"/>
      <c r="CU416" s="6"/>
      <c r="CV416" s="6"/>
      <c r="CW416" s="6"/>
      <c r="CX416" s="6"/>
      <c r="CY416" s="6"/>
      <c r="CZ416" s="6"/>
      <c r="DA416" s="6"/>
      <c r="DB416" s="6"/>
      <c r="DC416" s="6"/>
      <c r="DD416" s="6"/>
      <c r="DE416" s="6"/>
      <c r="DF416" s="6"/>
      <c r="DG416" s="6"/>
      <c r="DH416" s="6"/>
      <c r="DI416" s="5"/>
      <c r="DJ416" s="5"/>
      <c r="DK416" s="5"/>
      <c r="DL416" s="5"/>
      <c r="DM416" s="6"/>
      <c r="DN416" s="5"/>
      <c r="DO416" s="5"/>
      <c r="DP416" s="5"/>
      <c r="DQ416" s="5"/>
      <c r="DR416" s="6"/>
      <c r="DS416" s="5"/>
      <c r="DT416" s="5"/>
      <c r="DU416" s="5"/>
      <c r="DV416" s="5"/>
      <c r="DW416" s="6"/>
      <c r="DX416" s="5"/>
      <c r="DY416" s="5"/>
      <c r="DZ416" s="5"/>
      <c r="EA416" s="5"/>
      <c r="EB416" s="6"/>
      <c r="EC416" s="5"/>
      <c r="ED416" s="5"/>
      <c r="EE416" s="5"/>
      <c r="EF416" s="5"/>
      <c r="EG416" s="6"/>
      <c r="EH416" s="5"/>
      <c r="EI416" s="5"/>
      <c r="EJ416" s="5"/>
      <c r="EK416" s="5"/>
      <c r="EL416" s="6"/>
      <c r="EM416" s="6">
        <v>1</v>
      </c>
      <c r="EN416" s="6">
        <f>EP5*EM415+EQ5*EM415</f>
        <v>0</v>
      </c>
      <c r="EO416" s="6"/>
      <c r="EP416" s="6"/>
      <c r="EQ416" s="6"/>
      <c r="EX416" s="203">
        <f t="shared" si="25"/>
        <v>0</v>
      </c>
      <c r="EY416" s="116">
        <v>34</v>
      </c>
    </row>
    <row r="417" spans="1:155" ht="15" customHeight="1">
      <c r="A417" s="68" t="s">
        <v>272</v>
      </c>
      <c r="B417" s="214" t="s">
        <v>272</v>
      </c>
      <c r="C417" s="473" t="s">
        <v>515</v>
      </c>
      <c r="J417" s="138"/>
      <c r="K417" s="138"/>
      <c r="BU417" s="6"/>
      <c r="BV417" s="6"/>
      <c r="BW417" s="6"/>
      <c r="BX417" s="6"/>
      <c r="BY417" s="6"/>
      <c r="BZ417" s="6"/>
      <c r="CA417" s="6"/>
      <c r="CB417" s="6"/>
      <c r="CC417" s="6"/>
      <c r="CD417" s="6"/>
      <c r="CE417" s="6"/>
      <c r="CF417" s="6"/>
      <c r="CG417" s="6"/>
      <c r="CH417" s="6"/>
      <c r="CI417" s="6"/>
      <c r="CJ417" s="6"/>
      <c r="CK417" s="6"/>
      <c r="CL417" s="6"/>
      <c r="CM417" s="6"/>
      <c r="CN417" s="6"/>
      <c r="CO417" s="6"/>
      <c r="CP417" s="6"/>
      <c r="CQ417" s="6"/>
      <c r="CR417" s="6"/>
      <c r="CS417" s="6"/>
      <c r="CT417" s="6"/>
      <c r="CU417" s="6"/>
      <c r="CV417" s="6"/>
      <c r="CW417" s="6"/>
      <c r="CX417" s="6"/>
      <c r="CY417" s="6"/>
      <c r="CZ417" s="6"/>
      <c r="DA417" s="6"/>
      <c r="DB417" s="6"/>
      <c r="DC417" s="6"/>
      <c r="DD417" s="6"/>
      <c r="DE417" s="6"/>
      <c r="DF417" s="6"/>
      <c r="DG417" s="6"/>
      <c r="DH417" s="6"/>
      <c r="DI417" s="5"/>
      <c r="DJ417" s="5"/>
      <c r="DK417" s="5"/>
      <c r="DL417" s="5"/>
      <c r="DM417" s="6"/>
      <c r="DN417" s="5"/>
      <c r="DO417" s="5"/>
      <c r="DP417" s="5"/>
      <c r="DQ417" s="5"/>
      <c r="DR417" s="6"/>
      <c r="DS417" s="5"/>
      <c r="DT417" s="5"/>
      <c r="DU417" s="5"/>
      <c r="DV417" s="5"/>
      <c r="DW417" s="6"/>
      <c r="DX417" s="5"/>
      <c r="DY417" s="5"/>
      <c r="DZ417" s="5"/>
      <c r="EA417" s="5"/>
      <c r="EB417" s="6"/>
      <c r="EC417" s="5"/>
      <c r="ED417" s="5"/>
      <c r="EE417" s="5"/>
      <c r="EF417" s="5"/>
      <c r="EG417" s="6"/>
      <c r="EH417" s="5"/>
      <c r="EI417" s="5"/>
      <c r="EJ417" s="5"/>
      <c r="EK417" s="5"/>
      <c r="EL417" s="6"/>
      <c r="EM417" s="6">
        <v>1</v>
      </c>
      <c r="EN417" s="6">
        <f>EP6*EM417+EQ6*EM417</f>
        <v>0</v>
      </c>
      <c r="EO417" s="6"/>
      <c r="EP417" s="6"/>
      <c r="EQ417" s="6"/>
      <c r="EX417" s="203">
        <f t="shared" si="25"/>
        <v>0</v>
      </c>
      <c r="EY417" s="142">
        <v>13</v>
      </c>
    </row>
    <row r="418" spans="1:155" ht="15" customHeight="1">
      <c r="A418" s="69" t="s">
        <v>273</v>
      </c>
      <c r="B418" s="214" t="s">
        <v>498</v>
      </c>
      <c r="C418" s="473" t="s">
        <v>515</v>
      </c>
      <c r="J418" s="138"/>
      <c r="K418" s="138"/>
      <c r="BU418" s="6"/>
      <c r="BV418" s="6"/>
      <c r="BW418" s="6"/>
      <c r="BX418" s="6"/>
      <c r="BY418" s="6"/>
      <c r="BZ418" s="6"/>
      <c r="CA418" s="6"/>
      <c r="CB418" s="6"/>
      <c r="CC418" s="6"/>
      <c r="CD418" s="6"/>
      <c r="CE418" s="6"/>
      <c r="CF418" s="6"/>
      <c r="CG418" s="6"/>
      <c r="CH418" s="6"/>
      <c r="CI418" s="6"/>
      <c r="CJ418" s="6"/>
      <c r="CK418" s="6"/>
      <c r="CL418" s="6"/>
      <c r="CM418" s="6"/>
      <c r="CN418" s="6"/>
      <c r="CO418" s="6"/>
      <c r="CP418" s="6"/>
      <c r="CQ418" s="6"/>
      <c r="CR418" s="6"/>
      <c r="CS418" s="6"/>
      <c r="CT418" s="6"/>
      <c r="CU418" s="6"/>
      <c r="CV418" s="6"/>
      <c r="CW418" s="6"/>
      <c r="CX418" s="6"/>
      <c r="CY418" s="6"/>
      <c r="CZ418" s="6"/>
      <c r="DA418" s="6"/>
      <c r="DB418" s="6"/>
      <c r="DC418" s="6"/>
      <c r="DD418" s="6"/>
      <c r="DE418" s="6"/>
      <c r="DF418" s="6"/>
      <c r="DG418" s="6"/>
      <c r="DH418" s="6"/>
      <c r="DI418" s="5"/>
      <c r="DJ418" s="5"/>
      <c r="DK418" s="5"/>
      <c r="DL418" s="5"/>
      <c r="DM418" s="6"/>
      <c r="DN418" s="5"/>
      <c r="DO418" s="5"/>
      <c r="DP418" s="5"/>
      <c r="DQ418" s="5"/>
      <c r="DR418" s="6"/>
      <c r="DS418" s="5"/>
      <c r="DT418" s="5"/>
      <c r="DU418" s="5"/>
      <c r="DV418" s="5"/>
      <c r="DW418" s="6"/>
      <c r="DX418" s="5"/>
      <c r="DY418" s="5"/>
      <c r="DZ418" s="5"/>
      <c r="EA418" s="5"/>
      <c r="EB418" s="6"/>
      <c r="EC418" s="5"/>
      <c r="ED418" s="5"/>
      <c r="EE418" s="5"/>
      <c r="EF418" s="5"/>
      <c r="EG418" s="6"/>
      <c r="EH418" s="5"/>
      <c r="EI418" s="5"/>
      <c r="EJ418" s="5"/>
      <c r="EK418" s="5"/>
      <c r="EL418" s="6"/>
      <c r="EM418" s="6">
        <v>1</v>
      </c>
      <c r="EN418" s="6">
        <f>EP6*EM417+EQ6*EM417</f>
        <v>0</v>
      </c>
      <c r="EO418" s="6"/>
      <c r="EP418" s="6"/>
      <c r="EQ418" s="6"/>
      <c r="EX418" s="203">
        <f t="shared" si="25"/>
        <v>0</v>
      </c>
      <c r="EY418" s="116">
        <v>34</v>
      </c>
    </row>
    <row r="419" spans="1:155" ht="15" customHeight="1">
      <c r="A419" s="68" t="s">
        <v>274</v>
      </c>
      <c r="B419" s="214" t="s">
        <v>274</v>
      </c>
      <c r="C419" s="473" t="s">
        <v>515</v>
      </c>
      <c r="J419" s="138"/>
      <c r="K419" s="138"/>
      <c r="BU419" s="6"/>
      <c r="BV419" s="6"/>
      <c r="BW419" s="6"/>
      <c r="BX419" s="6"/>
      <c r="BY419" s="6"/>
      <c r="BZ419" s="6"/>
      <c r="CA419" s="6"/>
      <c r="CB419" s="6"/>
      <c r="CC419" s="6"/>
      <c r="CD419" s="6"/>
      <c r="CE419" s="6"/>
      <c r="CF419" s="6"/>
      <c r="CG419" s="6"/>
      <c r="CH419" s="6"/>
      <c r="CI419" s="6"/>
      <c r="CJ419" s="6"/>
      <c r="CK419" s="6"/>
      <c r="CL419" s="6"/>
      <c r="CM419" s="6"/>
      <c r="CN419" s="6"/>
      <c r="CO419" s="6"/>
      <c r="CP419" s="6"/>
      <c r="CQ419" s="6"/>
      <c r="CR419" s="6"/>
      <c r="CS419" s="6"/>
      <c r="CT419" s="6"/>
      <c r="CU419" s="6"/>
      <c r="CV419" s="6"/>
      <c r="CW419" s="6"/>
      <c r="CX419" s="6"/>
      <c r="CY419" s="6"/>
      <c r="CZ419" s="6"/>
      <c r="DA419" s="6"/>
      <c r="DB419" s="6"/>
      <c r="DC419" s="6"/>
      <c r="DD419" s="6"/>
      <c r="DE419" s="6"/>
      <c r="DF419" s="6"/>
      <c r="DG419" s="6"/>
      <c r="DH419" s="6"/>
      <c r="DI419" s="5"/>
      <c r="DJ419" s="5"/>
      <c r="DK419" s="5"/>
      <c r="DL419" s="5"/>
      <c r="DM419" s="6"/>
      <c r="DN419" s="5"/>
      <c r="DO419" s="5"/>
      <c r="DP419" s="5"/>
      <c r="DQ419" s="5"/>
      <c r="DR419" s="6"/>
      <c r="DS419" s="5"/>
      <c r="DT419" s="5"/>
      <c r="DU419" s="5"/>
      <c r="DV419" s="5"/>
      <c r="DW419" s="6"/>
      <c r="DX419" s="5"/>
      <c r="DY419" s="5"/>
      <c r="DZ419" s="5"/>
      <c r="EA419" s="5"/>
      <c r="EB419" s="6"/>
      <c r="EC419" s="5"/>
      <c r="ED419" s="5"/>
      <c r="EE419" s="5"/>
      <c r="EF419" s="5"/>
      <c r="EG419" s="6"/>
      <c r="EH419" s="5"/>
      <c r="EI419" s="5"/>
      <c r="EJ419" s="5"/>
      <c r="EK419" s="5"/>
      <c r="EL419" s="6"/>
      <c r="EM419" s="6">
        <v>1</v>
      </c>
      <c r="EN419" s="6">
        <f>EP7*EM419+EQ7*EM419</f>
        <v>0</v>
      </c>
      <c r="EO419" s="6"/>
      <c r="EP419" s="6"/>
      <c r="EQ419" s="6"/>
      <c r="EX419" s="203">
        <f t="shared" si="25"/>
        <v>0</v>
      </c>
      <c r="EY419" s="142">
        <v>13</v>
      </c>
    </row>
    <row r="420" spans="1:155" ht="15" customHeight="1">
      <c r="A420" s="69" t="s">
        <v>275</v>
      </c>
      <c r="B420" s="214" t="s">
        <v>499</v>
      </c>
      <c r="C420" s="473" t="s">
        <v>515</v>
      </c>
      <c r="J420" s="138"/>
      <c r="K420" s="138"/>
      <c r="BU420" s="6"/>
      <c r="BV420" s="6"/>
      <c r="BW420" s="6"/>
      <c r="BX420" s="6"/>
      <c r="BY420" s="6"/>
      <c r="BZ420" s="6"/>
      <c r="CA420" s="6"/>
      <c r="CB420" s="6"/>
      <c r="CC420" s="6"/>
      <c r="CD420" s="6"/>
      <c r="CE420" s="6"/>
      <c r="CF420" s="6"/>
      <c r="CG420" s="6"/>
      <c r="CH420" s="6"/>
      <c r="CI420" s="6"/>
      <c r="CJ420" s="6"/>
      <c r="CK420" s="6"/>
      <c r="CL420" s="6"/>
      <c r="CM420" s="6"/>
      <c r="CN420" s="6"/>
      <c r="CO420" s="6"/>
      <c r="CP420" s="6"/>
      <c r="CQ420" s="6"/>
      <c r="CR420" s="6"/>
      <c r="CS420" s="6"/>
      <c r="CT420" s="6"/>
      <c r="CU420" s="6"/>
      <c r="CV420" s="6"/>
      <c r="CW420" s="6"/>
      <c r="CX420" s="6"/>
      <c r="CY420" s="6"/>
      <c r="CZ420" s="6"/>
      <c r="DA420" s="6"/>
      <c r="DB420" s="6"/>
      <c r="DC420" s="6"/>
      <c r="DD420" s="6"/>
      <c r="DE420" s="6"/>
      <c r="DF420" s="6"/>
      <c r="DG420" s="6"/>
      <c r="DH420" s="6"/>
      <c r="DI420" s="5"/>
      <c r="DJ420" s="5"/>
      <c r="DK420" s="5"/>
      <c r="DL420" s="5"/>
      <c r="DM420" s="6"/>
      <c r="DN420" s="5"/>
      <c r="DO420" s="5"/>
      <c r="DP420" s="5"/>
      <c r="DQ420" s="5"/>
      <c r="DR420" s="6"/>
      <c r="DS420" s="5"/>
      <c r="DT420" s="5"/>
      <c r="DU420" s="5"/>
      <c r="DV420" s="5"/>
      <c r="DW420" s="6"/>
      <c r="DX420" s="5"/>
      <c r="DY420" s="5"/>
      <c r="DZ420" s="5"/>
      <c r="EA420" s="5"/>
      <c r="EB420" s="6"/>
      <c r="EC420" s="5"/>
      <c r="ED420" s="5"/>
      <c r="EE420" s="5"/>
      <c r="EF420" s="5"/>
      <c r="EG420" s="6"/>
      <c r="EH420" s="5"/>
      <c r="EI420" s="5"/>
      <c r="EJ420" s="5"/>
      <c r="EK420" s="5"/>
      <c r="EL420" s="6"/>
      <c r="EM420" s="6">
        <v>1</v>
      </c>
      <c r="EN420" s="6">
        <f>EP7*EM419+EQ7*EM419</f>
        <v>0</v>
      </c>
      <c r="EO420" s="6"/>
      <c r="EP420" s="6"/>
      <c r="EQ420" s="6"/>
      <c r="EX420" s="203">
        <f t="shared" si="25"/>
        <v>0</v>
      </c>
      <c r="EY420" s="116">
        <v>34</v>
      </c>
    </row>
    <row r="421" spans="1:155" ht="15" customHeight="1">
      <c r="A421" s="68" t="s">
        <v>276</v>
      </c>
      <c r="B421" s="214" t="s">
        <v>276</v>
      </c>
      <c r="C421" s="473" t="s">
        <v>515</v>
      </c>
      <c r="J421" s="138"/>
      <c r="K421" s="138"/>
      <c r="BU421" s="6"/>
      <c r="BV421" s="6"/>
      <c r="BW421" s="6"/>
      <c r="BX421" s="6"/>
      <c r="BY421" s="6"/>
      <c r="BZ421" s="6"/>
      <c r="CA421" s="6"/>
      <c r="CB421" s="6"/>
      <c r="CC421" s="6"/>
      <c r="CD421" s="6"/>
      <c r="CE421" s="6"/>
      <c r="CF421" s="6"/>
      <c r="CG421" s="6"/>
      <c r="CH421" s="6"/>
      <c r="CI421" s="6"/>
      <c r="CJ421" s="6"/>
      <c r="CK421" s="6"/>
      <c r="CL421" s="6"/>
      <c r="CM421" s="6"/>
      <c r="CN421" s="6"/>
      <c r="CO421" s="6"/>
      <c r="CP421" s="6"/>
      <c r="CQ421" s="6"/>
      <c r="CR421" s="6"/>
      <c r="CS421" s="6"/>
      <c r="CT421" s="6"/>
      <c r="CU421" s="6"/>
      <c r="CV421" s="6"/>
      <c r="CW421" s="6"/>
      <c r="CX421" s="6"/>
      <c r="CY421" s="6"/>
      <c r="CZ421" s="6"/>
      <c r="DA421" s="6"/>
      <c r="DB421" s="6"/>
      <c r="DC421" s="6"/>
      <c r="DD421" s="6"/>
      <c r="DE421" s="6"/>
      <c r="DF421" s="6"/>
      <c r="DG421" s="6"/>
      <c r="DH421" s="6"/>
      <c r="DI421" s="5"/>
      <c r="DJ421" s="5"/>
      <c r="DK421" s="5"/>
      <c r="DL421" s="5"/>
      <c r="DM421" s="6"/>
      <c r="DN421" s="5"/>
      <c r="DO421" s="5"/>
      <c r="DP421" s="5"/>
      <c r="DQ421" s="5"/>
      <c r="DR421" s="6"/>
      <c r="DS421" s="5"/>
      <c r="DT421" s="5"/>
      <c r="DU421" s="5"/>
      <c r="DV421" s="5"/>
      <c r="DW421" s="6"/>
      <c r="DX421" s="5"/>
      <c r="DY421" s="5"/>
      <c r="DZ421" s="5"/>
      <c r="EA421" s="5"/>
      <c r="EB421" s="6"/>
      <c r="EC421" s="5"/>
      <c r="ED421" s="5"/>
      <c r="EE421" s="5"/>
      <c r="EF421" s="5"/>
      <c r="EG421" s="6"/>
      <c r="EH421" s="5"/>
      <c r="EI421" s="5"/>
      <c r="EJ421" s="5"/>
      <c r="EK421" s="5"/>
      <c r="EL421" s="6"/>
      <c r="EM421" s="6">
        <v>1</v>
      </c>
      <c r="EN421" s="6">
        <f>EP8*EM421+EQ8*EM421</f>
        <v>0</v>
      </c>
      <c r="EO421" s="6"/>
      <c r="EP421" s="6"/>
      <c r="EQ421" s="6"/>
      <c r="EX421" s="203">
        <f t="shared" si="25"/>
        <v>0</v>
      </c>
      <c r="EY421" s="142">
        <v>13</v>
      </c>
    </row>
    <row r="422" spans="1:155" ht="15" customHeight="1">
      <c r="A422" s="69" t="s">
        <v>277</v>
      </c>
      <c r="B422" s="214" t="s">
        <v>500</v>
      </c>
      <c r="C422" s="473" t="s">
        <v>515</v>
      </c>
      <c r="J422" s="138"/>
      <c r="K422" s="138"/>
      <c r="BU422" s="6"/>
      <c r="BV422" s="6"/>
      <c r="BW422" s="6"/>
      <c r="BX422" s="6"/>
      <c r="BY422" s="6"/>
      <c r="BZ422" s="6"/>
      <c r="CA422" s="6"/>
      <c r="CB422" s="6"/>
      <c r="CC422" s="6"/>
      <c r="CD422" s="6"/>
      <c r="CE422" s="6"/>
      <c r="CF422" s="6"/>
      <c r="CG422" s="6"/>
      <c r="CH422" s="6"/>
      <c r="CI422" s="6"/>
      <c r="CJ422" s="6"/>
      <c r="CK422" s="6"/>
      <c r="CL422" s="6"/>
      <c r="CM422" s="6"/>
      <c r="CN422" s="6"/>
      <c r="CO422" s="6"/>
      <c r="CP422" s="6"/>
      <c r="CQ422" s="6"/>
      <c r="CR422" s="6"/>
      <c r="CS422" s="6"/>
      <c r="CT422" s="6"/>
      <c r="CU422" s="6"/>
      <c r="CV422" s="6"/>
      <c r="CW422" s="6"/>
      <c r="CX422" s="6"/>
      <c r="CY422" s="6"/>
      <c r="CZ422" s="6"/>
      <c r="DA422" s="6"/>
      <c r="DB422" s="6"/>
      <c r="DC422" s="6"/>
      <c r="DD422" s="6"/>
      <c r="DE422" s="6"/>
      <c r="DF422" s="6"/>
      <c r="DG422" s="6"/>
      <c r="DH422" s="6"/>
      <c r="DI422" s="5"/>
      <c r="DJ422" s="5"/>
      <c r="DK422" s="5"/>
      <c r="DL422" s="5"/>
      <c r="DM422" s="6"/>
      <c r="DN422" s="5"/>
      <c r="DO422" s="5"/>
      <c r="DP422" s="5"/>
      <c r="DQ422" s="5"/>
      <c r="DR422" s="6"/>
      <c r="DS422" s="5"/>
      <c r="DT422" s="5"/>
      <c r="DU422" s="5"/>
      <c r="DV422" s="5"/>
      <c r="DW422" s="6"/>
      <c r="DX422" s="5"/>
      <c r="DY422" s="5"/>
      <c r="DZ422" s="5"/>
      <c r="EA422" s="5"/>
      <c r="EB422" s="6"/>
      <c r="EC422" s="5"/>
      <c r="ED422" s="5"/>
      <c r="EE422" s="5"/>
      <c r="EF422" s="5"/>
      <c r="EG422" s="6"/>
      <c r="EH422" s="5"/>
      <c r="EI422" s="5"/>
      <c r="EJ422" s="5"/>
      <c r="EK422" s="5"/>
      <c r="EL422" s="6"/>
      <c r="EM422" s="6">
        <v>1</v>
      </c>
      <c r="EN422" s="6">
        <f>EP8*EM421+EQ8*EM421</f>
        <v>0</v>
      </c>
      <c r="EO422" s="6"/>
      <c r="EP422" s="6"/>
      <c r="EQ422" s="6"/>
      <c r="EX422" s="203">
        <f t="shared" si="25"/>
        <v>0</v>
      </c>
      <c r="EY422" s="116">
        <v>34</v>
      </c>
    </row>
    <row r="423" spans="1:155" ht="15" customHeight="1">
      <c r="A423" s="68" t="s">
        <v>278</v>
      </c>
      <c r="B423" s="214" t="s">
        <v>278</v>
      </c>
      <c r="C423" s="473" t="s">
        <v>515</v>
      </c>
      <c r="J423" s="138"/>
      <c r="K423" s="138"/>
      <c r="BU423" s="6"/>
      <c r="BV423" s="6"/>
      <c r="BW423" s="6"/>
      <c r="BX423" s="6"/>
      <c r="BY423" s="6"/>
      <c r="BZ423" s="6"/>
      <c r="CA423" s="6"/>
      <c r="CB423" s="6"/>
      <c r="CC423" s="6"/>
      <c r="CD423" s="6"/>
      <c r="CE423" s="6"/>
      <c r="CF423" s="6"/>
      <c r="CG423" s="6"/>
      <c r="CH423" s="6"/>
      <c r="CI423" s="6"/>
      <c r="CJ423" s="6"/>
      <c r="CK423" s="6"/>
      <c r="CL423" s="6"/>
      <c r="CM423" s="6"/>
      <c r="CN423" s="6"/>
      <c r="CO423" s="6"/>
      <c r="CP423" s="6"/>
      <c r="CQ423" s="6"/>
      <c r="CR423" s="6"/>
      <c r="CS423" s="6"/>
      <c r="CT423" s="6"/>
      <c r="CU423" s="6"/>
      <c r="CV423" s="6"/>
      <c r="CW423" s="6"/>
      <c r="CX423" s="6"/>
      <c r="CY423" s="6"/>
      <c r="CZ423" s="6"/>
      <c r="DA423" s="6"/>
      <c r="DB423" s="6"/>
      <c r="DC423" s="6"/>
      <c r="DD423" s="6"/>
      <c r="DE423" s="6"/>
      <c r="DF423" s="6"/>
      <c r="DG423" s="6"/>
      <c r="DH423" s="6"/>
      <c r="DI423" s="5"/>
      <c r="DJ423" s="5"/>
      <c r="DK423" s="5"/>
      <c r="DL423" s="5"/>
      <c r="DM423" s="6"/>
      <c r="DN423" s="5"/>
      <c r="DO423" s="5"/>
      <c r="DP423" s="5"/>
      <c r="DQ423" s="5"/>
      <c r="DR423" s="6"/>
      <c r="DS423" s="5"/>
      <c r="DT423" s="5"/>
      <c r="DU423" s="5"/>
      <c r="DV423" s="5"/>
      <c r="DW423" s="6"/>
      <c r="DX423" s="5"/>
      <c r="DY423" s="5"/>
      <c r="DZ423" s="5"/>
      <c r="EA423" s="5"/>
      <c r="EB423" s="6"/>
      <c r="EC423" s="5"/>
      <c r="ED423" s="5"/>
      <c r="EE423" s="5"/>
      <c r="EF423" s="5"/>
      <c r="EG423" s="6"/>
      <c r="EH423" s="5"/>
      <c r="EI423" s="5"/>
      <c r="EJ423" s="5"/>
      <c r="EK423" s="5"/>
      <c r="EL423" s="6"/>
      <c r="EM423" s="6">
        <v>1</v>
      </c>
      <c r="EN423" s="6">
        <f>EP9*EM423+EQ9*EM423</f>
        <v>0</v>
      </c>
      <c r="EO423" s="6"/>
      <c r="EP423" s="6"/>
      <c r="EQ423" s="6"/>
      <c r="EX423" s="203">
        <f t="shared" ref="EX423:EX443" si="48">IF(EY423=13,0,K423+N423+O423+P423+S423+T423+X423+EN423+AC423+AH423+AM423+AR423+AW423+BB423+BG423+ET423+BL423+BQ423+BV423+CA423+CF423+CK423+CP423+CU423+CZ423+DE423+DJ423+DO423+DT423+DY423+ED423+EI423+EU423+F423+EV423)</f>
        <v>0</v>
      </c>
      <c r="EY423" s="142">
        <v>13</v>
      </c>
    </row>
    <row r="424" spans="1:155" ht="15" customHeight="1">
      <c r="A424" s="69" t="s">
        <v>279</v>
      </c>
      <c r="B424" s="214" t="s">
        <v>501</v>
      </c>
      <c r="C424" s="473" t="s">
        <v>515</v>
      </c>
      <c r="J424" s="138"/>
      <c r="K424" s="138"/>
      <c r="BU424" s="6"/>
      <c r="BV424" s="6"/>
      <c r="BW424" s="6"/>
      <c r="BX424" s="6"/>
      <c r="BY424" s="6"/>
      <c r="BZ424" s="6"/>
      <c r="CA424" s="6"/>
      <c r="CB424" s="6"/>
      <c r="CC424" s="6"/>
      <c r="CD424" s="6"/>
      <c r="CE424" s="6"/>
      <c r="CF424" s="6"/>
      <c r="CG424" s="6"/>
      <c r="CH424" s="6"/>
      <c r="CI424" s="6"/>
      <c r="CJ424" s="6"/>
      <c r="CK424" s="6"/>
      <c r="CL424" s="6"/>
      <c r="CM424" s="6"/>
      <c r="CN424" s="6"/>
      <c r="CO424" s="6"/>
      <c r="CP424" s="6"/>
      <c r="CQ424" s="6"/>
      <c r="CR424" s="6"/>
      <c r="CS424" s="6"/>
      <c r="CT424" s="6"/>
      <c r="CU424" s="6"/>
      <c r="CV424" s="6"/>
      <c r="CW424" s="6"/>
      <c r="CX424" s="6"/>
      <c r="CY424" s="6"/>
      <c r="CZ424" s="6"/>
      <c r="DA424" s="6"/>
      <c r="DB424" s="6"/>
      <c r="DC424" s="6"/>
      <c r="DD424" s="6"/>
      <c r="DE424" s="6"/>
      <c r="DF424" s="6"/>
      <c r="DG424" s="6"/>
      <c r="DH424" s="6"/>
      <c r="DI424" s="5"/>
      <c r="DJ424" s="5"/>
      <c r="DK424" s="5"/>
      <c r="DL424" s="5"/>
      <c r="DM424" s="6"/>
      <c r="DN424" s="5"/>
      <c r="DO424" s="5"/>
      <c r="DP424" s="5"/>
      <c r="DQ424" s="5"/>
      <c r="DR424" s="6"/>
      <c r="DS424" s="5"/>
      <c r="DT424" s="5"/>
      <c r="DU424" s="5"/>
      <c r="DV424" s="5"/>
      <c r="DW424" s="6"/>
      <c r="DX424" s="5"/>
      <c r="DY424" s="5"/>
      <c r="DZ424" s="5"/>
      <c r="EA424" s="5"/>
      <c r="EB424" s="6"/>
      <c r="EC424" s="5"/>
      <c r="ED424" s="5"/>
      <c r="EE424" s="5"/>
      <c r="EF424" s="5"/>
      <c r="EG424" s="6"/>
      <c r="EH424" s="5"/>
      <c r="EI424" s="5"/>
      <c r="EJ424" s="5"/>
      <c r="EK424" s="5"/>
      <c r="EL424" s="6"/>
      <c r="EM424" s="6">
        <v>1</v>
      </c>
      <c r="EN424" s="6">
        <f>EP9*EM423+EQ9*EM423</f>
        <v>0</v>
      </c>
      <c r="EO424" s="6"/>
      <c r="EP424" s="6"/>
      <c r="EQ424" s="6"/>
      <c r="EX424" s="203">
        <f t="shared" si="48"/>
        <v>0</v>
      </c>
      <c r="EY424" s="116">
        <v>34</v>
      </c>
    </row>
    <row r="425" spans="1:155" ht="15" customHeight="1">
      <c r="A425" s="68" t="s">
        <v>280</v>
      </c>
      <c r="B425" s="214" t="s">
        <v>280</v>
      </c>
      <c r="C425" s="473" t="s">
        <v>515</v>
      </c>
      <c r="J425" s="138"/>
      <c r="K425" s="138"/>
      <c r="BU425" s="6"/>
      <c r="BV425" s="6"/>
      <c r="BW425" s="6"/>
      <c r="BX425" s="6"/>
      <c r="BY425" s="6"/>
      <c r="BZ425" s="6"/>
      <c r="CA425" s="6"/>
      <c r="CB425" s="6"/>
      <c r="CC425" s="6"/>
      <c r="CD425" s="6"/>
      <c r="CE425" s="6"/>
      <c r="CF425" s="6"/>
      <c r="CG425" s="6"/>
      <c r="CH425" s="6"/>
      <c r="CI425" s="6"/>
      <c r="CJ425" s="6"/>
      <c r="CK425" s="6"/>
      <c r="CL425" s="6"/>
      <c r="CM425" s="6"/>
      <c r="CN425" s="6"/>
      <c r="CO425" s="6"/>
      <c r="CP425" s="6"/>
      <c r="CQ425" s="6"/>
      <c r="CR425" s="6"/>
      <c r="CS425" s="6"/>
      <c r="CT425" s="6"/>
      <c r="CU425" s="6"/>
      <c r="CV425" s="6"/>
      <c r="CW425" s="6"/>
      <c r="CX425" s="6"/>
      <c r="CY425" s="6"/>
      <c r="CZ425" s="6"/>
      <c r="DA425" s="6"/>
      <c r="DB425" s="6"/>
      <c r="DC425" s="6"/>
      <c r="DD425" s="6"/>
      <c r="DE425" s="6"/>
      <c r="DF425" s="6"/>
      <c r="DG425" s="6"/>
      <c r="DH425" s="6"/>
      <c r="DI425" s="5"/>
      <c r="DJ425" s="5"/>
      <c r="DK425" s="5"/>
      <c r="DL425" s="5"/>
      <c r="DM425" s="6"/>
      <c r="DN425" s="5"/>
      <c r="DO425" s="5"/>
      <c r="DP425" s="5"/>
      <c r="DQ425" s="5"/>
      <c r="DR425" s="6"/>
      <c r="DS425" s="5"/>
      <c r="DT425" s="5"/>
      <c r="DU425" s="5"/>
      <c r="DV425" s="5"/>
      <c r="DW425" s="6"/>
      <c r="DX425" s="5"/>
      <c r="DY425" s="5"/>
      <c r="DZ425" s="5"/>
      <c r="EA425" s="5"/>
      <c r="EB425" s="6"/>
      <c r="EC425" s="5"/>
      <c r="ED425" s="5"/>
      <c r="EE425" s="5"/>
      <c r="EF425" s="5"/>
      <c r="EG425" s="6"/>
      <c r="EH425" s="5"/>
      <c r="EI425" s="5"/>
      <c r="EJ425" s="5"/>
      <c r="EK425" s="5"/>
      <c r="EL425" s="6"/>
      <c r="EM425" s="6">
        <v>1</v>
      </c>
      <c r="EN425" s="6">
        <f>EP10*EM425+EQ10*EM425</f>
        <v>0</v>
      </c>
      <c r="EO425" s="6"/>
      <c r="EP425" s="6"/>
      <c r="EQ425" s="6"/>
      <c r="EX425" s="203">
        <f t="shared" si="48"/>
        <v>0</v>
      </c>
      <c r="EY425" s="142">
        <v>13</v>
      </c>
    </row>
    <row r="426" spans="1:155" ht="15" customHeight="1">
      <c r="A426" s="69" t="s">
        <v>281</v>
      </c>
      <c r="B426" s="214" t="s">
        <v>502</v>
      </c>
      <c r="C426" s="473" t="s">
        <v>515</v>
      </c>
      <c r="J426" s="138"/>
      <c r="K426" s="138"/>
      <c r="BU426" s="6"/>
      <c r="BV426" s="6"/>
      <c r="BW426" s="6"/>
      <c r="BX426" s="6"/>
      <c r="BY426" s="6"/>
      <c r="BZ426" s="6"/>
      <c r="CA426" s="6"/>
      <c r="CB426" s="6"/>
      <c r="CC426" s="6"/>
      <c r="CD426" s="6"/>
      <c r="CE426" s="6"/>
      <c r="CF426" s="6"/>
      <c r="CG426" s="6"/>
      <c r="CH426" s="6"/>
      <c r="CI426" s="6"/>
      <c r="CJ426" s="6"/>
      <c r="CK426" s="6"/>
      <c r="CL426" s="6"/>
      <c r="CM426" s="6"/>
      <c r="CN426" s="6"/>
      <c r="CO426" s="6"/>
      <c r="CP426" s="6"/>
      <c r="CQ426" s="6"/>
      <c r="CR426" s="6"/>
      <c r="CS426" s="6"/>
      <c r="CT426" s="6"/>
      <c r="CU426" s="6"/>
      <c r="CV426" s="6"/>
      <c r="CW426" s="6"/>
      <c r="CX426" s="6"/>
      <c r="CY426" s="6"/>
      <c r="CZ426" s="6"/>
      <c r="DA426" s="6"/>
      <c r="DB426" s="6"/>
      <c r="DC426" s="6"/>
      <c r="DD426" s="6"/>
      <c r="DE426" s="6"/>
      <c r="DF426" s="6"/>
      <c r="DG426" s="6"/>
      <c r="DH426" s="6"/>
      <c r="DI426" s="5"/>
      <c r="DJ426" s="5"/>
      <c r="DK426" s="5"/>
      <c r="DL426" s="5"/>
      <c r="DM426" s="6"/>
      <c r="DN426" s="5"/>
      <c r="DO426" s="5"/>
      <c r="DP426" s="5"/>
      <c r="DQ426" s="5"/>
      <c r="DR426" s="6"/>
      <c r="DS426" s="5"/>
      <c r="DT426" s="5"/>
      <c r="DU426" s="5"/>
      <c r="DV426" s="5"/>
      <c r="DW426" s="6"/>
      <c r="DX426" s="5"/>
      <c r="DY426" s="5"/>
      <c r="DZ426" s="5"/>
      <c r="EA426" s="5"/>
      <c r="EB426" s="6"/>
      <c r="EC426" s="5"/>
      <c r="ED426" s="5"/>
      <c r="EE426" s="5"/>
      <c r="EF426" s="5"/>
      <c r="EG426" s="6"/>
      <c r="EH426" s="5"/>
      <c r="EI426" s="5"/>
      <c r="EJ426" s="5"/>
      <c r="EK426" s="5"/>
      <c r="EL426" s="6"/>
      <c r="EM426" s="6">
        <v>1</v>
      </c>
      <c r="EN426" s="6">
        <f>EP10*EM425+EQ10*EM425</f>
        <v>0</v>
      </c>
      <c r="EO426" s="6"/>
      <c r="EP426" s="6"/>
      <c r="EQ426" s="6"/>
      <c r="EX426" s="203">
        <f t="shared" si="48"/>
        <v>0</v>
      </c>
      <c r="EY426" s="116">
        <v>34</v>
      </c>
    </row>
    <row r="427" spans="1:155" ht="15" customHeight="1">
      <c r="A427" s="68" t="s">
        <v>282</v>
      </c>
      <c r="B427" s="214" t="s">
        <v>282</v>
      </c>
      <c r="C427" s="473" t="s">
        <v>515</v>
      </c>
      <c r="J427" s="138"/>
      <c r="K427" s="138"/>
      <c r="BU427" s="6"/>
      <c r="BV427" s="6"/>
      <c r="BW427" s="6"/>
      <c r="BX427" s="6"/>
      <c r="BY427" s="6"/>
      <c r="BZ427" s="6"/>
      <c r="CA427" s="6"/>
      <c r="CB427" s="6"/>
      <c r="CC427" s="6"/>
      <c r="CD427" s="6"/>
      <c r="CE427" s="6"/>
      <c r="CF427" s="6"/>
      <c r="CG427" s="6"/>
      <c r="CH427" s="6"/>
      <c r="CI427" s="6"/>
      <c r="CJ427" s="6"/>
      <c r="CK427" s="6"/>
      <c r="CL427" s="6"/>
      <c r="CM427" s="6"/>
      <c r="CN427" s="6"/>
      <c r="CO427" s="6"/>
      <c r="CP427" s="6"/>
      <c r="CQ427" s="6"/>
      <c r="CR427" s="6"/>
      <c r="CS427" s="6"/>
      <c r="CT427" s="6"/>
      <c r="CU427" s="6"/>
      <c r="CV427" s="6"/>
      <c r="CW427" s="6"/>
      <c r="CX427" s="6"/>
      <c r="CY427" s="6"/>
      <c r="CZ427" s="6"/>
      <c r="DA427" s="6"/>
      <c r="DB427" s="6"/>
      <c r="DC427" s="6"/>
      <c r="DD427" s="6"/>
      <c r="DE427" s="6"/>
      <c r="DF427" s="6"/>
      <c r="DG427" s="6"/>
      <c r="DH427" s="6"/>
      <c r="DI427" s="5"/>
      <c r="DJ427" s="5"/>
      <c r="DK427" s="5"/>
      <c r="DL427" s="5"/>
      <c r="DM427" s="6"/>
      <c r="DN427" s="5"/>
      <c r="DO427" s="5"/>
      <c r="DP427" s="5"/>
      <c r="DQ427" s="5"/>
      <c r="DR427" s="6"/>
      <c r="DS427" s="5"/>
      <c r="DT427" s="5"/>
      <c r="DU427" s="5"/>
      <c r="DV427" s="5"/>
      <c r="DW427" s="6"/>
      <c r="DX427" s="5"/>
      <c r="DY427" s="5"/>
      <c r="DZ427" s="5"/>
      <c r="EA427" s="5"/>
      <c r="EB427" s="6"/>
      <c r="EC427" s="5"/>
      <c r="ED427" s="5"/>
      <c r="EE427" s="5"/>
      <c r="EF427" s="5"/>
      <c r="EG427" s="6"/>
      <c r="EH427" s="5"/>
      <c r="EI427" s="5"/>
      <c r="EJ427" s="5"/>
      <c r="EK427" s="5"/>
      <c r="EL427" s="6"/>
      <c r="EM427" s="6">
        <v>1</v>
      </c>
      <c r="EN427" s="6">
        <f>EP11*EM427+EQ11*EM427</f>
        <v>0</v>
      </c>
      <c r="EO427" s="6"/>
      <c r="EP427" s="6"/>
      <c r="EQ427" s="6"/>
      <c r="EX427" s="203">
        <f t="shared" si="48"/>
        <v>0</v>
      </c>
      <c r="EY427" s="142">
        <v>13</v>
      </c>
    </row>
    <row r="428" spans="1:155" ht="15" customHeight="1">
      <c r="A428" s="69" t="s">
        <v>283</v>
      </c>
      <c r="B428" s="214" t="s">
        <v>503</v>
      </c>
      <c r="C428" s="473" t="s">
        <v>515</v>
      </c>
      <c r="J428" s="138"/>
      <c r="K428" s="138"/>
      <c r="BU428" s="6"/>
      <c r="BV428" s="6"/>
      <c r="BW428" s="6"/>
      <c r="BX428" s="6"/>
      <c r="BY428" s="6"/>
      <c r="BZ428" s="6"/>
      <c r="CA428" s="6"/>
      <c r="CB428" s="6"/>
      <c r="CC428" s="6"/>
      <c r="CD428" s="6"/>
      <c r="CE428" s="6"/>
      <c r="CF428" s="6"/>
      <c r="CG428" s="6"/>
      <c r="CH428" s="6"/>
      <c r="CI428" s="6"/>
      <c r="CJ428" s="6"/>
      <c r="CK428" s="6"/>
      <c r="CL428" s="6"/>
      <c r="CM428" s="6"/>
      <c r="CN428" s="6"/>
      <c r="CO428" s="6"/>
      <c r="CP428" s="6"/>
      <c r="CQ428" s="6"/>
      <c r="CR428" s="6"/>
      <c r="CS428" s="6"/>
      <c r="CT428" s="6"/>
      <c r="CU428" s="6"/>
      <c r="CV428" s="6"/>
      <c r="CW428" s="6"/>
      <c r="CX428" s="6"/>
      <c r="CY428" s="6"/>
      <c r="CZ428" s="6"/>
      <c r="DA428" s="6"/>
      <c r="DB428" s="6"/>
      <c r="DC428" s="6"/>
      <c r="DD428" s="6"/>
      <c r="DE428" s="6"/>
      <c r="DF428" s="6"/>
      <c r="DG428" s="6"/>
      <c r="DH428" s="6"/>
      <c r="DI428" s="6"/>
      <c r="DJ428" s="6"/>
      <c r="DK428" s="6"/>
      <c r="DL428" s="6"/>
      <c r="DM428" s="6"/>
      <c r="DN428" s="6"/>
      <c r="DO428" s="6"/>
      <c r="DP428" s="6"/>
      <c r="DQ428" s="6"/>
      <c r="DR428" s="6"/>
      <c r="DS428" s="5"/>
      <c r="DT428" s="5"/>
      <c r="DU428" s="5"/>
      <c r="DV428" s="5"/>
      <c r="DW428" s="6"/>
      <c r="DX428" s="5"/>
      <c r="DY428" s="5"/>
      <c r="DZ428" s="5"/>
      <c r="EA428" s="5"/>
      <c r="EB428" s="6"/>
      <c r="EC428" s="5"/>
      <c r="ED428" s="5"/>
      <c r="EE428" s="5"/>
      <c r="EF428" s="5"/>
      <c r="EG428" s="6"/>
      <c r="EH428" s="5"/>
      <c r="EI428" s="5"/>
      <c r="EJ428" s="5"/>
      <c r="EK428" s="5"/>
      <c r="EL428" s="6"/>
      <c r="EM428" s="6">
        <v>1</v>
      </c>
      <c r="EN428" s="6">
        <f>EP11*EM427+EQ11*EM427</f>
        <v>0</v>
      </c>
      <c r="EO428" s="6"/>
      <c r="EP428" s="6"/>
      <c r="EQ428" s="6"/>
      <c r="EX428" s="203">
        <f t="shared" si="48"/>
        <v>0</v>
      </c>
      <c r="EY428" s="116">
        <v>34</v>
      </c>
    </row>
    <row r="429" spans="1:155" ht="15" customHeight="1">
      <c r="A429" s="68" t="s">
        <v>284</v>
      </c>
      <c r="B429" s="214" t="s">
        <v>284</v>
      </c>
      <c r="C429" s="473" t="s">
        <v>515</v>
      </c>
      <c r="J429" s="138"/>
      <c r="K429" s="138"/>
      <c r="BU429" s="6"/>
      <c r="BV429" s="6"/>
      <c r="BW429" s="6"/>
      <c r="BX429" s="6"/>
      <c r="BY429" s="6"/>
      <c r="BZ429" s="6"/>
      <c r="CA429" s="6"/>
      <c r="CB429" s="6"/>
      <c r="CC429" s="6"/>
      <c r="CD429" s="6"/>
      <c r="CE429" s="6"/>
      <c r="CF429" s="6"/>
      <c r="CG429" s="6"/>
      <c r="CH429" s="6"/>
      <c r="CI429" s="6"/>
      <c r="CJ429" s="6"/>
      <c r="CK429" s="6"/>
      <c r="CL429" s="6"/>
      <c r="CM429" s="6"/>
      <c r="CN429" s="6"/>
      <c r="CO429" s="6"/>
      <c r="CP429" s="6"/>
      <c r="CQ429" s="6"/>
      <c r="CR429" s="6"/>
      <c r="CS429" s="6"/>
      <c r="CT429" s="6"/>
      <c r="CU429" s="6"/>
      <c r="CV429" s="6"/>
      <c r="CW429" s="6"/>
      <c r="CX429" s="6"/>
      <c r="CY429" s="6"/>
      <c r="CZ429" s="6"/>
      <c r="DA429" s="6"/>
      <c r="DB429" s="6"/>
      <c r="DC429" s="6"/>
      <c r="DD429" s="6"/>
      <c r="DE429" s="6"/>
      <c r="DF429" s="6"/>
      <c r="DG429" s="6"/>
      <c r="DH429" s="6"/>
      <c r="DI429" s="6"/>
      <c r="DJ429" s="6"/>
      <c r="DK429" s="6"/>
      <c r="DL429" s="6"/>
      <c r="DM429" s="6"/>
      <c r="DN429" s="6"/>
      <c r="DO429" s="6"/>
      <c r="DP429" s="6"/>
      <c r="DQ429" s="6"/>
      <c r="DR429" s="6"/>
      <c r="DS429" s="5"/>
      <c r="DT429" s="5"/>
      <c r="DU429" s="5"/>
      <c r="DV429" s="5"/>
      <c r="DW429" s="6"/>
      <c r="DX429" s="5"/>
      <c r="DY429" s="5"/>
      <c r="DZ429" s="5"/>
      <c r="EA429" s="5"/>
      <c r="EB429" s="6"/>
      <c r="EC429" s="5"/>
      <c r="ED429" s="5"/>
      <c r="EE429" s="5"/>
      <c r="EF429" s="5"/>
      <c r="EG429" s="6"/>
      <c r="EH429" s="5"/>
      <c r="EI429" s="5"/>
      <c r="EJ429" s="5"/>
      <c r="EK429" s="5"/>
      <c r="EL429" s="6"/>
      <c r="EM429" s="6">
        <v>1</v>
      </c>
      <c r="EN429" s="6">
        <f>EP12*EM429+EQ12*EM429</f>
        <v>0</v>
      </c>
      <c r="EO429" s="6"/>
      <c r="EP429" s="6"/>
      <c r="EQ429" s="6"/>
      <c r="EX429" s="203">
        <f t="shared" si="48"/>
        <v>0</v>
      </c>
      <c r="EY429" s="142">
        <v>13</v>
      </c>
    </row>
    <row r="430" spans="1:155" ht="15" customHeight="1">
      <c r="A430" s="69" t="s">
        <v>285</v>
      </c>
      <c r="B430" s="214" t="s">
        <v>504</v>
      </c>
      <c r="C430" s="473" t="s">
        <v>515</v>
      </c>
      <c r="J430" s="138"/>
      <c r="K430" s="138"/>
      <c r="BU430" s="6"/>
      <c r="BV430" s="6"/>
      <c r="BW430" s="6"/>
      <c r="BX430" s="6"/>
      <c r="BY430" s="6"/>
      <c r="BZ430" s="6"/>
      <c r="CA430" s="6"/>
      <c r="CB430" s="6"/>
      <c r="CC430" s="6"/>
      <c r="CD430" s="6"/>
      <c r="CE430" s="6"/>
      <c r="CF430" s="6"/>
      <c r="CG430" s="6"/>
      <c r="CH430" s="6"/>
      <c r="CI430" s="6"/>
      <c r="CJ430" s="6"/>
      <c r="CK430" s="6"/>
      <c r="CL430" s="6"/>
      <c r="CM430" s="6"/>
      <c r="CN430" s="6"/>
      <c r="CO430" s="6"/>
      <c r="CP430" s="6"/>
      <c r="CQ430" s="6"/>
      <c r="CR430" s="6"/>
      <c r="CS430" s="6"/>
      <c r="CT430" s="6"/>
      <c r="CU430" s="6"/>
      <c r="CV430" s="6"/>
      <c r="CW430" s="6"/>
      <c r="CX430" s="6"/>
      <c r="CY430" s="6"/>
      <c r="CZ430" s="6"/>
      <c r="DA430" s="6"/>
      <c r="DB430" s="6"/>
      <c r="DC430" s="6"/>
      <c r="DD430" s="6"/>
      <c r="DE430" s="6"/>
      <c r="DF430" s="6"/>
      <c r="DG430" s="6"/>
      <c r="DH430" s="6"/>
      <c r="DI430" s="6"/>
      <c r="DJ430" s="6"/>
      <c r="DK430" s="6"/>
      <c r="DL430" s="6"/>
      <c r="DM430" s="6"/>
      <c r="DN430" s="6"/>
      <c r="DO430" s="6"/>
      <c r="DP430" s="6"/>
      <c r="DQ430" s="6"/>
      <c r="DR430" s="6"/>
      <c r="DS430" s="5"/>
      <c r="DT430" s="5"/>
      <c r="DU430" s="5"/>
      <c r="DV430" s="5"/>
      <c r="DW430" s="6"/>
      <c r="DX430" s="5"/>
      <c r="DY430" s="5"/>
      <c r="DZ430" s="5"/>
      <c r="EA430" s="5"/>
      <c r="EB430" s="6"/>
      <c r="EC430" s="5"/>
      <c r="ED430" s="5"/>
      <c r="EE430" s="5"/>
      <c r="EF430" s="5"/>
      <c r="EG430" s="6"/>
      <c r="EH430" s="5"/>
      <c r="EI430" s="5"/>
      <c r="EJ430" s="5"/>
      <c r="EK430" s="5"/>
      <c r="EL430" s="6"/>
      <c r="EM430" s="6">
        <v>1</v>
      </c>
      <c r="EN430" s="6">
        <f>EP12*EM429+EQ12*EM429</f>
        <v>0</v>
      </c>
      <c r="EO430" s="6"/>
      <c r="EP430" s="6"/>
      <c r="EQ430" s="6"/>
      <c r="EX430" s="203">
        <f t="shared" si="48"/>
        <v>0</v>
      </c>
      <c r="EY430" s="116">
        <v>34</v>
      </c>
    </row>
    <row r="431" spans="1:155" ht="15" customHeight="1">
      <c r="A431" s="152" t="s">
        <v>350</v>
      </c>
      <c r="B431" s="210" t="s">
        <v>378</v>
      </c>
      <c r="C431" s="473" t="s">
        <v>515</v>
      </c>
      <c r="J431" s="138"/>
      <c r="K431" s="138"/>
      <c r="BU431" s="6"/>
      <c r="BV431" s="6"/>
      <c r="BW431" s="6"/>
      <c r="BX431" s="6"/>
      <c r="BY431" s="6"/>
      <c r="BZ431" s="6"/>
      <c r="CA431" s="6"/>
      <c r="CB431" s="6"/>
      <c r="CC431" s="6"/>
      <c r="CD431" s="6"/>
      <c r="CE431" s="6"/>
      <c r="CF431" s="6"/>
      <c r="CG431" s="6"/>
      <c r="CH431" s="6"/>
      <c r="CI431" s="6"/>
      <c r="CJ431" s="6"/>
      <c r="CK431" s="6"/>
      <c r="CL431" s="6"/>
      <c r="CM431" s="6"/>
      <c r="CN431" s="6"/>
      <c r="CO431" s="6"/>
      <c r="CP431" s="6"/>
      <c r="CQ431" s="6"/>
      <c r="CR431" s="6"/>
      <c r="CS431" s="6"/>
      <c r="CT431" s="6"/>
      <c r="CU431" s="6"/>
      <c r="CV431" s="6"/>
      <c r="CW431" s="6"/>
      <c r="CX431" s="6"/>
      <c r="CY431" s="6"/>
      <c r="CZ431" s="6"/>
      <c r="DA431" s="6"/>
      <c r="DB431" s="6"/>
      <c r="DC431" s="6"/>
      <c r="DD431" s="6"/>
      <c r="DE431" s="6"/>
      <c r="DF431" s="6"/>
      <c r="DG431" s="6"/>
      <c r="DH431" s="6"/>
      <c r="DI431" s="6"/>
      <c r="DJ431" s="6"/>
      <c r="DK431" s="6"/>
      <c r="DL431" s="6"/>
      <c r="DM431" s="6"/>
      <c r="DN431" s="6"/>
      <c r="DO431" s="6"/>
      <c r="DP431" s="6"/>
      <c r="DQ431" s="6"/>
      <c r="DR431" s="6"/>
      <c r="DS431" s="5"/>
      <c r="DT431" s="5"/>
      <c r="DU431" s="5"/>
      <c r="DV431" s="5"/>
      <c r="DW431" s="6"/>
      <c r="DX431" s="5"/>
      <c r="DY431" s="5"/>
      <c r="DZ431" s="5"/>
      <c r="EA431" s="5"/>
      <c r="EB431" s="6"/>
      <c r="EC431" s="5"/>
      <c r="ED431" s="5"/>
      <c r="EE431" s="5"/>
      <c r="EF431" s="5"/>
      <c r="EG431" s="6"/>
      <c r="EH431" s="5"/>
      <c r="EI431" s="5"/>
      <c r="EJ431" s="5"/>
      <c r="EK431" s="5"/>
      <c r="EL431" s="6"/>
      <c r="EM431" s="6"/>
      <c r="EN431" s="6"/>
      <c r="EO431" s="6"/>
      <c r="EP431" s="6"/>
      <c r="EQ431" s="6"/>
      <c r="EX431" s="203">
        <f t="shared" si="48"/>
        <v>0</v>
      </c>
      <c r="EY431" s="142">
        <v>13</v>
      </c>
    </row>
    <row r="432" spans="1:155" ht="15" customHeight="1">
      <c r="A432" s="152" t="s">
        <v>351</v>
      </c>
      <c r="B432" s="210" t="s">
        <v>379</v>
      </c>
      <c r="C432" s="473" t="s">
        <v>515</v>
      </c>
      <c r="J432" s="138"/>
      <c r="K432" s="138"/>
      <c r="BU432" s="6"/>
      <c r="BV432" s="6"/>
      <c r="BW432" s="6"/>
      <c r="BX432" s="6"/>
      <c r="BY432" s="6"/>
      <c r="BZ432" s="6"/>
      <c r="CA432" s="6"/>
      <c r="CB432" s="6"/>
      <c r="CC432" s="6"/>
      <c r="CD432" s="6"/>
      <c r="CE432" s="6"/>
      <c r="CF432" s="6"/>
      <c r="CG432" s="6"/>
      <c r="CH432" s="6"/>
      <c r="CI432" s="6"/>
      <c r="CJ432" s="6"/>
      <c r="CK432" s="6"/>
      <c r="CL432" s="6"/>
      <c r="CM432" s="6"/>
      <c r="CN432" s="6"/>
      <c r="CO432" s="6"/>
      <c r="CP432" s="6"/>
      <c r="CQ432" s="6"/>
      <c r="CR432" s="6"/>
      <c r="CS432" s="6"/>
      <c r="CT432" s="6"/>
      <c r="CU432" s="6"/>
      <c r="CV432" s="6"/>
      <c r="CW432" s="6"/>
      <c r="CX432" s="6"/>
      <c r="CY432" s="6"/>
      <c r="CZ432" s="6"/>
      <c r="DA432" s="6"/>
      <c r="DB432" s="6"/>
      <c r="DC432" s="6"/>
      <c r="DD432" s="6"/>
      <c r="DE432" s="6"/>
      <c r="DF432" s="6"/>
      <c r="DG432" s="6"/>
      <c r="DH432" s="6"/>
      <c r="DI432" s="6"/>
      <c r="DJ432" s="6"/>
      <c r="DK432" s="6"/>
      <c r="DL432" s="6"/>
      <c r="DM432" s="6"/>
      <c r="DN432" s="6"/>
      <c r="DO432" s="6"/>
      <c r="DP432" s="6"/>
      <c r="DQ432" s="6"/>
      <c r="DR432" s="6"/>
      <c r="DS432" s="5"/>
      <c r="DT432" s="5"/>
      <c r="DU432" s="5"/>
      <c r="DV432" s="5"/>
      <c r="DW432" s="6"/>
      <c r="DX432" s="5"/>
      <c r="DY432" s="5"/>
      <c r="DZ432" s="5"/>
      <c r="EA432" s="5"/>
      <c r="EB432" s="6"/>
      <c r="EC432" s="5"/>
      <c r="ED432" s="5"/>
      <c r="EE432" s="5"/>
      <c r="EF432" s="5"/>
      <c r="EG432" s="6"/>
      <c r="EH432" s="5"/>
      <c r="EI432" s="5"/>
      <c r="EJ432" s="5"/>
      <c r="EK432" s="5"/>
      <c r="EL432" s="6"/>
      <c r="EM432" s="6"/>
      <c r="EN432" s="6"/>
      <c r="EO432" s="6"/>
      <c r="EP432" s="6"/>
      <c r="EQ432" s="6"/>
      <c r="EX432" s="203">
        <f t="shared" si="48"/>
        <v>0</v>
      </c>
    </row>
    <row r="433" spans="1:154" ht="15" customHeight="1">
      <c r="A433" s="152"/>
      <c r="B433" s="748" t="s">
        <v>1346</v>
      </c>
      <c r="C433" s="138"/>
      <c r="J433" s="138"/>
      <c r="K433" s="138"/>
      <c r="BU433" s="6"/>
      <c r="BV433" s="6"/>
      <c r="BW433" s="6"/>
      <c r="BX433" s="6"/>
      <c r="BY433" s="6"/>
      <c r="BZ433" s="6"/>
      <c r="CA433" s="6"/>
      <c r="CB433" s="6"/>
      <c r="CC433" s="6"/>
      <c r="CD433" s="6"/>
      <c r="CE433" s="6"/>
      <c r="CF433" s="6"/>
      <c r="CG433" s="6"/>
      <c r="CH433" s="6"/>
      <c r="CI433" s="6"/>
      <c r="CJ433" s="6"/>
      <c r="CK433" s="6"/>
      <c r="CL433" s="6"/>
      <c r="CM433" s="6"/>
      <c r="CN433" s="6"/>
      <c r="CO433" s="6"/>
      <c r="CP433" s="6"/>
      <c r="CQ433" s="6"/>
      <c r="CR433" s="6"/>
      <c r="CS433" s="6"/>
      <c r="CT433" s="6"/>
      <c r="CU433" s="6"/>
      <c r="CV433" s="6"/>
      <c r="CW433" s="6"/>
      <c r="CX433" s="6"/>
      <c r="CY433" s="6"/>
      <c r="CZ433" s="6"/>
      <c r="DA433" s="6"/>
      <c r="DB433" s="6"/>
      <c r="DC433" s="6"/>
      <c r="DD433" s="6"/>
      <c r="DE433" s="6"/>
      <c r="DF433" s="6"/>
      <c r="DG433" s="6"/>
      <c r="DH433" s="6"/>
      <c r="DI433" s="6"/>
      <c r="DJ433" s="6"/>
      <c r="DK433" s="6"/>
      <c r="DL433" s="6"/>
      <c r="DM433" s="6"/>
      <c r="DN433" s="6"/>
      <c r="DO433" s="6"/>
      <c r="DP433" s="6"/>
      <c r="DQ433" s="6"/>
      <c r="DR433" s="6"/>
      <c r="DS433" s="5"/>
      <c r="DT433" s="5"/>
      <c r="DU433" s="5"/>
      <c r="DV433" s="5"/>
      <c r="DW433" s="6"/>
      <c r="DX433" s="5"/>
      <c r="DY433" s="5"/>
      <c r="DZ433" s="5"/>
      <c r="EA433" s="5"/>
      <c r="EB433" s="6"/>
      <c r="EC433" s="5"/>
      <c r="ED433" s="5"/>
      <c r="EE433" s="5"/>
      <c r="EF433" s="5"/>
      <c r="EG433" s="6"/>
      <c r="EH433" s="5"/>
      <c r="EI433" s="5"/>
      <c r="EJ433" s="5"/>
      <c r="EK433" s="5"/>
      <c r="EL433" s="6"/>
      <c r="EM433" s="6"/>
      <c r="EN433" s="6"/>
      <c r="EO433" s="6"/>
      <c r="EP433" s="6"/>
      <c r="EQ433" s="6"/>
      <c r="EX433" s="203">
        <f t="shared" si="48"/>
        <v>0</v>
      </c>
    </row>
    <row r="434" spans="1:154" ht="15" customHeight="1">
      <c r="A434" s="152"/>
      <c r="B434" s="748" t="s">
        <v>1347</v>
      </c>
      <c r="C434" s="138"/>
      <c r="J434" s="138"/>
      <c r="K434" s="138"/>
      <c r="BU434" s="6"/>
      <c r="BV434" s="6"/>
      <c r="BW434" s="6"/>
      <c r="BX434" s="6"/>
      <c r="BY434" s="6"/>
      <c r="BZ434" s="6"/>
      <c r="CA434" s="6"/>
      <c r="CB434" s="6"/>
      <c r="CC434" s="6"/>
      <c r="CD434" s="6"/>
      <c r="CE434" s="6"/>
      <c r="CF434" s="6"/>
      <c r="CG434" s="6"/>
      <c r="CH434" s="6"/>
      <c r="CI434" s="6"/>
      <c r="CJ434" s="6"/>
      <c r="CK434" s="6"/>
      <c r="CL434" s="6"/>
      <c r="CM434" s="6"/>
      <c r="CN434" s="6"/>
      <c r="CO434" s="6"/>
      <c r="CP434" s="6"/>
      <c r="CQ434" s="6"/>
      <c r="CR434" s="6"/>
      <c r="CS434" s="6"/>
      <c r="CT434" s="6"/>
      <c r="CU434" s="6"/>
      <c r="CV434" s="6"/>
      <c r="CW434" s="6"/>
      <c r="CX434" s="6"/>
      <c r="CY434" s="6"/>
      <c r="CZ434" s="6"/>
      <c r="DA434" s="6"/>
      <c r="DB434" s="6"/>
      <c r="DC434" s="6"/>
      <c r="DD434" s="6"/>
      <c r="DE434" s="6"/>
      <c r="DF434" s="6"/>
      <c r="DG434" s="6"/>
      <c r="DH434" s="6"/>
      <c r="DI434" s="6"/>
      <c r="DJ434" s="6"/>
      <c r="DK434" s="6"/>
      <c r="DL434" s="6"/>
      <c r="DM434" s="6"/>
      <c r="DN434" s="6"/>
      <c r="DO434" s="6"/>
      <c r="DP434" s="6"/>
      <c r="DQ434" s="6"/>
      <c r="DR434" s="6"/>
      <c r="DS434" s="5"/>
      <c r="DT434" s="5"/>
      <c r="DU434" s="5"/>
      <c r="DV434" s="5"/>
      <c r="DW434" s="6"/>
      <c r="DX434" s="5"/>
      <c r="DY434" s="5"/>
      <c r="DZ434" s="5"/>
      <c r="EA434" s="5"/>
      <c r="EB434" s="6"/>
      <c r="EC434" s="5"/>
      <c r="ED434" s="5"/>
      <c r="EE434" s="5"/>
      <c r="EF434" s="5"/>
      <c r="EG434" s="6"/>
      <c r="EH434" s="5"/>
      <c r="EI434" s="5"/>
      <c r="EJ434" s="5"/>
      <c r="EK434" s="5"/>
      <c r="EL434" s="6"/>
      <c r="EM434" s="6"/>
      <c r="EN434" s="6"/>
      <c r="EO434" s="6"/>
      <c r="EP434" s="6"/>
      <c r="EQ434" s="6"/>
      <c r="EX434" s="203">
        <f t="shared" si="48"/>
        <v>0</v>
      </c>
    </row>
    <row r="435" spans="1:154" ht="15" customHeight="1">
      <c r="A435" s="152"/>
      <c r="B435" s="748" t="s">
        <v>1348</v>
      </c>
      <c r="C435" s="138"/>
      <c r="J435" s="138"/>
      <c r="K435" s="138"/>
      <c r="BU435" s="6"/>
      <c r="BV435" s="6"/>
      <c r="BW435" s="6"/>
      <c r="BX435" s="6"/>
      <c r="BY435" s="6"/>
      <c r="BZ435" s="6"/>
      <c r="CA435" s="6"/>
      <c r="CB435" s="6"/>
      <c r="CC435" s="6"/>
      <c r="CD435" s="6"/>
      <c r="CE435" s="6"/>
      <c r="CF435" s="6"/>
      <c r="CG435" s="6"/>
      <c r="CH435" s="6"/>
      <c r="CI435" s="6"/>
      <c r="CJ435" s="6"/>
      <c r="CK435" s="6"/>
      <c r="CL435" s="6"/>
      <c r="CM435" s="6"/>
      <c r="CN435" s="6"/>
      <c r="CO435" s="6"/>
      <c r="CP435" s="6"/>
      <c r="CQ435" s="6"/>
      <c r="CR435" s="6"/>
      <c r="CS435" s="6"/>
      <c r="CT435" s="6"/>
      <c r="CU435" s="6"/>
      <c r="CV435" s="6"/>
      <c r="CW435" s="6"/>
      <c r="CX435" s="6"/>
      <c r="CY435" s="6"/>
      <c r="CZ435" s="6"/>
      <c r="DA435" s="6"/>
      <c r="DB435" s="6"/>
      <c r="DC435" s="6"/>
      <c r="DD435" s="6"/>
      <c r="DE435" s="6"/>
      <c r="DF435" s="6"/>
      <c r="DG435" s="6"/>
      <c r="DH435" s="6"/>
      <c r="DI435" s="6"/>
      <c r="DJ435" s="6"/>
      <c r="DK435" s="6"/>
      <c r="DL435" s="6"/>
      <c r="DM435" s="6"/>
      <c r="DN435" s="6"/>
      <c r="DO435" s="6"/>
      <c r="DP435" s="6"/>
      <c r="DQ435" s="6"/>
      <c r="DR435" s="6"/>
      <c r="DS435" s="5"/>
      <c r="DT435" s="5"/>
      <c r="DU435" s="5"/>
      <c r="DV435" s="5"/>
      <c r="DW435" s="6"/>
      <c r="DX435" s="5"/>
      <c r="DY435" s="5"/>
      <c r="DZ435" s="5"/>
      <c r="EA435" s="5"/>
      <c r="EB435" s="6"/>
      <c r="EC435" s="5"/>
      <c r="ED435" s="5"/>
      <c r="EE435" s="5"/>
      <c r="EF435" s="5"/>
      <c r="EG435" s="6"/>
      <c r="EH435" s="5"/>
      <c r="EI435" s="5"/>
      <c r="EJ435" s="5"/>
      <c r="EK435" s="5"/>
      <c r="EL435" s="6"/>
      <c r="EM435" s="6"/>
      <c r="EN435" s="6"/>
      <c r="EO435" s="6"/>
      <c r="EP435" s="6"/>
      <c r="EQ435" s="6"/>
      <c r="EX435" s="203">
        <f t="shared" si="48"/>
        <v>0</v>
      </c>
    </row>
    <row r="436" spans="1:154" ht="15" customHeight="1">
      <c r="A436" s="152"/>
      <c r="B436" s="748" t="s">
        <v>1349</v>
      </c>
      <c r="C436" s="138"/>
      <c r="J436" s="138"/>
      <c r="K436" s="138"/>
      <c r="BU436" s="6"/>
      <c r="BV436" s="6"/>
      <c r="BW436" s="6"/>
      <c r="BX436" s="6"/>
      <c r="BY436" s="6"/>
      <c r="BZ436" s="6"/>
      <c r="CA436" s="6"/>
      <c r="CB436" s="6"/>
      <c r="CC436" s="6"/>
      <c r="CD436" s="6"/>
      <c r="CE436" s="6"/>
      <c r="CF436" s="6"/>
      <c r="CG436" s="6"/>
      <c r="CH436" s="6"/>
      <c r="CI436" s="6"/>
      <c r="CJ436" s="6"/>
      <c r="CK436" s="6"/>
      <c r="CL436" s="6"/>
      <c r="CM436" s="6"/>
      <c r="CN436" s="6"/>
      <c r="CO436" s="6"/>
      <c r="CP436" s="6"/>
      <c r="CQ436" s="6"/>
      <c r="CR436" s="6"/>
      <c r="CS436" s="6"/>
      <c r="CT436" s="6"/>
      <c r="CU436" s="6"/>
      <c r="CV436" s="6"/>
      <c r="CW436" s="6"/>
      <c r="CX436" s="6"/>
      <c r="CY436" s="6"/>
      <c r="CZ436" s="6"/>
      <c r="DA436" s="6"/>
      <c r="DB436" s="6"/>
      <c r="DC436" s="6"/>
      <c r="DD436" s="6"/>
      <c r="DE436" s="6"/>
      <c r="DF436" s="6"/>
      <c r="DG436" s="6"/>
      <c r="DH436" s="6"/>
      <c r="DI436" s="6"/>
      <c r="DJ436" s="6"/>
      <c r="DK436" s="6"/>
      <c r="DL436" s="6"/>
      <c r="DM436" s="6"/>
      <c r="DN436" s="6"/>
      <c r="DO436" s="6"/>
      <c r="DP436" s="6"/>
      <c r="DQ436" s="6"/>
      <c r="DR436" s="6"/>
      <c r="DS436" s="5"/>
      <c r="DT436" s="5"/>
      <c r="DU436" s="5"/>
      <c r="DV436" s="5"/>
      <c r="DW436" s="6"/>
      <c r="DX436" s="5"/>
      <c r="DY436" s="5"/>
      <c r="DZ436" s="5"/>
      <c r="EA436" s="5"/>
      <c r="EB436" s="6"/>
      <c r="EC436" s="5"/>
      <c r="ED436" s="5"/>
      <c r="EE436" s="5"/>
      <c r="EF436" s="5"/>
      <c r="EG436" s="6"/>
      <c r="EH436" s="5"/>
      <c r="EI436" s="5"/>
      <c r="EJ436" s="5"/>
      <c r="EK436" s="5"/>
      <c r="EL436" s="6"/>
      <c r="EM436" s="6"/>
      <c r="EN436" s="6"/>
      <c r="EO436" s="6"/>
      <c r="EP436" s="6"/>
      <c r="EQ436" s="6"/>
      <c r="EX436" s="203">
        <f t="shared" si="48"/>
        <v>0</v>
      </c>
    </row>
    <row r="437" spans="1:154" ht="15" customHeight="1">
      <c r="A437" s="152"/>
      <c r="B437" s="748" t="s">
        <v>1350</v>
      </c>
      <c r="C437" s="138"/>
      <c r="J437" s="138"/>
      <c r="K437" s="138"/>
      <c r="BU437" s="6"/>
      <c r="BV437" s="6"/>
      <c r="BW437" s="6"/>
      <c r="BX437" s="6"/>
      <c r="BY437" s="6"/>
      <c r="BZ437" s="6"/>
      <c r="CA437" s="6"/>
      <c r="CB437" s="6"/>
      <c r="CC437" s="6"/>
      <c r="CD437" s="6"/>
      <c r="CE437" s="6"/>
      <c r="CF437" s="6"/>
      <c r="CG437" s="6"/>
      <c r="CH437" s="6"/>
      <c r="CI437" s="6"/>
      <c r="CJ437" s="6"/>
      <c r="CK437" s="6"/>
      <c r="CL437" s="6"/>
      <c r="CM437" s="6"/>
      <c r="CN437" s="6"/>
      <c r="CO437" s="6"/>
      <c r="CP437" s="6"/>
      <c r="CQ437" s="6"/>
      <c r="CR437" s="6"/>
      <c r="CS437" s="6"/>
      <c r="CT437" s="6"/>
      <c r="CU437" s="6"/>
      <c r="CV437" s="6"/>
      <c r="CW437" s="6"/>
      <c r="CX437" s="6"/>
      <c r="CY437" s="6"/>
      <c r="CZ437" s="6"/>
      <c r="DA437" s="6"/>
      <c r="DB437" s="6"/>
      <c r="DC437" s="6"/>
      <c r="DD437" s="6"/>
      <c r="DE437" s="6"/>
      <c r="DF437" s="6"/>
      <c r="DG437" s="6"/>
      <c r="DH437" s="6"/>
      <c r="DI437" s="6"/>
      <c r="DJ437" s="6"/>
      <c r="DK437" s="6"/>
      <c r="DL437" s="6"/>
      <c r="DM437" s="6"/>
      <c r="DN437" s="6"/>
      <c r="DO437" s="6"/>
      <c r="DP437" s="6"/>
      <c r="DQ437" s="6"/>
      <c r="DR437" s="6"/>
      <c r="DS437" s="5"/>
      <c r="DT437" s="5"/>
      <c r="DU437" s="5"/>
      <c r="DV437" s="5"/>
      <c r="DW437" s="6"/>
      <c r="DX437" s="5"/>
      <c r="DY437" s="5"/>
      <c r="DZ437" s="5"/>
      <c r="EA437" s="5"/>
      <c r="EB437" s="6"/>
      <c r="EC437" s="5"/>
      <c r="ED437" s="5"/>
      <c r="EE437" s="5"/>
      <c r="EF437" s="5"/>
      <c r="EG437" s="6"/>
      <c r="EH437" s="5"/>
      <c r="EI437" s="5"/>
      <c r="EJ437" s="5"/>
      <c r="EK437" s="5"/>
      <c r="EL437" s="6"/>
      <c r="EM437" s="6"/>
      <c r="EN437" s="6"/>
      <c r="EO437" s="6"/>
      <c r="EP437" s="6"/>
      <c r="EQ437" s="6"/>
      <c r="EX437" s="203">
        <f t="shared" si="48"/>
        <v>0</v>
      </c>
    </row>
    <row r="438" spans="1:154" ht="15" customHeight="1">
      <c r="A438" s="152"/>
      <c r="B438" s="748" t="s">
        <v>1351</v>
      </c>
      <c r="C438" s="138"/>
      <c r="J438" s="138"/>
      <c r="K438" s="138"/>
      <c r="BU438" s="6"/>
      <c r="BV438" s="6"/>
      <c r="BW438" s="6"/>
      <c r="BX438" s="6"/>
      <c r="BY438" s="6"/>
      <c r="BZ438" s="6"/>
      <c r="CA438" s="6"/>
      <c r="CB438" s="6"/>
      <c r="CC438" s="6"/>
      <c r="CD438" s="6"/>
      <c r="CE438" s="6"/>
      <c r="CF438" s="6"/>
      <c r="CG438" s="6"/>
      <c r="CH438" s="6"/>
      <c r="CI438" s="6"/>
      <c r="CJ438" s="6"/>
      <c r="CK438" s="6"/>
      <c r="CL438" s="6"/>
      <c r="CM438" s="6"/>
      <c r="CN438" s="6"/>
      <c r="CO438" s="6"/>
      <c r="CP438" s="6"/>
      <c r="CQ438" s="6"/>
      <c r="CR438" s="6"/>
      <c r="CS438" s="6"/>
      <c r="CT438" s="6"/>
      <c r="CU438" s="6"/>
      <c r="CV438" s="6"/>
      <c r="CW438" s="6"/>
      <c r="CX438" s="6"/>
      <c r="CY438" s="6"/>
      <c r="CZ438" s="6"/>
      <c r="DA438" s="6"/>
      <c r="DB438" s="6"/>
      <c r="DC438" s="6"/>
      <c r="DD438" s="6"/>
      <c r="DE438" s="6"/>
      <c r="DF438" s="6"/>
      <c r="DG438" s="6"/>
      <c r="DH438" s="6"/>
      <c r="DI438" s="6"/>
      <c r="DJ438" s="6"/>
      <c r="DK438" s="6"/>
      <c r="DL438" s="6"/>
      <c r="DM438" s="6"/>
      <c r="DN438" s="6"/>
      <c r="DO438" s="6"/>
      <c r="DP438" s="6"/>
      <c r="DQ438" s="6"/>
      <c r="DR438" s="6"/>
      <c r="DS438" s="5"/>
      <c r="DT438" s="5"/>
      <c r="DU438" s="5"/>
      <c r="DV438" s="5"/>
      <c r="DW438" s="6"/>
      <c r="DX438" s="5"/>
      <c r="DY438" s="5"/>
      <c r="DZ438" s="5"/>
      <c r="EA438" s="5"/>
      <c r="EB438" s="6"/>
      <c r="EC438" s="5"/>
      <c r="ED438" s="5"/>
      <c r="EE438" s="5"/>
      <c r="EF438" s="5"/>
      <c r="EG438" s="6"/>
      <c r="EH438" s="5"/>
      <c r="EI438" s="5"/>
      <c r="EJ438" s="5"/>
      <c r="EK438" s="5"/>
      <c r="EL438" s="6"/>
      <c r="EM438" s="6"/>
      <c r="EN438" s="6"/>
      <c r="EO438" s="6"/>
      <c r="EP438" s="6"/>
      <c r="EQ438" s="6"/>
      <c r="EX438" s="203">
        <f t="shared" si="48"/>
        <v>0</v>
      </c>
    </row>
    <row r="439" spans="1:154" ht="15" customHeight="1">
      <c r="A439" s="152" t="s">
        <v>352</v>
      </c>
      <c r="B439" s="137" t="s">
        <v>352</v>
      </c>
      <c r="C439" s="138" t="s">
        <v>0</v>
      </c>
      <c r="J439" s="138"/>
      <c r="K439" s="138"/>
      <c r="BU439" s="6"/>
      <c r="BV439" s="6"/>
      <c r="BW439" s="6"/>
      <c r="BX439" s="6"/>
      <c r="BY439" s="6"/>
      <c r="BZ439" s="6"/>
      <c r="CA439" s="6"/>
      <c r="CB439" s="6"/>
      <c r="CC439" s="6"/>
      <c r="CD439" s="6"/>
      <c r="CE439" s="6"/>
      <c r="CF439" s="6"/>
      <c r="CG439" s="6"/>
      <c r="CH439" s="6"/>
      <c r="CI439" s="6"/>
      <c r="CJ439" s="6"/>
      <c r="CK439" s="6"/>
      <c r="CL439" s="6"/>
      <c r="CM439" s="6"/>
      <c r="CN439" s="6"/>
      <c r="CO439" s="6"/>
      <c r="CP439" s="6"/>
      <c r="CQ439" s="6"/>
      <c r="CR439" s="6"/>
      <c r="CS439" s="6"/>
      <c r="CT439" s="6"/>
      <c r="CU439" s="6"/>
      <c r="CV439" s="6"/>
      <c r="CW439" s="6"/>
      <c r="CX439" s="6"/>
      <c r="CY439" s="6"/>
      <c r="CZ439" s="6"/>
      <c r="DA439" s="6"/>
      <c r="DB439" s="6"/>
      <c r="DC439" s="6"/>
      <c r="DD439" s="6"/>
      <c r="DE439" s="6"/>
      <c r="DF439" s="6"/>
      <c r="DG439" s="6"/>
      <c r="DH439" s="6"/>
      <c r="DI439" s="6"/>
      <c r="DJ439" s="6"/>
      <c r="DK439" s="6"/>
      <c r="DL439" s="6"/>
      <c r="DM439" s="6"/>
      <c r="DN439" s="6"/>
      <c r="DO439" s="6"/>
      <c r="DP439" s="6"/>
      <c r="DQ439" s="6"/>
      <c r="DR439" s="6"/>
      <c r="DS439" s="5"/>
      <c r="DT439" s="5"/>
      <c r="DU439" s="5"/>
      <c r="DV439" s="5"/>
      <c r="DW439" s="6"/>
      <c r="DX439" s="5"/>
      <c r="DY439" s="5"/>
      <c r="DZ439" s="5"/>
      <c r="EA439" s="5"/>
      <c r="EB439" s="6"/>
      <c r="EC439" s="5"/>
      <c r="ED439" s="5"/>
      <c r="EE439" s="5"/>
      <c r="EF439" s="5"/>
      <c r="EG439" s="6"/>
      <c r="EH439" s="5"/>
      <c r="EI439" s="5"/>
      <c r="EJ439" s="5"/>
      <c r="EK439" s="5"/>
      <c r="EL439" s="6"/>
      <c r="EM439" s="6"/>
      <c r="EN439" s="6"/>
      <c r="EO439" s="6"/>
      <c r="EP439" s="6"/>
      <c r="EQ439" s="6"/>
      <c r="EX439" s="203">
        <f t="shared" si="48"/>
        <v>0</v>
      </c>
    </row>
    <row r="440" spans="1:154" ht="15" customHeight="1">
      <c r="A440" s="152" t="s">
        <v>353</v>
      </c>
      <c r="B440" s="137" t="s">
        <v>353</v>
      </c>
      <c r="C440" s="138" t="s">
        <v>0</v>
      </c>
      <c r="J440" s="138"/>
      <c r="K440" s="138"/>
      <c r="BU440" s="6"/>
      <c r="BV440" s="6"/>
      <c r="BW440" s="6"/>
      <c r="BX440" s="6"/>
      <c r="BY440" s="6"/>
      <c r="BZ440" s="6"/>
      <c r="CA440" s="6"/>
      <c r="CB440" s="6"/>
      <c r="CC440" s="6"/>
      <c r="CD440" s="6"/>
      <c r="CE440" s="6"/>
      <c r="CF440" s="6"/>
      <c r="CG440" s="6"/>
      <c r="CH440" s="6"/>
      <c r="CI440" s="6"/>
      <c r="CJ440" s="6"/>
      <c r="CK440" s="6"/>
      <c r="CL440" s="6"/>
      <c r="CM440" s="6"/>
      <c r="CN440" s="6"/>
      <c r="CO440" s="6"/>
      <c r="CP440" s="6"/>
      <c r="CQ440" s="6"/>
      <c r="CR440" s="6"/>
      <c r="CS440" s="6"/>
      <c r="CT440" s="6"/>
      <c r="CU440" s="6"/>
      <c r="CV440" s="6"/>
      <c r="CW440" s="6"/>
      <c r="CX440" s="6"/>
      <c r="CY440" s="6"/>
      <c r="CZ440" s="6"/>
      <c r="DA440" s="6"/>
      <c r="DB440" s="6"/>
      <c r="DC440" s="6"/>
      <c r="DD440" s="6"/>
      <c r="DE440" s="6"/>
      <c r="DF440" s="6"/>
      <c r="DG440" s="6"/>
      <c r="DH440" s="6"/>
      <c r="DI440" s="6"/>
      <c r="DJ440" s="6"/>
      <c r="DK440" s="6"/>
      <c r="DL440" s="6"/>
      <c r="DM440" s="6"/>
      <c r="DN440" s="6"/>
      <c r="DO440" s="6"/>
      <c r="DP440" s="6"/>
      <c r="DQ440" s="6"/>
      <c r="DR440" s="6"/>
      <c r="DS440" s="5"/>
      <c r="DT440" s="5"/>
      <c r="DU440" s="5"/>
      <c r="DV440" s="5"/>
      <c r="DW440" s="6"/>
      <c r="DX440" s="5"/>
      <c r="DY440" s="5"/>
      <c r="DZ440" s="5"/>
      <c r="EA440" s="5"/>
      <c r="EB440" s="6"/>
      <c r="EC440" s="5"/>
      <c r="ED440" s="5"/>
      <c r="EE440" s="5"/>
      <c r="EF440" s="5"/>
      <c r="EG440" s="6"/>
      <c r="EH440" s="5"/>
      <c r="EI440" s="5"/>
      <c r="EJ440" s="5"/>
      <c r="EK440" s="5"/>
      <c r="EL440" s="6"/>
      <c r="EM440" s="6"/>
      <c r="EN440" s="6"/>
      <c r="EO440" s="6"/>
      <c r="EP440" s="6"/>
      <c r="EQ440" s="6"/>
      <c r="EX440" s="203">
        <f t="shared" si="48"/>
        <v>0</v>
      </c>
    </row>
    <row r="441" spans="1:154" ht="15" customHeight="1">
      <c r="A441" s="152" t="s">
        <v>354</v>
      </c>
      <c r="B441" s="137" t="s">
        <v>354</v>
      </c>
      <c r="C441" s="138" t="s">
        <v>0</v>
      </c>
      <c r="J441" s="138"/>
      <c r="K441" s="138"/>
      <c r="BU441" s="6"/>
      <c r="BV441" s="6"/>
      <c r="BW441" s="6"/>
      <c r="BX441" s="6"/>
      <c r="BY441" s="6"/>
      <c r="BZ441" s="6"/>
      <c r="CA441" s="6"/>
      <c r="CB441" s="6"/>
      <c r="CC441" s="6"/>
      <c r="CD441" s="6"/>
      <c r="CE441" s="6"/>
      <c r="CF441" s="6"/>
      <c r="CG441" s="6"/>
      <c r="CH441" s="6"/>
      <c r="CI441" s="6"/>
      <c r="CJ441" s="6"/>
      <c r="CK441" s="6"/>
      <c r="CL441" s="6"/>
      <c r="CM441" s="6"/>
      <c r="CN441" s="6"/>
      <c r="CO441" s="6"/>
      <c r="CP441" s="6"/>
      <c r="CQ441" s="6"/>
      <c r="CR441" s="6"/>
      <c r="CS441" s="6"/>
      <c r="CT441" s="6"/>
      <c r="CU441" s="6"/>
      <c r="CV441" s="6"/>
      <c r="CW441" s="6"/>
      <c r="CX441" s="6"/>
      <c r="CY441" s="6"/>
      <c r="CZ441" s="6"/>
      <c r="DA441" s="6"/>
      <c r="DB441" s="6"/>
      <c r="DC441" s="6"/>
      <c r="DD441" s="6"/>
      <c r="DE441" s="6"/>
      <c r="DF441" s="6"/>
      <c r="DG441" s="6"/>
      <c r="DH441" s="6"/>
      <c r="DI441" s="6"/>
      <c r="DJ441" s="6"/>
      <c r="DK441" s="6"/>
      <c r="DL441" s="6"/>
      <c r="DM441" s="6"/>
      <c r="DN441" s="6"/>
      <c r="DO441" s="6"/>
      <c r="DP441" s="6"/>
      <c r="DQ441" s="6"/>
      <c r="DR441" s="6"/>
      <c r="DS441" s="5"/>
      <c r="DT441" s="5"/>
      <c r="DU441" s="5"/>
      <c r="DV441" s="5"/>
      <c r="DW441" s="6"/>
      <c r="DX441" s="5"/>
      <c r="DY441" s="5"/>
      <c r="DZ441" s="5"/>
      <c r="EA441" s="5"/>
      <c r="EB441" s="6"/>
      <c r="EC441" s="5"/>
      <c r="ED441" s="5"/>
      <c r="EE441" s="5"/>
      <c r="EF441" s="5"/>
      <c r="EG441" s="6"/>
      <c r="EH441" s="5"/>
      <c r="EI441" s="5"/>
      <c r="EJ441" s="5"/>
      <c r="EK441" s="5"/>
      <c r="EL441" s="6"/>
      <c r="EM441" s="6"/>
      <c r="EN441" s="6"/>
      <c r="EO441" s="6"/>
      <c r="EP441" s="6"/>
      <c r="EQ441" s="6"/>
      <c r="EX441" s="203">
        <f t="shared" si="48"/>
        <v>0</v>
      </c>
    </row>
    <row r="442" spans="1:154" ht="15" customHeight="1">
      <c r="A442" s="152" t="s">
        <v>355</v>
      </c>
      <c r="B442" s="137" t="s">
        <v>355</v>
      </c>
      <c r="C442" s="138" t="s">
        <v>0</v>
      </c>
      <c r="J442" s="138"/>
      <c r="K442" s="138"/>
      <c r="BU442" s="6"/>
      <c r="BV442" s="6"/>
      <c r="BW442" s="6"/>
      <c r="BX442" s="6"/>
      <c r="BY442" s="6"/>
      <c r="BZ442" s="6"/>
      <c r="CA442" s="6"/>
      <c r="CB442" s="6"/>
      <c r="CC442" s="6"/>
      <c r="CD442" s="6"/>
      <c r="CE442" s="6"/>
      <c r="CF442" s="6"/>
      <c r="CG442" s="6"/>
      <c r="CH442" s="6"/>
      <c r="CI442" s="6"/>
      <c r="CJ442" s="6"/>
      <c r="CK442" s="6"/>
      <c r="CL442" s="6"/>
      <c r="CM442" s="6"/>
      <c r="CN442" s="6"/>
      <c r="CO442" s="6"/>
      <c r="CP442" s="6"/>
      <c r="CQ442" s="6"/>
      <c r="CR442" s="6"/>
      <c r="CS442" s="6"/>
      <c r="CT442" s="6"/>
      <c r="CU442" s="6"/>
      <c r="CV442" s="6"/>
      <c r="CW442" s="6"/>
      <c r="CX442" s="6"/>
      <c r="CY442" s="6"/>
      <c r="CZ442" s="6"/>
      <c r="DA442" s="6"/>
      <c r="DB442" s="6"/>
      <c r="DC442" s="6"/>
      <c r="DD442" s="6"/>
      <c r="DE442" s="6"/>
      <c r="DF442" s="6"/>
      <c r="DG442" s="6"/>
      <c r="DH442" s="6"/>
      <c r="DI442" s="6"/>
      <c r="DJ442" s="6"/>
      <c r="DK442" s="6"/>
      <c r="DL442" s="6"/>
      <c r="DM442" s="6"/>
      <c r="DN442" s="6"/>
      <c r="DO442" s="6"/>
      <c r="DP442" s="6"/>
      <c r="DQ442" s="6"/>
      <c r="DR442" s="6"/>
      <c r="DS442" s="5"/>
      <c r="DT442" s="5"/>
      <c r="DU442" s="5"/>
      <c r="DV442" s="5"/>
      <c r="DW442" s="6"/>
      <c r="DX442" s="5"/>
      <c r="DY442" s="5"/>
      <c r="DZ442" s="5"/>
      <c r="EA442" s="5"/>
      <c r="EB442" s="6"/>
      <c r="EC442" s="5"/>
      <c r="ED442" s="5"/>
      <c r="EE442" s="5"/>
      <c r="EF442" s="5"/>
      <c r="EG442" s="6"/>
      <c r="EH442" s="5"/>
      <c r="EI442" s="5"/>
      <c r="EJ442" s="5"/>
      <c r="EK442" s="5"/>
      <c r="EL442" s="6"/>
      <c r="EM442" s="6"/>
      <c r="EN442" s="6"/>
      <c r="EO442" s="6"/>
      <c r="EP442" s="6"/>
      <c r="EQ442" s="6"/>
      <c r="EX442" s="203">
        <f t="shared" si="48"/>
        <v>0</v>
      </c>
    </row>
    <row r="443" spans="1:154" ht="15" customHeight="1">
      <c r="A443" s="152" t="s">
        <v>356</v>
      </c>
      <c r="B443" s="137" t="s">
        <v>356</v>
      </c>
      <c r="C443" s="138" t="s">
        <v>0</v>
      </c>
      <c r="J443" s="138"/>
      <c r="K443" s="138"/>
      <c r="BU443" s="6"/>
      <c r="BV443" s="6"/>
      <c r="BW443" s="6"/>
      <c r="BX443" s="6"/>
      <c r="BY443" s="6"/>
      <c r="BZ443" s="6"/>
      <c r="CA443" s="6"/>
      <c r="CB443" s="6"/>
      <c r="CC443" s="6"/>
      <c r="CD443" s="6"/>
      <c r="CE443" s="6"/>
      <c r="CF443" s="6"/>
      <c r="CG443" s="6"/>
      <c r="CH443" s="6"/>
      <c r="CI443" s="6"/>
      <c r="CJ443" s="6"/>
      <c r="CK443" s="6"/>
      <c r="CL443" s="6"/>
      <c r="CM443" s="6"/>
      <c r="CN443" s="6"/>
      <c r="CO443" s="6"/>
      <c r="CP443" s="6"/>
      <c r="CQ443" s="6"/>
      <c r="CR443" s="6"/>
      <c r="CS443" s="6"/>
      <c r="CT443" s="6"/>
      <c r="CU443" s="6"/>
      <c r="CV443" s="6"/>
      <c r="CW443" s="6"/>
      <c r="CX443" s="6"/>
      <c r="CY443" s="6"/>
      <c r="CZ443" s="6"/>
      <c r="DA443" s="6"/>
      <c r="DB443" s="6"/>
      <c r="DC443" s="6"/>
      <c r="DD443" s="6"/>
      <c r="DE443" s="6"/>
      <c r="DF443" s="6"/>
      <c r="DG443" s="6"/>
      <c r="DH443" s="6"/>
      <c r="DI443" s="6"/>
      <c r="DJ443" s="6"/>
      <c r="DK443" s="6"/>
      <c r="DL443" s="6"/>
      <c r="DM443" s="6"/>
      <c r="DN443" s="6"/>
      <c r="DO443" s="6"/>
      <c r="DP443" s="6"/>
      <c r="DQ443" s="6"/>
      <c r="DR443" s="6"/>
      <c r="DS443" s="5"/>
      <c r="DT443" s="5"/>
      <c r="DU443" s="5"/>
      <c r="DV443" s="5"/>
      <c r="DW443" s="6"/>
      <c r="DX443" s="5"/>
      <c r="DY443" s="5"/>
      <c r="DZ443" s="5"/>
      <c r="EA443" s="5"/>
      <c r="EB443" s="6"/>
      <c r="EC443" s="5"/>
      <c r="ED443" s="5"/>
      <c r="EE443" s="5"/>
      <c r="EF443" s="5"/>
      <c r="EG443" s="6"/>
      <c r="EH443" s="5"/>
      <c r="EI443" s="5"/>
      <c r="EJ443" s="5"/>
      <c r="EK443" s="5"/>
      <c r="EL443" s="6"/>
      <c r="EM443" s="6"/>
      <c r="EN443" s="6"/>
      <c r="EO443" s="6"/>
      <c r="EP443" s="6"/>
      <c r="EQ443" s="6"/>
      <c r="EX443" s="203">
        <f t="shared" si="48"/>
        <v>0</v>
      </c>
    </row>
    <row r="444" spans="1:154" ht="15" customHeight="1">
      <c r="A444" s="152" t="s">
        <v>357</v>
      </c>
      <c r="B444" s="137" t="s">
        <v>357</v>
      </c>
      <c r="C444" s="138" t="s">
        <v>0</v>
      </c>
      <c r="J444" s="138"/>
      <c r="K444" s="138"/>
      <c r="BU444" s="6"/>
      <c r="BV444" s="6"/>
      <c r="BW444" s="6"/>
      <c r="BX444" s="6"/>
      <c r="BY444" s="6"/>
      <c r="BZ444" s="6"/>
      <c r="CA444" s="6"/>
      <c r="CB444" s="6"/>
      <c r="CC444" s="6"/>
      <c r="CD444" s="6"/>
      <c r="CE444" s="6"/>
      <c r="CF444" s="6"/>
      <c r="CG444" s="6"/>
      <c r="CH444" s="6"/>
      <c r="CI444" s="6"/>
      <c r="CJ444" s="6"/>
      <c r="CK444" s="6"/>
      <c r="CL444" s="6"/>
      <c r="CM444" s="6"/>
      <c r="CN444" s="6"/>
      <c r="CO444" s="6"/>
      <c r="CP444" s="6"/>
      <c r="CQ444" s="6"/>
      <c r="CR444" s="6"/>
      <c r="CS444" s="6"/>
      <c r="CT444" s="6"/>
      <c r="CU444" s="6"/>
      <c r="CV444" s="6"/>
      <c r="CW444" s="6"/>
      <c r="CX444" s="6"/>
      <c r="CY444" s="6"/>
      <c r="CZ444" s="6"/>
      <c r="DA444" s="6"/>
      <c r="DB444" s="6"/>
      <c r="DC444" s="6"/>
      <c r="DD444" s="6"/>
      <c r="DE444" s="6"/>
      <c r="DF444" s="6"/>
      <c r="DG444" s="6"/>
      <c r="DH444" s="6"/>
      <c r="DI444" s="6"/>
      <c r="DJ444" s="6"/>
      <c r="DK444" s="6"/>
      <c r="DL444" s="6"/>
      <c r="DM444" s="6"/>
      <c r="DN444" s="6"/>
      <c r="DO444" s="6"/>
      <c r="DP444" s="6"/>
      <c r="DQ444" s="6"/>
      <c r="DR444" s="6"/>
      <c r="DS444" s="5"/>
      <c r="DT444" s="5"/>
      <c r="DU444" s="5"/>
      <c r="DV444" s="5"/>
      <c r="DW444" s="6"/>
      <c r="DX444" s="5"/>
      <c r="DY444" s="5"/>
      <c r="DZ444" s="5"/>
      <c r="EA444" s="5"/>
      <c r="EB444" s="6"/>
      <c r="EC444" s="5"/>
      <c r="ED444" s="5"/>
      <c r="EE444" s="5"/>
      <c r="EF444" s="5"/>
      <c r="EG444" s="6"/>
      <c r="EH444" s="5"/>
      <c r="EI444" s="5"/>
      <c r="EJ444" s="5"/>
      <c r="EK444" s="5"/>
      <c r="EL444" s="6"/>
      <c r="EM444" s="6"/>
      <c r="EN444" s="6"/>
      <c r="EO444" s="6"/>
      <c r="EP444" s="6"/>
      <c r="EQ444" s="6"/>
      <c r="EX444" s="203">
        <f>IF(EY444=13,0,K444+N444+O444+P444+S444+T444+X444+EN444+AC444+AH444+AM444+AR444+AW444+BB444+BG444+ET444+BL444+BQ444+BV444+CA444+CF444+CK444+CP444+CU444+CZ444+DE444+DJ444+DO444+DT444+DY444+ED444+EI444+EU444+F444+EV444)</f>
        <v>0</v>
      </c>
    </row>
    <row r="445" spans="1:154" ht="15" customHeight="1">
      <c r="A445" s="157" t="s">
        <v>289</v>
      </c>
      <c r="B445" s="90"/>
      <c r="BU445" s="6"/>
      <c r="BV445" s="6"/>
      <c r="BW445" s="6"/>
      <c r="BX445" s="6"/>
      <c r="BY445" s="6"/>
      <c r="BZ445" s="6"/>
      <c r="CA445" s="6"/>
      <c r="CB445" s="6"/>
      <c r="CC445" s="6"/>
      <c r="CD445" s="6"/>
      <c r="CE445" s="6"/>
      <c r="CF445" s="6"/>
      <c r="CG445" s="6"/>
      <c r="CH445" s="6"/>
      <c r="CI445" s="6"/>
      <c r="CJ445" s="6"/>
      <c r="CK445" s="6"/>
      <c r="CL445" s="6"/>
      <c r="CM445" s="6"/>
      <c r="CN445" s="6"/>
      <c r="CO445" s="6"/>
      <c r="CP445" s="6"/>
      <c r="CQ445" s="6"/>
      <c r="CR445" s="6"/>
      <c r="CS445" s="6"/>
      <c r="CT445" s="6"/>
      <c r="CU445" s="6"/>
      <c r="CV445" s="6"/>
      <c r="CW445" s="6"/>
      <c r="CX445" s="6"/>
      <c r="CY445" s="6"/>
      <c r="CZ445" s="6"/>
      <c r="DA445" s="6"/>
      <c r="DB445" s="6"/>
      <c r="DC445" s="6"/>
      <c r="DD445" s="6"/>
      <c r="DE445" s="6"/>
      <c r="DF445" s="6"/>
      <c r="DG445" s="6"/>
      <c r="DH445" s="6"/>
      <c r="DI445" s="6"/>
      <c r="DJ445" s="6"/>
      <c r="DK445" s="6"/>
      <c r="DL445" s="6"/>
      <c r="DM445" s="6"/>
      <c r="DN445" s="6"/>
      <c r="DO445" s="6"/>
      <c r="DP445" s="6"/>
      <c r="DQ445" s="6"/>
      <c r="DR445" s="6"/>
      <c r="DS445" s="5"/>
      <c r="DT445" s="5"/>
      <c r="DU445" s="5"/>
      <c r="DV445" s="5"/>
      <c r="DW445" s="6"/>
      <c r="DX445" s="5"/>
      <c r="DY445" s="5"/>
      <c r="DZ445" s="5"/>
      <c r="EA445" s="5"/>
      <c r="EB445" s="6"/>
      <c r="EC445" s="5"/>
      <c r="ED445" s="5"/>
      <c r="EE445" s="5"/>
      <c r="EF445" s="5"/>
      <c r="EG445" s="6"/>
      <c r="EH445" s="5"/>
      <c r="EI445" s="5"/>
      <c r="EJ445" s="5"/>
      <c r="EK445" s="5"/>
      <c r="EL445" s="6"/>
      <c r="EM445" s="6"/>
      <c r="EN445" s="6"/>
      <c r="EO445" s="6"/>
      <c r="EP445" s="6"/>
      <c r="EQ445" s="6"/>
    </row>
    <row r="446" spans="1:154" ht="15" customHeight="1">
      <c r="A446" t="s">
        <v>286</v>
      </c>
      <c r="B446" s="90"/>
      <c r="BU446" s="6"/>
      <c r="BV446" s="6"/>
      <c r="BW446" s="6"/>
      <c r="BX446" s="6"/>
      <c r="BY446" s="6"/>
      <c r="BZ446" s="6"/>
      <c r="CA446" s="6"/>
      <c r="CB446" s="6"/>
      <c r="CC446" s="6"/>
      <c r="CD446" s="6"/>
      <c r="CE446" s="6"/>
      <c r="CF446" s="6"/>
      <c r="CG446" s="6"/>
      <c r="CH446" s="6"/>
      <c r="CI446" s="6"/>
      <c r="CJ446" s="6"/>
      <c r="CK446" s="6"/>
      <c r="CL446" s="6"/>
      <c r="CM446" s="6"/>
      <c r="CN446" s="6"/>
      <c r="CO446" s="6"/>
      <c r="CP446" s="6"/>
      <c r="CQ446" s="6"/>
      <c r="CR446" s="6"/>
      <c r="CS446" s="6"/>
      <c r="CT446" s="6"/>
      <c r="CU446" s="6"/>
      <c r="CV446" s="6"/>
      <c r="CW446" s="6"/>
      <c r="CX446" s="6"/>
      <c r="CY446" s="6"/>
      <c r="CZ446" s="6"/>
      <c r="DA446" s="6"/>
      <c r="DB446" s="6"/>
      <c r="DC446" s="6"/>
      <c r="DD446" s="6"/>
      <c r="DE446" s="6"/>
      <c r="DF446" s="6"/>
      <c r="DG446" s="6"/>
      <c r="DH446" s="6"/>
      <c r="DI446" s="6"/>
      <c r="DJ446" s="6"/>
      <c r="DK446" s="6"/>
      <c r="DL446" s="6"/>
      <c r="DM446" s="6"/>
      <c r="DN446" s="6"/>
      <c r="DO446" s="6"/>
      <c r="DP446" s="6"/>
      <c r="DQ446" s="6"/>
      <c r="DR446" s="6"/>
      <c r="DS446" s="5"/>
      <c r="DT446" s="5"/>
      <c r="DU446" s="5"/>
      <c r="DV446" s="5"/>
      <c r="DW446" s="6"/>
      <c r="DX446" s="5"/>
      <c r="DY446" s="5"/>
      <c r="DZ446" s="5"/>
      <c r="EA446" s="5"/>
      <c r="EB446" s="6"/>
      <c r="EC446" s="5"/>
      <c r="ED446" s="5"/>
      <c r="EE446" s="5"/>
      <c r="EF446" s="5"/>
      <c r="EG446" s="6"/>
      <c r="EH446" s="5"/>
      <c r="EI446" s="5"/>
      <c r="EJ446" s="5"/>
      <c r="EK446" s="5"/>
      <c r="EL446" s="6"/>
      <c r="EM446" s="6"/>
      <c r="EN446" s="6"/>
      <c r="EO446" s="6"/>
      <c r="EP446" s="6"/>
      <c r="EQ446" s="6"/>
    </row>
    <row r="447" spans="1:154" ht="15" customHeight="1">
      <c r="A447" t="s">
        <v>287</v>
      </c>
      <c r="B447" s="90"/>
      <c r="BU447" s="6"/>
      <c r="BV447" s="6"/>
      <c r="BW447" s="6"/>
      <c r="BX447" s="6"/>
      <c r="BY447" s="6"/>
      <c r="BZ447" s="6"/>
      <c r="CA447" s="6"/>
      <c r="CB447" s="6"/>
      <c r="CC447" s="6"/>
      <c r="CD447" s="6"/>
      <c r="CE447" s="6"/>
      <c r="CF447" s="6"/>
      <c r="CG447" s="6"/>
      <c r="CH447" s="6"/>
      <c r="CI447" s="6"/>
      <c r="CJ447" s="6"/>
      <c r="CK447" s="6"/>
      <c r="CL447" s="6"/>
      <c r="CM447" s="6"/>
      <c r="CN447" s="6"/>
      <c r="CO447" s="6"/>
      <c r="CP447" s="6"/>
      <c r="CQ447" s="6"/>
      <c r="CR447" s="6"/>
      <c r="CS447" s="6"/>
      <c r="CT447" s="6"/>
      <c r="CU447" s="6"/>
      <c r="CV447" s="6"/>
      <c r="CW447" s="6"/>
      <c r="CX447" s="6"/>
      <c r="CY447" s="6"/>
      <c r="CZ447" s="6"/>
      <c r="DA447" s="6"/>
      <c r="DB447" s="6"/>
      <c r="DC447" s="6"/>
      <c r="DD447" s="6"/>
      <c r="DE447" s="6"/>
      <c r="DF447" s="6"/>
      <c r="DG447" s="6"/>
      <c r="DH447" s="6"/>
      <c r="DI447" s="6"/>
      <c r="DJ447" s="6"/>
      <c r="DK447" s="6"/>
      <c r="DL447" s="6"/>
      <c r="DM447" s="6"/>
      <c r="DN447" s="6"/>
      <c r="DO447" s="6"/>
      <c r="DP447" s="6"/>
      <c r="DQ447" s="6"/>
      <c r="DR447" s="6"/>
      <c r="DS447" s="5"/>
      <c r="DT447" s="5"/>
      <c r="DU447" s="5"/>
      <c r="DV447" s="5"/>
      <c r="DW447" s="6"/>
      <c r="DX447" s="5"/>
      <c r="DY447" s="5"/>
      <c r="DZ447" s="5"/>
      <c r="EA447" s="5"/>
      <c r="EB447" s="6"/>
      <c r="EC447" s="5"/>
      <c r="ED447" s="5"/>
      <c r="EE447" s="5"/>
      <c r="EF447" s="5"/>
      <c r="EG447" s="6"/>
      <c r="EH447" s="5"/>
      <c r="EI447" s="5"/>
      <c r="EJ447" s="5"/>
      <c r="EK447" s="5"/>
      <c r="EL447" s="6"/>
      <c r="EM447" s="6"/>
      <c r="EN447" s="6"/>
      <c r="EO447" s="6"/>
      <c r="EP447" s="6"/>
      <c r="EQ447" s="6"/>
    </row>
    <row r="448" spans="1:154" ht="15" customHeight="1">
      <c r="A448" t="s">
        <v>288</v>
      </c>
      <c r="B448" s="90"/>
      <c r="BU448" s="6"/>
      <c r="BV448" s="6"/>
      <c r="BW448" s="6"/>
      <c r="BX448" s="6"/>
      <c r="BY448" s="6"/>
      <c r="BZ448" s="6"/>
      <c r="CA448" s="6"/>
      <c r="CB448" s="6"/>
      <c r="CC448" s="6"/>
      <c r="CD448" s="6"/>
      <c r="CE448" s="6"/>
      <c r="CF448" s="6"/>
      <c r="CG448" s="6"/>
      <c r="CH448" s="6"/>
      <c r="CI448" s="6"/>
      <c r="CJ448" s="6"/>
      <c r="CK448" s="6"/>
      <c r="CL448" s="6"/>
      <c r="CM448" s="6"/>
      <c r="CN448" s="6"/>
      <c r="CO448" s="6"/>
      <c r="CP448" s="6"/>
      <c r="CQ448" s="6"/>
      <c r="CR448" s="6"/>
      <c r="CS448" s="6"/>
      <c r="CT448" s="6"/>
      <c r="CU448" s="6"/>
      <c r="CV448" s="6"/>
      <c r="CW448" s="6"/>
      <c r="CX448" s="6"/>
      <c r="CY448" s="6"/>
      <c r="CZ448" s="6"/>
      <c r="DA448" s="6"/>
      <c r="DB448" s="6"/>
      <c r="DC448" s="6"/>
      <c r="DD448" s="6"/>
      <c r="DE448" s="6"/>
      <c r="DF448" s="6"/>
      <c r="DG448" s="6"/>
      <c r="DH448" s="6"/>
      <c r="DI448" s="6"/>
      <c r="DJ448" s="6"/>
      <c r="DK448" s="6"/>
      <c r="DL448" s="6"/>
      <c r="DM448" s="6"/>
      <c r="DN448" s="6"/>
      <c r="DO448" s="6"/>
      <c r="DP448" s="6"/>
      <c r="DQ448" s="6"/>
      <c r="DR448" s="6"/>
      <c r="DS448" s="5"/>
      <c r="DT448" s="5"/>
      <c r="DU448" s="5"/>
      <c r="DV448" s="5"/>
      <c r="DW448" s="6"/>
      <c r="DX448" s="5"/>
      <c r="DY448" s="5"/>
      <c r="DZ448" s="5"/>
      <c r="EA448" s="5"/>
      <c r="EB448" s="6"/>
      <c r="EC448" s="5"/>
      <c r="ED448" s="5"/>
      <c r="EE448" s="5"/>
      <c r="EF448" s="5"/>
      <c r="EG448" s="6"/>
      <c r="EH448" s="5"/>
      <c r="EI448" s="5"/>
      <c r="EJ448" s="5"/>
      <c r="EK448" s="5"/>
      <c r="EL448" s="6"/>
      <c r="EM448" s="6"/>
      <c r="EN448" s="6"/>
      <c r="EO448" s="6"/>
      <c r="EP448" s="6"/>
      <c r="EQ448" s="6"/>
    </row>
    <row r="449" spans="1:147" ht="15" customHeight="1">
      <c r="A449" t="s">
        <v>295</v>
      </c>
      <c r="B449" s="90"/>
      <c r="BU449" s="6"/>
      <c r="BV449" s="6"/>
      <c r="BW449" s="6"/>
      <c r="BX449" s="6"/>
      <c r="BY449" s="6"/>
      <c r="BZ449" s="6"/>
      <c r="CA449" s="6"/>
      <c r="CB449" s="6"/>
      <c r="CC449" s="6"/>
      <c r="CD449" s="6"/>
      <c r="CE449" s="6"/>
      <c r="CF449" s="6"/>
      <c r="CG449" s="6"/>
      <c r="CH449" s="6"/>
      <c r="CI449" s="6"/>
      <c r="CJ449" s="6"/>
      <c r="CK449" s="6"/>
      <c r="CL449" s="6"/>
      <c r="CM449" s="6"/>
      <c r="CN449" s="6"/>
      <c r="CO449" s="6"/>
      <c r="CP449" s="6"/>
      <c r="CQ449" s="6"/>
      <c r="CR449" s="6"/>
      <c r="CS449" s="6"/>
      <c r="CT449" s="6"/>
      <c r="CU449" s="6"/>
      <c r="CV449" s="6"/>
      <c r="CW449" s="6"/>
      <c r="CX449" s="6"/>
      <c r="CY449" s="6"/>
      <c r="CZ449" s="6"/>
      <c r="DA449" s="6"/>
      <c r="DB449" s="6"/>
      <c r="DC449" s="6"/>
      <c r="DD449" s="6"/>
      <c r="DE449" s="6"/>
      <c r="DF449" s="6"/>
      <c r="DG449" s="6"/>
      <c r="DH449" s="6"/>
      <c r="DI449" s="6"/>
      <c r="DJ449" s="6"/>
      <c r="DK449" s="6"/>
      <c r="DL449" s="6"/>
      <c r="DM449" s="6"/>
      <c r="DN449" s="6"/>
      <c r="DO449" s="6"/>
      <c r="DP449" s="6"/>
      <c r="DQ449" s="6"/>
      <c r="DR449" s="6"/>
      <c r="DS449" s="5"/>
      <c r="DT449" s="5"/>
      <c r="DU449" s="5"/>
      <c r="DV449" s="5"/>
      <c r="DW449" s="6"/>
      <c r="DX449" s="5"/>
      <c r="DY449" s="5"/>
      <c r="DZ449" s="5"/>
      <c r="EA449" s="5"/>
      <c r="EB449" s="6"/>
      <c r="EC449" s="5"/>
      <c r="ED449" s="5"/>
      <c r="EE449" s="5"/>
      <c r="EF449" s="5"/>
      <c r="EG449" s="6"/>
      <c r="EH449" s="5"/>
      <c r="EI449" s="5"/>
      <c r="EJ449" s="5"/>
      <c r="EK449" s="5"/>
      <c r="EL449" s="6"/>
      <c r="EM449" s="6"/>
      <c r="EN449" s="6"/>
      <c r="EO449" s="6"/>
      <c r="EP449" s="6"/>
      <c r="EQ449" s="6"/>
    </row>
    <row r="450" spans="1:147" ht="15" customHeight="1">
      <c r="A450" s="157" t="s">
        <v>290</v>
      </c>
      <c r="B450" s="90"/>
      <c r="BU450" s="6"/>
      <c r="BV450" s="6"/>
      <c r="BW450" s="6"/>
      <c r="BX450" s="6"/>
      <c r="BY450" s="6"/>
      <c r="BZ450" s="6"/>
      <c r="CA450" s="6"/>
      <c r="CB450" s="6"/>
      <c r="CC450" s="6"/>
      <c r="CD450" s="6"/>
      <c r="CE450" s="6"/>
      <c r="CF450" s="6"/>
      <c r="CG450" s="6"/>
      <c r="CH450" s="6"/>
      <c r="CI450" s="6"/>
      <c r="CJ450" s="6"/>
      <c r="CK450" s="6"/>
      <c r="CL450" s="6"/>
      <c r="CM450" s="6"/>
      <c r="CN450" s="6"/>
      <c r="CO450" s="6"/>
      <c r="CP450" s="6"/>
      <c r="CQ450" s="6"/>
      <c r="CR450" s="6"/>
      <c r="CS450" s="6"/>
      <c r="CT450" s="6"/>
      <c r="CU450" s="6"/>
      <c r="CV450" s="6"/>
      <c r="CW450" s="6"/>
      <c r="CX450" s="6"/>
      <c r="CY450" s="6"/>
      <c r="CZ450" s="6"/>
      <c r="DA450" s="6"/>
      <c r="DB450" s="6"/>
      <c r="DC450" s="6"/>
      <c r="DD450" s="6"/>
      <c r="DE450" s="6"/>
      <c r="DF450" s="6"/>
      <c r="DG450" s="6"/>
      <c r="DH450" s="6"/>
      <c r="DI450" s="6"/>
      <c r="DJ450" s="6"/>
      <c r="DK450" s="6"/>
      <c r="DL450" s="6"/>
      <c r="DM450" s="6"/>
      <c r="DN450" s="6"/>
      <c r="DO450" s="6"/>
      <c r="DP450" s="6"/>
      <c r="DQ450" s="6"/>
      <c r="DR450" s="6"/>
      <c r="DS450" s="6"/>
      <c r="DT450" s="6"/>
      <c r="DU450" s="6"/>
      <c r="DV450" s="6"/>
      <c r="DW450" s="6"/>
      <c r="DX450" s="6"/>
      <c r="DY450" s="6"/>
      <c r="DZ450" s="6"/>
      <c r="EA450" s="6"/>
      <c r="EB450" s="6"/>
      <c r="EC450" s="6"/>
      <c r="ED450" s="6"/>
      <c r="EE450" s="6"/>
      <c r="EF450" s="6"/>
      <c r="EG450" s="6"/>
      <c r="EH450" s="6"/>
      <c r="EI450" s="6"/>
      <c r="EJ450" s="6"/>
      <c r="EK450" s="6"/>
      <c r="EL450" s="6"/>
      <c r="EM450" s="6"/>
      <c r="EN450" s="6"/>
      <c r="EO450" s="6"/>
      <c r="EP450" s="6"/>
      <c r="EQ450" s="6"/>
    </row>
    <row r="451" spans="1:147" ht="15" customHeight="1">
      <c r="A451" t="s">
        <v>291</v>
      </c>
      <c r="B451" s="90"/>
      <c r="BU451" s="6"/>
      <c r="BV451" s="6"/>
      <c r="BW451" s="6"/>
      <c r="BX451" s="6"/>
      <c r="BY451" s="6"/>
      <c r="BZ451" s="6"/>
      <c r="CA451" s="6"/>
      <c r="CB451" s="6"/>
      <c r="CC451" s="6"/>
      <c r="CD451" s="6"/>
      <c r="CE451" s="6"/>
      <c r="CF451" s="6"/>
      <c r="CG451" s="6"/>
      <c r="CH451" s="6"/>
      <c r="CI451" s="6"/>
      <c r="CJ451" s="6"/>
      <c r="CK451" s="6"/>
      <c r="CL451" s="6"/>
      <c r="CM451" s="6"/>
      <c r="CN451" s="6"/>
      <c r="CO451" s="6"/>
      <c r="CP451" s="6"/>
      <c r="CQ451" s="6"/>
      <c r="CR451" s="6"/>
      <c r="CS451" s="6"/>
      <c r="CT451" s="6"/>
      <c r="CU451" s="6"/>
      <c r="CV451" s="6"/>
      <c r="CW451" s="6"/>
      <c r="CX451" s="6"/>
      <c r="CY451" s="6"/>
      <c r="CZ451" s="6"/>
      <c r="DA451" s="6"/>
      <c r="DB451" s="6"/>
      <c r="DC451" s="6"/>
      <c r="DD451" s="6"/>
      <c r="DE451" s="6"/>
      <c r="DF451" s="6"/>
      <c r="DG451" s="6"/>
      <c r="DH451" s="6"/>
      <c r="DI451" s="6"/>
      <c r="DJ451" s="6"/>
      <c r="DK451" s="6"/>
      <c r="DL451" s="6"/>
      <c r="DM451" s="6"/>
      <c r="DN451" s="6"/>
      <c r="DO451" s="6"/>
      <c r="DP451" s="6"/>
      <c r="DQ451" s="6"/>
      <c r="DR451" s="6"/>
      <c r="DS451" s="6"/>
      <c r="DT451" s="6"/>
      <c r="DU451" s="6"/>
      <c r="DV451" s="6"/>
      <c r="DW451" s="6"/>
      <c r="DX451" s="6"/>
      <c r="DY451" s="6"/>
      <c r="DZ451" s="6"/>
      <c r="EA451" s="6"/>
      <c r="EB451" s="6"/>
      <c r="EC451" s="6"/>
      <c r="ED451" s="6"/>
      <c r="EE451" s="6"/>
      <c r="EF451" s="6"/>
      <c r="EG451" s="6"/>
      <c r="EH451" s="6"/>
      <c r="EI451" s="6"/>
      <c r="EJ451" s="6"/>
      <c r="EK451" s="6"/>
      <c r="EL451" s="6"/>
      <c r="EM451" s="6"/>
      <c r="EN451" s="6"/>
      <c r="EO451" s="6"/>
      <c r="EP451" s="6"/>
      <c r="EQ451" s="6"/>
    </row>
    <row r="452" spans="1:147" ht="15" customHeight="1">
      <c r="A452" t="s">
        <v>292</v>
      </c>
      <c r="BU452" s="6"/>
      <c r="BV452" s="6"/>
      <c r="BW452" s="6"/>
      <c r="BX452" s="6"/>
      <c r="BY452" s="6"/>
      <c r="BZ452" s="6"/>
      <c r="CA452" s="6"/>
      <c r="CB452" s="6"/>
      <c r="CC452" s="6"/>
      <c r="CD452" s="6"/>
      <c r="CE452" s="6"/>
      <c r="CF452" s="6"/>
      <c r="CG452" s="6"/>
      <c r="CH452" s="6"/>
      <c r="CI452" s="6"/>
      <c r="CJ452" s="6"/>
      <c r="CK452" s="6"/>
      <c r="CL452" s="6"/>
      <c r="CM452" s="6"/>
      <c r="CN452" s="6"/>
      <c r="CO452" s="6"/>
      <c r="CP452" s="6"/>
      <c r="CQ452" s="6"/>
      <c r="CR452" s="6"/>
      <c r="CS452" s="6"/>
      <c r="CT452" s="6"/>
      <c r="CU452" s="6"/>
      <c r="CV452" s="6"/>
      <c r="CW452" s="6"/>
      <c r="CX452" s="6"/>
      <c r="CY452" s="6"/>
      <c r="CZ452" s="6"/>
      <c r="DA452" s="6"/>
      <c r="DB452" s="6"/>
      <c r="DC452" s="6"/>
      <c r="DD452" s="6"/>
      <c r="DE452" s="6"/>
      <c r="DF452" s="6"/>
      <c r="DG452" s="6"/>
      <c r="DH452" s="6"/>
      <c r="DI452" s="6"/>
      <c r="DJ452" s="6"/>
      <c r="DK452" s="6"/>
      <c r="DL452" s="6"/>
      <c r="DM452" s="6"/>
      <c r="DN452" s="6"/>
      <c r="DO452" s="6"/>
      <c r="DP452" s="6"/>
      <c r="DQ452" s="6"/>
      <c r="DR452" s="6"/>
      <c r="DS452" s="6"/>
      <c r="DT452" s="6"/>
      <c r="DU452" s="6"/>
      <c r="DV452" s="6"/>
      <c r="DW452" s="6"/>
      <c r="DX452" s="6"/>
      <c r="DY452" s="6"/>
      <c r="DZ452" s="6"/>
      <c r="EA452" s="6"/>
      <c r="EB452" s="6"/>
      <c r="EC452" s="6"/>
      <c r="ED452" s="6"/>
      <c r="EE452" s="6"/>
      <c r="EF452" s="6"/>
      <c r="EG452" s="6"/>
      <c r="EH452" s="6"/>
      <c r="EI452" s="6"/>
      <c r="EJ452" s="6"/>
      <c r="EK452" s="6"/>
      <c r="EL452" s="6"/>
      <c r="EM452" s="6"/>
      <c r="EN452" s="6"/>
      <c r="EO452" s="6"/>
      <c r="EP452" s="6"/>
      <c r="EQ452" s="6"/>
    </row>
    <row r="453" spans="1:147" ht="15" customHeight="1">
      <c r="A453" t="s">
        <v>293</v>
      </c>
      <c r="BU453" s="6"/>
      <c r="BV453" s="6"/>
      <c r="BW453" s="6"/>
      <c r="BX453" s="6"/>
      <c r="BY453" s="6"/>
      <c r="BZ453" s="6"/>
      <c r="CA453" s="6"/>
      <c r="CB453" s="6"/>
      <c r="CC453" s="6"/>
      <c r="CD453" s="6"/>
      <c r="CE453" s="6"/>
      <c r="CF453" s="6"/>
      <c r="CG453" s="6"/>
      <c r="CH453" s="6"/>
      <c r="CI453" s="6"/>
      <c r="CJ453" s="6"/>
      <c r="CK453" s="6"/>
      <c r="CL453" s="6"/>
      <c r="CM453" s="6"/>
      <c r="CN453" s="6"/>
      <c r="CO453" s="6"/>
      <c r="CP453" s="6"/>
      <c r="CQ453" s="6"/>
      <c r="CR453" s="6"/>
      <c r="CS453" s="6"/>
      <c r="CT453" s="6"/>
      <c r="CU453" s="6"/>
      <c r="CV453" s="6"/>
      <c r="CW453" s="6"/>
      <c r="CX453" s="6"/>
      <c r="CY453" s="6"/>
      <c r="CZ453" s="6"/>
      <c r="DA453" s="6"/>
      <c r="DB453" s="6"/>
      <c r="DC453" s="6"/>
      <c r="DD453" s="6"/>
      <c r="DE453" s="6"/>
      <c r="DF453" s="6"/>
      <c r="DG453" s="6"/>
      <c r="DH453" s="6"/>
      <c r="DI453" s="6"/>
      <c r="DJ453" s="6"/>
      <c r="DK453" s="6"/>
      <c r="DL453" s="6"/>
      <c r="DM453" s="6"/>
      <c r="DN453" s="6"/>
      <c r="DO453" s="6"/>
      <c r="DP453" s="6"/>
      <c r="DQ453" s="6"/>
      <c r="DR453" s="6"/>
      <c r="DS453" s="6"/>
      <c r="DT453" s="6"/>
      <c r="DU453" s="6"/>
      <c r="DV453" s="6"/>
      <c r="DW453" s="6"/>
      <c r="DX453" s="6"/>
      <c r="DY453" s="6"/>
      <c r="DZ453" s="6"/>
      <c r="EA453" s="6"/>
      <c r="EB453" s="6"/>
      <c r="EC453" s="6"/>
      <c r="ED453" s="6"/>
      <c r="EE453" s="6"/>
      <c r="EF453" s="6"/>
      <c r="EG453" s="6"/>
      <c r="EH453" s="6"/>
      <c r="EI453" s="6"/>
      <c r="EJ453" s="6"/>
      <c r="EK453" s="6"/>
      <c r="EL453" s="6"/>
      <c r="EM453" s="6"/>
      <c r="EN453" s="6"/>
      <c r="EO453" s="6"/>
      <c r="EP453" s="6"/>
      <c r="EQ453" s="6"/>
    </row>
    <row r="454" spans="1:147" ht="15" customHeight="1">
      <c r="A454" t="s">
        <v>295</v>
      </c>
      <c r="BU454" s="6"/>
      <c r="BV454" s="6"/>
      <c r="BW454" s="6"/>
      <c r="BX454" s="6"/>
      <c r="BY454" s="6"/>
      <c r="BZ454" s="6"/>
      <c r="CA454" s="6"/>
      <c r="CB454" s="6"/>
      <c r="CC454" s="6"/>
      <c r="CD454" s="6"/>
      <c r="CE454" s="6"/>
      <c r="CF454" s="6"/>
      <c r="CG454" s="6"/>
      <c r="CH454" s="6"/>
      <c r="CI454" s="6"/>
      <c r="CJ454" s="6"/>
      <c r="CK454" s="6"/>
      <c r="CL454" s="6"/>
      <c r="CM454" s="6"/>
      <c r="CN454" s="6"/>
      <c r="CO454" s="6"/>
      <c r="CP454" s="6"/>
      <c r="CQ454" s="6"/>
      <c r="CR454" s="6"/>
      <c r="CS454" s="6"/>
      <c r="CT454" s="6"/>
      <c r="CU454" s="6"/>
      <c r="CV454" s="6"/>
      <c r="CW454" s="6"/>
      <c r="CX454" s="6"/>
      <c r="CY454" s="6"/>
      <c r="CZ454" s="6"/>
      <c r="DA454" s="6"/>
      <c r="DB454" s="6"/>
      <c r="DC454" s="6"/>
      <c r="DD454" s="6"/>
      <c r="DE454" s="6"/>
      <c r="DF454" s="6"/>
      <c r="DG454" s="6"/>
      <c r="DH454" s="6"/>
      <c r="DI454" s="6"/>
      <c r="DJ454" s="6"/>
      <c r="DK454" s="6"/>
      <c r="DL454" s="6"/>
      <c r="DM454" s="6"/>
      <c r="DN454" s="6"/>
      <c r="DO454" s="6"/>
      <c r="DP454" s="6"/>
      <c r="DQ454" s="6"/>
      <c r="DR454" s="6"/>
      <c r="DS454" s="6"/>
      <c r="DT454" s="6"/>
      <c r="DU454" s="6"/>
      <c r="DV454" s="6"/>
      <c r="DW454" s="6"/>
      <c r="DX454" s="6"/>
      <c r="DY454" s="6"/>
      <c r="DZ454" s="6"/>
      <c r="EA454" s="6"/>
      <c r="EB454" s="6"/>
      <c r="EC454" s="6"/>
      <c r="ED454" s="6"/>
      <c r="EE454" s="6"/>
      <c r="EF454" s="6"/>
      <c r="EG454" s="6"/>
      <c r="EH454" s="6"/>
      <c r="EI454" s="6"/>
      <c r="EJ454" s="6"/>
      <c r="EK454" s="6"/>
      <c r="EL454" s="6"/>
      <c r="EM454" s="6"/>
      <c r="EN454" s="6"/>
      <c r="EO454" s="6"/>
      <c r="EP454" s="6"/>
      <c r="EQ454" s="6"/>
    </row>
    <row r="455" spans="1:147" ht="15" customHeight="1">
      <c r="A455" s="157" t="s">
        <v>294</v>
      </c>
      <c r="BU455" s="6"/>
      <c r="BV455" s="6"/>
      <c r="BW455" s="6"/>
      <c r="BX455" s="6"/>
      <c r="BY455" s="6"/>
      <c r="BZ455" s="6"/>
      <c r="CA455" s="6"/>
      <c r="CB455" s="6"/>
      <c r="CC455" s="6"/>
      <c r="CD455" s="6"/>
      <c r="CE455" s="6"/>
      <c r="CF455" s="6"/>
      <c r="CG455" s="6"/>
      <c r="CH455" s="6"/>
      <c r="CI455" s="6"/>
      <c r="CJ455" s="6"/>
      <c r="CK455" s="6"/>
      <c r="CL455" s="6"/>
      <c r="CM455" s="6"/>
      <c r="CN455" s="6"/>
      <c r="CO455" s="6"/>
      <c r="CP455" s="6"/>
      <c r="CQ455" s="6"/>
      <c r="CR455" s="6"/>
      <c r="CS455" s="6"/>
      <c r="CT455" s="6"/>
      <c r="CU455" s="6"/>
      <c r="CV455" s="6"/>
      <c r="CW455" s="6"/>
      <c r="CX455" s="6"/>
      <c r="CY455" s="6"/>
      <c r="CZ455" s="6"/>
      <c r="DA455" s="6"/>
      <c r="DB455" s="6"/>
      <c r="DC455" s="6"/>
      <c r="DD455" s="6"/>
      <c r="DE455" s="6"/>
      <c r="DF455" s="6"/>
      <c r="DG455" s="6"/>
      <c r="DH455" s="6"/>
      <c r="DI455" s="6"/>
      <c r="DJ455" s="6"/>
      <c r="DK455" s="6"/>
      <c r="DL455" s="6"/>
      <c r="DM455" s="6"/>
      <c r="DN455" s="6"/>
      <c r="DO455" s="6"/>
      <c r="DP455" s="6"/>
      <c r="DQ455" s="6"/>
      <c r="DR455" s="6"/>
      <c r="DS455" s="6"/>
      <c r="DT455" s="6"/>
      <c r="DU455" s="6"/>
      <c r="DV455" s="6"/>
      <c r="DW455" s="6"/>
      <c r="DX455" s="6"/>
      <c r="DY455" s="6"/>
      <c r="DZ455" s="6"/>
      <c r="EA455" s="6"/>
      <c r="EB455" s="6"/>
      <c r="EC455" s="6"/>
      <c r="ED455" s="6"/>
      <c r="EE455" s="6"/>
      <c r="EF455" s="6"/>
      <c r="EG455" s="6"/>
      <c r="EH455" s="6"/>
      <c r="EI455" s="6"/>
      <c r="EJ455" s="6"/>
      <c r="EK455" s="6"/>
      <c r="EL455" s="6"/>
      <c r="EM455" s="6"/>
      <c r="EN455" s="6"/>
      <c r="EO455" s="6"/>
      <c r="EP455" s="6"/>
      <c r="EQ455" s="6"/>
    </row>
    <row r="456" spans="1:147" ht="15" customHeight="1">
      <c r="A456" t="s">
        <v>286</v>
      </c>
      <c r="BU456" s="6"/>
      <c r="BV456" s="6"/>
      <c r="BW456" s="6"/>
      <c r="BX456" s="6"/>
      <c r="BY456" s="6"/>
      <c r="BZ456" s="6"/>
      <c r="CA456" s="6"/>
      <c r="CB456" s="6"/>
      <c r="CC456" s="6"/>
      <c r="CD456" s="6"/>
      <c r="CE456" s="6"/>
      <c r="CF456" s="6"/>
      <c r="CG456" s="6"/>
      <c r="CH456" s="6"/>
      <c r="CI456" s="6"/>
      <c r="CJ456" s="6"/>
      <c r="CK456" s="6"/>
      <c r="CL456" s="6"/>
      <c r="CM456" s="6"/>
      <c r="CN456" s="6"/>
      <c r="CO456" s="6"/>
      <c r="CP456" s="6"/>
      <c r="CQ456" s="6"/>
      <c r="CR456" s="6"/>
      <c r="CS456" s="6"/>
      <c r="CT456" s="6"/>
      <c r="CU456" s="6"/>
      <c r="CV456" s="6"/>
      <c r="CW456" s="6"/>
      <c r="CX456" s="6"/>
      <c r="CY456" s="6"/>
      <c r="CZ456" s="6"/>
      <c r="DA456" s="6"/>
      <c r="DB456" s="6"/>
      <c r="DC456" s="6"/>
      <c r="DD456" s="6"/>
      <c r="DE456" s="6"/>
      <c r="DF456" s="6"/>
      <c r="DG456" s="6"/>
      <c r="DH456" s="6"/>
      <c r="DI456" s="6"/>
      <c r="DJ456" s="6"/>
      <c r="DK456" s="6"/>
      <c r="DL456" s="6"/>
      <c r="DM456" s="6"/>
      <c r="DN456" s="6"/>
      <c r="DO456" s="6"/>
      <c r="DP456" s="6"/>
      <c r="DQ456" s="6"/>
      <c r="DR456" s="6"/>
      <c r="DS456" s="6"/>
      <c r="DT456" s="6"/>
      <c r="DU456" s="6"/>
      <c r="DV456" s="6"/>
      <c r="DW456" s="6"/>
      <c r="DX456" s="6"/>
      <c r="DY456" s="6"/>
      <c r="DZ456" s="6"/>
      <c r="EA456" s="6"/>
      <c r="EB456" s="6"/>
      <c r="EC456" s="6"/>
      <c r="ED456" s="6"/>
      <c r="EE456" s="6"/>
      <c r="EF456" s="6"/>
      <c r="EG456" s="6"/>
      <c r="EH456" s="6"/>
      <c r="EI456" s="6"/>
      <c r="EJ456" s="6"/>
      <c r="EK456" s="6"/>
      <c r="EL456" s="6"/>
      <c r="EM456" s="6"/>
      <c r="EN456" s="6"/>
      <c r="EO456" s="6"/>
      <c r="EP456" s="6"/>
      <c r="EQ456" s="6"/>
    </row>
    <row r="457" spans="1:147" ht="15" customHeight="1">
      <c r="A457" t="s">
        <v>287</v>
      </c>
      <c r="BU457" s="6"/>
      <c r="BV457" s="6"/>
      <c r="BW457" s="6"/>
      <c r="BX457" s="6"/>
      <c r="BY457" s="6"/>
      <c r="BZ457" s="6"/>
      <c r="CA457" s="6"/>
      <c r="CB457" s="6"/>
      <c r="CC457" s="6"/>
      <c r="CD457" s="6"/>
      <c r="CE457" s="6"/>
      <c r="CF457" s="6"/>
      <c r="CG457" s="6"/>
      <c r="CH457" s="6"/>
      <c r="CI457" s="6"/>
      <c r="CJ457" s="6"/>
      <c r="CK457" s="6"/>
      <c r="CL457" s="6"/>
      <c r="CM457" s="6"/>
      <c r="CN457" s="6"/>
      <c r="CO457" s="6"/>
      <c r="CP457" s="6"/>
      <c r="CQ457" s="6"/>
      <c r="CR457" s="6"/>
      <c r="CS457" s="6"/>
      <c r="CT457" s="6"/>
      <c r="CU457" s="6"/>
      <c r="CV457" s="6"/>
      <c r="CW457" s="6"/>
      <c r="CX457" s="6"/>
      <c r="CY457" s="6"/>
      <c r="CZ457" s="6"/>
      <c r="DA457" s="6"/>
      <c r="DB457" s="6"/>
      <c r="DC457" s="6"/>
      <c r="DD457" s="6"/>
      <c r="DE457" s="6"/>
      <c r="DF457" s="6"/>
      <c r="DG457" s="6"/>
      <c r="DH457" s="6"/>
      <c r="DI457" s="6"/>
      <c r="DJ457" s="6"/>
      <c r="DK457" s="6"/>
      <c r="DL457" s="6"/>
      <c r="DM457" s="6"/>
      <c r="DN457" s="6"/>
      <c r="DO457" s="6"/>
      <c r="DP457" s="6"/>
      <c r="DQ457" s="6"/>
      <c r="DR457" s="6"/>
      <c r="DS457" s="6"/>
      <c r="DT457" s="6"/>
      <c r="DU457" s="6"/>
      <c r="DV457" s="6"/>
      <c r="DW457" s="6"/>
      <c r="DX457" s="6"/>
      <c r="DY457" s="6"/>
      <c r="DZ457" s="6"/>
      <c r="EA457" s="6"/>
      <c r="EB457" s="6"/>
      <c r="EC457" s="6"/>
      <c r="ED457" s="6"/>
      <c r="EE457" s="6"/>
      <c r="EF457" s="6"/>
      <c r="EG457" s="6"/>
      <c r="EH457" s="6"/>
      <c r="EI457" s="6"/>
      <c r="EJ457" s="6"/>
      <c r="EK457" s="6"/>
      <c r="EL457" s="6"/>
      <c r="EM457" s="6"/>
      <c r="EN457" s="6"/>
      <c r="EO457" s="6"/>
      <c r="EP457" s="6"/>
      <c r="EQ457" s="6"/>
    </row>
    <row r="458" spans="1:147" ht="15" customHeight="1">
      <c r="A458" t="s">
        <v>288</v>
      </c>
      <c r="BU458" s="6"/>
      <c r="BV458" s="6"/>
      <c r="BW458" s="6"/>
      <c r="BX458" s="6"/>
      <c r="BY458" s="6"/>
      <c r="BZ458" s="6"/>
      <c r="CA458" s="6"/>
      <c r="CB458" s="6"/>
      <c r="CC458" s="6"/>
      <c r="CD458" s="6"/>
      <c r="CE458" s="6"/>
      <c r="CF458" s="6"/>
      <c r="CG458" s="6"/>
      <c r="CH458" s="6"/>
      <c r="CI458" s="6"/>
      <c r="CJ458" s="6"/>
      <c r="CK458" s="6"/>
      <c r="CL458" s="6"/>
      <c r="CM458" s="6"/>
      <c r="CN458" s="6"/>
      <c r="CO458" s="6"/>
      <c r="CP458" s="6"/>
      <c r="CQ458" s="6"/>
      <c r="CR458" s="6"/>
      <c r="CS458" s="6"/>
      <c r="CT458" s="6"/>
      <c r="CU458" s="6"/>
      <c r="CV458" s="6"/>
      <c r="CW458" s="6"/>
      <c r="CX458" s="6"/>
      <c r="CY458" s="6"/>
      <c r="CZ458" s="6"/>
      <c r="DA458" s="6"/>
      <c r="DB458" s="6"/>
      <c r="DC458" s="6"/>
      <c r="DD458" s="6"/>
      <c r="DE458" s="6"/>
      <c r="DF458" s="6"/>
      <c r="DG458" s="6"/>
      <c r="DH458" s="6"/>
      <c r="DI458" s="6"/>
      <c r="DJ458" s="6"/>
      <c r="DK458" s="6"/>
      <c r="DL458" s="6"/>
      <c r="DM458" s="6"/>
      <c r="DN458" s="6"/>
      <c r="DO458" s="6"/>
      <c r="DP458" s="6"/>
      <c r="DQ458" s="6"/>
      <c r="DR458" s="6"/>
      <c r="DS458" s="6"/>
      <c r="DT458" s="6"/>
      <c r="DU458" s="6"/>
      <c r="DV458" s="6"/>
      <c r="DW458" s="6"/>
      <c r="DX458" s="6"/>
      <c r="DY458" s="6"/>
      <c r="DZ458" s="6"/>
      <c r="EA458" s="6"/>
      <c r="EB458" s="6"/>
      <c r="EC458" s="6"/>
      <c r="ED458" s="6"/>
      <c r="EE458" s="6"/>
      <c r="EF458" s="6"/>
      <c r="EG458" s="6"/>
      <c r="EH458" s="6"/>
      <c r="EI458" s="6"/>
      <c r="EJ458" s="6"/>
      <c r="EK458" s="6"/>
      <c r="EL458" s="6"/>
      <c r="EM458" s="6"/>
      <c r="EN458" s="6"/>
      <c r="EO458" s="6"/>
      <c r="EP458" s="6"/>
      <c r="EQ458" s="6"/>
    </row>
    <row r="459" spans="1:147" ht="15" customHeight="1">
      <c r="A459" t="s">
        <v>296</v>
      </c>
      <c r="BU459" s="6"/>
      <c r="BV459" s="6"/>
      <c r="BW459" s="6"/>
      <c r="BX459" s="6"/>
      <c r="BY459" s="6"/>
      <c r="BZ459" s="6"/>
      <c r="CA459" s="6"/>
      <c r="CB459" s="6"/>
      <c r="CC459" s="6"/>
      <c r="CD459" s="6"/>
      <c r="CE459" s="6"/>
      <c r="CF459" s="6"/>
      <c r="CG459" s="6"/>
      <c r="CH459" s="6"/>
      <c r="CI459" s="6"/>
      <c r="CJ459" s="6"/>
      <c r="CK459" s="6"/>
      <c r="CL459" s="6"/>
      <c r="CM459" s="6"/>
      <c r="CN459" s="6"/>
      <c r="CO459" s="6"/>
      <c r="CP459" s="6"/>
      <c r="CQ459" s="6"/>
      <c r="CR459" s="6"/>
      <c r="CS459" s="6"/>
      <c r="CT459" s="6"/>
      <c r="CU459" s="6"/>
      <c r="CV459" s="6"/>
      <c r="CW459" s="6"/>
      <c r="CX459" s="6"/>
      <c r="CY459" s="6"/>
      <c r="CZ459" s="6"/>
      <c r="DA459" s="6"/>
      <c r="DB459" s="6"/>
      <c r="DC459" s="6"/>
      <c r="DD459" s="6"/>
      <c r="DE459" s="6"/>
      <c r="DF459" s="6"/>
      <c r="DG459" s="6"/>
      <c r="DH459" s="6"/>
      <c r="DI459" s="6"/>
      <c r="DJ459" s="6"/>
      <c r="DK459" s="6"/>
      <c r="DL459" s="6"/>
      <c r="DM459" s="6"/>
      <c r="DN459" s="6"/>
      <c r="DO459" s="6"/>
      <c r="DP459" s="6"/>
      <c r="DQ459" s="6"/>
      <c r="DR459" s="6"/>
      <c r="DS459" s="6"/>
      <c r="DT459" s="6"/>
      <c r="DU459" s="6"/>
      <c r="DV459" s="6"/>
      <c r="DW459" s="6"/>
      <c r="DX459" s="6"/>
      <c r="DY459" s="6"/>
      <c r="DZ459" s="6"/>
      <c r="EA459" s="6"/>
      <c r="EB459" s="6"/>
      <c r="EC459" s="6"/>
      <c r="ED459" s="6"/>
      <c r="EE459" s="6"/>
      <c r="EF459" s="6"/>
      <c r="EG459" s="6"/>
      <c r="EH459" s="6"/>
      <c r="EI459" s="6"/>
      <c r="EJ459" s="6"/>
      <c r="EK459" s="6"/>
      <c r="EL459" s="6"/>
      <c r="EM459" s="6"/>
      <c r="EN459" s="6"/>
      <c r="EO459" s="6"/>
      <c r="EP459" s="6"/>
      <c r="EQ459" s="6"/>
    </row>
    <row r="460" spans="1:147" ht="15" customHeight="1">
      <c r="BU460" s="6"/>
      <c r="BV460" s="6"/>
      <c r="BW460" s="6"/>
      <c r="BX460" s="6"/>
      <c r="BY460" s="6"/>
      <c r="BZ460" s="6"/>
      <c r="CA460" s="6"/>
      <c r="CB460" s="6"/>
      <c r="CC460" s="6"/>
      <c r="CD460" s="6"/>
      <c r="CE460" s="6"/>
      <c r="CF460" s="6"/>
      <c r="CG460" s="6"/>
      <c r="CH460" s="6"/>
      <c r="CI460" s="6"/>
      <c r="CJ460" s="6"/>
      <c r="CK460" s="6"/>
      <c r="CL460" s="6"/>
      <c r="CM460" s="6"/>
      <c r="CN460" s="6"/>
      <c r="CO460" s="6"/>
      <c r="CP460" s="6"/>
      <c r="CQ460" s="6"/>
      <c r="CR460" s="6"/>
      <c r="CS460" s="6"/>
      <c r="CT460" s="6"/>
      <c r="CU460" s="6"/>
      <c r="CV460" s="6"/>
      <c r="CW460" s="6"/>
      <c r="CX460" s="6"/>
      <c r="CY460" s="6"/>
      <c r="CZ460" s="6"/>
      <c r="DA460" s="6"/>
      <c r="DB460" s="6"/>
      <c r="DC460" s="6"/>
      <c r="DD460" s="6"/>
      <c r="DE460" s="6"/>
      <c r="DF460" s="6"/>
      <c r="DG460" s="6"/>
      <c r="DH460" s="6"/>
      <c r="DI460" s="6"/>
      <c r="DJ460" s="6"/>
      <c r="DK460" s="6"/>
      <c r="DL460" s="6"/>
      <c r="DM460" s="6"/>
      <c r="DN460" s="6"/>
      <c r="DO460" s="6"/>
      <c r="DP460" s="6"/>
      <c r="DQ460" s="6"/>
      <c r="DR460" s="6"/>
      <c r="DS460" s="6"/>
      <c r="DT460" s="6"/>
      <c r="DU460" s="6"/>
      <c r="DV460" s="6"/>
      <c r="DW460" s="6"/>
      <c r="DX460" s="6"/>
      <c r="DY460" s="6"/>
      <c r="DZ460" s="6"/>
      <c r="EA460" s="6"/>
      <c r="EB460" s="6"/>
      <c r="EC460" s="6"/>
      <c r="ED460" s="6"/>
      <c r="EE460" s="6"/>
      <c r="EF460" s="6"/>
      <c r="EG460" s="6"/>
      <c r="EH460" s="6"/>
      <c r="EI460" s="6"/>
      <c r="EJ460" s="6"/>
      <c r="EK460" s="6"/>
      <c r="EL460" s="6"/>
      <c r="EM460" s="6"/>
      <c r="EN460" s="6"/>
      <c r="EO460" s="6"/>
      <c r="EP460" s="6"/>
      <c r="EQ460" s="6"/>
    </row>
    <row r="461" spans="1:147" ht="15" customHeight="1">
      <c r="BU461" s="6"/>
      <c r="BV461" s="6"/>
      <c r="BW461" s="6"/>
      <c r="BX461" s="6"/>
      <c r="BY461" s="6"/>
      <c r="BZ461" s="6"/>
      <c r="CA461" s="6"/>
      <c r="CB461" s="6"/>
      <c r="CC461" s="6"/>
      <c r="CD461" s="6"/>
      <c r="CE461" s="6"/>
      <c r="CF461" s="6"/>
      <c r="CG461" s="6"/>
      <c r="CH461" s="6"/>
      <c r="CI461" s="6"/>
      <c r="CJ461" s="6"/>
      <c r="CK461" s="6"/>
      <c r="CL461" s="6"/>
      <c r="CM461" s="6"/>
      <c r="CN461" s="6"/>
      <c r="CO461" s="6"/>
      <c r="CP461" s="6"/>
      <c r="CQ461" s="6"/>
      <c r="CR461" s="6"/>
      <c r="CS461" s="6"/>
      <c r="CT461" s="6"/>
      <c r="CU461" s="6"/>
      <c r="CV461" s="6"/>
      <c r="CW461" s="6"/>
      <c r="CX461" s="6"/>
      <c r="CY461" s="6"/>
      <c r="CZ461" s="6"/>
      <c r="DA461" s="6"/>
      <c r="DB461" s="6"/>
      <c r="DC461" s="6"/>
      <c r="DD461" s="6"/>
      <c r="DE461" s="6"/>
      <c r="DF461" s="6"/>
      <c r="DG461" s="6"/>
      <c r="DH461" s="6"/>
      <c r="DI461" s="6"/>
      <c r="DJ461" s="6"/>
      <c r="DK461" s="6"/>
      <c r="DL461" s="6"/>
      <c r="DM461" s="6"/>
      <c r="DN461" s="6"/>
      <c r="DO461" s="6"/>
      <c r="DP461" s="6"/>
      <c r="DQ461" s="6"/>
      <c r="DR461" s="6"/>
      <c r="DS461" s="6"/>
      <c r="DT461" s="6"/>
      <c r="DU461" s="6"/>
      <c r="DV461" s="6"/>
      <c r="DW461" s="6"/>
      <c r="DX461" s="6"/>
      <c r="DY461" s="6"/>
      <c r="DZ461" s="6"/>
      <c r="EA461" s="6"/>
      <c r="EB461" s="6"/>
      <c r="EC461" s="6"/>
      <c r="ED461" s="6"/>
      <c r="EE461" s="6"/>
      <c r="EF461" s="6"/>
      <c r="EG461" s="6"/>
      <c r="EH461" s="6"/>
      <c r="EI461" s="6"/>
      <c r="EJ461" s="6"/>
      <c r="EK461" s="6"/>
      <c r="EL461" s="6"/>
      <c r="EM461" s="6"/>
      <c r="EN461" s="6"/>
      <c r="EO461" s="6"/>
      <c r="EP461" s="6"/>
      <c r="EQ461" s="6"/>
    </row>
    <row r="462" spans="1:147">
      <c r="BU462" s="6"/>
      <c r="BV462" s="6"/>
      <c r="BW462" s="6"/>
      <c r="BX462" s="6"/>
      <c r="BY462" s="6"/>
      <c r="BZ462" s="6"/>
      <c r="CA462" s="6"/>
      <c r="CB462" s="6"/>
      <c r="CC462" s="6"/>
      <c r="CD462" s="6"/>
      <c r="CE462" s="6"/>
      <c r="CF462" s="6"/>
      <c r="CG462" s="6"/>
      <c r="CH462" s="6"/>
      <c r="CI462" s="6"/>
      <c r="CJ462" s="6"/>
      <c r="CK462" s="6"/>
      <c r="CL462" s="6"/>
      <c r="CM462" s="6"/>
      <c r="CN462" s="6"/>
      <c r="CO462" s="6"/>
      <c r="CP462" s="6"/>
      <c r="CQ462" s="6"/>
      <c r="CR462" s="6"/>
      <c r="CS462" s="6"/>
      <c r="CT462" s="6"/>
      <c r="CU462" s="6"/>
      <c r="CV462" s="6"/>
      <c r="CW462" s="6"/>
      <c r="CX462" s="6"/>
      <c r="CY462" s="6"/>
      <c r="CZ462" s="6"/>
      <c r="DA462" s="6"/>
      <c r="DB462" s="6"/>
      <c r="DC462" s="6"/>
      <c r="DD462" s="6"/>
      <c r="DE462" s="6"/>
      <c r="DF462" s="6"/>
      <c r="DG462" s="6"/>
      <c r="DH462" s="6"/>
      <c r="DI462" s="6"/>
      <c r="DJ462" s="6"/>
      <c r="DK462" s="6"/>
      <c r="DL462" s="6"/>
      <c r="DM462" s="6"/>
      <c r="DN462" s="6"/>
      <c r="DO462" s="6"/>
      <c r="DP462" s="6"/>
      <c r="DQ462" s="6"/>
      <c r="DR462" s="6"/>
      <c r="DS462" s="6"/>
      <c r="DT462" s="6"/>
      <c r="DU462" s="6"/>
      <c r="DV462" s="6"/>
      <c r="DW462" s="6"/>
      <c r="DX462" s="6"/>
      <c r="DY462" s="6"/>
      <c r="DZ462" s="6"/>
      <c r="EA462" s="6"/>
      <c r="EB462" s="6"/>
      <c r="EC462" s="6"/>
      <c r="ED462" s="6"/>
      <c r="EE462" s="6"/>
      <c r="EF462" s="6"/>
      <c r="EG462" s="6"/>
      <c r="EH462" s="6"/>
      <c r="EI462" s="6"/>
      <c r="EJ462" s="6"/>
      <c r="EK462" s="6"/>
      <c r="EL462" s="6"/>
      <c r="EM462" s="6"/>
      <c r="EN462" s="6"/>
      <c r="EO462" s="6"/>
      <c r="EP462" s="6"/>
      <c r="EQ462" s="6"/>
    </row>
    <row r="463" spans="1:147">
      <c r="BU463" s="6"/>
      <c r="BV463" s="6"/>
      <c r="BW463" s="6"/>
      <c r="BX463" s="6"/>
      <c r="BY463" s="6"/>
      <c r="BZ463" s="6"/>
      <c r="CA463" s="6"/>
      <c r="CB463" s="6"/>
      <c r="CC463" s="6"/>
      <c r="CD463" s="6"/>
      <c r="CE463" s="6"/>
      <c r="CF463" s="6"/>
      <c r="CG463" s="6"/>
      <c r="CH463" s="6"/>
      <c r="CI463" s="6"/>
      <c r="CJ463" s="6"/>
      <c r="CK463" s="6"/>
      <c r="CL463" s="6"/>
      <c r="CM463" s="6"/>
      <c r="CN463" s="6"/>
      <c r="CO463" s="6"/>
      <c r="CP463" s="6"/>
      <c r="CQ463" s="6"/>
      <c r="CR463" s="6"/>
      <c r="CS463" s="6"/>
      <c r="CT463" s="6"/>
      <c r="CU463" s="6"/>
      <c r="CV463" s="6"/>
      <c r="CW463" s="6"/>
      <c r="CX463" s="6"/>
      <c r="CY463" s="6"/>
      <c r="CZ463" s="6"/>
      <c r="DA463" s="6"/>
      <c r="DB463" s="6"/>
      <c r="DC463" s="6"/>
      <c r="DD463" s="6"/>
      <c r="DE463" s="6"/>
      <c r="DF463" s="6"/>
      <c r="DG463" s="6"/>
      <c r="DH463" s="6"/>
      <c r="DI463" s="6"/>
      <c r="DJ463" s="6"/>
      <c r="DK463" s="6"/>
      <c r="DL463" s="6"/>
      <c r="DM463" s="6"/>
      <c r="DN463" s="6"/>
      <c r="DO463" s="6"/>
      <c r="DP463" s="6"/>
      <c r="DQ463" s="6"/>
      <c r="DR463" s="6"/>
      <c r="DS463" s="6"/>
      <c r="DT463" s="6"/>
      <c r="DU463" s="6"/>
      <c r="DV463" s="6"/>
      <c r="DW463" s="6"/>
      <c r="DX463" s="6"/>
      <c r="DY463" s="6"/>
      <c r="DZ463" s="6"/>
      <c r="EA463" s="6"/>
      <c r="EB463" s="6"/>
      <c r="EC463" s="6"/>
      <c r="ED463" s="6"/>
      <c r="EE463" s="6"/>
      <c r="EF463" s="6"/>
      <c r="EG463" s="6"/>
      <c r="EH463" s="6"/>
      <c r="EI463" s="6"/>
      <c r="EJ463" s="6"/>
      <c r="EK463" s="6"/>
      <c r="EL463" s="6"/>
      <c r="EM463" s="6"/>
      <c r="EN463" s="6"/>
      <c r="EO463" s="6"/>
      <c r="EP463" s="6"/>
      <c r="EQ463" s="6"/>
    </row>
    <row r="464" spans="1:147">
      <c r="BU464" s="6"/>
      <c r="BV464" s="6"/>
      <c r="BW464" s="6"/>
      <c r="BX464" s="6"/>
      <c r="BY464" s="6"/>
      <c r="BZ464" s="6"/>
      <c r="CA464" s="6"/>
      <c r="CB464" s="6"/>
      <c r="CC464" s="6"/>
      <c r="CD464" s="6"/>
      <c r="CE464" s="6"/>
      <c r="CF464" s="6"/>
      <c r="CG464" s="6"/>
      <c r="CH464" s="6"/>
      <c r="CI464" s="6"/>
      <c r="CO464" s="6"/>
      <c r="CP464" s="6"/>
      <c r="CQ464" s="6"/>
      <c r="CR464" s="6"/>
      <c r="CS464" s="6"/>
      <c r="CT464" s="6"/>
      <c r="CU464" s="6"/>
      <c r="CV464" s="6"/>
      <c r="CW464" s="6"/>
      <c r="CX464" s="6"/>
      <c r="CY464" s="6"/>
      <c r="CZ464" s="6"/>
      <c r="DA464" s="6"/>
      <c r="DB464" s="6"/>
      <c r="DC464" s="6"/>
      <c r="DD464" s="6"/>
      <c r="DE464" s="6"/>
      <c r="DF464" s="6"/>
      <c r="DG464" s="6"/>
      <c r="DH464" s="6"/>
      <c r="DI464" s="6"/>
      <c r="DJ464" s="6"/>
      <c r="DK464" s="6"/>
      <c r="DL464" s="6"/>
      <c r="DM464" s="6"/>
      <c r="DN464" s="6"/>
      <c r="DO464" s="6"/>
      <c r="DP464" s="6"/>
      <c r="DQ464" s="6"/>
      <c r="DR464" s="6"/>
      <c r="DS464" s="6"/>
      <c r="DT464" s="6"/>
      <c r="DU464" s="6"/>
      <c r="DV464" s="6"/>
      <c r="DW464" s="6"/>
      <c r="DX464" s="6"/>
      <c r="DY464" s="6"/>
      <c r="DZ464" s="6"/>
      <c r="EA464" s="6"/>
      <c r="EB464" s="6"/>
      <c r="EC464" s="6"/>
      <c r="ED464" s="6"/>
      <c r="EE464" s="6"/>
      <c r="EF464" s="6"/>
      <c r="EG464" s="6"/>
      <c r="EH464" s="6"/>
      <c r="EI464" s="6"/>
      <c r="EJ464" s="6"/>
      <c r="EK464" s="6"/>
      <c r="EL464" s="6"/>
      <c r="EM464" s="6"/>
      <c r="EN464" s="6"/>
      <c r="EO464" s="6"/>
      <c r="EP464" s="6"/>
      <c r="EQ464" s="6"/>
    </row>
    <row r="465" spans="73:147">
      <c r="BU465" s="6"/>
      <c r="BV465" s="6"/>
      <c r="BW465" s="6"/>
      <c r="BX465" s="6"/>
      <c r="BY465" s="6"/>
      <c r="BZ465" s="6"/>
      <c r="CA465" s="6"/>
      <c r="CB465" s="6"/>
      <c r="CC465" s="6"/>
      <c r="CD465" s="6"/>
      <c r="CE465" s="6"/>
      <c r="CF465" s="6"/>
      <c r="CG465" s="6"/>
      <c r="CH465" s="6"/>
      <c r="CI465" s="6"/>
      <c r="CO465" s="6"/>
      <c r="CP465" s="6"/>
      <c r="CQ465" s="6"/>
      <c r="CR465" s="6"/>
      <c r="CS465" s="6"/>
      <c r="CT465" s="6"/>
      <c r="CU465" s="6"/>
      <c r="CV465" s="6"/>
      <c r="CW465" s="6"/>
      <c r="CX465" s="6"/>
      <c r="CY465" s="6"/>
      <c r="CZ465" s="6"/>
      <c r="DA465" s="6"/>
      <c r="DB465" s="6"/>
      <c r="DC465" s="6"/>
      <c r="DD465" s="6"/>
      <c r="DE465" s="6"/>
      <c r="DF465" s="6"/>
      <c r="DG465" s="6"/>
      <c r="DH465" s="6"/>
      <c r="DI465" s="6"/>
      <c r="DJ465" s="6"/>
      <c r="DK465" s="6"/>
      <c r="DL465" s="6"/>
      <c r="DM465" s="6"/>
      <c r="DN465" s="6"/>
      <c r="DO465" s="6"/>
      <c r="DP465" s="6"/>
      <c r="DQ465" s="6"/>
      <c r="DR465" s="6"/>
      <c r="DS465" s="6"/>
      <c r="DT465" s="6"/>
      <c r="DU465" s="6"/>
      <c r="DV465" s="6"/>
      <c r="DW465" s="6"/>
      <c r="DX465" s="6"/>
      <c r="DY465" s="6"/>
      <c r="DZ465" s="6"/>
      <c r="EA465" s="6"/>
      <c r="EB465" s="6"/>
      <c r="EC465" s="6"/>
      <c r="ED465" s="6"/>
      <c r="EE465" s="6"/>
      <c r="EF465" s="6"/>
      <c r="EG465" s="6"/>
      <c r="EH465" s="6"/>
      <c r="EI465" s="6"/>
      <c r="EJ465" s="6"/>
      <c r="EK465" s="6"/>
      <c r="EL465" s="6"/>
      <c r="EM465" s="6"/>
      <c r="EN465" s="6"/>
      <c r="EO465" s="6"/>
      <c r="EP465" s="6"/>
      <c r="EQ465" s="6"/>
    </row>
    <row r="466" spans="73:147">
      <c r="BU466" s="6"/>
      <c r="BV466" s="6"/>
      <c r="BW466" s="6"/>
      <c r="BX466" s="6"/>
      <c r="BY466" s="6"/>
      <c r="BZ466" s="6"/>
      <c r="CA466" s="6"/>
      <c r="CB466" s="6"/>
      <c r="CC466" s="6"/>
      <c r="CD466" s="6"/>
      <c r="CE466" s="6"/>
      <c r="CF466" s="6"/>
      <c r="CG466" s="6"/>
      <c r="CH466" s="6"/>
      <c r="CI466" s="6"/>
      <c r="CO466" s="6"/>
      <c r="CP466" s="6"/>
      <c r="CQ466" s="6"/>
      <c r="CR466" s="6"/>
      <c r="CS466" s="6"/>
      <c r="CT466" s="6"/>
      <c r="CU466" s="6"/>
      <c r="CV466" s="6"/>
      <c r="CW466" s="6"/>
      <c r="CX466" s="6"/>
      <c r="CY466" s="6"/>
      <c r="CZ466" s="6"/>
      <c r="DA466" s="6"/>
      <c r="DB466" s="6"/>
      <c r="DC466" s="6"/>
      <c r="DD466" s="6"/>
      <c r="DE466" s="6"/>
      <c r="DF466" s="6"/>
      <c r="DG466" s="6"/>
      <c r="DH466" s="6"/>
      <c r="DI466" s="6"/>
      <c r="DJ466" s="6"/>
      <c r="DK466" s="6"/>
      <c r="DL466" s="6"/>
      <c r="DM466" s="6"/>
      <c r="DN466" s="6"/>
      <c r="DO466" s="6"/>
      <c r="DP466" s="6"/>
      <c r="DQ466" s="6"/>
      <c r="DR466" s="6"/>
      <c r="DS466" s="6"/>
      <c r="DT466" s="6"/>
      <c r="DU466" s="6"/>
      <c r="DV466" s="6"/>
      <c r="DW466" s="6"/>
      <c r="DX466" s="6"/>
      <c r="DY466" s="6"/>
      <c r="DZ466" s="6"/>
      <c r="EA466" s="6"/>
      <c r="EB466" s="6"/>
      <c r="EC466" s="6"/>
      <c r="ED466" s="6"/>
      <c r="EE466" s="6"/>
      <c r="EF466" s="6"/>
      <c r="EG466" s="6"/>
      <c r="EH466" s="6"/>
      <c r="EI466" s="6"/>
      <c r="EJ466" s="6"/>
      <c r="EK466" s="6"/>
      <c r="EL466" s="6"/>
      <c r="EM466" s="6"/>
      <c r="EN466" s="6"/>
      <c r="EO466" s="6"/>
      <c r="EP466" s="6"/>
      <c r="EQ466" s="6"/>
    </row>
  </sheetData>
  <sheetProtection selectLockedCells="1"/>
  <mergeCells count="48">
    <mergeCell ref="E2:G2"/>
    <mergeCell ref="EC3:EF3"/>
    <mergeCell ref="BP3:BS3"/>
    <mergeCell ref="BU3:BX3"/>
    <mergeCell ref="BK3:BN3"/>
    <mergeCell ref="CJ3:CM3"/>
    <mergeCell ref="DI3:DL3"/>
    <mergeCell ref="CY3:DB3"/>
    <mergeCell ref="M3:P3"/>
    <mergeCell ref="AL3:AO3"/>
    <mergeCell ref="EM2:EQ2"/>
    <mergeCell ref="EV3:EW3"/>
    <mergeCell ref="EH3:EK3"/>
    <mergeCell ref="BF3:BI3"/>
    <mergeCell ref="CT3:CW3"/>
    <mergeCell ref="DS3:DV3"/>
    <mergeCell ref="CE3:CH3"/>
    <mergeCell ref="DD3:DG3"/>
    <mergeCell ref="AV3:AY3"/>
    <mergeCell ref="B15:C15"/>
    <mergeCell ref="B5:C6"/>
    <mergeCell ref="AB3:AE3"/>
    <mergeCell ref="ES2:EW2"/>
    <mergeCell ref="EM3:EM4"/>
    <mergeCell ref="EN3:EO3"/>
    <mergeCell ref="EP3:EQ3"/>
    <mergeCell ref="ES3:ES4"/>
    <mergeCell ref="ET3:EU3"/>
    <mergeCell ref="B19:C19"/>
    <mergeCell ref="CO3:CR3"/>
    <mergeCell ref="DX3:EA3"/>
    <mergeCell ref="DN3:DQ3"/>
    <mergeCell ref="B17:C17"/>
    <mergeCell ref="E3:H3"/>
    <mergeCell ref="W3:Z3"/>
    <mergeCell ref="BZ3:CC3"/>
    <mergeCell ref="BA3:BD3"/>
    <mergeCell ref="AG3:AJ3"/>
    <mergeCell ref="A2:A26"/>
    <mergeCell ref="BJ3:BJ26"/>
    <mergeCell ref="AQ3:AT3"/>
    <mergeCell ref="B25:C26"/>
    <mergeCell ref="B4:C4"/>
    <mergeCell ref="B2:C3"/>
    <mergeCell ref="J3:K3"/>
    <mergeCell ref="B22:C23"/>
    <mergeCell ref="R3:U3"/>
    <mergeCell ref="B20:C2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8" r:id="rId4" name="Button 1024">
              <controlPr defaultSize="0" print="0" autoFill="0" autoPict="0" macro="[0]!Macro10">
                <anchor moveWithCells="1" sizeWithCells="1">
                  <from>
                    <xdr:col>0</xdr:col>
                    <xdr:colOff>28575</xdr:colOff>
                    <xdr:row>0</xdr:row>
                    <xdr:rowOff>47625</xdr:rowOff>
                  </from>
                  <to>
                    <xdr:col>0</xdr:col>
                    <xdr:colOff>771525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9" r:id="rId5" name="Button 1025">
              <controlPr defaultSize="0" print="0" autoFill="0" autoPict="0" macro="[0]!Macro4">
                <anchor moveWithCells="1" sizeWithCells="1">
                  <from>
                    <xdr:col>0</xdr:col>
                    <xdr:colOff>47625</xdr:colOff>
                    <xdr:row>8</xdr:row>
                    <xdr:rowOff>171450</xdr:rowOff>
                  </from>
                  <to>
                    <xdr:col>0</xdr:col>
                    <xdr:colOff>762000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6" name="Button 1026">
              <controlPr defaultSize="0" print="0" autoFill="0" autoPict="0" macro="[0]!Macro5">
                <anchor moveWithCells="1" sizeWithCells="1">
                  <from>
                    <xdr:col>0</xdr:col>
                    <xdr:colOff>38100</xdr:colOff>
                    <xdr:row>10</xdr:row>
                    <xdr:rowOff>180975</xdr:rowOff>
                  </from>
                  <to>
                    <xdr:col>0</xdr:col>
                    <xdr:colOff>752475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Button 1028">
              <controlPr defaultSize="0" print="0" autoFill="0" autoPict="0" macro="[0]!Macro17gg">
                <anchor moveWithCells="1" sizeWithCells="1">
                  <from>
                    <xdr:col>0</xdr:col>
                    <xdr:colOff>38100</xdr:colOff>
                    <xdr:row>3</xdr:row>
                    <xdr:rowOff>152400</xdr:rowOff>
                  </from>
                  <to>
                    <xdr:col>0</xdr:col>
                    <xdr:colOff>771525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Button 1029">
              <controlPr defaultSize="0" print="0" autoFill="0" autoPict="0" macro="[0]!Macro12">
                <anchor moveWithCells="1" sizeWithCells="1">
                  <from>
                    <xdr:col>0</xdr:col>
                    <xdr:colOff>38100</xdr:colOff>
                    <xdr:row>5</xdr:row>
                    <xdr:rowOff>95250</xdr:rowOff>
                  </from>
                  <to>
                    <xdr:col>0</xdr:col>
                    <xdr:colOff>771525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9" name="Button 1034">
              <controlPr defaultSize="0" print="0" autoFill="0" autoPict="0" macro="[0]!Macro7">
                <anchor moveWithCells="1" sizeWithCells="1">
                  <from>
                    <xdr:col>0</xdr:col>
                    <xdr:colOff>47625</xdr:colOff>
                    <xdr:row>13</xdr:row>
                    <xdr:rowOff>57150</xdr:rowOff>
                  </from>
                  <to>
                    <xdr:col>0</xdr:col>
                    <xdr:colOff>381000</xdr:colOff>
                    <xdr:row>21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0" name="Button 1035">
              <controlPr defaultSize="0" print="0" autoFill="0" autoPict="0" macro="[0]!Macro14">
                <anchor moveWithCells="1" sizeWithCells="1">
                  <from>
                    <xdr:col>0</xdr:col>
                    <xdr:colOff>438150</xdr:colOff>
                    <xdr:row>13</xdr:row>
                    <xdr:rowOff>57150</xdr:rowOff>
                  </from>
                  <to>
                    <xdr:col>0</xdr:col>
                    <xdr:colOff>742950</xdr:colOff>
                    <xdr:row>21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11" name="Button 1036">
              <controlPr locked="0" defaultSize="0" print="0" autoFill="0" autoPict="0" macro="[0]!MONO_13">
                <anchor moveWithCells="1" sizeWithCells="1">
                  <from>
                    <xdr:col>0</xdr:col>
                    <xdr:colOff>47625</xdr:colOff>
                    <xdr:row>7</xdr:row>
                    <xdr:rowOff>19050</xdr:rowOff>
                  </from>
                  <to>
                    <xdr:col>0</xdr:col>
                    <xdr:colOff>771525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8A8BB-5584-4781-8FCD-669682D10502}">
  <sheetPr codeName="Plan12" filterMode="1"/>
  <dimension ref="A1:DO1593"/>
  <sheetViews>
    <sheetView showGridLines="0" zoomScaleNormal="100" workbookViewId="0">
      <selection activeCell="D2" sqref="D2:F2"/>
    </sheetView>
  </sheetViews>
  <sheetFormatPr defaultRowHeight="15.75"/>
  <cols>
    <col min="1" max="1" width="11.7109375" customWidth="1"/>
    <col min="2" max="2" width="54.85546875" hidden="1" customWidth="1"/>
    <col min="3" max="3" width="8.7109375" hidden="1" customWidth="1"/>
    <col min="4" max="4" width="13.28515625" customWidth="1"/>
    <col min="5" max="5" width="12.28515625" customWidth="1"/>
    <col min="6" max="6" width="7.7109375" style="239" customWidth="1"/>
    <col min="11" max="11" width="2.28515625" customWidth="1"/>
    <col min="14" max="14" width="3.42578125" customWidth="1"/>
  </cols>
  <sheetData>
    <row r="1" spans="1:15" ht="48" customHeight="1" thickBot="1">
      <c r="A1" s="1651"/>
      <c r="B1" s="1652"/>
      <c r="C1" s="1652"/>
      <c r="D1" s="1652"/>
      <c r="E1" s="1652"/>
      <c r="F1" s="1652"/>
      <c r="G1" s="1652"/>
      <c r="H1" s="1652"/>
      <c r="I1" s="1652"/>
      <c r="J1" s="1652"/>
      <c r="K1" s="1652"/>
      <c r="L1" s="1652"/>
      <c r="M1" s="1652"/>
      <c r="N1" s="1653"/>
    </row>
    <row r="2" spans="1:15" ht="29.1" customHeight="1" thickBot="1">
      <c r="D2" s="1662" t="s">
        <v>1379</v>
      </c>
      <c r="E2" s="1663"/>
      <c r="F2" s="1664"/>
      <c r="L2" s="298"/>
      <c r="M2" s="298"/>
      <c r="N2" s="298"/>
      <c r="O2" s="298"/>
    </row>
    <row r="3" spans="1:15" ht="5.0999999999999996" customHeight="1">
      <c r="A3" s="1661"/>
      <c r="B3" s="1661"/>
      <c r="C3" s="1661"/>
      <c r="D3" s="1661"/>
      <c r="E3" s="1661"/>
      <c r="L3" s="298"/>
      <c r="M3" s="298"/>
      <c r="N3" s="298"/>
      <c r="O3" s="298"/>
    </row>
    <row r="4" spans="1:15" ht="15.75" hidden="1" customHeight="1" thickBot="1">
      <c r="A4" s="752"/>
      <c r="B4" s="752"/>
      <c r="C4" s="752"/>
      <c r="D4" s="752"/>
      <c r="E4" s="656" t="s">
        <v>1480</v>
      </c>
      <c r="F4" s="754">
        <f>SUM(F6:F26)</f>
        <v>0</v>
      </c>
      <c r="L4" s="298"/>
      <c r="M4" s="298"/>
      <c r="N4" s="298"/>
      <c r="O4" s="298"/>
    </row>
    <row r="5" spans="1:15" ht="15.75" hidden="1" customHeight="1">
      <c r="A5" s="752"/>
      <c r="B5" s="752"/>
      <c r="C5" s="752"/>
      <c r="D5" s="752"/>
      <c r="E5" s="96" t="s">
        <v>74</v>
      </c>
      <c r="F5" s="113">
        <f>'Trifásico 34,5kv'!F5</f>
        <v>0</v>
      </c>
      <c r="L5" s="298"/>
      <c r="M5" s="298"/>
      <c r="N5" s="298"/>
      <c r="O5" s="298"/>
    </row>
    <row r="6" spans="1:15" ht="15.75" hidden="1" customHeight="1">
      <c r="A6" s="752"/>
      <c r="B6" s="752"/>
      <c r="C6" s="752"/>
      <c r="D6" s="752"/>
      <c r="E6" s="97" t="s">
        <v>75</v>
      </c>
      <c r="F6" s="113">
        <f>'Trifásico 34,5kv'!F6</f>
        <v>0</v>
      </c>
      <c r="L6" s="298"/>
      <c r="M6" s="298"/>
      <c r="N6" s="298"/>
      <c r="O6" s="298"/>
    </row>
    <row r="7" spans="1:15" ht="15.75" hidden="1" customHeight="1">
      <c r="A7" s="752"/>
      <c r="B7" s="752"/>
      <c r="C7" s="752"/>
      <c r="D7" s="752"/>
      <c r="E7" s="96" t="s">
        <v>76</v>
      </c>
      <c r="F7" s="113">
        <f>'Trifásico 34,5kv'!F7</f>
        <v>0</v>
      </c>
      <c r="L7" s="298"/>
      <c r="M7" s="298"/>
      <c r="N7" s="298"/>
      <c r="O7" s="298"/>
    </row>
    <row r="8" spans="1:15" ht="15.75" hidden="1" customHeight="1">
      <c r="A8" s="752"/>
      <c r="B8" s="752"/>
      <c r="C8" s="752"/>
      <c r="D8" s="752"/>
      <c r="E8" s="97" t="s">
        <v>77</v>
      </c>
      <c r="F8" s="113">
        <f>'Trifásico 34,5kv'!F8</f>
        <v>0</v>
      </c>
      <c r="L8" s="298"/>
      <c r="M8" s="298"/>
      <c r="N8" s="298"/>
      <c r="O8" s="298"/>
    </row>
    <row r="9" spans="1:15" ht="15.75" hidden="1" customHeight="1">
      <c r="A9" s="752"/>
      <c r="B9" s="752"/>
      <c r="C9" s="752"/>
      <c r="D9" s="752"/>
      <c r="E9" s="96" t="s">
        <v>100</v>
      </c>
      <c r="F9" s="113">
        <f>'Trifásico 34,5kv'!F9</f>
        <v>0</v>
      </c>
      <c r="L9" s="298"/>
      <c r="M9" s="298"/>
      <c r="N9" s="298"/>
      <c r="O9" s="298"/>
    </row>
    <row r="10" spans="1:15" ht="15.75" hidden="1" customHeight="1">
      <c r="A10" s="752"/>
      <c r="B10" s="752"/>
      <c r="C10" s="752"/>
      <c r="D10" s="752"/>
      <c r="E10" s="97" t="s">
        <v>78</v>
      </c>
      <c r="F10" s="113">
        <f>'Trifásico 34,5kv'!F10</f>
        <v>0</v>
      </c>
      <c r="L10" s="298"/>
      <c r="M10" s="298"/>
      <c r="N10" s="298"/>
      <c r="O10" s="298"/>
    </row>
    <row r="11" spans="1:15" ht="15.75" hidden="1" customHeight="1">
      <c r="A11" s="752"/>
      <c r="B11" s="752"/>
      <c r="C11" s="752"/>
      <c r="D11" s="752"/>
      <c r="E11" s="96" t="s">
        <v>79</v>
      </c>
      <c r="F11" s="113">
        <f>'Trifásico 34,5kv'!F11</f>
        <v>0</v>
      </c>
      <c r="L11" s="298"/>
      <c r="M11" s="298"/>
      <c r="N11" s="298"/>
      <c r="O11" s="298"/>
    </row>
    <row r="12" spans="1:15" ht="15.75" hidden="1" customHeight="1">
      <c r="A12" s="752"/>
      <c r="B12" s="752"/>
      <c r="C12" s="752"/>
      <c r="D12" s="752"/>
      <c r="E12" s="97" t="s">
        <v>80</v>
      </c>
      <c r="F12" s="113">
        <f>'Trifásico 34,5kv'!F12</f>
        <v>0</v>
      </c>
      <c r="L12" s="298"/>
      <c r="M12" s="298"/>
      <c r="N12" s="298"/>
      <c r="O12" s="298"/>
    </row>
    <row r="13" spans="1:15" ht="15.75" hidden="1" customHeight="1">
      <c r="A13" s="752"/>
      <c r="B13" s="752"/>
      <c r="C13" s="752"/>
      <c r="D13" s="752"/>
      <c r="E13" s="96" t="s">
        <v>81</v>
      </c>
      <c r="F13" s="113">
        <f>'Trifásico 34,5kv'!F13</f>
        <v>0</v>
      </c>
      <c r="L13" s="298"/>
      <c r="M13" s="298"/>
      <c r="N13" s="298"/>
      <c r="O13" s="298"/>
    </row>
    <row r="14" spans="1:15" ht="15.75" hidden="1" customHeight="1">
      <c r="A14" s="752"/>
      <c r="B14" s="752"/>
      <c r="C14" s="752"/>
      <c r="D14" s="752"/>
      <c r="E14" s="97" t="s">
        <v>82</v>
      </c>
      <c r="F14" s="113">
        <f>'Trifásico 34,5kv'!F14</f>
        <v>0</v>
      </c>
      <c r="L14" s="298"/>
      <c r="M14" s="298"/>
      <c r="N14" s="298"/>
      <c r="O14" s="298"/>
    </row>
    <row r="15" spans="1:15" ht="15.75" hidden="1" customHeight="1">
      <c r="A15" s="752"/>
      <c r="B15" s="752"/>
      <c r="C15" s="752"/>
      <c r="D15" s="752"/>
      <c r="E15" s="96" t="s">
        <v>83</v>
      </c>
      <c r="F15" s="113">
        <f>'Trifásico 34,5kv'!F15</f>
        <v>0</v>
      </c>
      <c r="L15" s="298"/>
      <c r="M15" s="298"/>
      <c r="N15" s="298"/>
      <c r="O15" s="298"/>
    </row>
    <row r="16" spans="1:15" ht="15.75" hidden="1" customHeight="1">
      <c r="A16" s="752"/>
      <c r="B16" s="752"/>
      <c r="C16" s="752"/>
      <c r="D16" s="752"/>
      <c r="E16" s="97" t="s">
        <v>85</v>
      </c>
      <c r="F16" s="113">
        <f>'Trifásico 34,5kv'!F16</f>
        <v>0</v>
      </c>
      <c r="L16" s="298"/>
      <c r="M16" s="298"/>
      <c r="N16" s="298"/>
      <c r="O16" s="298"/>
    </row>
    <row r="17" spans="1:15" ht="15.75" hidden="1" customHeight="1">
      <c r="A17" s="752"/>
      <c r="B17" s="752"/>
      <c r="C17" s="752"/>
      <c r="D17" s="752"/>
      <c r="E17" s="96" t="s">
        <v>84</v>
      </c>
      <c r="F17" s="113">
        <f>'Trifásico 34,5kv'!F17</f>
        <v>0</v>
      </c>
      <c r="L17" s="298"/>
      <c r="M17" s="298"/>
      <c r="N17" s="298"/>
      <c r="O17" s="298"/>
    </row>
    <row r="18" spans="1:15" ht="15.75" hidden="1" customHeight="1">
      <c r="A18" s="752"/>
      <c r="B18" s="752"/>
      <c r="C18" s="752"/>
      <c r="D18" s="752"/>
      <c r="E18" s="97" t="s">
        <v>86</v>
      </c>
      <c r="F18" s="113">
        <f>'Trifásico 34,5kv'!F18</f>
        <v>0</v>
      </c>
      <c r="L18" s="298"/>
      <c r="M18" s="298"/>
      <c r="N18" s="298"/>
      <c r="O18" s="298"/>
    </row>
    <row r="19" spans="1:15" ht="15.75" hidden="1" customHeight="1">
      <c r="A19" s="752"/>
      <c r="B19" s="752"/>
      <c r="C19" s="752"/>
      <c r="D19" s="752"/>
      <c r="E19" s="96" t="s">
        <v>87</v>
      </c>
      <c r="F19" s="113">
        <f>'Trifásico 34,5kv'!F19</f>
        <v>0</v>
      </c>
      <c r="L19" s="298"/>
      <c r="M19" s="298"/>
      <c r="N19" s="298"/>
      <c r="O19" s="298"/>
    </row>
    <row r="20" spans="1:15" ht="15.75" hidden="1" customHeight="1">
      <c r="A20" s="752"/>
      <c r="B20" s="752"/>
      <c r="C20" s="752"/>
      <c r="D20" s="752"/>
      <c r="E20" s="97" t="s">
        <v>101</v>
      </c>
      <c r="F20" s="113">
        <f>'Trifásico 34,5kv'!F20</f>
        <v>0</v>
      </c>
      <c r="L20" s="298"/>
      <c r="M20" s="298"/>
      <c r="N20" s="298"/>
      <c r="O20" s="298"/>
    </row>
    <row r="21" spans="1:15" ht="15.75" hidden="1" customHeight="1">
      <c r="A21" s="752"/>
      <c r="B21" s="752"/>
      <c r="C21" s="752"/>
      <c r="D21" s="752"/>
      <c r="E21" s="96" t="s">
        <v>88</v>
      </c>
      <c r="F21" s="113">
        <f>'Trifásico 34,5kv'!F21</f>
        <v>0</v>
      </c>
      <c r="L21" s="298"/>
      <c r="M21" s="298"/>
      <c r="N21" s="298"/>
      <c r="O21" s="298"/>
    </row>
    <row r="22" spans="1:15" ht="15.75" hidden="1" customHeight="1">
      <c r="A22" s="752"/>
      <c r="B22" s="752"/>
      <c r="C22" s="752"/>
      <c r="D22" s="752"/>
      <c r="E22" s="97" t="s">
        <v>89</v>
      </c>
      <c r="F22" s="113">
        <f>'Trifásico 34,5kv'!F22</f>
        <v>0</v>
      </c>
      <c r="L22" s="298"/>
      <c r="M22" s="298"/>
      <c r="N22" s="298"/>
      <c r="O22" s="298"/>
    </row>
    <row r="23" spans="1:15" ht="15.75" hidden="1" customHeight="1">
      <c r="A23" s="752"/>
      <c r="B23" s="752"/>
      <c r="C23" s="752"/>
      <c r="D23" s="752"/>
      <c r="E23" s="96" t="s">
        <v>90</v>
      </c>
      <c r="F23" s="113">
        <f>'Trifásico 34,5kv'!F23</f>
        <v>0</v>
      </c>
      <c r="L23" s="298"/>
      <c r="M23" s="298"/>
      <c r="N23" s="298"/>
      <c r="O23" s="298"/>
    </row>
    <row r="24" spans="1:15" ht="15.75" hidden="1" customHeight="1">
      <c r="A24" s="752"/>
      <c r="B24" s="752"/>
      <c r="C24" s="752"/>
      <c r="D24" s="752"/>
      <c r="E24" s="97" t="s">
        <v>93</v>
      </c>
      <c r="F24" s="113">
        <f>'Trifásico 34,5kv'!F24</f>
        <v>0</v>
      </c>
      <c r="L24" s="298"/>
      <c r="M24" s="298"/>
      <c r="N24" s="298"/>
      <c r="O24" s="298"/>
    </row>
    <row r="25" spans="1:15" ht="15.75" hidden="1" customHeight="1">
      <c r="A25" s="752"/>
      <c r="B25" s="752"/>
      <c r="C25" s="752"/>
      <c r="D25" s="752"/>
      <c r="E25" s="96" t="s">
        <v>91</v>
      </c>
      <c r="F25" s="113">
        <f>'Trifásico 34,5kv'!F25</f>
        <v>0</v>
      </c>
      <c r="L25" s="298"/>
      <c r="M25" s="298"/>
      <c r="N25" s="298"/>
      <c r="O25" s="298"/>
    </row>
    <row r="26" spans="1:15" ht="15.75" hidden="1" customHeight="1">
      <c r="A26" s="752"/>
      <c r="B26" s="752"/>
      <c r="C26" s="752"/>
      <c r="D26" s="752"/>
      <c r="E26" s="97" t="s">
        <v>92</v>
      </c>
      <c r="F26" s="113">
        <f>'Trifásico 34,5kv'!F26</f>
        <v>0</v>
      </c>
      <c r="L26" s="298"/>
      <c r="M26" s="298"/>
      <c r="N26" s="298"/>
      <c r="O26" s="298"/>
    </row>
    <row r="27" spans="1:15" ht="15.75" hidden="1" customHeight="1" thickBot="1">
      <c r="D27" s="879"/>
      <c r="E27" s="879"/>
      <c r="F27" s="885">
        <f>SUM(F6:F26)</f>
        <v>0</v>
      </c>
      <c r="L27" s="298"/>
      <c r="M27" s="298"/>
      <c r="N27" s="298"/>
      <c r="O27" s="298"/>
    </row>
    <row r="28" spans="1:15" ht="15.75" hidden="1" customHeight="1" thickBot="1">
      <c r="A28" s="752"/>
      <c r="B28" s="752"/>
      <c r="C28" s="752"/>
      <c r="D28" s="752"/>
      <c r="E28" s="656" t="s">
        <v>1360</v>
      </c>
      <c r="F28" s="754">
        <f>SUM(F30:F50)</f>
        <v>0</v>
      </c>
      <c r="H28" s="302"/>
      <c r="I28" s="302"/>
      <c r="J28" s="302"/>
      <c r="K28" s="302"/>
    </row>
    <row r="29" spans="1:15" ht="15.75" hidden="1" customHeight="1">
      <c r="A29" s="752"/>
      <c r="B29" s="752"/>
      <c r="C29" s="752"/>
      <c r="D29" s="752"/>
      <c r="E29" s="96" t="s">
        <v>74</v>
      </c>
      <c r="F29" s="113">
        <f>'Mono 34,5kv'!I5+'Trifásico 34,5kv'!K5</f>
        <v>0</v>
      </c>
      <c r="H29" s="302"/>
      <c r="I29" s="302"/>
      <c r="J29" s="302"/>
      <c r="K29" s="302"/>
    </row>
    <row r="30" spans="1:15" ht="15.75" hidden="1" customHeight="1">
      <c r="A30" s="752"/>
      <c r="B30" s="752"/>
      <c r="C30" s="752"/>
      <c r="D30" s="752"/>
      <c r="E30" s="97" t="s">
        <v>75</v>
      </c>
      <c r="F30" s="113">
        <f>'Mono 34,5kv'!I6+'Trifásico 34,5kv'!K6</f>
        <v>0</v>
      </c>
      <c r="H30" s="302"/>
      <c r="I30" s="302"/>
      <c r="J30" s="302"/>
      <c r="K30" s="302"/>
    </row>
    <row r="31" spans="1:15" ht="15.75" hidden="1" customHeight="1">
      <c r="A31" s="752"/>
      <c r="B31" s="752"/>
      <c r="C31" s="752"/>
      <c r="D31" s="752"/>
      <c r="E31" s="96" t="s">
        <v>76</v>
      </c>
      <c r="F31" s="113">
        <f>'Mono 34,5kv'!I7+'Trifásico 34,5kv'!K7</f>
        <v>0</v>
      </c>
      <c r="H31" s="302"/>
      <c r="I31" s="302"/>
      <c r="J31" s="302"/>
      <c r="K31" s="302"/>
    </row>
    <row r="32" spans="1:15" ht="15.75" hidden="1" customHeight="1">
      <c r="A32" s="752"/>
      <c r="B32" s="752"/>
      <c r="C32" s="752"/>
      <c r="D32" s="752"/>
      <c r="E32" s="97" t="s">
        <v>77</v>
      </c>
      <c r="F32" s="113">
        <f>'Mono 34,5kv'!I8+'Trifásico 34,5kv'!K8</f>
        <v>0</v>
      </c>
      <c r="H32" s="302"/>
      <c r="I32" s="302"/>
      <c r="J32" s="302"/>
      <c r="K32" s="302"/>
    </row>
    <row r="33" spans="1:11" ht="15.75" hidden="1" customHeight="1">
      <c r="A33" s="752"/>
      <c r="B33" s="752"/>
      <c r="C33" s="752"/>
      <c r="D33" s="752"/>
      <c r="E33" s="96" t="s">
        <v>100</v>
      </c>
      <c r="F33" s="113">
        <f>'Mono 34,5kv'!I9+'Trifásico 34,5kv'!K9</f>
        <v>0</v>
      </c>
      <c r="H33" s="302"/>
      <c r="I33" s="302"/>
      <c r="J33" s="302"/>
      <c r="K33" s="302"/>
    </row>
    <row r="34" spans="1:11" ht="15.75" hidden="1" customHeight="1">
      <c r="A34" s="752"/>
      <c r="B34" s="752"/>
      <c r="C34" s="752"/>
      <c r="D34" s="752"/>
      <c r="E34" s="97" t="s">
        <v>78</v>
      </c>
      <c r="F34" s="113">
        <f>'Mono 34,5kv'!I10+'Trifásico 34,5kv'!K10</f>
        <v>0</v>
      </c>
      <c r="H34" s="302"/>
      <c r="I34" s="302"/>
      <c r="J34" s="302"/>
      <c r="K34" s="302"/>
    </row>
    <row r="35" spans="1:11" ht="15.75" hidden="1" customHeight="1">
      <c r="A35" s="752"/>
      <c r="B35" s="752"/>
      <c r="C35" s="752"/>
      <c r="D35" s="752"/>
      <c r="E35" s="96" t="s">
        <v>79</v>
      </c>
      <c r="F35" s="113">
        <f>'Mono 34,5kv'!I11+'Trifásico 34,5kv'!K11</f>
        <v>0</v>
      </c>
      <c r="H35" s="302"/>
      <c r="I35" s="302"/>
      <c r="J35" s="302"/>
      <c r="K35" s="302"/>
    </row>
    <row r="36" spans="1:11" ht="15.75" hidden="1" customHeight="1">
      <c r="A36" s="752"/>
      <c r="B36" s="752"/>
      <c r="C36" s="752"/>
      <c r="D36" s="752"/>
      <c r="E36" s="97" t="s">
        <v>80</v>
      </c>
      <c r="F36" s="113">
        <f>'Mono 34,5kv'!I12+'Trifásico 34,5kv'!K12</f>
        <v>0</v>
      </c>
      <c r="H36" s="302"/>
      <c r="I36" s="302"/>
      <c r="J36" s="302"/>
      <c r="K36" s="302"/>
    </row>
    <row r="37" spans="1:11" ht="15.75" hidden="1" customHeight="1">
      <c r="A37" s="752"/>
      <c r="B37" s="752"/>
      <c r="C37" s="752"/>
      <c r="D37" s="752"/>
      <c r="E37" s="96" t="s">
        <v>81</v>
      </c>
      <c r="F37" s="113">
        <f>'Mono 34,5kv'!I13+'Trifásico 34,5kv'!K13</f>
        <v>0</v>
      </c>
      <c r="H37" s="302"/>
      <c r="I37" s="302"/>
      <c r="J37" s="302"/>
      <c r="K37" s="302"/>
    </row>
    <row r="38" spans="1:11" ht="15.75" hidden="1" customHeight="1">
      <c r="A38" s="752"/>
      <c r="B38" s="752"/>
      <c r="C38" s="752"/>
      <c r="D38" s="752"/>
      <c r="E38" s="97" t="s">
        <v>82</v>
      </c>
      <c r="F38" s="113">
        <f>'Mono 34,5kv'!I14+'Trifásico 34,5kv'!K14</f>
        <v>0</v>
      </c>
      <c r="H38" s="302"/>
      <c r="I38" s="302"/>
      <c r="J38" s="302"/>
      <c r="K38" s="302"/>
    </row>
    <row r="39" spans="1:11" ht="15.75" hidden="1" customHeight="1">
      <c r="A39" s="752"/>
      <c r="B39" s="752"/>
      <c r="C39" s="752"/>
      <c r="D39" s="752"/>
      <c r="E39" s="96" t="s">
        <v>83</v>
      </c>
      <c r="F39" s="113">
        <f>'Mono 34,5kv'!I15+'Trifásico 34,5kv'!K15</f>
        <v>0</v>
      </c>
      <c r="H39" s="302"/>
      <c r="I39" s="302"/>
      <c r="J39" s="302"/>
      <c r="K39" s="302"/>
    </row>
    <row r="40" spans="1:11" ht="15.75" hidden="1" customHeight="1">
      <c r="A40" s="752"/>
      <c r="B40" s="752"/>
      <c r="C40" s="752"/>
      <c r="D40" s="752"/>
      <c r="E40" s="97" t="s">
        <v>85</v>
      </c>
      <c r="F40" s="113">
        <f>'Mono 34,5kv'!I16+'Trifásico 34,5kv'!K16</f>
        <v>0</v>
      </c>
      <c r="H40" s="302"/>
      <c r="I40" s="302"/>
      <c r="J40" s="302"/>
      <c r="K40" s="302"/>
    </row>
    <row r="41" spans="1:11" ht="15.75" hidden="1" customHeight="1">
      <c r="A41" s="752"/>
      <c r="B41" s="752"/>
      <c r="C41" s="752"/>
      <c r="D41" s="752"/>
      <c r="E41" s="96" t="s">
        <v>84</v>
      </c>
      <c r="F41" s="113">
        <f>'Mono 34,5kv'!I17+'Trifásico 34,5kv'!K17</f>
        <v>0</v>
      </c>
      <c r="H41" s="302"/>
      <c r="I41" s="302"/>
      <c r="J41" s="302"/>
      <c r="K41" s="302"/>
    </row>
    <row r="42" spans="1:11" ht="15.75" hidden="1" customHeight="1">
      <c r="A42" s="752"/>
      <c r="B42" s="752"/>
      <c r="C42" s="752"/>
      <c r="D42" s="752"/>
      <c r="E42" s="97" t="s">
        <v>86</v>
      </c>
      <c r="F42" s="113">
        <f>'Mono 34,5kv'!I18+'Trifásico 34,5kv'!K18</f>
        <v>0</v>
      </c>
      <c r="H42" s="302"/>
      <c r="I42" s="302"/>
      <c r="J42" s="302"/>
      <c r="K42" s="302"/>
    </row>
    <row r="43" spans="1:11" ht="15.75" hidden="1" customHeight="1">
      <c r="A43" s="752"/>
      <c r="B43" s="752"/>
      <c r="C43" s="752"/>
      <c r="D43" s="752"/>
      <c r="E43" s="96" t="s">
        <v>87</v>
      </c>
      <c r="F43" s="113">
        <f>'Mono 34,5kv'!I19+'Trifásico 34,5kv'!K19</f>
        <v>0</v>
      </c>
      <c r="H43" s="302"/>
      <c r="I43" s="302"/>
      <c r="J43" s="302"/>
      <c r="K43" s="302"/>
    </row>
    <row r="44" spans="1:11" ht="15.75" hidden="1" customHeight="1">
      <c r="A44" s="752"/>
      <c r="B44" s="752"/>
      <c r="C44" s="752"/>
      <c r="D44" s="752"/>
      <c r="E44" s="97" t="s">
        <v>101</v>
      </c>
      <c r="F44" s="113">
        <f>'Mono 34,5kv'!I20+'Trifásico 34,5kv'!K20</f>
        <v>0</v>
      </c>
      <c r="H44" s="302"/>
      <c r="I44" s="302"/>
      <c r="J44" s="302"/>
      <c r="K44" s="302"/>
    </row>
    <row r="45" spans="1:11" ht="15.75" hidden="1" customHeight="1">
      <c r="A45" s="752"/>
      <c r="B45" s="752"/>
      <c r="C45" s="752"/>
      <c r="D45" s="752"/>
      <c r="E45" s="96" t="s">
        <v>88</v>
      </c>
      <c r="F45" s="113">
        <f>'Mono 34,5kv'!I21+'Trifásico 34,5kv'!K21</f>
        <v>0</v>
      </c>
      <c r="H45" s="302"/>
      <c r="I45" s="302"/>
      <c r="J45" s="302"/>
      <c r="K45" s="302"/>
    </row>
    <row r="46" spans="1:11" ht="15.75" hidden="1" customHeight="1">
      <c r="A46" s="752"/>
      <c r="B46" s="752"/>
      <c r="C46" s="752"/>
      <c r="D46" s="752"/>
      <c r="E46" s="97" t="s">
        <v>89</v>
      </c>
      <c r="F46" s="113">
        <f>'Mono 34,5kv'!I22+'Trifásico 34,5kv'!K22</f>
        <v>0</v>
      </c>
      <c r="H46" s="302"/>
      <c r="I46" s="302"/>
      <c r="J46" s="302"/>
      <c r="K46" s="302"/>
    </row>
    <row r="47" spans="1:11" ht="15.75" hidden="1" customHeight="1">
      <c r="A47" s="752"/>
      <c r="B47" s="752"/>
      <c r="C47" s="752"/>
      <c r="D47" s="752"/>
      <c r="E47" s="96" t="s">
        <v>90</v>
      </c>
      <c r="F47" s="113">
        <f>'Mono 34,5kv'!I23+'Trifásico 34,5kv'!K23</f>
        <v>0</v>
      </c>
      <c r="H47" s="302"/>
      <c r="I47" s="302"/>
      <c r="J47" s="302"/>
      <c r="K47" s="302"/>
    </row>
    <row r="48" spans="1:11" ht="15.75" hidden="1" customHeight="1">
      <c r="A48" s="752"/>
      <c r="B48" s="752"/>
      <c r="C48" s="752"/>
      <c r="D48" s="752"/>
      <c r="E48" s="97" t="s">
        <v>93</v>
      </c>
      <c r="F48" s="113">
        <f>'Mono 34,5kv'!I24+'Trifásico 34,5kv'!K24</f>
        <v>0</v>
      </c>
      <c r="H48" s="302"/>
      <c r="I48" s="302"/>
      <c r="J48" s="302"/>
      <c r="K48" s="302"/>
    </row>
    <row r="49" spans="1:11" ht="15.75" hidden="1" customHeight="1">
      <c r="A49" s="752"/>
      <c r="B49" s="752"/>
      <c r="C49" s="752"/>
      <c r="D49" s="752"/>
      <c r="E49" s="96" t="s">
        <v>91</v>
      </c>
      <c r="F49" s="113">
        <f>'Mono 34,5kv'!I25+'Trifásico 34,5kv'!K25</f>
        <v>0</v>
      </c>
      <c r="H49" s="302"/>
      <c r="I49" s="302"/>
      <c r="J49" s="302"/>
      <c r="K49" s="302"/>
    </row>
    <row r="50" spans="1:11" ht="15.75" hidden="1" customHeight="1">
      <c r="A50" s="752"/>
      <c r="B50" s="752"/>
      <c r="C50" s="752"/>
      <c r="D50" s="752"/>
      <c r="E50" s="97" t="s">
        <v>92</v>
      </c>
      <c r="F50" s="113">
        <f>'Mono 34,5kv'!I26+'Trifásico 34,5kv'!K26</f>
        <v>0</v>
      </c>
      <c r="H50" s="302"/>
      <c r="I50" s="302"/>
      <c r="J50" s="302"/>
      <c r="K50" s="302"/>
    </row>
    <row r="51" spans="1:11" ht="15.75" hidden="1" customHeight="1" thickBot="1">
      <c r="A51" s="752"/>
      <c r="B51" s="752"/>
      <c r="C51" s="752"/>
      <c r="D51" s="752"/>
      <c r="E51" s="93"/>
      <c r="F51" s="753">
        <f>SUM(F29:F50)</f>
        <v>0</v>
      </c>
      <c r="H51" s="302"/>
      <c r="I51" s="302"/>
      <c r="J51" s="302"/>
      <c r="K51" s="302"/>
    </row>
    <row r="52" spans="1:11" ht="15.75" hidden="1" customHeight="1" thickBot="1">
      <c r="A52" s="752"/>
      <c r="B52" s="752"/>
      <c r="C52" s="752"/>
      <c r="D52" s="752"/>
      <c r="E52" s="48" t="s">
        <v>1359</v>
      </c>
      <c r="F52" s="48">
        <f>SUM(F53:F74)</f>
        <v>0</v>
      </c>
      <c r="H52" s="302"/>
      <c r="I52" s="302"/>
      <c r="J52" s="302"/>
      <c r="K52" s="302"/>
    </row>
    <row r="53" spans="1:11" ht="15.75" hidden="1" customHeight="1">
      <c r="A53" s="752"/>
      <c r="B53" s="752"/>
      <c r="C53" s="752"/>
      <c r="D53" s="752"/>
      <c r="E53" s="225" t="s">
        <v>74</v>
      </c>
      <c r="F53" s="105">
        <f>'Trifásico 34,5kv'!N5+'Trifásico 34,5kv'!O5+'Trifásico 34,5kv'!P5</f>
        <v>0</v>
      </c>
      <c r="H53" s="302"/>
      <c r="I53" s="302"/>
      <c r="J53" s="302"/>
      <c r="K53" s="302"/>
    </row>
    <row r="54" spans="1:11" ht="15.75" hidden="1" customHeight="1">
      <c r="A54" s="752"/>
      <c r="B54" s="752"/>
      <c r="C54" s="752"/>
      <c r="D54" s="752"/>
      <c r="E54" s="107" t="s">
        <v>75</v>
      </c>
      <c r="F54" s="105">
        <f>'Trifásico 34,5kv'!N6+'Trifásico 34,5kv'!O6+'Trifásico 34,5kv'!P6</f>
        <v>0</v>
      </c>
      <c r="H54" s="302"/>
      <c r="I54" s="302"/>
      <c r="J54" s="302"/>
      <c r="K54" s="302"/>
    </row>
    <row r="55" spans="1:11" ht="15.75" hidden="1" customHeight="1">
      <c r="A55" s="752"/>
      <c r="B55" s="752"/>
      <c r="C55" s="752"/>
      <c r="D55" s="752"/>
      <c r="E55" s="97" t="s">
        <v>76</v>
      </c>
      <c r="F55" s="105">
        <f>'Trifásico 34,5kv'!N7+'Trifásico 34,5kv'!O7+'Trifásico 34,5kv'!P7</f>
        <v>0</v>
      </c>
      <c r="H55" s="302"/>
      <c r="I55" s="302"/>
      <c r="J55" s="302"/>
      <c r="K55" s="302"/>
    </row>
    <row r="56" spans="1:11" ht="15.75" hidden="1" customHeight="1">
      <c r="A56" s="752"/>
      <c r="B56" s="752"/>
      <c r="C56" s="752"/>
      <c r="D56" s="752"/>
      <c r="E56" s="107" t="s">
        <v>77</v>
      </c>
      <c r="F56" s="105">
        <f>'Trifásico 34,5kv'!N8+'Trifásico 34,5kv'!O8+'Trifásico 34,5kv'!P8</f>
        <v>0</v>
      </c>
      <c r="H56" s="302"/>
      <c r="I56" s="302"/>
      <c r="J56" s="302"/>
      <c r="K56" s="302"/>
    </row>
    <row r="57" spans="1:11" ht="15.75" hidden="1" customHeight="1">
      <c r="A57" s="752"/>
      <c r="B57" s="752"/>
      <c r="C57" s="752"/>
      <c r="D57" s="752"/>
      <c r="E57" s="97" t="s">
        <v>100</v>
      </c>
      <c r="F57" s="105">
        <f>'Trifásico 34,5kv'!N9+'Trifásico 34,5kv'!O9+'Trifásico 34,5kv'!P9</f>
        <v>0</v>
      </c>
      <c r="H57" s="302"/>
      <c r="I57" s="302"/>
      <c r="J57" s="302"/>
      <c r="K57" s="302"/>
    </row>
    <row r="58" spans="1:11" ht="15.75" hidden="1" customHeight="1">
      <c r="A58" s="752"/>
      <c r="B58" s="752"/>
      <c r="C58" s="752"/>
      <c r="D58" s="752"/>
      <c r="E58" s="107" t="s">
        <v>78</v>
      </c>
      <c r="F58" s="105">
        <f>'Trifásico 34,5kv'!N10+'Trifásico 34,5kv'!O10+'Trifásico 34,5kv'!P10</f>
        <v>0</v>
      </c>
      <c r="H58" s="302"/>
      <c r="I58" s="302"/>
      <c r="J58" s="302"/>
      <c r="K58" s="302"/>
    </row>
    <row r="59" spans="1:11" ht="15.75" hidden="1" customHeight="1">
      <c r="A59" s="752"/>
      <c r="B59" s="752"/>
      <c r="C59" s="752"/>
      <c r="D59" s="752"/>
      <c r="E59" s="97" t="s">
        <v>79</v>
      </c>
      <c r="F59" s="105">
        <f>'Trifásico 34,5kv'!N11+'Trifásico 34,5kv'!O11+'Trifásico 34,5kv'!P11</f>
        <v>0</v>
      </c>
      <c r="H59" s="302"/>
      <c r="I59" s="302"/>
      <c r="J59" s="302"/>
      <c r="K59" s="302"/>
    </row>
    <row r="60" spans="1:11" ht="15.75" hidden="1" customHeight="1">
      <c r="A60" s="752"/>
      <c r="B60" s="752"/>
      <c r="C60" s="752"/>
      <c r="D60" s="752"/>
      <c r="E60" s="107" t="s">
        <v>80</v>
      </c>
      <c r="F60" s="105">
        <f>'Trifásico 34,5kv'!N12+'Trifásico 34,5kv'!O12+'Trifásico 34,5kv'!P12</f>
        <v>0</v>
      </c>
      <c r="H60" s="302"/>
      <c r="I60" s="302"/>
      <c r="J60" s="302"/>
      <c r="K60" s="302"/>
    </row>
    <row r="61" spans="1:11" ht="15.75" hidden="1" customHeight="1">
      <c r="A61" s="752"/>
      <c r="B61" s="752"/>
      <c r="C61" s="752"/>
      <c r="D61" s="752"/>
      <c r="E61" s="97" t="s">
        <v>81</v>
      </c>
      <c r="F61" s="105">
        <f>'Trifásico 34,5kv'!N13+'Trifásico 34,5kv'!O13+'Trifásico 34,5kv'!P13</f>
        <v>0</v>
      </c>
      <c r="H61" s="302"/>
      <c r="I61" s="302"/>
      <c r="J61" s="302"/>
      <c r="K61" s="302"/>
    </row>
    <row r="62" spans="1:11" ht="15.75" hidden="1" customHeight="1">
      <c r="A62" s="752"/>
      <c r="B62" s="752"/>
      <c r="C62" s="752"/>
      <c r="D62" s="752"/>
      <c r="E62" s="107" t="s">
        <v>82</v>
      </c>
      <c r="F62" s="105">
        <f>'Trifásico 34,5kv'!N14+'Trifásico 34,5kv'!O14+'Trifásico 34,5kv'!P14</f>
        <v>0</v>
      </c>
      <c r="H62" s="302"/>
      <c r="I62" s="302"/>
      <c r="J62" s="302"/>
      <c r="K62" s="302"/>
    </row>
    <row r="63" spans="1:11" ht="15.75" hidden="1" customHeight="1">
      <c r="A63" s="752"/>
      <c r="B63" s="752"/>
      <c r="C63" s="752"/>
      <c r="D63" s="752"/>
      <c r="E63" s="97" t="s">
        <v>83</v>
      </c>
      <c r="F63" s="105">
        <f>'Trifásico 34,5kv'!N15+'Trifásico 34,5kv'!O15+'Trifásico 34,5kv'!P15</f>
        <v>0</v>
      </c>
      <c r="H63" s="302"/>
      <c r="I63" s="302"/>
      <c r="J63" s="302"/>
      <c r="K63" s="302"/>
    </row>
    <row r="64" spans="1:11" ht="15.75" hidden="1" customHeight="1">
      <c r="A64" s="752"/>
      <c r="B64" s="752"/>
      <c r="C64" s="752"/>
      <c r="D64" s="752"/>
      <c r="E64" s="107" t="s">
        <v>85</v>
      </c>
      <c r="F64" s="105">
        <f>'Trifásico 34,5kv'!N16+'Trifásico 34,5kv'!O16+'Trifásico 34,5kv'!P16</f>
        <v>0</v>
      </c>
      <c r="H64" s="302"/>
      <c r="I64" s="302"/>
      <c r="J64" s="302"/>
      <c r="K64" s="302"/>
    </row>
    <row r="65" spans="1:11" ht="15.75" hidden="1" customHeight="1">
      <c r="A65" s="752"/>
      <c r="B65" s="752"/>
      <c r="C65" s="752"/>
      <c r="D65" s="752"/>
      <c r="E65" s="97" t="s">
        <v>84</v>
      </c>
      <c r="F65" s="105">
        <f>'Trifásico 34,5kv'!N17+'Trifásico 34,5kv'!O17+'Trifásico 34,5kv'!P17</f>
        <v>0</v>
      </c>
      <c r="H65" s="302"/>
      <c r="I65" s="302"/>
      <c r="J65" s="302"/>
      <c r="K65" s="302"/>
    </row>
    <row r="66" spans="1:11" ht="15.75" hidden="1" customHeight="1">
      <c r="A66" s="752"/>
      <c r="B66" s="752"/>
      <c r="C66" s="752"/>
      <c r="D66" s="752"/>
      <c r="E66" s="107" t="s">
        <v>86</v>
      </c>
      <c r="F66" s="105">
        <f>'Trifásico 34,5kv'!N18+'Trifásico 34,5kv'!O18+'Trifásico 34,5kv'!P18</f>
        <v>0</v>
      </c>
      <c r="H66" s="302"/>
      <c r="I66" s="302"/>
      <c r="J66" s="302"/>
      <c r="K66" s="302"/>
    </row>
    <row r="67" spans="1:11" ht="15.75" hidden="1" customHeight="1">
      <c r="A67" s="752"/>
      <c r="B67" s="752"/>
      <c r="C67" s="752"/>
      <c r="D67" s="752"/>
      <c r="E67" s="97" t="s">
        <v>87</v>
      </c>
      <c r="F67" s="105">
        <f>'Trifásico 34,5kv'!N19+'Trifásico 34,5kv'!O19+'Trifásico 34,5kv'!P19</f>
        <v>0</v>
      </c>
      <c r="H67" s="302"/>
      <c r="I67" s="302"/>
      <c r="J67" s="302"/>
      <c r="K67" s="302"/>
    </row>
    <row r="68" spans="1:11" ht="15.75" hidden="1" customHeight="1">
      <c r="A68" s="752"/>
      <c r="B68" s="752"/>
      <c r="C68" s="752"/>
      <c r="D68" s="752"/>
      <c r="E68" s="107" t="s">
        <v>101</v>
      </c>
      <c r="F68" s="105">
        <f>'Trifásico 34,5kv'!N20+'Trifásico 34,5kv'!O20+'Trifásico 34,5kv'!P20</f>
        <v>0</v>
      </c>
      <c r="H68" s="302"/>
      <c r="I68" s="302"/>
      <c r="J68" s="302"/>
      <c r="K68" s="302"/>
    </row>
    <row r="69" spans="1:11" ht="15.75" hidden="1" customHeight="1">
      <c r="A69" s="752"/>
      <c r="B69" s="752"/>
      <c r="C69" s="752"/>
      <c r="D69" s="752"/>
      <c r="E69" s="97" t="s">
        <v>88</v>
      </c>
      <c r="F69" s="105">
        <f>'Trifásico 34,5kv'!N21+'Trifásico 34,5kv'!O21+'Trifásico 34,5kv'!P21</f>
        <v>0</v>
      </c>
      <c r="H69" s="302"/>
      <c r="I69" s="302"/>
      <c r="J69" s="302"/>
      <c r="K69" s="302"/>
    </row>
    <row r="70" spans="1:11" ht="15.75" hidden="1" customHeight="1">
      <c r="A70" s="752"/>
      <c r="B70" s="752"/>
      <c r="C70" s="752"/>
      <c r="D70" s="752"/>
      <c r="E70" s="107" t="s">
        <v>89</v>
      </c>
      <c r="F70" s="105">
        <f>'Trifásico 34,5kv'!N22+'Trifásico 34,5kv'!O22+'Trifásico 34,5kv'!P22</f>
        <v>0</v>
      </c>
      <c r="H70" s="302"/>
      <c r="I70" s="302"/>
      <c r="J70" s="302"/>
      <c r="K70" s="302"/>
    </row>
    <row r="71" spans="1:11" ht="15.75" hidden="1" customHeight="1">
      <c r="A71" s="752"/>
      <c r="B71" s="752"/>
      <c r="C71" s="752"/>
      <c r="D71" s="752"/>
      <c r="E71" s="97" t="s">
        <v>90</v>
      </c>
      <c r="F71" s="105">
        <f>'Trifásico 34,5kv'!N23+'Trifásico 34,5kv'!O23+'Trifásico 34,5kv'!P23</f>
        <v>0</v>
      </c>
      <c r="H71" s="302"/>
      <c r="I71" s="302"/>
      <c r="J71" s="302"/>
      <c r="K71" s="302"/>
    </row>
    <row r="72" spans="1:11" ht="15.75" hidden="1" customHeight="1">
      <c r="A72" s="752"/>
      <c r="B72" s="752"/>
      <c r="C72" s="752"/>
      <c r="D72" s="752"/>
      <c r="E72" s="107" t="s">
        <v>93</v>
      </c>
      <c r="F72" s="105">
        <f>'Trifásico 34,5kv'!N24+'Trifásico 34,5kv'!O24+'Trifásico 34,5kv'!P24</f>
        <v>0</v>
      </c>
      <c r="H72" s="302"/>
      <c r="I72" s="302"/>
      <c r="J72" s="302"/>
      <c r="K72" s="302"/>
    </row>
    <row r="73" spans="1:11" ht="15.75" hidden="1" customHeight="1">
      <c r="A73" s="752"/>
      <c r="B73" s="752"/>
      <c r="C73" s="752"/>
      <c r="D73" s="752"/>
      <c r="E73" s="97" t="s">
        <v>91</v>
      </c>
      <c r="F73" s="105">
        <f>'Trifásico 34,5kv'!N25+'Trifásico 34,5kv'!O25+'Trifásico 34,5kv'!P25</f>
        <v>0</v>
      </c>
      <c r="H73" s="302"/>
      <c r="I73" s="302"/>
      <c r="J73" s="302"/>
      <c r="K73" s="302"/>
    </row>
    <row r="74" spans="1:11" ht="15.75" hidden="1" customHeight="1">
      <c r="A74" s="752"/>
      <c r="B74" s="752"/>
      <c r="C74" s="752"/>
      <c r="D74" s="752"/>
      <c r="E74" s="107" t="s">
        <v>92</v>
      </c>
      <c r="F74" s="105">
        <f>'Trifásico 34,5kv'!N26+'Trifásico 34,5kv'!O26+'Trifásico 34,5kv'!P26</f>
        <v>0</v>
      </c>
      <c r="H74" s="302"/>
      <c r="I74" s="302"/>
      <c r="J74" s="302"/>
      <c r="K74" s="302"/>
    </row>
    <row r="75" spans="1:11" ht="15.75" hidden="1" customHeight="1" thickBot="1">
      <c r="A75" s="752"/>
      <c r="B75" s="752"/>
      <c r="C75" s="752"/>
      <c r="D75" s="752"/>
      <c r="E75" s="93"/>
      <c r="F75" s="753">
        <f>SUM(F53:F74)</f>
        <v>0</v>
      </c>
      <c r="H75" s="302"/>
      <c r="I75" s="302"/>
      <c r="J75" s="302"/>
      <c r="K75" s="302"/>
    </row>
    <row r="76" spans="1:11" ht="15.75" hidden="1" customHeight="1" thickBot="1">
      <c r="B76" s="1654"/>
      <c r="C76" s="1654"/>
      <c r="D76" s="35"/>
      <c r="E76" s="260" t="s">
        <v>184</v>
      </c>
      <c r="F76" s="260">
        <f>SUM(F77:F98)</f>
        <v>0</v>
      </c>
    </row>
    <row r="77" spans="1:11" s="6" customFormat="1" ht="15.75" hidden="1" customHeight="1">
      <c r="A77"/>
      <c r="B77" s="1655"/>
      <c r="C77" s="1656"/>
      <c r="D77" s="35"/>
      <c r="E77" s="97" t="s">
        <v>74</v>
      </c>
      <c r="F77" s="105">
        <f>'Trifásico 34,5kv'!S5+'Trifásico 34,5kv'!T5+'Trifásico 34,5kv'!U5</f>
        <v>0</v>
      </c>
    </row>
    <row r="78" spans="1:11" s="8" customFormat="1" ht="15.75" hidden="1" customHeight="1" thickBot="1">
      <c r="A78"/>
      <c r="B78" s="233"/>
      <c r="C78" s="234"/>
      <c r="D78" s="35"/>
      <c r="E78" s="107" t="s">
        <v>75</v>
      </c>
      <c r="F78" s="105">
        <f>'Trifásico 34,5kv'!S6+'Trifásico 34,5kv'!T6+'Trifásico 34,5kv'!U6</f>
        <v>0</v>
      </c>
    </row>
    <row r="79" spans="1:11" s="8" customFormat="1" ht="15.75" hidden="1" customHeight="1">
      <c r="A79"/>
      <c r="B79" s="27"/>
      <c r="C79" s="27"/>
      <c r="D79" s="35"/>
      <c r="E79" s="97" t="s">
        <v>76</v>
      </c>
      <c r="F79" s="105">
        <f>'Trifásico 34,5kv'!S7+'Trifásico 34,5kv'!T7+'Trifásico 34,5kv'!U7</f>
        <v>0</v>
      </c>
    </row>
    <row r="80" spans="1:11" s="8" customFormat="1" ht="15.75" hidden="1" customHeight="1">
      <c r="A80"/>
      <c r="B80" s="206"/>
      <c r="C80" s="235"/>
      <c r="D80" s="35"/>
      <c r="E80" s="107" t="s">
        <v>77</v>
      </c>
      <c r="F80" s="105">
        <f>'Trifásico 34,5kv'!S8+'Trifásico 34,5kv'!T8+'Trifásico 34,5kv'!U8</f>
        <v>0</v>
      </c>
    </row>
    <row r="81" spans="1:6" s="8" customFormat="1" ht="15.75" hidden="1" customHeight="1">
      <c r="A81"/>
      <c r="B81" s="206"/>
      <c r="C81" s="235"/>
      <c r="D81" s="35"/>
      <c r="E81" s="97" t="s">
        <v>100</v>
      </c>
      <c r="F81" s="105">
        <f>'Trifásico 34,5kv'!S9+'Trifásico 34,5kv'!T9+'Trifásico 34,5kv'!U9</f>
        <v>0</v>
      </c>
    </row>
    <row r="82" spans="1:6" s="8" customFormat="1" ht="15.75" hidden="1" customHeight="1">
      <c r="A82"/>
      <c r="B82" s="206"/>
      <c r="C82" s="235"/>
      <c r="D82" s="35"/>
      <c r="E82" s="107" t="s">
        <v>78</v>
      </c>
      <c r="F82" s="105">
        <f>'Trifásico 34,5kv'!S10+'Trifásico 34,5kv'!T10+'Trifásico 34,5kv'!U10</f>
        <v>0</v>
      </c>
    </row>
    <row r="83" spans="1:6" s="8" customFormat="1" ht="15.75" hidden="1" customHeight="1">
      <c r="A83"/>
      <c r="B83" s="206"/>
      <c r="C83" s="235"/>
      <c r="D83" s="35"/>
      <c r="E83" s="97" t="s">
        <v>79</v>
      </c>
      <c r="F83" s="105">
        <f>'Trifásico 34,5kv'!S11+'Trifásico 34,5kv'!T11+'Trifásico 34,5kv'!U11</f>
        <v>0</v>
      </c>
    </row>
    <row r="84" spans="1:6" s="8" customFormat="1" ht="15.75" hidden="1" customHeight="1">
      <c r="A84"/>
      <c r="B84" s="88"/>
      <c r="C84" s="235"/>
      <c r="D84" s="35"/>
      <c r="E84" s="107" t="s">
        <v>80</v>
      </c>
      <c r="F84" s="105">
        <f>'Trifásico 34,5kv'!S12+'Trifásico 34,5kv'!T12+'Trifásico 34,5kv'!U12</f>
        <v>0</v>
      </c>
    </row>
    <row r="85" spans="1:6" s="8" customFormat="1" ht="15.75" hidden="1" customHeight="1">
      <c r="A85"/>
      <c r="B85" s="88"/>
      <c r="C85" s="235"/>
      <c r="D85" s="35"/>
      <c r="E85" s="97" t="s">
        <v>81</v>
      </c>
      <c r="F85" s="105">
        <f>'Trifásico 34,5kv'!S13+'Trifásico 34,5kv'!T13+'Trifásico 34,5kv'!U13</f>
        <v>0</v>
      </c>
    </row>
    <row r="86" spans="1:6" s="8" customFormat="1" ht="15.75" hidden="1" customHeight="1">
      <c r="A86"/>
      <c r="B86" s="88"/>
      <c r="C86" s="235"/>
      <c r="D86" s="35"/>
      <c r="E86" s="107" t="s">
        <v>82</v>
      </c>
      <c r="F86" s="105">
        <f>'Trifásico 34,5kv'!S14+'Trifásico 34,5kv'!T14+'Trifásico 34,5kv'!U14</f>
        <v>0</v>
      </c>
    </row>
    <row r="87" spans="1:6" s="8" customFormat="1" ht="15.75" hidden="1" customHeight="1">
      <c r="A87"/>
      <c r="B87" s="88"/>
      <c r="C87" s="235"/>
      <c r="D87" s="35"/>
      <c r="E87" s="97" t="s">
        <v>83</v>
      </c>
      <c r="F87" s="105">
        <f>'Trifásico 34,5kv'!S15+'Trifásico 34,5kv'!T15+'Trifásico 34,5kv'!U15</f>
        <v>0</v>
      </c>
    </row>
    <row r="88" spans="1:6" s="8" customFormat="1" ht="15.75" hidden="1" customHeight="1">
      <c r="A88"/>
      <c r="B88" s="88"/>
      <c r="C88" s="235"/>
      <c r="D88" s="35"/>
      <c r="E88" s="107" t="s">
        <v>85</v>
      </c>
      <c r="F88" s="105">
        <f>'Trifásico 34,5kv'!S16+'Trifásico 34,5kv'!T16+'Trifásico 34,5kv'!U16</f>
        <v>0</v>
      </c>
    </row>
    <row r="89" spans="1:6" s="8" customFormat="1" ht="15.75" hidden="1" customHeight="1">
      <c r="A89"/>
      <c r="B89" s="88"/>
      <c r="C89" s="235"/>
      <c r="D89" s="35"/>
      <c r="E89" s="97" t="s">
        <v>84</v>
      </c>
      <c r="F89" s="105">
        <f>'Trifásico 34,5kv'!S17+'Trifásico 34,5kv'!T17+'Trifásico 34,5kv'!U17</f>
        <v>0</v>
      </c>
    </row>
    <row r="90" spans="1:6" s="8" customFormat="1" ht="15.75" hidden="1" customHeight="1">
      <c r="A90"/>
      <c r="B90" s="88"/>
      <c r="C90" s="235"/>
      <c r="D90" s="35"/>
      <c r="E90" s="107" t="s">
        <v>86</v>
      </c>
      <c r="F90" s="105">
        <f>'Trifásico 34,5kv'!S18+'Trifásico 34,5kv'!T18+'Trifásico 34,5kv'!U18</f>
        <v>0</v>
      </c>
    </row>
    <row r="91" spans="1:6" s="8" customFormat="1" ht="15.75" hidden="1" customHeight="1">
      <c r="A91"/>
      <c r="B91" s="89"/>
      <c r="C91" s="235"/>
      <c r="D91" s="35"/>
      <c r="E91" s="97" t="s">
        <v>87</v>
      </c>
      <c r="F91" s="105">
        <f>'Trifásico 34,5kv'!S19+'Trifásico 34,5kv'!T19+'Trifásico 34,5kv'!U19</f>
        <v>0</v>
      </c>
    </row>
    <row r="92" spans="1:6" s="8" customFormat="1" ht="15.75" hidden="1" customHeight="1">
      <c r="A92"/>
      <c r="B92" s="88"/>
      <c r="C92" s="236"/>
      <c r="D92" s="35"/>
      <c r="E92" s="107" t="s">
        <v>101</v>
      </c>
      <c r="F92" s="105">
        <f>'Trifásico 34,5kv'!S20+'Trifásico 34,5kv'!T20+'Trifásico 34,5kv'!U20</f>
        <v>0</v>
      </c>
    </row>
    <row r="93" spans="1:6" s="8" customFormat="1" ht="15.75" hidden="1" customHeight="1">
      <c r="A93"/>
      <c r="B93" s="88"/>
      <c r="C93" s="236"/>
      <c r="D93" s="35"/>
      <c r="E93" s="97" t="s">
        <v>88</v>
      </c>
      <c r="F93" s="105">
        <f>'Trifásico 34,5kv'!S21+'Trifásico 34,5kv'!T21+'Trifásico 34,5kv'!U21</f>
        <v>0</v>
      </c>
    </row>
    <row r="94" spans="1:6" s="8" customFormat="1" ht="15.75" hidden="1" customHeight="1">
      <c r="A94"/>
      <c r="B94" s="88"/>
      <c r="C94" s="236"/>
      <c r="D94" s="35"/>
      <c r="E94" s="107" t="s">
        <v>89</v>
      </c>
      <c r="F94" s="105">
        <f>'Trifásico 34,5kv'!S22+'Trifásico 34,5kv'!T22+'Trifásico 34,5kv'!U22</f>
        <v>0</v>
      </c>
    </row>
    <row r="95" spans="1:6" s="8" customFormat="1" ht="15.75" hidden="1" customHeight="1">
      <c r="A95"/>
      <c r="B95" s="237"/>
      <c r="C95" s="236"/>
      <c r="D95" s="35"/>
      <c r="E95" s="97" t="s">
        <v>90</v>
      </c>
      <c r="F95" s="105">
        <f>'Trifásico 34,5kv'!S23+'Trifásico 34,5kv'!T23+'Trifásico 34,5kv'!U23</f>
        <v>0</v>
      </c>
    </row>
    <row r="96" spans="1:6" s="8" customFormat="1" ht="15.75" hidden="1" customHeight="1">
      <c r="A96"/>
      <c r="B96" s="119"/>
      <c r="C96" s="119"/>
      <c r="D96" s="35"/>
      <c r="E96" s="107" t="s">
        <v>93</v>
      </c>
      <c r="F96" s="105">
        <f>'Trifásico 34,5kv'!S24+'Trifásico 34,5kv'!T24+'Trifásico 34,5kv'!U24</f>
        <v>0</v>
      </c>
    </row>
    <row r="97" spans="1:6" s="8" customFormat="1" ht="15.75" hidden="1" customHeight="1">
      <c r="A97"/>
      <c r="B97" s="1657"/>
      <c r="C97" s="1658"/>
      <c r="D97" s="35"/>
      <c r="E97" s="97" t="s">
        <v>91</v>
      </c>
      <c r="F97" s="105">
        <f>'Trifásico 34,5kv'!S25+'Trifásico 34,5kv'!T25+'Trifásico 34,5kv'!U25</f>
        <v>0</v>
      </c>
    </row>
    <row r="98" spans="1:6" s="8" customFormat="1" ht="15.75" hidden="1" customHeight="1" thickBot="1">
      <c r="A98"/>
      <c r="B98" s="1659"/>
      <c r="C98" s="1660"/>
      <c r="D98" s="35"/>
      <c r="E98" s="107" t="s">
        <v>92</v>
      </c>
      <c r="F98" s="105">
        <f>'Trifásico 34,5kv'!S26+'Trifásico 34,5kv'!T26+'Trifásico 34,5kv'!U26</f>
        <v>0</v>
      </c>
    </row>
    <row r="99" spans="1:6" s="8" customFormat="1" ht="15.75" hidden="1" customHeight="1" thickBot="1">
      <c r="A99"/>
      <c r="B99" s="129"/>
      <c r="C99" s="129"/>
      <c r="D99" s="35"/>
      <c r="E99" s="130"/>
      <c r="F99" s="38">
        <f>SUM(F77:F98)</f>
        <v>0</v>
      </c>
    </row>
    <row r="100" spans="1:6" s="8" customFormat="1" ht="15.75" hidden="1" customHeight="1" thickBot="1">
      <c r="A100" s="10"/>
      <c r="B100" s="10"/>
      <c r="C100" s="10"/>
      <c r="D100" s="10"/>
      <c r="E100" s="293" t="s">
        <v>207</v>
      </c>
      <c r="F100" s="294">
        <f>SUM(F101:F122)</f>
        <v>0</v>
      </c>
    </row>
    <row r="101" spans="1:6" s="8" customFormat="1" ht="15.75" hidden="1" customHeight="1">
      <c r="A101" s="10"/>
      <c r="B101" s="10"/>
      <c r="C101" s="10"/>
      <c r="D101" s="10"/>
      <c r="E101" s="97" t="s">
        <v>74</v>
      </c>
      <c r="F101" s="105">
        <f>'Trifásico 34,5kv'!X5+'Trifásico 34,5kv'!Y5+'Trifásico 34,5kv'!Z5</f>
        <v>0</v>
      </c>
    </row>
    <row r="102" spans="1:6" s="8" customFormat="1" ht="15.75" hidden="1" customHeight="1">
      <c r="A102" s="10"/>
      <c r="B102" s="10"/>
      <c r="C102" s="10"/>
      <c r="D102" s="10"/>
      <c r="E102" s="107" t="s">
        <v>75</v>
      </c>
      <c r="F102" s="105">
        <f>'Trifásico 34,5kv'!X6+'Trifásico 34,5kv'!Y6+'Trifásico 34,5kv'!Z6</f>
        <v>0</v>
      </c>
    </row>
    <row r="103" spans="1:6" s="8" customFormat="1" ht="15.75" hidden="1" customHeight="1">
      <c r="A103" s="10"/>
      <c r="B103" s="10"/>
      <c r="C103" s="10"/>
      <c r="D103" s="10"/>
      <c r="E103" s="97" t="s">
        <v>76</v>
      </c>
      <c r="F103" s="105">
        <f>'Trifásico 34,5kv'!X7+'Trifásico 34,5kv'!Y7+'Trifásico 34,5kv'!Z7</f>
        <v>0</v>
      </c>
    </row>
    <row r="104" spans="1:6" s="8" customFormat="1" ht="15.75" hidden="1" customHeight="1">
      <c r="A104" s="10"/>
      <c r="B104" s="10"/>
      <c r="C104" s="10"/>
      <c r="D104" s="10"/>
      <c r="E104" s="107" t="s">
        <v>77</v>
      </c>
      <c r="F104" s="105">
        <f>'Trifásico 34,5kv'!X8+'Trifásico 34,5kv'!Y8+'Trifásico 34,5kv'!Z8</f>
        <v>0</v>
      </c>
    </row>
    <row r="105" spans="1:6" s="8" customFormat="1" ht="15.75" hidden="1" customHeight="1">
      <c r="A105" s="10"/>
      <c r="B105" s="10"/>
      <c r="C105" s="10"/>
      <c r="D105" s="10"/>
      <c r="E105" s="97" t="s">
        <v>100</v>
      </c>
      <c r="F105" s="105">
        <f>'Trifásico 34,5kv'!X9+'Trifásico 34,5kv'!Y9+'Trifásico 34,5kv'!Z9</f>
        <v>0</v>
      </c>
    </row>
    <row r="106" spans="1:6" s="8" customFormat="1" ht="15.75" hidden="1" customHeight="1">
      <c r="A106" s="10"/>
      <c r="B106" s="10"/>
      <c r="C106" s="10"/>
      <c r="D106" s="10"/>
      <c r="E106" s="107" t="s">
        <v>78</v>
      </c>
      <c r="F106" s="105">
        <f>'Trifásico 34,5kv'!X10+'Trifásico 34,5kv'!Y10+'Trifásico 34,5kv'!Z10</f>
        <v>0</v>
      </c>
    </row>
    <row r="107" spans="1:6" s="8" customFormat="1" ht="15.75" hidden="1" customHeight="1">
      <c r="A107" s="10"/>
      <c r="B107" s="10"/>
      <c r="C107" s="10"/>
      <c r="D107" s="10"/>
      <c r="E107" s="97" t="s">
        <v>79</v>
      </c>
      <c r="F107" s="105">
        <f>'Trifásico 34,5kv'!X11+'Trifásico 34,5kv'!Y11+'Trifásico 34,5kv'!Z11</f>
        <v>0</v>
      </c>
    </row>
    <row r="108" spans="1:6" s="8" customFormat="1" ht="15.75" hidden="1" customHeight="1">
      <c r="A108" s="10"/>
      <c r="B108" s="10"/>
      <c r="C108" s="10"/>
      <c r="D108" s="10"/>
      <c r="E108" s="107" t="s">
        <v>80</v>
      </c>
      <c r="F108" s="105">
        <f>'Trifásico 34,5kv'!X12+'Trifásico 34,5kv'!Y12+'Trifásico 34,5kv'!Z12</f>
        <v>0</v>
      </c>
    </row>
    <row r="109" spans="1:6" s="8" customFormat="1" ht="15.75" hidden="1" customHeight="1">
      <c r="A109" s="10"/>
      <c r="B109" s="10"/>
      <c r="C109" s="10"/>
      <c r="D109" s="10"/>
      <c r="E109" s="97" t="s">
        <v>81</v>
      </c>
      <c r="F109" s="105">
        <f>'Trifásico 34,5kv'!X13+'Trifásico 34,5kv'!Y13+'Trifásico 34,5kv'!Z13</f>
        <v>0</v>
      </c>
    </row>
    <row r="110" spans="1:6" s="8" customFormat="1" ht="15.75" hidden="1" customHeight="1">
      <c r="A110" s="10"/>
      <c r="B110" s="10"/>
      <c r="C110" s="10"/>
      <c r="D110" s="10"/>
      <c r="E110" s="107" t="s">
        <v>82</v>
      </c>
      <c r="F110" s="105">
        <f>'Trifásico 34,5kv'!X14+'Trifásico 34,5kv'!Y14+'Trifásico 34,5kv'!Z14</f>
        <v>0</v>
      </c>
    </row>
    <row r="111" spans="1:6" s="8" customFormat="1" ht="15.75" hidden="1" customHeight="1">
      <c r="A111" s="10"/>
      <c r="B111" s="10"/>
      <c r="C111" s="10"/>
      <c r="D111" s="10"/>
      <c r="E111" s="97" t="s">
        <v>83</v>
      </c>
      <c r="F111" s="105">
        <f>'Trifásico 34,5kv'!X15+'Trifásico 34,5kv'!Y15+'Trifásico 34,5kv'!Z15</f>
        <v>0</v>
      </c>
    </row>
    <row r="112" spans="1:6" s="8" customFormat="1" ht="15.75" hidden="1" customHeight="1">
      <c r="A112" s="10"/>
      <c r="B112" s="10"/>
      <c r="C112" s="10"/>
      <c r="D112" s="10"/>
      <c r="E112" s="107" t="s">
        <v>85</v>
      </c>
      <c r="F112" s="105">
        <f>'Trifásico 34,5kv'!X16+'Trifásico 34,5kv'!Y16+'Trifásico 34,5kv'!Z16</f>
        <v>0</v>
      </c>
    </row>
    <row r="113" spans="1:6" s="8" customFormat="1" ht="15.75" hidden="1" customHeight="1">
      <c r="A113" s="10"/>
      <c r="B113" s="10"/>
      <c r="C113" s="10"/>
      <c r="D113" s="10"/>
      <c r="E113" s="97" t="s">
        <v>84</v>
      </c>
      <c r="F113" s="105">
        <f>'Trifásico 34,5kv'!X17+'Trifásico 34,5kv'!Y17+'Trifásico 34,5kv'!Z17</f>
        <v>0</v>
      </c>
    </row>
    <row r="114" spans="1:6" s="8" customFormat="1" ht="15.75" hidden="1" customHeight="1">
      <c r="A114" s="10"/>
      <c r="B114" s="10"/>
      <c r="C114" s="10"/>
      <c r="D114" s="10"/>
      <c r="E114" s="107" t="s">
        <v>86</v>
      </c>
      <c r="F114" s="105">
        <f>'Trifásico 34,5kv'!X18+'Trifásico 34,5kv'!Y18+'Trifásico 34,5kv'!Z18</f>
        <v>0</v>
      </c>
    </row>
    <row r="115" spans="1:6" s="8" customFormat="1" ht="15.75" hidden="1" customHeight="1">
      <c r="A115" s="10"/>
      <c r="B115" s="10"/>
      <c r="C115" s="10"/>
      <c r="D115" s="10"/>
      <c r="E115" s="97" t="s">
        <v>87</v>
      </c>
      <c r="F115" s="105">
        <f>'Trifásico 34,5kv'!X19+'Trifásico 34,5kv'!Y19+'Trifásico 34,5kv'!Z19</f>
        <v>0</v>
      </c>
    </row>
    <row r="116" spans="1:6" s="8" customFormat="1" ht="15.75" hidden="1" customHeight="1">
      <c r="A116" s="10"/>
      <c r="B116" s="10"/>
      <c r="C116" s="10"/>
      <c r="D116" s="10"/>
      <c r="E116" s="107" t="s">
        <v>101</v>
      </c>
      <c r="F116" s="105">
        <f>'Trifásico 34,5kv'!X20+'Trifásico 34,5kv'!Y20+'Trifásico 34,5kv'!Z20</f>
        <v>0</v>
      </c>
    </row>
    <row r="117" spans="1:6" s="8" customFormat="1" ht="15.75" hidden="1" customHeight="1">
      <c r="A117" s="10"/>
      <c r="B117" s="10"/>
      <c r="C117" s="10"/>
      <c r="D117" s="10"/>
      <c r="E117" s="97" t="s">
        <v>88</v>
      </c>
      <c r="F117" s="105">
        <f>'Trifásico 34,5kv'!X21+'Trifásico 34,5kv'!Y21+'Trifásico 34,5kv'!Z21</f>
        <v>0</v>
      </c>
    </row>
    <row r="118" spans="1:6" s="8" customFormat="1" ht="15.75" hidden="1" customHeight="1">
      <c r="A118" s="10"/>
      <c r="B118" s="10"/>
      <c r="C118" s="10"/>
      <c r="D118" s="10"/>
      <c r="E118" s="107" t="s">
        <v>89</v>
      </c>
      <c r="F118" s="105">
        <f>'Trifásico 34,5kv'!X22+'Trifásico 34,5kv'!Y22+'Trifásico 34,5kv'!Z22</f>
        <v>0</v>
      </c>
    </row>
    <row r="119" spans="1:6" s="8" customFormat="1" ht="15.75" hidden="1" customHeight="1">
      <c r="A119" s="10"/>
      <c r="B119" s="10"/>
      <c r="C119" s="10"/>
      <c r="D119" s="10"/>
      <c r="E119" s="97" t="s">
        <v>90</v>
      </c>
      <c r="F119" s="105">
        <f>'Trifásico 34,5kv'!X23+'Trifásico 34,5kv'!Y23+'Trifásico 34,5kv'!Z23</f>
        <v>0</v>
      </c>
    </row>
    <row r="120" spans="1:6" s="8" customFormat="1" ht="15.75" hidden="1" customHeight="1">
      <c r="A120" s="10"/>
      <c r="B120" s="10"/>
      <c r="C120" s="10"/>
      <c r="D120" s="10"/>
      <c r="E120" s="107" t="s">
        <v>93</v>
      </c>
      <c r="F120" s="105">
        <f>'Trifásico 34,5kv'!X24+'Trifásico 34,5kv'!Y24+'Trifásico 34,5kv'!Z24</f>
        <v>0</v>
      </c>
    </row>
    <row r="121" spans="1:6" s="8" customFormat="1" ht="15.75" hidden="1" customHeight="1">
      <c r="A121" s="10"/>
      <c r="B121" s="10"/>
      <c r="C121" s="10"/>
      <c r="D121" s="10"/>
      <c r="E121" s="97" t="s">
        <v>91</v>
      </c>
      <c r="F121" s="105">
        <f>'Trifásico 34,5kv'!X25+'Trifásico 34,5kv'!Y25+'Trifásico 34,5kv'!Z25</f>
        <v>0</v>
      </c>
    </row>
    <row r="122" spans="1:6" s="8" customFormat="1" ht="15.75" hidden="1" customHeight="1">
      <c r="A122" s="10"/>
      <c r="B122" s="10"/>
      <c r="C122" s="10"/>
      <c r="D122" s="10"/>
      <c r="E122" s="107" t="s">
        <v>92</v>
      </c>
      <c r="F122" s="105">
        <f>'Trifásico 34,5kv'!X26+'Trifásico 34,5kv'!Y26+'Trifásico 34,5kv'!Z26</f>
        <v>0</v>
      </c>
    </row>
    <row r="123" spans="1:6" s="8" customFormat="1" ht="15.75" hidden="1" customHeight="1" thickBot="1">
      <c r="A123" s="10"/>
      <c r="B123" s="10"/>
      <c r="C123" s="10"/>
      <c r="D123" s="10"/>
      <c r="E123" s="130"/>
      <c r="F123" s="38">
        <f>SUM(F101:F122)</f>
        <v>0</v>
      </c>
    </row>
    <row r="124" spans="1:6" s="8" customFormat="1" ht="15.75" hidden="1" customHeight="1" thickBot="1">
      <c r="A124" s="10"/>
      <c r="B124" s="10"/>
      <c r="C124" s="10"/>
      <c r="D124" s="10"/>
      <c r="E124" s="293" t="s">
        <v>208</v>
      </c>
      <c r="F124" s="294">
        <f>SUM(F125:F146)</f>
        <v>0</v>
      </c>
    </row>
    <row r="125" spans="1:6" s="8" customFormat="1" ht="15.75" hidden="1" customHeight="1">
      <c r="A125" s="10"/>
      <c r="B125" s="10"/>
      <c r="C125" s="10"/>
      <c r="D125" s="10"/>
      <c r="E125" s="97" t="s">
        <v>74</v>
      </c>
      <c r="F125" s="105">
        <f>'Trifásico 34,5kv'!AC5+'Trifásico 34,5kv'!AD5+'Trifásico 34,5kv'!AE5</f>
        <v>0</v>
      </c>
    </row>
    <row r="126" spans="1:6" s="8" customFormat="1" ht="15.75" hidden="1" customHeight="1">
      <c r="A126" s="10"/>
      <c r="B126" s="10"/>
      <c r="C126" s="10"/>
      <c r="D126" s="10"/>
      <c r="E126" s="107" t="s">
        <v>75</v>
      </c>
      <c r="F126" s="105">
        <f>'Trifásico 34,5kv'!AC6+'Trifásico 34,5kv'!AD6+'Trifásico 34,5kv'!AE6</f>
        <v>0</v>
      </c>
    </row>
    <row r="127" spans="1:6" s="8" customFormat="1" ht="15.75" hidden="1" customHeight="1">
      <c r="A127" s="10"/>
      <c r="B127" s="10"/>
      <c r="C127" s="10"/>
      <c r="D127" s="10"/>
      <c r="E127" s="97" t="s">
        <v>76</v>
      </c>
      <c r="F127" s="105">
        <f>'Trifásico 34,5kv'!AC7+'Trifásico 34,5kv'!AD7+'Trifásico 34,5kv'!AE7</f>
        <v>0</v>
      </c>
    </row>
    <row r="128" spans="1:6" s="8" customFormat="1" ht="15.75" hidden="1" customHeight="1">
      <c r="A128" s="10"/>
      <c r="B128" s="10"/>
      <c r="C128" s="10"/>
      <c r="D128" s="10"/>
      <c r="E128" s="107" t="s">
        <v>77</v>
      </c>
      <c r="F128" s="105">
        <f>'Trifásico 34,5kv'!AC8+'Trifásico 34,5kv'!AD8+'Trifásico 34,5kv'!AE8</f>
        <v>0</v>
      </c>
    </row>
    <row r="129" spans="1:6" s="8" customFormat="1" ht="15.75" hidden="1" customHeight="1">
      <c r="A129" s="10"/>
      <c r="B129" s="10"/>
      <c r="C129" s="10"/>
      <c r="D129" s="10"/>
      <c r="E129" s="97" t="s">
        <v>100</v>
      </c>
      <c r="F129" s="105">
        <f>'Trifásico 34,5kv'!AC9+'Trifásico 34,5kv'!AD9+'Trifásico 34,5kv'!AE9</f>
        <v>0</v>
      </c>
    </row>
    <row r="130" spans="1:6" s="8" customFormat="1" ht="15.75" hidden="1" customHeight="1">
      <c r="A130" s="10"/>
      <c r="B130" s="10"/>
      <c r="C130" s="10"/>
      <c r="D130" s="10"/>
      <c r="E130" s="107" t="s">
        <v>78</v>
      </c>
      <c r="F130" s="105">
        <f>'Trifásico 34,5kv'!AC10+'Trifásico 34,5kv'!AD10+'Trifásico 34,5kv'!AE10</f>
        <v>0</v>
      </c>
    </row>
    <row r="131" spans="1:6" s="8" customFormat="1" ht="15.75" hidden="1" customHeight="1">
      <c r="A131" s="10"/>
      <c r="B131" s="10"/>
      <c r="C131" s="10"/>
      <c r="D131" s="10"/>
      <c r="E131" s="97" t="s">
        <v>79</v>
      </c>
      <c r="F131" s="105">
        <f>'Trifásico 34,5kv'!AC11+'Trifásico 34,5kv'!AD11+'Trifásico 34,5kv'!AE11</f>
        <v>0</v>
      </c>
    </row>
    <row r="132" spans="1:6" s="8" customFormat="1" ht="15.75" hidden="1" customHeight="1">
      <c r="A132" s="10"/>
      <c r="B132" s="10"/>
      <c r="C132" s="10"/>
      <c r="D132" s="10"/>
      <c r="E132" s="107" t="s">
        <v>80</v>
      </c>
      <c r="F132" s="105">
        <f>'Trifásico 34,5kv'!AC12+'Trifásico 34,5kv'!AD12+'Trifásico 34,5kv'!AE12</f>
        <v>0</v>
      </c>
    </row>
    <row r="133" spans="1:6" s="8" customFormat="1" ht="15.75" hidden="1" customHeight="1">
      <c r="A133" s="10"/>
      <c r="B133" s="10"/>
      <c r="C133" s="10"/>
      <c r="D133" s="10"/>
      <c r="E133" s="97" t="s">
        <v>81</v>
      </c>
      <c r="F133" s="105">
        <f>'Trifásico 34,5kv'!AC13+'Trifásico 34,5kv'!AD13+'Trifásico 34,5kv'!AE13</f>
        <v>0</v>
      </c>
    </row>
    <row r="134" spans="1:6" s="8" customFormat="1" ht="15.75" hidden="1" customHeight="1">
      <c r="A134" s="10"/>
      <c r="B134" s="10"/>
      <c r="C134" s="10"/>
      <c r="D134" s="10"/>
      <c r="E134" s="107" t="s">
        <v>82</v>
      </c>
      <c r="F134" s="105">
        <f>'Trifásico 34,5kv'!AC14+'Trifásico 34,5kv'!AD14+'Trifásico 34,5kv'!AE14</f>
        <v>0</v>
      </c>
    </row>
    <row r="135" spans="1:6" s="8" customFormat="1" ht="15.75" hidden="1" customHeight="1">
      <c r="A135" s="10"/>
      <c r="B135" s="10"/>
      <c r="C135" s="10"/>
      <c r="D135" s="10"/>
      <c r="E135" s="97" t="s">
        <v>83</v>
      </c>
      <c r="F135" s="105">
        <f>'Trifásico 34,5kv'!AC15+'Trifásico 34,5kv'!AD15+'Trifásico 34,5kv'!AE15</f>
        <v>0</v>
      </c>
    </row>
    <row r="136" spans="1:6" s="8" customFormat="1" ht="15.75" hidden="1" customHeight="1">
      <c r="A136" s="10"/>
      <c r="B136" s="10"/>
      <c r="C136" s="10"/>
      <c r="D136" s="10"/>
      <c r="E136" s="107" t="s">
        <v>85</v>
      </c>
      <c r="F136" s="105">
        <f>'Trifásico 34,5kv'!AC16+'Trifásico 34,5kv'!AD16+'Trifásico 34,5kv'!AE16</f>
        <v>0</v>
      </c>
    </row>
    <row r="137" spans="1:6" s="8" customFormat="1" ht="15.75" hidden="1" customHeight="1">
      <c r="A137" s="10"/>
      <c r="B137" s="10"/>
      <c r="C137" s="10"/>
      <c r="D137" s="10"/>
      <c r="E137" s="97" t="s">
        <v>84</v>
      </c>
      <c r="F137" s="105">
        <f>'Trifásico 34,5kv'!AC17+'Trifásico 34,5kv'!AD17+'Trifásico 34,5kv'!AE17</f>
        <v>0</v>
      </c>
    </row>
    <row r="138" spans="1:6" s="8" customFormat="1" ht="15.75" hidden="1" customHeight="1">
      <c r="A138" s="10"/>
      <c r="B138" s="10"/>
      <c r="C138" s="10"/>
      <c r="D138" s="10"/>
      <c r="E138" s="107" t="s">
        <v>86</v>
      </c>
      <c r="F138" s="105">
        <f>'Trifásico 34,5kv'!AC18+'Trifásico 34,5kv'!AD18+'Trifásico 34,5kv'!AE18</f>
        <v>0</v>
      </c>
    </row>
    <row r="139" spans="1:6" s="8" customFormat="1" ht="15.75" hidden="1" customHeight="1">
      <c r="A139" s="10"/>
      <c r="B139" s="10"/>
      <c r="C139" s="10"/>
      <c r="D139" s="10"/>
      <c r="E139" s="97" t="s">
        <v>87</v>
      </c>
      <c r="F139" s="105">
        <f>'Trifásico 34,5kv'!AC19+'Trifásico 34,5kv'!AD19+'Trifásico 34,5kv'!AE19</f>
        <v>0</v>
      </c>
    </row>
    <row r="140" spans="1:6" s="8" customFormat="1" ht="15.75" hidden="1" customHeight="1">
      <c r="A140" s="10"/>
      <c r="B140" s="10"/>
      <c r="C140" s="10"/>
      <c r="D140" s="10"/>
      <c r="E140" s="107" t="s">
        <v>101</v>
      </c>
      <c r="F140" s="105">
        <f>'Trifásico 34,5kv'!AC20+'Trifásico 34,5kv'!AD20+'Trifásico 34,5kv'!AE20</f>
        <v>0</v>
      </c>
    </row>
    <row r="141" spans="1:6" s="8" customFormat="1" ht="15.75" hidden="1" customHeight="1">
      <c r="A141" s="10"/>
      <c r="B141" s="10"/>
      <c r="C141" s="10"/>
      <c r="D141" s="10"/>
      <c r="E141" s="97" t="s">
        <v>88</v>
      </c>
      <c r="F141" s="105">
        <f>'Trifásico 34,5kv'!AC21+'Trifásico 34,5kv'!AD21+'Trifásico 34,5kv'!AE21</f>
        <v>0</v>
      </c>
    </row>
    <row r="142" spans="1:6" s="8" customFormat="1" ht="15.75" hidden="1" customHeight="1">
      <c r="A142" s="10"/>
      <c r="B142" s="10"/>
      <c r="C142" s="10"/>
      <c r="D142" s="10"/>
      <c r="E142" s="107" t="s">
        <v>89</v>
      </c>
      <c r="F142" s="105">
        <f>'Trifásico 34,5kv'!AC22+'Trifásico 34,5kv'!AD22+'Trifásico 34,5kv'!AE22</f>
        <v>0</v>
      </c>
    </row>
    <row r="143" spans="1:6" s="8" customFormat="1" ht="15.75" hidden="1" customHeight="1">
      <c r="A143" s="10"/>
      <c r="B143" s="10"/>
      <c r="C143" s="10"/>
      <c r="D143" s="10"/>
      <c r="E143" s="97" t="s">
        <v>90</v>
      </c>
      <c r="F143" s="105">
        <f>'Trifásico 34,5kv'!AC23+'Trifásico 34,5kv'!AD23+'Trifásico 34,5kv'!AE23</f>
        <v>0</v>
      </c>
    </row>
    <row r="144" spans="1:6" s="8" customFormat="1" ht="15.75" hidden="1" customHeight="1">
      <c r="A144" s="10"/>
      <c r="B144" s="10"/>
      <c r="C144" s="10"/>
      <c r="D144" s="10"/>
      <c r="E144" s="107" t="s">
        <v>93</v>
      </c>
      <c r="F144" s="105">
        <f>'Trifásico 34,5kv'!AC24+'Trifásico 34,5kv'!AD24+'Trifásico 34,5kv'!AE24</f>
        <v>0</v>
      </c>
    </row>
    <row r="145" spans="1:7" s="8" customFormat="1" ht="15.75" hidden="1" customHeight="1">
      <c r="A145" s="10"/>
      <c r="B145" s="10"/>
      <c r="C145" s="10"/>
      <c r="D145" s="10"/>
      <c r="E145" s="97" t="s">
        <v>91</v>
      </c>
      <c r="F145" s="105">
        <f>'Trifásico 34,5kv'!AC25+'Trifásico 34,5kv'!AD25+'Trifásico 34,5kv'!AE25</f>
        <v>0</v>
      </c>
    </row>
    <row r="146" spans="1:7" s="8" customFormat="1" ht="15.75" hidden="1" customHeight="1">
      <c r="A146" s="10"/>
      <c r="B146" s="10"/>
      <c r="C146" s="10"/>
      <c r="D146" s="10"/>
      <c r="E146" s="158" t="s">
        <v>92</v>
      </c>
      <c r="F146" s="105">
        <f>'Trifásico 34,5kv'!AC26+'Trifásico 34,5kv'!AD26+'Trifásico 34,5kv'!AE26</f>
        <v>0</v>
      </c>
    </row>
    <row r="147" spans="1:7" s="8" customFormat="1" ht="15.75" hidden="1" customHeight="1" thickBot="1">
      <c r="A147" s="10"/>
      <c r="B147" s="10"/>
      <c r="C147" s="10"/>
      <c r="D147" s="10"/>
      <c r="E147" s="130"/>
      <c r="F147" s="38">
        <f>SUM(F125:F146)</f>
        <v>0</v>
      </c>
    </row>
    <row r="148" spans="1:7" s="8" customFormat="1" ht="15.75" hidden="1" customHeight="1" thickBot="1">
      <c r="A148" s="248" t="s">
        <v>232</v>
      </c>
      <c r="B148" s="249"/>
      <c r="C148" s="249"/>
      <c r="D148" s="249"/>
      <c r="E148" s="295"/>
      <c r="F148" s="296">
        <f>SUM(F149:F170)</f>
        <v>0</v>
      </c>
      <c r="G148" s="256"/>
    </row>
    <row r="149" spans="1:7" s="8" customFormat="1" ht="15.75" hidden="1" customHeight="1">
      <c r="A149" s="10"/>
      <c r="B149" s="10"/>
      <c r="C149" s="10"/>
      <c r="D149" s="10"/>
      <c r="E149" s="97" t="s">
        <v>74</v>
      </c>
      <c r="F149" s="105">
        <f>'Trifásico 34,5kv'!AH5+'Trifásico 34,5kv'!AI5+'Trifásico 34,5kv'!AJ5</f>
        <v>0</v>
      </c>
    </row>
    <row r="150" spans="1:7" s="8" customFormat="1" ht="15.75" hidden="1" customHeight="1">
      <c r="A150" s="10"/>
      <c r="B150" s="10"/>
      <c r="C150" s="10"/>
      <c r="D150" s="10"/>
      <c r="E150" s="107" t="s">
        <v>75</v>
      </c>
      <c r="F150" s="105">
        <f>'Trifásico 34,5kv'!AH6+'Trifásico 34,5kv'!AI6+'Trifásico 34,5kv'!AJ6</f>
        <v>0</v>
      </c>
    </row>
    <row r="151" spans="1:7" s="8" customFormat="1" ht="15.75" hidden="1" customHeight="1">
      <c r="A151" s="10"/>
      <c r="B151" s="10"/>
      <c r="C151" s="10"/>
      <c r="D151" s="10"/>
      <c r="E151" s="97" t="s">
        <v>76</v>
      </c>
      <c r="F151" s="105">
        <f>'Trifásico 34,5kv'!AH7+'Trifásico 34,5kv'!AI7+'Trifásico 34,5kv'!AJ7</f>
        <v>0</v>
      </c>
    </row>
    <row r="152" spans="1:7" s="8" customFormat="1" ht="15.75" hidden="1" customHeight="1">
      <c r="A152" s="10"/>
      <c r="B152" s="10"/>
      <c r="C152" s="10"/>
      <c r="D152" s="10"/>
      <c r="E152" s="107" t="s">
        <v>77</v>
      </c>
      <c r="F152" s="105">
        <f>'Trifásico 34,5kv'!AH8+'Trifásico 34,5kv'!AI8+'Trifásico 34,5kv'!AJ8</f>
        <v>0</v>
      </c>
    </row>
    <row r="153" spans="1:7" s="8" customFormat="1" ht="15.75" hidden="1" customHeight="1">
      <c r="A153" s="10"/>
      <c r="B153" s="10"/>
      <c r="C153" s="10"/>
      <c r="D153" s="10"/>
      <c r="E153" s="97" t="s">
        <v>100</v>
      </c>
      <c r="F153" s="105">
        <f>'Trifásico 34,5kv'!AH9+'Trifásico 34,5kv'!AI9+'Trifásico 34,5kv'!AJ9</f>
        <v>0</v>
      </c>
    </row>
    <row r="154" spans="1:7" s="8" customFormat="1" ht="15.75" hidden="1" customHeight="1">
      <c r="A154" s="10"/>
      <c r="B154" s="10"/>
      <c r="C154" s="10"/>
      <c r="D154" s="10"/>
      <c r="E154" s="107" t="s">
        <v>78</v>
      </c>
      <c r="F154" s="105">
        <f>'Trifásico 34,5kv'!AH10+'Trifásico 34,5kv'!AI10+'Trifásico 34,5kv'!AJ10</f>
        <v>0</v>
      </c>
    </row>
    <row r="155" spans="1:7" s="8" customFormat="1" ht="15.75" hidden="1" customHeight="1">
      <c r="A155" s="10"/>
      <c r="B155" s="10"/>
      <c r="C155" s="10"/>
      <c r="D155" s="10"/>
      <c r="E155" s="97" t="s">
        <v>79</v>
      </c>
      <c r="F155" s="105">
        <f>'Trifásico 34,5kv'!AH11+'Trifásico 34,5kv'!AI11+'Trifásico 34,5kv'!AJ11</f>
        <v>0</v>
      </c>
    </row>
    <row r="156" spans="1:7" s="8" customFormat="1" ht="15.75" hidden="1" customHeight="1">
      <c r="A156" s="10"/>
      <c r="B156" s="10"/>
      <c r="C156" s="10"/>
      <c r="D156" s="10"/>
      <c r="E156" s="107" t="s">
        <v>80</v>
      </c>
      <c r="F156" s="105">
        <f>'Trifásico 34,5kv'!AH12+'Trifásico 34,5kv'!AI12+'Trifásico 34,5kv'!AJ12</f>
        <v>0</v>
      </c>
    </row>
    <row r="157" spans="1:7" s="8" customFormat="1" ht="15.75" hidden="1" customHeight="1">
      <c r="A157" s="10"/>
      <c r="B157" s="10"/>
      <c r="C157" s="10"/>
      <c r="D157" s="10"/>
      <c r="E157" s="97" t="s">
        <v>81</v>
      </c>
      <c r="F157" s="105">
        <f>'Trifásico 34,5kv'!AH13+'Trifásico 34,5kv'!AI13+'Trifásico 34,5kv'!AJ13</f>
        <v>0</v>
      </c>
    </row>
    <row r="158" spans="1:7" s="8" customFormat="1" ht="15.75" hidden="1" customHeight="1">
      <c r="A158" s="10"/>
      <c r="B158" s="10"/>
      <c r="C158" s="10"/>
      <c r="D158" s="10"/>
      <c r="E158" s="107" t="s">
        <v>82</v>
      </c>
      <c r="F158" s="105">
        <f>'Trifásico 34,5kv'!AH14+'Trifásico 34,5kv'!AI14+'Trifásico 34,5kv'!AJ14</f>
        <v>0</v>
      </c>
    </row>
    <row r="159" spans="1:7" s="8" customFormat="1" ht="15.75" hidden="1" customHeight="1">
      <c r="A159" s="10"/>
      <c r="B159" s="10"/>
      <c r="C159" s="10"/>
      <c r="D159" s="10"/>
      <c r="E159" s="97" t="s">
        <v>83</v>
      </c>
      <c r="F159" s="105">
        <f>'Trifásico 34,5kv'!AH15+'Trifásico 34,5kv'!AI15+'Trifásico 34,5kv'!AJ15</f>
        <v>0</v>
      </c>
    </row>
    <row r="160" spans="1:7" s="8" customFormat="1" ht="15.75" hidden="1" customHeight="1">
      <c r="A160" s="10"/>
      <c r="B160" s="10"/>
      <c r="C160" s="10"/>
      <c r="D160" s="10"/>
      <c r="E160" s="107" t="s">
        <v>85</v>
      </c>
      <c r="F160" s="105">
        <f>'Trifásico 34,5kv'!AH16+'Trifásico 34,5kv'!AI16+'Trifásico 34,5kv'!AJ16</f>
        <v>0</v>
      </c>
    </row>
    <row r="161" spans="1:6" s="8" customFormat="1" ht="15.75" hidden="1" customHeight="1">
      <c r="A161" s="10"/>
      <c r="B161" s="10"/>
      <c r="C161" s="10"/>
      <c r="D161" s="10"/>
      <c r="E161" s="97" t="s">
        <v>84</v>
      </c>
      <c r="F161" s="105">
        <f>'Trifásico 34,5kv'!AH17+'Trifásico 34,5kv'!AI17+'Trifásico 34,5kv'!AJ17</f>
        <v>0</v>
      </c>
    </row>
    <row r="162" spans="1:6" s="8" customFormat="1" ht="15.75" hidden="1" customHeight="1">
      <c r="A162" s="10"/>
      <c r="B162" s="10"/>
      <c r="C162" s="10"/>
      <c r="D162" s="10"/>
      <c r="E162" s="107" t="s">
        <v>86</v>
      </c>
      <c r="F162" s="105">
        <f>'Trifásico 34,5kv'!AH18+'Trifásico 34,5kv'!AI18+'Trifásico 34,5kv'!AJ18</f>
        <v>0</v>
      </c>
    </row>
    <row r="163" spans="1:6" s="8" customFormat="1" ht="15.75" hidden="1" customHeight="1">
      <c r="A163" s="10"/>
      <c r="B163" s="10"/>
      <c r="C163" s="10"/>
      <c r="D163" s="10"/>
      <c r="E163" s="97" t="s">
        <v>87</v>
      </c>
      <c r="F163" s="105">
        <f>'Trifásico 34,5kv'!AH19+'Trifásico 34,5kv'!AI19+'Trifásico 34,5kv'!AJ19</f>
        <v>0</v>
      </c>
    </row>
    <row r="164" spans="1:6" s="8" customFormat="1" ht="15.75" hidden="1" customHeight="1">
      <c r="A164" s="10"/>
      <c r="B164" s="10"/>
      <c r="C164" s="10"/>
      <c r="D164" s="10"/>
      <c r="E164" s="107" t="s">
        <v>101</v>
      </c>
      <c r="F164" s="105">
        <f>'Trifásico 34,5kv'!AH20+'Trifásico 34,5kv'!AI20+'Trifásico 34,5kv'!AJ20</f>
        <v>0</v>
      </c>
    </row>
    <row r="165" spans="1:6" s="8" customFormat="1" ht="15.75" hidden="1" customHeight="1">
      <c r="A165" s="10"/>
      <c r="B165" s="10"/>
      <c r="C165" s="10"/>
      <c r="D165" s="10"/>
      <c r="E165" s="97" t="s">
        <v>88</v>
      </c>
      <c r="F165" s="105">
        <f>'Trifásico 34,5kv'!AH21+'Trifásico 34,5kv'!AI21+'Trifásico 34,5kv'!AJ21</f>
        <v>0</v>
      </c>
    </row>
    <row r="166" spans="1:6" s="8" customFormat="1" ht="15.75" hidden="1" customHeight="1">
      <c r="A166" s="10"/>
      <c r="B166" s="10"/>
      <c r="C166" s="10"/>
      <c r="D166" s="10"/>
      <c r="E166" s="107" t="s">
        <v>89</v>
      </c>
      <c r="F166" s="105">
        <f>'Trifásico 34,5kv'!AH22+'Trifásico 34,5kv'!AI22+'Trifásico 34,5kv'!AJ22</f>
        <v>0</v>
      </c>
    </row>
    <row r="167" spans="1:6" s="8" customFormat="1" ht="15.75" hidden="1" customHeight="1">
      <c r="A167" s="10"/>
      <c r="B167" s="10"/>
      <c r="C167" s="10"/>
      <c r="D167" s="10"/>
      <c r="E167" s="97" t="s">
        <v>90</v>
      </c>
      <c r="F167" s="105">
        <f>'Trifásico 34,5kv'!AH23+'Trifásico 34,5kv'!AI23+'Trifásico 34,5kv'!AJ23</f>
        <v>0</v>
      </c>
    </row>
    <row r="168" spans="1:6" s="8" customFormat="1" ht="15.75" hidden="1" customHeight="1">
      <c r="A168" s="10"/>
      <c r="B168" s="10"/>
      <c r="C168" s="10"/>
      <c r="D168" s="10"/>
      <c r="E168" s="107" t="s">
        <v>93</v>
      </c>
      <c r="F168" s="105">
        <f>'Trifásico 34,5kv'!AH24+'Trifásico 34,5kv'!AI24+'Trifásico 34,5kv'!AJ24</f>
        <v>0</v>
      </c>
    </row>
    <row r="169" spans="1:6" s="8" customFormat="1" ht="15.75" hidden="1" customHeight="1">
      <c r="A169" s="10"/>
      <c r="B169" s="10"/>
      <c r="C169" s="10"/>
      <c r="D169" s="10"/>
      <c r="E169" s="97" t="s">
        <v>91</v>
      </c>
      <c r="F169" s="105">
        <f>'Trifásico 34,5kv'!AH25+'Trifásico 34,5kv'!AI25+'Trifásico 34,5kv'!AJ25</f>
        <v>0</v>
      </c>
    </row>
    <row r="170" spans="1:6" s="8" customFormat="1" ht="15.75" hidden="1" customHeight="1">
      <c r="A170" s="10"/>
      <c r="B170" s="10"/>
      <c r="C170" s="10"/>
      <c r="D170" s="10"/>
      <c r="E170" s="107" t="s">
        <v>92</v>
      </c>
      <c r="F170" s="105">
        <f>'Trifásico 34,5kv'!AH26+'Trifásico 34,5kv'!AI26+'Trifásico 34,5kv'!AJ26</f>
        <v>0</v>
      </c>
    </row>
    <row r="171" spans="1:6" s="8" customFormat="1" ht="15.75" hidden="1" customHeight="1" thickBot="1">
      <c r="A171" s="10"/>
      <c r="B171" s="10"/>
      <c r="C171" s="10"/>
      <c r="D171" s="10"/>
      <c r="E171" s="130"/>
      <c r="F171" s="38">
        <f>SUM(F149:F170)</f>
        <v>0</v>
      </c>
    </row>
    <row r="172" spans="1:6" s="8" customFormat="1" ht="15.75" hidden="1" customHeight="1" thickBot="1">
      <c r="A172" s="10"/>
      <c r="B172" s="10"/>
      <c r="C172" s="10"/>
      <c r="D172" s="10"/>
      <c r="E172" s="230" t="s">
        <v>218</v>
      </c>
      <c r="F172" s="294">
        <f>SUM(F173:F194)</f>
        <v>0</v>
      </c>
    </row>
    <row r="173" spans="1:6" s="8" customFormat="1" ht="15.75" hidden="1" customHeight="1">
      <c r="A173" s="10"/>
      <c r="B173" s="10"/>
      <c r="C173" s="10"/>
      <c r="D173" s="10"/>
      <c r="E173" s="97" t="s">
        <v>74</v>
      </c>
      <c r="F173" s="105">
        <f>'Trifásico 34,5kv'!AM5+'Trifásico 34,5kv'!AN5+'Trifásico 34,5kv'!AO5</f>
        <v>0</v>
      </c>
    </row>
    <row r="174" spans="1:6" s="8" customFormat="1" ht="15.75" hidden="1" customHeight="1">
      <c r="A174" s="10"/>
      <c r="B174" s="10"/>
      <c r="C174" s="10"/>
      <c r="D174" s="10"/>
      <c r="E174" s="107" t="s">
        <v>75</v>
      </c>
      <c r="F174" s="105">
        <f>'Trifásico 34,5kv'!AM6+'Trifásico 34,5kv'!AN6+'Trifásico 34,5kv'!AO6</f>
        <v>0</v>
      </c>
    </row>
    <row r="175" spans="1:6" s="8" customFormat="1" ht="15.75" hidden="1" customHeight="1">
      <c r="A175" s="10"/>
      <c r="B175" s="10"/>
      <c r="C175" s="10"/>
      <c r="D175" s="10"/>
      <c r="E175" s="97" t="s">
        <v>76</v>
      </c>
      <c r="F175" s="105">
        <f>'Trifásico 34,5kv'!AM7+'Trifásico 34,5kv'!AN7+'Trifásico 34,5kv'!AO7</f>
        <v>0</v>
      </c>
    </row>
    <row r="176" spans="1:6" s="8" customFormat="1" ht="15.75" hidden="1" customHeight="1">
      <c r="A176" s="10"/>
      <c r="B176" s="10"/>
      <c r="C176" s="10"/>
      <c r="D176" s="10"/>
      <c r="E176" s="107" t="s">
        <v>77</v>
      </c>
      <c r="F176" s="105">
        <f>'Trifásico 34,5kv'!AM8+'Trifásico 34,5kv'!AN8+'Trifásico 34,5kv'!AO8</f>
        <v>0</v>
      </c>
    </row>
    <row r="177" spans="1:6" s="8" customFormat="1" ht="15.75" hidden="1" customHeight="1">
      <c r="A177" s="10"/>
      <c r="B177" s="10"/>
      <c r="C177" s="10"/>
      <c r="D177" s="10"/>
      <c r="E177" s="97" t="s">
        <v>100</v>
      </c>
      <c r="F177" s="105">
        <f>'Trifásico 34,5kv'!AM9+'Trifásico 34,5kv'!AN9+'Trifásico 34,5kv'!AO9</f>
        <v>0</v>
      </c>
    </row>
    <row r="178" spans="1:6" s="8" customFormat="1" ht="15.75" hidden="1" customHeight="1">
      <c r="A178" s="10"/>
      <c r="B178" s="10"/>
      <c r="C178" s="10"/>
      <c r="D178" s="10"/>
      <c r="E178" s="107" t="s">
        <v>78</v>
      </c>
      <c r="F178" s="105">
        <f>'Trifásico 34,5kv'!AM10+'Trifásico 34,5kv'!AN10+'Trifásico 34,5kv'!AO10</f>
        <v>0</v>
      </c>
    </row>
    <row r="179" spans="1:6" s="8" customFormat="1" ht="15.75" hidden="1" customHeight="1">
      <c r="A179" s="10"/>
      <c r="B179" s="10"/>
      <c r="C179" s="10"/>
      <c r="D179" s="10"/>
      <c r="E179" s="97" t="s">
        <v>79</v>
      </c>
      <c r="F179" s="105">
        <f>'Trifásico 34,5kv'!AM11+'Trifásico 34,5kv'!AN11+'Trifásico 34,5kv'!AO11</f>
        <v>0</v>
      </c>
    </row>
    <row r="180" spans="1:6" s="8" customFormat="1" ht="15.75" hidden="1" customHeight="1">
      <c r="A180" s="10"/>
      <c r="B180" s="10"/>
      <c r="C180" s="10"/>
      <c r="D180" s="10"/>
      <c r="E180" s="107" t="s">
        <v>80</v>
      </c>
      <c r="F180" s="105">
        <f>'Trifásico 34,5kv'!AM12+'Trifásico 34,5kv'!AN12+'Trifásico 34,5kv'!AO12</f>
        <v>0</v>
      </c>
    </row>
    <row r="181" spans="1:6" s="8" customFormat="1" ht="15.75" hidden="1" customHeight="1">
      <c r="A181" s="10"/>
      <c r="B181" s="10"/>
      <c r="C181" s="10"/>
      <c r="D181" s="10"/>
      <c r="E181" s="97" t="s">
        <v>81</v>
      </c>
      <c r="F181" s="105">
        <f>'Trifásico 34,5kv'!AM13+'Trifásico 34,5kv'!AN13+'Trifásico 34,5kv'!AO13</f>
        <v>0</v>
      </c>
    </row>
    <row r="182" spans="1:6" s="8" customFormat="1" ht="15.75" hidden="1" customHeight="1">
      <c r="A182" s="10"/>
      <c r="B182" s="10"/>
      <c r="C182" s="10"/>
      <c r="D182" s="10"/>
      <c r="E182" s="107" t="s">
        <v>82</v>
      </c>
      <c r="F182" s="105">
        <f>'Trifásico 34,5kv'!AM14+'Trifásico 34,5kv'!AN14+'Trifásico 34,5kv'!AO14</f>
        <v>0</v>
      </c>
    </row>
    <row r="183" spans="1:6" s="8" customFormat="1" ht="15.75" hidden="1" customHeight="1">
      <c r="A183" s="10"/>
      <c r="B183" s="10"/>
      <c r="C183" s="10"/>
      <c r="D183" s="10"/>
      <c r="E183" s="97" t="s">
        <v>83</v>
      </c>
      <c r="F183" s="105">
        <f>'Trifásico 34,5kv'!AM15+'Trifásico 34,5kv'!AN15+'Trifásico 34,5kv'!AO15</f>
        <v>0</v>
      </c>
    </row>
    <row r="184" spans="1:6" s="8" customFormat="1" ht="15.75" hidden="1" customHeight="1">
      <c r="A184" s="10"/>
      <c r="B184" s="10"/>
      <c r="C184" s="10"/>
      <c r="D184" s="10"/>
      <c r="E184" s="107" t="s">
        <v>85</v>
      </c>
      <c r="F184" s="105">
        <f>'Trifásico 34,5kv'!AM16+'Trifásico 34,5kv'!AN16+'Trifásico 34,5kv'!AO16</f>
        <v>0</v>
      </c>
    </row>
    <row r="185" spans="1:6" s="8" customFormat="1" ht="15.75" hidden="1" customHeight="1">
      <c r="A185" s="10"/>
      <c r="B185" s="10"/>
      <c r="C185" s="10"/>
      <c r="D185" s="10"/>
      <c r="E185" s="97" t="s">
        <v>84</v>
      </c>
      <c r="F185" s="105">
        <f>'Trifásico 34,5kv'!AM17+'Trifásico 34,5kv'!AN17+'Trifásico 34,5kv'!AO17</f>
        <v>0</v>
      </c>
    </row>
    <row r="186" spans="1:6" s="8" customFormat="1" ht="15.75" hidden="1" customHeight="1">
      <c r="A186" s="10"/>
      <c r="B186" s="10"/>
      <c r="C186" s="10"/>
      <c r="D186" s="10"/>
      <c r="E186" s="107" t="s">
        <v>86</v>
      </c>
      <c r="F186" s="105">
        <f>'Trifásico 34,5kv'!AM18+'Trifásico 34,5kv'!AN18+'Trifásico 34,5kv'!AO18</f>
        <v>0</v>
      </c>
    </row>
    <row r="187" spans="1:6" s="8" customFormat="1" ht="15.75" hidden="1" customHeight="1">
      <c r="A187" s="10"/>
      <c r="B187" s="10"/>
      <c r="C187" s="10"/>
      <c r="D187" s="10"/>
      <c r="E187" s="97" t="s">
        <v>87</v>
      </c>
      <c r="F187" s="105">
        <f>'Trifásico 34,5kv'!AM19+'Trifásico 34,5kv'!AN19+'Trifásico 34,5kv'!AO19</f>
        <v>0</v>
      </c>
    </row>
    <row r="188" spans="1:6" s="8" customFormat="1" ht="15.75" hidden="1" customHeight="1">
      <c r="A188" s="10"/>
      <c r="B188" s="10"/>
      <c r="C188" s="10"/>
      <c r="D188" s="10"/>
      <c r="E188" s="107" t="s">
        <v>101</v>
      </c>
      <c r="F188" s="105">
        <f>'Trifásico 34,5kv'!AM20+'Trifásico 34,5kv'!AN20+'Trifásico 34,5kv'!AO20</f>
        <v>0</v>
      </c>
    </row>
    <row r="189" spans="1:6" s="8" customFormat="1" ht="15.75" hidden="1" customHeight="1">
      <c r="A189" s="10"/>
      <c r="B189" s="10"/>
      <c r="C189" s="10"/>
      <c r="D189" s="10"/>
      <c r="E189" s="97" t="s">
        <v>88</v>
      </c>
      <c r="F189" s="105">
        <f>'Trifásico 34,5kv'!AM21+'Trifásico 34,5kv'!AN21+'Trifásico 34,5kv'!AO21</f>
        <v>0</v>
      </c>
    </row>
    <row r="190" spans="1:6" s="8" customFormat="1" ht="15.75" hidden="1" customHeight="1">
      <c r="A190" s="10"/>
      <c r="B190" s="10"/>
      <c r="C190" s="10"/>
      <c r="D190" s="10"/>
      <c r="E190" s="107" t="s">
        <v>89</v>
      </c>
      <c r="F190" s="105">
        <f>'Trifásico 34,5kv'!AM22+'Trifásico 34,5kv'!AN22+'Trifásico 34,5kv'!AO22</f>
        <v>0</v>
      </c>
    </row>
    <row r="191" spans="1:6" s="8" customFormat="1" ht="15.75" hidden="1" customHeight="1">
      <c r="A191" s="10"/>
      <c r="B191" s="10"/>
      <c r="C191" s="10"/>
      <c r="D191" s="10"/>
      <c r="E191" s="97" t="s">
        <v>90</v>
      </c>
      <c r="F191" s="105">
        <f>'Trifásico 34,5kv'!AM23+'Trifásico 34,5kv'!AN23+'Trifásico 34,5kv'!AO23</f>
        <v>0</v>
      </c>
    </row>
    <row r="192" spans="1:6" s="8" customFormat="1" ht="15.75" hidden="1" customHeight="1">
      <c r="A192" s="10"/>
      <c r="B192" s="10"/>
      <c r="C192" s="10"/>
      <c r="D192" s="10"/>
      <c r="E192" s="107" t="s">
        <v>93</v>
      </c>
      <c r="F192" s="105">
        <f>'Trifásico 34,5kv'!AM24+'Trifásico 34,5kv'!AN24+'Trifásico 34,5kv'!AO24</f>
        <v>0</v>
      </c>
    </row>
    <row r="193" spans="1:6" s="8" customFormat="1" ht="15.75" hidden="1" customHeight="1">
      <c r="A193" s="10"/>
      <c r="B193" s="10"/>
      <c r="C193" s="10"/>
      <c r="D193" s="10"/>
      <c r="E193" s="97" t="s">
        <v>91</v>
      </c>
      <c r="F193" s="105">
        <f>'Trifásico 34,5kv'!AM25+'Trifásico 34,5kv'!AN25+'Trifásico 34,5kv'!AO25</f>
        <v>0</v>
      </c>
    </row>
    <row r="194" spans="1:6" s="8" customFormat="1" ht="15.75" hidden="1" customHeight="1">
      <c r="A194" s="10"/>
      <c r="B194" s="10"/>
      <c r="C194" s="10"/>
      <c r="D194" s="10"/>
      <c r="E194" s="107" t="s">
        <v>92</v>
      </c>
      <c r="F194" s="105">
        <f>'Trifásico 34,5kv'!AM26+'Trifásico 34,5kv'!AN26+'Trifásico 34,5kv'!AO26</f>
        <v>0</v>
      </c>
    </row>
    <row r="195" spans="1:6" s="8" customFormat="1" ht="15.75" hidden="1" customHeight="1" thickBot="1">
      <c r="A195" s="10"/>
      <c r="B195" s="10"/>
      <c r="C195" s="10"/>
      <c r="D195" s="10"/>
      <c r="E195" s="130"/>
      <c r="F195" s="38">
        <f>SUM(F173:F194)</f>
        <v>0</v>
      </c>
    </row>
    <row r="196" spans="1:6" s="8" customFormat="1" ht="15.75" hidden="1" customHeight="1" thickBot="1">
      <c r="A196" s="10"/>
      <c r="B196" s="10"/>
      <c r="C196" s="10"/>
      <c r="D196" s="10"/>
      <c r="E196" s="230" t="s">
        <v>212</v>
      </c>
      <c r="F196" s="294">
        <f>SUM(F197:F218)</f>
        <v>0</v>
      </c>
    </row>
    <row r="197" spans="1:6" s="8" customFormat="1" ht="15.75" hidden="1" customHeight="1">
      <c r="A197" s="10"/>
      <c r="B197" s="10"/>
      <c r="C197" s="10"/>
      <c r="D197" s="10"/>
      <c r="E197" s="97" t="s">
        <v>74</v>
      </c>
      <c r="F197" s="105">
        <f>'Trifásico 34,5kv'!AR5+'Trifásico 34,5kv'!AS5+'Trifásico 34,5kv'!AT5</f>
        <v>0</v>
      </c>
    </row>
    <row r="198" spans="1:6" s="8" customFormat="1" ht="15.75" hidden="1" customHeight="1">
      <c r="A198" s="10"/>
      <c r="B198" s="10"/>
      <c r="C198" s="10"/>
      <c r="D198" s="10"/>
      <c r="E198" s="107" t="s">
        <v>75</v>
      </c>
      <c r="F198" s="105">
        <f>'Trifásico 34,5kv'!AR6+'Trifásico 34,5kv'!AS6+'Trifásico 34,5kv'!AT6</f>
        <v>0</v>
      </c>
    </row>
    <row r="199" spans="1:6" s="8" customFormat="1" ht="15.75" hidden="1" customHeight="1">
      <c r="A199" s="10"/>
      <c r="B199" s="10"/>
      <c r="C199" s="10"/>
      <c r="D199" s="10"/>
      <c r="E199" s="97" t="s">
        <v>76</v>
      </c>
      <c r="F199" s="105">
        <f>'Trifásico 34,5kv'!AR7+'Trifásico 34,5kv'!AS7+'Trifásico 34,5kv'!AT7</f>
        <v>0</v>
      </c>
    </row>
    <row r="200" spans="1:6" s="8" customFormat="1" ht="15.75" hidden="1" customHeight="1">
      <c r="A200" s="10"/>
      <c r="B200" s="10"/>
      <c r="C200" s="10"/>
      <c r="D200" s="10"/>
      <c r="E200" s="107" t="s">
        <v>77</v>
      </c>
      <c r="F200" s="105">
        <f>'Trifásico 34,5kv'!AR8+'Trifásico 34,5kv'!AS8+'Trifásico 34,5kv'!AT8</f>
        <v>0</v>
      </c>
    </row>
    <row r="201" spans="1:6" s="8" customFormat="1" ht="15.75" hidden="1" customHeight="1">
      <c r="A201" s="10"/>
      <c r="B201" s="10"/>
      <c r="C201" s="10"/>
      <c r="D201" s="10"/>
      <c r="E201" s="97" t="s">
        <v>100</v>
      </c>
      <c r="F201" s="105">
        <f>'Trifásico 34,5kv'!AR9+'Trifásico 34,5kv'!AS9+'Trifásico 34,5kv'!AT9</f>
        <v>0</v>
      </c>
    </row>
    <row r="202" spans="1:6" s="8" customFormat="1" ht="15.75" hidden="1" customHeight="1">
      <c r="A202" s="10"/>
      <c r="B202" s="10"/>
      <c r="C202" s="10"/>
      <c r="D202" s="10"/>
      <c r="E202" s="107" t="s">
        <v>78</v>
      </c>
      <c r="F202" s="105">
        <f>'Trifásico 34,5kv'!AR10+'Trifásico 34,5kv'!AS10+'Trifásico 34,5kv'!AT10</f>
        <v>0</v>
      </c>
    </row>
    <row r="203" spans="1:6" s="8" customFormat="1" ht="15.75" hidden="1" customHeight="1">
      <c r="A203" s="10"/>
      <c r="B203" s="10"/>
      <c r="C203" s="10"/>
      <c r="D203" s="10"/>
      <c r="E203" s="97" t="s">
        <v>79</v>
      </c>
      <c r="F203" s="105">
        <f>'Trifásico 34,5kv'!AR11+'Trifásico 34,5kv'!AS11+'Trifásico 34,5kv'!AT11</f>
        <v>0</v>
      </c>
    </row>
    <row r="204" spans="1:6" s="8" customFormat="1" ht="15.75" hidden="1" customHeight="1">
      <c r="A204" s="10"/>
      <c r="B204" s="10"/>
      <c r="C204" s="10"/>
      <c r="D204" s="10"/>
      <c r="E204" s="107" t="s">
        <v>80</v>
      </c>
      <c r="F204" s="105">
        <f>'Trifásico 34,5kv'!AR12+'Trifásico 34,5kv'!AS12+'Trifásico 34,5kv'!AT12</f>
        <v>0</v>
      </c>
    </row>
    <row r="205" spans="1:6" s="8" customFormat="1" ht="15.75" hidden="1" customHeight="1">
      <c r="A205" s="10"/>
      <c r="B205" s="10"/>
      <c r="C205" s="10"/>
      <c r="D205" s="10"/>
      <c r="E205" s="97" t="s">
        <v>81</v>
      </c>
      <c r="F205" s="105">
        <f>'Trifásico 34,5kv'!AR13+'Trifásico 34,5kv'!AS13+'Trifásico 34,5kv'!AT13</f>
        <v>0</v>
      </c>
    </row>
    <row r="206" spans="1:6" s="8" customFormat="1" ht="15.75" hidden="1" customHeight="1">
      <c r="A206" s="10"/>
      <c r="B206" s="10"/>
      <c r="C206" s="10"/>
      <c r="D206" s="10"/>
      <c r="E206" s="107" t="s">
        <v>82</v>
      </c>
      <c r="F206" s="105">
        <f>'Trifásico 34,5kv'!AR14+'Trifásico 34,5kv'!AS14+'Trifásico 34,5kv'!AT14</f>
        <v>0</v>
      </c>
    </row>
    <row r="207" spans="1:6" s="8" customFormat="1" ht="15.75" hidden="1" customHeight="1">
      <c r="A207" s="10"/>
      <c r="B207" s="10"/>
      <c r="C207" s="10"/>
      <c r="D207" s="10"/>
      <c r="E207" s="97" t="s">
        <v>83</v>
      </c>
      <c r="F207" s="105">
        <f>'Trifásico 34,5kv'!AR15+'Trifásico 34,5kv'!AS15+'Trifásico 34,5kv'!AT15</f>
        <v>0</v>
      </c>
    </row>
    <row r="208" spans="1:6" s="6" customFormat="1" ht="15.75" hidden="1" customHeight="1">
      <c r="A208" s="90"/>
      <c r="B208" s="137"/>
      <c r="C208" s="138"/>
      <c r="D208" s="138"/>
      <c r="E208" s="107" t="s">
        <v>85</v>
      </c>
      <c r="F208" s="105">
        <f>'Trifásico 34,5kv'!AR16+'Trifásico 34,5kv'!AS16+'Trifásico 34,5kv'!AT16</f>
        <v>0</v>
      </c>
    </row>
    <row r="209" spans="1:119" s="6" customFormat="1" ht="15.75" hidden="1" customHeight="1">
      <c r="A209" s="90"/>
      <c r="B209" s="137"/>
      <c r="C209" s="138"/>
      <c r="D209" s="138"/>
      <c r="E209" s="97" t="s">
        <v>84</v>
      </c>
      <c r="F209" s="105">
        <f>'Trifásico 34,5kv'!AR17+'Trifásico 34,5kv'!AS17+'Trifásico 34,5kv'!AT17</f>
        <v>0</v>
      </c>
    </row>
    <row r="210" spans="1:119" s="6" customFormat="1" ht="15.75" hidden="1" customHeight="1">
      <c r="A210" s="90"/>
      <c r="B210" s="137"/>
      <c r="C210" s="138"/>
      <c r="D210" s="138"/>
      <c r="E210" s="107" t="s">
        <v>86</v>
      </c>
      <c r="F210" s="105">
        <f>'Trifásico 34,5kv'!AR18+'Trifásico 34,5kv'!AS18+'Trifásico 34,5kv'!AT18</f>
        <v>0</v>
      </c>
    </row>
    <row r="211" spans="1:119" s="6" customFormat="1" ht="15.75" hidden="1" customHeight="1">
      <c r="A211" s="90"/>
      <c r="B211" s="137"/>
      <c r="C211" s="138"/>
      <c r="D211" s="138"/>
      <c r="E211" s="97" t="s">
        <v>87</v>
      </c>
      <c r="F211" s="105">
        <f>'Trifásico 34,5kv'!AR19+'Trifásico 34,5kv'!AS19+'Trifásico 34,5kv'!AT19</f>
        <v>0</v>
      </c>
    </row>
    <row r="212" spans="1:119" s="6" customFormat="1" ht="15.75" hidden="1" customHeight="1">
      <c r="A212" s="90"/>
      <c r="B212" s="137"/>
      <c r="C212" s="138"/>
      <c r="D212" s="138"/>
      <c r="E212" s="107" t="s">
        <v>101</v>
      </c>
      <c r="F212" s="105">
        <f>'Trifásico 34,5kv'!AR20+'Trifásico 34,5kv'!AS20+'Trifásico 34,5kv'!AT20</f>
        <v>0</v>
      </c>
    </row>
    <row r="213" spans="1:119" s="44" customFormat="1" ht="15.75" hidden="1" customHeight="1">
      <c r="A213" s="90"/>
      <c r="B213" s="137"/>
      <c r="C213" s="138"/>
      <c r="D213" s="138"/>
      <c r="E213" s="97" t="s">
        <v>88</v>
      </c>
      <c r="F213" s="105">
        <f>'Trifásico 34,5kv'!AR21+'Trifásico 34,5kv'!AS21+'Trifásico 34,5kv'!AT21</f>
        <v>0</v>
      </c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  <c r="BH213" s="6"/>
      <c r="BI213" s="6"/>
      <c r="BJ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X213" s="6"/>
      <c r="BY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  <c r="CJ213" s="6"/>
      <c r="CK213" s="6"/>
      <c r="CL213" s="6"/>
      <c r="CM213" s="6"/>
      <c r="CN213" s="6"/>
      <c r="CO213" s="6"/>
      <c r="CP213" s="6"/>
      <c r="CQ213" s="6"/>
      <c r="CR213" s="6"/>
      <c r="CS213" s="6"/>
      <c r="CT213" s="6"/>
      <c r="CU213" s="6"/>
      <c r="CV213" s="6"/>
      <c r="CW213" s="6"/>
      <c r="CX213" s="6"/>
      <c r="CY213" s="6"/>
      <c r="CZ213" s="6"/>
      <c r="DA213" s="6"/>
      <c r="DB213" s="6"/>
      <c r="DC213" s="6"/>
      <c r="DD213" s="6"/>
      <c r="DE213" s="6"/>
      <c r="DF213" s="6"/>
      <c r="DG213" s="6"/>
      <c r="DH213" s="6"/>
      <c r="DI213" s="6"/>
      <c r="DJ213" s="6"/>
      <c r="DK213" s="6"/>
      <c r="DL213" s="6"/>
      <c r="DM213" s="6"/>
      <c r="DN213" s="6"/>
      <c r="DO213" s="6"/>
    </row>
    <row r="214" spans="1:119" s="44" customFormat="1" ht="15.75" hidden="1" customHeight="1">
      <c r="A214" s="90"/>
      <c r="B214" s="137"/>
      <c r="C214" s="138"/>
      <c r="D214" s="138"/>
      <c r="E214" s="107" t="s">
        <v>89</v>
      </c>
      <c r="F214" s="105">
        <f>'Trifásico 34,5kv'!AR22+'Trifásico 34,5kv'!AS22+'Trifásico 34,5kv'!AT22</f>
        <v>0</v>
      </c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  <c r="BH214" s="6"/>
      <c r="BI214" s="6"/>
      <c r="BJ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X214" s="6"/>
      <c r="BY214" s="6"/>
      <c r="BZ214" s="6"/>
      <c r="CA214" s="6"/>
      <c r="CB214" s="6"/>
      <c r="CC214" s="6"/>
      <c r="CD214" s="6"/>
      <c r="CE214" s="6"/>
      <c r="CF214" s="6"/>
      <c r="CG214" s="6"/>
      <c r="CH214" s="6"/>
      <c r="CI214" s="6"/>
      <c r="CJ214" s="6"/>
      <c r="CK214" s="6"/>
      <c r="CL214" s="6"/>
      <c r="CM214" s="6"/>
      <c r="CN214" s="6"/>
      <c r="CO214" s="6"/>
      <c r="CP214" s="6"/>
      <c r="CQ214" s="6"/>
      <c r="CR214" s="6"/>
      <c r="CS214" s="6"/>
      <c r="CT214" s="6"/>
      <c r="CU214" s="6"/>
      <c r="CV214" s="6"/>
      <c r="CW214" s="6"/>
      <c r="CX214" s="6"/>
      <c r="CY214" s="6"/>
      <c r="CZ214" s="6"/>
      <c r="DA214" s="6"/>
      <c r="DB214" s="6"/>
      <c r="DC214" s="6"/>
      <c r="DD214" s="6"/>
      <c r="DE214" s="6"/>
      <c r="DF214" s="6"/>
      <c r="DG214" s="6"/>
      <c r="DH214" s="6"/>
      <c r="DI214" s="6"/>
      <c r="DJ214" s="6"/>
      <c r="DK214" s="6"/>
      <c r="DL214" s="6"/>
      <c r="DM214" s="6"/>
      <c r="DN214" s="6"/>
      <c r="DO214" s="6"/>
    </row>
    <row r="215" spans="1:119" s="44" customFormat="1" ht="15.75" hidden="1" customHeight="1">
      <c r="A215" s="90"/>
      <c r="B215" s="137"/>
      <c r="C215" s="138"/>
      <c r="D215" s="138"/>
      <c r="E215" s="97" t="s">
        <v>90</v>
      </c>
      <c r="F215" s="105">
        <f>'Trifásico 34,5kv'!AR23+'Trifásico 34,5kv'!AS23+'Trifásico 34,5kv'!AT23</f>
        <v>0</v>
      </c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  <c r="BH215" s="6"/>
      <c r="BI215" s="6"/>
      <c r="BJ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X215" s="6"/>
      <c r="BY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  <c r="CJ215" s="6"/>
      <c r="CK215" s="6"/>
      <c r="CL215" s="6"/>
      <c r="CM215" s="6"/>
      <c r="CN215" s="6"/>
      <c r="CO215" s="6"/>
      <c r="CP215" s="6"/>
      <c r="CQ215" s="6"/>
      <c r="CR215" s="6"/>
      <c r="CS215" s="6"/>
      <c r="CT215" s="6"/>
      <c r="CU215" s="6"/>
      <c r="CV215" s="6"/>
      <c r="CW215" s="6"/>
      <c r="CX215" s="6"/>
      <c r="CY215" s="6"/>
      <c r="CZ215" s="6"/>
      <c r="DA215" s="6"/>
      <c r="DB215" s="6"/>
      <c r="DC215" s="6"/>
      <c r="DD215" s="6"/>
      <c r="DE215" s="6"/>
      <c r="DF215" s="6"/>
      <c r="DG215" s="6"/>
      <c r="DH215" s="6"/>
      <c r="DI215" s="6"/>
      <c r="DJ215" s="6"/>
      <c r="DK215" s="6"/>
      <c r="DL215" s="6"/>
      <c r="DM215" s="6"/>
      <c r="DN215" s="6"/>
      <c r="DO215" s="6"/>
    </row>
    <row r="216" spans="1:119" s="6" customFormat="1" ht="15.75" hidden="1" customHeight="1">
      <c r="A216" s="90"/>
      <c r="B216" s="137"/>
      <c r="C216" s="138"/>
      <c r="D216" s="138"/>
      <c r="E216" s="107" t="s">
        <v>93</v>
      </c>
      <c r="F216" s="105">
        <f>'Trifásico 34,5kv'!AR24+'Trifásico 34,5kv'!AS24+'Trifásico 34,5kv'!AT24</f>
        <v>0</v>
      </c>
    </row>
    <row r="217" spans="1:119" s="6" customFormat="1" ht="15.75" hidden="1" customHeight="1">
      <c r="A217" s="90"/>
      <c r="B217" s="137"/>
      <c r="C217" s="138"/>
      <c r="D217" s="138"/>
      <c r="E217" s="97" t="s">
        <v>91</v>
      </c>
      <c r="F217" s="105">
        <f>'Trifásico 34,5kv'!AR25+'Trifásico 34,5kv'!AS25+'Trifásico 34,5kv'!AT25</f>
        <v>0</v>
      </c>
    </row>
    <row r="218" spans="1:119" s="6" customFormat="1" ht="15.75" hidden="1" customHeight="1">
      <c r="A218" s="90"/>
      <c r="B218" s="137"/>
      <c r="C218" s="138"/>
      <c r="D218" s="138"/>
      <c r="E218" s="107" t="s">
        <v>92</v>
      </c>
      <c r="F218" s="105">
        <f>'Trifásico 34,5kv'!AR26+'Trifásico 34,5kv'!AS26+'Trifásico 34,5kv'!AT26</f>
        <v>0</v>
      </c>
    </row>
    <row r="219" spans="1:119" s="6" customFormat="1" ht="15.75" hidden="1" customHeight="1" thickBot="1">
      <c r="A219" s="90"/>
      <c r="B219" s="137"/>
      <c r="C219" s="138"/>
      <c r="D219" s="138"/>
      <c r="E219" s="130"/>
      <c r="F219" s="38">
        <f>SUM(F197:F218)</f>
        <v>0</v>
      </c>
    </row>
    <row r="220" spans="1:119" s="6" customFormat="1" ht="15.75" hidden="1" customHeight="1" thickBot="1">
      <c r="A220" s="90"/>
      <c r="B220" s="137"/>
      <c r="C220" s="138"/>
      <c r="D220" s="1668" t="s">
        <v>1377</v>
      </c>
      <c r="E220" s="1669"/>
      <c r="F220" s="294">
        <f>SUM(F221:F242)</f>
        <v>0</v>
      </c>
    </row>
    <row r="221" spans="1:119" s="6" customFormat="1" ht="15.75" hidden="1" customHeight="1">
      <c r="A221" s="90"/>
      <c r="B221" s="137"/>
      <c r="C221" s="138"/>
      <c r="D221" s="138"/>
      <c r="E221" s="225" t="s">
        <v>74</v>
      </c>
      <c r="F221" s="105">
        <f>'Trifásico 34,5kv'!AW5+'Trifásico 34,5kv'!AX5+'Trifásico 34,5kv'!AY5</f>
        <v>0</v>
      </c>
    </row>
    <row r="222" spans="1:119" s="6" customFormat="1" ht="15.75" hidden="1" customHeight="1">
      <c r="A222" s="90"/>
      <c r="B222" s="137"/>
      <c r="C222" s="138"/>
      <c r="D222" s="138"/>
      <c r="E222" s="107" t="s">
        <v>75</v>
      </c>
      <c r="F222" s="105">
        <f>'Trifásico 34,5kv'!AW6+'Trifásico 34,5kv'!AX6+'Trifásico 34,5kv'!AY6</f>
        <v>0</v>
      </c>
    </row>
    <row r="223" spans="1:119" s="6" customFormat="1" ht="15.75" hidden="1" customHeight="1">
      <c r="A223" s="90"/>
      <c r="B223" s="137"/>
      <c r="C223" s="138"/>
      <c r="D223" s="138"/>
      <c r="E223" s="97" t="s">
        <v>76</v>
      </c>
      <c r="F223" s="105">
        <f>'Trifásico 34,5kv'!AW7+'Trifásico 34,5kv'!AX7+'Trifásico 34,5kv'!AY7</f>
        <v>0</v>
      </c>
    </row>
    <row r="224" spans="1:119" s="6" customFormat="1" ht="15.75" hidden="1" customHeight="1">
      <c r="A224" s="90"/>
      <c r="B224" s="137"/>
      <c r="C224" s="138"/>
      <c r="D224" s="138"/>
      <c r="E224" s="107" t="s">
        <v>77</v>
      </c>
      <c r="F224" s="105">
        <f>'Trifásico 34,5kv'!AW8+'Trifásico 34,5kv'!AX8+'Trifásico 34,5kv'!AY8</f>
        <v>0</v>
      </c>
    </row>
    <row r="225" spans="1:6" s="6" customFormat="1" ht="15.75" hidden="1" customHeight="1">
      <c r="A225" s="90"/>
      <c r="B225" s="137"/>
      <c r="C225" s="138"/>
      <c r="D225" s="138"/>
      <c r="E225" s="97" t="s">
        <v>100</v>
      </c>
      <c r="F225" s="105">
        <f>'Trifásico 34,5kv'!AW9+'Trifásico 34,5kv'!AX9+'Trifásico 34,5kv'!AY9</f>
        <v>0</v>
      </c>
    </row>
    <row r="226" spans="1:6" s="6" customFormat="1" ht="15.75" hidden="1" customHeight="1">
      <c r="A226" s="90"/>
      <c r="B226" s="137"/>
      <c r="C226" s="138"/>
      <c r="D226" s="138"/>
      <c r="E226" s="107" t="s">
        <v>78</v>
      </c>
      <c r="F226" s="105">
        <f>'Trifásico 34,5kv'!AW10+'Trifásico 34,5kv'!AX10+'Trifásico 34,5kv'!AY10</f>
        <v>0</v>
      </c>
    </row>
    <row r="227" spans="1:6" s="6" customFormat="1" ht="15.75" hidden="1" customHeight="1">
      <c r="A227" s="90"/>
      <c r="B227" s="137"/>
      <c r="C227" s="138"/>
      <c r="D227" s="138"/>
      <c r="E227" s="97" t="s">
        <v>79</v>
      </c>
      <c r="F227" s="105">
        <f>'Trifásico 34,5kv'!AW11+'Trifásico 34,5kv'!AX11+'Trifásico 34,5kv'!AY11</f>
        <v>0</v>
      </c>
    </row>
    <row r="228" spans="1:6" s="6" customFormat="1" ht="15.75" hidden="1" customHeight="1">
      <c r="A228" s="90"/>
      <c r="B228" s="137"/>
      <c r="C228" s="138"/>
      <c r="D228" s="138"/>
      <c r="E228" s="107" t="s">
        <v>80</v>
      </c>
      <c r="F228" s="105">
        <f>'Trifásico 34,5kv'!AW12+'Trifásico 34,5kv'!AX12+'Trifásico 34,5kv'!AY12</f>
        <v>0</v>
      </c>
    </row>
    <row r="229" spans="1:6" s="6" customFormat="1" ht="15.75" hidden="1" customHeight="1">
      <c r="A229" s="90"/>
      <c r="B229" s="137"/>
      <c r="C229" s="138"/>
      <c r="D229" s="138"/>
      <c r="E229" s="97" t="s">
        <v>81</v>
      </c>
      <c r="F229" s="105">
        <f>'Trifásico 34,5kv'!AW13+'Trifásico 34,5kv'!AX13+'Trifásico 34,5kv'!AY13</f>
        <v>0</v>
      </c>
    </row>
    <row r="230" spans="1:6" s="6" customFormat="1" ht="15.75" hidden="1" customHeight="1">
      <c r="A230" s="90"/>
      <c r="B230" s="137"/>
      <c r="C230" s="138"/>
      <c r="D230" s="138"/>
      <c r="E230" s="107" t="s">
        <v>82</v>
      </c>
      <c r="F230" s="105">
        <f>'Trifásico 34,5kv'!AW14+'Trifásico 34,5kv'!AX14+'Trifásico 34,5kv'!AY14</f>
        <v>0</v>
      </c>
    </row>
    <row r="231" spans="1:6" s="6" customFormat="1" ht="15.75" hidden="1" customHeight="1">
      <c r="A231" s="90"/>
      <c r="B231" s="137"/>
      <c r="C231" s="138"/>
      <c r="D231" s="138"/>
      <c r="E231" s="97" t="s">
        <v>83</v>
      </c>
      <c r="F231" s="105">
        <f>'Trifásico 34,5kv'!AW15+'Trifásico 34,5kv'!AX15+'Trifásico 34,5kv'!AY15</f>
        <v>0</v>
      </c>
    </row>
    <row r="232" spans="1:6" s="6" customFormat="1" ht="15.75" hidden="1" customHeight="1">
      <c r="A232" s="90"/>
      <c r="B232" s="137"/>
      <c r="C232" s="138"/>
      <c r="D232" s="138"/>
      <c r="E232" s="107" t="s">
        <v>85</v>
      </c>
      <c r="F232" s="105">
        <f>'Trifásico 34,5kv'!AW16+'Trifásico 34,5kv'!AX16+'Trifásico 34,5kv'!AY16</f>
        <v>0</v>
      </c>
    </row>
    <row r="233" spans="1:6" s="6" customFormat="1" ht="15.75" hidden="1" customHeight="1">
      <c r="A233" s="90"/>
      <c r="B233" s="137"/>
      <c r="C233" s="138"/>
      <c r="D233" s="138"/>
      <c r="E233" s="97" t="s">
        <v>84</v>
      </c>
      <c r="F233" s="105">
        <f>'Trifásico 34,5kv'!AW17+'Trifásico 34,5kv'!AX17+'Trifásico 34,5kv'!AY17</f>
        <v>0</v>
      </c>
    </row>
    <row r="234" spans="1:6" s="6" customFormat="1" ht="15.75" hidden="1" customHeight="1">
      <c r="A234" s="90"/>
      <c r="B234" s="137"/>
      <c r="C234" s="138"/>
      <c r="D234" s="138"/>
      <c r="E234" s="107" t="s">
        <v>86</v>
      </c>
      <c r="F234" s="105">
        <f>'Trifásico 34,5kv'!AW18+'Trifásico 34,5kv'!AX18+'Trifásico 34,5kv'!AY18</f>
        <v>0</v>
      </c>
    </row>
    <row r="235" spans="1:6" s="6" customFormat="1" ht="15.75" hidden="1" customHeight="1">
      <c r="A235" s="90"/>
      <c r="B235" s="137"/>
      <c r="C235" s="138"/>
      <c r="D235" s="138"/>
      <c r="E235" s="97" t="s">
        <v>87</v>
      </c>
      <c r="F235" s="105">
        <f>'Trifásico 34,5kv'!AW19+'Trifásico 34,5kv'!AX19+'Trifásico 34,5kv'!AY19</f>
        <v>0</v>
      </c>
    </row>
    <row r="236" spans="1:6" s="6" customFormat="1" ht="15.75" hidden="1" customHeight="1">
      <c r="A236" s="90"/>
      <c r="B236" s="137"/>
      <c r="C236" s="138"/>
      <c r="D236" s="138"/>
      <c r="E236" s="107" t="s">
        <v>101</v>
      </c>
      <c r="F236" s="105">
        <f>'Trifásico 34,5kv'!AW20+'Trifásico 34,5kv'!AX20+'Trifásico 34,5kv'!AY20</f>
        <v>0</v>
      </c>
    </row>
    <row r="237" spans="1:6" s="6" customFormat="1" ht="15.75" hidden="1" customHeight="1">
      <c r="A237" s="90"/>
      <c r="B237" s="137"/>
      <c r="C237" s="138"/>
      <c r="D237" s="138"/>
      <c r="E237" s="97" t="s">
        <v>88</v>
      </c>
      <c r="F237" s="105">
        <f>'Trifásico 34,5kv'!AW21+'Trifásico 34,5kv'!AX21+'Trifásico 34,5kv'!AY21</f>
        <v>0</v>
      </c>
    </row>
    <row r="238" spans="1:6" s="6" customFormat="1" ht="15.75" hidden="1" customHeight="1">
      <c r="A238" s="90"/>
      <c r="B238" s="137"/>
      <c r="C238" s="138"/>
      <c r="D238" s="138"/>
      <c r="E238" s="107" t="s">
        <v>89</v>
      </c>
      <c r="F238" s="105">
        <f>'Trifásico 34,5kv'!AW22+'Trifásico 34,5kv'!AX22+'Trifásico 34,5kv'!AY22</f>
        <v>0</v>
      </c>
    </row>
    <row r="239" spans="1:6" s="6" customFormat="1" ht="15.75" hidden="1" customHeight="1">
      <c r="A239" s="90"/>
      <c r="B239" s="137"/>
      <c r="C239" s="138"/>
      <c r="D239" s="138"/>
      <c r="E239" s="97" t="s">
        <v>90</v>
      </c>
      <c r="F239" s="105">
        <f>'Trifásico 34,5kv'!AW23+'Trifásico 34,5kv'!AX23+'Trifásico 34,5kv'!AY23</f>
        <v>0</v>
      </c>
    </row>
    <row r="240" spans="1:6" s="6" customFormat="1" ht="15.75" hidden="1" customHeight="1">
      <c r="A240" s="90"/>
      <c r="B240" s="137"/>
      <c r="C240" s="138"/>
      <c r="D240" s="138"/>
      <c r="E240" s="107" t="s">
        <v>93</v>
      </c>
      <c r="F240" s="105">
        <f>'Trifásico 34,5kv'!AW24+'Trifásico 34,5kv'!AX24+'Trifásico 34,5kv'!AY24</f>
        <v>0</v>
      </c>
    </row>
    <row r="241" spans="1:6" s="6" customFormat="1" ht="15.75" hidden="1" customHeight="1">
      <c r="A241" s="90"/>
      <c r="B241" s="137"/>
      <c r="C241" s="138"/>
      <c r="D241" s="138"/>
      <c r="E241" s="97" t="s">
        <v>91</v>
      </c>
      <c r="F241" s="105">
        <f>'Trifásico 34,5kv'!AW25+'Trifásico 34,5kv'!AX25+'Trifásico 34,5kv'!AY25</f>
        <v>0</v>
      </c>
    </row>
    <row r="242" spans="1:6" s="6" customFormat="1" ht="15.75" hidden="1" customHeight="1">
      <c r="A242" s="90"/>
      <c r="B242" s="137"/>
      <c r="C242" s="138"/>
      <c r="D242" s="138"/>
      <c r="E242" s="107" t="s">
        <v>92</v>
      </c>
      <c r="F242" s="105">
        <f>'Trifásico 34,5kv'!AW26+'Trifásico 34,5kv'!AX26+'Trifásico 34,5kv'!AY26</f>
        <v>0</v>
      </c>
    </row>
    <row r="243" spans="1:6" s="6" customFormat="1" ht="15.75" hidden="1" customHeight="1" thickBot="1">
      <c r="A243" s="90"/>
      <c r="B243" s="137"/>
      <c r="C243" s="138"/>
      <c r="D243" s="138"/>
      <c r="E243" s="130"/>
      <c r="F243" s="38">
        <f>SUM(F221:F242)</f>
        <v>0</v>
      </c>
    </row>
    <row r="244" spans="1:6" s="6" customFormat="1" ht="15.75" hidden="1" customHeight="1" thickBot="1">
      <c r="A244" s="238"/>
      <c r="B244" s="137"/>
      <c r="C244" s="138"/>
      <c r="D244" s="1668" t="s">
        <v>1378</v>
      </c>
      <c r="E244" s="1669"/>
      <c r="F244" s="294">
        <f>SUM(F245:F266)</f>
        <v>0</v>
      </c>
    </row>
    <row r="245" spans="1:6" s="6" customFormat="1" ht="15.75" hidden="1" customHeight="1">
      <c r="A245" s="90"/>
      <c r="B245" s="137"/>
      <c r="C245" s="138"/>
      <c r="D245" s="138"/>
      <c r="E245" s="225" t="s">
        <v>74</v>
      </c>
      <c r="F245" s="105">
        <f>'Trifásico 34,5kv'!BB5+'Trifásico 34,5kv'!BC5+'Trifásico 34,5kv'!BD5</f>
        <v>0</v>
      </c>
    </row>
    <row r="246" spans="1:6" s="6" customFormat="1" ht="15.75" hidden="1" customHeight="1">
      <c r="A246" s="90"/>
      <c r="B246" s="137"/>
      <c r="C246" s="138"/>
      <c r="D246" s="138"/>
      <c r="E246" s="107" t="s">
        <v>75</v>
      </c>
      <c r="F246" s="105">
        <f>'Trifásico 34,5kv'!BB6+'Trifásico 34,5kv'!BC6+'Trifásico 34,5kv'!BD6</f>
        <v>0</v>
      </c>
    </row>
    <row r="247" spans="1:6" s="6" customFormat="1" ht="15.75" hidden="1" customHeight="1">
      <c r="A247" s="90"/>
      <c r="B247" s="137"/>
      <c r="C247" s="138"/>
      <c r="D247" s="138"/>
      <c r="E247" s="97" t="s">
        <v>76</v>
      </c>
      <c r="F247" s="105">
        <f>'Trifásico 34,5kv'!BB7+'Trifásico 34,5kv'!BC7+'Trifásico 34,5kv'!BD7</f>
        <v>0</v>
      </c>
    </row>
    <row r="248" spans="1:6" s="6" customFormat="1" ht="15.75" hidden="1" customHeight="1">
      <c r="A248" s="90"/>
      <c r="B248" s="137"/>
      <c r="C248" s="138"/>
      <c r="D248" s="138"/>
      <c r="E248" s="107" t="s">
        <v>77</v>
      </c>
      <c r="F248" s="105">
        <f>'Trifásico 34,5kv'!BB8+'Trifásico 34,5kv'!BC8+'Trifásico 34,5kv'!BD8</f>
        <v>0</v>
      </c>
    </row>
    <row r="249" spans="1:6" s="6" customFormat="1" ht="15.75" hidden="1" customHeight="1">
      <c r="A249" s="90"/>
      <c r="B249" s="137"/>
      <c r="C249" s="138"/>
      <c r="D249" s="138"/>
      <c r="E249" s="97" t="s">
        <v>100</v>
      </c>
      <c r="F249" s="105">
        <f>'Trifásico 34,5kv'!BB9+'Trifásico 34,5kv'!BC9+'Trifásico 34,5kv'!BD9</f>
        <v>0</v>
      </c>
    </row>
    <row r="250" spans="1:6" s="6" customFormat="1" ht="15.75" hidden="1" customHeight="1">
      <c r="A250" s="90"/>
      <c r="B250" s="137"/>
      <c r="C250" s="138"/>
      <c r="D250" s="138"/>
      <c r="E250" s="107" t="s">
        <v>78</v>
      </c>
      <c r="F250" s="105">
        <f>'Trifásico 34,5kv'!BB10+'Trifásico 34,5kv'!BC10+'Trifásico 34,5kv'!BD10</f>
        <v>0</v>
      </c>
    </row>
    <row r="251" spans="1:6" s="6" customFormat="1" ht="15.75" hidden="1" customHeight="1">
      <c r="A251" s="90"/>
      <c r="B251" s="137"/>
      <c r="C251" s="138"/>
      <c r="D251" s="138"/>
      <c r="E251" s="97" t="s">
        <v>79</v>
      </c>
      <c r="F251" s="105">
        <f>'Trifásico 34,5kv'!BB11+'Trifásico 34,5kv'!BC11+'Trifásico 34,5kv'!BD11</f>
        <v>0</v>
      </c>
    </row>
    <row r="252" spans="1:6" s="6" customFormat="1" ht="15.75" hidden="1" customHeight="1">
      <c r="A252" s="90"/>
      <c r="B252" s="137"/>
      <c r="C252" s="138"/>
      <c r="D252" s="138"/>
      <c r="E252" s="107" t="s">
        <v>80</v>
      </c>
      <c r="F252" s="105">
        <f>'Trifásico 34,5kv'!BB12+'Trifásico 34,5kv'!BC12+'Trifásico 34,5kv'!BD12</f>
        <v>0</v>
      </c>
    </row>
    <row r="253" spans="1:6" s="6" customFormat="1" ht="15.75" hidden="1" customHeight="1">
      <c r="A253" s="90"/>
      <c r="B253" s="137"/>
      <c r="C253" s="138"/>
      <c r="D253" s="138"/>
      <c r="E253" s="97" t="s">
        <v>81</v>
      </c>
      <c r="F253" s="105">
        <f>'Trifásico 34,5kv'!BB13+'Trifásico 34,5kv'!BC13+'Trifásico 34,5kv'!BD13</f>
        <v>0</v>
      </c>
    </row>
    <row r="254" spans="1:6" s="6" customFormat="1" ht="15.75" hidden="1" customHeight="1">
      <c r="A254" s="90"/>
      <c r="B254" s="137"/>
      <c r="C254" s="138"/>
      <c r="D254" s="138"/>
      <c r="E254" s="107" t="s">
        <v>82</v>
      </c>
      <c r="F254" s="105">
        <f>'Trifásico 34,5kv'!BB14+'Trifásico 34,5kv'!BC14+'Trifásico 34,5kv'!BD14</f>
        <v>0</v>
      </c>
    </row>
    <row r="255" spans="1:6" s="6" customFormat="1" ht="15.75" hidden="1" customHeight="1">
      <c r="A255" s="90"/>
      <c r="B255" s="137"/>
      <c r="C255" s="138"/>
      <c r="D255" s="138"/>
      <c r="E255" s="97" t="s">
        <v>83</v>
      </c>
      <c r="F255" s="105">
        <f>'Trifásico 34,5kv'!BB15+'Trifásico 34,5kv'!BC15+'Trifásico 34,5kv'!BD15</f>
        <v>0</v>
      </c>
    </row>
    <row r="256" spans="1:6" s="6" customFormat="1" ht="15.75" hidden="1" customHeight="1">
      <c r="A256" s="90"/>
      <c r="B256" s="137"/>
      <c r="C256" s="138"/>
      <c r="D256" s="138"/>
      <c r="E256" s="107" t="s">
        <v>85</v>
      </c>
      <c r="F256" s="105">
        <f>'Trifásico 34,5kv'!BB16+'Trifásico 34,5kv'!BC16+'Trifásico 34,5kv'!BD16</f>
        <v>0</v>
      </c>
    </row>
    <row r="257" spans="1:6" s="6" customFormat="1" ht="15.75" hidden="1" customHeight="1">
      <c r="A257" s="90"/>
      <c r="B257" s="137"/>
      <c r="C257" s="138"/>
      <c r="D257" s="138"/>
      <c r="E257" s="97" t="s">
        <v>84</v>
      </c>
      <c r="F257" s="105">
        <f>'Trifásico 34,5kv'!BB17+'Trifásico 34,5kv'!BC17+'Trifásico 34,5kv'!BD17</f>
        <v>0</v>
      </c>
    </row>
    <row r="258" spans="1:6" s="6" customFormat="1" ht="15.75" hidden="1" customHeight="1">
      <c r="A258" s="90"/>
      <c r="B258" s="137"/>
      <c r="C258" s="138"/>
      <c r="D258" s="138"/>
      <c r="E258" s="107" t="s">
        <v>86</v>
      </c>
      <c r="F258" s="105">
        <f>'Trifásico 34,5kv'!BB18+'Trifásico 34,5kv'!BC18+'Trifásico 34,5kv'!BD18</f>
        <v>0</v>
      </c>
    </row>
    <row r="259" spans="1:6" s="6" customFormat="1" ht="15.75" hidden="1" customHeight="1">
      <c r="A259" s="90"/>
      <c r="B259" s="137"/>
      <c r="C259" s="138"/>
      <c r="D259" s="138"/>
      <c r="E259" s="97" t="s">
        <v>87</v>
      </c>
      <c r="F259" s="105">
        <f>'Trifásico 34,5kv'!BB19+'Trifásico 34,5kv'!BC19+'Trifásico 34,5kv'!BD19</f>
        <v>0</v>
      </c>
    </row>
    <row r="260" spans="1:6" s="6" customFormat="1" ht="15.75" hidden="1" customHeight="1">
      <c r="A260" s="90"/>
      <c r="B260" s="137"/>
      <c r="C260" s="138"/>
      <c r="D260" s="138"/>
      <c r="E260" s="107" t="s">
        <v>101</v>
      </c>
      <c r="F260" s="105">
        <f>'Trifásico 34,5kv'!BB20+'Trifásico 34,5kv'!BC20+'Trifásico 34,5kv'!BD20</f>
        <v>0</v>
      </c>
    </row>
    <row r="261" spans="1:6" s="6" customFormat="1" ht="15.75" hidden="1" customHeight="1">
      <c r="A261" s="90"/>
      <c r="B261" s="137"/>
      <c r="C261" s="138"/>
      <c r="D261" s="138"/>
      <c r="E261" s="97" t="s">
        <v>88</v>
      </c>
      <c r="F261" s="105">
        <f>'Trifásico 34,5kv'!BB21+'Trifásico 34,5kv'!BC21+'Trifásico 34,5kv'!BD21</f>
        <v>0</v>
      </c>
    </row>
    <row r="262" spans="1:6" s="6" customFormat="1" ht="15.75" hidden="1" customHeight="1">
      <c r="A262" s="90"/>
      <c r="B262" s="137"/>
      <c r="C262" s="138"/>
      <c r="D262" s="138"/>
      <c r="E262" s="107" t="s">
        <v>89</v>
      </c>
      <c r="F262" s="105">
        <f>'Trifásico 34,5kv'!BB22+'Trifásico 34,5kv'!BC22+'Trifásico 34,5kv'!BD22</f>
        <v>0</v>
      </c>
    </row>
    <row r="263" spans="1:6" s="6" customFormat="1" ht="15.75" hidden="1" customHeight="1">
      <c r="A263" s="90"/>
      <c r="B263" s="117"/>
      <c r="C263" s="138"/>
      <c r="D263" s="138"/>
      <c r="E263" s="97" t="s">
        <v>90</v>
      </c>
      <c r="F263" s="105">
        <f>'Trifásico 34,5kv'!BB23+'Trifásico 34,5kv'!BC23+'Trifásico 34,5kv'!BD23</f>
        <v>0</v>
      </c>
    </row>
    <row r="264" spans="1:6" s="6" customFormat="1" ht="15.75" hidden="1" customHeight="1">
      <c r="A264" s="90"/>
      <c r="B264" s="117"/>
      <c r="C264" s="138"/>
      <c r="D264" s="138"/>
      <c r="E264" s="107" t="s">
        <v>93</v>
      </c>
      <c r="F264" s="105">
        <f>'Trifásico 34,5kv'!BB24+'Trifásico 34,5kv'!BC24+'Trifásico 34,5kv'!BD24</f>
        <v>0</v>
      </c>
    </row>
    <row r="265" spans="1:6" s="6" customFormat="1" ht="15.75" hidden="1" customHeight="1">
      <c r="A265" s="90"/>
      <c r="B265" s="117"/>
      <c r="C265" s="138"/>
      <c r="D265" s="138"/>
      <c r="E265" s="97" t="s">
        <v>91</v>
      </c>
      <c r="F265" s="105">
        <f>'Trifásico 34,5kv'!BB25+'Trifásico 34,5kv'!BC25+'Trifásico 34,5kv'!BD25</f>
        <v>0</v>
      </c>
    </row>
    <row r="266" spans="1:6" s="6" customFormat="1" ht="15.75" hidden="1" customHeight="1">
      <c r="A266" s="90"/>
      <c r="B266" s="117"/>
      <c r="C266" s="138"/>
      <c r="D266" s="138"/>
      <c r="E266" s="107" t="s">
        <v>92</v>
      </c>
      <c r="F266" s="105">
        <f>'Trifásico 34,5kv'!BB26+'Trifásico 34,5kv'!BC26+'Trifásico 34,5kv'!BD26</f>
        <v>0</v>
      </c>
    </row>
    <row r="267" spans="1:6" s="6" customFormat="1" ht="15.75" hidden="1" customHeight="1" thickBot="1">
      <c r="A267" s="90"/>
      <c r="B267" s="137"/>
      <c r="C267" s="138"/>
      <c r="D267" s="138"/>
      <c r="E267" s="130"/>
      <c r="F267" s="38">
        <f>SUM(F245:F266)</f>
        <v>0</v>
      </c>
    </row>
    <row r="268" spans="1:6" s="6" customFormat="1" ht="15.75" hidden="1" customHeight="1" thickBot="1">
      <c r="A268" s="90"/>
      <c r="B268" s="137"/>
      <c r="C268" s="138"/>
      <c r="D268" s="138"/>
      <c r="E268" s="230" t="s">
        <v>220</v>
      </c>
      <c r="F268" s="294">
        <f>SUM(F269:F290)</f>
        <v>0</v>
      </c>
    </row>
    <row r="269" spans="1:6" s="6" customFormat="1" ht="15.75" hidden="1" customHeight="1">
      <c r="A269" s="90"/>
      <c r="B269" s="137"/>
      <c r="C269" s="138"/>
      <c r="D269" s="138"/>
      <c r="E269" s="97" t="s">
        <v>74</v>
      </c>
      <c r="F269" s="105">
        <f>'Trifásico 34,5kv'!BG5+'Trifásico 34,5kv'!BH5+'Trifásico 34,5kv'!BI5</f>
        <v>0</v>
      </c>
    </row>
    <row r="270" spans="1:6" s="6" customFormat="1" ht="15.75" hidden="1" customHeight="1">
      <c r="A270" s="90"/>
      <c r="B270" s="137"/>
      <c r="C270" s="138"/>
      <c r="D270" s="138"/>
      <c r="E270" s="107" t="s">
        <v>75</v>
      </c>
      <c r="F270" s="105">
        <f>'Trifásico 34,5kv'!BG6+'Trifásico 34,5kv'!BH6+'Trifásico 34,5kv'!BI6</f>
        <v>0</v>
      </c>
    </row>
    <row r="271" spans="1:6" s="6" customFormat="1" ht="15.75" hidden="1" customHeight="1">
      <c r="A271" s="90"/>
      <c r="B271" s="137"/>
      <c r="C271" s="138"/>
      <c r="D271" s="138"/>
      <c r="E271" s="97" t="s">
        <v>76</v>
      </c>
      <c r="F271" s="105">
        <f>'Trifásico 34,5kv'!BG7+'Trifásico 34,5kv'!BH7+'Trifásico 34,5kv'!BI7</f>
        <v>0</v>
      </c>
    </row>
    <row r="272" spans="1:6" s="6" customFormat="1" ht="15.75" hidden="1" customHeight="1">
      <c r="A272" s="90"/>
      <c r="B272" s="137"/>
      <c r="C272" s="138"/>
      <c r="D272" s="138"/>
      <c r="E272" s="107" t="s">
        <v>77</v>
      </c>
      <c r="F272" s="105">
        <f>'Trifásico 34,5kv'!BG8+'Trifásico 34,5kv'!BH8+'Trifásico 34,5kv'!BI8</f>
        <v>0</v>
      </c>
    </row>
    <row r="273" spans="1:119" s="6" customFormat="1" ht="15.75" hidden="1" customHeight="1">
      <c r="A273" s="90"/>
      <c r="B273" s="137"/>
      <c r="C273" s="138"/>
      <c r="D273" s="138"/>
      <c r="E273" s="97" t="s">
        <v>100</v>
      </c>
      <c r="F273" s="105">
        <f>'Trifásico 34,5kv'!BG9+'Trifásico 34,5kv'!BH9+'Trifásico 34,5kv'!BI9</f>
        <v>0</v>
      </c>
    </row>
    <row r="274" spans="1:119" s="6" customFormat="1" ht="15.75" hidden="1" customHeight="1">
      <c r="A274" s="90"/>
      <c r="B274" s="137"/>
      <c r="C274" s="138"/>
      <c r="D274" s="138"/>
      <c r="E274" s="107" t="s">
        <v>78</v>
      </c>
      <c r="F274" s="105">
        <f>'Trifásico 34,5kv'!BG10+'Trifásico 34,5kv'!BH10+'Trifásico 34,5kv'!BI10</f>
        <v>0</v>
      </c>
    </row>
    <row r="275" spans="1:119" s="6" customFormat="1" ht="15.75" hidden="1" customHeight="1">
      <c r="A275" s="90"/>
      <c r="B275" s="137"/>
      <c r="C275" s="138"/>
      <c r="D275" s="138"/>
      <c r="E275" s="97" t="s">
        <v>79</v>
      </c>
      <c r="F275" s="105">
        <f>'Trifásico 34,5kv'!BG11+'Trifásico 34,5kv'!BH11+'Trifásico 34,5kv'!BI11</f>
        <v>0</v>
      </c>
    </row>
    <row r="276" spans="1:119" s="6" customFormat="1" ht="15.75" hidden="1" customHeight="1">
      <c r="A276" s="90"/>
      <c r="B276" s="137"/>
      <c r="C276" s="138"/>
      <c r="D276" s="138"/>
      <c r="E276" s="107" t="s">
        <v>80</v>
      </c>
      <c r="F276" s="105">
        <f>'Trifásico 34,5kv'!BG12+'Trifásico 34,5kv'!BH12+'Trifásico 34,5kv'!BI12</f>
        <v>0</v>
      </c>
    </row>
    <row r="277" spans="1:119" s="6" customFormat="1" ht="15.75" hidden="1" customHeight="1">
      <c r="A277" s="90"/>
      <c r="B277" s="137"/>
      <c r="C277" s="138"/>
      <c r="D277" s="138"/>
      <c r="E277" s="97" t="s">
        <v>81</v>
      </c>
      <c r="F277" s="105">
        <f>'Trifásico 34,5kv'!BG13+'Trifásico 34,5kv'!BH13+'Trifásico 34,5kv'!BI13</f>
        <v>0</v>
      </c>
    </row>
    <row r="278" spans="1:119" s="6" customFormat="1" ht="15.75" hidden="1" customHeight="1">
      <c r="A278" s="90"/>
      <c r="B278" s="137"/>
      <c r="C278" s="138"/>
      <c r="D278" s="138"/>
      <c r="E278" s="107" t="s">
        <v>82</v>
      </c>
      <c r="F278" s="105">
        <f>'Trifásico 34,5kv'!BG14+'Trifásico 34,5kv'!BH14+'Trifásico 34,5kv'!BI14</f>
        <v>0</v>
      </c>
    </row>
    <row r="279" spans="1:119" s="6" customFormat="1" ht="15.75" hidden="1" customHeight="1">
      <c r="A279" s="90"/>
      <c r="B279" s="137"/>
      <c r="C279" s="138"/>
      <c r="D279" s="138"/>
      <c r="E279" s="97" t="s">
        <v>83</v>
      </c>
      <c r="F279" s="105">
        <f>'Trifásico 34,5kv'!BG15+'Trifásico 34,5kv'!BH15+'Trifásico 34,5kv'!BI15</f>
        <v>0</v>
      </c>
    </row>
    <row r="280" spans="1:119" s="44" customFormat="1" ht="15.75" hidden="1" customHeight="1">
      <c r="A280" s="90"/>
      <c r="B280" s="137"/>
      <c r="C280" s="138"/>
      <c r="D280" s="138"/>
      <c r="E280" s="107" t="s">
        <v>85</v>
      </c>
      <c r="F280" s="105">
        <f>'Trifásico 34,5kv'!BG16+'Trifásico 34,5kv'!BH16+'Trifásico 34,5kv'!BI16</f>
        <v>0</v>
      </c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BP280" s="6"/>
      <c r="BQ280" s="6"/>
      <c r="BR280" s="6"/>
      <c r="BS280" s="6"/>
      <c r="BT280" s="6"/>
      <c r="BU280" s="6"/>
      <c r="BV280" s="6"/>
      <c r="BW280" s="6"/>
      <c r="BX280" s="6"/>
      <c r="BY280" s="6"/>
      <c r="BZ280" s="6"/>
      <c r="CA280" s="6"/>
      <c r="CB280" s="6"/>
      <c r="CC280" s="6"/>
      <c r="CD280" s="6"/>
      <c r="CE280" s="6"/>
      <c r="CF280" s="6"/>
      <c r="CG280" s="6"/>
      <c r="CH280" s="6"/>
      <c r="CI280" s="6"/>
      <c r="CJ280" s="6"/>
      <c r="CK280" s="6"/>
      <c r="CL280" s="6"/>
      <c r="CM280" s="6"/>
      <c r="CN280" s="6"/>
      <c r="CO280" s="6"/>
      <c r="CP280" s="6"/>
      <c r="CQ280" s="6"/>
      <c r="CR280" s="6"/>
      <c r="CS280" s="6"/>
      <c r="CT280" s="6"/>
      <c r="CU280" s="6"/>
      <c r="CV280" s="6"/>
      <c r="CW280" s="6"/>
      <c r="CX280" s="6"/>
      <c r="CY280" s="6"/>
      <c r="CZ280" s="6"/>
      <c r="DA280" s="6"/>
      <c r="DB280" s="6"/>
      <c r="DC280" s="6"/>
      <c r="DD280" s="6"/>
      <c r="DE280" s="6"/>
      <c r="DF280" s="6"/>
      <c r="DG280" s="6"/>
      <c r="DH280" s="6"/>
      <c r="DI280" s="6"/>
      <c r="DJ280" s="6"/>
      <c r="DK280" s="6"/>
      <c r="DL280" s="6"/>
      <c r="DM280" s="6"/>
      <c r="DN280" s="6"/>
      <c r="DO280" s="6"/>
    </row>
    <row r="281" spans="1:119" s="44" customFormat="1" ht="15.75" hidden="1" customHeight="1">
      <c r="A281" s="90"/>
      <c r="B281" s="137"/>
      <c r="C281" s="138"/>
      <c r="D281" s="138"/>
      <c r="E281" s="97" t="s">
        <v>84</v>
      </c>
      <c r="F281" s="105">
        <f>'Trifásico 34,5kv'!BG17+'Trifásico 34,5kv'!BH17+'Trifásico 34,5kv'!BI17</f>
        <v>0</v>
      </c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BP281" s="6"/>
      <c r="BQ281" s="6"/>
      <c r="BR281" s="6"/>
      <c r="BS281" s="6"/>
      <c r="BT281" s="6"/>
      <c r="BU281" s="6"/>
      <c r="BV281" s="6"/>
      <c r="BW281" s="6"/>
      <c r="BX281" s="6"/>
      <c r="BY281" s="6"/>
      <c r="BZ281" s="6"/>
      <c r="CA281" s="6"/>
      <c r="CB281" s="6"/>
      <c r="CC281" s="6"/>
      <c r="CD281" s="6"/>
      <c r="CE281" s="6"/>
      <c r="CF281" s="6"/>
      <c r="CG281" s="6"/>
      <c r="CH281" s="6"/>
      <c r="CI281" s="6"/>
      <c r="CJ281" s="6"/>
      <c r="CK281" s="6"/>
      <c r="CL281" s="6"/>
      <c r="CM281" s="6"/>
      <c r="CN281" s="6"/>
      <c r="CO281" s="6"/>
      <c r="CP281" s="6"/>
      <c r="CQ281" s="6"/>
      <c r="CR281" s="6"/>
      <c r="CS281" s="6"/>
      <c r="CT281" s="6"/>
      <c r="CU281" s="6"/>
      <c r="CV281" s="6"/>
      <c r="CW281" s="6"/>
      <c r="CX281" s="6"/>
      <c r="CY281" s="6"/>
      <c r="CZ281" s="6"/>
      <c r="DA281" s="6"/>
      <c r="DB281" s="6"/>
      <c r="DC281" s="6"/>
      <c r="DD281" s="6"/>
      <c r="DE281" s="6"/>
      <c r="DF281" s="6"/>
      <c r="DG281" s="6"/>
      <c r="DH281" s="6"/>
      <c r="DI281" s="6"/>
      <c r="DJ281" s="6"/>
      <c r="DK281" s="6"/>
      <c r="DL281" s="6"/>
      <c r="DM281" s="6"/>
      <c r="DN281" s="6"/>
      <c r="DO281" s="6"/>
    </row>
    <row r="282" spans="1:119" s="44" customFormat="1" ht="15.75" hidden="1" customHeight="1">
      <c r="A282" s="90"/>
      <c r="B282" s="137"/>
      <c r="C282" s="138"/>
      <c r="D282" s="138"/>
      <c r="E282" s="107" t="s">
        <v>86</v>
      </c>
      <c r="F282" s="105">
        <f>'Trifásico 34,5kv'!BG18+'Trifásico 34,5kv'!BH18+'Trifásico 34,5kv'!BI18</f>
        <v>0</v>
      </c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BP282" s="6"/>
      <c r="BQ282" s="6"/>
      <c r="BR282" s="6"/>
      <c r="BS282" s="6"/>
      <c r="BT282" s="6"/>
      <c r="BU282" s="6"/>
      <c r="BV282" s="6"/>
      <c r="BW282" s="6"/>
      <c r="BX282" s="6"/>
      <c r="BY282" s="6"/>
      <c r="BZ282" s="6"/>
      <c r="CA282" s="6"/>
      <c r="CB282" s="6"/>
      <c r="CC282" s="6"/>
      <c r="CD282" s="6"/>
      <c r="CE282" s="6"/>
      <c r="CF282" s="6"/>
      <c r="CG282" s="6"/>
      <c r="CH282" s="6"/>
      <c r="CI282" s="6"/>
      <c r="CJ282" s="6"/>
      <c r="CK282" s="6"/>
      <c r="CL282" s="6"/>
      <c r="CM282" s="6"/>
      <c r="CN282" s="6"/>
      <c r="CO282" s="6"/>
      <c r="CP282" s="6"/>
      <c r="CQ282" s="6"/>
      <c r="CR282" s="6"/>
      <c r="CS282" s="6"/>
      <c r="CT282" s="6"/>
      <c r="CU282" s="6"/>
      <c r="CV282" s="6"/>
      <c r="CW282" s="6"/>
      <c r="CX282" s="6"/>
      <c r="CY282" s="6"/>
      <c r="CZ282" s="6"/>
      <c r="DA282" s="6"/>
      <c r="DB282" s="6"/>
      <c r="DC282" s="6"/>
      <c r="DD282" s="6"/>
      <c r="DE282" s="6"/>
      <c r="DF282" s="6"/>
      <c r="DG282" s="6"/>
      <c r="DH282" s="6"/>
      <c r="DI282" s="6"/>
      <c r="DJ282" s="6"/>
      <c r="DK282" s="6"/>
      <c r="DL282" s="6"/>
      <c r="DM282" s="6"/>
      <c r="DN282" s="6"/>
      <c r="DO282" s="6"/>
    </row>
    <row r="283" spans="1:119" s="6" customFormat="1" ht="15.75" hidden="1" customHeight="1">
      <c r="A283" s="90"/>
      <c r="B283" s="137"/>
      <c r="C283" s="138"/>
      <c r="D283" s="138"/>
      <c r="E283" s="97" t="s">
        <v>87</v>
      </c>
      <c r="F283" s="105">
        <f>'Trifásico 34,5kv'!BG19+'Trifásico 34,5kv'!BH19+'Trifásico 34,5kv'!BI19</f>
        <v>0</v>
      </c>
    </row>
    <row r="284" spans="1:119" s="6" customFormat="1" ht="15.75" hidden="1" customHeight="1">
      <c r="A284" s="90"/>
      <c r="B284" s="137"/>
      <c r="C284" s="138"/>
      <c r="D284" s="138"/>
      <c r="E284" s="107" t="s">
        <v>101</v>
      </c>
      <c r="F284" s="105">
        <f>'Trifásico 34,5kv'!BG20+'Trifásico 34,5kv'!BH20+'Trifásico 34,5kv'!BI20</f>
        <v>0</v>
      </c>
    </row>
    <row r="285" spans="1:119" s="6" customFormat="1" ht="15.75" hidden="1" customHeight="1">
      <c r="A285" s="90"/>
      <c r="B285" s="137"/>
      <c r="C285" s="138"/>
      <c r="D285" s="138"/>
      <c r="E285" s="97" t="s">
        <v>88</v>
      </c>
      <c r="F285" s="105">
        <f>'Trifásico 34,5kv'!BG21+'Trifásico 34,5kv'!BH21+'Trifásico 34,5kv'!BI21</f>
        <v>0</v>
      </c>
    </row>
    <row r="286" spans="1:119" s="6" customFormat="1" ht="15.75" hidden="1" customHeight="1">
      <c r="A286" s="90"/>
      <c r="B286" s="137"/>
      <c r="C286" s="138"/>
      <c r="D286" s="138"/>
      <c r="E286" s="107" t="s">
        <v>89</v>
      </c>
      <c r="F286" s="105">
        <f>'Trifásico 34,5kv'!BG22+'Trifásico 34,5kv'!BH22+'Trifásico 34,5kv'!BI22</f>
        <v>0</v>
      </c>
    </row>
    <row r="287" spans="1:119" s="6" customFormat="1" ht="15.75" hidden="1" customHeight="1">
      <c r="A287" s="90"/>
      <c r="B287" s="137"/>
      <c r="C287" s="138"/>
      <c r="D287" s="138"/>
      <c r="E287" s="97" t="s">
        <v>90</v>
      </c>
      <c r="F287" s="105">
        <f>'Trifásico 34,5kv'!BG23+'Trifásico 34,5kv'!BH23+'Trifásico 34,5kv'!BI23</f>
        <v>0</v>
      </c>
    </row>
    <row r="288" spans="1:119" s="6" customFormat="1" ht="15.75" hidden="1" customHeight="1">
      <c r="A288" s="90"/>
      <c r="B288" s="137"/>
      <c r="C288" s="138"/>
      <c r="D288" s="138"/>
      <c r="E288" s="107" t="s">
        <v>93</v>
      </c>
      <c r="F288" s="105">
        <f>'Trifásico 34,5kv'!BG24+'Trifásico 34,5kv'!BH24+'Trifásico 34,5kv'!BI24</f>
        <v>0</v>
      </c>
    </row>
    <row r="289" spans="1:6" s="6" customFormat="1" ht="15.75" hidden="1" customHeight="1">
      <c r="A289" s="90"/>
      <c r="B289" s="137"/>
      <c r="C289" s="138"/>
      <c r="D289" s="138"/>
      <c r="E289" s="97" t="s">
        <v>91</v>
      </c>
      <c r="F289" s="105">
        <f>'Trifásico 34,5kv'!BG25+'Trifásico 34,5kv'!BH25+'Trifásico 34,5kv'!BI25</f>
        <v>0</v>
      </c>
    </row>
    <row r="290" spans="1:6" s="6" customFormat="1" ht="15.75" hidden="1" customHeight="1">
      <c r="A290" s="150"/>
      <c r="B290" s="137"/>
      <c r="C290" s="138"/>
      <c r="D290" s="138"/>
      <c r="E290" s="107" t="s">
        <v>92</v>
      </c>
      <c r="F290" s="105">
        <f>'Trifásico 34,5kv'!BG26+'Trifásico 34,5kv'!BH26+'Trifásico 34,5kv'!BI26</f>
        <v>0</v>
      </c>
    </row>
    <row r="291" spans="1:6" s="6" customFormat="1" ht="15.75" hidden="1" customHeight="1" thickBot="1">
      <c r="A291" s="150"/>
      <c r="B291" s="137"/>
      <c r="C291" s="138"/>
      <c r="D291" s="138"/>
      <c r="E291" s="130"/>
      <c r="F291" s="38">
        <f>SUM(F269:F290)</f>
        <v>0</v>
      </c>
    </row>
    <row r="292" spans="1:6" s="6" customFormat="1" ht="15.75" hidden="1" customHeight="1" thickBot="1">
      <c r="A292" s="150"/>
      <c r="B292" s="117"/>
      <c r="C292" s="138"/>
      <c r="D292" s="248" t="s">
        <v>233</v>
      </c>
      <c r="E292" s="248"/>
      <c r="F292" s="294">
        <f>SUM(F293:F314)</f>
        <v>0</v>
      </c>
    </row>
    <row r="293" spans="1:6" s="6" customFormat="1" ht="15.75" hidden="1" customHeight="1">
      <c r="A293" s="150"/>
      <c r="B293" s="137"/>
      <c r="C293" s="138"/>
      <c r="D293" s="138"/>
      <c r="E293" s="97" t="s">
        <v>74</v>
      </c>
      <c r="F293" s="105">
        <f>'Trifásico 34,5kv'!BL5+'Trifásico 34,5kv'!BM5+'Trifásico 34,5kv'!BN5</f>
        <v>0</v>
      </c>
    </row>
    <row r="294" spans="1:6" s="6" customFormat="1" ht="15.75" hidden="1" customHeight="1">
      <c r="A294" s="150"/>
      <c r="B294" s="137"/>
      <c r="C294" s="138"/>
      <c r="D294" s="138"/>
      <c r="E294" s="107" t="s">
        <v>75</v>
      </c>
      <c r="F294" s="105">
        <f>'Trifásico 34,5kv'!BL6+'Trifásico 34,5kv'!BM6+'Trifásico 34,5kv'!BN6</f>
        <v>0</v>
      </c>
    </row>
    <row r="295" spans="1:6" s="6" customFormat="1" ht="15.75" hidden="1" customHeight="1">
      <c r="A295" s="90"/>
      <c r="B295" s="137"/>
      <c r="C295" s="138"/>
      <c r="D295" s="138"/>
      <c r="E295" s="97" t="s">
        <v>76</v>
      </c>
      <c r="F295" s="105">
        <f>'Trifásico 34,5kv'!BL7+'Trifásico 34,5kv'!BM7+'Trifásico 34,5kv'!BN7</f>
        <v>0</v>
      </c>
    </row>
    <row r="296" spans="1:6" s="6" customFormat="1" ht="15.75" hidden="1" customHeight="1">
      <c r="A296" s="90"/>
      <c r="B296" s="137"/>
      <c r="C296" s="138"/>
      <c r="D296" s="138"/>
      <c r="E296" s="107" t="s">
        <v>77</v>
      </c>
      <c r="F296" s="105">
        <f>'Trifásico 34,5kv'!BL8+'Trifásico 34,5kv'!BM8+'Trifásico 34,5kv'!BN8</f>
        <v>0</v>
      </c>
    </row>
    <row r="297" spans="1:6" s="6" customFormat="1" ht="15.75" hidden="1" customHeight="1">
      <c r="A297" s="90"/>
      <c r="B297" s="137"/>
      <c r="C297" s="138"/>
      <c r="D297" s="138"/>
      <c r="E297" s="97" t="s">
        <v>100</v>
      </c>
      <c r="F297" s="105">
        <f>'Trifásico 34,5kv'!BL9+'Trifásico 34,5kv'!BM9+'Trifásico 34,5kv'!BN9</f>
        <v>0</v>
      </c>
    </row>
    <row r="298" spans="1:6" s="6" customFormat="1" ht="15.75" hidden="1" customHeight="1">
      <c r="A298" s="90"/>
      <c r="B298" s="137"/>
      <c r="C298" s="138"/>
      <c r="D298" s="138"/>
      <c r="E298" s="107" t="s">
        <v>78</v>
      </c>
      <c r="F298" s="105">
        <f>'Trifásico 34,5kv'!BL10+'Trifásico 34,5kv'!BM10+'Trifásico 34,5kv'!BN10</f>
        <v>0</v>
      </c>
    </row>
    <row r="299" spans="1:6" s="6" customFormat="1" ht="15.75" hidden="1" customHeight="1">
      <c r="A299" s="90"/>
      <c r="B299" s="137"/>
      <c r="C299" s="138"/>
      <c r="D299" s="138"/>
      <c r="E299" s="97" t="s">
        <v>79</v>
      </c>
      <c r="F299" s="105">
        <f>'Trifásico 34,5kv'!BL11+'Trifásico 34,5kv'!BM11+'Trifásico 34,5kv'!BN11</f>
        <v>0</v>
      </c>
    </row>
    <row r="300" spans="1:6" s="6" customFormat="1" ht="15.75" hidden="1" customHeight="1">
      <c r="A300" s="90"/>
      <c r="B300" s="137"/>
      <c r="C300" s="138"/>
      <c r="D300" s="138"/>
      <c r="E300" s="107" t="s">
        <v>80</v>
      </c>
      <c r="F300" s="105">
        <f>'Trifásico 34,5kv'!BL12+'Trifásico 34,5kv'!BM12+'Trifásico 34,5kv'!BN12</f>
        <v>0</v>
      </c>
    </row>
    <row r="301" spans="1:6" s="6" customFormat="1" ht="15.75" hidden="1" customHeight="1">
      <c r="A301" s="90"/>
      <c r="B301" s="137"/>
      <c r="C301" s="138"/>
      <c r="D301" s="138"/>
      <c r="E301" s="97" t="s">
        <v>81</v>
      </c>
      <c r="F301" s="105">
        <f>'Trifásico 34,5kv'!BL13+'Trifásico 34,5kv'!BM13+'Trifásico 34,5kv'!BN13</f>
        <v>0</v>
      </c>
    </row>
    <row r="302" spans="1:6" s="6" customFormat="1" ht="15.75" hidden="1" customHeight="1">
      <c r="A302" s="90"/>
      <c r="B302" s="137"/>
      <c r="C302" s="138"/>
      <c r="D302" s="138"/>
      <c r="E302" s="107" t="s">
        <v>82</v>
      </c>
      <c r="F302" s="105">
        <f>'Trifásico 34,5kv'!BL14+'Trifásico 34,5kv'!BM14+'Trifásico 34,5kv'!BN14</f>
        <v>0</v>
      </c>
    </row>
    <row r="303" spans="1:6" s="6" customFormat="1" ht="15.75" hidden="1" customHeight="1">
      <c r="A303" s="90"/>
      <c r="B303" s="137"/>
      <c r="C303" s="138"/>
      <c r="D303" s="138"/>
      <c r="E303" s="97" t="s">
        <v>83</v>
      </c>
      <c r="F303" s="105">
        <f>'Trifásico 34,5kv'!BL15+'Trifásico 34,5kv'!BM15+'Trifásico 34,5kv'!BN15</f>
        <v>0</v>
      </c>
    </row>
    <row r="304" spans="1:6" s="6" customFormat="1" ht="15.75" hidden="1" customHeight="1">
      <c r="A304" s="90"/>
      <c r="B304" s="137"/>
      <c r="C304" s="138"/>
      <c r="D304" s="138"/>
      <c r="E304" s="107" t="s">
        <v>85</v>
      </c>
      <c r="F304" s="105">
        <f>'Trifásico 34,5kv'!BL16+'Trifásico 34,5kv'!BM16+'Trifásico 34,5kv'!BN16</f>
        <v>0</v>
      </c>
    </row>
    <row r="305" spans="1:6" s="6" customFormat="1" ht="15.75" hidden="1" customHeight="1">
      <c r="A305" s="90"/>
      <c r="B305" s="137"/>
      <c r="C305" s="138"/>
      <c r="D305" s="138"/>
      <c r="E305" s="97" t="s">
        <v>84</v>
      </c>
      <c r="F305" s="105">
        <f>'Trifásico 34,5kv'!BL17+'Trifásico 34,5kv'!BM17+'Trifásico 34,5kv'!BN17</f>
        <v>0</v>
      </c>
    </row>
    <row r="306" spans="1:6" s="6" customFormat="1" ht="15.75" hidden="1" customHeight="1">
      <c r="A306" s="90"/>
      <c r="B306" s="137"/>
      <c r="C306" s="138"/>
      <c r="D306" s="138"/>
      <c r="E306" s="107" t="s">
        <v>86</v>
      </c>
      <c r="F306" s="105">
        <f>'Trifásico 34,5kv'!BL18+'Trifásico 34,5kv'!BM18+'Trifásico 34,5kv'!BN18</f>
        <v>0</v>
      </c>
    </row>
    <row r="307" spans="1:6" s="6" customFormat="1" ht="15.75" hidden="1" customHeight="1">
      <c r="A307" s="90"/>
      <c r="B307" s="137"/>
      <c r="C307" s="138"/>
      <c r="D307" s="138"/>
      <c r="E307" s="97" t="s">
        <v>87</v>
      </c>
      <c r="F307" s="105">
        <f>'Trifásico 34,5kv'!BL19+'Trifásico 34,5kv'!BM19+'Trifásico 34,5kv'!BN19</f>
        <v>0</v>
      </c>
    </row>
    <row r="308" spans="1:6" s="6" customFormat="1" ht="15.75" hidden="1" customHeight="1">
      <c r="A308" s="90"/>
      <c r="B308" s="137"/>
      <c r="C308" s="138"/>
      <c r="D308" s="138"/>
      <c r="E308" s="107" t="s">
        <v>101</v>
      </c>
      <c r="F308" s="105">
        <f>'Trifásico 34,5kv'!BL20+'Trifásico 34,5kv'!BM20+'Trifásico 34,5kv'!BN20</f>
        <v>0</v>
      </c>
    </row>
    <row r="309" spans="1:6" s="6" customFormat="1" ht="15.75" hidden="1" customHeight="1">
      <c r="A309" s="90"/>
      <c r="B309" s="137"/>
      <c r="C309" s="138"/>
      <c r="D309" s="138"/>
      <c r="E309" s="97" t="s">
        <v>88</v>
      </c>
      <c r="F309" s="105">
        <f>'Trifásico 34,5kv'!BL21+'Trifásico 34,5kv'!BM21+'Trifásico 34,5kv'!BN21</f>
        <v>0</v>
      </c>
    </row>
    <row r="310" spans="1:6" s="6" customFormat="1" ht="15.75" hidden="1" customHeight="1">
      <c r="A310" s="90"/>
      <c r="B310" s="137"/>
      <c r="C310" s="138"/>
      <c r="D310" s="138"/>
      <c r="E310" s="107" t="s">
        <v>89</v>
      </c>
      <c r="F310" s="105">
        <f>'Trifásico 34,5kv'!BL22+'Trifásico 34,5kv'!BM22+'Trifásico 34,5kv'!BN22</f>
        <v>0</v>
      </c>
    </row>
    <row r="311" spans="1:6" s="6" customFormat="1" ht="15.75" hidden="1" customHeight="1">
      <c r="A311" s="90"/>
      <c r="B311" s="137"/>
      <c r="C311" s="138"/>
      <c r="D311" s="138"/>
      <c r="E311" s="97" t="s">
        <v>90</v>
      </c>
      <c r="F311" s="105">
        <f>'Trifásico 34,5kv'!BL23+'Trifásico 34,5kv'!BM23+'Trifásico 34,5kv'!BN23</f>
        <v>0</v>
      </c>
    </row>
    <row r="312" spans="1:6" s="6" customFormat="1" ht="15.75" hidden="1" customHeight="1">
      <c r="A312" s="90"/>
      <c r="B312" s="137"/>
      <c r="C312" s="138"/>
      <c r="D312" s="138"/>
      <c r="E312" s="107" t="s">
        <v>93</v>
      </c>
      <c r="F312" s="105">
        <f>'Trifásico 34,5kv'!BL24+'Trifásico 34,5kv'!BM24+'Trifásico 34,5kv'!BN24</f>
        <v>0</v>
      </c>
    </row>
    <row r="313" spans="1:6" s="6" customFormat="1" ht="15.75" hidden="1" customHeight="1">
      <c r="A313" s="90"/>
      <c r="B313" s="137"/>
      <c r="C313" s="138"/>
      <c r="D313" s="138"/>
      <c r="E313" s="97" t="s">
        <v>91</v>
      </c>
      <c r="F313" s="105">
        <f>'Trifásico 34,5kv'!BL25+'Trifásico 34,5kv'!BM25+'Trifásico 34,5kv'!BN25</f>
        <v>0</v>
      </c>
    </row>
    <row r="314" spans="1:6" s="6" customFormat="1" ht="15.75" hidden="1" customHeight="1">
      <c r="A314" s="90"/>
      <c r="B314" s="137"/>
      <c r="C314" s="138"/>
      <c r="D314" s="138"/>
      <c r="E314" s="107" t="s">
        <v>92</v>
      </c>
      <c r="F314" s="105">
        <f>'Trifásico 34,5kv'!BL26+'Trifásico 34,5kv'!BM26+'Trifásico 34,5kv'!BN26</f>
        <v>0</v>
      </c>
    </row>
    <row r="315" spans="1:6" s="6" customFormat="1" ht="15.75" hidden="1" customHeight="1" thickBot="1">
      <c r="A315" s="90"/>
      <c r="B315" s="137"/>
      <c r="C315" s="138"/>
      <c r="D315" s="138"/>
      <c r="E315" s="130"/>
      <c r="F315" s="38">
        <f>SUM(F293:F314)</f>
        <v>0</v>
      </c>
    </row>
    <row r="316" spans="1:6" s="6" customFormat="1" ht="15.75" hidden="1" customHeight="1" thickBot="1">
      <c r="A316" s="90"/>
      <c r="B316" s="137"/>
      <c r="C316" s="138"/>
      <c r="D316" s="138"/>
      <c r="E316" s="259" t="s">
        <v>234</v>
      </c>
      <c r="F316" s="297">
        <f>SUM(F317:F338)</f>
        <v>0</v>
      </c>
    </row>
    <row r="317" spans="1:6" s="6" customFormat="1" ht="15.75" hidden="1" customHeight="1">
      <c r="A317" s="90"/>
      <c r="B317" s="137"/>
      <c r="C317" s="138"/>
      <c r="D317" s="138"/>
      <c r="E317" s="97" t="s">
        <v>74</v>
      </c>
      <c r="F317" s="105">
        <f>'Trifásico 34,5kv'!BQ5+'Trifásico 34,5kv'!BR5+'Trifásico 34,5kv'!BS5</f>
        <v>0</v>
      </c>
    </row>
    <row r="318" spans="1:6" s="6" customFormat="1" ht="15.75" hidden="1" customHeight="1">
      <c r="A318" s="90"/>
      <c r="B318" s="137"/>
      <c r="C318" s="138"/>
      <c r="D318" s="138"/>
      <c r="E318" s="107" t="s">
        <v>75</v>
      </c>
      <c r="F318" s="105">
        <f>'Trifásico 34,5kv'!BQ6+'Trifásico 34,5kv'!BR6+'Trifásico 34,5kv'!BS6</f>
        <v>0</v>
      </c>
    </row>
    <row r="319" spans="1:6" s="6" customFormat="1" ht="15.75" hidden="1" customHeight="1">
      <c r="A319" s="90"/>
      <c r="B319" s="137"/>
      <c r="C319" s="138"/>
      <c r="D319" s="138"/>
      <c r="E319" s="97" t="s">
        <v>76</v>
      </c>
      <c r="F319" s="105">
        <f>'Trifásico 34,5kv'!BQ7+'Trifásico 34,5kv'!BR7+'Trifásico 34,5kv'!BS7</f>
        <v>0</v>
      </c>
    </row>
    <row r="320" spans="1:6" s="6" customFormat="1" ht="15.75" hidden="1" customHeight="1">
      <c r="A320" s="90"/>
      <c r="B320" s="137"/>
      <c r="C320" s="138"/>
      <c r="D320" s="138"/>
      <c r="E320" s="107" t="s">
        <v>77</v>
      </c>
      <c r="F320" s="105">
        <f>'Trifásico 34,5kv'!BQ8+'Trifásico 34,5kv'!BR8+'Trifásico 34,5kv'!BS8</f>
        <v>0</v>
      </c>
    </row>
    <row r="321" spans="1:6" s="6" customFormat="1" ht="15.75" hidden="1" customHeight="1">
      <c r="A321" s="90"/>
      <c r="B321" s="137"/>
      <c r="C321" s="138"/>
      <c r="D321" s="138"/>
      <c r="E321" s="97" t="s">
        <v>100</v>
      </c>
      <c r="F321" s="105">
        <f>'Trifásico 34,5kv'!BQ9+'Trifásico 34,5kv'!BR9+'Trifásico 34,5kv'!BS9</f>
        <v>0</v>
      </c>
    </row>
    <row r="322" spans="1:6" s="6" customFormat="1" ht="15.75" hidden="1" customHeight="1">
      <c r="A322" s="90"/>
      <c r="B322" s="137"/>
      <c r="C322" s="138"/>
      <c r="D322" s="138"/>
      <c r="E322" s="107" t="s">
        <v>78</v>
      </c>
      <c r="F322" s="105">
        <f>'Trifásico 34,5kv'!BQ10+'Trifásico 34,5kv'!BR10+'Trifásico 34,5kv'!BS10</f>
        <v>0</v>
      </c>
    </row>
    <row r="323" spans="1:6" s="6" customFormat="1" ht="15.75" hidden="1" customHeight="1">
      <c r="A323" s="90"/>
      <c r="B323" s="137"/>
      <c r="C323" s="138"/>
      <c r="D323" s="138"/>
      <c r="E323" s="97" t="s">
        <v>79</v>
      </c>
      <c r="F323" s="105">
        <f>'Trifásico 34,5kv'!BQ11+'Trifásico 34,5kv'!BR11+'Trifásico 34,5kv'!BS11</f>
        <v>0</v>
      </c>
    </row>
    <row r="324" spans="1:6" s="6" customFormat="1" ht="15.75" hidden="1" customHeight="1">
      <c r="A324" s="90"/>
      <c r="B324" s="137"/>
      <c r="C324" s="138"/>
      <c r="D324" s="138"/>
      <c r="E324" s="107" t="s">
        <v>80</v>
      </c>
      <c r="F324" s="105">
        <f>'Trifásico 34,5kv'!BQ12+'Trifásico 34,5kv'!BR12+'Trifásico 34,5kv'!BS12</f>
        <v>0</v>
      </c>
    </row>
    <row r="325" spans="1:6" s="6" customFormat="1" ht="15.75" hidden="1" customHeight="1">
      <c r="A325" s="90"/>
      <c r="B325" s="137"/>
      <c r="C325" s="138"/>
      <c r="D325" s="138"/>
      <c r="E325" s="97" t="s">
        <v>81</v>
      </c>
      <c r="F325" s="105">
        <f>'Trifásico 34,5kv'!BQ13+'Trifásico 34,5kv'!BR13+'Trifásico 34,5kv'!BS13</f>
        <v>0</v>
      </c>
    </row>
    <row r="326" spans="1:6" s="6" customFormat="1" ht="15.75" hidden="1" customHeight="1">
      <c r="A326" s="90"/>
      <c r="B326" s="137"/>
      <c r="C326" s="138"/>
      <c r="D326" s="138"/>
      <c r="E326" s="107" t="s">
        <v>82</v>
      </c>
      <c r="F326" s="105">
        <f>'Trifásico 34,5kv'!BQ14+'Trifásico 34,5kv'!BR14+'Trifásico 34,5kv'!BS14</f>
        <v>0</v>
      </c>
    </row>
    <row r="327" spans="1:6" s="6" customFormat="1" ht="15.75" hidden="1" customHeight="1">
      <c r="A327" s="90"/>
      <c r="B327" s="137"/>
      <c r="C327" s="138"/>
      <c r="D327" s="138"/>
      <c r="E327" s="97" t="s">
        <v>83</v>
      </c>
      <c r="F327" s="105">
        <f>'Trifásico 34,5kv'!BQ15+'Trifásico 34,5kv'!BR15+'Trifásico 34,5kv'!BS15</f>
        <v>0</v>
      </c>
    </row>
    <row r="328" spans="1:6" s="6" customFormat="1" ht="15.75" hidden="1" customHeight="1">
      <c r="A328" s="90"/>
      <c r="B328" s="137"/>
      <c r="C328" s="138"/>
      <c r="D328" s="138"/>
      <c r="E328" s="107" t="s">
        <v>85</v>
      </c>
      <c r="F328" s="105">
        <f>'Trifásico 34,5kv'!BQ16+'Trifásico 34,5kv'!BR16+'Trifásico 34,5kv'!BS16</f>
        <v>0</v>
      </c>
    </row>
    <row r="329" spans="1:6" s="6" customFormat="1" ht="15.75" hidden="1" customHeight="1">
      <c r="A329" s="90"/>
      <c r="B329" s="137"/>
      <c r="C329" s="138"/>
      <c r="D329" s="138"/>
      <c r="E329" s="97" t="s">
        <v>84</v>
      </c>
      <c r="F329" s="105">
        <f>'Trifásico 34,5kv'!BQ17+'Trifásico 34,5kv'!BR17+'Trifásico 34,5kv'!BS17</f>
        <v>0</v>
      </c>
    </row>
    <row r="330" spans="1:6" s="6" customFormat="1" ht="15.75" hidden="1" customHeight="1">
      <c r="A330" s="90"/>
      <c r="B330" s="137"/>
      <c r="C330" s="138"/>
      <c r="D330" s="138"/>
      <c r="E330" s="107" t="s">
        <v>86</v>
      </c>
      <c r="F330" s="105">
        <f>'Trifásico 34,5kv'!BQ18+'Trifásico 34,5kv'!BR18+'Trifásico 34,5kv'!BS18</f>
        <v>0</v>
      </c>
    </row>
    <row r="331" spans="1:6" s="6" customFormat="1" ht="15.75" hidden="1" customHeight="1">
      <c r="A331" s="90"/>
      <c r="B331" s="137"/>
      <c r="C331" s="138"/>
      <c r="D331" s="138"/>
      <c r="E331" s="97" t="s">
        <v>87</v>
      </c>
      <c r="F331" s="105">
        <f>'Trifásico 34,5kv'!BQ19+'Trifásico 34,5kv'!BR19+'Trifásico 34,5kv'!BS19</f>
        <v>0</v>
      </c>
    </row>
    <row r="332" spans="1:6" s="6" customFormat="1" ht="15.75" hidden="1" customHeight="1">
      <c r="A332" s="90"/>
      <c r="B332" s="137"/>
      <c r="C332" s="138"/>
      <c r="D332" s="138"/>
      <c r="E332" s="107" t="s">
        <v>101</v>
      </c>
      <c r="F332" s="105">
        <f>'Trifásico 34,5kv'!BQ20+'Trifásico 34,5kv'!BR20+'Trifásico 34,5kv'!BS20</f>
        <v>0</v>
      </c>
    </row>
    <row r="333" spans="1:6" s="6" customFormat="1" ht="15.75" hidden="1" customHeight="1">
      <c r="A333" s="90"/>
      <c r="B333" s="137"/>
      <c r="C333" s="138"/>
      <c r="D333" s="138"/>
      <c r="E333" s="97" t="s">
        <v>88</v>
      </c>
      <c r="F333" s="105">
        <f>'Trifásico 34,5kv'!BQ21+'Trifásico 34,5kv'!BR21+'Trifásico 34,5kv'!BS21</f>
        <v>0</v>
      </c>
    </row>
    <row r="334" spans="1:6" s="6" customFormat="1" ht="15.75" hidden="1" customHeight="1">
      <c r="A334" s="90"/>
      <c r="B334" s="137"/>
      <c r="C334" s="138"/>
      <c r="D334" s="138"/>
      <c r="E334" s="107" t="s">
        <v>89</v>
      </c>
      <c r="F334" s="105">
        <f>'Trifásico 34,5kv'!BQ22+'Trifásico 34,5kv'!BR22+'Trifásico 34,5kv'!BS22</f>
        <v>0</v>
      </c>
    </row>
    <row r="335" spans="1:6" s="6" customFormat="1" ht="15.75" hidden="1" customHeight="1">
      <c r="A335" s="90"/>
      <c r="B335" s="137"/>
      <c r="C335" s="138"/>
      <c r="D335" s="138"/>
      <c r="E335" s="97" t="s">
        <v>90</v>
      </c>
      <c r="F335" s="105">
        <f>'Trifásico 34,5kv'!BQ23+'Trifásico 34,5kv'!BR23+'Trifásico 34,5kv'!BS23</f>
        <v>0</v>
      </c>
    </row>
    <row r="336" spans="1:6" s="6" customFormat="1" ht="15.75" hidden="1" customHeight="1">
      <c r="A336" s="90"/>
      <c r="B336" s="137"/>
      <c r="C336" s="138"/>
      <c r="D336" s="138"/>
      <c r="E336" s="107" t="s">
        <v>93</v>
      </c>
      <c r="F336" s="105">
        <f>'Trifásico 34,5kv'!BQ24+'Trifásico 34,5kv'!BR24+'Trifásico 34,5kv'!BS24</f>
        <v>0</v>
      </c>
    </row>
    <row r="337" spans="1:119" s="6" customFormat="1" ht="15.75" hidden="1" customHeight="1">
      <c r="A337" s="90"/>
      <c r="B337" s="137"/>
      <c r="C337" s="138"/>
      <c r="D337" s="138"/>
      <c r="E337" s="97" t="s">
        <v>91</v>
      </c>
      <c r="F337" s="105">
        <f>'Trifásico 34,5kv'!BQ25+'Trifásico 34,5kv'!BR25+'Trifásico 34,5kv'!BS25</f>
        <v>0</v>
      </c>
    </row>
    <row r="338" spans="1:119" s="6" customFormat="1" ht="15.75" hidden="1" customHeight="1">
      <c r="A338" s="90"/>
      <c r="B338" s="137"/>
      <c r="C338" s="138"/>
      <c r="D338" s="138"/>
      <c r="E338" s="107" t="s">
        <v>92</v>
      </c>
      <c r="F338" s="105">
        <f>'Trifásico 34,5kv'!BQ26+'Trifásico 34,5kv'!BR26+'Trifásico 34,5kv'!BS26</f>
        <v>0</v>
      </c>
    </row>
    <row r="339" spans="1:119" s="6" customFormat="1" ht="15.75" hidden="1" customHeight="1" thickBot="1">
      <c r="A339" s="90"/>
      <c r="B339" s="137"/>
      <c r="C339" s="138"/>
      <c r="D339" s="138"/>
      <c r="E339" s="130"/>
      <c r="F339" s="38">
        <f>SUM(F317:F338)</f>
        <v>0</v>
      </c>
    </row>
    <row r="340" spans="1:119" s="44" customFormat="1" ht="15.75" hidden="1" customHeight="1" thickBot="1">
      <c r="A340" s="90"/>
      <c r="B340" s="137"/>
      <c r="C340" s="138"/>
      <c r="D340" s="138"/>
      <c r="E340" s="248" t="s">
        <v>235</v>
      </c>
      <c r="F340" s="297">
        <f>SUM(F341:F362)</f>
        <v>0</v>
      </c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  <c r="BC340" s="6"/>
      <c r="BD340" s="6"/>
      <c r="BE340" s="6"/>
      <c r="BF340" s="6"/>
      <c r="BG340" s="6"/>
      <c r="BH340" s="6"/>
      <c r="BI340" s="6"/>
      <c r="BJ340" s="6"/>
      <c r="BK340" s="6"/>
      <c r="BL340" s="6"/>
      <c r="BM340" s="6"/>
      <c r="BN340" s="6"/>
      <c r="BO340" s="6"/>
      <c r="BP340" s="6"/>
      <c r="BQ340" s="6"/>
      <c r="BR340" s="6"/>
      <c r="BS340" s="6"/>
      <c r="BT340" s="6"/>
      <c r="BU340" s="6"/>
      <c r="BV340" s="6"/>
      <c r="BW340" s="6"/>
      <c r="BX340" s="6"/>
      <c r="BY340" s="6"/>
      <c r="BZ340" s="6"/>
      <c r="CA340" s="6"/>
      <c r="CB340" s="6"/>
      <c r="CC340" s="6"/>
      <c r="CD340" s="6"/>
      <c r="CE340" s="6"/>
      <c r="CF340" s="6"/>
      <c r="CG340" s="6"/>
      <c r="CH340" s="6"/>
      <c r="CI340" s="6"/>
      <c r="CJ340" s="6"/>
      <c r="CK340" s="6"/>
      <c r="CL340" s="6"/>
      <c r="CM340" s="6"/>
      <c r="CN340" s="6"/>
      <c r="CO340" s="6"/>
      <c r="CP340" s="6"/>
      <c r="CQ340" s="6"/>
      <c r="CR340" s="6"/>
      <c r="CS340" s="6"/>
      <c r="CT340" s="6"/>
      <c r="CU340" s="6"/>
      <c r="CV340" s="6"/>
      <c r="CW340" s="6"/>
      <c r="CX340" s="6"/>
      <c r="CY340" s="6"/>
      <c r="CZ340" s="6"/>
      <c r="DA340" s="6"/>
      <c r="DB340" s="6"/>
      <c r="DC340" s="6"/>
      <c r="DD340" s="6"/>
      <c r="DE340" s="6"/>
      <c r="DF340" s="6"/>
      <c r="DG340" s="6"/>
      <c r="DH340" s="6"/>
      <c r="DI340" s="6"/>
      <c r="DJ340" s="6"/>
      <c r="DK340" s="6"/>
      <c r="DL340" s="6"/>
      <c r="DM340" s="6"/>
      <c r="DN340" s="6"/>
      <c r="DO340" s="6"/>
    </row>
    <row r="341" spans="1:119" s="6" customFormat="1" ht="15.75" hidden="1" customHeight="1">
      <c r="A341" s="90"/>
      <c r="B341" s="137"/>
      <c r="C341" s="138"/>
      <c r="D341" s="138"/>
      <c r="E341" s="97" t="s">
        <v>74</v>
      </c>
      <c r="F341" s="105">
        <f>'Trifásico 34,5kv'!BV5+'Trifásico 34,5kv'!BW5+'Trifásico 34,5kv'!BX5</f>
        <v>0</v>
      </c>
    </row>
    <row r="342" spans="1:119" s="6" customFormat="1" ht="15.75" hidden="1" customHeight="1">
      <c r="A342" s="90"/>
      <c r="B342" s="137"/>
      <c r="C342" s="138"/>
      <c r="D342" s="138"/>
      <c r="E342" s="107" t="s">
        <v>75</v>
      </c>
      <c r="F342" s="105">
        <f>'Trifásico 34,5kv'!BV6+'Trifásico 34,5kv'!BW6+'Trifásico 34,5kv'!BX6</f>
        <v>0</v>
      </c>
    </row>
    <row r="343" spans="1:119" s="44" customFormat="1" ht="15.75" hidden="1" customHeight="1">
      <c r="A343" s="90"/>
      <c r="B343" s="137"/>
      <c r="C343" s="138"/>
      <c r="D343" s="138"/>
      <c r="E343" s="97" t="s">
        <v>76</v>
      </c>
      <c r="F343" s="105">
        <f>'Trifásico 34,5kv'!BV7+'Trifásico 34,5kv'!BW7+'Trifásico 34,5kv'!BX7</f>
        <v>0</v>
      </c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  <c r="BC343" s="6"/>
      <c r="BD343" s="6"/>
      <c r="BE343" s="6"/>
      <c r="BF343" s="6"/>
      <c r="BG343" s="6"/>
      <c r="BH343" s="6"/>
      <c r="BI343" s="6"/>
      <c r="BJ343" s="6"/>
      <c r="BK343" s="6"/>
      <c r="BL343" s="6"/>
      <c r="BM343" s="6"/>
      <c r="BN343" s="6"/>
      <c r="BO343" s="6"/>
      <c r="BP343" s="6"/>
      <c r="BQ343" s="6"/>
      <c r="BR343" s="6"/>
      <c r="BS343" s="6"/>
      <c r="BT343" s="6"/>
      <c r="BU343" s="6"/>
      <c r="BV343" s="6"/>
      <c r="BW343" s="6"/>
      <c r="BX343" s="6"/>
      <c r="BY343" s="6"/>
      <c r="BZ343" s="6"/>
      <c r="CA343" s="6"/>
      <c r="CB343" s="6"/>
      <c r="CC343" s="6"/>
      <c r="CD343" s="6"/>
      <c r="CE343" s="6"/>
      <c r="CF343" s="6"/>
      <c r="CG343" s="6"/>
      <c r="CH343" s="6"/>
      <c r="CI343" s="6"/>
      <c r="CJ343" s="6"/>
      <c r="CK343" s="6"/>
      <c r="CL343" s="6"/>
      <c r="CM343" s="6"/>
      <c r="CN343" s="6"/>
      <c r="CO343" s="6"/>
      <c r="CP343" s="6"/>
      <c r="CQ343" s="6"/>
      <c r="CR343" s="6"/>
      <c r="CS343" s="6"/>
      <c r="CT343" s="6"/>
      <c r="CU343" s="6"/>
      <c r="CV343" s="6"/>
      <c r="CW343" s="6"/>
      <c r="CX343" s="6"/>
      <c r="CY343" s="6"/>
      <c r="CZ343" s="6"/>
      <c r="DA343" s="6"/>
      <c r="DB343" s="6"/>
      <c r="DC343" s="6"/>
      <c r="DD343" s="6"/>
      <c r="DE343" s="6"/>
      <c r="DF343" s="6"/>
      <c r="DG343" s="6"/>
      <c r="DH343" s="6"/>
      <c r="DI343" s="6"/>
      <c r="DJ343" s="6"/>
      <c r="DK343" s="6"/>
      <c r="DL343" s="6"/>
      <c r="DM343" s="6"/>
      <c r="DN343" s="6"/>
      <c r="DO343" s="6"/>
    </row>
    <row r="344" spans="1:119" s="44" customFormat="1" ht="15.75" hidden="1" customHeight="1">
      <c r="A344" s="90"/>
      <c r="B344" s="137"/>
      <c r="C344" s="138"/>
      <c r="D344" s="138"/>
      <c r="E344" s="107" t="s">
        <v>77</v>
      </c>
      <c r="F344" s="105">
        <f>'Trifásico 34,5kv'!BV8+'Trifásico 34,5kv'!BW8+'Trifásico 34,5kv'!BX8</f>
        <v>0</v>
      </c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  <c r="BC344" s="6"/>
      <c r="BD344" s="6"/>
      <c r="BE344" s="6"/>
      <c r="BF344" s="6"/>
      <c r="BG344" s="6"/>
      <c r="BH344" s="6"/>
      <c r="BI344" s="6"/>
      <c r="BJ344" s="6"/>
      <c r="BK344" s="6"/>
      <c r="BL344" s="6"/>
      <c r="BM344" s="6"/>
      <c r="BN344" s="6"/>
      <c r="BO344" s="6"/>
      <c r="BP344" s="6"/>
      <c r="BQ344" s="6"/>
      <c r="BR344" s="6"/>
      <c r="BS344" s="6"/>
      <c r="BT344" s="6"/>
      <c r="BU344" s="6"/>
      <c r="BV344" s="6"/>
      <c r="BW344" s="6"/>
      <c r="BX344" s="6"/>
      <c r="BY344" s="6"/>
      <c r="BZ344" s="6"/>
      <c r="CA344" s="6"/>
      <c r="CB344" s="6"/>
      <c r="CC344" s="6"/>
      <c r="CD344" s="6"/>
      <c r="CE344" s="6"/>
      <c r="CF344" s="6"/>
      <c r="CG344" s="6"/>
      <c r="CH344" s="6"/>
      <c r="CI344" s="6"/>
      <c r="CJ344" s="6"/>
      <c r="CK344" s="6"/>
      <c r="CL344" s="6"/>
      <c r="CM344" s="6"/>
      <c r="CN344" s="6"/>
      <c r="CO344" s="6"/>
      <c r="CP344" s="6"/>
      <c r="CQ344" s="6"/>
      <c r="CR344" s="6"/>
      <c r="CS344" s="6"/>
      <c r="CT344" s="6"/>
      <c r="CU344" s="6"/>
      <c r="CV344" s="6"/>
      <c r="CW344" s="6"/>
      <c r="CX344" s="6"/>
      <c r="CY344" s="6"/>
      <c r="CZ344" s="6"/>
      <c r="DA344" s="6"/>
      <c r="DB344" s="6"/>
      <c r="DC344" s="6"/>
      <c r="DD344" s="6"/>
      <c r="DE344" s="6"/>
      <c r="DF344" s="6"/>
      <c r="DG344" s="6"/>
      <c r="DH344" s="6"/>
      <c r="DI344" s="6"/>
      <c r="DJ344" s="6"/>
      <c r="DK344" s="6"/>
      <c r="DL344" s="6"/>
      <c r="DM344" s="6"/>
      <c r="DN344" s="6"/>
      <c r="DO344" s="6"/>
    </row>
    <row r="345" spans="1:119" s="44" customFormat="1" ht="15.75" hidden="1" customHeight="1">
      <c r="A345" s="90"/>
      <c r="B345" s="137"/>
      <c r="C345" s="138"/>
      <c r="D345" s="138"/>
      <c r="E345" s="97" t="s">
        <v>100</v>
      </c>
      <c r="F345" s="105">
        <f>'Trifásico 34,5kv'!BV9+'Trifásico 34,5kv'!BW9+'Trifásico 34,5kv'!BX9</f>
        <v>0</v>
      </c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  <c r="BC345" s="6"/>
      <c r="BD345" s="6"/>
      <c r="BE345" s="6"/>
      <c r="BF345" s="6"/>
      <c r="BG345" s="6"/>
      <c r="BH345" s="6"/>
      <c r="BI345" s="6"/>
      <c r="BJ345" s="6"/>
      <c r="BK345" s="6"/>
      <c r="BL345" s="6"/>
      <c r="BM345" s="6"/>
      <c r="BN345" s="6"/>
      <c r="BO345" s="6"/>
      <c r="BP345" s="6"/>
      <c r="BQ345" s="6"/>
      <c r="BR345" s="6"/>
      <c r="BS345" s="6"/>
      <c r="BT345" s="6"/>
      <c r="BU345" s="6"/>
      <c r="BV345" s="6"/>
      <c r="BW345" s="6"/>
      <c r="BX345" s="6"/>
      <c r="BY345" s="6"/>
      <c r="BZ345" s="6"/>
      <c r="CA345" s="6"/>
      <c r="CB345" s="6"/>
      <c r="CC345" s="6"/>
      <c r="CD345" s="6"/>
      <c r="CE345" s="6"/>
      <c r="CF345" s="6"/>
      <c r="CG345" s="6"/>
      <c r="CH345" s="6"/>
      <c r="CI345" s="6"/>
      <c r="CJ345" s="6"/>
      <c r="CK345" s="6"/>
      <c r="CL345" s="6"/>
      <c r="CM345" s="6"/>
      <c r="CN345" s="6"/>
      <c r="CO345" s="6"/>
      <c r="CP345" s="6"/>
      <c r="CQ345" s="6"/>
      <c r="CR345" s="6"/>
      <c r="CS345" s="6"/>
      <c r="CT345" s="6"/>
      <c r="CU345" s="6"/>
      <c r="CV345" s="6"/>
      <c r="CW345" s="6"/>
      <c r="CX345" s="6"/>
      <c r="CY345" s="6"/>
      <c r="CZ345" s="6"/>
      <c r="DA345" s="6"/>
      <c r="DB345" s="6"/>
      <c r="DC345" s="6"/>
      <c r="DD345" s="6"/>
      <c r="DE345" s="6"/>
      <c r="DF345" s="6"/>
      <c r="DG345" s="6"/>
      <c r="DH345" s="6"/>
      <c r="DI345" s="6"/>
      <c r="DJ345" s="6"/>
      <c r="DK345" s="6"/>
      <c r="DL345" s="6"/>
      <c r="DM345" s="6"/>
      <c r="DN345" s="6"/>
      <c r="DO345" s="6"/>
    </row>
    <row r="346" spans="1:119" s="6" customFormat="1" ht="15.75" hidden="1" customHeight="1">
      <c r="A346" s="90"/>
      <c r="B346" s="137"/>
      <c r="C346" s="138"/>
      <c r="D346" s="138"/>
      <c r="E346" s="107" t="s">
        <v>78</v>
      </c>
      <c r="F346" s="105">
        <f>'Trifásico 34,5kv'!BV10+'Trifásico 34,5kv'!BW10+'Trifásico 34,5kv'!BX10</f>
        <v>0</v>
      </c>
    </row>
    <row r="347" spans="1:119" s="6" customFormat="1" ht="15.75" hidden="1" customHeight="1">
      <c r="A347" s="90"/>
      <c r="B347" s="137"/>
      <c r="C347" s="138"/>
      <c r="D347" s="138"/>
      <c r="E347" s="97" t="s">
        <v>79</v>
      </c>
      <c r="F347" s="105">
        <f>'Trifásico 34,5kv'!BV11+'Trifásico 34,5kv'!BW11+'Trifásico 34,5kv'!BX11</f>
        <v>0</v>
      </c>
    </row>
    <row r="348" spans="1:119" s="6" customFormat="1" ht="15.75" hidden="1" customHeight="1">
      <c r="A348" s="90"/>
      <c r="B348" s="137"/>
      <c r="C348" s="138"/>
      <c r="D348" s="138"/>
      <c r="E348" s="107" t="s">
        <v>80</v>
      </c>
      <c r="F348" s="105">
        <f>'Trifásico 34,5kv'!BV12+'Trifásico 34,5kv'!BW12+'Trifásico 34,5kv'!BX12</f>
        <v>0</v>
      </c>
    </row>
    <row r="349" spans="1:119" s="6" customFormat="1" ht="15.75" hidden="1" customHeight="1">
      <c r="A349" s="90"/>
      <c r="B349" s="137"/>
      <c r="C349" s="138"/>
      <c r="D349" s="138"/>
      <c r="E349" s="97" t="s">
        <v>81</v>
      </c>
      <c r="F349" s="105">
        <f>'Trifásico 34,5kv'!BV13+'Trifásico 34,5kv'!BW13+'Trifásico 34,5kv'!BX13</f>
        <v>0</v>
      </c>
    </row>
    <row r="350" spans="1:119" s="6" customFormat="1" ht="15.75" hidden="1" customHeight="1">
      <c r="A350" s="90"/>
      <c r="B350" s="137"/>
      <c r="C350" s="138"/>
      <c r="D350" s="138"/>
      <c r="E350" s="107" t="s">
        <v>82</v>
      </c>
      <c r="F350" s="105">
        <f>'Trifásico 34,5kv'!BV14+'Trifásico 34,5kv'!BW14+'Trifásico 34,5kv'!BX14</f>
        <v>0</v>
      </c>
    </row>
    <row r="351" spans="1:119" s="6" customFormat="1" ht="15.75" hidden="1" customHeight="1">
      <c r="A351" s="90"/>
      <c r="B351" s="137"/>
      <c r="C351" s="138"/>
      <c r="D351" s="138"/>
      <c r="E351" s="97" t="s">
        <v>83</v>
      </c>
      <c r="F351" s="105">
        <f>'Trifásico 34,5kv'!BV15+'Trifásico 34,5kv'!BW15+'Trifásico 34,5kv'!BX15</f>
        <v>0</v>
      </c>
    </row>
    <row r="352" spans="1:119" s="6" customFormat="1" ht="15.75" hidden="1" customHeight="1">
      <c r="A352" s="90"/>
      <c r="B352" s="137"/>
      <c r="C352" s="138"/>
      <c r="D352" s="138"/>
      <c r="E352" s="107" t="s">
        <v>85</v>
      </c>
      <c r="F352" s="105">
        <f>'Trifásico 34,5kv'!BV16+'Trifásico 34,5kv'!BW16+'Trifásico 34,5kv'!BX16</f>
        <v>0</v>
      </c>
    </row>
    <row r="353" spans="1:6" s="6" customFormat="1" ht="15.75" hidden="1" customHeight="1">
      <c r="A353" s="90"/>
      <c r="B353" s="137"/>
      <c r="C353" s="138"/>
      <c r="D353" s="138"/>
      <c r="E353" s="97" t="s">
        <v>84</v>
      </c>
      <c r="F353" s="105">
        <f>'Trifásico 34,5kv'!BV17+'Trifásico 34,5kv'!BW17+'Trifásico 34,5kv'!BX17</f>
        <v>0</v>
      </c>
    </row>
    <row r="354" spans="1:6" s="6" customFormat="1" ht="15.75" hidden="1" customHeight="1">
      <c r="A354" s="90"/>
      <c r="B354" s="137"/>
      <c r="C354" s="138"/>
      <c r="D354" s="138"/>
      <c r="E354" s="107" t="s">
        <v>86</v>
      </c>
      <c r="F354" s="105">
        <f>'Trifásico 34,5kv'!BV18+'Trifásico 34,5kv'!BW18+'Trifásico 34,5kv'!BX18</f>
        <v>0</v>
      </c>
    </row>
    <row r="355" spans="1:6" s="6" customFormat="1" ht="15.75" hidden="1" customHeight="1">
      <c r="A355" s="90"/>
      <c r="B355" s="137"/>
      <c r="C355" s="138"/>
      <c r="D355" s="138"/>
      <c r="E355" s="97" t="s">
        <v>87</v>
      </c>
      <c r="F355" s="105">
        <f>'Trifásico 34,5kv'!BV19+'Trifásico 34,5kv'!BW19+'Trifásico 34,5kv'!BX19</f>
        <v>0</v>
      </c>
    </row>
    <row r="356" spans="1:6" s="6" customFormat="1" ht="15.75" hidden="1" customHeight="1">
      <c r="A356" s="90"/>
      <c r="B356" s="137"/>
      <c r="C356" s="138"/>
      <c r="D356" s="138"/>
      <c r="E356" s="107" t="s">
        <v>101</v>
      </c>
      <c r="F356" s="105">
        <f>'Trifásico 34,5kv'!BV20+'Trifásico 34,5kv'!BW20+'Trifásico 34,5kv'!BX20</f>
        <v>0</v>
      </c>
    </row>
    <row r="357" spans="1:6" s="6" customFormat="1" ht="15.75" hidden="1" customHeight="1">
      <c r="A357" s="90"/>
      <c r="B357" s="137"/>
      <c r="C357" s="138"/>
      <c r="D357" s="138"/>
      <c r="E357" s="97" t="s">
        <v>88</v>
      </c>
      <c r="F357" s="105">
        <f>'Trifásico 34,5kv'!BV21+'Trifásico 34,5kv'!BW21+'Trifásico 34,5kv'!BX21</f>
        <v>0</v>
      </c>
    </row>
    <row r="358" spans="1:6" s="6" customFormat="1" ht="15.75" hidden="1" customHeight="1">
      <c r="A358" s="90"/>
      <c r="B358" s="137"/>
      <c r="C358" s="138"/>
      <c r="D358" s="138"/>
      <c r="E358" s="107" t="s">
        <v>89</v>
      </c>
      <c r="F358" s="105">
        <f>'Trifásico 34,5kv'!BV22+'Trifásico 34,5kv'!BW22+'Trifásico 34,5kv'!BX22</f>
        <v>0</v>
      </c>
    </row>
    <row r="359" spans="1:6" s="6" customFormat="1" ht="15.75" hidden="1" customHeight="1">
      <c r="A359" s="90"/>
      <c r="B359" s="137"/>
      <c r="C359" s="138"/>
      <c r="D359" s="138"/>
      <c r="E359" s="97" t="s">
        <v>90</v>
      </c>
      <c r="F359" s="105">
        <f>'Trifásico 34,5kv'!BV23+'Trifásico 34,5kv'!BW23+'Trifásico 34,5kv'!BX23</f>
        <v>0</v>
      </c>
    </row>
    <row r="360" spans="1:6" s="6" customFormat="1" ht="15.75" hidden="1" customHeight="1">
      <c r="A360" s="68"/>
      <c r="B360" s="153"/>
      <c r="C360" s="138"/>
      <c r="D360" s="154"/>
      <c r="E360" s="107" t="s">
        <v>93</v>
      </c>
      <c r="F360" s="105">
        <f>'Trifásico 34,5kv'!BV24+'Trifásico 34,5kv'!BW24+'Trifásico 34,5kv'!BX24</f>
        <v>0</v>
      </c>
    </row>
    <row r="361" spans="1:6" s="6" customFormat="1" ht="15.75" hidden="1" customHeight="1">
      <c r="A361" s="68"/>
      <c r="B361" s="153"/>
      <c r="C361" s="138"/>
      <c r="D361" s="154"/>
      <c r="E361" s="97" t="s">
        <v>91</v>
      </c>
      <c r="F361" s="105">
        <f>'Trifásico 34,5kv'!BV25+'Trifásico 34,5kv'!BW25+'Trifásico 34,5kv'!BX25</f>
        <v>0</v>
      </c>
    </row>
    <row r="362" spans="1:6" s="6" customFormat="1" ht="15.75" hidden="1" customHeight="1">
      <c r="A362" s="68"/>
      <c r="B362" s="153"/>
      <c r="C362" s="138"/>
      <c r="D362" s="154"/>
      <c r="E362" s="107" t="s">
        <v>92</v>
      </c>
      <c r="F362" s="105">
        <f>'Trifásico 34,5kv'!BV26+'Trifásico 34,5kv'!BW26+'Trifásico 34,5kv'!BX26</f>
        <v>0</v>
      </c>
    </row>
    <row r="363" spans="1:6" s="6" customFormat="1" ht="15.75" hidden="1" customHeight="1" thickBot="1">
      <c r="A363" s="68"/>
      <c r="B363" s="153"/>
      <c r="C363" s="138"/>
      <c r="D363" s="154"/>
      <c r="E363" s="130"/>
      <c r="F363" s="38">
        <f>SUM(F341:F362)</f>
        <v>0</v>
      </c>
    </row>
    <row r="364" spans="1:6" s="6" customFormat="1" ht="15.75" hidden="1" customHeight="1" thickBot="1">
      <c r="A364" s="8"/>
      <c r="B364" s="153"/>
      <c r="C364" s="138"/>
      <c r="D364" s="154"/>
      <c r="E364" s="257" t="s">
        <v>227</v>
      </c>
      <c r="F364" s="297">
        <f>SUM(F365:F386)</f>
        <v>0</v>
      </c>
    </row>
    <row r="365" spans="1:6" s="6" customFormat="1" ht="15.75" hidden="1" customHeight="1">
      <c r="A365" s="8"/>
      <c r="B365" s="153"/>
      <c r="C365" s="138"/>
      <c r="D365" s="154"/>
      <c r="E365" s="97" t="s">
        <v>74</v>
      </c>
      <c r="F365" s="105">
        <f>'Trifásico 34,5kv'!CA5+'Trifásico 34,5kv'!CB5+'Trifásico 34,5kv'!CC5</f>
        <v>0</v>
      </c>
    </row>
    <row r="366" spans="1:6" s="6" customFormat="1" ht="15.75" hidden="1" customHeight="1">
      <c r="A366" s="90"/>
      <c r="B366" s="137"/>
      <c r="C366" s="138"/>
      <c r="D366" s="154"/>
      <c r="E366" s="107" t="s">
        <v>75</v>
      </c>
      <c r="F366" s="105">
        <f>'Trifásico 34,5kv'!CA6+'Trifásico 34,5kv'!CB6+'Trifásico 34,5kv'!CC6</f>
        <v>0</v>
      </c>
    </row>
    <row r="367" spans="1:6" s="6" customFormat="1" ht="15.75" hidden="1" customHeight="1">
      <c r="A367" s="90"/>
      <c r="B367" s="137"/>
      <c r="C367" s="138"/>
      <c r="D367" s="154"/>
      <c r="E367" s="97" t="s">
        <v>76</v>
      </c>
      <c r="F367" s="105">
        <f>'Trifásico 34,5kv'!CA7+'Trifásico 34,5kv'!CB7+'Trifásico 34,5kv'!CC7</f>
        <v>0</v>
      </c>
    </row>
    <row r="368" spans="1:6" s="6" customFormat="1" ht="15.75" hidden="1" customHeight="1">
      <c r="A368" s="90"/>
      <c r="B368" s="137"/>
      <c r="C368" s="138"/>
      <c r="D368" s="154"/>
      <c r="E368" s="107" t="s">
        <v>77</v>
      </c>
      <c r="F368" s="105">
        <f>'Trifásico 34,5kv'!CA8+'Trifásico 34,5kv'!CB8+'Trifásico 34,5kv'!CC8</f>
        <v>0</v>
      </c>
    </row>
    <row r="369" spans="1:6" s="6" customFormat="1" ht="15.75" hidden="1" customHeight="1">
      <c r="A369" s="90"/>
      <c r="B369" s="137"/>
      <c r="C369" s="138"/>
      <c r="D369" s="138"/>
      <c r="E369" s="97" t="s">
        <v>100</v>
      </c>
      <c r="F369" s="105">
        <f>'Trifásico 34,5kv'!CA9+'Trifásico 34,5kv'!CB9+'Trifásico 34,5kv'!CC9</f>
        <v>0</v>
      </c>
    </row>
    <row r="370" spans="1:6" s="6" customFormat="1" ht="15.75" hidden="1" customHeight="1">
      <c r="A370" s="90"/>
      <c r="B370" s="137"/>
      <c r="C370" s="138"/>
      <c r="D370" s="138"/>
      <c r="E370" s="107" t="s">
        <v>78</v>
      </c>
      <c r="F370" s="105">
        <f>'Trifásico 34,5kv'!CA10+'Trifásico 34,5kv'!CB10+'Trifásico 34,5kv'!CC10</f>
        <v>0</v>
      </c>
    </row>
    <row r="371" spans="1:6" s="6" customFormat="1" ht="15.75" hidden="1" customHeight="1">
      <c r="A371" s="90"/>
      <c r="B371" s="137"/>
      <c r="C371" s="138"/>
      <c r="D371" s="138"/>
      <c r="E371" s="97" t="s">
        <v>79</v>
      </c>
      <c r="F371" s="105">
        <f>'Trifásico 34,5kv'!CA11+'Trifásico 34,5kv'!CB11+'Trifásico 34,5kv'!CC11</f>
        <v>0</v>
      </c>
    </row>
    <row r="372" spans="1:6" s="6" customFormat="1" ht="15.75" hidden="1" customHeight="1">
      <c r="A372" s="90"/>
      <c r="B372" s="137"/>
      <c r="C372" s="138"/>
      <c r="D372" s="138"/>
      <c r="E372" s="107" t="s">
        <v>80</v>
      </c>
      <c r="F372" s="105">
        <f>'Trifásico 34,5kv'!CA12+'Trifásico 34,5kv'!CB12+'Trifásico 34,5kv'!CC12</f>
        <v>0</v>
      </c>
    </row>
    <row r="373" spans="1:6" s="6" customFormat="1" ht="15.75" hidden="1" customHeight="1">
      <c r="A373" s="90"/>
      <c r="B373" s="137"/>
      <c r="C373" s="138"/>
      <c r="D373" s="138"/>
      <c r="E373" s="97" t="s">
        <v>81</v>
      </c>
      <c r="F373" s="105">
        <f>'Trifásico 34,5kv'!CA13+'Trifásico 34,5kv'!CB13+'Trifásico 34,5kv'!CC13</f>
        <v>0</v>
      </c>
    </row>
    <row r="374" spans="1:6" s="6" customFormat="1" ht="15.75" hidden="1" customHeight="1">
      <c r="A374" s="90"/>
      <c r="B374" s="137"/>
      <c r="C374" s="138"/>
      <c r="D374" s="138"/>
      <c r="E374" s="107" t="s">
        <v>82</v>
      </c>
      <c r="F374" s="105">
        <f>'Trifásico 34,5kv'!CA14+'Trifásico 34,5kv'!CB14+'Trifásico 34,5kv'!CC14</f>
        <v>0</v>
      </c>
    </row>
    <row r="375" spans="1:6" s="6" customFormat="1" ht="15.75" hidden="1" customHeight="1">
      <c r="A375" s="150"/>
      <c r="B375" s="137"/>
      <c r="C375" s="138"/>
      <c r="D375" s="138"/>
      <c r="E375" s="97" t="s">
        <v>83</v>
      </c>
      <c r="F375" s="105">
        <f>'Trifásico 34,5kv'!CA15+'Trifásico 34,5kv'!CB15+'Trifásico 34,5kv'!CC15</f>
        <v>0</v>
      </c>
    </row>
    <row r="376" spans="1:6" s="6" customFormat="1" ht="15.75" hidden="1" customHeight="1">
      <c r="A376" s="150"/>
      <c r="B376" s="137"/>
      <c r="C376" s="138"/>
      <c r="D376" s="138"/>
      <c r="E376" s="107" t="s">
        <v>85</v>
      </c>
      <c r="F376" s="105">
        <f>'Trifásico 34,5kv'!CA16+'Trifásico 34,5kv'!CB16+'Trifásico 34,5kv'!CC16</f>
        <v>0</v>
      </c>
    </row>
    <row r="377" spans="1:6" s="6" customFormat="1" ht="15.75" hidden="1" customHeight="1">
      <c r="A377" s="150"/>
      <c r="B377" s="137"/>
      <c r="C377" s="138"/>
      <c r="D377" s="138"/>
      <c r="E377" s="97" t="s">
        <v>84</v>
      </c>
      <c r="F377" s="105">
        <f>'Trifásico 34,5kv'!CA17+'Trifásico 34,5kv'!CB17+'Trifásico 34,5kv'!CC17</f>
        <v>0</v>
      </c>
    </row>
    <row r="378" spans="1:6" s="6" customFormat="1" ht="15.75" hidden="1" customHeight="1">
      <c r="A378" s="150"/>
      <c r="B378" s="137"/>
      <c r="C378" s="138"/>
      <c r="D378" s="138"/>
      <c r="E378" s="107" t="s">
        <v>86</v>
      </c>
      <c r="F378" s="105">
        <f>'Trifásico 34,5kv'!CA18+'Trifásico 34,5kv'!CB18+'Trifásico 34,5kv'!CC18</f>
        <v>0</v>
      </c>
    </row>
    <row r="379" spans="1:6" s="6" customFormat="1" ht="15.75" hidden="1" customHeight="1">
      <c r="A379" s="150"/>
      <c r="B379" s="137"/>
      <c r="C379" s="138"/>
      <c r="D379" s="138"/>
      <c r="E379" s="97" t="s">
        <v>87</v>
      </c>
      <c r="F379" s="105">
        <f>'Trifásico 34,5kv'!CA19+'Trifásico 34,5kv'!CB19+'Trifásico 34,5kv'!CC19</f>
        <v>0</v>
      </c>
    </row>
    <row r="380" spans="1:6" s="6" customFormat="1" ht="15.75" hidden="1" customHeight="1">
      <c r="A380" s="90"/>
      <c r="B380" s="137"/>
      <c r="C380" s="138"/>
      <c r="D380" s="138"/>
      <c r="E380" s="107" t="s">
        <v>101</v>
      </c>
      <c r="F380" s="105">
        <f>'Trifásico 34,5kv'!CA20+'Trifásico 34,5kv'!CB20+'Trifásico 34,5kv'!CC20</f>
        <v>0</v>
      </c>
    </row>
    <row r="381" spans="1:6" s="6" customFormat="1" ht="15.75" hidden="1" customHeight="1">
      <c r="A381" s="90"/>
      <c r="B381" s="137"/>
      <c r="C381" s="138"/>
      <c r="D381" s="138"/>
      <c r="E381" s="97" t="s">
        <v>88</v>
      </c>
      <c r="F381" s="105">
        <f>'Trifásico 34,5kv'!CA21+'Trifásico 34,5kv'!CB21+'Trifásico 34,5kv'!CC21</f>
        <v>0</v>
      </c>
    </row>
    <row r="382" spans="1:6" s="6" customFormat="1" ht="15.75" hidden="1" customHeight="1">
      <c r="A382" s="90"/>
      <c r="B382" s="137"/>
      <c r="C382" s="138"/>
      <c r="D382" s="138"/>
      <c r="E382" s="107" t="s">
        <v>89</v>
      </c>
      <c r="F382" s="105">
        <f>'Trifásico 34,5kv'!CA22+'Trifásico 34,5kv'!CB22+'Trifásico 34,5kv'!CC22</f>
        <v>0</v>
      </c>
    </row>
    <row r="383" spans="1:6" s="6" customFormat="1" ht="15.75" hidden="1" customHeight="1">
      <c r="A383" s="90"/>
      <c r="B383" s="137"/>
      <c r="C383" s="138"/>
      <c r="D383" s="138"/>
      <c r="E383" s="97" t="s">
        <v>90</v>
      </c>
      <c r="F383" s="105">
        <f>'Trifásico 34,5kv'!CA23+'Trifásico 34,5kv'!CB23+'Trifásico 34,5kv'!CC23</f>
        <v>0</v>
      </c>
    </row>
    <row r="384" spans="1:6" s="6" customFormat="1" ht="15.75" hidden="1" customHeight="1">
      <c r="A384" s="90"/>
      <c r="B384" s="137"/>
      <c r="C384" s="138"/>
      <c r="D384" s="138"/>
      <c r="E384" s="107" t="s">
        <v>93</v>
      </c>
      <c r="F384" s="105">
        <f>'Trifásico 34,5kv'!CA24+'Trifásico 34,5kv'!CB24+'Trifásico 34,5kv'!CC24</f>
        <v>0</v>
      </c>
    </row>
    <row r="385" spans="1:6" s="6" customFormat="1" ht="15.75" hidden="1" customHeight="1">
      <c r="A385" s="90"/>
      <c r="B385" s="137"/>
      <c r="C385" s="138"/>
      <c r="D385" s="138"/>
      <c r="E385" s="97" t="s">
        <v>91</v>
      </c>
      <c r="F385" s="105">
        <f>'Trifásico 34,5kv'!CA25+'Trifásico 34,5kv'!CB25+'Trifásico 34,5kv'!CC25</f>
        <v>0</v>
      </c>
    </row>
    <row r="386" spans="1:6" s="6" customFormat="1" ht="15.75" hidden="1" customHeight="1">
      <c r="A386" s="90"/>
      <c r="B386" s="137"/>
      <c r="C386" s="138"/>
      <c r="D386" s="138"/>
      <c r="E386" s="107" t="s">
        <v>92</v>
      </c>
      <c r="F386" s="105">
        <f>'Trifásico 34,5kv'!CA26+'Trifásico 34,5kv'!CB26+'Trifásico 34,5kv'!CC26</f>
        <v>0</v>
      </c>
    </row>
    <row r="387" spans="1:6" s="6" customFormat="1" ht="15.75" hidden="1" customHeight="1" thickBot="1">
      <c r="A387" s="90"/>
      <c r="B387" s="137"/>
      <c r="C387" s="138"/>
      <c r="D387" s="138"/>
      <c r="E387" s="130"/>
      <c r="F387" s="38">
        <f>SUM(F365:F386)</f>
        <v>0</v>
      </c>
    </row>
    <row r="388" spans="1:6" s="6" customFormat="1" ht="15.75" hidden="1" customHeight="1" thickBot="1">
      <c r="A388" s="90"/>
      <c r="B388" s="137"/>
      <c r="C388" s="138"/>
      <c r="D388" s="138"/>
      <c r="E388" s="248" t="s">
        <v>518</v>
      </c>
      <c r="F388" s="294">
        <f>SUM(F389:F410)</f>
        <v>0</v>
      </c>
    </row>
    <row r="389" spans="1:6" s="6" customFormat="1" ht="15.75" hidden="1" customHeight="1">
      <c r="A389" s="90"/>
      <c r="B389" s="137"/>
      <c r="C389" s="138"/>
      <c r="D389" s="138"/>
      <c r="E389" s="97" t="s">
        <v>74</v>
      </c>
      <c r="F389" s="105">
        <f>'Trifásico 34,5kv'!CF5+'Trifásico 34,5kv'!CG5+'Trifásico 34,5kv'!CH5</f>
        <v>0</v>
      </c>
    </row>
    <row r="390" spans="1:6" s="6" customFormat="1" ht="15.75" hidden="1" customHeight="1">
      <c r="A390" s="90"/>
      <c r="B390" s="137"/>
      <c r="C390" s="138"/>
      <c r="D390" s="138"/>
      <c r="E390" s="107" t="s">
        <v>75</v>
      </c>
      <c r="F390" s="105">
        <f>'Trifásico 34,5kv'!CF6+'Trifásico 34,5kv'!CG6+'Trifásico 34,5kv'!CH6</f>
        <v>0</v>
      </c>
    </row>
    <row r="391" spans="1:6" s="6" customFormat="1" ht="15.75" hidden="1" customHeight="1">
      <c r="A391" s="90"/>
      <c r="B391" s="137"/>
      <c r="C391" s="138"/>
      <c r="D391" s="138"/>
      <c r="E391" s="97" t="s">
        <v>76</v>
      </c>
      <c r="F391" s="105">
        <f>'Trifásico 34,5kv'!CF7+'Trifásico 34,5kv'!CG7+'Trifásico 34,5kv'!CH7</f>
        <v>0</v>
      </c>
    </row>
    <row r="392" spans="1:6" s="6" customFormat="1" ht="15.75" hidden="1" customHeight="1">
      <c r="A392" s="90"/>
      <c r="B392" s="137"/>
      <c r="C392" s="138"/>
      <c r="D392" s="138"/>
      <c r="E392" s="107" t="s">
        <v>77</v>
      </c>
      <c r="F392" s="105">
        <f>'Trifásico 34,5kv'!CF8+'Trifásico 34,5kv'!CG8+'Trifásico 34,5kv'!CH8</f>
        <v>0</v>
      </c>
    </row>
    <row r="393" spans="1:6" s="6" customFormat="1" ht="15.75" hidden="1" customHeight="1">
      <c r="A393" s="90"/>
      <c r="B393" s="137"/>
      <c r="C393" s="138"/>
      <c r="D393" s="138"/>
      <c r="E393" s="97" t="s">
        <v>100</v>
      </c>
      <c r="F393" s="105">
        <f>'Trifásico 34,5kv'!CF9+'Trifásico 34,5kv'!CG9+'Trifásico 34,5kv'!CH9</f>
        <v>0</v>
      </c>
    </row>
    <row r="394" spans="1:6" s="6" customFormat="1" ht="15.75" hidden="1" customHeight="1">
      <c r="A394" s="90"/>
      <c r="B394" s="137"/>
      <c r="C394" s="138"/>
      <c r="D394" s="138"/>
      <c r="E394" s="107" t="s">
        <v>78</v>
      </c>
      <c r="F394" s="105">
        <f>'Trifásico 34,5kv'!CF10+'Trifásico 34,5kv'!CG10+'Trifásico 34,5kv'!CH10</f>
        <v>0</v>
      </c>
    </row>
    <row r="395" spans="1:6" s="6" customFormat="1" ht="15.75" hidden="1" customHeight="1">
      <c r="A395" s="90"/>
      <c r="B395" s="137"/>
      <c r="C395" s="138"/>
      <c r="D395" s="138"/>
      <c r="E395" s="97" t="s">
        <v>79</v>
      </c>
      <c r="F395" s="105">
        <f>'Trifásico 34,5kv'!CF11+'Trifásico 34,5kv'!CG11+'Trifásico 34,5kv'!CH11</f>
        <v>0</v>
      </c>
    </row>
    <row r="396" spans="1:6" s="6" customFormat="1" ht="15.75" hidden="1" customHeight="1">
      <c r="A396" s="90"/>
      <c r="B396" s="137"/>
      <c r="C396" s="138"/>
      <c r="D396" s="138"/>
      <c r="E396" s="107" t="s">
        <v>80</v>
      </c>
      <c r="F396" s="105">
        <f>'Trifásico 34,5kv'!CF12+'Trifásico 34,5kv'!CG12+'Trifásico 34,5kv'!CH12</f>
        <v>0</v>
      </c>
    </row>
    <row r="397" spans="1:6" s="6" customFormat="1" ht="15.75" hidden="1" customHeight="1">
      <c r="A397" s="90"/>
      <c r="B397" s="137"/>
      <c r="C397" s="138"/>
      <c r="D397" s="138"/>
      <c r="E397" s="97" t="s">
        <v>81</v>
      </c>
      <c r="F397" s="105">
        <f>'Trifásico 34,5kv'!CF13+'Trifásico 34,5kv'!CG13+'Trifásico 34,5kv'!CH13</f>
        <v>0</v>
      </c>
    </row>
    <row r="398" spans="1:6" s="6" customFormat="1" ht="15.75" hidden="1" customHeight="1">
      <c r="A398" s="90"/>
      <c r="B398" s="137"/>
      <c r="C398" s="138"/>
      <c r="D398" s="138"/>
      <c r="E398" s="107" t="s">
        <v>82</v>
      </c>
      <c r="F398" s="105">
        <f>'Trifásico 34,5kv'!CF14+'Trifásico 34,5kv'!CG14+'Trifásico 34,5kv'!CH14</f>
        <v>0</v>
      </c>
    </row>
    <row r="399" spans="1:6" s="6" customFormat="1" ht="15.75" hidden="1" customHeight="1">
      <c r="A399" s="90"/>
      <c r="B399" s="137"/>
      <c r="C399" s="138"/>
      <c r="D399" s="138"/>
      <c r="E399" s="97" t="s">
        <v>83</v>
      </c>
      <c r="F399" s="105">
        <f>'Trifásico 34,5kv'!CF15+'Trifásico 34,5kv'!CG15+'Trifásico 34,5kv'!CH15</f>
        <v>0</v>
      </c>
    </row>
    <row r="400" spans="1:6" s="6" customFormat="1" ht="15.75" hidden="1" customHeight="1">
      <c r="A400" s="90"/>
      <c r="B400" s="137"/>
      <c r="C400" s="138"/>
      <c r="D400" s="138"/>
      <c r="E400" s="107" t="s">
        <v>85</v>
      </c>
      <c r="F400" s="105">
        <f>'Trifásico 34,5kv'!CF16+'Trifásico 34,5kv'!CG16+'Trifásico 34,5kv'!CH16</f>
        <v>0</v>
      </c>
    </row>
    <row r="401" spans="1:6" s="6" customFormat="1" ht="15.75" hidden="1" customHeight="1">
      <c r="A401" s="90"/>
      <c r="B401" s="137"/>
      <c r="C401" s="138"/>
      <c r="D401" s="138"/>
      <c r="E401" s="97" t="s">
        <v>84</v>
      </c>
      <c r="F401" s="105">
        <f>'Trifásico 34,5kv'!CF17+'Trifásico 34,5kv'!CG17+'Trifásico 34,5kv'!CH17</f>
        <v>0</v>
      </c>
    </row>
    <row r="402" spans="1:6" s="6" customFormat="1" ht="15.75" hidden="1" customHeight="1">
      <c r="A402" s="90"/>
      <c r="B402" s="137"/>
      <c r="C402" s="138"/>
      <c r="D402" s="138"/>
      <c r="E402" s="107" t="s">
        <v>86</v>
      </c>
      <c r="F402" s="105">
        <f>'Trifásico 34,5kv'!CF18+'Trifásico 34,5kv'!CG18+'Trifásico 34,5kv'!CH18</f>
        <v>0</v>
      </c>
    </row>
    <row r="403" spans="1:6" s="6" customFormat="1" ht="15.75" hidden="1" customHeight="1">
      <c r="A403" s="90"/>
      <c r="B403" s="137"/>
      <c r="C403" s="138"/>
      <c r="D403" s="138"/>
      <c r="E403" s="97" t="s">
        <v>87</v>
      </c>
      <c r="F403" s="105">
        <f>'Trifásico 34,5kv'!CF19+'Trifásico 34,5kv'!CG19+'Trifásico 34,5kv'!CH19</f>
        <v>0</v>
      </c>
    </row>
    <row r="404" spans="1:6" s="6" customFormat="1" ht="15.75" hidden="1" customHeight="1">
      <c r="A404" s="90"/>
      <c r="B404" s="137"/>
      <c r="C404" s="138"/>
      <c r="D404" s="138"/>
      <c r="E404" s="107" t="s">
        <v>101</v>
      </c>
      <c r="F404" s="105">
        <f>'Trifásico 34,5kv'!CF20+'Trifásico 34,5kv'!CG20+'Trifásico 34,5kv'!CH20</f>
        <v>0</v>
      </c>
    </row>
    <row r="405" spans="1:6" s="6" customFormat="1" ht="15.75" hidden="1" customHeight="1">
      <c r="A405" s="90"/>
      <c r="B405" s="137"/>
      <c r="C405" s="138"/>
      <c r="D405" s="138"/>
      <c r="E405" s="97" t="s">
        <v>88</v>
      </c>
      <c r="F405" s="105">
        <f>'Trifásico 34,5kv'!CF21+'Trifásico 34,5kv'!CG21+'Trifásico 34,5kv'!CH21</f>
        <v>0</v>
      </c>
    </row>
    <row r="406" spans="1:6" s="6" customFormat="1" ht="15.75" hidden="1" customHeight="1">
      <c r="A406" s="90"/>
      <c r="B406" s="137"/>
      <c r="C406" s="138"/>
      <c r="D406" s="138"/>
      <c r="E406" s="107" t="s">
        <v>89</v>
      </c>
      <c r="F406" s="105">
        <f>'Trifásico 34,5kv'!CF22+'Trifásico 34,5kv'!CG22+'Trifásico 34,5kv'!CH22</f>
        <v>0</v>
      </c>
    </row>
    <row r="407" spans="1:6" s="6" customFormat="1" ht="15.75" hidden="1" customHeight="1">
      <c r="A407" s="90"/>
      <c r="B407" s="137"/>
      <c r="C407" s="138"/>
      <c r="D407" s="138"/>
      <c r="E407" s="97" t="s">
        <v>90</v>
      </c>
      <c r="F407" s="105">
        <f>'Trifásico 34,5kv'!CF23+'Trifásico 34,5kv'!CG23+'Trifásico 34,5kv'!CH23</f>
        <v>0</v>
      </c>
    </row>
    <row r="408" spans="1:6" s="6" customFormat="1" ht="15.75" hidden="1" customHeight="1">
      <c r="A408" s="90"/>
      <c r="B408" s="137"/>
      <c r="C408" s="138"/>
      <c r="D408" s="138"/>
      <c r="E408" s="107" t="s">
        <v>93</v>
      </c>
      <c r="F408" s="105">
        <f>'Trifásico 34,5kv'!CF24+'Trifásico 34,5kv'!CG24+'Trifásico 34,5kv'!CH24</f>
        <v>0</v>
      </c>
    </row>
    <row r="409" spans="1:6" s="6" customFormat="1" ht="15.75" hidden="1" customHeight="1">
      <c r="A409" s="90"/>
      <c r="B409" s="137"/>
      <c r="C409" s="138"/>
      <c r="D409" s="138"/>
      <c r="E409" s="97" t="s">
        <v>91</v>
      </c>
      <c r="F409" s="105">
        <f>'Trifásico 34,5kv'!CF25+'Trifásico 34,5kv'!CG25+'Trifásico 34,5kv'!CH25</f>
        <v>0</v>
      </c>
    </row>
    <row r="410" spans="1:6" s="6" customFormat="1" ht="15.75" hidden="1" customHeight="1">
      <c r="A410" s="90"/>
      <c r="B410" s="137"/>
      <c r="C410" s="138"/>
      <c r="D410" s="138"/>
      <c r="E410" s="107" t="s">
        <v>92</v>
      </c>
      <c r="F410" s="105">
        <f>'Trifásico 34,5kv'!CF26+'Trifásico 34,5kv'!CG26+'Trifásico 34,5kv'!CH26</f>
        <v>0</v>
      </c>
    </row>
    <row r="411" spans="1:6" s="6" customFormat="1" ht="15.75" hidden="1" customHeight="1" thickBot="1">
      <c r="A411" s="90"/>
      <c r="B411" s="137"/>
      <c r="C411" s="138"/>
      <c r="D411" s="138"/>
      <c r="E411" s="130"/>
      <c r="F411" s="38">
        <f>SUM(F389:F410)</f>
        <v>0</v>
      </c>
    </row>
    <row r="412" spans="1:6" s="6" customFormat="1" ht="15.75" hidden="1" customHeight="1" thickBot="1">
      <c r="A412" s="90"/>
      <c r="B412" s="137"/>
      <c r="C412" s="138"/>
      <c r="D412" s="138"/>
      <c r="E412" s="248" t="s">
        <v>530</v>
      </c>
      <c r="F412" s="297">
        <f>SUM(F413:F434)</f>
        <v>0</v>
      </c>
    </row>
    <row r="413" spans="1:6" s="6" customFormat="1" ht="15.75" hidden="1" customHeight="1">
      <c r="A413" s="90"/>
      <c r="B413" s="137"/>
      <c r="C413" s="138"/>
      <c r="D413" s="138"/>
      <c r="E413" s="97" t="s">
        <v>74</v>
      </c>
      <c r="F413" s="105">
        <f>'Trifásico 34,5kv'!CK5+'Trifásico 34,5kv'!CL5+'Trifásico 34,5kv'!CM5</f>
        <v>0</v>
      </c>
    </row>
    <row r="414" spans="1:6" s="6" customFormat="1" ht="15.75" hidden="1" customHeight="1">
      <c r="A414" s="150"/>
      <c r="B414" s="137"/>
      <c r="C414" s="138"/>
      <c r="D414" s="138"/>
      <c r="E414" s="107" t="s">
        <v>75</v>
      </c>
      <c r="F414" s="105">
        <f>'Trifásico 34,5kv'!CK6+'Trifásico 34,5kv'!CL6+'Trifásico 34,5kv'!CM6</f>
        <v>0</v>
      </c>
    </row>
    <row r="415" spans="1:6" s="6" customFormat="1" ht="15.75" hidden="1" customHeight="1">
      <c r="A415" s="90"/>
      <c r="B415" s="137"/>
      <c r="C415" s="138"/>
      <c r="D415" s="138"/>
      <c r="E415" s="97" t="s">
        <v>76</v>
      </c>
      <c r="F415" s="105">
        <f>'Trifásico 34,5kv'!CK7+'Trifásico 34,5kv'!CL7+'Trifásico 34,5kv'!CM7</f>
        <v>0</v>
      </c>
    </row>
    <row r="416" spans="1:6" s="6" customFormat="1" ht="15.75" hidden="1" customHeight="1">
      <c r="A416" s="90"/>
      <c r="B416" s="137"/>
      <c r="C416" s="138"/>
      <c r="D416" s="138"/>
      <c r="E416" s="107" t="s">
        <v>77</v>
      </c>
      <c r="F416" s="105">
        <f>'Trifásico 34,5kv'!CK8+'Trifásico 34,5kv'!CL8+'Trifásico 34,5kv'!CM8</f>
        <v>0</v>
      </c>
    </row>
    <row r="417" spans="1:6" s="6" customFormat="1" ht="15.75" hidden="1" customHeight="1">
      <c r="A417" s="90"/>
      <c r="B417" s="137"/>
      <c r="C417" s="138"/>
      <c r="D417" s="138"/>
      <c r="E417" s="97" t="s">
        <v>100</v>
      </c>
      <c r="F417" s="105">
        <f>'Trifásico 34,5kv'!CK9+'Trifásico 34,5kv'!CL9+'Trifásico 34,5kv'!CM9</f>
        <v>0</v>
      </c>
    </row>
    <row r="418" spans="1:6" s="6" customFormat="1" ht="15.75" hidden="1" customHeight="1">
      <c r="A418" s="90"/>
      <c r="B418" s="137"/>
      <c r="C418" s="138"/>
      <c r="D418" s="138"/>
      <c r="E418" s="107" t="s">
        <v>78</v>
      </c>
      <c r="F418" s="105">
        <f>'Trifásico 34,5kv'!CK10+'Trifásico 34,5kv'!CL10+'Trifásico 34,5kv'!CM10</f>
        <v>0</v>
      </c>
    </row>
    <row r="419" spans="1:6" s="6" customFormat="1" ht="15.75" hidden="1" customHeight="1">
      <c r="A419" s="90"/>
      <c r="B419" s="137"/>
      <c r="C419" s="138"/>
      <c r="D419" s="138"/>
      <c r="E419" s="97" t="s">
        <v>79</v>
      </c>
      <c r="F419" s="105">
        <f>'Trifásico 34,5kv'!CK11+'Trifásico 34,5kv'!CL11+'Trifásico 34,5kv'!CM11</f>
        <v>0</v>
      </c>
    </row>
    <row r="420" spans="1:6" s="6" customFormat="1" ht="15.75" hidden="1" customHeight="1">
      <c r="A420" s="90"/>
      <c r="B420" s="137"/>
      <c r="C420" s="138"/>
      <c r="D420" s="138"/>
      <c r="E420" s="107" t="s">
        <v>80</v>
      </c>
      <c r="F420" s="105">
        <f>'Trifásico 34,5kv'!CK12+'Trifásico 34,5kv'!CL12+'Trifásico 34,5kv'!CM12</f>
        <v>0</v>
      </c>
    </row>
    <row r="421" spans="1:6" s="6" customFormat="1" ht="15.75" hidden="1" customHeight="1">
      <c r="A421" s="90"/>
      <c r="B421" s="137"/>
      <c r="C421" s="138"/>
      <c r="D421" s="138"/>
      <c r="E421" s="97" t="s">
        <v>81</v>
      </c>
      <c r="F421" s="105">
        <f>'Trifásico 34,5kv'!CK13+'Trifásico 34,5kv'!CL13+'Trifásico 34,5kv'!CM13</f>
        <v>0</v>
      </c>
    </row>
    <row r="422" spans="1:6" s="6" customFormat="1" ht="15.75" hidden="1" customHeight="1">
      <c r="A422" s="90"/>
      <c r="B422" s="137"/>
      <c r="C422" s="138"/>
      <c r="D422" s="138"/>
      <c r="E422" s="107" t="s">
        <v>82</v>
      </c>
      <c r="F422" s="105">
        <f>'Trifásico 34,5kv'!CK14+'Trifásico 34,5kv'!CL14+'Trifásico 34,5kv'!CM14</f>
        <v>0</v>
      </c>
    </row>
    <row r="423" spans="1:6" s="6" customFormat="1" ht="15.75" hidden="1" customHeight="1">
      <c r="A423" s="90"/>
      <c r="B423" s="137"/>
      <c r="C423" s="138"/>
      <c r="D423" s="138"/>
      <c r="E423" s="97" t="s">
        <v>83</v>
      </c>
      <c r="F423" s="105">
        <f>'Trifásico 34,5kv'!CK15+'Trifásico 34,5kv'!CL15+'Trifásico 34,5kv'!CM15</f>
        <v>0</v>
      </c>
    </row>
    <row r="424" spans="1:6" s="6" customFormat="1" ht="15.75" hidden="1" customHeight="1">
      <c r="A424" s="90"/>
      <c r="B424" s="137"/>
      <c r="C424" s="138"/>
      <c r="D424" s="138"/>
      <c r="E424" s="107" t="s">
        <v>85</v>
      </c>
      <c r="F424" s="105">
        <f>'Trifásico 34,5kv'!CK16+'Trifásico 34,5kv'!CL16+'Trifásico 34,5kv'!CM16</f>
        <v>0</v>
      </c>
    </row>
    <row r="425" spans="1:6" s="6" customFormat="1" ht="15.75" hidden="1" customHeight="1">
      <c r="A425" s="90"/>
      <c r="B425" s="137"/>
      <c r="C425" s="138"/>
      <c r="D425" s="138"/>
      <c r="E425" s="97" t="s">
        <v>84</v>
      </c>
      <c r="F425" s="105">
        <f>'Trifásico 34,5kv'!CK17+'Trifásico 34,5kv'!CL17+'Trifásico 34,5kv'!CM17</f>
        <v>0</v>
      </c>
    </row>
    <row r="426" spans="1:6" s="6" customFormat="1" ht="15.75" hidden="1" customHeight="1">
      <c r="A426" s="90"/>
      <c r="B426" s="137"/>
      <c r="C426" s="138"/>
      <c r="D426" s="138"/>
      <c r="E426" s="107" t="s">
        <v>86</v>
      </c>
      <c r="F426" s="105">
        <f>'Trifásico 34,5kv'!CK18+'Trifásico 34,5kv'!CL18+'Trifásico 34,5kv'!CM18</f>
        <v>0</v>
      </c>
    </row>
    <row r="427" spans="1:6" s="6" customFormat="1" ht="15.75" hidden="1" customHeight="1">
      <c r="A427" s="90"/>
      <c r="B427" s="137"/>
      <c r="C427" s="138"/>
      <c r="D427" s="138"/>
      <c r="E427" s="97" t="s">
        <v>87</v>
      </c>
      <c r="F427" s="105">
        <f>'Trifásico 34,5kv'!CK19+'Trifásico 34,5kv'!CL19+'Trifásico 34,5kv'!CM19</f>
        <v>0</v>
      </c>
    </row>
    <row r="428" spans="1:6" s="6" customFormat="1" ht="15.75" hidden="1" customHeight="1">
      <c r="A428" s="90"/>
      <c r="B428" s="137"/>
      <c r="C428" s="138"/>
      <c r="D428" s="138"/>
      <c r="E428" s="107" t="s">
        <v>101</v>
      </c>
      <c r="F428" s="105">
        <f>'Trifásico 34,5kv'!CK20+'Trifásico 34,5kv'!CL20+'Trifásico 34,5kv'!CM20</f>
        <v>0</v>
      </c>
    </row>
    <row r="429" spans="1:6" s="6" customFormat="1" ht="15.75" hidden="1" customHeight="1">
      <c r="A429" s="90"/>
      <c r="B429" s="137"/>
      <c r="C429" s="138"/>
      <c r="D429" s="138"/>
      <c r="E429" s="97" t="s">
        <v>88</v>
      </c>
      <c r="F429" s="105">
        <f>'Trifásico 34,5kv'!CK21+'Trifásico 34,5kv'!CL21+'Trifásico 34,5kv'!CM21</f>
        <v>0</v>
      </c>
    </row>
    <row r="430" spans="1:6" s="6" customFormat="1" ht="15.75" hidden="1" customHeight="1">
      <c r="A430" s="90"/>
      <c r="B430" s="137"/>
      <c r="C430" s="138"/>
      <c r="D430" s="138"/>
      <c r="E430" s="107" t="s">
        <v>89</v>
      </c>
      <c r="F430" s="105">
        <f>'Trifásico 34,5kv'!CK22+'Trifásico 34,5kv'!CL22+'Trifásico 34,5kv'!CM22</f>
        <v>0</v>
      </c>
    </row>
    <row r="431" spans="1:6" s="6" customFormat="1" ht="15.75" hidden="1" customHeight="1">
      <c r="A431" s="90"/>
      <c r="B431" s="137"/>
      <c r="C431" s="138"/>
      <c r="D431" s="138"/>
      <c r="E431" s="97" t="s">
        <v>90</v>
      </c>
      <c r="F431" s="105">
        <f>'Trifásico 34,5kv'!CK23+'Trifásico 34,5kv'!CL23+'Trifásico 34,5kv'!CM23</f>
        <v>0</v>
      </c>
    </row>
    <row r="432" spans="1:6" s="6" customFormat="1" ht="15.75" hidden="1" customHeight="1">
      <c r="A432" s="90"/>
      <c r="B432" s="137"/>
      <c r="C432" s="138"/>
      <c r="D432" s="138"/>
      <c r="E432" s="107" t="s">
        <v>93</v>
      </c>
      <c r="F432" s="105">
        <f>'Trifásico 34,5kv'!CK24+'Trifásico 34,5kv'!CL24+'Trifásico 34,5kv'!CM24</f>
        <v>0</v>
      </c>
    </row>
    <row r="433" spans="1:6" s="6" customFormat="1" ht="15.75" hidden="1" customHeight="1">
      <c r="A433" s="90"/>
      <c r="B433" s="137"/>
      <c r="C433" s="138"/>
      <c r="D433" s="138"/>
      <c r="E433" s="97" t="s">
        <v>91</v>
      </c>
      <c r="F433" s="105">
        <f>'Trifásico 34,5kv'!CK25+'Trifásico 34,5kv'!CL25+'Trifásico 34,5kv'!CM25</f>
        <v>0</v>
      </c>
    </row>
    <row r="434" spans="1:6" s="6" customFormat="1" ht="15.75" hidden="1" customHeight="1">
      <c r="A434" s="90"/>
      <c r="B434" s="137"/>
      <c r="C434" s="138"/>
      <c r="D434" s="138"/>
      <c r="E434" s="107" t="s">
        <v>92</v>
      </c>
      <c r="F434" s="105">
        <f>'Trifásico 34,5kv'!CK26+'Trifásico 34,5kv'!CL26+'Trifásico 34,5kv'!CM26</f>
        <v>0</v>
      </c>
    </row>
    <row r="435" spans="1:6" s="6" customFormat="1" ht="15.75" hidden="1" customHeight="1" thickBot="1">
      <c r="A435" s="90"/>
      <c r="B435" s="137"/>
      <c r="C435" s="138"/>
      <c r="D435" s="138"/>
      <c r="E435" s="130"/>
      <c r="F435" s="38">
        <f>SUM(F413:F434)</f>
        <v>0</v>
      </c>
    </row>
    <row r="436" spans="1:6" ht="15.75" hidden="1" customHeight="1" thickBot="1">
      <c r="A436" s="69"/>
      <c r="B436" s="153"/>
      <c r="C436" s="138"/>
      <c r="E436" s="230" t="s">
        <v>224</v>
      </c>
      <c r="F436" s="297">
        <f>SUM(F437:F458)</f>
        <v>0</v>
      </c>
    </row>
    <row r="437" spans="1:6" ht="15.75" hidden="1" customHeight="1">
      <c r="A437" s="69"/>
      <c r="B437" s="153"/>
      <c r="C437" s="138"/>
      <c r="E437" s="97" t="s">
        <v>74</v>
      </c>
      <c r="F437" s="105">
        <f>'Trifásico 34,5kv'!CP5+'Trifásico 34,5kv'!CQ5+'Trifásico 34,5kv'!CR5</f>
        <v>0</v>
      </c>
    </row>
    <row r="438" spans="1:6" ht="15.75" hidden="1" customHeight="1">
      <c r="A438" s="68"/>
      <c r="B438" s="153"/>
      <c r="C438" s="138"/>
      <c r="E438" s="107" t="s">
        <v>75</v>
      </c>
      <c r="F438" s="105">
        <f>'Trifásico 34,5kv'!CP6+'Trifásico 34,5kv'!CQ6+'Trifásico 34,5kv'!CR6</f>
        <v>0</v>
      </c>
    </row>
    <row r="439" spans="1:6" ht="15.75" hidden="1" customHeight="1">
      <c r="A439" s="69"/>
      <c r="B439" s="153"/>
      <c r="C439" s="138"/>
      <c r="E439" s="97" t="s">
        <v>76</v>
      </c>
      <c r="F439" s="105">
        <f>'Trifásico 34,5kv'!CP7+'Trifásico 34,5kv'!CQ7+'Trifásico 34,5kv'!CR7</f>
        <v>0</v>
      </c>
    </row>
    <row r="440" spans="1:6" ht="15.75" hidden="1" customHeight="1">
      <c r="A440" s="68"/>
      <c r="B440" s="153"/>
      <c r="C440" s="138"/>
      <c r="E440" s="107" t="s">
        <v>77</v>
      </c>
      <c r="F440" s="105">
        <f>'Trifásico 34,5kv'!CP8+'Trifásico 34,5kv'!CQ8+'Trifásico 34,5kv'!CR8</f>
        <v>0</v>
      </c>
    </row>
    <row r="441" spans="1:6" ht="15.75" hidden="1" customHeight="1">
      <c r="A441" s="69"/>
      <c r="B441" s="153"/>
      <c r="C441" s="138"/>
      <c r="E441" s="97" t="s">
        <v>100</v>
      </c>
      <c r="F441" s="105">
        <f>'Trifásico 34,5kv'!CP9+'Trifásico 34,5kv'!CQ9+'Trifásico 34,5kv'!CR9</f>
        <v>0</v>
      </c>
    </row>
    <row r="442" spans="1:6" ht="15.75" hidden="1" customHeight="1">
      <c r="A442" s="68"/>
      <c r="B442" s="153"/>
      <c r="C442" s="138"/>
      <c r="E442" s="107" t="s">
        <v>78</v>
      </c>
      <c r="F442" s="105">
        <f>'Trifásico 34,5kv'!CP10+'Trifásico 34,5kv'!CQ10+'Trifásico 34,5kv'!CR10</f>
        <v>0</v>
      </c>
    </row>
    <row r="443" spans="1:6" ht="15.75" hidden="1" customHeight="1">
      <c r="A443" s="69"/>
      <c r="B443" s="153"/>
      <c r="C443" s="138"/>
      <c r="E443" s="97" t="s">
        <v>79</v>
      </c>
      <c r="F443" s="105">
        <f>'Trifásico 34,5kv'!CP11+'Trifásico 34,5kv'!CQ11+'Trifásico 34,5kv'!CR11</f>
        <v>0</v>
      </c>
    </row>
    <row r="444" spans="1:6" ht="15.75" hidden="1" customHeight="1">
      <c r="A444" s="68"/>
      <c r="B444" s="153"/>
      <c r="C444" s="138"/>
      <c r="E444" s="107" t="s">
        <v>80</v>
      </c>
      <c r="F444" s="105">
        <f>'Trifásico 34,5kv'!CP12+'Trifásico 34,5kv'!CQ12+'Trifásico 34,5kv'!CR12</f>
        <v>0</v>
      </c>
    </row>
    <row r="445" spans="1:6" ht="15.75" hidden="1" customHeight="1">
      <c r="A445" s="69"/>
      <c r="B445" s="153"/>
      <c r="C445" s="138"/>
      <c r="E445" s="97" t="s">
        <v>81</v>
      </c>
      <c r="F445" s="105">
        <f>'Trifásico 34,5kv'!CP13+'Trifásico 34,5kv'!CQ13+'Trifásico 34,5kv'!CR13</f>
        <v>0</v>
      </c>
    </row>
    <row r="446" spans="1:6" ht="15.75" hidden="1" customHeight="1">
      <c r="A446" s="68"/>
      <c r="B446" s="153"/>
      <c r="C446" s="138"/>
      <c r="E446" s="107" t="s">
        <v>82</v>
      </c>
      <c r="F446" s="105">
        <f>'Trifásico 34,5kv'!CP14+'Trifásico 34,5kv'!CQ14+'Trifásico 34,5kv'!CR14</f>
        <v>0</v>
      </c>
    </row>
    <row r="447" spans="1:6" ht="15.75" hidden="1" customHeight="1">
      <c r="A447" s="69"/>
      <c r="B447" s="153"/>
      <c r="C447" s="138"/>
      <c r="E447" s="97" t="s">
        <v>83</v>
      </c>
      <c r="F447" s="105">
        <f>'Trifásico 34,5kv'!CP15+'Trifásico 34,5kv'!CQ15+'Trifásico 34,5kv'!CR15</f>
        <v>0</v>
      </c>
    </row>
    <row r="448" spans="1:6" ht="15.75" hidden="1" customHeight="1">
      <c r="A448" s="68"/>
      <c r="B448" s="153"/>
      <c r="C448" s="138"/>
      <c r="E448" s="107" t="s">
        <v>85</v>
      </c>
      <c r="F448" s="105">
        <f>'Trifásico 34,5kv'!CP16+'Trifásico 34,5kv'!CQ16+'Trifásico 34,5kv'!CR16</f>
        <v>0</v>
      </c>
    </row>
    <row r="449" spans="1:6" ht="15.75" hidden="1" customHeight="1">
      <c r="A449" s="69"/>
      <c r="B449" s="153"/>
      <c r="C449" s="138"/>
      <c r="E449" s="97" t="s">
        <v>84</v>
      </c>
      <c r="F449" s="105">
        <f>'Trifásico 34,5kv'!CP17+'Trifásico 34,5kv'!CQ17+'Trifásico 34,5kv'!CR17</f>
        <v>0</v>
      </c>
    </row>
    <row r="450" spans="1:6" ht="15.75" hidden="1" customHeight="1">
      <c r="A450" s="68"/>
      <c r="B450" s="153"/>
      <c r="C450" s="138"/>
      <c r="E450" s="107" t="s">
        <v>86</v>
      </c>
      <c r="F450" s="105">
        <f>'Trifásico 34,5kv'!CP18+'Trifásico 34,5kv'!CQ18+'Trifásico 34,5kv'!CR18</f>
        <v>0</v>
      </c>
    </row>
    <row r="451" spans="1:6" ht="15.75" hidden="1" customHeight="1">
      <c r="A451" s="69"/>
      <c r="B451" s="153"/>
      <c r="C451" s="138"/>
      <c r="E451" s="97" t="s">
        <v>87</v>
      </c>
      <c r="F451" s="105">
        <f>'Trifásico 34,5kv'!CP19+'Trifásico 34,5kv'!CQ19+'Trifásico 34,5kv'!CR19</f>
        <v>0</v>
      </c>
    </row>
    <row r="452" spans="1:6" ht="15.75" hidden="1" customHeight="1">
      <c r="A452" s="68"/>
      <c r="B452" s="153"/>
      <c r="C452" s="138"/>
      <c r="E452" s="107" t="s">
        <v>101</v>
      </c>
      <c r="F452" s="105">
        <f>'Trifásico 34,5kv'!CP20+'Trifásico 34,5kv'!CQ20+'Trifásico 34,5kv'!CR20</f>
        <v>0</v>
      </c>
    </row>
    <row r="453" spans="1:6" ht="15.75" hidden="1" customHeight="1">
      <c r="A453" s="69"/>
      <c r="B453" s="153"/>
      <c r="C453" s="138"/>
      <c r="E453" s="97" t="s">
        <v>88</v>
      </c>
      <c r="F453" s="105">
        <f>'Trifásico 34,5kv'!CP21+'Trifásico 34,5kv'!CQ21+'Trifásico 34,5kv'!CR21</f>
        <v>0</v>
      </c>
    </row>
    <row r="454" spans="1:6" ht="15.75" hidden="1" customHeight="1">
      <c r="A454" s="68"/>
      <c r="B454" s="153"/>
      <c r="C454" s="138"/>
      <c r="E454" s="107" t="s">
        <v>89</v>
      </c>
      <c r="F454" s="105">
        <f>'Trifásico 34,5kv'!CP22+'Trifásico 34,5kv'!CQ22+'Trifásico 34,5kv'!CR22</f>
        <v>0</v>
      </c>
    </row>
    <row r="455" spans="1:6" ht="15.75" hidden="1" customHeight="1">
      <c r="A455" s="69"/>
      <c r="B455" s="153"/>
      <c r="C455" s="138"/>
      <c r="E455" s="97" t="s">
        <v>90</v>
      </c>
      <c r="F455" s="105">
        <f>'Trifásico 34,5kv'!CP23+'Trifásico 34,5kv'!CQ23+'Trifásico 34,5kv'!CR23</f>
        <v>0</v>
      </c>
    </row>
    <row r="456" spans="1:6" ht="15.75" hidden="1" customHeight="1">
      <c r="A456" s="68"/>
      <c r="B456" s="153"/>
      <c r="C456" s="138"/>
      <c r="E456" s="107" t="s">
        <v>93</v>
      </c>
      <c r="F456" s="105">
        <f>'Trifásico 34,5kv'!CP24+'Trifásico 34,5kv'!CQ24+'Trifásico 34,5kv'!CR24</f>
        <v>0</v>
      </c>
    </row>
    <row r="457" spans="1:6" ht="15.75" hidden="1" customHeight="1">
      <c r="A457" s="69"/>
      <c r="B457" s="153"/>
      <c r="C457" s="138"/>
      <c r="E457" s="97" t="s">
        <v>91</v>
      </c>
      <c r="F457" s="105">
        <f>'Trifásico 34,5kv'!CP25+'Trifásico 34,5kv'!CQ25+'Trifásico 34,5kv'!CR25</f>
        <v>0</v>
      </c>
    </row>
    <row r="458" spans="1:6" ht="15.75" hidden="1" customHeight="1">
      <c r="A458" s="68"/>
      <c r="B458" s="153"/>
      <c r="C458" s="138"/>
      <c r="E458" s="107" t="s">
        <v>92</v>
      </c>
      <c r="F458" s="105">
        <f>'Trifásico 34,5kv'!CP26+'Trifásico 34,5kv'!CQ26+'Trifásico 34,5kv'!CR26</f>
        <v>0</v>
      </c>
    </row>
    <row r="459" spans="1:6" ht="15.75" hidden="1" customHeight="1" thickBot="1">
      <c r="A459" s="68"/>
      <c r="B459" s="153"/>
      <c r="C459" s="138"/>
      <c r="E459" s="130"/>
      <c r="F459" s="38">
        <f>SUM(F437:F458)</f>
        <v>0</v>
      </c>
    </row>
    <row r="460" spans="1:6" ht="15.75" hidden="1" customHeight="1" thickBot="1">
      <c r="A460" s="68"/>
      <c r="B460" s="153"/>
      <c r="C460" s="138"/>
      <c r="E460" s="259" t="s">
        <v>231</v>
      </c>
      <c r="F460" s="297">
        <f>SUM(F461:F482)</f>
        <v>0</v>
      </c>
    </row>
    <row r="461" spans="1:6" ht="15.75" hidden="1" customHeight="1">
      <c r="A461" s="68"/>
      <c r="B461" s="153"/>
      <c r="C461" s="138"/>
      <c r="E461" s="97" t="s">
        <v>74</v>
      </c>
      <c r="F461" s="105">
        <f>'Trifásico 34,5kv'!CU5+'Trifásico 34,5kv'!CV5+'Trifásico 34,5kv'!CW5</f>
        <v>0</v>
      </c>
    </row>
    <row r="462" spans="1:6" ht="15.75" hidden="1" customHeight="1">
      <c r="A462" s="69"/>
      <c r="B462" s="153"/>
      <c r="C462" s="138"/>
      <c r="E462" s="107" t="s">
        <v>75</v>
      </c>
      <c r="F462" s="105">
        <f>'Trifásico 34,5kv'!CU6+'Trifásico 34,5kv'!CV6+'Trifásico 34,5kv'!CW6</f>
        <v>0</v>
      </c>
    </row>
    <row r="463" spans="1:6" ht="15.75" hidden="1" customHeight="1">
      <c r="A463" s="68"/>
      <c r="B463" s="153"/>
      <c r="C463" s="138"/>
      <c r="E463" s="97" t="s">
        <v>76</v>
      </c>
      <c r="F463" s="105">
        <f>'Trifásico 34,5kv'!CU7+'Trifásico 34,5kv'!CV7+'Trifásico 34,5kv'!CW7</f>
        <v>0</v>
      </c>
    </row>
    <row r="464" spans="1:6" ht="15.75" hidden="1" customHeight="1">
      <c r="A464" s="69"/>
      <c r="B464" s="153"/>
      <c r="C464" s="138"/>
      <c r="E464" s="107" t="s">
        <v>77</v>
      </c>
      <c r="F464" s="105">
        <f>'Trifásico 34,5kv'!CU8+'Trifásico 34,5kv'!CV8+'Trifásico 34,5kv'!CW8</f>
        <v>0</v>
      </c>
    </row>
    <row r="465" spans="1:6" ht="15.75" hidden="1" customHeight="1">
      <c r="A465" s="90"/>
      <c r="B465" s="137"/>
      <c r="C465" s="138"/>
      <c r="E465" s="97" t="s">
        <v>100</v>
      </c>
      <c r="F465" s="105">
        <f>'Trifásico 34,5kv'!CU9+'Trifásico 34,5kv'!CV9+'Trifásico 34,5kv'!CW9</f>
        <v>0</v>
      </c>
    </row>
    <row r="466" spans="1:6" ht="15.75" hidden="1" customHeight="1">
      <c r="A466" s="90"/>
      <c r="B466" s="137"/>
      <c r="C466" s="138"/>
      <c r="E466" s="107" t="s">
        <v>78</v>
      </c>
      <c r="F466" s="105">
        <f>'Trifásico 34,5kv'!CU10+'Trifásico 34,5kv'!CV10+'Trifásico 34,5kv'!CW10</f>
        <v>0</v>
      </c>
    </row>
    <row r="467" spans="1:6" ht="15.75" hidden="1" customHeight="1">
      <c r="A467" s="90"/>
      <c r="B467" s="137"/>
      <c r="C467" s="138"/>
      <c r="E467" s="97" t="s">
        <v>79</v>
      </c>
      <c r="F467" s="105">
        <f>'Trifásico 34,5kv'!CU11+'Trifásico 34,5kv'!CV11+'Trifásico 34,5kv'!CW11</f>
        <v>0</v>
      </c>
    </row>
    <row r="468" spans="1:6" ht="15.75" hidden="1" customHeight="1">
      <c r="A468" s="90"/>
      <c r="B468" s="137"/>
      <c r="C468" s="138"/>
      <c r="E468" s="107" t="s">
        <v>80</v>
      </c>
      <c r="F468" s="105">
        <f>'Trifásico 34,5kv'!CU12+'Trifásico 34,5kv'!CV12+'Trifásico 34,5kv'!CW12</f>
        <v>0</v>
      </c>
    </row>
    <row r="469" spans="1:6" ht="15.75" hidden="1" customHeight="1">
      <c r="A469" s="90"/>
      <c r="B469" s="137"/>
      <c r="C469" s="138"/>
      <c r="E469" s="97" t="s">
        <v>81</v>
      </c>
      <c r="F469" s="105">
        <f>'Trifásico 34,5kv'!CU13+'Trifásico 34,5kv'!CV13+'Trifásico 34,5kv'!CW13</f>
        <v>0</v>
      </c>
    </row>
    <row r="470" spans="1:6" ht="15.75" hidden="1" customHeight="1">
      <c r="A470" s="90"/>
      <c r="B470" s="137"/>
      <c r="C470" s="138"/>
      <c r="E470" s="107" t="s">
        <v>82</v>
      </c>
      <c r="F470" s="105">
        <f>'Trifásico 34,5kv'!CU14+'Trifásico 34,5kv'!CV14+'Trifásico 34,5kv'!CW14</f>
        <v>0</v>
      </c>
    </row>
    <row r="471" spans="1:6" ht="15.75" hidden="1" customHeight="1">
      <c r="A471" s="90"/>
      <c r="B471" s="137"/>
      <c r="C471" s="138"/>
      <c r="E471" s="97" t="s">
        <v>83</v>
      </c>
      <c r="F471" s="105">
        <f>'Trifásico 34,5kv'!CU15+'Trifásico 34,5kv'!CV15+'Trifásico 34,5kv'!CW15</f>
        <v>0</v>
      </c>
    </row>
    <row r="472" spans="1:6" ht="15.75" hidden="1" customHeight="1">
      <c r="A472" s="90"/>
      <c r="B472" s="137"/>
      <c r="C472" s="138"/>
      <c r="E472" s="107" t="s">
        <v>85</v>
      </c>
      <c r="F472" s="105">
        <f>'Trifásico 34,5kv'!CU16+'Trifásico 34,5kv'!CV16+'Trifásico 34,5kv'!CW16</f>
        <v>0</v>
      </c>
    </row>
    <row r="473" spans="1:6" ht="15.75" hidden="1" customHeight="1">
      <c r="A473" s="157"/>
      <c r="B473" s="90"/>
      <c r="E473" s="97" t="s">
        <v>84</v>
      </c>
      <c r="F473" s="105">
        <f>'Trifásico 34,5kv'!CU17+'Trifásico 34,5kv'!CV17+'Trifásico 34,5kv'!CW17</f>
        <v>0</v>
      </c>
    </row>
    <row r="474" spans="1:6" ht="15.75" hidden="1" customHeight="1">
      <c r="B474" s="90"/>
      <c r="E474" s="107" t="s">
        <v>86</v>
      </c>
      <c r="F474" s="105">
        <f>'Trifásico 34,5kv'!CU18+'Trifásico 34,5kv'!CV18+'Trifásico 34,5kv'!CW18</f>
        <v>0</v>
      </c>
    </row>
    <row r="475" spans="1:6" ht="15.75" hidden="1" customHeight="1">
      <c r="B475" s="90"/>
      <c r="E475" s="97" t="s">
        <v>87</v>
      </c>
      <c r="F475" s="105">
        <f>'Trifásico 34,5kv'!CU19+'Trifásico 34,5kv'!CV19+'Trifásico 34,5kv'!CW19</f>
        <v>0</v>
      </c>
    </row>
    <row r="476" spans="1:6" ht="15.75" hidden="1" customHeight="1">
      <c r="B476" s="90"/>
      <c r="E476" s="107" t="s">
        <v>101</v>
      </c>
      <c r="F476" s="105">
        <f>'Trifásico 34,5kv'!CU20+'Trifásico 34,5kv'!CV20+'Trifásico 34,5kv'!CW20</f>
        <v>0</v>
      </c>
    </row>
    <row r="477" spans="1:6" ht="15.75" hidden="1" customHeight="1">
      <c r="B477" s="90"/>
      <c r="E477" s="97" t="s">
        <v>88</v>
      </c>
      <c r="F477" s="105">
        <f>'Trifásico 34,5kv'!CU21+'Trifásico 34,5kv'!CV21+'Trifásico 34,5kv'!CW21</f>
        <v>0</v>
      </c>
    </row>
    <row r="478" spans="1:6" ht="15.75" hidden="1" customHeight="1">
      <c r="A478" s="157"/>
      <c r="B478" s="90"/>
      <c r="E478" s="107" t="s">
        <v>89</v>
      </c>
      <c r="F478" s="105">
        <f>'Trifásico 34,5kv'!CU22+'Trifásico 34,5kv'!CV22+'Trifásico 34,5kv'!CW22</f>
        <v>0</v>
      </c>
    </row>
    <row r="479" spans="1:6" ht="15.75" hidden="1" customHeight="1">
      <c r="B479" s="90"/>
      <c r="E479" s="97" t="s">
        <v>90</v>
      </c>
      <c r="F479" s="105">
        <f>'Trifásico 34,5kv'!CU23+'Trifásico 34,5kv'!CV23+'Trifásico 34,5kv'!CW23</f>
        <v>0</v>
      </c>
    </row>
    <row r="480" spans="1:6" ht="15.75" hidden="1" customHeight="1">
      <c r="E480" s="107" t="s">
        <v>93</v>
      </c>
      <c r="F480" s="105">
        <f>'Trifásico 34,5kv'!CU24+'Trifásico 34,5kv'!CV24+'Trifásico 34,5kv'!CW24</f>
        <v>0</v>
      </c>
    </row>
    <row r="481" spans="5:6" ht="15.75" hidden="1" customHeight="1">
      <c r="E481" s="97" t="s">
        <v>91</v>
      </c>
      <c r="F481" s="105">
        <f>'Trifásico 34,5kv'!CU25+'Trifásico 34,5kv'!CV25+'Trifásico 34,5kv'!CW25</f>
        <v>0</v>
      </c>
    </row>
    <row r="482" spans="5:6" ht="15.75" hidden="1" customHeight="1">
      <c r="E482" s="107" t="s">
        <v>92</v>
      </c>
      <c r="F482" s="105">
        <f>'Trifásico 34,5kv'!CU26+'Trifásico 34,5kv'!CV26+'Trifásico 34,5kv'!CW26</f>
        <v>0</v>
      </c>
    </row>
    <row r="483" spans="5:6" ht="15.75" hidden="1" customHeight="1" thickBot="1">
      <c r="F483" s="278">
        <f>SUM(F461:F482)</f>
        <v>0</v>
      </c>
    </row>
    <row r="484" spans="5:6" ht="15.75" hidden="1" customHeight="1" thickBot="1">
      <c r="E484" s="259" t="s">
        <v>1472</v>
      </c>
      <c r="F484" s="297">
        <f>SUM(F485:F506)</f>
        <v>0</v>
      </c>
    </row>
    <row r="485" spans="5:6" ht="15.75" hidden="1" customHeight="1">
      <c r="E485" s="97" t="s">
        <v>74</v>
      </c>
      <c r="F485" s="105">
        <f>'Trifásico 34,5kv'!CZ5+'Trifásico 34,5kv'!DA5+'Trifásico 34,5kv'!DB5</f>
        <v>0</v>
      </c>
    </row>
    <row r="486" spans="5:6" ht="15.75" hidden="1" customHeight="1">
      <c r="E486" s="107" t="s">
        <v>75</v>
      </c>
      <c r="F486" s="105">
        <f>'Trifásico 34,5kv'!CZ6+'Trifásico 34,5kv'!DA6+'Trifásico 34,5kv'!DB6</f>
        <v>0</v>
      </c>
    </row>
    <row r="487" spans="5:6" ht="15.75" hidden="1" customHeight="1">
      <c r="E487" s="97" t="s">
        <v>76</v>
      </c>
      <c r="F487" s="105">
        <f>'Trifásico 34,5kv'!CZ7+'Trifásico 34,5kv'!DA7+'Trifásico 34,5kv'!DB7</f>
        <v>0</v>
      </c>
    </row>
    <row r="488" spans="5:6" ht="15.75" hidden="1" customHeight="1">
      <c r="E488" s="107" t="s">
        <v>77</v>
      </c>
      <c r="F488" s="105">
        <f>'Trifásico 34,5kv'!CZ8+'Trifásico 34,5kv'!DA8+'Trifásico 34,5kv'!DB8</f>
        <v>0</v>
      </c>
    </row>
    <row r="489" spans="5:6" ht="15.75" hidden="1" customHeight="1">
      <c r="E489" s="97" t="s">
        <v>100</v>
      </c>
      <c r="F489" s="105">
        <f>'Trifásico 34,5kv'!CZ9+'Trifásico 34,5kv'!DA9+'Trifásico 34,5kv'!DB9</f>
        <v>0</v>
      </c>
    </row>
    <row r="490" spans="5:6" ht="15.75" hidden="1" customHeight="1">
      <c r="E490" s="107" t="s">
        <v>78</v>
      </c>
      <c r="F490" s="105">
        <f>'Trifásico 34,5kv'!CZ10+'Trifásico 34,5kv'!DA10+'Trifásico 34,5kv'!DB10</f>
        <v>0</v>
      </c>
    </row>
    <row r="491" spans="5:6" ht="15.75" hidden="1" customHeight="1">
      <c r="E491" s="97" t="s">
        <v>79</v>
      </c>
      <c r="F491" s="105">
        <f>'Trifásico 34,5kv'!CZ11+'Trifásico 34,5kv'!DA11+'Trifásico 34,5kv'!DB11</f>
        <v>0</v>
      </c>
    </row>
    <row r="492" spans="5:6" ht="15.75" hidden="1" customHeight="1">
      <c r="E492" s="107" t="s">
        <v>80</v>
      </c>
      <c r="F492" s="105">
        <f>'Trifásico 34,5kv'!CZ12+'Trifásico 34,5kv'!DA12+'Trifásico 34,5kv'!DB12</f>
        <v>0</v>
      </c>
    </row>
    <row r="493" spans="5:6" ht="15.75" hidden="1" customHeight="1">
      <c r="E493" s="97" t="s">
        <v>81</v>
      </c>
      <c r="F493" s="105">
        <f>'Trifásico 34,5kv'!CZ13+'Trifásico 34,5kv'!DA13+'Trifásico 34,5kv'!DB13</f>
        <v>0</v>
      </c>
    </row>
    <row r="494" spans="5:6" ht="15.75" hidden="1" customHeight="1">
      <c r="E494" s="107" t="s">
        <v>82</v>
      </c>
      <c r="F494" s="105">
        <f>'Trifásico 34,5kv'!CZ14+'Trifásico 34,5kv'!DA14+'Trifásico 34,5kv'!DB14</f>
        <v>0</v>
      </c>
    </row>
    <row r="495" spans="5:6" ht="15.75" hidden="1" customHeight="1">
      <c r="E495" s="97" t="s">
        <v>83</v>
      </c>
      <c r="F495" s="105">
        <f>'Trifásico 34,5kv'!CZ15+'Trifásico 34,5kv'!DA15+'Trifásico 34,5kv'!DB15</f>
        <v>0</v>
      </c>
    </row>
    <row r="496" spans="5:6" ht="15.75" hidden="1" customHeight="1">
      <c r="E496" s="107" t="s">
        <v>85</v>
      </c>
      <c r="F496" s="105">
        <f>'Trifásico 34,5kv'!CZ16+'Trifásico 34,5kv'!DA16+'Trifásico 34,5kv'!DB16</f>
        <v>0</v>
      </c>
    </row>
    <row r="497" spans="1:6" ht="15.75" hidden="1" customHeight="1">
      <c r="E497" s="97" t="s">
        <v>84</v>
      </c>
      <c r="F497" s="105">
        <f>'Trifásico 34,5kv'!CZ17+'Trifásico 34,5kv'!DA17+'Trifásico 34,5kv'!DB17</f>
        <v>0</v>
      </c>
    </row>
    <row r="498" spans="1:6" ht="15.75" hidden="1" customHeight="1">
      <c r="E498" s="107" t="s">
        <v>86</v>
      </c>
      <c r="F498" s="105">
        <f>'Trifásico 34,5kv'!CZ18+'Trifásico 34,5kv'!DA18+'Trifásico 34,5kv'!DB18</f>
        <v>0</v>
      </c>
    </row>
    <row r="499" spans="1:6" ht="15.75" hidden="1" customHeight="1">
      <c r="E499" s="97" t="s">
        <v>87</v>
      </c>
      <c r="F499" s="105">
        <f>'Trifásico 34,5kv'!CZ19+'Trifásico 34,5kv'!DA19+'Trifásico 34,5kv'!DB19</f>
        <v>0</v>
      </c>
    </row>
    <row r="500" spans="1:6" ht="15.75" hidden="1" customHeight="1">
      <c r="E500" s="107" t="s">
        <v>101</v>
      </c>
      <c r="F500" s="105">
        <f>'Trifásico 34,5kv'!CZ20+'Trifásico 34,5kv'!DA20+'Trifásico 34,5kv'!DB20</f>
        <v>0</v>
      </c>
    </row>
    <row r="501" spans="1:6" ht="15.75" hidden="1" customHeight="1">
      <c r="E501" s="97" t="s">
        <v>88</v>
      </c>
      <c r="F501" s="105">
        <f>'Trifásico 34,5kv'!CZ21+'Trifásico 34,5kv'!DA21+'Trifásico 34,5kv'!DB21</f>
        <v>0</v>
      </c>
    </row>
    <row r="502" spans="1:6" ht="15.75" hidden="1" customHeight="1">
      <c r="E502" s="107" t="s">
        <v>89</v>
      </c>
      <c r="F502" s="105">
        <f>'Trifásico 34,5kv'!CZ22+'Trifásico 34,5kv'!DA22+'Trifásico 34,5kv'!DB22</f>
        <v>0</v>
      </c>
    </row>
    <row r="503" spans="1:6" ht="15.75" hidden="1" customHeight="1">
      <c r="E503" s="97" t="s">
        <v>90</v>
      </c>
      <c r="F503" s="105">
        <f>'Trifásico 34,5kv'!CZ23+'Trifásico 34,5kv'!DA23+'Trifásico 34,5kv'!DB23</f>
        <v>0</v>
      </c>
    </row>
    <row r="504" spans="1:6" ht="15.75" hidden="1" customHeight="1">
      <c r="E504" s="107" t="s">
        <v>93</v>
      </c>
      <c r="F504" s="105">
        <f>'Trifásico 34,5kv'!CZ24+'Trifásico 34,5kv'!DA24+'Trifásico 34,5kv'!DB24</f>
        <v>0</v>
      </c>
    </row>
    <row r="505" spans="1:6" ht="15.75" hidden="1" customHeight="1">
      <c r="E505" s="97" t="s">
        <v>91</v>
      </c>
      <c r="F505" s="105">
        <f>'Trifásico 34,5kv'!CZ25+'Trifásico 34,5kv'!DA25+'Trifásico 34,5kv'!DB25</f>
        <v>0</v>
      </c>
    </row>
    <row r="506" spans="1:6" ht="15.75" hidden="1" customHeight="1">
      <c r="E506" s="107" t="s">
        <v>92</v>
      </c>
      <c r="F506" s="105">
        <f>'Trifásico 34,5kv'!CZ26+'Trifásico 34,5kv'!DA26+'Trifásico 34,5kv'!DB26</f>
        <v>0</v>
      </c>
    </row>
    <row r="507" spans="1:6" ht="15.75" hidden="1" customHeight="1" thickBot="1">
      <c r="A507" s="157"/>
      <c r="F507" s="278">
        <f>SUM(F485:F506)</f>
        <v>0</v>
      </c>
    </row>
    <row r="508" spans="1:6" ht="15.75" hidden="1" customHeight="1" thickBot="1">
      <c r="E508" s="257" t="s">
        <v>229</v>
      </c>
      <c r="F508" s="260">
        <f>SUM(F509:F530)</f>
        <v>0</v>
      </c>
    </row>
    <row r="509" spans="1:6" ht="15.75" hidden="1" customHeight="1">
      <c r="E509" s="97" t="s">
        <v>74</v>
      </c>
      <c r="F509" s="105">
        <f>'Trifásico 34,5kv'!DE5+'Trifásico 34,5kv'!DF5+'Trifásico 34,5kv'!DG5</f>
        <v>0</v>
      </c>
    </row>
    <row r="510" spans="1:6" ht="15.75" hidden="1" customHeight="1">
      <c r="E510" s="107" t="s">
        <v>75</v>
      </c>
      <c r="F510" s="105">
        <f>'Trifásico 34,5kv'!DE6+'Trifásico 34,5kv'!DF6+'Trifásico 34,5kv'!DG6</f>
        <v>0</v>
      </c>
    </row>
    <row r="511" spans="1:6" ht="15.75" hidden="1" customHeight="1">
      <c r="E511" s="97" t="s">
        <v>76</v>
      </c>
      <c r="F511" s="105">
        <f>'Trifásico 34,5kv'!DE7+'Trifásico 34,5kv'!DF7+'Trifásico 34,5kv'!DG7</f>
        <v>0</v>
      </c>
    </row>
    <row r="512" spans="1:6" ht="15.75" hidden="1" customHeight="1">
      <c r="E512" s="107" t="s">
        <v>77</v>
      </c>
      <c r="F512" s="105">
        <f>'Trifásico 34,5kv'!DE8+'Trifásico 34,5kv'!DF8+'Trifásico 34,5kv'!DG8</f>
        <v>0</v>
      </c>
    </row>
    <row r="513" spans="5:6" ht="15.75" hidden="1" customHeight="1">
      <c r="E513" s="97" t="s">
        <v>100</v>
      </c>
      <c r="F513" s="105">
        <f>'Trifásico 34,5kv'!DE9+'Trifásico 34,5kv'!DF9+'Trifásico 34,5kv'!DG9</f>
        <v>0</v>
      </c>
    </row>
    <row r="514" spans="5:6" ht="15.75" hidden="1" customHeight="1">
      <c r="E514" s="107" t="s">
        <v>78</v>
      </c>
      <c r="F514" s="105">
        <f>'Trifásico 34,5kv'!DE10+'Trifásico 34,5kv'!DF10+'Trifásico 34,5kv'!DG10</f>
        <v>0</v>
      </c>
    </row>
    <row r="515" spans="5:6" ht="15.75" hidden="1" customHeight="1">
      <c r="E515" s="97" t="s">
        <v>79</v>
      </c>
      <c r="F515" s="105">
        <f>'Trifásico 34,5kv'!DE11+'Trifásico 34,5kv'!DF11+'Trifásico 34,5kv'!DG11</f>
        <v>0</v>
      </c>
    </row>
    <row r="516" spans="5:6" ht="15.75" hidden="1" customHeight="1">
      <c r="E516" s="107" t="s">
        <v>80</v>
      </c>
      <c r="F516" s="105">
        <f>'Trifásico 34,5kv'!DE12+'Trifásico 34,5kv'!DF12+'Trifásico 34,5kv'!DG12</f>
        <v>0</v>
      </c>
    </row>
    <row r="517" spans="5:6" ht="15.75" hidden="1" customHeight="1">
      <c r="E517" s="97" t="s">
        <v>81</v>
      </c>
      <c r="F517" s="105">
        <f>'Trifásico 34,5kv'!DE13+'Trifásico 34,5kv'!DF13+'Trifásico 34,5kv'!DG13</f>
        <v>0</v>
      </c>
    </row>
    <row r="518" spans="5:6" ht="15.75" hidden="1" customHeight="1">
      <c r="E518" s="107" t="s">
        <v>82</v>
      </c>
      <c r="F518" s="105">
        <f>'Trifásico 34,5kv'!DE14+'Trifásico 34,5kv'!DF14+'Trifásico 34,5kv'!DG14</f>
        <v>0</v>
      </c>
    </row>
    <row r="519" spans="5:6" ht="15.75" hidden="1" customHeight="1">
      <c r="E519" s="97" t="s">
        <v>83</v>
      </c>
      <c r="F519" s="105">
        <f>'Trifásico 34,5kv'!DE15+'Trifásico 34,5kv'!DF15+'Trifásico 34,5kv'!DG15</f>
        <v>0</v>
      </c>
    </row>
    <row r="520" spans="5:6" ht="15.75" hidden="1" customHeight="1">
      <c r="E520" s="107" t="s">
        <v>85</v>
      </c>
      <c r="F520" s="105">
        <f>'Trifásico 34,5kv'!DE16+'Trifásico 34,5kv'!DF16+'Trifásico 34,5kv'!DG16</f>
        <v>0</v>
      </c>
    </row>
    <row r="521" spans="5:6" ht="15.75" hidden="1" customHeight="1">
      <c r="E521" s="97" t="s">
        <v>84</v>
      </c>
      <c r="F521" s="105">
        <f>'Trifásico 34,5kv'!DE17+'Trifásico 34,5kv'!DF17+'Trifásico 34,5kv'!DG17</f>
        <v>0</v>
      </c>
    </row>
    <row r="522" spans="5:6" ht="15.75" hidden="1" customHeight="1">
      <c r="E522" s="107" t="s">
        <v>86</v>
      </c>
      <c r="F522" s="105">
        <f>'Trifásico 34,5kv'!DE18+'Trifásico 34,5kv'!DF18+'Trifásico 34,5kv'!DG18</f>
        <v>0</v>
      </c>
    </row>
    <row r="523" spans="5:6" ht="15.75" hidden="1" customHeight="1">
      <c r="E523" s="97" t="s">
        <v>87</v>
      </c>
      <c r="F523" s="105">
        <f>'Trifásico 34,5kv'!DE19+'Trifásico 34,5kv'!DF19+'Trifásico 34,5kv'!DG19</f>
        <v>0</v>
      </c>
    </row>
    <row r="524" spans="5:6" ht="15.75" hidden="1" customHeight="1">
      <c r="E524" s="107" t="s">
        <v>101</v>
      </c>
      <c r="F524" s="105">
        <f>'Trifásico 34,5kv'!DE20+'Trifásico 34,5kv'!DF20+'Trifásico 34,5kv'!DG20</f>
        <v>0</v>
      </c>
    </row>
    <row r="525" spans="5:6" ht="15.75" hidden="1" customHeight="1">
      <c r="E525" s="97" t="s">
        <v>88</v>
      </c>
      <c r="F525" s="105">
        <f>'Trifásico 34,5kv'!DE21+'Trifásico 34,5kv'!DF21+'Trifásico 34,5kv'!DG21</f>
        <v>0</v>
      </c>
    </row>
    <row r="526" spans="5:6" ht="15.75" hidden="1" customHeight="1">
      <c r="E526" s="107" t="s">
        <v>89</v>
      </c>
      <c r="F526" s="105">
        <f>'Trifásico 34,5kv'!DE22+'Trifásico 34,5kv'!DF22+'Trifásico 34,5kv'!DG22</f>
        <v>0</v>
      </c>
    </row>
    <row r="527" spans="5:6" ht="15.75" hidden="1" customHeight="1">
      <c r="E527" s="97" t="s">
        <v>90</v>
      </c>
      <c r="F527" s="105">
        <f>'Trifásico 34,5kv'!DE23+'Trifásico 34,5kv'!DF23+'Trifásico 34,5kv'!DG23</f>
        <v>0</v>
      </c>
    </row>
    <row r="528" spans="5:6" ht="15.75" hidden="1" customHeight="1">
      <c r="E528" s="107" t="s">
        <v>93</v>
      </c>
      <c r="F528" s="105">
        <f>'Trifásico 34,5kv'!DE24+'Trifásico 34,5kv'!DF24+'Trifásico 34,5kv'!DG24</f>
        <v>0</v>
      </c>
    </row>
    <row r="529" spans="1:6" ht="15.75" hidden="1" customHeight="1">
      <c r="E529" s="97" t="s">
        <v>91</v>
      </c>
      <c r="F529" s="105">
        <f>'Trifásico 34,5kv'!DE25+'Trifásico 34,5kv'!DF25+'Trifásico 34,5kv'!DG25</f>
        <v>0</v>
      </c>
    </row>
    <row r="530" spans="1:6" ht="15.75" hidden="1" customHeight="1">
      <c r="E530" s="107" t="s">
        <v>92</v>
      </c>
      <c r="F530" s="105">
        <f>'Trifásico 34,5kv'!DE26+'Trifásico 34,5kv'!DF26+'Trifásico 34,5kv'!DG26</f>
        <v>0</v>
      </c>
    </row>
    <row r="531" spans="1:6" ht="15.75" hidden="1" customHeight="1" thickBot="1">
      <c r="E531" s="130"/>
      <c r="F531" s="38">
        <f>SUM(F509:F530)</f>
        <v>0</v>
      </c>
    </row>
    <row r="532" spans="1:6" ht="15.75" hidden="1" customHeight="1" thickBot="1">
      <c r="A532" s="1665" t="s">
        <v>487</v>
      </c>
      <c r="B532" s="1666"/>
      <c r="C532" s="1666"/>
      <c r="D532" s="1666"/>
      <c r="E532" s="1667"/>
      <c r="F532" s="279">
        <f>SUM(F533:F554)</f>
        <v>0</v>
      </c>
    </row>
    <row r="533" spans="1:6" ht="15.75" hidden="1" customHeight="1">
      <c r="E533" s="225" t="s">
        <v>74</v>
      </c>
      <c r="F533" s="105">
        <f>'Trifásico 34,5kv'!DO5+'Trifásico 34,5kv'!DP5+'Trifásico 34,5kv'!DQ5</f>
        <v>0</v>
      </c>
    </row>
    <row r="534" spans="1:6" ht="15.75" hidden="1" customHeight="1">
      <c r="E534" s="107" t="s">
        <v>75</v>
      </c>
      <c r="F534" s="105">
        <f>'Trifásico 34,5kv'!DO6+'Trifásico 34,5kv'!DP6+'Trifásico 34,5kv'!DQ6</f>
        <v>0</v>
      </c>
    </row>
    <row r="535" spans="1:6" ht="15.75" hidden="1" customHeight="1">
      <c r="E535" s="97" t="s">
        <v>76</v>
      </c>
      <c r="F535" s="105">
        <f>'Trifásico 34,5kv'!DO7+'Trifásico 34,5kv'!DP7+'Trifásico 34,5kv'!DQ7</f>
        <v>0</v>
      </c>
    </row>
    <row r="536" spans="1:6" ht="15.75" hidden="1" customHeight="1">
      <c r="E536" s="107" t="s">
        <v>77</v>
      </c>
      <c r="F536" s="105">
        <f>'Trifásico 34,5kv'!DO8+'Trifásico 34,5kv'!DP8+'Trifásico 34,5kv'!DQ8</f>
        <v>0</v>
      </c>
    </row>
    <row r="537" spans="1:6" ht="15.75" hidden="1" customHeight="1">
      <c r="E537" s="97" t="s">
        <v>100</v>
      </c>
      <c r="F537" s="105">
        <f>'Trifásico 34,5kv'!DO9+'Trifásico 34,5kv'!DP9+'Trifásico 34,5kv'!DQ9</f>
        <v>0</v>
      </c>
    </row>
    <row r="538" spans="1:6" ht="15.75" hidden="1" customHeight="1">
      <c r="E538" s="107" t="s">
        <v>78</v>
      </c>
      <c r="F538" s="105">
        <f>'Trifásico 34,5kv'!DO10+'Trifásico 34,5kv'!DP10+'Trifásico 34,5kv'!DQ10</f>
        <v>0</v>
      </c>
    </row>
    <row r="539" spans="1:6" ht="15.75" hidden="1" customHeight="1">
      <c r="E539" s="97" t="s">
        <v>79</v>
      </c>
      <c r="F539" s="105">
        <f>'Trifásico 34,5kv'!DO11+'Trifásico 34,5kv'!DP11+'Trifásico 34,5kv'!DQ11</f>
        <v>0</v>
      </c>
    </row>
    <row r="540" spans="1:6" ht="15.75" hidden="1" customHeight="1">
      <c r="E540" s="107" t="s">
        <v>80</v>
      </c>
      <c r="F540" s="105">
        <f>'Trifásico 34,5kv'!DO12+'Trifásico 34,5kv'!DP12+'Trifásico 34,5kv'!DQ12</f>
        <v>0</v>
      </c>
    </row>
    <row r="541" spans="1:6" ht="15.75" hidden="1" customHeight="1">
      <c r="E541" s="97" t="s">
        <v>81</v>
      </c>
      <c r="F541" s="105">
        <f>'Trifásico 34,5kv'!DO13+'Trifásico 34,5kv'!DP13+'Trifásico 34,5kv'!DQ13</f>
        <v>0</v>
      </c>
    </row>
    <row r="542" spans="1:6" ht="15.75" hidden="1" customHeight="1">
      <c r="E542" s="107" t="s">
        <v>82</v>
      </c>
      <c r="F542" s="105">
        <f>'Trifásico 34,5kv'!DO14+'Trifásico 34,5kv'!DP14+'Trifásico 34,5kv'!DQ14</f>
        <v>0</v>
      </c>
    </row>
    <row r="543" spans="1:6" ht="15.75" hidden="1" customHeight="1">
      <c r="E543" s="97" t="s">
        <v>83</v>
      </c>
      <c r="F543" s="105">
        <f>'Trifásico 34,5kv'!DO15+'Trifásico 34,5kv'!DP15+'Trifásico 34,5kv'!DQ15</f>
        <v>0</v>
      </c>
    </row>
    <row r="544" spans="1:6" ht="15.75" hidden="1" customHeight="1">
      <c r="E544" s="107" t="s">
        <v>85</v>
      </c>
      <c r="F544" s="105">
        <f>'Trifásico 34,5kv'!DO16+'Trifásico 34,5kv'!DP16+'Trifásico 34,5kv'!DQ16</f>
        <v>0</v>
      </c>
    </row>
    <row r="545" spans="1:6" ht="15.75" hidden="1" customHeight="1">
      <c r="E545" s="97" t="s">
        <v>84</v>
      </c>
      <c r="F545" s="105">
        <f>'Trifásico 34,5kv'!DO17+'Trifásico 34,5kv'!DP17+'Trifásico 34,5kv'!DQ17</f>
        <v>0</v>
      </c>
    </row>
    <row r="546" spans="1:6" ht="15.75" hidden="1" customHeight="1">
      <c r="E546" s="107" t="s">
        <v>86</v>
      </c>
      <c r="F546" s="105">
        <f>'Trifásico 34,5kv'!DO18+'Trifásico 34,5kv'!DP18+'Trifásico 34,5kv'!DQ18</f>
        <v>0</v>
      </c>
    </row>
    <row r="547" spans="1:6" ht="15.75" hidden="1" customHeight="1">
      <c r="E547" s="97" t="s">
        <v>87</v>
      </c>
      <c r="F547" s="105">
        <f>'Trifásico 34,5kv'!DO19+'Trifásico 34,5kv'!DP19+'Trifásico 34,5kv'!DQ19</f>
        <v>0</v>
      </c>
    </row>
    <row r="548" spans="1:6" ht="15.75" hidden="1" customHeight="1">
      <c r="E548" s="107" t="s">
        <v>101</v>
      </c>
      <c r="F548" s="105">
        <f>'Trifásico 34,5kv'!DO20+'Trifásico 34,5kv'!DP20+'Trifásico 34,5kv'!DQ20</f>
        <v>0</v>
      </c>
    </row>
    <row r="549" spans="1:6" ht="15.75" hidden="1" customHeight="1">
      <c r="E549" s="97" t="s">
        <v>88</v>
      </c>
      <c r="F549" s="105">
        <f>'Trifásico 34,5kv'!DO21+'Trifásico 34,5kv'!DP21+'Trifásico 34,5kv'!DQ21</f>
        <v>0</v>
      </c>
    </row>
    <row r="550" spans="1:6" ht="15.75" hidden="1" customHeight="1">
      <c r="E550" s="107" t="s">
        <v>89</v>
      </c>
      <c r="F550" s="105">
        <f>'Trifásico 34,5kv'!DO22+'Trifásico 34,5kv'!DP22+'Trifásico 34,5kv'!DQ22</f>
        <v>0</v>
      </c>
    </row>
    <row r="551" spans="1:6" ht="15.75" hidden="1" customHeight="1">
      <c r="E551" s="97" t="s">
        <v>90</v>
      </c>
      <c r="F551" s="105">
        <f>'Trifásico 34,5kv'!DO23+'Trifásico 34,5kv'!DP23+'Trifásico 34,5kv'!DQ23</f>
        <v>0</v>
      </c>
    </row>
    <row r="552" spans="1:6" ht="15.75" hidden="1" customHeight="1">
      <c r="E552" s="107" t="s">
        <v>93</v>
      </c>
      <c r="F552" s="105">
        <f>'Trifásico 34,5kv'!DO24+'Trifásico 34,5kv'!DP24+'Trifásico 34,5kv'!DQ24</f>
        <v>0</v>
      </c>
    </row>
    <row r="553" spans="1:6" ht="15.75" hidden="1" customHeight="1">
      <c r="E553" s="97" t="s">
        <v>91</v>
      </c>
      <c r="F553" s="105">
        <f>'Trifásico 34,5kv'!DO25+'Trifásico 34,5kv'!DP25+'Trifásico 34,5kv'!DQ25</f>
        <v>0</v>
      </c>
    </row>
    <row r="554" spans="1:6" ht="15.75" hidden="1" customHeight="1">
      <c r="E554" s="107" t="s">
        <v>92</v>
      </c>
      <c r="F554" s="105">
        <f>'Trifásico 34,5kv'!DO26+'Trifásico 34,5kv'!DP26+'Trifásico 34,5kv'!DQ26</f>
        <v>0</v>
      </c>
    </row>
    <row r="555" spans="1:6" ht="15.75" hidden="1" customHeight="1" thickBot="1">
      <c r="F555" s="280">
        <f>SUM(F533:F554)</f>
        <v>0</v>
      </c>
    </row>
    <row r="556" spans="1:6" ht="15.75" hidden="1" customHeight="1" thickBot="1">
      <c r="A556" s="1665" t="s">
        <v>482</v>
      </c>
      <c r="B556" s="1666"/>
      <c r="C556" s="1666"/>
      <c r="D556" s="1666"/>
      <c r="E556" s="1667"/>
      <c r="F556" s="279">
        <f>SUM(F557:F578)</f>
        <v>0</v>
      </c>
    </row>
    <row r="557" spans="1:6" ht="15.75" hidden="1" customHeight="1">
      <c r="E557" s="225" t="s">
        <v>74</v>
      </c>
      <c r="F557" s="105">
        <f>'Trifásico 34,5kv'!DT5+'Trifásico 34,5kv'!DU5+'Trifásico 34,5kv'!DV5</f>
        <v>0</v>
      </c>
    </row>
    <row r="558" spans="1:6" ht="15.75" hidden="1" customHeight="1">
      <c r="E558" s="107" t="s">
        <v>75</v>
      </c>
      <c r="F558" s="105">
        <f>'Trifásico 34,5kv'!DT6+'Trifásico 34,5kv'!DU6+'Trifásico 34,5kv'!DV6</f>
        <v>0</v>
      </c>
    </row>
    <row r="559" spans="1:6" ht="15.75" hidden="1" customHeight="1">
      <c r="E559" s="97" t="s">
        <v>76</v>
      </c>
      <c r="F559" s="105">
        <f>'Trifásico 34,5kv'!DT7+'Trifásico 34,5kv'!DU7+'Trifásico 34,5kv'!DV7</f>
        <v>0</v>
      </c>
    </row>
    <row r="560" spans="1:6" ht="15.75" hidden="1" customHeight="1">
      <c r="E560" s="107" t="s">
        <v>77</v>
      </c>
      <c r="F560" s="105">
        <f>'Trifásico 34,5kv'!DT8+'Trifásico 34,5kv'!DU8+'Trifásico 34,5kv'!DV8</f>
        <v>0</v>
      </c>
    </row>
    <row r="561" spans="5:6" ht="15.75" hidden="1" customHeight="1">
      <c r="E561" s="97" t="s">
        <v>100</v>
      </c>
      <c r="F561" s="105">
        <f>'Trifásico 34,5kv'!DT9+'Trifásico 34,5kv'!DU9+'Trifásico 34,5kv'!DV9</f>
        <v>0</v>
      </c>
    </row>
    <row r="562" spans="5:6" ht="15.75" hidden="1" customHeight="1">
      <c r="E562" s="107" t="s">
        <v>78</v>
      </c>
      <c r="F562" s="105">
        <f>'Trifásico 34,5kv'!DT10+'Trifásico 34,5kv'!DU10+'Trifásico 34,5kv'!DV10</f>
        <v>0</v>
      </c>
    </row>
    <row r="563" spans="5:6" ht="15.75" hidden="1" customHeight="1">
      <c r="E563" s="97" t="s">
        <v>79</v>
      </c>
      <c r="F563" s="105">
        <f>'Trifásico 34,5kv'!DT11+'Trifásico 34,5kv'!DU11+'Trifásico 34,5kv'!DV11</f>
        <v>0</v>
      </c>
    </row>
    <row r="564" spans="5:6" ht="15.75" hidden="1" customHeight="1">
      <c r="E564" s="107" t="s">
        <v>80</v>
      </c>
      <c r="F564" s="105">
        <f>'Trifásico 34,5kv'!DT12+'Trifásico 34,5kv'!DU12+'Trifásico 34,5kv'!DV12</f>
        <v>0</v>
      </c>
    </row>
    <row r="565" spans="5:6" ht="15.75" hidden="1" customHeight="1">
      <c r="E565" s="97" t="s">
        <v>81</v>
      </c>
      <c r="F565" s="105">
        <f>'Trifásico 34,5kv'!DT13+'Trifásico 34,5kv'!DU13+'Trifásico 34,5kv'!DV13</f>
        <v>0</v>
      </c>
    </row>
    <row r="566" spans="5:6" ht="15.75" hidden="1" customHeight="1">
      <c r="E566" s="107" t="s">
        <v>82</v>
      </c>
      <c r="F566" s="105">
        <f>'Trifásico 34,5kv'!DT14+'Trifásico 34,5kv'!DU14+'Trifásico 34,5kv'!DV14</f>
        <v>0</v>
      </c>
    </row>
    <row r="567" spans="5:6" ht="15.75" hidden="1" customHeight="1">
      <c r="E567" s="97" t="s">
        <v>83</v>
      </c>
      <c r="F567" s="105">
        <f>'Trifásico 34,5kv'!DT15+'Trifásico 34,5kv'!DU15+'Trifásico 34,5kv'!DV15</f>
        <v>0</v>
      </c>
    </row>
    <row r="568" spans="5:6" ht="15.75" hidden="1" customHeight="1">
      <c r="E568" s="107" t="s">
        <v>85</v>
      </c>
      <c r="F568" s="105">
        <f>'Trifásico 34,5kv'!DT16+'Trifásico 34,5kv'!DU16+'Trifásico 34,5kv'!DV16</f>
        <v>0</v>
      </c>
    </row>
    <row r="569" spans="5:6" ht="15.75" hidden="1" customHeight="1">
      <c r="E569" s="97" t="s">
        <v>84</v>
      </c>
      <c r="F569" s="105">
        <f>'Trifásico 34,5kv'!DT17+'Trifásico 34,5kv'!DU17+'Trifásico 34,5kv'!DV17</f>
        <v>0</v>
      </c>
    </row>
    <row r="570" spans="5:6" ht="15.75" hidden="1" customHeight="1">
      <c r="E570" s="107" t="s">
        <v>86</v>
      </c>
      <c r="F570" s="105">
        <f>'Trifásico 34,5kv'!DT18+'Trifásico 34,5kv'!DU18+'Trifásico 34,5kv'!DV18</f>
        <v>0</v>
      </c>
    </row>
    <row r="571" spans="5:6" ht="15.75" hidden="1" customHeight="1">
      <c r="E571" s="97" t="s">
        <v>87</v>
      </c>
      <c r="F571" s="105">
        <f>'Trifásico 34,5kv'!DT19+'Trifásico 34,5kv'!DU19+'Trifásico 34,5kv'!DV19</f>
        <v>0</v>
      </c>
    </row>
    <row r="572" spans="5:6" ht="15.75" hidden="1" customHeight="1">
      <c r="E572" s="107" t="s">
        <v>101</v>
      </c>
      <c r="F572" s="105">
        <f>'Trifásico 34,5kv'!DT20+'Trifásico 34,5kv'!DU20+'Trifásico 34,5kv'!DV20</f>
        <v>0</v>
      </c>
    </row>
    <row r="573" spans="5:6" ht="15.75" hidden="1" customHeight="1">
      <c r="E573" s="97" t="s">
        <v>88</v>
      </c>
      <c r="F573" s="105">
        <f>'Trifásico 34,5kv'!DT21+'Trifásico 34,5kv'!DU21+'Trifásico 34,5kv'!DV21</f>
        <v>0</v>
      </c>
    </row>
    <row r="574" spans="5:6" ht="15.75" hidden="1" customHeight="1">
      <c r="E574" s="107" t="s">
        <v>89</v>
      </c>
      <c r="F574" s="105">
        <f>'Trifásico 34,5kv'!DT22+'Trifásico 34,5kv'!DU22+'Trifásico 34,5kv'!DV22</f>
        <v>0</v>
      </c>
    </row>
    <row r="575" spans="5:6" ht="15.75" hidden="1" customHeight="1">
      <c r="E575" s="97" t="s">
        <v>90</v>
      </c>
      <c r="F575" s="105">
        <f>'Trifásico 34,5kv'!DT23+'Trifásico 34,5kv'!DU23+'Trifásico 34,5kv'!DV23</f>
        <v>0</v>
      </c>
    </row>
    <row r="576" spans="5:6" ht="15.75" hidden="1" customHeight="1">
      <c r="E576" s="107" t="s">
        <v>93</v>
      </c>
      <c r="F576" s="105">
        <f>'Trifásico 34,5kv'!DT24+'Trifásico 34,5kv'!DU24+'Trifásico 34,5kv'!DV24</f>
        <v>0</v>
      </c>
    </row>
    <row r="577" spans="1:7" ht="15.75" hidden="1" customHeight="1">
      <c r="E577" s="97" t="s">
        <v>91</v>
      </c>
      <c r="F577" s="105">
        <f>'Trifásico 34,5kv'!DT25+'Trifásico 34,5kv'!DU25+'Trifásico 34,5kv'!DV25</f>
        <v>0</v>
      </c>
    </row>
    <row r="578" spans="1:7" ht="15.75" hidden="1" customHeight="1">
      <c r="E578" s="107" t="s">
        <v>92</v>
      </c>
      <c r="F578" s="105">
        <f>'Trifásico 34,5kv'!DT26+'Trifásico 34,5kv'!DU26+'Trifásico 34,5kv'!DV26</f>
        <v>0</v>
      </c>
    </row>
    <row r="579" spans="1:7" ht="15.75" hidden="1" customHeight="1" thickBot="1">
      <c r="F579" s="280">
        <f>SUM(F557:F578)</f>
        <v>0</v>
      </c>
    </row>
    <row r="580" spans="1:7" ht="15.75" hidden="1" customHeight="1" thickBot="1">
      <c r="A580" s="1670" t="s">
        <v>483</v>
      </c>
      <c r="B580" s="1671"/>
      <c r="C580" s="1671"/>
      <c r="D580" s="1671"/>
      <c r="E580" s="1671"/>
      <c r="F580" s="260">
        <f>SUM(F581:F602)</f>
        <v>0</v>
      </c>
      <c r="G580" s="256"/>
    </row>
    <row r="581" spans="1:7" ht="15.75" hidden="1" customHeight="1">
      <c r="E581" s="97" t="s">
        <v>74</v>
      </c>
      <c r="F581" s="105">
        <f>'Trifásico 34,5kv'!DY5+'Trifásico 34,5kv'!DZ5+'Trifásico 34,5kv'!EA5</f>
        <v>0</v>
      </c>
    </row>
    <row r="582" spans="1:7" ht="15.75" hidden="1" customHeight="1">
      <c r="E582" s="107" t="s">
        <v>75</v>
      </c>
      <c r="F582" s="105">
        <f>'Trifásico 34,5kv'!DY6+'Trifásico 34,5kv'!DZ6+'Trifásico 34,5kv'!EA6</f>
        <v>0</v>
      </c>
    </row>
    <row r="583" spans="1:7" ht="15.75" hidden="1" customHeight="1">
      <c r="E583" s="97" t="s">
        <v>76</v>
      </c>
      <c r="F583" s="105">
        <f>'Trifásico 34,5kv'!DY7+'Trifásico 34,5kv'!DZ7+'Trifásico 34,5kv'!EA7</f>
        <v>0</v>
      </c>
    </row>
    <row r="584" spans="1:7" ht="15.75" hidden="1" customHeight="1">
      <c r="E584" s="107" t="s">
        <v>77</v>
      </c>
      <c r="F584" s="105">
        <f>'Trifásico 34,5kv'!DY8+'Trifásico 34,5kv'!DZ8+'Trifásico 34,5kv'!EA8</f>
        <v>0</v>
      </c>
    </row>
    <row r="585" spans="1:7" ht="15.75" hidden="1" customHeight="1">
      <c r="E585" s="97" t="s">
        <v>100</v>
      </c>
      <c r="F585" s="105">
        <f>'Trifásico 34,5kv'!DY9+'Trifásico 34,5kv'!DZ9+'Trifásico 34,5kv'!EA9</f>
        <v>0</v>
      </c>
    </row>
    <row r="586" spans="1:7" ht="15.75" hidden="1" customHeight="1">
      <c r="E586" s="107" t="s">
        <v>78</v>
      </c>
      <c r="F586" s="105">
        <f>'Trifásico 34,5kv'!DY10+'Trifásico 34,5kv'!DZ10+'Trifásico 34,5kv'!EA10</f>
        <v>0</v>
      </c>
    </row>
    <row r="587" spans="1:7" ht="15.75" hidden="1" customHeight="1">
      <c r="E587" s="97" t="s">
        <v>79</v>
      </c>
      <c r="F587" s="105">
        <f>'Trifásico 34,5kv'!DY11+'Trifásico 34,5kv'!DZ11+'Trifásico 34,5kv'!EA11</f>
        <v>0</v>
      </c>
    </row>
    <row r="588" spans="1:7" ht="15.75" hidden="1" customHeight="1">
      <c r="E588" s="107" t="s">
        <v>80</v>
      </c>
      <c r="F588" s="105">
        <f>'Trifásico 34,5kv'!DY12+'Trifásico 34,5kv'!DZ12+'Trifásico 34,5kv'!EA12</f>
        <v>0</v>
      </c>
    </row>
    <row r="589" spans="1:7" ht="15.75" hidden="1" customHeight="1">
      <c r="E589" s="97" t="s">
        <v>81</v>
      </c>
      <c r="F589" s="105">
        <f>'Trifásico 34,5kv'!DY13+'Trifásico 34,5kv'!DZ13+'Trifásico 34,5kv'!EA13</f>
        <v>0</v>
      </c>
    </row>
    <row r="590" spans="1:7" ht="15.75" hidden="1" customHeight="1">
      <c r="E590" s="107" t="s">
        <v>82</v>
      </c>
      <c r="F590" s="105">
        <f>'Trifásico 34,5kv'!DY14+'Trifásico 34,5kv'!DZ14+'Trifásico 34,5kv'!EA14</f>
        <v>0</v>
      </c>
    </row>
    <row r="591" spans="1:7" ht="15.75" hidden="1" customHeight="1">
      <c r="E591" s="97" t="s">
        <v>83</v>
      </c>
      <c r="F591" s="105">
        <f>'Trifásico 34,5kv'!DY15+'Trifásico 34,5kv'!DZ15+'Trifásico 34,5kv'!EA15</f>
        <v>0</v>
      </c>
    </row>
    <row r="592" spans="1:7" ht="15.75" hidden="1" customHeight="1">
      <c r="E592" s="107" t="s">
        <v>85</v>
      </c>
      <c r="F592" s="105">
        <f>'Trifásico 34,5kv'!DY16+'Trifásico 34,5kv'!DZ16+'Trifásico 34,5kv'!EA16</f>
        <v>0</v>
      </c>
    </row>
    <row r="593" spans="1:6" ht="15.75" hidden="1" customHeight="1">
      <c r="E593" s="97" t="s">
        <v>84</v>
      </c>
      <c r="F593" s="105">
        <f>'Trifásico 34,5kv'!DY17+'Trifásico 34,5kv'!DZ17+'Trifásico 34,5kv'!EA17</f>
        <v>0</v>
      </c>
    </row>
    <row r="594" spans="1:6" ht="15.75" hidden="1" customHeight="1">
      <c r="E594" s="107" t="s">
        <v>86</v>
      </c>
      <c r="F594" s="105">
        <f>'Trifásico 34,5kv'!DY18+'Trifásico 34,5kv'!DZ18+'Trifásico 34,5kv'!EA18</f>
        <v>0</v>
      </c>
    </row>
    <row r="595" spans="1:6" ht="15.75" hidden="1" customHeight="1">
      <c r="E595" s="97" t="s">
        <v>87</v>
      </c>
      <c r="F595" s="105">
        <f>'Trifásico 34,5kv'!DY19+'Trifásico 34,5kv'!DZ19+'Trifásico 34,5kv'!EA19</f>
        <v>0</v>
      </c>
    </row>
    <row r="596" spans="1:6" ht="15.75" hidden="1" customHeight="1">
      <c r="E596" s="107" t="s">
        <v>101</v>
      </c>
      <c r="F596" s="105">
        <f>'Trifásico 34,5kv'!DY20+'Trifásico 34,5kv'!DZ20+'Trifásico 34,5kv'!EA20</f>
        <v>0</v>
      </c>
    </row>
    <row r="597" spans="1:6" ht="15.75" hidden="1" customHeight="1">
      <c r="E597" s="97" t="s">
        <v>88</v>
      </c>
      <c r="F597" s="105">
        <f>'Trifásico 34,5kv'!DY21+'Trifásico 34,5kv'!DZ21+'Trifásico 34,5kv'!EA21</f>
        <v>0</v>
      </c>
    </row>
    <row r="598" spans="1:6" ht="15.75" hidden="1" customHeight="1">
      <c r="E598" s="107" t="s">
        <v>89</v>
      </c>
      <c r="F598" s="105">
        <f>'Trifásico 34,5kv'!DY22+'Trifásico 34,5kv'!DZ22+'Trifásico 34,5kv'!EA22</f>
        <v>0</v>
      </c>
    </row>
    <row r="599" spans="1:6" ht="15.75" hidden="1" customHeight="1">
      <c r="E599" s="97" t="s">
        <v>90</v>
      </c>
      <c r="F599" s="105">
        <f>'Trifásico 34,5kv'!DY23+'Trifásico 34,5kv'!DZ23+'Trifásico 34,5kv'!EA23</f>
        <v>0</v>
      </c>
    </row>
    <row r="600" spans="1:6" ht="15.75" hidden="1" customHeight="1">
      <c r="E600" s="107" t="s">
        <v>93</v>
      </c>
      <c r="F600" s="105">
        <f>'Trifásico 34,5kv'!DY24+'Trifásico 34,5kv'!DZ24+'Trifásico 34,5kv'!EA24</f>
        <v>0</v>
      </c>
    </row>
    <row r="601" spans="1:6" ht="15.75" hidden="1" customHeight="1">
      <c r="E601" s="97" t="s">
        <v>91</v>
      </c>
      <c r="F601" s="105">
        <f>'Trifásico 34,5kv'!DY25+'Trifásico 34,5kv'!DZ25+'Trifásico 34,5kv'!EA25</f>
        <v>0</v>
      </c>
    </row>
    <row r="602" spans="1:6" ht="15.75" hidden="1" customHeight="1">
      <c r="E602" s="107" t="s">
        <v>92</v>
      </c>
      <c r="F602" s="105">
        <f>'Trifásico 34,5kv'!DY26+'Trifásico 34,5kv'!DZ26+'Trifásico 34,5kv'!EA26</f>
        <v>0</v>
      </c>
    </row>
    <row r="603" spans="1:6" ht="15.75" hidden="1" customHeight="1" thickBot="1">
      <c r="E603" s="130"/>
      <c r="F603" s="38">
        <f>SUM(F581:F602)</f>
        <v>0</v>
      </c>
    </row>
    <row r="604" spans="1:6" ht="15.75" hidden="1" customHeight="1" thickBot="1">
      <c r="A604" s="1672" t="s">
        <v>486</v>
      </c>
      <c r="B604" s="1673"/>
      <c r="C604" s="1673"/>
      <c r="D604" s="1673"/>
      <c r="E604" s="1674"/>
      <c r="F604" s="260">
        <f>SUM(F605:F626)</f>
        <v>0</v>
      </c>
    </row>
    <row r="605" spans="1:6" ht="15.75" hidden="1" customHeight="1">
      <c r="E605" s="97" t="s">
        <v>74</v>
      </c>
      <c r="F605" s="105">
        <f>'Trifásico 34,5kv'!ED5+'Trifásico 34,5kv'!EE5+'Trifásico 34,5kv'!EF5</f>
        <v>0</v>
      </c>
    </row>
    <row r="606" spans="1:6" ht="15.75" hidden="1" customHeight="1">
      <c r="E606" s="107" t="s">
        <v>75</v>
      </c>
      <c r="F606" s="105">
        <f>'Trifásico 34,5kv'!ED6+'Trifásico 34,5kv'!EE6+'Trifásico 34,5kv'!EF6</f>
        <v>0</v>
      </c>
    </row>
    <row r="607" spans="1:6" ht="15.75" hidden="1" customHeight="1">
      <c r="E607" s="97" t="s">
        <v>76</v>
      </c>
      <c r="F607" s="105">
        <f>'Trifásico 34,5kv'!ED7+'Trifásico 34,5kv'!EE7+'Trifásico 34,5kv'!EF7</f>
        <v>0</v>
      </c>
    </row>
    <row r="608" spans="1:6" ht="15.75" hidden="1" customHeight="1">
      <c r="E608" s="107" t="s">
        <v>77</v>
      </c>
      <c r="F608" s="105">
        <f>'Trifásico 34,5kv'!ED8+'Trifásico 34,5kv'!EE8+'Trifásico 34,5kv'!EF8</f>
        <v>0</v>
      </c>
    </row>
    <row r="609" spans="5:6" ht="15.75" hidden="1" customHeight="1">
      <c r="E609" s="97" t="s">
        <v>100</v>
      </c>
      <c r="F609" s="105">
        <f>'Trifásico 34,5kv'!ED9+'Trifásico 34,5kv'!EE9+'Trifásico 34,5kv'!EF9</f>
        <v>0</v>
      </c>
    </row>
    <row r="610" spans="5:6" ht="15.75" hidden="1" customHeight="1">
      <c r="E610" s="107" t="s">
        <v>78</v>
      </c>
      <c r="F610" s="105">
        <f>'Trifásico 34,5kv'!ED10+'Trifásico 34,5kv'!EE10+'Trifásico 34,5kv'!EF10</f>
        <v>0</v>
      </c>
    </row>
    <row r="611" spans="5:6" ht="15.75" hidden="1" customHeight="1">
      <c r="E611" s="97" t="s">
        <v>79</v>
      </c>
      <c r="F611" s="105">
        <f>'Trifásico 34,5kv'!ED11+'Trifásico 34,5kv'!EE11+'Trifásico 34,5kv'!EF11</f>
        <v>0</v>
      </c>
    </row>
    <row r="612" spans="5:6" ht="15.75" hidden="1" customHeight="1">
      <c r="E612" s="107" t="s">
        <v>80</v>
      </c>
      <c r="F612" s="105">
        <f>'Trifásico 34,5kv'!ED12+'Trifásico 34,5kv'!EE12+'Trifásico 34,5kv'!EF12</f>
        <v>0</v>
      </c>
    </row>
    <row r="613" spans="5:6" ht="15.75" hidden="1" customHeight="1">
      <c r="E613" s="97" t="s">
        <v>81</v>
      </c>
      <c r="F613" s="105">
        <f>'Trifásico 34,5kv'!ED13+'Trifásico 34,5kv'!EE13+'Trifásico 34,5kv'!EF13</f>
        <v>0</v>
      </c>
    </row>
    <row r="614" spans="5:6" ht="15.75" hidden="1" customHeight="1">
      <c r="E614" s="107" t="s">
        <v>82</v>
      </c>
      <c r="F614" s="105">
        <f>'Trifásico 34,5kv'!ED14+'Trifásico 34,5kv'!EE14+'Trifásico 34,5kv'!EF14</f>
        <v>0</v>
      </c>
    </row>
    <row r="615" spans="5:6" ht="15.75" hidden="1" customHeight="1">
      <c r="E615" s="97" t="s">
        <v>83</v>
      </c>
      <c r="F615" s="105">
        <f>'Trifásico 34,5kv'!ED15+'Trifásico 34,5kv'!EE15+'Trifásico 34,5kv'!EF15</f>
        <v>0</v>
      </c>
    </row>
    <row r="616" spans="5:6" ht="15.75" hidden="1" customHeight="1">
      <c r="E616" s="107" t="s">
        <v>85</v>
      </c>
      <c r="F616" s="105">
        <f>'Trifásico 34,5kv'!ED16+'Trifásico 34,5kv'!EE16+'Trifásico 34,5kv'!EF16</f>
        <v>0</v>
      </c>
    </row>
    <row r="617" spans="5:6" ht="15.75" hidden="1" customHeight="1">
      <c r="E617" s="97" t="s">
        <v>84</v>
      </c>
      <c r="F617" s="105">
        <f>'Trifásico 34,5kv'!ED17+'Trifásico 34,5kv'!EE17+'Trifásico 34,5kv'!EF17</f>
        <v>0</v>
      </c>
    </row>
    <row r="618" spans="5:6" ht="15.75" hidden="1" customHeight="1">
      <c r="E618" s="107" t="s">
        <v>86</v>
      </c>
      <c r="F618" s="105">
        <f>'Trifásico 34,5kv'!ED18+'Trifásico 34,5kv'!EE18+'Trifásico 34,5kv'!EF18</f>
        <v>0</v>
      </c>
    </row>
    <row r="619" spans="5:6" ht="15.75" hidden="1" customHeight="1">
      <c r="E619" s="97" t="s">
        <v>87</v>
      </c>
      <c r="F619" s="105">
        <f>'Trifásico 34,5kv'!ED19+'Trifásico 34,5kv'!EE19+'Trifásico 34,5kv'!EF19</f>
        <v>0</v>
      </c>
    </row>
    <row r="620" spans="5:6" ht="15.75" hidden="1" customHeight="1">
      <c r="E620" s="107" t="s">
        <v>101</v>
      </c>
      <c r="F620" s="105">
        <f>'Trifásico 34,5kv'!ED20+'Trifásico 34,5kv'!EE20+'Trifásico 34,5kv'!EF20</f>
        <v>0</v>
      </c>
    </row>
    <row r="621" spans="5:6" ht="15.75" hidden="1" customHeight="1">
      <c r="E621" s="97" t="s">
        <v>88</v>
      </c>
      <c r="F621" s="105">
        <f>'Trifásico 34,5kv'!ED21+'Trifásico 34,5kv'!EE21+'Trifásico 34,5kv'!EF21</f>
        <v>0</v>
      </c>
    </row>
    <row r="622" spans="5:6" ht="15.75" hidden="1" customHeight="1">
      <c r="E622" s="107" t="s">
        <v>89</v>
      </c>
      <c r="F622" s="105">
        <f>'Trifásico 34,5kv'!ED22+'Trifásico 34,5kv'!EE22+'Trifásico 34,5kv'!EF22</f>
        <v>0</v>
      </c>
    </row>
    <row r="623" spans="5:6" ht="15.75" hidden="1" customHeight="1">
      <c r="E623" s="97" t="s">
        <v>90</v>
      </c>
      <c r="F623" s="105">
        <f>'Trifásico 34,5kv'!ED23+'Trifásico 34,5kv'!EE23+'Trifásico 34,5kv'!EF23</f>
        <v>0</v>
      </c>
    </row>
    <row r="624" spans="5:6" ht="15.75" hidden="1" customHeight="1">
      <c r="E624" s="107" t="s">
        <v>93</v>
      </c>
      <c r="F624" s="105">
        <f>'Trifásico 34,5kv'!ED24+'Trifásico 34,5kv'!EE24+'Trifásico 34,5kv'!EF24</f>
        <v>0</v>
      </c>
    </row>
    <row r="625" spans="1:6" ht="15.75" hidden="1" customHeight="1">
      <c r="E625" s="97" t="s">
        <v>91</v>
      </c>
      <c r="F625" s="105">
        <f>'Trifásico 34,5kv'!ED25+'Trifásico 34,5kv'!EE25+'Trifásico 34,5kv'!EF25</f>
        <v>0</v>
      </c>
    </row>
    <row r="626" spans="1:6" ht="15.75" hidden="1" customHeight="1">
      <c r="E626" s="107" t="s">
        <v>92</v>
      </c>
      <c r="F626" s="105">
        <f>'Trifásico 34,5kv'!ED26+'Trifásico 34,5kv'!EE26+'Trifásico 34,5kv'!EF26</f>
        <v>0</v>
      </c>
    </row>
    <row r="627" spans="1:6" ht="15.75" hidden="1" customHeight="1" thickBot="1">
      <c r="F627" s="280">
        <f>SUM(F605:F626)</f>
        <v>0</v>
      </c>
    </row>
    <row r="628" spans="1:6" ht="15.75" hidden="1" customHeight="1" thickBot="1">
      <c r="A628" s="1665" t="s">
        <v>484</v>
      </c>
      <c r="B628" s="1666"/>
      <c r="C628" s="1666"/>
      <c r="D628" s="1666"/>
      <c r="E628" s="1667"/>
      <c r="F628" s="279">
        <f>SUM(F629:F650)</f>
        <v>0</v>
      </c>
    </row>
    <row r="629" spans="1:6" ht="15.75" hidden="1" customHeight="1">
      <c r="E629" s="97" t="s">
        <v>74</v>
      </c>
      <c r="F629" s="105">
        <f>'Trifásico 34,5kv'!EI5+'Trifásico 34,5kv'!EJ5+'Trifásico 34,5kv'!EK5</f>
        <v>0</v>
      </c>
    </row>
    <row r="630" spans="1:6" ht="15.75" hidden="1" customHeight="1">
      <c r="E630" s="107" t="s">
        <v>75</v>
      </c>
      <c r="F630" s="105">
        <f>'Trifásico 34,5kv'!EI6+'Trifásico 34,5kv'!EJ6+'Trifásico 34,5kv'!EK6</f>
        <v>0</v>
      </c>
    </row>
    <row r="631" spans="1:6" ht="15.75" hidden="1" customHeight="1">
      <c r="E631" s="97" t="s">
        <v>76</v>
      </c>
      <c r="F631" s="105">
        <f>'Trifásico 34,5kv'!EI7+'Trifásico 34,5kv'!EJ7+'Trifásico 34,5kv'!EK7</f>
        <v>0</v>
      </c>
    </row>
    <row r="632" spans="1:6" ht="15.75" hidden="1" customHeight="1">
      <c r="E632" s="107" t="s">
        <v>77</v>
      </c>
      <c r="F632" s="105">
        <f>'Trifásico 34,5kv'!EI8+'Trifásico 34,5kv'!EJ8+'Trifásico 34,5kv'!EK8</f>
        <v>0</v>
      </c>
    </row>
    <row r="633" spans="1:6" ht="15.75" hidden="1" customHeight="1">
      <c r="E633" s="97" t="s">
        <v>100</v>
      </c>
      <c r="F633" s="105">
        <f>'Trifásico 34,5kv'!EI9+'Trifásico 34,5kv'!EJ9+'Trifásico 34,5kv'!EK9</f>
        <v>0</v>
      </c>
    </row>
    <row r="634" spans="1:6" ht="15.75" hidden="1" customHeight="1">
      <c r="E634" s="107" t="s">
        <v>78</v>
      </c>
      <c r="F634" s="105">
        <f>'Trifásico 34,5kv'!EI10+'Trifásico 34,5kv'!EJ10+'Trifásico 34,5kv'!EK10</f>
        <v>0</v>
      </c>
    </row>
    <row r="635" spans="1:6" ht="15.75" hidden="1" customHeight="1">
      <c r="E635" s="97" t="s">
        <v>79</v>
      </c>
      <c r="F635" s="105">
        <f>'Trifásico 34,5kv'!EI11+'Trifásico 34,5kv'!EJ11+'Trifásico 34,5kv'!EK11</f>
        <v>0</v>
      </c>
    </row>
    <row r="636" spans="1:6" ht="15.75" hidden="1" customHeight="1">
      <c r="E636" s="107" t="s">
        <v>80</v>
      </c>
      <c r="F636" s="105">
        <f>'Trifásico 34,5kv'!EI12+'Trifásico 34,5kv'!EJ12+'Trifásico 34,5kv'!EK12</f>
        <v>0</v>
      </c>
    </row>
    <row r="637" spans="1:6" ht="15.75" hidden="1" customHeight="1">
      <c r="E637" s="97" t="s">
        <v>81</v>
      </c>
      <c r="F637" s="105">
        <f>'Trifásico 34,5kv'!EI13+'Trifásico 34,5kv'!EJ13+'Trifásico 34,5kv'!EK13</f>
        <v>0</v>
      </c>
    </row>
    <row r="638" spans="1:6" ht="15.75" hidden="1" customHeight="1">
      <c r="E638" s="107" t="s">
        <v>82</v>
      </c>
      <c r="F638" s="105">
        <f>'Trifásico 34,5kv'!EI14+'Trifásico 34,5kv'!EJ14+'Trifásico 34,5kv'!EK14</f>
        <v>0</v>
      </c>
    </row>
    <row r="639" spans="1:6" ht="15.75" hidden="1" customHeight="1">
      <c r="E639" s="97" t="s">
        <v>83</v>
      </c>
      <c r="F639" s="105">
        <f>'Trifásico 34,5kv'!EI15+'Trifásico 34,5kv'!EJ15+'Trifásico 34,5kv'!EK15</f>
        <v>0</v>
      </c>
    </row>
    <row r="640" spans="1:6" ht="15.75" hidden="1" customHeight="1">
      <c r="E640" s="107" t="s">
        <v>85</v>
      </c>
      <c r="F640" s="105">
        <f>'Trifásico 34,5kv'!EI16+'Trifásico 34,5kv'!EJ16+'Trifásico 34,5kv'!EK16</f>
        <v>0</v>
      </c>
    </row>
    <row r="641" spans="1:8" ht="15.75" hidden="1" customHeight="1">
      <c r="E641" s="97" t="s">
        <v>84</v>
      </c>
      <c r="F641" s="105">
        <f>'Trifásico 34,5kv'!EI17+'Trifásico 34,5kv'!EJ17+'Trifásico 34,5kv'!EK17</f>
        <v>0</v>
      </c>
    </row>
    <row r="642" spans="1:8" ht="15.75" hidden="1" customHeight="1">
      <c r="E642" s="107" t="s">
        <v>86</v>
      </c>
      <c r="F642" s="105">
        <f>'Trifásico 34,5kv'!EI18+'Trifásico 34,5kv'!EJ18+'Trifásico 34,5kv'!EK18</f>
        <v>0</v>
      </c>
    </row>
    <row r="643" spans="1:8" ht="15.75" hidden="1" customHeight="1">
      <c r="E643" s="97" t="s">
        <v>87</v>
      </c>
      <c r="F643" s="105">
        <f>'Trifásico 34,5kv'!EI19+'Trifásico 34,5kv'!EJ19+'Trifásico 34,5kv'!EK19</f>
        <v>0</v>
      </c>
    </row>
    <row r="644" spans="1:8" ht="15.75" hidden="1" customHeight="1">
      <c r="E644" s="107" t="s">
        <v>101</v>
      </c>
      <c r="F644" s="105">
        <f>'Trifásico 34,5kv'!EI20+'Trifásico 34,5kv'!EJ20+'Trifásico 34,5kv'!EK20</f>
        <v>0</v>
      </c>
    </row>
    <row r="645" spans="1:8" ht="15.75" hidden="1" customHeight="1">
      <c r="E645" s="97" t="s">
        <v>88</v>
      </c>
      <c r="F645" s="105">
        <f>'Trifásico 34,5kv'!EI21+'Trifásico 34,5kv'!EJ21+'Trifásico 34,5kv'!EK21</f>
        <v>0</v>
      </c>
    </row>
    <row r="646" spans="1:8" ht="15.75" hidden="1" customHeight="1">
      <c r="E646" s="107" t="s">
        <v>89</v>
      </c>
      <c r="F646" s="105">
        <f>'Trifásico 34,5kv'!EI22+'Trifásico 34,5kv'!EJ22+'Trifásico 34,5kv'!EK22</f>
        <v>0</v>
      </c>
    </row>
    <row r="647" spans="1:8" ht="15.75" hidden="1" customHeight="1">
      <c r="E647" s="97" t="s">
        <v>90</v>
      </c>
      <c r="F647" s="105">
        <f>'Trifásico 34,5kv'!EI23+'Trifásico 34,5kv'!EJ23+'Trifásico 34,5kv'!EK23</f>
        <v>0</v>
      </c>
    </row>
    <row r="648" spans="1:8" ht="15.75" hidden="1" customHeight="1">
      <c r="E648" s="107" t="s">
        <v>93</v>
      </c>
      <c r="F648" s="105">
        <f>'Trifásico 34,5kv'!EI24+'Trifásico 34,5kv'!EJ24+'Trifásico 34,5kv'!EK24</f>
        <v>0</v>
      </c>
    </row>
    <row r="649" spans="1:8" ht="15.75" hidden="1" customHeight="1">
      <c r="E649" s="97" t="s">
        <v>91</v>
      </c>
      <c r="F649" s="105">
        <f>'Trifásico 34,5kv'!EI25+'Trifásico 34,5kv'!EJ25+'Trifásico 34,5kv'!EK25</f>
        <v>0</v>
      </c>
    </row>
    <row r="650" spans="1:8" ht="15.75" hidden="1" customHeight="1">
      <c r="E650" s="107" t="s">
        <v>92</v>
      </c>
      <c r="F650" s="105">
        <f>'Trifásico 34,5kv'!EI26+'Trifásico 34,5kv'!EJ26+'Trifásico 34,5kv'!EK26</f>
        <v>0</v>
      </c>
    </row>
    <row r="651" spans="1:8" ht="15.75" hidden="1" customHeight="1" thickBot="1">
      <c r="F651" s="280">
        <f>SUM(F629:F650)</f>
        <v>0</v>
      </c>
    </row>
    <row r="652" spans="1:8" ht="15.75" hidden="1" customHeight="1" thickBot="1">
      <c r="A652" s="1665" t="s">
        <v>485</v>
      </c>
      <c r="B652" s="1666"/>
      <c r="C652" s="1666"/>
      <c r="D652" s="1666"/>
      <c r="E652" s="1666"/>
      <c r="F652" s="279">
        <f>SUM(F653:F674)</f>
        <v>0</v>
      </c>
      <c r="G652" s="256"/>
      <c r="H652" s="256"/>
    </row>
    <row r="653" spans="1:8" ht="15.75" hidden="1" customHeight="1">
      <c r="E653" s="97" t="s">
        <v>74</v>
      </c>
      <c r="F653" s="105">
        <f>'Trifásico 34,5kv'!EN5+'Trifásico 34,5kv'!EO5+'Trifásico 34,5kv'!EP5</f>
        <v>0</v>
      </c>
    </row>
    <row r="654" spans="1:8" ht="15.75" hidden="1" customHeight="1">
      <c r="E654" s="107" t="s">
        <v>75</v>
      </c>
      <c r="F654" s="105">
        <f>'Trifásico 34,5kv'!EN6+'Trifásico 34,5kv'!EO6+'Trifásico 34,5kv'!EP6</f>
        <v>0</v>
      </c>
    </row>
    <row r="655" spans="1:8" ht="15.75" hidden="1" customHeight="1">
      <c r="E655" s="97" t="s">
        <v>76</v>
      </c>
      <c r="F655" s="105">
        <f>'Trifásico 34,5kv'!EN7+'Trifásico 34,5kv'!EO7+'Trifásico 34,5kv'!EP7</f>
        <v>0</v>
      </c>
    </row>
    <row r="656" spans="1:8" ht="15.75" hidden="1" customHeight="1">
      <c r="E656" s="107" t="s">
        <v>77</v>
      </c>
      <c r="F656" s="105">
        <f>'Trifásico 34,5kv'!EN8+'Trifásico 34,5kv'!EO8+'Trifásico 34,5kv'!EP8</f>
        <v>0</v>
      </c>
    </row>
    <row r="657" spans="5:6" ht="15.75" hidden="1" customHeight="1">
      <c r="E657" s="97" t="s">
        <v>100</v>
      </c>
      <c r="F657" s="105">
        <f>'Trifásico 34,5kv'!EN9+'Trifásico 34,5kv'!EO9+'Trifásico 34,5kv'!EP9</f>
        <v>0</v>
      </c>
    </row>
    <row r="658" spans="5:6" ht="15.75" hidden="1" customHeight="1">
      <c r="E658" s="107" t="s">
        <v>78</v>
      </c>
      <c r="F658" s="105">
        <f>'Trifásico 34,5kv'!EN10+'Trifásico 34,5kv'!EO10+'Trifásico 34,5kv'!EP10</f>
        <v>0</v>
      </c>
    </row>
    <row r="659" spans="5:6" ht="15.75" hidden="1" customHeight="1">
      <c r="E659" s="97" t="s">
        <v>79</v>
      </c>
      <c r="F659" s="105">
        <f>'Trifásico 34,5kv'!EN11+'Trifásico 34,5kv'!EO11+'Trifásico 34,5kv'!EP11</f>
        <v>0</v>
      </c>
    </row>
    <row r="660" spans="5:6" ht="15.75" hidden="1" customHeight="1">
      <c r="E660" s="107" t="s">
        <v>80</v>
      </c>
      <c r="F660" s="105">
        <f>'Trifásico 34,5kv'!EN12+'Trifásico 34,5kv'!EO12+'Trifásico 34,5kv'!EP12</f>
        <v>0</v>
      </c>
    </row>
    <row r="661" spans="5:6" ht="15.75" hidden="1" customHeight="1">
      <c r="E661" s="97" t="s">
        <v>81</v>
      </c>
      <c r="F661" s="105">
        <f>'Trifásico 34,5kv'!EN13+'Trifásico 34,5kv'!EO13+'Trifásico 34,5kv'!EP13</f>
        <v>0</v>
      </c>
    </row>
    <row r="662" spans="5:6" ht="15.75" hidden="1" customHeight="1">
      <c r="E662" s="107" t="s">
        <v>82</v>
      </c>
      <c r="F662" s="105">
        <f>'Trifásico 34,5kv'!EN14+'Trifásico 34,5kv'!EO14+'Trifásico 34,5kv'!EP14</f>
        <v>0</v>
      </c>
    </row>
    <row r="663" spans="5:6" ht="15.75" hidden="1" customHeight="1">
      <c r="E663" s="97" t="s">
        <v>83</v>
      </c>
      <c r="F663" s="105">
        <f>'Trifásico 34,5kv'!EN15+'Trifásico 34,5kv'!EO15+'Trifásico 34,5kv'!EP15</f>
        <v>0</v>
      </c>
    </row>
    <row r="664" spans="5:6" ht="15.75" hidden="1" customHeight="1">
      <c r="E664" s="107" t="s">
        <v>85</v>
      </c>
      <c r="F664" s="105">
        <f>'Trifásico 34,5kv'!EN16+'Trifásico 34,5kv'!EO16+'Trifásico 34,5kv'!EP16</f>
        <v>0</v>
      </c>
    </row>
    <row r="665" spans="5:6" ht="15.75" hidden="1" customHeight="1">
      <c r="E665" s="97" t="s">
        <v>84</v>
      </c>
      <c r="F665" s="105">
        <f>'Trifásico 34,5kv'!EN17+'Trifásico 34,5kv'!EO17+'Trifásico 34,5kv'!EP17</f>
        <v>0</v>
      </c>
    </row>
    <row r="666" spans="5:6" ht="15.75" hidden="1" customHeight="1">
      <c r="E666" s="107" t="s">
        <v>86</v>
      </c>
      <c r="F666" s="105">
        <f>'Trifásico 34,5kv'!EN18+'Trifásico 34,5kv'!EO18+'Trifásico 34,5kv'!EP18</f>
        <v>0</v>
      </c>
    </row>
    <row r="667" spans="5:6" ht="15.75" hidden="1" customHeight="1">
      <c r="E667" s="97" t="s">
        <v>87</v>
      </c>
      <c r="F667" s="105">
        <f>'Trifásico 34,5kv'!EN19+'Trifásico 34,5kv'!EO19+'Trifásico 34,5kv'!EP19</f>
        <v>0</v>
      </c>
    </row>
    <row r="668" spans="5:6" ht="15.75" hidden="1" customHeight="1">
      <c r="E668" s="107" t="s">
        <v>101</v>
      </c>
      <c r="F668" s="105">
        <f>'Trifásico 34,5kv'!EN20+'Trifásico 34,5kv'!EO20+'Trifásico 34,5kv'!EP20</f>
        <v>0</v>
      </c>
    </row>
    <row r="669" spans="5:6" ht="15.75" hidden="1" customHeight="1">
      <c r="E669" s="97" t="s">
        <v>88</v>
      </c>
      <c r="F669" s="105">
        <f>'Trifásico 34,5kv'!EN21+'Trifásico 34,5kv'!EO21+'Trifásico 34,5kv'!EP21</f>
        <v>0</v>
      </c>
    </row>
    <row r="670" spans="5:6" ht="15.75" hidden="1" customHeight="1">
      <c r="E670" s="107" t="s">
        <v>89</v>
      </c>
      <c r="F670" s="105">
        <f>'Trifásico 34,5kv'!EN22+'Trifásico 34,5kv'!EO22+'Trifásico 34,5kv'!EP22</f>
        <v>0</v>
      </c>
    </row>
    <row r="671" spans="5:6" ht="15.75" hidden="1" customHeight="1">
      <c r="E671" s="97" t="s">
        <v>90</v>
      </c>
      <c r="F671" s="105">
        <f>'Trifásico 34,5kv'!EN23+'Trifásico 34,5kv'!EO23+'Trifásico 34,5kv'!EP23</f>
        <v>0</v>
      </c>
    </row>
    <row r="672" spans="5:6" ht="15.75" hidden="1" customHeight="1">
      <c r="E672" s="107" t="s">
        <v>93</v>
      </c>
      <c r="F672" s="105">
        <f>'Trifásico 34,5kv'!EN24+'Trifásico 34,5kv'!EO24+'Trifásico 34,5kv'!EP24</f>
        <v>0</v>
      </c>
    </row>
    <row r="673" spans="1:6" ht="15.75" hidden="1" customHeight="1">
      <c r="E673" s="97" t="s">
        <v>91</v>
      </c>
      <c r="F673" s="105">
        <f>'Trifásico 34,5kv'!EN25+'Trifásico 34,5kv'!EO25+'Trifásico 34,5kv'!EP25</f>
        <v>0</v>
      </c>
    </row>
    <row r="674" spans="1:6" ht="15.75" hidden="1" customHeight="1">
      <c r="E674" s="107" t="s">
        <v>92</v>
      </c>
      <c r="F674" s="105">
        <f>'Trifásico 34,5kv'!EN26+'Trifásico 34,5kv'!EO26+'Trifásico 34,5kv'!EP26</f>
        <v>0</v>
      </c>
    </row>
    <row r="675" spans="1:6" ht="15.75" hidden="1" customHeight="1" thickBot="1">
      <c r="F675" s="280">
        <f>SUM(F653:F674)</f>
        <v>0</v>
      </c>
    </row>
    <row r="676" spans="1:6" ht="15.75" hidden="1" customHeight="1" thickBot="1">
      <c r="A676" s="1648" t="s">
        <v>1227</v>
      </c>
      <c r="B676" s="1649"/>
      <c r="C676" s="1649"/>
      <c r="D676" s="1649"/>
      <c r="E676" s="1650"/>
      <c r="F676" s="771">
        <f>SUM(F677:F692)</f>
        <v>0</v>
      </c>
    </row>
    <row r="677" spans="1:6" ht="15.75" hidden="1" customHeight="1">
      <c r="D677" s="755" t="s">
        <v>328</v>
      </c>
      <c r="E677" s="756" t="s">
        <v>1363</v>
      </c>
      <c r="F677" s="106">
        <f>'Trifásico 34,5kv'!EN5+'Trifásico 34,5kv'!EO5</f>
        <v>0</v>
      </c>
    </row>
    <row r="678" spans="1:6" ht="15.75" hidden="1" customHeight="1">
      <c r="D678" s="757" t="s">
        <v>329</v>
      </c>
      <c r="E678" s="758" t="s">
        <v>1363</v>
      </c>
      <c r="F678" s="106">
        <f>'Trifásico 34,5kv'!EN6+'Trifásico 34,5kv'!EO6</f>
        <v>0</v>
      </c>
    </row>
    <row r="679" spans="1:6" ht="15.75" hidden="1" customHeight="1">
      <c r="D679" s="755" t="s">
        <v>330</v>
      </c>
      <c r="E679" s="756" t="s">
        <v>1363</v>
      </c>
      <c r="F679" s="106">
        <f>'Trifásico 34,5kv'!EN7+'Trifásico 34,5kv'!EO7</f>
        <v>0</v>
      </c>
    </row>
    <row r="680" spans="1:6" ht="15.75" hidden="1" customHeight="1">
      <c r="D680" s="757" t="s">
        <v>331</v>
      </c>
      <c r="E680" s="758" t="s">
        <v>1363</v>
      </c>
      <c r="F680" s="106">
        <f>'Trifásico 34,5kv'!EN8+'Trifásico 34,5kv'!EO8</f>
        <v>0</v>
      </c>
    </row>
    <row r="681" spans="1:6" ht="15.75" hidden="1" customHeight="1">
      <c r="D681" s="755" t="s">
        <v>332</v>
      </c>
      <c r="E681" s="756" t="s">
        <v>1363</v>
      </c>
      <c r="F681" s="106">
        <f>'Trifásico 34,5kv'!EN9+'Trifásico 34,5kv'!EO9</f>
        <v>0</v>
      </c>
    </row>
    <row r="682" spans="1:6" ht="15.75" hidden="1" customHeight="1">
      <c r="D682" s="757" t="s">
        <v>333</v>
      </c>
      <c r="E682" s="758" t="s">
        <v>1363</v>
      </c>
      <c r="F682" s="106">
        <f>'Trifásico 34,5kv'!EN10+'Trifásico 34,5kv'!EO10</f>
        <v>0</v>
      </c>
    </row>
    <row r="683" spans="1:6" ht="15.75" hidden="1" customHeight="1">
      <c r="D683" s="755" t="s">
        <v>334</v>
      </c>
      <c r="E683" s="756" t="s">
        <v>1363</v>
      </c>
      <c r="F683" s="106">
        <f>'Trifásico 34,5kv'!EN11+'Trifásico 34,5kv'!EO11</f>
        <v>0</v>
      </c>
    </row>
    <row r="684" spans="1:6" ht="15.75" hidden="1" customHeight="1">
      <c r="D684" s="757" t="s">
        <v>335</v>
      </c>
      <c r="E684" s="758" t="s">
        <v>1363</v>
      </c>
      <c r="F684" s="106">
        <f>'Trifásico 34,5kv'!EN12+'Trifásico 34,5kv'!EO12</f>
        <v>0</v>
      </c>
    </row>
    <row r="685" spans="1:6" ht="15.75" hidden="1" customHeight="1">
      <c r="D685" s="763" t="s">
        <v>328</v>
      </c>
      <c r="E685" s="764" t="s">
        <v>1364</v>
      </c>
      <c r="F685" s="105">
        <f>'Trifásico 34,5kv'!EP5+'Trifásico 34,5kv'!EQ5</f>
        <v>0</v>
      </c>
    </row>
    <row r="686" spans="1:6" ht="15.75" hidden="1" customHeight="1">
      <c r="D686" s="765" t="s">
        <v>329</v>
      </c>
      <c r="E686" s="766" t="s">
        <v>1364</v>
      </c>
      <c r="F686" s="105">
        <f>'Trifásico 34,5kv'!EP6+'Trifásico 34,5kv'!EQ6</f>
        <v>0</v>
      </c>
    </row>
    <row r="687" spans="1:6" ht="15.75" hidden="1" customHeight="1">
      <c r="D687" s="763" t="s">
        <v>330</v>
      </c>
      <c r="E687" s="764" t="s">
        <v>1364</v>
      </c>
      <c r="F687" s="105">
        <f>'Trifásico 34,5kv'!EP7+'Trifásico 34,5kv'!EQ7</f>
        <v>0</v>
      </c>
    </row>
    <row r="688" spans="1:6" ht="15.75" hidden="1" customHeight="1">
      <c r="D688" s="765" t="s">
        <v>331</v>
      </c>
      <c r="E688" s="766" t="s">
        <v>1364</v>
      </c>
      <c r="F688" s="105">
        <f>'Trifásico 34,5kv'!EP8+'Trifásico 34,5kv'!EQ8</f>
        <v>0</v>
      </c>
    </row>
    <row r="689" spans="1:6" ht="15.75" hidden="1" customHeight="1">
      <c r="D689" s="763" t="s">
        <v>332</v>
      </c>
      <c r="E689" s="764" t="s">
        <v>1364</v>
      </c>
      <c r="F689" s="105">
        <f>'Trifásico 34,5kv'!EP9+'Trifásico 34,5kv'!EQ9</f>
        <v>0</v>
      </c>
    </row>
    <row r="690" spans="1:6" ht="15.75" hidden="1" customHeight="1">
      <c r="D690" s="765" t="s">
        <v>333</v>
      </c>
      <c r="E690" s="766" t="s">
        <v>1364</v>
      </c>
      <c r="F690" s="105">
        <f>'Trifásico 34,5kv'!EP10+'Trifásico 34,5kv'!EQ10</f>
        <v>0</v>
      </c>
    </row>
    <row r="691" spans="1:6" ht="15.75" hidden="1" customHeight="1">
      <c r="D691" s="763" t="s">
        <v>334</v>
      </c>
      <c r="E691" s="764" t="s">
        <v>1364</v>
      </c>
      <c r="F691" s="105">
        <f>'Trifásico 34,5kv'!EP11+'Trifásico 34,5kv'!EQ11</f>
        <v>0</v>
      </c>
    </row>
    <row r="692" spans="1:6" ht="15.75" hidden="1" customHeight="1">
      <c r="D692" s="765" t="s">
        <v>335</v>
      </c>
      <c r="E692" s="766" t="s">
        <v>1364</v>
      </c>
      <c r="F692" s="105">
        <f>'Trifásico 34,5kv'!EP12+'Trifásico 34,5kv'!EQ12</f>
        <v>0</v>
      </c>
    </row>
    <row r="693" spans="1:6" ht="15.75" hidden="1" customHeight="1" thickBot="1">
      <c r="F693" s="280">
        <f>SUM(F677:F692)</f>
        <v>0</v>
      </c>
    </row>
    <row r="694" spans="1:6" ht="15.75" hidden="1" customHeight="1" thickBot="1">
      <c r="A694" s="1645" t="s">
        <v>1203</v>
      </c>
      <c r="B694" s="1646"/>
      <c r="C694" s="1646"/>
      <c r="D694" s="1646"/>
      <c r="E694" s="1647"/>
      <c r="F694" s="772">
        <f>SUM(F695:F706)</f>
        <v>0</v>
      </c>
    </row>
    <row r="695" spans="1:6" ht="15.75" hidden="1" customHeight="1">
      <c r="D695" s="759" t="s">
        <v>341</v>
      </c>
      <c r="E695" s="760" t="s">
        <v>1363</v>
      </c>
      <c r="F695" s="106">
        <f>'Trifásico 34,5kv'!ET5+'Trifásico 34,5kv'!EU5</f>
        <v>0</v>
      </c>
    </row>
    <row r="696" spans="1:6" ht="15.75" hidden="1" customHeight="1">
      <c r="D696" s="761" t="s">
        <v>336</v>
      </c>
      <c r="E696" s="762" t="s">
        <v>1363</v>
      </c>
      <c r="F696" s="106">
        <f>'Trifásico 34,5kv'!ET6+'Trifásico 34,5kv'!EU6</f>
        <v>0</v>
      </c>
    </row>
    <row r="697" spans="1:6" ht="15.75" hidden="1" customHeight="1">
      <c r="D697" s="759" t="s">
        <v>337</v>
      </c>
      <c r="E697" s="760" t="s">
        <v>1363</v>
      </c>
      <c r="F697" s="106">
        <f>'Trifásico 34,5kv'!ET7+'Trifásico 34,5kv'!EU7</f>
        <v>0</v>
      </c>
    </row>
    <row r="698" spans="1:6" ht="15.75" hidden="1" customHeight="1">
      <c r="D698" s="761" t="s">
        <v>338</v>
      </c>
      <c r="E698" s="762" t="s">
        <v>1363</v>
      </c>
      <c r="F698" s="106">
        <f>'Trifásico 34,5kv'!ET8+'Trifásico 34,5kv'!EU8</f>
        <v>0</v>
      </c>
    </row>
    <row r="699" spans="1:6" ht="15.75" hidden="1" customHeight="1">
      <c r="D699" s="759" t="s">
        <v>339</v>
      </c>
      <c r="E699" s="760" t="s">
        <v>1363</v>
      </c>
      <c r="F699" s="106">
        <f>'Trifásico 34,5kv'!ET9+'Trifásico 34,5kv'!EU9</f>
        <v>0</v>
      </c>
    </row>
    <row r="700" spans="1:6" ht="15.75" hidden="1" customHeight="1">
      <c r="D700" s="761" t="s">
        <v>340</v>
      </c>
      <c r="E700" s="762" t="s">
        <v>1363</v>
      </c>
      <c r="F700" s="106">
        <f>'Trifásico 34,5kv'!ET10+'Trifásico 34,5kv'!EU10</f>
        <v>0</v>
      </c>
    </row>
    <row r="701" spans="1:6" ht="15.75" hidden="1" customHeight="1">
      <c r="D701" s="769" t="s">
        <v>341</v>
      </c>
      <c r="E701" s="770" t="s">
        <v>1364</v>
      </c>
      <c r="F701" s="106">
        <f>'Trifásico 34,5kv'!EV5+'Trifásico 34,5kv'!EW5</f>
        <v>0</v>
      </c>
    </row>
    <row r="702" spans="1:6" ht="15.75" hidden="1" customHeight="1">
      <c r="D702" s="767" t="s">
        <v>336</v>
      </c>
      <c r="E702" s="768" t="s">
        <v>1364</v>
      </c>
      <c r="F702" s="106">
        <f>'Trifásico 34,5kv'!EV6+'Trifásico 34,5kv'!EW6</f>
        <v>0</v>
      </c>
    </row>
    <row r="703" spans="1:6" ht="15.75" hidden="1" customHeight="1">
      <c r="D703" s="769" t="s">
        <v>337</v>
      </c>
      <c r="E703" s="770" t="s">
        <v>1364</v>
      </c>
      <c r="F703" s="106">
        <f>'Trifásico 34,5kv'!EV7+'Trifásico 34,5kv'!EW7</f>
        <v>0</v>
      </c>
    </row>
    <row r="704" spans="1:6" ht="15.75" hidden="1" customHeight="1">
      <c r="D704" s="767" t="s">
        <v>338</v>
      </c>
      <c r="E704" s="768" t="s">
        <v>1364</v>
      </c>
      <c r="F704" s="106">
        <f>'Trifásico 34,5kv'!EV8+'Trifásico 34,5kv'!EW8</f>
        <v>0</v>
      </c>
    </row>
    <row r="705" spans="1:8" ht="15.75" hidden="1" customHeight="1">
      <c r="D705" s="769" t="s">
        <v>339</v>
      </c>
      <c r="E705" s="770" t="s">
        <v>1364</v>
      </c>
      <c r="F705" s="106">
        <f>'Trifásico 34,5kv'!EV9+'Trifásico 34,5kv'!EW9</f>
        <v>0</v>
      </c>
    </row>
    <row r="706" spans="1:8" ht="15.75" hidden="1" customHeight="1">
      <c r="D706" s="767" t="s">
        <v>340</v>
      </c>
      <c r="E706" s="768" t="s">
        <v>1364</v>
      </c>
      <c r="F706" s="106">
        <f>'Trifásico 34,5kv'!EV10+'Trifásico 34,5kv'!EW10</f>
        <v>0</v>
      </c>
    </row>
    <row r="707" spans="1:8" ht="15.75" hidden="1" customHeight="1">
      <c r="F707" s="280">
        <f>SUM(F695:F706)</f>
        <v>0</v>
      </c>
    </row>
    <row r="708" spans="1:8" s="240" customFormat="1" ht="15.75" hidden="1" customHeight="1">
      <c r="A708" s="1642" t="s">
        <v>526</v>
      </c>
      <c r="B708" s="1643"/>
      <c r="C708" s="1643"/>
      <c r="D708" s="1643"/>
      <c r="E708" s="1644"/>
      <c r="F708" s="87">
        <f>'Trifásico 34,5kv'!C8</f>
        <v>0</v>
      </c>
    </row>
    <row r="709" spans="1:8" s="240" customFormat="1" ht="15.75" hidden="1" customHeight="1">
      <c r="A709" s="1642" t="s">
        <v>531</v>
      </c>
      <c r="B709" s="1643"/>
      <c r="C709" s="1643"/>
      <c r="D709" s="1643"/>
      <c r="E709" s="1644"/>
      <c r="F709" s="87">
        <f>'Mono 34,5kv'!C8</f>
        <v>0</v>
      </c>
    </row>
    <row r="710" spans="1:8" s="240" customFormat="1" ht="15.75" hidden="1" customHeight="1">
      <c r="A710" s="309" t="s">
        <v>527</v>
      </c>
      <c r="B710" s="310"/>
      <c r="C710" s="310"/>
      <c r="D710" s="310"/>
      <c r="E710" s="311"/>
      <c r="F710" s="87">
        <f>'Trifásico 34,5kv'!C9</f>
        <v>0</v>
      </c>
    </row>
    <row r="711" spans="1:8" s="240" customFormat="1" ht="15.75" hidden="1" customHeight="1">
      <c r="A711" s="1639" t="s">
        <v>534</v>
      </c>
      <c r="B711" s="1640"/>
      <c r="C711" s="1640"/>
      <c r="D711" s="1640"/>
      <c r="E711" s="1641"/>
      <c r="F711" s="87">
        <f>'Mono 34,5kv'!C9</f>
        <v>0</v>
      </c>
    </row>
    <row r="712" spans="1:8" s="240" customFormat="1" ht="15.75" hidden="1" customHeight="1">
      <c r="A712" s="1642" t="s">
        <v>528</v>
      </c>
      <c r="B712" s="1643"/>
      <c r="C712" s="1643"/>
      <c r="D712" s="1643"/>
      <c r="E712" s="1644"/>
      <c r="F712" s="87">
        <f>'Trifásico 34,5kv'!C10</f>
        <v>0</v>
      </c>
    </row>
    <row r="713" spans="1:8" s="240" customFormat="1" ht="15.75" hidden="1" customHeight="1">
      <c r="A713" s="1642" t="s">
        <v>533</v>
      </c>
      <c r="B713" s="1643"/>
      <c r="C713" s="1643"/>
      <c r="D713" s="1643"/>
      <c r="E713" s="1644"/>
      <c r="F713" s="87">
        <f>'Mono 34,5kv'!C10</f>
        <v>0</v>
      </c>
    </row>
    <row r="714" spans="1:8" s="240" customFormat="1" ht="15.75" hidden="1" customHeight="1">
      <c r="A714" s="1639" t="s">
        <v>529</v>
      </c>
      <c r="B714" s="1640"/>
      <c r="C714" s="1640"/>
      <c r="D714" s="1640"/>
      <c r="E714" s="1641"/>
      <c r="F714" s="87">
        <f>'Trifásico 34,5kv'!C11</f>
        <v>0</v>
      </c>
    </row>
    <row r="715" spans="1:8" s="240" customFormat="1" ht="15.75" hidden="1" customHeight="1">
      <c r="A715" s="1639" t="s">
        <v>532</v>
      </c>
      <c r="B715" s="1640"/>
      <c r="C715" s="1640"/>
      <c r="D715" s="1640"/>
      <c r="E715" s="1641"/>
      <c r="F715" s="87">
        <f>'Mono 34,5kv'!C11</f>
        <v>0</v>
      </c>
    </row>
    <row r="716" spans="1:8" s="240" customFormat="1" ht="15.75" hidden="1" customHeight="1">
      <c r="A716" s="1642" t="s">
        <v>177</v>
      </c>
      <c r="B716" s="1643"/>
      <c r="C716" s="1643"/>
      <c r="D716" s="1643"/>
      <c r="E716" s="1644"/>
      <c r="F716" s="87">
        <f>'Trifásico 34,5kv'!C12+'Mono 34,5kv'!C12</f>
        <v>0</v>
      </c>
      <c r="G716" s="241"/>
      <c r="H716" s="241"/>
    </row>
    <row r="717" spans="1:8" s="240" customFormat="1" ht="15.75" hidden="1" customHeight="1">
      <c r="A717" s="1639" t="s">
        <v>358</v>
      </c>
      <c r="B717" s="1640"/>
      <c r="C717" s="1640"/>
      <c r="D717" s="1640"/>
      <c r="E717" s="1641"/>
      <c r="F717" s="87">
        <f>'Mono 34,5kv'!C13</f>
        <v>0</v>
      </c>
      <c r="G717" s="241"/>
      <c r="H717" s="241"/>
    </row>
    <row r="718" spans="1:8" s="240" customFormat="1" ht="15.75" hidden="1" customHeight="1">
      <c r="A718" s="309"/>
      <c r="B718" s="310"/>
      <c r="C718" s="310"/>
      <c r="D718" s="310"/>
      <c r="E718" s="311"/>
      <c r="F718" s="87">
        <v>0</v>
      </c>
      <c r="G718" s="241"/>
      <c r="H718" s="241"/>
    </row>
    <row r="719" spans="1:8" s="240" customFormat="1" ht="15.75" hidden="1" customHeight="1">
      <c r="A719" s="1642" t="s">
        <v>178</v>
      </c>
      <c r="B719" s="1643"/>
      <c r="C719" s="1643"/>
      <c r="D719" s="1643"/>
      <c r="E719" s="1644"/>
      <c r="F719" s="87">
        <f>'Trifásico 34,5kv'!C14+'Mono 34,5kv'!C14</f>
        <v>0</v>
      </c>
      <c r="G719" s="241"/>
      <c r="H719" s="241"/>
    </row>
    <row r="720" spans="1:8" s="240" customFormat="1" ht="15.75" hidden="1" customHeight="1">
      <c r="A720" s="1683"/>
      <c r="B720" s="1684"/>
      <c r="C720" s="1684"/>
      <c r="D720" s="1684"/>
      <c r="E720" s="1685"/>
      <c r="F720" s="87">
        <v>0</v>
      </c>
      <c r="G720" s="241"/>
      <c r="H720" s="241"/>
    </row>
    <row r="721" spans="1:8" s="240" customFormat="1" ht="15.75" hidden="1" customHeight="1">
      <c r="A721" s="1680" t="s">
        <v>524</v>
      </c>
      <c r="B721" s="1681"/>
      <c r="C721" s="1681"/>
      <c r="D721" s="1681"/>
      <c r="E721" s="1682"/>
      <c r="F721" s="87">
        <f>'Trifásico 34,5kv'!C16+'Mono 34,5kv'!C16</f>
        <v>0</v>
      </c>
      <c r="G721" s="241"/>
      <c r="H721" s="241"/>
    </row>
    <row r="722" spans="1:8" s="240" customFormat="1" ht="15.75" hidden="1" customHeight="1">
      <c r="A722" s="1683"/>
      <c r="B722" s="1684"/>
      <c r="C722" s="1684"/>
      <c r="D722" s="1684"/>
      <c r="E722" s="1685"/>
      <c r="F722" s="87">
        <v>0</v>
      </c>
      <c r="G722" s="241"/>
      <c r="H722" s="241"/>
    </row>
    <row r="723" spans="1:8" s="240" customFormat="1" ht="15.75" hidden="1" customHeight="1">
      <c r="A723" s="1680" t="s">
        <v>525</v>
      </c>
      <c r="B723" s="1681"/>
      <c r="C723" s="1681"/>
      <c r="D723" s="1681"/>
      <c r="E723" s="1682"/>
      <c r="F723" s="87">
        <f>'Trifásico 34,5kv'!C18+'Mono 34,5kv'!C18</f>
        <v>0</v>
      </c>
      <c r="G723" s="241"/>
      <c r="H723" s="241"/>
    </row>
    <row r="724" spans="1:8" hidden="1">
      <c r="F724" s="280">
        <f>SUM(F708:F723)</f>
        <v>0</v>
      </c>
    </row>
    <row r="725" spans="1:8" ht="19.5" hidden="1">
      <c r="E725" s="95" t="s">
        <v>1479</v>
      </c>
      <c r="F725" s="281">
        <f>SUM(F726:F747)</f>
        <v>0</v>
      </c>
    </row>
    <row r="726" spans="1:8" hidden="1">
      <c r="E726" s="96" t="s">
        <v>74</v>
      </c>
      <c r="F726" s="113">
        <f>'Mono 34,5kv'!F5</f>
        <v>0</v>
      </c>
    </row>
    <row r="727" spans="1:8" hidden="1">
      <c r="E727" s="97" t="s">
        <v>75</v>
      </c>
      <c r="F727" s="113">
        <f>'Mono 34,5kv'!F6</f>
        <v>0</v>
      </c>
    </row>
    <row r="728" spans="1:8" hidden="1">
      <c r="E728" s="96" t="s">
        <v>76</v>
      </c>
      <c r="F728" s="113">
        <f>'Mono 34,5kv'!F7</f>
        <v>0</v>
      </c>
    </row>
    <row r="729" spans="1:8" hidden="1">
      <c r="E729" s="97" t="s">
        <v>77</v>
      </c>
      <c r="F729" s="113">
        <f>'Mono 34,5kv'!F8</f>
        <v>0</v>
      </c>
    </row>
    <row r="730" spans="1:8" hidden="1">
      <c r="E730" s="96" t="s">
        <v>100</v>
      </c>
      <c r="F730" s="113">
        <f>'Mono 34,5kv'!F9</f>
        <v>0</v>
      </c>
    </row>
    <row r="731" spans="1:8" hidden="1">
      <c r="E731" s="97" t="s">
        <v>78</v>
      </c>
      <c r="F731" s="113">
        <f>'Mono 34,5kv'!F10</f>
        <v>0</v>
      </c>
    </row>
    <row r="732" spans="1:8" hidden="1">
      <c r="E732" s="96" t="s">
        <v>79</v>
      </c>
      <c r="F732" s="113">
        <f>'Mono 34,5kv'!F11</f>
        <v>0</v>
      </c>
    </row>
    <row r="733" spans="1:8" hidden="1">
      <c r="E733" s="97" t="s">
        <v>80</v>
      </c>
      <c r="F733" s="113">
        <f>'Mono 34,5kv'!F12</f>
        <v>0</v>
      </c>
    </row>
    <row r="734" spans="1:8" hidden="1">
      <c r="E734" s="96" t="s">
        <v>81</v>
      </c>
      <c r="F734" s="113">
        <f>'Mono 34,5kv'!F13</f>
        <v>0</v>
      </c>
    </row>
    <row r="735" spans="1:8" hidden="1">
      <c r="E735" s="97" t="s">
        <v>82</v>
      </c>
      <c r="F735" s="113">
        <f>'Mono 34,5kv'!F14</f>
        <v>0</v>
      </c>
    </row>
    <row r="736" spans="1:8" hidden="1">
      <c r="E736" s="96" t="s">
        <v>83</v>
      </c>
      <c r="F736" s="113">
        <f>'Mono 34,5kv'!F15</f>
        <v>0</v>
      </c>
    </row>
    <row r="737" spans="5:6" hidden="1">
      <c r="E737" s="97" t="s">
        <v>85</v>
      </c>
      <c r="F737" s="113">
        <f>'Mono 34,5kv'!F16</f>
        <v>0</v>
      </c>
    </row>
    <row r="738" spans="5:6" hidden="1">
      <c r="E738" s="96" t="s">
        <v>84</v>
      </c>
      <c r="F738" s="113">
        <f>'Mono 34,5kv'!F17</f>
        <v>0</v>
      </c>
    </row>
    <row r="739" spans="5:6" hidden="1">
      <c r="E739" s="97" t="s">
        <v>86</v>
      </c>
      <c r="F739" s="113">
        <f>'Mono 34,5kv'!F18</f>
        <v>0</v>
      </c>
    </row>
    <row r="740" spans="5:6" hidden="1">
      <c r="E740" s="96" t="s">
        <v>87</v>
      </c>
      <c r="F740" s="113">
        <f>'Mono 34,5kv'!F19</f>
        <v>0</v>
      </c>
    </row>
    <row r="741" spans="5:6" hidden="1">
      <c r="E741" s="97" t="s">
        <v>101</v>
      </c>
      <c r="F741" s="113">
        <f>'Mono 34,5kv'!F20</f>
        <v>0</v>
      </c>
    </row>
    <row r="742" spans="5:6" hidden="1">
      <c r="E742" s="96" t="s">
        <v>88</v>
      </c>
      <c r="F742" s="113">
        <f>'Mono 34,5kv'!F21</f>
        <v>0</v>
      </c>
    </row>
    <row r="743" spans="5:6" hidden="1">
      <c r="E743" s="97" t="s">
        <v>89</v>
      </c>
      <c r="F743" s="113">
        <f>'Mono 34,5kv'!F22</f>
        <v>0</v>
      </c>
    </row>
    <row r="744" spans="5:6" hidden="1">
      <c r="E744" s="96" t="s">
        <v>90</v>
      </c>
      <c r="F744" s="113">
        <f>'Mono 34,5kv'!F23</f>
        <v>0</v>
      </c>
    </row>
    <row r="745" spans="5:6" hidden="1">
      <c r="E745" s="97" t="s">
        <v>93</v>
      </c>
      <c r="F745" s="113">
        <f>'Mono 34,5kv'!F24</f>
        <v>0</v>
      </c>
    </row>
    <row r="746" spans="5:6" hidden="1">
      <c r="E746" s="96" t="s">
        <v>91</v>
      </c>
      <c r="F746" s="113">
        <f>'Mono 34,5kv'!F25</f>
        <v>0</v>
      </c>
    </row>
    <row r="747" spans="5:6" hidden="1">
      <c r="E747" s="97" t="s">
        <v>92</v>
      </c>
      <c r="F747" s="113">
        <f>'Mono 34,5kv'!F26</f>
        <v>0</v>
      </c>
    </row>
    <row r="748" spans="5:6" hidden="1">
      <c r="F748" s="280">
        <f>SUM(F726:F747)</f>
        <v>0</v>
      </c>
    </row>
    <row r="749" spans="5:6" ht="18.75" hidden="1">
      <c r="E749" s="261" t="s">
        <v>535</v>
      </c>
      <c r="F749" s="281">
        <f>SUM(F750:F771)</f>
        <v>0</v>
      </c>
    </row>
    <row r="750" spans="5:6" hidden="1">
      <c r="E750" s="96" t="s">
        <v>74</v>
      </c>
      <c r="F750" s="75">
        <f>'Mono 34,5kv'!L5+'Mono 34,5kv'!M5</f>
        <v>0</v>
      </c>
    </row>
    <row r="751" spans="5:6" hidden="1">
      <c r="E751" s="97" t="s">
        <v>75</v>
      </c>
      <c r="F751" s="75">
        <f>'Mono 34,5kv'!L6+'Mono 34,5kv'!M6</f>
        <v>0</v>
      </c>
    </row>
    <row r="752" spans="5:6" hidden="1">
      <c r="E752" s="96" t="s">
        <v>76</v>
      </c>
      <c r="F752" s="75">
        <f>'Mono 34,5kv'!L7+'Mono 34,5kv'!M7</f>
        <v>0</v>
      </c>
    </row>
    <row r="753" spans="5:6" hidden="1">
      <c r="E753" s="97" t="s">
        <v>77</v>
      </c>
      <c r="F753" s="75">
        <f>'Mono 34,5kv'!L8+'Mono 34,5kv'!M8</f>
        <v>0</v>
      </c>
    </row>
    <row r="754" spans="5:6" hidden="1">
      <c r="E754" s="96" t="s">
        <v>100</v>
      </c>
      <c r="F754" s="75">
        <f>'Mono 34,5kv'!L9+'Mono 34,5kv'!M9</f>
        <v>0</v>
      </c>
    </row>
    <row r="755" spans="5:6" hidden="1">
      <c r="E755" s="97" t="s">
        <v>78</v>
      </c>
      <c r="F755" s="75">
        <f>'Mono 34,5kv'!L10+'Mono 34,5kv'!M10</f>
        <v>0</v>
      </c>
    </row>
    <row r="756" spans="5:6" hidden="1">
      <c r="E756" s="96" t="s">
        <v>79</v>
      </c>
      <c r="F756" s="75">
        <f>'Mono 34,5kv'!L11+'Mono 34,5kv'!M11</f>
        <v>0</v>
      </c>
    </row>
    <row r="757" spans="5:6" hidden="1">
      <c r="E757" s="97" t="s">
        <v>80</v>
      </c>
      <c r="F757" s="75">
        <f>'Mono 34,5kv'!L12+'Mono 34,5kv'!M12</f>
        <v>0</v>
      </c>
    </row>
    <row r="758" spans="5:6" hidden="1">
      <c r="E758" s="96" t="s">
        <v>81</v>
      </c>
      <c r="F758" s="75">
        <f>'Mono 34,5kv'!L13+'Mono 34,5kv'!M13</f>
        <v>0</v>
      </c>
    </row>
    <row r="759" spans="5:6" hidden="1">
      <c r="E759" s="97" t="s">
        <v>82</v>
      </c>
      <c r="F759" s="75">
        <f>'Mono 34,5kv'!L14+'Mono 34,5kv'!M14</f>
        <v>0</v>
      </c>
    </row>
    <row r="760" spans="5:6" hidden="1">
      <c r="E760" s="96" t="s">
        <v>83</v>
      </c>
      <c r="F760" s="75">
        <f>'Mono 34,5kv'!L15+'Mono 34,5kv'!M15</f>
        <v>0</v>
      </c>
    </row>
    <row r="761" spans="5:6" hidden="1">
      <c r="E761" s="97" t="s">
        <v>85</v>
      </c>
      <c r="F761" s="75">
        <f>'Mono 34,5kv'!L16+'Mono 34,5kv'!M16</f>
        <v>0</v>
      </c>
    </row>
    <row r="762" spans="5:6" hidden="1">
      <c r="E762" s="96" t="s">
        <v>84</v>
      </c>
      <c r="F762" s="75">
        <f>'Mono 34,5kv'!L17+'Mono 34,5kv'!M17</f>
        <v>0</v>
      </c>
    </row>
    <row r="763" spans="5:6" hidden="1">
      <c r="E763" s="97" t="s">
        <v>86</v>
      </c>
      <c r="F763" s="75">
        <f>'Mono 34,5kv'!L18+'Mono 34,5kv'!M18</f>
        <v>0</v>
      </c>
    </row>
    <row r="764" spans="5:6" hidden="1">
      <c r="E764" s="96" t="s">
        <v>87</v>
      </c>
      <c r="F764" s="75">
        <f>'Mono 34,5kv'!L19+'Mono 34,5kv'!M19</f>
        <v>0</v>
      </c>
    </row>
    <row r="765" spans="5:6" hidden="1">
      <c r="E765" s="97" t="s">
        <v>101</v>
      </c>
      <c r="F765" s="75">
        <f>'Mono 34,5kv'!L20+'Mono 34,5kv'!M20</f>
        <v>0</v>
      </c>
    </row>
    <row r="766" spans="5:6" hidden="1">
      <c r="E766" s="96" t="s">
        <v>88</v>
      </c>
      <c r="F766" s="75">
        <f>'Mono 34,5kv'!L21+'Mono 34,5kv'!M21</f>
        <v>0</v>
      </c>
    </row>
    <row r="767" spans="5:6" hidden="1">
      <c r="E767" s="97" t="s">
        <v>89</v>
      </c>
      <c r="F767" s="75">
        <f>'Mono 34,5kv'!L22+'Mono 34,5kv'!M22</f>
        <v>0</v>
      </c>
    </row>
    <row r="768" spans="5:6" hidden="1">
      <c r="E768" s="96" t="s">
        <v>90</v>
      </c>
      <c r="F768" s="75">
        <f>'Mono 34,5kv'!L23+'Mono 34,5kv'!M23</f>
        <v>0</v>
      </c>
    </row>
    <row r="769" spans="4:6" hidden="1">
      <c r="E769" s="97" t="s">
        <v>93</v>
      </c>
      <c r="F769" s="75">
        <f>'Mono 34,5kv'!L24+'Mono 34,5kv'!M24</f>
        <v>0</v>
      </c>
    </row>
    <row r="770" spans="4:6" hidden="1">
      <c r="E770" s="96" t="s">
        <v>91</v>
      </c>
      <c r="F770" s="75">
        <f>'Mono 34,5kv'!L25+'Mono 34,5kv'!M25</f>
        <v>0</v>
      </c>
    </row>
    <row r="771" spans="4:6" hidden="1">
      <c r="E771" s="97" t="s">
        <v>92</v>
      </c>
      <c r="F771" s="75">
        <f>'Mono 34,5kv'!L26+'Mono 34,5kv'!M26</f>
        <v>0</v>
      </c>
    </row>
    <row r="772" spans="4:6" hidden="1">
      <c r="F772" s="278">
        <f>SUM(F750:F771)</f>
        <v>0</v>
      </c>
    </row>
    <row r="773" spans="4:6" ht="19.5" hidden="1" thickBot="1">
      <c r="D773" s="36"/>
      <c r="E773" s="228" t="s">
        <v>135</v>
      </c>
      <c r="F773" s="292">
        <f>SUM(F774:F795)</f>
        <v>0</v>
      </c>
    </row>
    <row r="774" spans="4:6" hidden="1">
      <c r="D774" s="37"/>
      <c r="E774" s="74" t="s">
        <v>74</v>
      </c>
      <c r="F774" s="226">
        <f>'Mono 34,5kv'!P5+'Mono 34,5kv'!Q5</f>
        <v>0</v>
      </c>
    </row>
    <row r="775" spans="4:6" hidden="1">
      <c r="D775" s="37"/>
      <c r="E775" s="77" t="s">
        <v>75</v>
      </c>
      <c r="F775" s="226">
        <f>'Mono 34,5kv'!P6+'Mono 34,5kv'!Q6</f>
        <v>0</v>
      </c>
    </row>
    <row r="776" spans="4:6" hidden="1">
      <c r="D776" s="37"/>
      <c r="E776" s="74" t="s">
        <v>76</v>
      </c>
      <c r="F776" s="226">
        <f>'Mono 34,5kv'!P7+'Mono 34,5kv'!Q7</f>
        <v>0</v>
      </c>
    </row>
    <row r="777" spans="4:6" hidden="1">
      <c r="D777" s="37"/>
      <c r="E777" s="77" t="s">
        <v>77</v>
      </c>
      <c r="F777" s="226">
        <f>'Mono 34,5kv'!P8+'Mono 34,5kv'!Q8</f>
        <v>0</v>
      </c>
    </row>
    <row r="778" spans="4:6" hidden="1">
      <c r="D778" s="37"/>
      <c r="E778" s="74" t="s">
        <v>100</v>
      </c>
      <c r="F778" s="226">
        <f>'Mono 34,5kv'!P9+'Mono 34,5kv'!Q9</f>
        <v>0</v>
      </c>
    </row>
    <row r="779" spans="4:6" hidden="1">
      <c r="D779" s="37"/>
      <c r="E779" s="77" t="s">
        <v>78</v>
      </c>
      <c r="F779" s="226">
        <f>'Mono 34,5kv'!P10+'Mono 34,5kv'!Q10</f>
        <v>0</v>
      </c>
    </row>
    <row r="780" spans="4:6" hidden="1">
      <c r="D780" s="37"/>
      <c r="E780" s="74" t="s">
        <v>79</v>
      </c>
      <c r="F780" s="226">
        <f>'Mono 34,5kv'!P11+'Mono 34,5kv'!Q11</f>
        <v>0</v>
      </c>
    </row>
    <row r="781" spans="4:6" hidden="1">
      <c r="D781" s="37"/>
      <c r="E781" s="77" t="s">
        <v>80</v>
      </c>
      <c r="F781" s="226">
        <f>'Mono 34,5kv'!P12+'Mono 34,5kv'!Q12</f>
        <v>0</v>
      </c>
    </row>
    <row r="782" spans="4:6" hidden="1">
      <c r="D782" s="37"/>
      <c r="E782" s="74" t="s">
        <v>81</v>
      </c>
      <c r="F782" s="226">
        <f>'Mono 34,5kv'!P13+'Mono 34,5kv'!Q13</f>
        <v>0</v>
      </c>
    </row>
    <row r="783" spans="4:6" hidden="1">
      <c r="D783" s="37"/>
      <c r="E783" s="77" t="s">
        <v>82</v>
      </c>
      <c r="F783" s="226">
        <f>'Mono 34,5kv'!P14+'Mono 34,5kv'!Q14</f>
        <v>0</v>
      </c>
    </row>
    <row r="784" spans="4:6" hidden="1">
      <c r="D784" s="37"/>
      <c r="E784" s="74" t="s">
        <v>83</v>
      </c>
      <c r="F784" s="226">
        <f>'Mono 34,5kv'!P15+'Mono 34,5kv'!Q15</f>
        <v>0</v>
      </c>
    </row>
    <row r="785" spans="4:6" hidden="1">
      <c r="D785" s="37"/>
      <c r="E785" s="77" t="s">
        <v>85</v>
      </c>
      <c r="F785" s="226">
        <f>'Mono 34,5kv'!P16+'Mono 34,5kv'!Q16</f>
        <v>0</v>
      </c>
    </row>
    <row r="786" spans="4:6" hidden="1">
      <c r="D786" s="37"/>
      <c r="E786" s="74" t="s">
        <v>84</v>
      </c>
      <c r="F786" s="226">
        <f>'Mono 34,5kv'!P17+'Mono 34,5kv'!Q17</f>
        <v>0</v>
      </c>
    </row>
    <row r="787" spans="4:6" hidden="1">
      <c r="D787" s="37"/>
      <c r="E787" s="77" t="s">
        <v>86</v>
      </c>
      <c r="F787" s="226">
        <f>'Mono 34,5kv'!P18+'Mono 34,5kv'!Q18</f>
        <v>0</v>
      </c>
    </row>
    <row r="788" spans="4:6" hidden="1">
      <c r="D788" s="37"/>
      <c r="E788" s="74" t="s">
        <v>87</v>
      </c>
      <c r="F788" s="226">
        <f>'Mono 34,5kv'!P19+'Mono 34,5kv'!Q19</f>
        <v>0</v>
      </c>
    </row>
    <row r="789" spans="4:6" hidden="1">
      <c r="D789" s="37"/>
      <c r="E789" s="77" t="s">
        <v>101</v>
      </c>
      <c r="F789" s="226">
        <f>'Mono 34,5kv'!P20+'Mono 34,5kv'!Q20</f>
        <v>0</v>
      </c>
    </row>
    <row r="790" spans="4:6" hidden="1">
      <c r="D790" s="37"/>
      <c r="E790" s="74" t="s">
        <v>88</v>
      </c>
      <c r="F790" s="226">
        <f>'Mono 34,5kv'!P21+'Mono 34,5kv'!Q21</f>
        <v>0</v>
      </c>
    </row>
    <row r="791" spans="4:6" hidden="1">
      <c r="D791" s="37"/>
      <c r="E791" s="77" t="s">
        <v>89</v>
      </c>
      <c r="F791" s="226">
        <f>'Mono 34,5kv'!P22+'Mono 34,5kv'!Q22</f>
        <v>0</v>
      </c>
    </row>
    <row r="792" spans="4:6" hidden="1">
      <c r="D792" s="37"/>
      <c r="E792" s="74" t="s">
        <v>90</v>
      </c>
      <c r="F792" s="226">
        <f>'Mono 34,5kv'!P23+'Mono 34,5kv'!Q23</f>
        <v>0</v>
      </c>
    </row>
    <row r="793" spans="4:6" hidden="1">
      <c r="D793" s="37"/>
      <c r="E793" s="77" t="s">
        <v>93</v>
      </c>
      <c r="F793" s="226">
        <f>'Mono 34,5kv'!P24+'Mono 34,5kv'!Q24</f>
        <v>0</v>
      </c>
    </row>
    <row r="794" spans="4:6" hidden="1">
      <c r="D794" s="37"/>
      <c r="E794" s="74" t="s">
        <v>91</v>
      </c>
      <c r="F794" s="226">
        <f>'Mono 34,5kv'!P25+'Mono 34,5kv'!Q25</f>
        <v>0</v>
      </c>
    </row>
    <row r="795" spans="4:6" hidden="1">
      <c r="D795" s="37"/>
      <c r="E795" s="77" t="s">
        <v>92</v>
      </c>
      <c r="F795" s="226">
        <f>'Mono 34,5kv'!P26+'Mono 34,5kv'!Q26</f>
        <v>0</v>
      </c>
    </row>
    <row r="796" spans="4:6" hidden="1">
      <c r="F796" s="278">
        <f>SUM(F774:F795)</f>
        <v>0</v>
      </c>
    </row>
    <row r="797" spans="4:6" ht="19.5" hidden="1" thickBot="1">
      <c r="D797" s="1675" t="s">
        <v>360</v>
      </c>
      <c r="E797" s="1676"/>
      <c r="F797" s="290">
        <f>SUM(F798:F819)</f>
        <v>0</v>
      </c>
    </row>
    <row r="798" spans="4:6" hidden="1">
      <c r="D798" s="38"/>
      <c r="E798" s="74" t="s">
        <v>74</v>
      </c>
      <c r="F798" s="75">
        <f>'Mono 34,5kv'!T5+'Mono 34,5kv'!U5</f>
        <v>0</v>
      </c>
    </row>
    <row r="799" spans="4:6" hidden="1">
      <c r="D799" s="38"/>
      <c r="E799" s="77" t="s">
        <v>75</v>
      </c>
      <c r="F799" s="75">
        <f>'Mono 34,5kv'!T6+'Mono 34,5kv'!U6</f>
        <v>0</v>
      </c>
    </row>
    <row r="800" spans="4:6" hidden="1">
      <c r="D800" s="38"/>
      <c r="E800" s="74" t="s">
        <v>76</v>
      </c>
      <c r="F800" s="75">
        <f>'Mono 34,5kv'!T7+'Mono 34,5kv'!U7</f>
        <v>0</v>
      </c>
    </row>
    <row r="801" spans="4:6" hidden="1">
      <c r="D801" s="38"/>
      <c r="E801" s="77" t="s">
        <v>77</v>
      </c>
      <c r="F801" s="75">
        <f>'Mono 34,5kv'!T8+'Mono 34,5kv'!U8</f>
        <v>0</v>
      </c>
    </row>
    <row r="802" spans="4:6" hidden="1">
      <c r="D802" s="38"/>
      <c r="E802" s="74" t="s">
        <v>100</v>
      </c>
      <c r="F802" s="75">
        <f>'Mono 34,5kv'!T9+'Mono 34,5kv'!U9</f>
        <v>0</v>
      </c>
    </row>
    <row r="803" spans="4:6" hidden="1">
      <c r="D803" s="38"/>
      <c r="E803" s="77" t="s">
        <v>78</v>
      </c>
      <c r="F803" s="75">
        <f>'Mono 34,5kv'!T10+'Mono 34,5kv'!U10</f>
        <v>0</v>
      </c>
    </row>
    <row r="804" spans="4:6" hidden="1">
      <c r="D804" s="38"/>
      <c r="E804" s="74" t="s">
        <v>79</v>
      </c>
      <c r="F804" s="75">
        <f>'Mono 34,5kv'!T11+'Mono 34,5kv'!U11</f>
        <v>0</v>
      </c>
    </row>
    <row r="805" spans="4:6" hidden="1">
      <c r="D805" s="38"/>
      <c r="E805" s="77" t="s">
        <v>80</v>
      </c>
      <c r="F805" s="75">
        <f>'Mono 34,5kv'!T12+'Mono 34,5kv'!U12</f>
        <v>0</v>
      </c>
    </row>
    <row r="806" spans="4:6" hidden="1">
      <c r="D806" s="38"/>
      <c r="E806" s="74" t="s">
        <v>81</v>
      </c>
      <c r="F806" s="75">
        <f>'Mono 34,5kv'!T13+'Mono 34,5kv'!U13</f>
        <v>0</v>
      </c>
    </row>
    <row r="807" spans="4:6" hidden="1">
      <c r="D807" s="38"/>
      <c r="E807" s="77" t="s">
        <v>82</v>
      </c>
      <c r="F807" s="75">
        <f>'Mono 34,5kv'!T14+'Mono 34,5kv'!U14</f>
        <v>0</v>
      </c>
    </row>
    <row r="808" spans="4:6" hidden="1">
      <c r="D808" s="38"/>
      <c r="E808" s="74" t="s">
        <v>83</v>
      </c>
      <c r="F808" s="75">
        <f>'Mono 34,5kv'!T15+'Mono 34,5kv'!U15</f>
        <v>0</v>
      </c>
    </row>
    <row r="809" spans="4:6" hidden="1">
      <c r="D809" s="38"/>
      <c r="E809" s="77" t="s">
        <v>85</v>
      </c>
      <c r="F809" s="75">
        <f>'Mono 34,5kv'!T16+'Mono 34,5kv'!U16</f>
        <v>0</v>
      </c>
    </row>
    <row r="810" spans="4:6" hidden="1">
      <c r="D810" s="38"/>
      <c r="E810" s="74" t="s">
        <v>84</v>
      </c>
      <c r="F810" s="75">
        <f>'Mono 34,5kv'!T17+'Mono 34,5kv'!U17</f>
        <v>0</v>
      </c>
    </row>
    <row r="811" spans="4:6" hidden="1">
      <c r="D811" s="38"/>
      <c r="E811" s="77" t="s">
        <v>86</v>
      </c>
      <c r="F811" s="75">
        <f>'Mono 34,5kv'!T18+'Mono 34,5kv'!U18</f>
        <v>0</v>
      </c>
    </row>
    <row r="812" spans="4:6" hidden="1">
      <c r="D812" s="38"/>
      <c r="E812" s="74" t="s">
        <v>87</v>
      </c>
      <c r="F812" s="75">
        <f>'Mono 34,5kv'!T19+'Mono 34,5kv'!U19</f>
        <v>0</v>
      </c>
    </row>
    <row r="813" spans="4:6" hidden="1">
      <c r="D813" s="38"/>
      <c r="E813" s="77" t="s">
        <v>101</v>
      </c>
      <c r="F813" s="75">
        <f>'Mono 34,5kv'!T20+'Mono 34,5kv'!U20</f>
        <v>0</v>
      </c>
    </row>
    <row r="814" spans="4:6" hidden="1">
      <c r="D814" s="38"/>
      <c r="E814" s="74" t="s">
        <v>88</v>
      </c>
      <c r="F814" s="75">
        <f>'Mono 34,5kv'!T21+'Mono 34,5kv'!U21</f>
        <v>0</v>
      </c>
    </row>
    <row r="815" spans="4:6" hidden="1">
      <c r="D815" s="38"/>
      <c r="E815" s="77" t="s">
        <v>89</v>
      </c>
      <c r="F815" s="75">
        <f>'Mono 34,5kv'!T22+'Mono 34,5kv'!U22</f>
        <v>0</v>
      </c>
    </row>
    <row r="816" spans="4:6" hidden="1">
      <c r="D816" s="38"/>
      <c r="E816" s="74" t="s">
        <v>90</v>
      </c>
      <c r="F816" s="75">
        <f>'Mono 34,5kv'!T23+'Mono 34,5kv'!U23</f>
        <v>0</v>
      </c>
    </row>
    <row r="817" spans="4:6" hidden="1">
      <c r="D817" s="38"/>
      <c r="E817" s="77" t="s">
        <v>93</v>
      </c>
      <c r="F817" s="75">
        <f>'Mono 34,5kv'!T24+'Mono 34,5kv'!U24</f>
        <v>0</v>
      </c>
    </row>
    <row r="818" spans="4:6" hidden="1">
      <c r="D818" s="38"/>
      <c r="E818" s="74" t="s">
        <v>91</v>
      </c>
      <c r="F818" s="75">
        <f>'Mono 34,5kv'!T25+'Mono 34,5kv'!U25</f>
        <v>0</v>
      </c>
    </row>
    <row r="819" spans="4:6" hidden="1">
      <c r="D819" s="38"/>
      <c r="E819" s="77" t="s">
        <v>92</v>
      </c>
      <c r="F819" s="75">
        <f>'Mono 34,5kv'!T26+'Mono 34,5kv'!U26</f>
        <v>0</v>
      </c>
    </row>
    <row r="820" spans="4:6" hidden="1">
      <c r="F820" s="280">
        <f>SUM(F798:F819)</f>
        <v>0</v>
      </c>
    </row>
    <row r="821" spans="4:6" ht="18.75" hidden="1">
      <c r="E821" s="261" t="s">
        <v>536</v>
      </c>
      <c r="F821" s="281">
        <f>SUM(F822:F843)</f>
        <v>0</v>
      </c>
    </row>
    <row r="822" spans="4:6" hidden="1">
      <c r="E822" s="74" t="s">
        <v>74</v>
      </c>
      <c r="F822" s="75">
        <f>'Mono 34,5kv'!X5+'Mono 34,5kv'!Y5</f>
        <v>0</v>
      </c>
    </row>
    <row r="823" spans="4:6" hidden="1">
      <c r="E823" s="77" t="s">
        <v>75</v>
      </c>
      <c r="F823" s="75">
        <f>'Mono 34,5kv'!X6+'Mono 34,5kv'!Y6</f>
        <v>0</v>
      </c>
    </row>
    <row r="824" spans="4:6" hidden="1">
      <c r="E824" s="74" t="s">
        <v>76</v>
      </c>
      <c r="F824" s="75">
        <f>'Mono 34,5kv'!X7+'Mono 34,5kv'!Y7</f>
        <v>0</v>
      </c>
    </row>
    <row r="825" spans="4:6" hidden="1">
      <c r="E825" s="77" t="s">
        <v>77</v>
      </c>
      <c r="F825" s="75">
        <f>'Mono 34,5kv'!X8+'Mono 34,5kv'!Y8</f>
        <v>0</v>
      </c>
    </row>
    <row r="826" spans="4:6" hidden="1">
      <c r="E826" s="74" t="s">
        <v>100</v>
      </c>
      <c r="F826" s="75">
        <f>'Mono 34,5kv'!X9+'Mono 34,5kv'!Y9</f>
        <v>0</v>
      </c>
    </row>
    <row r="827" spans="4:6" hidden="1">
      <c r="E827" s="77" t="s">
        <v>78</v>
      </c>
      <c r="F827" s="75">
        <f>'Mono 34,5kv'!X10+'Mono 34,5kv'!Y10</f>
        <v>0</v>
      </c>
    </row>
    <row r="828" spans="4:6" hidden="1">
      <c r="E828" s="74" t="s">
        <v>79</v>
      </c>
      <c r="F828" s="75">
        <f>'Mono 34,5kv'!X11+'Mono 34,5kv'!Y11</f>
        <v>0</v>
      </c>
    </row>
    <row r="829" spans="4:6" hidden="1">
      <c r="E829" s="77" t="s">
        <v>80</v>
      </c>
      <c r="F829" s="75">
        <f>'Mono 34,5kv'!X12+'Mono 34,5kv'!Y12</f>
        <v>0</v>
      </c>
    </row>
    <row r="830" spans="4:6" hidden="1">
      <c r="E830" s="74" t="s">
        <v>81</v>
      </c>
      <c r="F830" s="75">
        <f>'Mono 34,5kv'!X13+'Mono 34,5kv'!Y13</f>
        <v>0</v>
      </c>
    </row>
    <row r="831" spans="4:6" hidden="1">
      <c r="E831" s="77" t="s">
        <v>82</v>
      </c>
      <c r="F831" s="75">
        <f>'Mono 34,5kv'!X14+'Mono 34,5kv'!Y14</f>
        <v>0</v>
      </c>
    </row>
    <row r="832" spans="4:6" hidden="1">
      <c r="E832" s="74" t="s">
        <v>83</v>
      </c>
      <c r="F832" s="75">
        <f>'Mono 34,5kv'!X15+'Mono 34,5kv'!Y15</f>
        <v>0</v>
      </c>
    </row>
    <row r="833" spans="4:6" hidden="1">
      <c r="E833" s="77" t="s">
        <v>85</v>
      </c>
      <c r="F833" s="75">
        <f>'Mono 34,5kv'!X16+'Mono 34,5kv'!Y16</f>
        <v>0</v>
      </c>
    </row>
    <row r="834" spans="4:6" hidden="1">
      <c r="E834" s="74" t="s">
        <v>84</v>
      </c>
      <c r="F834" s="75">
        <f>'Mono 34,5kv'!X17+'Mono 34,5kv'!Y17</f>
        <v>0</v>
      </c>
    </row>
    <row r="835" spans="4:6" hidden="1">
      <c r="E835" s="77" t="s">
        <v>86</v>
      </c>
      <c r="F835" s="75">
        <f>'Mono 34,5kv'!X18+'Mono 34,5kv'!Y18</f>
        <v>0</v>
      </c>
    </row>
    <row r="836" spans="4:6" hidden="1">
      <c r="E836" s="74" t="s">
        <v>87</v>
      </c>
      <c r="F836" s="75">
        <f>'Mono 34,5kv'!X19+'Mono 34,5kv'!Y19</f>
        <v>0</v>
      </c>
    </row>
    <row r="837" spans="4:6" hidden="1">
      <c r="E837" s="77" t="s">
        <v>101</v>
      </c>
      <c r="F837" s="75">
        <f>'Mono 34,5kv'!X20+'Mono 34,5kv'!Y20</f>
        <v>0</v>
      </c>
    </row>
    <row r="838" spans="4:6" hidden="1">
      <c r="E838" s="74" t="s">
        <v>88</v>
      </c>
      <c r="F838" s="75">
        <f>'Mono 34,5kv'!X21+'Mono 34,5kv'!Y21</f>
        <v>0</v>
      </c>
    </row>
    <row r="839" spans="4:6" hidden="1">
      <c r="E839" s="77" t="s">
        <v>89</v>
      </c>
      <c r="F839" s="75">
        <f>'Mono 34,5kv'!X22+'Mono 34,5kv'!Y22</f>
        <v>0</v>
      </c>
    </row>
    <row r="840" spans="4:6" hidden="1">
      <c r="E840" s="74" t="s">
        <v>90</v>
      </c>
      <c r="F840" s="75">
        <f>'Mono 34,5kv'!X23+'Mono 34,5kv'!Y23</f>
        <v>0</v>
      </c>
    </row>
    <row r="841" spans="4:6" hidden="1">
      <c r="E841" s="77" t="s">
        <v>93</v>
      </c>
      <c r="F841" s="75">
        <f>'Mono 34,5kv'!X24+'Mono 34,5kv'!Y24</f>
        <v>0</v>
      </c>
    </row>
    <row r="842" spans="4:6" hidden="1">
      <c r="E842" s="74" t="s">
        <v>91</v>
      </c>
      <c r="F842" s="75">
        <f>'Mono 34,5kv'!X25+'Mono 34,5kv'!Y25</f>
        <v>0</v>
      </c>
    </row>
    <row r="843" spans="4:6" hidden="1">
      <c r="E843" s="77" t="s">
        <v>92</v>
      </c>
      <c r="F843" s="75">
        <f>'Mono 34,5kv'!X26+'Mono 34,5kv'!Y26</f>
        <v>0</v>
      </c>
    </row>
    <row r="844" spans="4:6" hidden="1">
      <c r="F844" s="280">
        <f>SUM(F822:F843)</f>
        <v>0</v>
      </c>
    </row>
    <row r="845" spans="4:6" ht="19.5" hidden="1" thickBot="1">
      <c r="D845" s="1689" t="s">
        <v>537</v>
      </c>
      <c r="E845" s="1690"/>
      <c r="F845" s="286">
        <f>SUM(F846:F867)</f>
        <v>0</v>
      </c>
    </row>
    <row r="846" spans="4:6" hidden="1">
      <c r="E846" s="263" t="s">
        <v>74</v>
      </c>
      <c r="F846" s="79">
        <f>'Mono 34,5kv'!AB5</f>
        <v>0</v>
      </c>
    </row>
    <row r="847" spans="4:6" hidden="1">
      <c r="E847" s="77" t="s">
        <v>75</v>
      </c>
      <c r="F847" s="79">
        <f>'Mono 34,5kv'!AB6</f>
        <v>0</v>
      </c>
    </row>
    <row r="848" spans="4:6" hidden="1">
      <c r="E848" s="74" t="s">
        <v>76</v>
      </c>
      <c r="F848" s="79">
        <f>'Mono 34,5kv'!AB7</f>
        <v>0</v>
      </c>
    </row>
    <row r="849" spans="5:6" hidden="1">
      <c r="E849" s="77" t="s">
        <v>77</v>
      </c>
      <c r="F849" s="79">
        <f>'Mono 34,5kv'!AB8</f>
        <v>0</v>
      </c>
    </row>
    <row r="850" spans="5:6" hidden="1">
      <c r="E850" s="74" t="s">
        <v>100</v>
      </c>
      <c r="F850" s="79">
        <f>'Mono 34,5kv'!AB9</f>
        <v>0</v>
      </c>
    </row>
    <row r="851" spans="5:6" hidden="1">
      <c r="E851" s="77" t="s">
        <v>78</v>
      </c>
      <c r="F851" s="79">
        <f>'Mono 34,5kv'!AB10</f>
        <v>0</v>
      </c>
    </row>
    <row r="852" spans="5:6" hidden="1">
      <c r="E852" s="74" t="s">
        <v>79</v>
      </c>
      <c r="F852" s="79">
        <f>'Mono 34,5kv'!AB11</f>
        <v>0</v>
      </c>
    </row>
    <row r="853" spans="5:6" hidden="1">
      <c r="E853" s="77" t="s">
        <v>80</v>
      </c>
      <c r="F853" s="79">
        <f>'Mono 34,5kv'!AB12</f>
        <v>0</v>
      </c>
    </row>
    <row r="854" spans="5:6" hidden="1">
      <c r="E854" s="74" t="s">
        <v>81</v>
      </c>
      <c r="F854" s="79">
        <f>'Mono 34,5kv'!AB13</f>
        <v>0</v>
      </c>
    </row>
    <row r="855" spans="5:6" hidden="1">
      <c r="E855" s="77" t="s">
        <v>82</v>
      </c>
      <c r="F855" s="79">
        <f>'Mono 34,5kv'!AB14</f>
        <v>0</v>
      </c>
    </row>
    <row r="856" spans="5:6" hidden="1">
      <c r="E856" s="74" t="s">
        <v>83</v>
      </c>
      <c r="F856" s="79">
        <f>'Mono 34,5kv'!AB15</f>
        <v>0</v>
      </c>
    </row>
    <row r="857" spans="5:6" hidden="1">
      <c r="E857" s="77" t="s">
        <v>85</v>
      </c>
      <c r="F857" s="79">
        <f>'Mono 34,5kv'!AB16</f>
        <v>0</v>
      </c>
    </row>
    <row r="858" spans="5:6" hidden="1">
      <c r="E858" s="74" t="s">
        <v>84</v>
      </c>
      <c r="F858" s="79">
        <f>'Mono 34,5kv'!AB17</f>
        <v>0</v>
      </c>
    </row>
    <row r="859" spans="5:6" hidden="1">
      <c r="E859" s="77" t="s">
        <v>86</v>
      </c>
      <c r="F859" s="79">
        <f>'Mono 34,5kv'!AB18</f>
        <v>0</v>
      </c>
    </row>
    <row r="860" spans="5:6" hidden="1">
      <c r="E860" s="74" t="s">
        <v>87</v>
      </c>
      <c r="F860" s="79">
        <f>'Mono 34,5kv'!AB19</f>
        <v>0</v>
      </c>
    </row>
    <row r="861" spans="5:6" hidden="1">
      <c r="E861" s="77" t="s">
        <v>101</v>
      </c>
      <c r="F861" s="79">
        <f>'Mono 34,5kv'!AB20</f>
        <v>0</v>
      </c>
    </row>
    <row r="862" spans="5:6" hidden="1">
      <c r="E862" s="74" t="s">
        <v>88</v>
      </c>
      <c r="F862" s="79">
        <f>'Mono 34,5kv'!AB21</f>
        <v>0</v>
      </c>
    </row>
    <row r="863" spans="5:6" hidden="1">
      <c r="E863" s="77" t="s">
        <v>89</v>
      </c>
      <c r="F863" s="79">
        <f>'Mono 34,5kv'!AB22</f>
        <v>0</v>
      </c>
    </row>
    <row r="864" spans="5:6" hidden="1">
      <c r="E864" s="74" t="s">
        <v>90</v>
      </c>
      <c r="F864" s="79">
        <f>'Mono 34,5kv'!AB23</f>
        <v>0</v>
      </c>
    </row>
    <row r="865" spans="5:6" hidden="1">
      <c r="E865" s="77" t="s">
        <v>93</v>
      </c>
      <c r="F865" s="79">
        <f>'Mono 34,5kv'!AB24</f>
        <v>0</v>
      </c>
    </row>
    <row r="866" spans="5:6" hidden="1">
      <c r="E866" s="74" t="s">
        <v>91</v>
      </c>
      <c r="F866" s="79">
        <f>'Mono 34,5kv'!AB25</f>
        <v>0</v>
      </c>
    </row>
    <row r="867" spans="5:6" hidden="1">
      <c r="E867" s="77" t="s">
        <v>92</v>
      </c>
      <c r="F867" s="79">
        <f>'Mono 34,5kv'!AB26</f>
        <v>0</v>
      </c>
    </row>
    <row r="868" spans="5:6" hidden="1">
      <c r="F868" s="278">
        <f>SUM(F846:F867)</f>
        <v>0</v>
      </c>
    </row>
    <row r="869" spans="5:6" ht="19.5" hidden="1" thickBot="1">
      <c r="E869" s="262" t="s">
        <v>538</v>
      </c>
      <c r="F869" s="292">
        <f>SUM(F870:F891)</f>
        <v>0</v>
      </c>
    </row>
    <row r="870" spans="5:6" ht="16.5" hidden="1" thickBot="1">
      <c r="E870" s="32" t="s">
        <v>74</v>
      </c>
      <c r="F870" s="226">
        <f>'Mono 34,5kv'!AE5+'Mono 34,5kv'!AF5</f>
        <v>0</v>
      </c>
    </row>
    <row r="871" spans="5:6" hidden="1">
      <c r="E871" s="30" t="s">
        <v>75</v>
      </c>
      <c r="F871" s="226">
        <f>'Mono 34,5kv'!AE6+'Mono 34,5kv'!AF6</f>
        <v>0</v>
      </c>
    </row>
    <row r="872" spans="5:6" ht="16.5" hidden="1" thickBot="1">
      <c r="E872" s="32" t="s">
        <v>76</v>
      </c>
      <c r="F872" s="226">
        <f>'Mono 34,5kv'!AE7+'Mono 34,5kv'!AF7</f>
        <v>0</v>
      </c>
    </row>
    <row r="873" spans="5:6" hidden="1">
      <c r="E873" s="30" t="s">
        <v>77</v>
      </c>
      <c r="F873" s="226">
        <f>'Mono 34,5kv'!AE8+'Mono 34,5kv'!AF8</f>
        <v>0</v>
      </c>
    </row>
    <row r="874" spans="5:6" ht="16.5" hidden="1" thickBot="1">
      <c r="E874" s="32" t="s">
        <v>100</v>
      </c>
      <c r="F874" s="226">
        <f>'Mono 34,5kv'!AE9+'Mono 34,5kv'!AF9</f>
        <v>0</v>
      </c>
    </row>
    <row r="875" spans="5:6" hidden="1">
      <c r="E875" s="30" t="s">
        <v>78</v>
      </c>
      <c r="F875" s="226">
        <f>'Mono 34,5kv'!AE10+'Mono 34,5kv'!AF10</f>
        <v>0</v>
      </c>
    </row>
    <row r="876" spans="5:6" hidden="1">
      <c r="E876" s="98" t="s">
        <v>79</v>
      </c>
      <c r="F876" s="226">
        <f>'Mono 34,5kv'!AE11+'Mono 34,5kv'!AF11</f>
        <v>0</v>
      </c>
    </row>
    <row r="877" spans="5:6" ht="16.5" hidden="1" thickBot="1">
      <c r="E877" s="33" t="s">
        <v>80</v>
      </c>
      <c r="F877" s="226">
        <f>'Mono 34,5kv'!AE12+'Mono 34,5kv'!AF12</f>
        <v>0</v>
      </c>
    </row>
    <row r="878" spans="5:6" ht="16.5" hidden="1" thickBot="1">
      <c r="E878" s="28" t="s">
        <v>81</v>
      </c>
      <c r="F878" s="226">
        <f>'Mono 34,5kv'!AE13+'Mono 34,5kv'!AF13</f>
        <v>0</v>
      </c>
    </row>
    <row r="879" spans="5:6" ht="16.5" hidden="1" thickBot="1">
      <c r="E879" s="33" t="s">
        <v>82</v>
      </c>
      <c r="F879" s="226">
        <f>'Mono 34,5kv'!AE14+'Mono 34,5kv'!AF14</f>
        <v>0</v>
      </c>
    </row>
    <row r="880" spans="5:6" ht="16.5" hidden="1" thickBot="1">
      <c r="E880" s="32" t="s">
        <v>83</v>
      </c>
      <c r="F880" s="226">
        <f>'Mono 34,5kv'!AE15+'Mono 34,5kv'!AF15</f>
        <v>0</v>
      </c>
    </row>
    <row r="881" spans="4:6" ht="16.5" hidden="1" thickBot="1">
      <c r="E881" s="33" t="s">
        <v>85</v>
      </c>
      <c r="F881" s="226">
        <f>'Mono 34,5kv'!AE16+'Mono 34,5kv'!AF16</f>
        <v>0</v>
      </c>
    </row>
    <row r="882" spans="4:6" ht="16.5" hidden="1" thickBot="1">
      <c r="E882" s="32" t="s">
        <v>84</v>
      </c>
      <c r="F882" s="226">
        <f>'Mono 34,5kv'!AE17+'Mono 34,5kv'!AF17</f>
        <v>0</v>
      </c>
    </row>
    <row r="883" spans="4:6" ht="16.5" hidden="1" thickBot="1">
      <c r="E883" s="33" t="s">
        <v>86</v>
      </c>
      <c r="F883" s="226">
        <f>'Mono 34,5kv'!AE18+'Mono 34,5kv'!AF18</f>
        <v>0</v>
      </c>
    </row>
    <row r="884" spans="4:6" ht="16.5" hidden="1" thickBot="1">
      <c r="E884" s="32" t="s">
        <v>87</v>
      </c>
      <c r="F884" s="226">
        <f>'Mono 34,5kv'!AE19+'Mono 34,5kv'!AF19</f>
        <v>0</v>
      </c>
    </row>
    <row r="885" spans="4:6" ht="16.5" hidden="1" thickBot="1">
      <c r="E885" s="33" t="s">
        <v>101</v>
      </c>
      <c r="F885" s="226">
        <f>'Mono 34,5kv'!AE20+'Mono 34,5kv'!AF20</f>
        <v>0</v>
      </c>
    </row>
    <row r="886" spans="4:6" ht="16.5" hidden="1" thickBot="1">
      <c r="E886" s="32" t="s">
        <v>88</v>
      </c>
      <c r="F886" s="226">
        <f>'Mono 34,5kv'!AE21+'Mono 34,5kv'!AF21</f>
        <v>0</v>
      </c>
    </row>
    <row r="887" spans="4:6" hidden="1">
      <c r="E887" s="30" t="s">
        <v>89</v>
      </c>
      <c r="F887" s="226">
        <f>'Mono 34,5kv'!AE22+'Mono 34,5kv'!AF22</f>
        <v>0</v>
      </c>
    </row>
    <row r="888" spans="4:6" ht="16.5" hidden="1" thickBot="1">
      <c r="E888" s="32" t="s">
        <v>90</v>
      </c>
      <c r="F888" s="226">
        <f>'Mono 34,5kv'!AE23+'Mono 34,5kv'!AF23</f>
        <v>0</v>
      </c>
    </row>
    <row r="889" spans="4:6" ht="16.5" hidden="1" thickBot="1">
      <c r="E889" s="33" t="s">
        <v>93</v>
      </c>
      <c r="F889" s="226">
        <f>'Mono 34,5kv'!AE24+'Mono 34,5kv'!AF24</f>
        <v>0</v>
      </c>
    </row>
    <row r="890" spans="4:6" hidden="1">
      <c r="E890" s="34" t="s">
        <v>91</v>
      </c>
      <c r="F890" s="226">
        <f>'Mono 34,5kv'!AE25+'Mono 34,5kv'!AF25</f>
        <v>0</v>
      </c>
    </row>
    <row r="891" spans="4:6" hidden="1">
      <c r="E891" s="77" t="s">
        <v>92</v>
      </c>
      <c r="F891" s="226">
        <f>'Mono 34,5kv'!AE26+'Mono 34,5kv'!AF26</f>
        <v>0</v>
      </c>
    </row>
    <row r="892" spans="4:6" hidden="1">
      <c r="F892" s="280">
        <f>SUM(F870:F891)</f>
        <v>0</v>
      </c>
    </row>
    <row r="893" spans="4:6" ht="19.5" hidden="1" thickBot="1">
      <c r="D893" s="1689" t="s">
        <v>539</v>
      </c>
      <c r="E893" s="1690"/>
      <c r="F893" s="286">
        <f>SUM(F894:F915)</f>
        <v>0</v>
      </c>
    </row>
    <row r="894" spans="4:6" ht="16.5" hidden="1" thickBot="1">
      <c r="E894" s="28" t="s">
        <v>74</v>
      </c>
      <c r="F894" s="79">
        <f>'Mono 34,5kv'!AI5</f>
        <v>0</v>
      </c>
    </row>
    <row r="895" spans="4:6" hidden="1">
      <c r="E895" s="30" t="s">
        <v>75</v>
      </c>
      <c r="F895" s="79">
        <f>'Mono 34,5kv'!AI6</f>
        <v>0</v>
      </c>
    </row>
    <row r="896" spans="4:6" ht="16.5" hidden="1" thickBot="1">
      <c r="E896" s="32" t="s">
        <v>76</v>
      </c>
      <c r="F896" s="79">
        <f>'Mono 34,5kv'!AI7</f>
        <v>0</v>
      </c>
    </row>
    <row r="897" spans="5:6" hidden="1">
      <c r="E897" s="30" t="s">
        <v>77</v>
      </c>
      <c r="F897" s="79">
        <f>'Mono 34,5kv'!AI8</f>
        <v>0</v>
      </c>
    </row>
    <row r="898" spans="5:6" ht="16.5" hidden="1" thickBot="1">
      <c r="E898" s="32" t="s">
        <v>100</v>
      </c>
      <c r="F898" s="79">
        <f>'Mono 34,5kv'!AI9</f>
        <v>0</v>
      </c>
    </row>
    <row r="899" spans="5:6" hidden="1">
      <c r="E899" s="30" t="s">
        <v>78</v>
      </c>
      <c r="F899" s="79">
        <f>'Mono 34,5kv'!AI10</f>
        <v>0</v>
      </c>
    </row>
    <row r="900" spans="5:6" hidden="1">
      <c r="E900" s="98" t="s">
        <v>79</v>
      </c>
      <c r="F900" s="79">
        <f>'Mono 34,5kv'!AI11</f>
        <v>0</v>
      </c>
    </row>
    <row r="901" spans="5:6" ht="16.5" hidden="1" thickBot="1">
      <c r="E901" s="33" t="s">
        <v>80</v>
      </c>
      <c r="F901" s="79">
        <f>'Mono 34,5kv'!AI12</f>
        <v>0</v>
      </c>
    </row>
    <row r="902" spans="5:6" ht="16.5" hidden="1" thickBot="1">
      <c r="E902" s="28" t="s">
        <v>81</v>
      </c>
      <c r="F902" s="79">
        <f>'Mono 34,5kv'!AI13</f>
        <v>0</v>
      </c>
    </row>
    <row r="903" spans="5:6" ht="16.5" hidden="1" thickBot="1">
      <c r="E903" s="33" t="s">
        <v>82</v>
      </c>
      <c r="F903" s="79">
        <f>'Mono 34,5kv'!AI14</f>
        <v>0</v>
      </c>
    </row>
    <row r="904" spans="5:6" ht="16.5" hidden="1" thickBot="1">
      <c r="E904" s="32" t="s">
        <v>83</v>
      </c>
      <c r="F904" s="79">
        <f>'Mono 34,5kv'!AI15</f>
        <v>0</v>
      </c>
    </row>
    <row r="905" spans="5:6" ht="16.5" hidden="1" thickBot="1">
      <c r="E905" s="33" t="s">
        <v>85</v>
      </c>
      <c r="F905" s="79">
        <f>'Mono 34,5kv'!AI16</f>
        <v>0</v>
      </c>
    </row>
    <row r="906" spans="5:6" ht="16.5" hidden="1" thickBot="1">
      <c r="E906" s="32" t="s">
        <v>84</v>
      </c>
      <c r="F906" s="79">
        <f>'Mono 34,5kv'!AI17</f>
        <v>0</v>
      </c>
    </row>
    <row r="907" spans="5:6" ht="16.5" hidden="1" thickBot="1">
      <c r="E907" s="33" t="s">
        <v>86</v>
      </c>
      <c r="F907" s="79">
        <f>'Mono 34,5kv'!AI18</f>
        <v>0</v>
      </c>
    </row>
    <row r="908" spans="5:6" ht="16.5" hidden="1" thickBot="1">
      <c r="E908" s="32" t="s">
        <v>87</v>
      </c>
      <c r="F908" s="79">
        <f>'Mono 34,5kv'!AI19</f>
        <v>0</v>
      </c>
    </row>
    <row r="909" spans="5:6" ht="16.5" hidden="1" thickBot="1">
      <c r="E909" s="33" t="s">
        <v>101</v>
      </c>
      <c r="F909" s="79">
        <f>'Mono 34,5kv'!AI20</f>
        <v>0</v>
      </c>
    </row>
    <row r="910" spans="5:6" ht="16.5" hidden="1" thickBot="1">
      <c r="E910" s="32" t="s">
        <v>88</v>
      </c>
      <c r="F910" s="79">
        <f>'Mono 34,5kv'!AI21</f>
        <v>0</v>
      </c>
    </row>
    <row r="911" spans="5:6" hidden="1">
      <c r="E911" s="30" t="s">
        <v>89</v>
      </c>
      <c r="F911" s="79">
        <f>'Mono 34,5kv'!AI22</f>
        <v>0</v>
      </c>
    </row>
    <row r="912" spans="5:6" ht="16.5" hidden="1" thickBot="1">
      <c r="E912" s="32" t="s">
        <v>90</v>
      </c>
      <c r="F912" s="79">
        <f>'Mono 34,5kv'!AI23</f>
        <v>0</v>
      </c>
    </row>
    <row r="913" spans="5:6" hidden="1">
      <c r="E913" s="134" t="s">
        <v>93</v>
      </c>
      <c r="F913" s="79">
        <f>'Mono 34,5kv'!AI24</f>
        <v>0</v>
      </c>
    </row>
    <row r="914" spans="5:6" hidden="1">
      <c r="E914" s="74" t="s">
        <v>91</v>
      </c>
      <c r="F914" s="79">
        <f>'Mono 34,5kv'!AI25</f>
        <v>0</v>
      </c>
    </row>
    <row r="915" spans="5:6" hidden="1">
      <c r="E915" s="77" t="s">
        <v>92</v>
      </c>
      <c r="F915" s="79">
        <f>'Mono 34,5kv'!AI26</f>
        <v>0</v>
      </c>
    </row>
    <row r="916" spans="5:6" hidden="1">
      <c r="F916" s="280">
        <f>SUM(F894:F915)</f>
        <v>0</v>
      </c>
    </row>
    <row r="917" spans="5:6" ht="19.5" hidden="1" thickBot="1">
      <c r="E917" s="265" t="s">
        <v>130</v>
      </c>
      <c r="F917" s="291">
        <f>SUM(F918:F939)</f>
        <v>0</v>
      </c>
    </row>
    <row r="918" spans="5:6" hidden="1">
      <c r="E918" s="74" t="s">
        <v>74</v>
      </c>
      <c r="F918" s="75">
        <f>'Mono 34,5kv'!AL5+'Mono 34,5kv'!AM5</f>
        <v>0</v>
      </c>
    </row>
    <row r="919" spans="5:6" hidden="1">
      <c r="E919" s="77" t="s">
        <v>75</v>
      </c>
      <c r="F919" s="75">
        <f>'Mono 34,5kv'!AL6+'Mono 34,5kv'!AM6</f>
        <v>0</v>
      </c>
    </row>
    <row r="920" spans="5:6" hidden="1">
      <c r="E920" s="74" t="s">
        <v>76</v>
      </c>
      <c r="F920" s="75">
        <f>'Mono 34,5kv'!AL7+'Mono 34,5kv'!AM7</f>
        <v>0</v>
      </c>
    </row>
    <row r="921" spans="5:6" hidden="1">
      <c r="E921" s="77" t="s">
        <v>77</v>
      </c>
      <c r="F921" s="75">
        <f>'Mono 34,5kv'!AL8+'Mono 34,5kv'!AM8</f>
        <v>0</v>
      </c>
    </row>
    <row r="922" spans="5:6" hidden="1">
      <c r="E922" s="74" t="s">
        <v>100</v>
      </c>
      <c r="F922" s="75">
        <f>'Mono 34,5kv'!AL9+'Mono 34,5kv'!AM9</f>
        <v>0</v>
      </c>
    </row>
    <row r="923" spans="5:6" hidden="1">
      <c r="E923" s="77" t="s">
        <v>78</v>
      </c>
      <c r="F923" s="75">
        <f>'Mono 34,5kv'!AL10+'Mono 34,5kv'!AM10</f>
        <v>0</v>
      </c>
    </row>
    <row r="924" spans="5:6" hidden="1">
      <c r="E924" s="74" t="s">
        <v>79</v>
      </c>
      <c r="F924" s="75">
        <f>'Mono 34,5kv'!AL11+'Mono 34,5kv'!AM11</f>
        <v>0</v>
      </c>
    </row>
    <row r="925" spans="5:6" hidden="1">
      <c r="E925" s="77" t="s">
        <v>80</v>
      </c>
      <c r="F925" s="75">
        <f>'Mono 34,5kv'!AL12+'Mono 34,5kv'!AM12</f>
        <v>0</v>
      </c>
    </row>
    <row r="926" spans="5:6" hidden="1">
      <c r="E926" s="74" t="s">
        <v>81</v>
      </c>
      <c r="F926" s="75">
        <f>'Mono 34,5kv'!AL13+'Mono 34,5kv'!AM13</f>
        <v>0</v>
      </c>
    </row>
    <row r="927" spans="5:6" hidden="1">
      <c r="E927" s="77" t="s">
        <v>82</v>
      </c>
      <c r="F927" s="75">
        <f>'Mono 34,5kv'!AL14+'Mono 34,5kv'!AM14</f>
        <v>0</v>
      </c>
    </row>
    <row r="928" spans="5:6" hidden="1">
      <c r="E928" s="74" t="s">
        <v>83</v>
      </c>
      <c r="F928" s="75">
        <f>'Mono 34,5kv'!AL15+'Mono 34,5kv'!AM15</f>
        <v>0</v>
      </c>
    </row>
    <row r="929" spans="4:6" hidden="1">
      <c r="E929" s="77" t="s">
        <v>85</v>
      </c>
      <c r="F929" s="75">
        <f>'Mono 34,5kv'!AL16+'Mono 34,5kv'!AM16</f>
        <v>0</v>
      </c>
    </row>
    <row r="930" spans="4:6" hidden="1">
      <c r="E930" s="74" t="s">
        <v>84</v>
      </c>
      <c r="F930" s="75">
        <f>'Mono 34,5kv'!AL17+'Mono 34,5kv'!AM17</f>
        <v>0</v>
      </c>
    </row>
    <row r="931" spans="4:6" hidden="1">
      <c r="E931" s="77" t="s">
        <v>86</v>
      </c>
      <c r="F931" s="75">
        <f>'Mono 34,5kv'!AL18+'Mono 34,5kv'!AM18</f>
        <v>0</v>
      </c>
    </row>
    <row r="932" spans="4:6" hidden="1">
      <c r="E932" s="74" t="s">
        <v>87</v>
      </c>
      <c r="F932" s="75">
        <f>'Mono 34,5kv'!AL19+'Mono 34,5kv'!AM19</f>
        <v>0</v>
      </c>
    </row>
    <row r="933" spans="4:6" hidden="1">
      <c r="E933" s="77" t="s">
        <v>101</v>
      </c>
      <c r="F933" s="75">
        <f>'Mono 34,5kv'!AL20+'Mono 34,5kv'!AM20</f>
        <v>0</v>
      </c>
    </row>
    <row r="934" spans="4:6" hidden="1">
      <c r="E934" s="74" t="s">
        <v>88</v>
      </c>
      <c r="F934" s="75">
        <f>'Mono 34,5kv'!AL21+'Mono 34,5kv'!AM21</f>
        <v>0</v>
      </c>
    </row>
    <row r="935" spans="4:6" hidden="1">
      <c r="E935" s="77" t="s">
        <v>89</v>
      </c>
      <c r="F935" s="75">
        <f>'Mono 34,5kv'!AL22+'Mono 34,5kv'!AM22</f>
        <v>0</v>
      </c>
    </row>
    <row r="936" spans="4:6" hidden="1">
      <c r="E936" s="74" t="s">
        <v>90</v>
      </c>
      <c r="F936" s="75">
        <f>'Mono 34,5kv'!AL23+'Mono 34,5kv'!AM23</f>
        <v>0</v>
      </c>
    </row>
    <row r="937" spans="4:6" hidden="1">
      <c r="E937" s="77" t="s">
        <v>93</v>
      </c>
      <c r="F937" s="75">
        <f>'Mono 34,5kv'!AL24+'Mono 34,5kv'!AM24</f>
        <v>0</v>
      </c>
    </row>
    <row r="938" spans="4:6" hidden="1">
      <c r="E938" s="74" t="s">
        <v>91</v>
      </c>
      <c r="F938" s="75">
        <f>'Mono 34,5kv'!AL25+'Mono 34,5kv'!AM25</f>
        <v>0</v>
      </c>
    </row>
    <row r="939" spans="4:6" hidden="1">
      <c r="E939" s="133" t="s">
        <v>92</v>
      </c>
      <c r="F939" s="75">
        <f>'Mono 34,5kv'!AL26+'Mono 34,5kv'!AM26</f>
        <v>0</v>
      </c>
    </row>
    <row r="940" spans="4:6" hidden="1">
      <c r="F940" s="280">
        <f>SUM(F918:F939)</f>
        <v>0</v>
      </c>
    </row>
    <row r="941" spans="4:6" ht="19.5" hidden="1" thickBot="1">
      <c r="D941" s="266" t="s">
        <v>540</v>
      </c>
      <c r="E941" s="264"/>
      <c r="F941" s="286">
        <f>SUM(F942:F963)</f>
        <v>0</v>
      </c>
    </row>
    <row r="942" spans="4:6" hidden="1">
      <c r="D942" s="29"/>
      <c r="E942" s="263" t="s">
        <v>74</v>
      </c>
      <c r="F942" s="79">
        <f>'Mono 34,5kv'!AP5</f>
        <v>0</v>
      </c>
    </row>
    <row r="943" spans="4:6" hidden="1">
      <c r="D943" s="31"/>
      <c r="E943" s="77" t="s">
        <v>75</v>
      </c>
      <c r="F943" s="79">
        <f>'Mono 34,5kv'!AP6</f>
        <v>0</v>
      </c>
    </row>
    <row r="944" spans="4:6" hidden="1">
      <c r="D944" s="31"/>
      <c r="E944" s="74" t="s">
        <v>76</v>
      </c>
      <c r="F944" s="79">
        <f>'Mono 34,5kv'!AP7</f>
        <v>0</v>
      </c>
    </row>
    <row r="945" spans="4:6" hidden="1">
      <c r="D945" s="31"/>
      <c r="E945" s="77" t="s">
        <v>77</v>
      </c>
      <c r="F945" s="79">
        <f>'Mono 34,5kv'!AP8</f>
        <v>0</v>
      </c>
    </row>
    <row r="946" spans="4:6" hidden="1">
      <c r="D946" s="31"/>
      <c r="E946" s="74" t="s">
        <v>100</v>
      </c>
      <c r="F946" s="79">
        <f>'Mono 34,5kv'!AP9</f>
        <v>0</v>
      </c>
    </row>
    <row r="947" spans="4:6" hidden="1">
      <c r="D947" s="31"/>
      <c r="E947" s="77" t="s">
        <v>78</v>
      </c>
      <c r="F947" s="79">
        <f>'Mono 34,5kv'!AP10</f>
        <v>0</v>
      </c>
    </row>
    <row r="948" spans="4:6" hidden="1">
      <c r="D948" s="31"/>
      <c r="E948" s="74" t="s">
        <v>79</v>
      </c>
      <c r="F948" s="79">
        <f>'Mono 34,5kv'!AP11</f>
        <v>0</v>
      </c>
    </row>
    <row r="949" spans="4:6" hidden="1">
      <c r="D949" s="31"/>
      <c r="E949" s="77" t="s">
        <v>80</v>
      </c>
      <c r="F949" s="79">
        <f>'Mono 34,5kv'!AP12</f>
        <v>0</v>
      </c>
    </row>
    <row r="950" spans="4:6" hidden="1">
      <c r="D950" s="31"/>
      <c r="E950" s="74" t="s">
        <v>81</v>
      </c>
      <c r="F950" s="79">
        <f>'Mono 34,5kv'!AP13</f>
        <v>0</v>
      </c>
    </row>
    <row r="951" spans="4:6" hidden="1">
      <c r="D951" s="31"/>
      <c r="E951" s="77" t="s">
        <v>82</v>
      </c>
      <c r="F951" s="79">
        <f>'Mono 34,5kv'!AP14</f>
        <v>0</v>
      </c>
    </row>
    <row r="952" spans="4:6" hidden="1">
      <c r="D952" s="31"/>
      <c r="E952" s="74" t="s">
        <v>83</v>
      </c>
      <c r="F952" s="79">
        <f>'Mono 34,5kv'!AP15</f>
        <v>0</v>
      </c>
    </row>
    <row r="953" spans="4:6" hidden="1">
      <c r="D953" s="31"/>
      <c r="E953" s="77" t="s">
        <v>85</v>
      </c>
      <c r="F953" s="79">
        <f>'Mono 34,5kv'!AP16</f>
        <v>0</v>
      </c>
    </row>
    <row r="954" spans="4:6" hidden="1">
      <c r="D954" s="31"/>
      <c r="E954" s="74" t="s">
        <v>84</v>
      </c>
      <c r="F954" s="79">
        <f>'Mono 34,5kv'!AP17</f>
        <v>0</v>
      </c>
    </row>
    <row r="955" spans="4:6" hidden="1">
      <c r="D955" s="31"/>
      <c r="E955" s="77" t="s">
        <v>86</v>
      </c>
      <c r="F955" s="79">
        <f>'Mono 34,5kv'!AP18</f>
        <v>0</v>
      </c>
    </row>
    <row r="956" spans="4:6" hidden="1">
      <c r="D956" s="31"/>
      <c r="E956" s="74" t="s">
        <v>87</v>
      </c>
      <c r="F956" s="79">
        <f>'Mono 34,5kv'!AP19</f>
        <v>0</v>
      </c>
    </row>
    <row r="957" spans="4:6" hidden="1">
      <c r="D957" s="31"/>
      <c r="E957" s="77" t="s">
        <v>101</v>
      </c>
      <c r="F957" s="79">
        <f>'Mono 34,5kv'!AP20</f>
        <v>0</v>
      </c>
    </row>
    <row r="958" spans="4:6" hidden="1">
      <c r="D958" s="31"/>
      <c r="E958" s="74" t="s">
        <v>88</v>
      </c>
      <c r="F958" s="79">
        <f>'Mono 34,5kv'!AP21</f>
        <v>0</v>
      </c>
    </row>
    <row r="959" spans="4:6" hidden="1">
      <c r="D959" s="31"/>
      <c r="E959" s="77" t="s">
        <v>89</v>
      </c>
      <c r="F959" s="79">
        <f>'Mono 34,5kv'!AP22</f>
        <v>0</v>
      </c>
    </row>
    <row r="960" spans="4:6" hidden="1">
      <c r="D960" s="31"/>
      <c r="E960" s="74" t="s">
        <v>90</v>
      </c>
      <c r="F960" s="79">
        <f>'Mono 34,5kv'!AP23</f>
        <v>0</v>
      </c>
    </row>
    <row r="961" spans="4:6" hidden="1">
      <c r="D961" s="31"/>
      <c r="E961" s="77" t="s">
        <v>93</v>
      </c>
      <c r="F961" s="79">
        <f>'Mono 34,5kv'!AP24</f>
        <v>0</v>
      </c>
    </row>
    <row r="962" spans="4:6" hidden="1">
      <c r="D962" s="31"/>
      <c r="E962" s="74" t="s">
        <v>91</v>
      </c>
      <c r="F962" s="79">
        <f>'Mono 34,5kv'!AP25</f>
        <v>0</v>
      </c>
    </row>
    <row r="963" spans="4:6" hidden="1">
      <c r="D963" s="31"/>
      <c r="E963" s="133" t="s">
        <v>92</v>
      </c>
      <c r="F963" s="79">
        <f>'Mono 34,5kv'!AP26</f>
        <v>0</v>
      </c>
    </row>
    <row r="964" spans="4:6" hidden="1">
      <c r="F964" s="280">
        <f>SUM(F942:F963)</f>
        <v>0</v>
      </c>
    </row>
    <row r="965" spans="4:6" ht="18.75" hidden="1">
      <c r="E965" s="267" t="s">
        <v>94</v>
      </c>
      <c r="F965" s="290">
        <f>SUM(F966:F987)</f>
        <v>0</v>
      </c>
    </row>
    <row r="966" spans="4:6" hidden="1">
      <c r="E966" s="74" t="s">
        <v>74</v>
      </c>
      <c r="F966" s="75">
        <f>'Mono 34,5kv'!AS5+'Mono 34,5kv'!AT5</f>
        <v>0</v>
      </c>
    </row>
    <row r="967" spans="4:6" hidden="1">
      <c r="E967" s="77" t="s">
        <v>75</v>
      </c>
      <c r="F967" s="75">
        <f>'Mono 34,5kv'!AS6+'Mono 34,5kv'!AT6</f>
        <v>0</v>
      </c>
    </row>
    <row r="968" spans="4:6" hidden="1">
      <c r="E968" s="74" t="s">
        <v>76</v>
      </c>
      <c r="F968" s="75">
        <f>'Mono 34,5kv'!AS7+'Mono 34,5kv'!AT7</f>
        <v>0</v>
      </c>
    </row>
    <row r="969" spans="4:6" hidden="1">
      <c r="E969" s="77" t="s">
        <v>77</v>
      </c>
      <c r="F969" s="75">
        <f>'Mono 34,5kv'!AS8+'Mono 34,5kv'!AT8</f>
        <v>0</v>
      </c>
    </row>
    <row r="970" spans="4:6" hidden="1">
      <c r="E970" s="74" t="s">
        <v>100</v>
      </c>
      <c r="F970" s="75">
        <f>'Mono 34,5kv'!AS9+'Mono 34,5kv'!AT9</f>
        <v>0</v>
      </c>
    </row>
    <row r="971" spans="4:6" hidden="1">
      <c r="E971" s="77" t="s">
        <v>78</v>
      </c>
      <c r="F971" s="75">
        <f>'Mono 34,5kv'!AS10+'Mono 34,5kv'!AT10</f>
        <v>0</v>
      </c>
    </row>
    <row r="972" spans="4:6" hidden="1">
      <c r="E972" s="74" t="s">
        <v>79</v>
      </c>
      <c r="F972" s="75">
        <f>'Mono 34,5kv'!AS11+'Mono 34,5kv'!AT11</f>
        <v>0</v>
      </c>
    </row>
    <row r="973" spans="4:6" hidden="1">
      <c r="E973" s="77" t="s">
        <v>80</v>
      </c>
      <c r="F973" s="75">
        <f>'Mono 34,5kv'!AS12+'Mono 34,5kv'!AT12</f>
        <v>0</v>
      </c>
    </row>
    <row r="974" spans="4:6" hidden="1">
      <c r="E974" s="74" t="s">
        <v>81</v>
      </c>
      <c r="F974" s="75">
        <f>'Mono 34,5kv'!AS13+'Mono 34,5kv'!AT13</f>
        <v>0</v>
      </c>
    </row>
    <row r="975" spans="4:6" hidden="1">
      <c r="E975" s="77" t="s">
        <v>82</v>
      </c>
      <c r="F975" s="75">
        <f>'Mono 34,5kv'!AS14+'Mono 34,5kv'!AT14</f>
        <v>0</v>
      </c>
    </row>
    <row r="976" spans="4:6" hidden="1">
      <c r="E976" s="74" t="s">
        <v>83</v>
      </c>
      <c r="F976" s="75">
        <f>'Mono 34,5kv'!AS15+'Mono 34,5kv'!AT15</f>
        <v>0</v>
      </c>
    </row>
    <row r="977" spans="4:19" hidden="1">
      <c r="E977" s="77" t="s">
        <v>85</v>
      </c>
      <c r="F977" s="75">
        <f>'Mono 34,5kv'!AS16+'Mono 34,5kv'!AT16</f>
        <v>0</v>
      </c>
    </row>
    <row r="978" spans="4:19" hidden="1">
      <c r="E978" s="74" t="s">
        <v>84</v>
      </c>
      <c r="F978" s="75">
        <f>'Mono 34,5kv'!AS17+'Mono 34,5kv'!AT17</f>
        <v>0</v>
      </c>
    </row>
    <row r="979" spans="4:19" hidden="1">
      <c r="E979" s="77" t="s">
        <v>86</v>
      </c>
      <c r="F979" s="75">
        <f>'Mono 34,5kv'!AS18+'Mono 34,5kv'!AT18</f>
        <v>0</v>
      </c>
    </row>
    <row r="980" spans="4:19" hidden="1">
      <c r="E980" s="74" t="s">
        <v>87</v>
      </c>
      <c r="F980" s="75">
        <f>'Mono 34,5kv'!AS19+'Mono 34,5kv'!AT19</f>
        <v>0</v>
      </c>
    </row>
    <row r="981" spans="4:19" hidden="1">
      <c r="E981" s="77" t="s">
        <v>101</v>
      </c>
      <c r="F981" s="75">
        <f>'Mono 34,5kv'!AS20+'Mono 34,5kv'!AT20</f>
        <v>0</v>
      </c>
    </row>
    <row r="982" spans="4:19" hidden="1">
      <c r="E982" s="74" t="s">
        <v>88</v>
      </c>
      <c r="F982" s="75">
        <f>'Mono 34,5kv'!AS21+'Mono 34,5kv'!AT21</f>
        <v>0</v>
      </c>
    </row>
    <row r="983" spans="4:19" hidden="1">
      <c r="E983" s="77" t="s">
        <v>89</v>
      </c>
      <c r="F983" s="75">
        <f>'Mono 34,5kv'!AS22+'Mono 34,5kv'!AT22</f>
        <v>0</v>
      </c>
    </row>
    <row r="984" spans="4:19" hidden="1">
      <c r="E984" s="74" t="s">
        <v>90</v>
      </c>
      <c r="F984" s="75">
        <f>'Mono 34,5kv'!AS23+'Mono 34,5kv'!AT23</f>
        <v>0</v>
      </c>
    </row>
    <row r="985" spans="4:19" hidden="1">
      <c r="E985" s="77" t="s">
        <v>93</v>
      </c>
      <c r="F985" s="75">
        <f>'Mono 34,5kv'!AS24+'Mono 34,5kv'!AT24</f>
        <v>0</v>
      </c>
    </row>
    <row r="986" spans="4:19" hidden="1">
      <c r="E986" s="74" t="s">
        <v>91</v>
      </c>
      <c r="F986" s="75">
        <f>'Mono 34,5kv'!AS25+'Mono 34,5kv'!AT25</f>
        <v>0</v>
      </c>
    </row>
    <row r="987" spans="4:19" hidden="1">
      <c r="E987" s="133" t="s">
        <v>92</v>
      </c>
      <c r="F987" s="75">
        <f>'Mono 34,5kv'!AS26+'Mono 34,5kv'!AT26</f>
        <v>0</v>
      </c>
    </row>
    <row r="988" spans="4:19" hidden="1">
      <c r="F988" s="280">
        <f>SUM(F966:F987)</f>
        <v>0</v>
      </c>
    </row>
    <row r="989" spans="4:19" ht="19.5" hidden="1" thickBot="1">
      <c r="D989" s="266" t="s">
        <v>541</v>
      </c>
      <c r="E989" s="264"/>
      <c r="F989" s="286">
        <f>SUM(F990:F1011)</f>
        <v>0</v>
      </c>
      <c r="J989" s="93"/>
      <c r="M989" s="93"/>
      <c r="O989" s="93"/>
      <c r="S989" s="92"/>
    </row>
    <row r="990" spans="4:19" hidden="1">
      <c r="E990" s="263" t="s">
        <v>74</v>
      </c>
      <c r="F990" s="79">
        <f>'Mono 34,5kv'!AW5</f>
        <v>0</v>
      </c>
      <c r="J990" s="29"/>
      <c r="M990" s="29"/>
      <c r="O990" s="29"/>
      <c r="S990" s="29"/>
    </row>
    <row r="991" spans="4:19" hidden="1">
      <c r="E991" s="77" t="s">
        <v>75</v>
      </c>
      <c r="F991" s="79">
        <f>'Mono 34,5kv'!AW6</f>
        <v>0</v>
      </c>
      <c r="J991" s="31"/>
      <c r="M991" s="31"/>
      <c r="O991" s="31"/>
      <c r="S991" s="31"/>
    </row>
    <row r="992" spans="4:19" hidden="1">
      <c r="E992" s="74" t="s">
        <v>76</v>
      </c>
      <c r="F992" s="79">
        <f>'Mono 34,5kv'!AW7</f>
        <v>0</v>
      </c>
      <c r="J992" s="31"/>
      <c r="M992" s="31"/>
      <c r="O992" s="31"/>
      <c r="S992" s="31"/>
    </row>
    <row r="993" spans="5:19" hidden="1">
      <c r="E993" s="77" t="s">
        <v>77</v>
      </c>
      <c r="F993" s="79">
        <f>'Mono 34,5kv'!AW8</f>
        <v>0</v>
      </c>
      <c r="J993" s="31"/>
      <c r="M993" s="31"/>
      <c r="O993" s="31"/>
      <c r="S993" s="31"/>
    </row>
    <row r="994" spans="5:19" hidden="1">
      <c r="E994" s="74" t="s">
        <v>100</v>
      </c>
      <c r="F994" s="79">
        <f>'Mono 34,5kv'!AW9</f>
        <v>0</v>
      </c>
      <c r="J994" s="31"/>
      <c r="M994" s="31"/>
      <c r="O994" s="31"/>
      <c r="S994" s="31"/>
    </row>
    <row r="995" spans="5:19" hidden="1">
      <c r="E995" s="77" t="s">
        <v>78</v>
      </c>
      <c r="F995" s="79">
        <f>'Mono 34,5kv'!AW10</f>
        <v>0</v>
      </c>
      <c r="J995" s="31"/>
      <c r="M995" s="31"/>
      <c r="O995" s="31"/>
      <c r="S995" s="31"/>
    </row>
    <row r="996" spans="5:19" hidden="1">
      <c r="E996" s="74" t="s">
        <v>79</v>
      </c>
      <c r="F996" s="79">
        <f>'Mono 34,5kv'!AW11</f>
        <v>0</v>
      </c>
      <c r="J996" s="31"/>
      <c r="M996" s="31"/>
      <c r="O996" s="31"/>
      <c r="S996" s="31"/>
    </row>
    <row r="997" spans="5:19" hidden="1">
      <c r="E997" s="77" t="s">
        <v>80</v>
      </c>
      <c r="F997" s="79">
        <f>'Mono 34,5kv'!AW12</f>
        <v>0</v>
      </c>
      <c r="J997" s="31"/>
      <c r="M997" s="31"/>
      <c r="O997" s="31"/>
      <c r="S997" s="31"/>
    </row>
    <row r="998" spans="5:19" hidden="1">
      <c r="E998" s="74" t="s">
        <v>81</v>
      </c>
      <c r="F998" s="79">
        <f>'Mono 34,5kv'!AW13</f>
        <v>0</v>
      </c>
      <c r="J998" s="31"/>
      <c r="M998" s="31"/>
      <c r="O998" s="31"/>
      <c r="S998" s="31"/>
    </row>
    <row r="999" spans="5:19" hidden="1">
      <c r="E999" s="77" t="s">
        <v>82</v>
      </c>
      <c r="F999" s="79">
        <f>'Mono 34,5kv'!AW14</f>
        <v>0</v>
      </c>
      <c r="J999" s="31"/>
      <c r="M999" s="31"/>
      <c r="O999" s="31"/>
      <c r="S999" s="31"/>
    </row>
    <row r="1000" spans="5:19" hidden="1">
      <c r="E1000" s="74" t="s">
        <v>83</v>
      </c>
      <c r="F1000" s="79">
        <f>'Mono 34,5kv'!AW15</f>
        <v>0</v>
      </c>
      <c r="J1000" s="31"/>
      <c r="M1000" s="31"/>
      <c r="O1000" s="31"/>
      <c r="S1000" s="31"/>
    </row>
    <row r="1001" spans="5:19" hidden="1">
      <c r="E1001" s="77" t="s">
        <v>85</v>
      </c>
      <c r="F1001" s="79">
        <f>'Mono 34,5kv'!AW16</f>
        <v>0</v>
      </c>
      <c r="J1001" s="31"/>
      <c r="M1001" s="31"/>
      <c r="O1001" s="31"/>
      <c r="S1001" s="31"/>
    </row>
    <row r="1002" spans="5:19" hidden="1">
      <c r="E1002" s="74" t="s">
        <v>84</v>
      </c>
      <c r="F1002" s="79">
        <f>'Mono 34,5kv'!AW17</f>
        <v>0</v>
      </c>
      <c r="J1002" s="31"/>
      <c r="M1002" s="31"/>
      <c r="O1002" s="31"/>
      <c r="S1002" s="31"/>
    </row>
    <row r="1003" spans="5:19" hidden="1">
      <c r="E1003" s="77" t="s">
        <v>86</v>
      </c>
      <c r="F1003" s="79">
        <f>'Mono 34,5kv'!AW18</f>
        <v>0</v>
      </c>
      <c r="J1003" s="31"/>
      <c r="M1003" s="31"/>
      <c r="O1003" s="31"/>
      <c r="S1003" s="31"/>
    </row>
    <row r="1004" spans="5:19" hidden="1">
      <c r="E1004" s="74" t="s">
        <v>87</v>
      </c>
      <c r="F1004" s="79">
        <f>'Mono 34,5kv'!AW19</f>
        <v>0</v>
      </c>
      <c r="J1004" s="31"/>
      <c r="M1004" s="31"/>
      <c r="O1004" s="31"/>
      <c r="S1004" s="31"/>
    </row>
    <row r="1005" spans="5:19" hidden="1">
      <c r="E1005" s="77" t="s">
        <v>101</v>
      </c>
      <c r="F1005" s="79">
        <f>'Mono 34,5kv'!AW20</f>
        <v>0</v>
      </c>
      <c r="J1005" s="31"/>
      <c r="M1005" s="31"/>
      <c r="O1005" s="31"/>
      <c r="S1005" s="31"/>
    </row>
    <row r="1006" spans="5:19" hidden="1">
      <c r="E1006" s="74" t="s">
        <v>88</v>
      </c>
      <c r="F1006" s="79">
        <f>'Mono 34,5kv'!AW21</f>
        <v>0</v>
      </c>
      <c r="J1006" s="31"/>
      <c r="M1006" s="31"/>
      <c r="O1006" s="31"/>
      <c r="S1006" s="31"/>
    </row>
    <row r="1007" spans="5:19" hidden="1">
      <c r="E1007" s="77" t="s">
        <v>89</v>
      </c>
      <c r="F1007" s="79">
        <f>'Mono 34,5kv'!AW22</f>
        <v>0</v>
      </c>
      <c r="J1007" s="31"/>
      <c r="M1007" s="31"/>
      <c r="O1007" s="31"/>
      <c r="S1007" s="31"/>
    </row>
    <row r="1008" spans="5:19" hidden="1">
      <c r="E1008" s="74" t="s">
        <v>90</v>
      </c>
      <c r="F1008" s="79">
        <f>'Mono 34,5kv'!AW23</f>
        <v>0</v>
      </c>
      <c r="J1008" s="31"/>
      <c r="M1008" s="31"/>
      <c r="O1008" s="31"/>
      <c r="S1008" s="31"/>
    </row>
    <row r="1009" spans="4:19" hidden="1">
      <c r="E1009" s="77" t="s">
        <v>93</v>
      </c>
      <c r="F1009" s="79">
        <f>'Mono 34,5kv'!AW24</f>
        <v>0</v>
      </c>
      <c r="J1009" s="31"/>
      <c r="M1009" s="31"/>
      <c r="O1009" s="31"/>
      <c r="S1009" s="31"/>
    </row>
    <row r="1010" spans="4:19" hidden="1">
      <c r="E1010" s="74" t="s">
        <v>91</v>
      </c>
      <c r="F1010" s="79">
        <f>'Mono 34,5kv'!AW25</f>
        <v>0</v>
      </c>
      <c r="J1010" s="31"/>
      <c r="M1010" s="31"/>
      <c r="O1010" s="31"/>
      <c r="S1010" s="31"/>
    </row>
    <row r="1011" spans="4:19" hidden="1">
      <c r="E1011" s="77" t="s">
        <v>92</v>
      </c>
      <c r="F1011" s="79">
        <f>'Mono 34,5kv'!AW26</f>
        <v>0</v>
      </c>
      <c r="J1011" s="31"/>
      <c r="M1011" s="31"/>
      <c r="O1011" s="31"/>
      <c r="S1011" s="31"/>
    </row>
    <row r="1012" spans="4:19" hidden="1">
      <c r="F1012" s="280">
        <f>SUM(F990:F1011)</f>
        <v>0</v>
      </c>
    </row>
    <row r="1013" spans="4:19" ht="18.75" hidden="1">
      <c r="D1013" s="93"/>
      <c r="E1013" s="268" t="s">
        <v>129</v>
      </c>
      <c r="F1013" s="289">
        <f>SUM(F1014:F1035)</f>
        <v>0</v>
      </c>
    </row>
    <row r="1014" spans="4:19" hidden="1">
      <c r="D1014" s="29"/>
      <c r="E1014" s="74" t="s">
        <v>74</v>
      </c>
      <c r="F1014" s="75">
        <f>'Mono 34,5kv'!AZ5+'Mono 34,5kv'!BA5</f>
        <v>0</v>
      </c>
    </row>
    <row r="1015" spans="4:19" hidden="1">
      <c r="D1015" s="31"/>
      <c r="E1015" s="77" t="s">
        <v>75</v>
      </c>
      <c r="F1015" s="75">
        <f>'Mono 34,5kv'!AZ6+'Mono 34,5kv'!BA6</f>
        <v>0</v>
      </c>
    </row>
    <row r="1016" spans="4:19" hidden="1">
      <c r="D1016" s="31"/>
      <c r="E1016" s="74" t="s">
        <v>76</v>
      </c>
      <c r="F1016" s="75">
        <f>'Mono 34,5kv'!AZ7+'Mono 34,5kv'!BA7</f>
        <v>0</v>
      </c>
    </row>
    <row r="1017" spans="4:19" hidden="1">
      <c r="D1017" s="31"/>
      <c r="E1017" s="77" t="s">
        <v>77</v>
      </c>
      <c r="F1017" s="75">
        <f>'Mono 34,5kv'!AZ8+'Mono 34,5kv'!BA8</f>
        <v>0</v>
      </c>
    </row>
    <row r="1018" spans="4:19" hidden="1">
      <c r="D1018" s="31"/>
      <c r="E1018" s="74" t="s">
        <v>100</v>
      </c>
      <c r="F1018" s="75">
        <f>'Mono 34,5kv'!AZ9+'Mono 34,5kv'!BA9</f>
        <v>0</v>
      </c>
    </row>
    <row r="1019" spans="4:19" hidden="1">
      <c r="D1019" s="31"/>
      <c r="E1019" s="77" t="s">
        <v>78</v>
      </c>
      <c r="F1019" s="75">
        <f>'Mono 34,5kv'!AZ10+'Mono 34,5kv'!BA10</f>
        <v>0</v>
      </c>
    </row>
    <row r="1020" spans="4:19" hidden="1">
      <c r="D1020" s="31"/>
      <c r="E1020" s="74" t="s">
        <v>79</v>
      </c>
      <c r="F1020" s="75">
        <f>'Mono 34,5kv'!AZ11+'Mono 34,5kv'!BA11</f>
        <v>0</v>
      </c>
    </row>
    <row r="1021" spans="4:19" hidden="1">
      <c r="D1021" s="31"/>
      <c r="E1021" s="77" t="s">
        <v>80</v>
      </c>
      <c r="F1021" s="75">
        <f>'Mono 34,5kv'!AZ12+'Mono 34,5kv'!BA12</f>
        <v>0</v>
      </c>
    </row>
    <row r="1022" spans="4:19" hidden="1">
      <c r="D1022" s="31"/>
      <c r="E1022" s="74" t="s">
        <v>81</v>
      </c>
      <c r="F1022" s="75">
        <f>'Mono 34,5kv'!AZ13+'Mono 34,5kv'!BA13</f>
        <v>0</v>
      </c>
    </row>
    <row r="1023" spans="4:19" hidden="1">
      <c r="D1023" s="31"/>
      <c r="E1023" s="77" t="s">
        <v>82</v>
      </c>
      <c r="F1023" s="75">
        <f>'Mono 34,5kv'!AZ14+'Mono 34,5kv'!BA14</f>
        <v>0</v>
      </c>
    </row>
    <row r="1024" spans="4:19" hidden="1">
      <c r="D1024" s="31"/>
      <c r="E1024" s="74" t="s">
        <v>83</v>
      </c>
      <c r="F1024" s="75">
        <f>'Mono 34,5kv'!AZ15+'Mono 34,5kv'!BA15</f>
        <v>0</v>
      </c>
    </row>
    <row r="1025" spans="4:6" hidden="1">
      <c r="D1025" s="31"/>
      <c r="E1025" s="77" t="s">
        <v>85</v>
      </c>
      <c r="F1025" s="75">
        <f>'Mono 34,5kv'!AZ16+'Mono 34,5kv'!BA16</f>
        <v>0</v>
      </c>
    </row>
    <row r="1026" spans="4:6" hidden="1">
      <c r="D1026" s="31"/>
      <c r="E1026" s="74" t="s">
        <v>84</v>
      </c>
      <c r="F1026" s="75">
        <f>'Mono 34,5kv'!AZ17+'Mono 34,5kv'!BA17</f>
        <v>0</v>
      </c>
    </row>
    <row r="1027" spans="4:6" hidden="1">
      <c r="D1027" s="31"/>
      <c r="E1027" s="77" t="s">
        <v>86</v>
      </c>
      <c r="F1027" s="75">
        <f>'Mono 34,5kv'!AZ18+'Mono 34,5kv'!BA18</f>
        <v>0</v>
      </c>
    </row>
    <row r="1028" spans="4:6" hidden="1">
      <c r="D1028" s="31"/>
      <c r="E1028" s="74" t="s">
        <v>87</v>
      </c>
      <c r="F1028" s="75">
        <f>'Mono 34,5kv'!AZ19+'Mono 34,5kv'!BA19</f>
        <v>0</v>
      </c>
    </row>
    <row r="1029" spans="4:6" hidden="1">
      <c r="D1029" s="31"/>
      <c r="E1029" s="77" t="s">
        <v>101</v>
      </c>
      <c r="F1029" s="75">
        <f>'Mono 34,5kv'!AZ20+'Mono 34,5kv'!BA20</f>
        <v>0</v>
      </c>
    </row>
    <row r="1030" spans="4:6" hidden="1">
      <c r="D1030" s="31"/>
      <c r="E1030" s="74" t="s">
        <v>88</v>
      </c>
      <c r="F1030" s="75">
        <f>'Mono 34,5kv'!AZ21+'Mono 34,5kv'!BA21</f>
        <v>0</v>
      </c>
    </row>
    <row r="1031" spans="4:6" hidden="1">
      <c r="D1031" s="31"/>
      <c r="E1031" s="77" t="s">
        <v>89</v>
      </c>
      <c r="F1031" s="75">
        <f>'Mono 34,5kv'!AZ22+'Mono 34,5kv'!BA22</f>
        <v>0</v>
      </c>
    </row>
    <row r="1032" spans="4:6" hidden="1">
      <c r="D1032" s="31"/>
      <c r="E1032" s="74" t="s">
        <v>90</v>
      </c>
      <c r="F1032" s="75">
        <f>'Mono 34,5kv'!AZ23+'Mono 34,5kv'!BA23</f>
        <v>0</v>
      </c>
    </row>
    <row r="1033" spans="4:6" hidden="1">
      <c r="D1033" s="31"/>
      <c r="E1033" s="77" t="s">
        <v>93</v>
      </c>
      <c r="F1033" s="75">
        <f>'Mono 34,5kv'!AZ24+'Mono 34,5kv'!BA24</f>
        <v>0</v>
      </c>
    </row>
    <row r="1034" spans="4:6" hidden="1">
      <c r="D1034" s="31"/>
      <c r="E1034" s="74" t="s">
        <v>91</v>
      </c>
      <c r="F1034" s="75">
        <f>'Mono 34,5kv'!AZ25+'Mono 34,5kv'!BA25</f>
        <v>0</v>
      </c>
    </row>
    <row r="1035" spans="4:6" hidden="1">
      <c r="D1035" s="31"/>
      <c r="E1035" s="77" t="s">
        <v>92</v>
      </c>
      <c r="F1035" s="75">
        <f>'Mono 34,5kv'!AZ26+'Mono 34,5kv'!BA26</f>
        <v>0</v>
      </c>
    </row>
    <row r="1036" spans="4:6" hidden="1">
      <c r="F1036" s="280">
        <f>SUM(F1014:F1035)</f>
        <v>0</v>
      </c>
    </row>
    <row r="1037" spans="4:6" ht="19.5" hidden="1" thickBot="1">
      <c r="D1037" s="266" t="s">
        <v>542</v>
      </c>
      <c r="E1037" s="269"/>
      <c r="F1037" s="286">
        <f>SUM(F1038:F1059)</f>
        <v>0</v>
      </c>
    </row>
    <row r="1038" spans="4:6" hidden="1">
      <c r="E1038" s="263" t="s">
        <v>74</v>
      </c>
      <c r="F1038" s="79">
        <f>'Mono 34,5kv'!BD5</f>
        <v>0</v>
      </c>
    </row>
    <row r="1039" spans="4:6" hidden="1">
      <c r="E1039" s="77" t="s">
        <v>75</v>
      </c>
      <c r="F1039" s="79">
        <f>'Mono 34,5kv'!BD6</f>
        <v>0</v>
      </c>
    </row>
    <row r="1040" spans="4:6" hidden="1">
      <c r="E1040" s="74" t="s">
        <v>76</v>
      </c>
      <c r="F1040" s="79">
        <f>'Mono 34,5kv'!BD7</f>
        <v>0</v>
      </c>
    </row>
    <row r="1041" spans="5:6" hidden="1">
      <c r="E1041" s="77" t="s">
        <v>77</v>
      </c>
      <c r="F1041" s="79">
        <f>'Mono 34,5kv'!BD8</f>
        <v>0</v>
      </c>
    </row>
    <row r="1042" spans="5:6" hidden="1">
      <c r="E1042" s="74" t="s">
        <v>100</v>
      </c>
      <c r="F1042" s="79">
        <f>'Mono 34,5kv'!BD9</f>
        <v>0</v>
      </c>
    </row>
    <row r="1043" spans="5:6" hidden="1">
      <c r="E1043" s="77" t="s">
        <v>78</v>
      </c>
      <c r="F1043" s="79">
        <f>'Mono 34,5kv'!BD10</f>
        <v>0</v>
      </c>
    </row>
    <row r="1044" spans="5:6" hidden="1">
      <c r="E1044" s="74" t="s">
        <v>79</v>
      </c>
      <c r="F1044" s="79">
        <f>'Mono 34,5kv'!BD11</f>
        <v>0</v>
      </c>
    </row>
    <row r="1045" spans="5:6" hidden="1">
      <c r="E1045" s="77" t="s">
        <v>80</v>
      </c>
      <c r="F1045" s="79">
        <f>'Mono 34,5kv'!BD12</f>
        <v>0</v>
      </c>
    </row>
    <row r="1046" spans="5:6" hidden="1">
      <c r="E1046" s="74" t="s">
        <v>81</v>
      </c>
      <c r="F1046" s="79">
        <f>'Mono 34,5kv'!BD13</f>
        <v>0</v>
      </c>
    </row>
    <row r="1047" spans="5:6" hidden="1">
      <c r="E1047" s="77" t="s">
        <v>82</v>
      </c>
      <c r="F1047" s="79">
        <f>'Mono 34,5kv'!BD14</f>
        <v>0</v>
      </c>
    </row>
    <row r="1048" spans="5:6" hidden="1">
      <c r="E1048" s="74" t="s">
        <v>83</v>
      </c>
      <c r="F1048" s="79">
        <f>'Mono 34,5kv'!BD15</f>
        <v>0</v>
      </c>
    </row>
    <row r="1049" spans="5:6" hidden="1">
      <c r="E1049" s="77" t="s">
        <v>85</v>
      </c>
      <c r="F1049" s="79">
        <f>'Mono 34,5kv'!BD16</f>
        <v>0</v>
      </c>
    </row>
    <row r="1050" spans="5:6" hidden="1">
      <c r="E1050" s="74" t="s">
        <v>84</v>
      </c>
      <c r="F1050" s="79">
        <f>'Mono 34,5kv'!BD17</f>
        <v>0</v>
      </c>
    </row>
    <row r="1051" spans="5:6" hidden="1">
      <c r="E1051" s="77" t="s">
        <v>86</v>
      </c>
      <c r="F1051" s="79">
        <f>'Mono 34,5kv'!BD18</f>
        <v>0</v>
      </c>
    </row>
    <row r="1052" spans="5:6" hidden="1">
      <c r="E1052" s="74" t="s">
        <v>87</v>
      </c>
      <c r="F1052" s="79">
        <f>'Mono 34,5kv'!BD19</f>
        <v>0</v>
      </c>
    </row>
    <row r="1053" spans="5:6" hidden="1">
      <c r="E1053" s="77" t="s">
        <v>101</v>
      </c>
      <c r="F1053" s="79">
        <f>'Mono 34,5kv'!BD20</f>
        <v>0</v>
      </c>
    </row>
    <row r="1054" spans="5:6" hidden="1">
      <c r="E1054" s="74" t="s">
        <v>88</v>
      </c>
      <c r="F1054" s="79">
        <f>'Mono 34,5kv'!BD21</f>
        <v>0</v>
      </c>
    </row>
    <row r="1055" spans="5:6" hidden="1">
      <c r="E1055" s="77" t="s">
        <v>89</v>
      </c>
      <c r="F1055" s="79">
        <f>'Mono 34,5kv'!BD22</f>
        <v>0</v>
      </c>
    </row>
    <row r="1056" spans="5:6" hidden="1">
      <c r="E1056" s="74" t="s">
        <v>90</v>
      </c>
      <c r="F1056" s="79">
        <f>'Mono 34,5kv'!BD23</f>
        <v>0</v>
      </c>
    </row>
    <row r="1057" spans="5:6" hidden="1">
      <c r="E1057" s="77" t="s">
        <v>93</v>
      </c>
      <c r="F1057" s="79">
        <f>'Mono 34,5kv'!BD24</f>
        <v>0</v>
      </c>
    </row>
    <row r="1058" spans="5:6" hidden="1">
      <c r="E1058" s="74" t="s">
        <v>91</v>
      </c>
      <c r="F1058" s="79">
        <f>'Mono 34,5kv'!BD25</f>
        <v>0</v>
      </c>
    </row>
    <row r="1059" spans="5:6" hidden="1">
      <c r="E1059" s="77" t="s">
        <v>92</v>
      </c>
      <c r="F1059" s="79">
        <f>'Mono 34,5kv'!BD26</f>
        <v>0</v>
      </c>
    </row>
    <row r="1060" spans="5:6" hidden="1">
      <c r="F1060" s="282">
        <f>SUM(F1038:F1059)</f>
        <v>0</v>
      </c>
    </row>
    <row r="1061" spans="5:6" ht="18.75" hidden="1">
      <c r="E1061" s="271" t="s">
        <v>97</v>
      </c>
      <c r="F1061" s="289">
        <f>SUM(F1062:F1083)</f>
        <v>0</v>
      </c>
    </row>
    <row r="1062" spans="5:6" hidden="1">
      <c r="E1062" s="74" t="s">
        <v>74</v>
      </c>
      <c r="F1062" s="75">
        <f>'Mono 34,5kv'!BG5+'Mono 34,5kv'!BH5</f>
        <v>0</v>
      </c>
    </row>
    <row r="1063" spans="5:6" hidden="1">
      <c r="E1063" s="77" t="s">
        <v>75</v>
      </c>
      <c r="F1063" s="75">
        <f>'Mono 34,5kv'!BG6+'Mono 34,5kv'!BH6</f>
        <v>0</v>
      </c>
    </row>
    <row r="1064" spans="5:6" hidden="1">
      <c r="E1064" s="74" t="s">
        <v>76</v>
      </c>
      <c r="F1064" s="75">
        <f>'Mono 34,5kv'!BG7+'Mono 34,5kv'!BH7</f>
        <v>0</v>
      </c>
    </row>
    <row r="1065" spans="5:6" hidden="1">
      <c r="E1065" s="77" t="s">
        <v>77</v>
      </c>
      <c r="F1065" s="75">
        <f>'Mono 34,5kv'!BG8+'Mono 34,5kv'!BH8</f>
        <v>0</v>
      </c>
    </row>
    <row r="1066" spans="5:6" hidden="1">
      <c r="E1066" s="74" t="s">
        <v>100</v>
      </c>
      <c r="F1066" s="75">
        <f>'Mono 34,5kv'!BG9+'Mono 34,5kv'!BH9</f>
        <v>0</v>
      </c>
    </row>
    <row r="1067" spans="5:6" hidden="1">
      <c r="E1067" s="77" t="s">
        <v>78</v>
      </c>
      <c r="F1067" s="75">
        <f>'Mono 34,5kv'!BG10+'Mono 34,5kv'!BH10</f>
        <v>0</v>
      </c>
    </row>
    <row r="1068" spans="5:6" hidden="1">
      <c r="E1068" s="74" t="s">
        <v>79</v>
      </c>
      <c r="F1068" s="75">
        <f>'Mono 34,5kv'!BG11+'Mono 34,5kv'!BH11</f>
        <v>0</v>
      </c>
    </row>
    <row r="1069" spans="5:6" hidden="1">
      <c r="E1069" s="77" t="s">
        <v>80</v>
      </c>
      <c r="F1069" s="75">
        <f>'Mono 34,5kv'!BG12+'Mono 34,5kv'!BH12</f>
        <v>0</v>
      </c>
    </row>
    <row r="1070" spans="5:6" hidden="1">
      <c r="E1070" s="74" t="s">
        <v>81</v>
      </c>
      <c r="F1070" s="75">
        <f>'Mono 34,5kv'!BG13+'Mono 34,5kv'!BH13</f>
        <v>0</v>
      </c>
    </row>
    <row r="1071" spans="5:6" hidden="1">
      <c r="E1071" s="77" t="s">
        <v>82</v>
      </c>
      <c r="F1071" s="75">
        <f>'Mono 34,5kv'!BG14+'Mono 34,5kv'!BH14</f>
        <v>0</v>
      </c>
    </row>
    <row r="1072" spans="5:6" hidden="1">
      <c r="E1072" s="74" t="s">
        <v>83</v>
      </c>
      <c r="F1072" s="75">
        <f>'Mono 34,5kv'!BG15+'Mono 34,5kv'!BH15</f>
        <v>0</v>
      </c>
    </row>
    <row r="1073" spans="4:8" hidden="1">
      <c r="E1073" s="77" t="s">
        <v>85</v>
      </c>
      <c r="F1073" s="75">
        <f>'Mono 34,5kv'!BG16+'Mono 34,5kv'!BH16</f>
        <v>0</v>
      </c>
    </row>
    <row r="1074" spans="4:8" hidden="1">
      <c r="E1074" s="74" t="s">
        <v>84</v>
      </c>
      <c r="F1074" s="75">
        <f>'Mono 34,5kv'!BG17+'Mono 34,5kv'!BH17</f>
        <v>0</v>
      </c>
    </row>
    <row r="1075" spans="4:8" hidden="1">
      <c r="E1075" s="77" t="s">
        <v>86</v>
      </c>
      <c r="F1075" s="75">
        <f>'Mono 34,5kv'!BG18+'Mono 34,5kv'!BH18</f>
        <v>0</v>
      </c>
    </row>
    <row r="1076" spans="4:8" hidden="1">
      <c r="E1076" s="74" t="s">
        <v>87</v>
      </c>
      <c r="F1076" s="75">
        <f>'Mono 34,5kv'!BG19+'Mono 34,5kv'!BH19</f>
        <v>0</v>
      </c>
    </row>
    <row r="1077" spans="4:8" hidden="1">
      <c r="E1077" s="77" t="s">
        <v>101</v>
      </c>
      <c r="F1077" s="75">
        <f>'Mono 34,5kv'!BG20+'Mono 34,5kv'!BH20</f>
        <v>0</v>
      </c>
    </row>
    <row r="1078" spans="4:8" hidden="1">
      <c r="E1078" s="74" t="s">
        <v>88</v>
      </c>
      <c r="F1078" s="75">
        <f>'Mono 34,5kv'!BG21+'Mono 34,5kv'!BH21</f>
        <v>0</v>
      </c>
    </row>
    <row r="1079" spans="4:8" hidden="1">
      <c r="E1079" s="77" t="s">
        <v>89</v>
      </c>
      <c r="F1079" s="75">
        <f>'Mono 34,5kv'!BG22+'Mono 34,5kv'!BH22</f>
        <v>0</v>
      </c>
    </row>
    <row r="1080" spans="4:8" hidden="1">
      <c r="E1080" s="74" t="s">
        <v>90</v>
      </c>
      <c r="F1080" s="75">
        <f>'Mono 34,5kv'!BG23+'Mono 34,5kv'!BH23</f>
        <v>0</v>
      </c>
    </row>
    <row r="1081" spans="4:8" hidden="1">
      <c r="E1081" s="77" t="s">
        <v>93</v>
      </c>
      <c r="F1081" s="75">
        <f>'Mono 34,5kv'!BG24+'Mono 34,5kv'!BH24</f>
        <v>0</v>
      </c>
    </row>
    <row r="1082" spans="4:8" hidden="1">
      <c r="E1082" s="74" t="s">
        <v>91</v>
      </c>
      <c r="F1082" s="75">
        <f>'Mono 34,5kv'!BG25+'Mono 34,5kv'!BH25</f>
        <v>0</v>
      </c>
    </row>
    <row r="1083" spans="4:8" hidden="1">
      <c r="E1083" s="77" t="s">
        <v>92</v>
      </c>
      <c r="F1083" s="75">
        <f>'Mono 34,5kv'!BG26+'Mono 34,5kv'!BH26</f>
        <v>0</v>
      </c>
    </row>
    <row r="1084" spans="4:8" hidden="1">
      <c r="F1084" s="280">
        <f>SUM(F1062:F1083)</f>
        <v>0</v>
      </c>
      <c r="H1084" s="186"/>
    </row>
    <row r="1085" spans="4:8" ht="19.5" hidden="1" thickBot="1">
      <c r="D1085" s="1687" t="s">
        <v>543</v>
      </c>
      <c r="E1085" s="1688"/>
      <c r="F1085" s="286">
        <f>SUM(F1086:F1107)</f>
        <v>0</v>
      </c>
    </row>
    <row r="1086" spans="4:8" hidden="1">
      <c r="E1086" s="263" t="s">
        <v>74</v>
      </c>
      <c r="F1086" s="79">
        <f>'Mono 34,5kv'!BK5</f>
        <v>0</v>
      </c>
    </row>
    <row r="1087" spans="4:8" hidden="1">
      <c r="E1087" s="77" t="s">
        <v>75</v>
      </c>
      <c r="F1087" s="79">
        <f>'Mono 34,5kv'!BK6</f>
        <v>0</v>
      </c>
    </row>
    <row r="1088" spans="4:8" hidden="1">
      <c r="E1088" s="74" t="s">
        <v>76</v>
      </c>
      <c r="F1088" s="79">
        <f>'Mono 34,5kv'!BK7</f>
        <v>0</v>
      </c>
    </row>
    <row r="1089" spans="5:6" hidden="1">
      <c r="E1089" s="77" t="s">
        <v>77</v>
      </c>
      <c r="F1089" s="79">
        <f>'Mono 34,5kv'!BK8</f>
        <v>0</v>
      </c>
    </row>
    <row r="1090" spans="5:6" hidden="1">
      <c r="E1090" s="74" t="s">
        <v>100</v>
      </c>
      <c r="F1090" s="79">
        <f>'Mono 34,5kv'!BK9</f>
        <v>0</v>
      </c>
    </row>
    <row r="1091" spans="5:6" hidden="1">
      <c r="E1091" s="77" t="s">
        <v>78</v>
      </c>
      <c r="F1091" s="79">
        <f>'Mono 34,5kv'!BK10</f>
        <v>0</v>
      </c>
    </row>
    <row r="1092" spans="5:6" hidden="1">
      <c r="E1092" s="74" t="s">
        <v>79</v>
      </c>
      <c r="F1092" s="79">
        <f>'Mono 34,5kv'!BK11</f>
        <v>0</v>
      </c>
    </row>
    <row r="1093" spans="5:6" hidden="1">
      <c r="E1093" s="77" t="s">
        <v>80</v>
      </c>
      <c r="F1093" s="79">
        <f>'Mono 34,5kv'!BK12</f>
        <v>0</v>
      </c>
    </row>
    <row r="1094" spans="5:6" hidden="1">
      <c r="E1094" s="74" t="s">
        <v>81</v>
      </c>
      <c r="F1094" s="79">
        <f>'Mono 34,5kv'!BK13</f>
        <v>0</v>
      </c>
    </row>
    <row r="1095" spans="5:6" hidden="1">
      <c r="E1095" s="77" t="s">
        <v>82</v>
      </c>
      <c r="F1095" s="79">
        <f>'Mono 34,5kv'!BK14</f>
        <v>0</v>
      </c>
    </row>
    <row r="1096" spans="5:6" hidden="1">
      <c r="E1096" s="74" t="s">
        <v>83</v>
      </c>
      <c r="F1096" s="79">
        <f>'Mono 34,5kv'!BK15</f>
        <v>0</v>
      </c>
    </row>
    <row r="1097" spans="5:6" hidden="1">
      <c r="E1097" s="77" t="s">
        <v>85</v>
      </c>
      <c r="F1097" s="79">
        <f>'Mono 34,5kv'!BK16</f>
        <v>0</v>
      </c>
    </row>
    <row r="1098" spans="5:6" hidden="1">
      <c r="E1098" s="74" t="s">
        <v>84</v>
      </c>
      <c r="F1098" s="79">
        <f>'Mono 34,5kv'!BK17</f>
        <v>0</v>
      </c>
    </row>
    <row r="1099" spans="5:6" hidden="1">
      <c r="E1099" s="77" t="s">
        <v>86</v>
      </c>
      <c r="F1099" s="79">
        <f>'Mono 34,5kv'!BK18</f>
        <v>0</v>
      </c>
    </row>
    <row r="1100" spans="5:6" hidden="1">
      <c r="E1100" s="74" t="s">
        <v>87</v>
      </c>
      <c r="F1100" s="79">
        <f>'Mono 34,5kv'!BK19</f>
        <v>0</v>
      </c>
    </row>
    <row r="1101" spans="5:6" hidden="1">
      <c r="E1101" s="77" t="s">
        <v>101</v>
      </c>
      <c r="F1101" s="79">
        <f>'Mono 34,5kv'!BK20</f>
        <v>0</v>
      </c>
    </row>
    <row r="1102" spans="5:6" hidden="1">
      <c r="E1102" s="74" t="s">
        <v>88</v>
      </c>
      <c r="F1102" s="79">
        <f>'Mono 34,5kv'!BK21</f>
        <v>0</v>
      </c>
    </row>
    <row r="1103" spans="5:6" hidden="1">
      <c r="E1103" s="77" t="s">
        <v>89</v>
      </c>
      <c r="F1103" s="79">
        <f>'Mono 34,5kv'!BK22</f>
        <v>0</v>
      </c>
    </row>
    <row r="1104" spans="5:6" hidden="1">
      <c r="E1104" s="74" t="s">
        <v>90</v>
      </c>
      <c r="F1104" s="79">
        <f>'Mono 34,5kv'!BK23</f>
        <v>0</v>
      </c>
    </row>
    <row r="1105" spans="5:6" hidden="1">
      <c r="E1105" s="77" t="s">
        <v>93</v>
      </c>
      <c r="F1105" s="79">
        <f>'Mono 34,5kv'!BK24</f>
        <v>0</v>
      </c>
    </row>
    <row r="1106" spans="5:6" hidden="1">
      <c r="E1106" s="74" t="s">
        <v>91</v>
      </c>
      <c r="F1106" s="79">
        <f>'Mono 34,5kv'!BK25</f>
        <v>0</v>
      </c>
    </row>
    <row r="1107" spans="5:6" hidden="1">
      <c r="E1107" s="77" t="s">
        <v>92</v>
      </c>
      <c r="F1107" s="79">
        <f>'Mono 34,5kv'!BK26</f>
        <v>0</v>
      </c>
    </row>
    <row r="1108" spans="5:6" hidden="1">
      <c r="F1108" s="280">
        <f>SUM(F1086:F1107)</f>
        <v>0</v>
      </c>
    </row>
    <row r="1109" spans="5:6" ht="18.75" hidden="1">
      <c r="E1109" s="270" t="s">
        <v>143</v>
      </c>
      <c r="F1109" s="288">
        <f>SUM(F1110:F1131)</f>
        <v>0</v>
      </c>
    </row>
    <row r="1110" spans="5:6" hidden="1">
      <c r="E1110" s="74" t="s">
        <v>74</v>
      </c>
      <c r="F1110" s="75">
        <f>'Mono 34,5kv'!BN5+'Mono 34,5kv'!BO5</f>
        <v>0</v>
      </c>
    </row>
    <row r="1111" spans="5:6" hidden="1">
      <c r="E1111" s="77" t="s">
        <v>75</v>
      </c>
      <c r="F1111" s="75">
        <f>'Mono 34,5kv'!BN6+'Mono 34,5kv'!BO6</f>
        <v>0</v>
      </c>
    </row>
    <row r="1112" spans="5:6" hidden="1">
      <c r="E1112" s="74" t="s">
        <v>76</v>
      </c>
      <c r="F1112" s="75">
        <f>'Mono 34,5kv'!BN7+'Mono 34,5kv'!BO7</f>
        <v>0</v>
      </c>
    </row>
    <row r="1113" spans="5:6" hidden="1">
      <c r="E1113" s="77" t="s">
        <v>77</v>
      </c>
      <c r="F1113" s="75">
        <f>'Mono 34,5kv'!BN8+'Mono 34,5kv'!BO8</f>
        <v>0</v>
      </c>
    </row>
    <row r="1114" spans="5:6" hidden="1">
      <c r="E1114" s="74" t="s">
        <v>100</v>
      </c>
      <c r="F1114" s="75">
        <f>'Mono 34,5kv'!BN9+'Mono 34,5kv'!BO9</f>
        <v>0</v>
      </c>
    </row>
    <row r="1115" spans="5:6" hidden="1">
      <c r="E1115" s="77" t="s">
        <v>78</v>
      </c>
      <c r="F1115" s="75">
        <f>'Mono 34,5kv'!BN10+'Mono 34,5kv'!BO10</f>
        <v>0</v>
      </c>
    </row>
    <row r="1116" spans="5:6" hidden="1">
      <c r="E1116" s="74" t="s">
        <v>79</v>
      </c>
      <c r="F1116" s="75">
        <f>'Mono 34,5kv'!BN11+'Mono 34,5kv'!BO11</f>
        <v>0</v>
      </c>
    </row>
    <row r="1117" spans="5:6" hidden="1">
      <c r="E1117" s="77" t="s">
        <v>80</v>
      </c>
      <c r="F1117" s="75">
        <f>'Mono 34,5kv'!BN12+'Mono 34,5kv'!BO12</f>
        <v>0</v>
      </c>
    </row>
    <row r="1118" spans="5:6" hidden="1">
      <c r="E1118" s="74" t="s">
        <v>81</v>
      </c>
      <c r="F1118" s="75">
        <f>'Mono 34,5kv'!BN13+'Mono 34,5kv'!BO13</f>
        <v>0</v>
      </c>
    </row>
    <row r="1119" spans="5:6" hidden="1">
      <c r="E1119" s="77" t="s">
        <v>82</v>
      </c>
      <c r="F1119" s="75">
        <f>'Mono 34,5kv'!BN14+'Mono 34,5kv'!BO14</f>
        <v>0</v>
      </c>
    </row>
    <row r="1120" spans="5:6" hidden="1">
      <c r="E1120" s="74" t="s">
        <v>83</v>
      </c>
      <c r="F1120" s="75">
        <f>'Mono 34,5kv'!BN15+'Mono 34,5kv'!BO15</f>
        <v>0</v>
      </c>
    </row>
    <row r="1121" spans="4:6" hidden="1">
      <c r="E1121" s="77" t="s">
        <v>85</v>
      </c>
      <c r="F1121" s="75">
        <f>'Mono 34,5kv'!BN16+'Mono 34,5kv'!BO16</f>
        <v>0</v>
      </c>
    </row>
    <row r="1122" spans="4:6" hidden="1">
      <c r="E1122" s="74" t="s">
        <v>84</v>
      </c>
      <c r="F1122" s="75">
        <f>'Mono 34,5kv'!BN17+'Mono 34,5kv'!BO17</f>
        <v>0</v>
      </c>
    </row>
    <row r="1123" spans="4:6" hidden="1">
      <c r="E1123" s="77" t="s">
        <v>86</v>
      </c>
      <c r="F1123" s="75">
        <f>'Mono 34,5kv'!BN18+'Mono 34,5kv'!BO18</f>
        <v>0</v>
      </c>
    </row>
    <row r="1124" spans="4:6" hidden="1">
      <c r="E1124" s="74" t="s">
        <v>87</v>
      </c>
      <c r="F1124" s="75">
        <f>'Mono 34,5kv'!BN19+'Mono 34,5kv'!BO19</f>
        <v>0</v>
      </c>
    </row>
    <row r="1125" spans="4:6" hidden="1">
      <c r="E1125" s="77" t="s">
        <v>101</v>
      </c>
      <c r="F1125" s="75">
        <f>'Mono 34,5kv'!BN20+'Mono 34,5kv'!BO20</f>
        <v>0</v>
      </c>
    </row>
    <row r="1126" spans="4:6" hidden="1">
      <c r="E1126" s="74" t="s">
        <v>88</v>
      </c>
      <c r="F1126" s="75">
        <f>'Mono 34,5kv'!BN21+'Mono 34,5kv'!BO21</f>
        <v>0</v>
      </c>
    </row>
    <row r="1127" spans="4:6" hidden="1">
      <c r="E1127" s="77" t="s">
        <v>89</v>
      </c>
      <c r="F1127" s="75">
        <f>'Mono 34,5kv'!BN22+'Mono 34,5kv'!BO22</f>
        <v>0</v>
      </c>
    </row>
    <row r="1128" spans="4:6" hidden="1">
      <c r="E1128" s="74" t="s">
        <v>90</v>
      </c>
      <c r="F1128" s="75">
        <f>'Mono 34,5kv'!BN23+'Mono 34,5kv'!BO23</f>
        <v>0</v>
      </c>
    </row>
    <row r="1129" spans="4:6" hidden="1">
      <c r="E1129" s="77" t="s">
        <v>93</v>
      </c>
      <c r="F1129" s="75">
        <f>'Mono 34,5kv'!BN24+'Mono 34,5kv'!BO24</f>
        <v>0</v>
      </c>
    </row>
    <row r="1130" spans="4:6" hidden="1">
      <c r="E1130" s="74" t="s">
        <v>91</v>
      </c>
      <c r="F1130" s="75">
        <f>'Mono 34,5kv'!BN25+'Mono 34,5kv'!BO25</f>
        <v>0</v>
      </c>
    </row>
    <row r="1131" spans="4:6" hidden="1">
      <c r="E1131" s="77" t="s">
        <v>92</v>
      </c>
      <c r="F1131" s="75">
        <f>'Mono 34,5kv'!BN26+'Mono 34,5kv'!BO26</f>
        <v>0</v>
      </c>
    </row>
    <row r="1132" spans="4:6" hidden="1">
      <c r="F1132" s="280">
        <f>SUM(F1110:F1131)</f>
        <v>0</v>
      </c>
    </row>
    <row r="1133" spans="4:6" ht="19.5" hidden="1" thickBot="1">
      <c r="D1133" s="272" t="s">
        <v>544</v>
      </c>
      <c r="E1133" s="273"/>
      <c r="F1133" s="286">
        <f>SUM(F1134:F1155)</f>
        <v>0</v>
      </c>
    </row>
    <row r="1134" spans="4:6" hidden="1">
      <c r="E1134" s="263" t="s">
        <v>74</v>
      </c>
      <c r="F1134" s="79">
        <f>'Mono 34,5kv'!BR5</f>
        <v>0</v>
      </c>
    </row>
    <row r="1135" spans="4:6" hidden="1">
      <c r="E1135" s="77" t="s">
        <v>75</v>
      </c>
      <c r="F1135" s="79">
        <f>'Mono 34,5kv'!BR6</f>
        <v>0</v>
      </c>
    </row>
    <row r="1136" spans="4:6" hidden="1">
      <c r="E1136" s="74" t="s">
        <v>76</v>
      </c>
      <c r="F1136" s="79">
        <f>'Mono 34,5kv'!BR7</f>
        <v>0</v>
      </c>
    </row>
    <row r="1137" spans="5:6" hidden="1">
      <c r="E1137" s="77" t="s">
        <v>77</v>
      </c>
      <c r="F1137" s="79">
        <f>'Mono 34,5kv'!BR8</f>
        <v>0</v>
      </c>
    </row>
    <row r="1138" spans="5:6" hidden="1">
      <c r="E1138" s="74" t="s">
        <v>100</v>
      </c>
      <c r="F1138" s="79">
        <f>'Mono 34,5kv'!BR9</f>
        <v>0</v>
      </c>
    </row>
    <row r="1139" spans="5:6" hidden="1">
      <c r="E1139" s="77" t="s">
        <v>78</v>
      </c>
      <c r="F1139" s="79">
        <f>'Mono 34,5kv'!BR10</f>
        <v>0</v>
      </c>
    </row>
    <row r="1140" spans="5:6" hidden="1">
      <c r="E1140" s="74" t="s">
        <v>79</v>
      </c>
      <c r="F1140" s="79">
        <f>'Mono 34,5kv'!BR11</f>
        <v>0</v>
      </c>
    </row>
    <row r="1141" spans="5:6" hidden="1">
      <c r="E1141" s="77" t="s">
        <v>80</v>
      </c>
      <c r="F1141" s="79">
        <f>'Mono 34,5kv'!BR12</f>
        <v>0</v>
      </c>
    </row>
    <row r="1142" spans="5:6" hidden="1">
      <c r="E1142" s="74" t="s">
        <v>81</v>
      </c>
      <c r="F1142" s="79">
        <f>'Mono 34,5kv'!BR13</f>
        <v>0</v>
      </c>
    </row>
    <row r="1143" spans="5:6" hidden="1">
      <c r="E1143" s="77" t="s">
        <v>82</v>
      </c>
      <c r="F1143" s="79">
        <f>'Mono 34,5kv'!BR14</f>
        <v>0</v>
      </c>
    </row>
    <row r="1144" spans="5:6" hidden="1">
      <c r="E1144" s="74" t="s">
        <v>83</v>
      </c>
      <c r="F1144" s="79">
        <f>'Mono 34,5kv'!BR15</f>
        <v>0</v>
      </c>
    </row>
    <row r="1145" spans="5:6" hidden="1">
      <c r="E1145" s="77" t="s">
        <v>85</v>
      </c>
      <c r="F1145" s="79">
        <f>'Mono 34,5kv'!BR16</f>
        <v>0</v>
      </c>
    </row>
    <row r="1146" spans="5:6" hidden="1">
      <c r="E1146" s="74" t="s">
        <v>84</v>
      </c>
      <c r="F1146" s="79">
        <f>'Mono 34,5kv'!BR17</f>
        <v>0</v>
      </c>
    </row>
    <row r="1147" spans="5:6" hidden="1">
      <c r="E1147" s="77" t="s">
        <v>86</v>
      </c>
      <c r="F1147" s="79">
        <f>'Mono 34,5kv'!BR18</f>
        <v>0</v>
      </c>
    </row>
    <row r="1148" spans="5:6" hidden="1">
      <c r="E1148" s="74" t="s">
        <v>87</v>
      </c>
      <c r="F1148" s="79">
        <f>'Mono 34,5kv'!BR19</f>
        <v>0</v>
      </c>
    </row>
    <row r="1149" spans="5:6" hidden="1">
      <c r="E1149" s="77" t="s">
        <v>101</v>
      </c>
      <c r="F1149" s="79">
        <f>'Mono 34,5kv'!BR20</f>
        <v>0</v>
      </c>
    </row>
    <row r="1150" spans="5:6" hidden="1">
      <c r="E1150" s="74" t="s">
        <v>88</v>
      </c>
      <c r="F1150" s="79">
        <f>'Mono 34,5kv'!BR21</f>
        <v>0</v>
      </c>
    </row>
    <row r="1151" spans="5:6" hidden="1">
      <c r="E1151" s="77" t="s">
        <v>89</v>
      </c>
      <c r="F1151" s="79">
        <f>'Mono 34,5kv'!BR22</f>
        <v>0</v>
      </c>
    </row>
    <row r="1152" spans="5:6" hidden="1">
      <c r="E1152" s="74" t="s">
        <v>90</v>
      </c>
      <c r="F1152" s="79">
        <f>'Mono 34,5kv'!BR23</f>
        <v>0</v>
      </c>
    </row>
    <row r="1153" spans="5:6" hidden="1">
      <c r="E1153" s="77" t="s">
        <v>93</v>
      </c>
      <c r="F1153" s="79">
        <f>'Mono 34,5kv'!BR24</f>
        <v>0</v>
      </c>
    </row>
    <row r="1154" spans="5:6" hidden="1">
      <c r="E1154" s="74" t="s">
        <v>91</v>
      </c>
      <c r="F1154" s="79">
        <f>'Mono 34,5kv'!BR25</f>
        <v>0</v>
      </c>
    </row>
    <row r="1155" spans="5:6" hidden="1">
      <c r="E1155" s="133" t="s">
        <v>92</v>
      </c>
      <c r="F1155" s="79">
        <f>'Mono 34,5kv'!BR26</f>
        <v>0</v>
      </c>
    </row>
    <row r="1156" spans="5:6" hidden="1">
      <c r="F1156" s="280">
        <f>SUM(F1134:F1155)</f>
        <v>0</v>
      </c>
    </row>
    <row r="1157" spans="5:6" ht="19.5" hidden="1" thickBot="1">
      <c r="E1157" s="229" t="s">
        <v>131</v>
      </c>
      <c r="F1157" s="287">
        <f>SUM(F1158:F1179)</f>
        <v>0</v>
      </c>
    </row>
    <row r="1158" spans="5:6" hidden="1">
      <c r="E1158" s="74" t="s">
        <v>74</v>
      </c>
      <c r="F1158" s="75">
        <f>'Mono 34,5kv'!BU5+'Mono 34,5kv'!BV5</f>
        <v>0</v>
      </c>
    </row>
    <row r="1159" spans="5:6" hidden="1">
      <c r="E1159" s="77" t="s">
        <v>75</v>
      </c>
      <c r="F1159" s="75">
        <f>'Mono 34,5kv'!BU6+'Mono 34,5kv'!BV6</f>
        <v>0</v>
      </c>
    </row>
    <row r="1160" spans="5:6" hidden="1">
      <c r="E1160" s="74" t="s">
        <v>76</v>
      </c>
      <c r="F1160" s="75">
        <f>'Mono 34,5kv'!BU7+'Mono 34,5kv'!BV7</f>
        <v>0</v>
      </c>
    </row>
    <row r="1161" spans="5:6" hidden="1">
      <c r="E1161" s="77" t="s">
        <v>77</v>
      </c>
      <c r="F1161" s="75">
        <f>'Mono 34,5kv'!BU8+'Mono 34,5kv'!BV8</f>
        <v>0</v>
      </c>
    </row>
    <row r="1162" spans="5:6" hidden="1">
      <c r="E1162" s="74" t="s">
        <v>100</v>
      </c>
      <c r="F1162" s="75">
        <f>'Mono 34,5kv'!BU9+'Mono 34,5kv'!BV9</f>
        <v>0</v>
      </c>
    </row>
    <row r="1163" spans="5:6" hidden="1">
      <c r="E1163" s="77" t="s">
        <v>78</v>
      </c>
      <c r="F1163" s="75">
        <f>'Mono 34,5kv'!BU10+'Mono 34,5kv'!BV10</f>
        <v>0</v>
      </c>
    </row>
    <row r="1164" spans="5:6" hidden="1">
      <c r="E1164" s="74" t="s">
        <v>79</v>
      </c>
      <c r="F1164" s="75">
        <f>'Mono 34,5kv'!BU11+'Mono 34,5kv'!BV11</f>
        <v>0</v>
      </c>
    </row>
    <row r="1165" spans="5:6" hidden="1">
      <c r="E1165" s="77" t="s">
        <v>80</v>
      </c>
      <c r="F1165" s="75">
        <f>'Mono 34,5kv'!BU12+'Mono 34,5kv'!BV12</f>
        <v>0</v>
      </c>
    </row>
    <row r="1166" spans="5:6" hidden="1">
      <c r="E1166" s="74" t="s">
        <v>81</v>
      </c>
      <c r="F1166" s="75">
        <f>'Mono 34,5kv'!BU13+'Mono 34,5kv'!BV13</f>
        <v>0</v>
      </c>
    </row>
    <row r="1167" spans="5:6" hidden="1">
      <c r="E1167" s="77" t="s">
        <v>82</v>
      </c>
      <c r="F1167" s="75">
        <f>'Mono 34,5kv'!BU14+'Mono 34,5kv'!BV14</f>
        <v>0</v>
      </c>
    </row>
    <row r="1168" spans="5:6" hidden="1">
      <c r="E1168" s="74" t="s">
        <v>83</v>
      </c>
      <c r="F1168" s="75">
        <f>'Mono 34,5kv'!BU15+'Mono 34,5kv'!BV15</f>
        <v>0</v>
      </c>
    </row>
    <row r="1169" spans="4:6" hidden="1">
      <c r="E1169" s="77" t="s">
        <v>85</v>
      </c>
      <c r="F1169" s="75">
        <f>'Mono 34,5kv'!BU16+'Mono 34,5kv'!BV16</f>
        <v>0</v>
      </c>
    </row>
    <row r="1170" spans="4:6" hidden="1">
      <c r="E1170" s="74" t="s">
        <v>84</v>
      </c>
      <c r="F1170" s="75">
        <f>'Mono 34,5kv'!BU17+'Mono 34,5kv'!BV17</f>
        <v>0</v>
      </c>
    </row>
    <row r="1171" spans="4:6" hidden="1">
      <c r="E1171" s="77" t="s">
        <v>86</v>
      </c>
      <c r="F1171" s="75">
        <f>'Mono 34,5kv'!BU18+'Mono 34,5kv'!BV18</f>
        <v>0</v>
      </c>
    </row>
    <row r="1172" spans="4:6" hidden="1">
      <c r="E1172" s="74" t="s">
        <v>87</v>
      </c>
      <c r="F1172" s="75">
        <f>'Mono 34,5kv'!BU19+'Mono 34,5kv'!BV19</f>
        <v>0</v>
      </c>
    </row>
    <row r="1173" spans="4:6" hidden="1">
      <c r="E1173" s="77" t="s">
        <v>101</v>
      </c>
      <c r="F1173" s="75">
        <f>'Mono 34,5kv'!BU20+'Mono 34,5kv'!BV20</f>
        <v>0</v>
      </c>
    </row>
    <row r="1174" spans="4:6" hidden="1">
      <c r="E1174" s="74" t="s">
        <v>88</v>
      </c>
      <c r="F1174" s="75">
        <f>'Mono 34,5kv'!BU21+'Mono 34,5kv'!BV21</f>
        <v>0</v>
      </c>
    </row>
    <row r="1175" spans="4:6" hidden="1">
      <c r="E1175" s="77" t="s">
        <v>89</v>
      </c>
      <c r="F1175" s="75">
        <f>'Mono 34,5kv'!BU22+'Mono 34,5kv'!BV22</f>
        <v>0</v>
      </c>
    </row>
    <row r="1176" spans="4:6" hidden="1">
      <c r="E1176" s="74" t="s">
        <v>90</v>
      </c>
      <c r="F1176" s="75">
        <f>'Mono 34,5kv'!BU23+'Mono 34,5kv'!BV23</f>
        <v>0</v>
      </c>
    </row>
    <row r="1177" spans="4:6" hidden="1">
      <c r="E1177" s="77" t="s">
        <v>93</v>
      </c>
      <c r="F1177" s="75">
        <f>'Mono 34,5kv'!BU24+'Mono 34,5kv'!BV24</f>
        <v>0</v>
      </c>
    </row>
    <row r="1178" spans="4:6" hidden="1">
      <c r="E1178" s="74" t="s">
        <v>91</v>
      </c>
      <c r="F1178" s="75">
        <f>'Mono 34,5kv'!BU25+'Mono 34,5kv'!BV25</f>
        <v>0</v>
      </c>
    </row>
    <row r="1179" spans="4:6" hidden="1">
      <c r="E1179" s="77" t="s">
        <v>92</v>
      </c>
      <c r="F1179" s="75">
        <f>'Mono 34,5kv'!BU26+'Mono 34,5kv'!BV26</f>
        <v>0</v>
      </c>
    </row>
    <row r="1180" spans="4:6" hidden="1">
      <c r="F1180" s="280">
        <f>SUM(F1158:F1179)</f>
        <v>0</v>
      </c>
    </row>
    <row r="1181" spans="4:6" ht="19.5" hidden="1" thickBot="1">
      <c r="D1181" s="272" t="s">
        <v>545</v>
      </c>
      <c r="E1181" s="274"/>
      <c r="F1181" s="286">
        <f>SUM(F1182:F1203)</f>
        <v>0</v>
      </c>
    </row>
    <row r="1182" spans="4:6" hidden="1">
      <c r="E1182" s="263" t="s">
        <v>74</v>
      </c>
      <c r="F1182" s="79">
        <f>'Mono 34,5kv'!BY5</f>
        <v>0</v>
      </c>
    </row>
    <row r="1183" spans="4:6" hidden="1">
      <c r="E1183" s="77" t="s">
        <v>75</v>
      </c>
      <c r="F1183" s="79">
        <f>'Mono 34,5kv'!BY6</f>
        <v>0</v>
      </c>
    </row>
    <row r="1184" spans="4:6" hidden="1">
      <c r="E1184" s="74" t="s">
        <v>76</v>
      </c>
      <c r="F1184" s="79">
        <f>'Mono 34,5kv'!BY7</f>
        <v>0</v>
      </c>
    </row>
    <row r="1185" spans="5:6" hidden="1">
      <c r="E1185" s="77" t="s">
        <v>77</v>
      </c>
      <c r="F1185" s="79">
        <f>'Mono 34,5kv'!BY8</f>
        <v>0</v>
      </c>
    </row>
    <row r="1186" spans="5:6" hidden="1">
      <c r="E1186" s="74" t="s">
        <v>100</v>
      </c>
      <c r="F1186" s="79">
        <f>'Mono 34,5kv'!BY9</f>
        <v>0</v>
      </c>
    </row>
    <row r="1187" spans="5:6" hidden="1">
      <c r="E1187" s="77" t="s">
        <v>78</v>
      </c>
      <c r="F1187" s="79">
        <f>'Mono 34,5kv'!BY10</f>
        <v>0</v>
      </c>
    </row>
    <row r="1188" spans="5:6" hidden="1">
      <c r="E1188" s="74" t="s">
        <v>79</v>
      </c>
      <c r="F1188" s="79">
        <f>'Mono 34,5kv'!BY11</f>
        <v>0</v>
      </c>
    </row>
    <row r="1189" spans="5:6" hidden="1">
      <c r="E1189" s="77" t="s">
        <v>80</v>
      </c>
      <c r="F1189" s="79">
        <f>'Mono 34,5kv'!BY12</f>
        <v>0</v>
      </c>
    </row>
    <row r="1190" spans="5:6" hidden="1">
      <c r="E1190" s="74" t="s">
        <v>81</v>
      </c>
      <c r="F1190" s="79">
        <f>'Mono 34,5kv'!BY13</f>
        <v>0</v>
      </c>
    </row>
    <row r="1191" spans="5:6" hidden="1">
      <c r="E1191" s="77" t="s">
        <v>82</v>
      </c>
      <c r="F1191" s="79">
        <f>'Mono 34,5kv'!BY14</f>
        <v>0</v>
      </c>
    </row>
    <row r="1192" spans="5:6" hidden="1">
      <c r="E1192" s="74" t="s">
        <v>83</v>
      </c>
      <c r="F1192" s="79">
        <f>'Mono 34,5kv'!BY15</f>
        <v>0</v>
      </c>
    </row>
    <row r="1193" spans="5:6" hidden="1">
      <c r="E1193" s="77" t="s">
        <v>85</v>
      </c>
      <c r="F1193" s="79">
        <f>'Mono 34,5kv'!BY16</f>
        <v>0</v>
      </c>
    </row>
    <row r="1194" spans="5:6" hidden="1">
      <c r="E1194" s="74" t="s">
        <v>84</v>
      </c>
      <c r="F1194" s="79">
        <f>'Mono 34,5kv'!BY17</f>
        <v>0</v>
      </c>
    </row>
    <row r="1195" spans="5:6" hidden="1">
      <c r="E1195" s="77" t="s">
        <v>86</v>
      </c>
      <c r="F1195" s="79">
        <f>'Mono 34,5kv'!BY18</f>
        <v>0</v>
      </c>
    </row>
    <row r="1196" spans="5:6" hidden="1">
      <c r="E1196" s="74" t="s">
        <v>87</v>
      </c>
      <c r="F1196" s="79">
        <f>'Mono 34,5kv'!BY19</f>
        <v>0</v>
      </c>
    </row>
    <row r="1197" spans="5:6" hidden="1">
      <c r="E1197" s="77" t="s">
        <v>101</v>
      </c>
      <c r="F1197" s="79">
        <f>'Mono 34,5kv'!BY20</f>
        <v>0</v>
      </c>
    </row>
    <row r="1198" spans="5:6" hidden="1">
      <c r="E1198" s="74" t="s">
        <v>88</v>
      </c>
      <c r="F1198" s="79">
        <f>'Mono 34,5kv'!BY21</f>
        <v>0</v>
      </c>
    </row>
    <row r="1199" spans="5:6" hidden="1">
      <c r="E1199" s="77" t="s">
        <v>89</v>
      </c>
      <c r="F1199" s="79">
        <f>'Mono 34,5kv'!BY22</f>
        <v>0</v>
      </c>
    </row>
    <row r="1200" spans="5:6" hidden="1">
      <c r="E1200" s="74" t="s">
        <v>90</v>
      </c>
      <c r="F1200" s="79">
        <f>'Mono 34,5kv'!BY23</f>
        <v>0</v>
      </c>
    </row>
    <row r="1201" spans="5:6" hidden="1">
      <c r="E1201" s="77" t="s">
        <v>93</v>
      </c>
      <c r="F1201" s="79">
        <f>'Mono 34,5kv'!BY24</f>
        <v>0</v>
      </c>
    </row>
    <row r="1202" spans="5:6" hidden="1">
      <c r="E1202" s="74" t="s">
        <v>91</v>
      </c>
      <c r="F1202" s="79">
        <f>'Mono 34,5kv'!BY25</f>
        <v>0</v>
      </c>
    </row>
    <row r="1203" spans="5:6" hidden="1">
      <c r="E1203" s="77" t="s">
        <v>92</v>
      </c>
      <c r="F1203" s="79">
        <f>'Mono 34,5kv'!BY26</f>
        <v>0</v>
      </c>
    </row>
    <row r="1204" spans="5:6" hidden="1">
      <c r="F1204" s="280">
        <f>SUM(F1182:F1203)</f>
        <v>0</v>
      </c>
    </row>
    <row r="1205" spans="5:6" ht="18.75" hidden="1">
      <c r="E1205" s="275" t="s">
        <v>146</v>
      </c>
      <c r="F1205" s="283">
        <f>SUM(F1206:F1227)</f>
        <v>0</v>
      </c>
    </row>
    <row r="1206" spans="5:6" hidden="1">
      <c r="E1206" s="74" t="s">
        <v>74</v>
      </c>
      <c r="F1206" s="75">
        <f>'Mono 34,5kv'!CB5+'Mono 34,5kv'!CC5</f>
        <v>0</v>
      </c>
    </row>
    <row r="1207" spans="5:6" hidden="1">
      <c r="E1207" s="77" t="s">
        <v>75</v>
      </c>
      <c r="F1207" s="75">
        <f>'Mono 34,5kv'!CB6+'Mono 34,5kv'!CC6</f>
        <v>0</v>
      </c>
    </row>
    <row r="1208" spans="5:6" hidden="1">
      <c r="E1208" s="74" t="s">
        <v>76</v>
      </c>
      <c r="F1208" s="75">
        <f>'Mono 34,5kv'!CB7+'Mono 34,5kv'!CC7</f>
        <v>0</v>
      </c>
    </row>
    <row r="1209" spans="5:6" hidden="1">
      <c r="E1209" s="77" t="s">
        <v>77</v>
      </c>
      <c r="F1209" s="75">
        <f>'Mono 34,5kv'!CB8+'Mono 34,5kv'!CC8</f>
        <v>0</v>
      </c>
    </row>
    <row r="1210" spans="5:6" hidden="1">
      <c r="E1210" s="74" t="s">
        <v>100</v>
      </c>
      <c r="F1210" s="75">
        <f>'Mono 34,5kv'!CB9+'Mono 34,5kv'!CC9</f>
        <v>0</v>
      </c>
    </row>
    <row r="1211" spans="5:6" hidden="1">
      <c r="E1211" s="77" t="s">
        <v>78</v>
      </c>
      <c r="F1211" s="75">
        <f>'Mono 34,5kv'!CB10+'Mono 34,5kv'!CC10</f>
        <v>0</v>
      </c>
    </row>
    <row r="1212" spans="5:6" hidden="1">
      <c r="E1212" s="74" t="s">
        <v>79</v>
      </c>
      <c r="F1212" s="75">
        <f>'Mono 34,5kv'!CB11+'Mono 34,5kv'!CC11</f>
        <v>0</v>
      </c>
    </row>
    <row r="1213" spans="5:6" hidden="1">
      <c r="E1213" s="77" t="s">
        <v>80</v>
      </c>
      <c r="F1213" s="75">
        <f>'Mono 34,5kv'!CB12+'Mono 34,5kv'!CC12</f>
        <v>0</v>
      </c>
    </row>
    <row r="1214" spans="5:6" hidden="1">
      <c r="E1214" s="74" t="s">
        <v>81</v>
      </c>
      <c r="F1214" s="75">
        <f>'Mono 34,5kv'!CB13+'Mono 34,5kv'!CC13</f>
        <v>0</v>
      </c>
    </row>
    <row r="1215" spans="5:6" hidden="1">
      <c r="E1215" s="77" t="s">
        <v>82</v>
      </c>
      <c r="F1215" s="75">
        <f>'Mono 34,5kv'!CB14+'Mono 34,5kv'!CC14</f>
        <v>0</v>
      </c>
    </row>
    <row r="1216" spans="5:6" hidden="1">
      <c r="E1216" s="74" t="s">
        <v>83</v>
      </c>
      <c r="F1216" s="75">
        <f>'Mono 34,5kv'!CB15+'Mono 34,5kv'!CC15</f>
        <v>0</v>
      </c>
    </row>
    <row r="1217" spans="4:19" hidden="1">
      <c r="E1217" s="77" t="s">
        <v>85</v>
      </c>
      <c r="F1217" s="75">
        <f>'Mono 34,5kv'!CB16+'Mono 34,5kv'!CC16</f>
        <v>0</v>
      </c>
    </row>
    <row r="1218" spans="4:19" hidden="1">
      <c r="E1218" s="74" t="s">
        <v>84</v>
      </c>
      <c r="F1218" s="75">
        <f>'Mono 34,5kv'!CB17+'Mono 34,5kv'!CC17</f>
        <v>0</v>
      </c>
    </row>
    <row r="1219" spans="4:19" hidden="1">
      <c r="E1219" s="77" t="s">
        <v>86</v>
      </c>
      <c r="F1219" s="75">
        <f>'Mono 34,5kv'!CB18+'Mono 34,5kv'!CC18</f>
        <v>0</v>
      </c>
    </row>
    <row r="1220" spans="4:19" hidden="1">
      <c r="E1220" s="74" t="s">
        <v>87</v>
      </c>
      <c r="F1220" s="75">
        <f>'Mono 34,5kv'!CB19+'Mono 34,5kv'!CC19</f>
        <v>0</v>
      </c>
    </row>
    <row r="1221" spans="4:19" hidden="1">
      <c r="E1221" s="77" t="s">
        <v>101</v>
      </c>
      <c r="F1221" s="75">
        <f>'Mono 34,5kv'!CB20+'Mono 34,5kv'!CC20</f>
        <v>0</v>
      </c>
    </row>
    <row r="1222" spans="4:19" hidden="1">
      <c r="E1222" s="74" t="s">
        <v>88</v>
      </c>
      <c r="F1222" s="75">
        <f>'Mono 34,5kv'!CB21+'Mono 34,5kv'!CC21</f>
        <v>0</v>
      </c>
    </row>
    <row r="1223" spans="4:19" hidden="1">
      <c r="E1223" s="77" t="s">
        <v>89</v>
      </c>
      <c r="F1223" s="75">
        <f>'Mono 34,5kv'!CB22+'Mono 34,5kv'!CC22</f>
        <v>0</v>
      </c>
    </row>
    <row r="1224" spans="4:19" hidden="1">
      <c r="E1224" s="74" t="s">
        <v>90</v>
      </c>
      <c r="F1224" s="75">
        <f>'Mono 34,5kv'!CB23+'Mono 34,5kv'!CC23</f>
        <v>0</v>
      </c>
    </row>
    <row r="1225" spans="4:19" hidden="1">
      <c r="E1225" s="77" t="s">
        <v>93</v>
      </c>
      <c r="F1225" s="75">
        <f>'Mono 34,5kv'!CB24+'Mono 34,5kv'!CC24</f>
        <v>0</v>
      </c>
    </row>
    <row r="1226" spans="4:19" hidden="1">
      <c r="E1226" s="74" t="s">
        <v>91</v>
      </c>
      <c r="F1226" s="75">
        <f>'Mono 34,5kv'!CB25+'Mono 34,5kv'!CC25</f>
        <v>0</v>
      </c>
    </row>
    <row r="1227" spans="4:19" hidden="1">
      <c r="E1227" s="77" t="s">
        <v>92</v>
      </c>
      <c r="F1227" s="75">
        <f>'Mono 34,5kv'!CB26+'Mono 34,5kv'!CC26</f>
        <v>0</v>
      </c>
    </row>
    <row r="1228" spans="4:19" hidden="1">
      <c r="E1228" s="8"/>
      <c r="F1228" s="280">
        <f>SUM(F1206:F1227)</f>
        <v>0</v>
      </c>
    </row>
    <row r="1229" spans="4:19" ht="20.25" hidden="1" thickBot="1">
      <c r="D1229" s="1677" t="s">
        <v>546</v>
      </c>
      <c r="E1229" s="1686"/>
      <c r="F1229" s="284">
        <f>SUM(F1230:F1240)</f>
        <v>0</v>
      </c>
      <c r="G1229" s="18"/>
      <c r="H1229" s="16"/>
      <c r="I1229" s="18"/>
      <c r="J1229" s="18"/>
      <c r="K1229" s="18"/>
      <c r="L1229" s="16"/>
      <c r="M1229" s="18"/>
      <c r="N1229" s="18"/>
      <c r="O1229" s="18"/>
      <c r="P1229" s="16"/>
      <c r="Q1229" s="18"/>
      <c r="R1229" s="18"/>
      <c r="S1229" s="18"/>
    </row>
    <row r="1230" spans="4:19" hidden="1">
      <c r="E1230" s="74" t="s">
        <v>74</v>
      </c>
      <c r="F1230" s="276">
        <f>'Mono 34,5kv'!CF5+'Mono 34,5kv'!CG5</f>
        <v>0</v>
      </c>
      <c r="G1230" s="132"/>
      <c r="H1230" s="29"/>
      <c r="I1230" s="277"/>
      <c r="J1230" s="132"/>
      <c r="K1230" s="132"/>
      <c r="L1230" s="29"/>
      <c r="M1230" s="277"/>
      <c r="N1230" s="132"/>
      <c r="O1230" s="132"/>
      <c r="P1230" s="29"/>
      <c r="Q1230" s="277"/>
      <c r="R1230" s="132"/>
      <c r="S1230" s="132"/>
    </row>
    <row r="1231" spans="4:19" hidden="1">
      <c r="E1231" s="77" t="s">
        <v>75</v>
      </c>
      <c r="F1231" s="276">
        <f>'Mono 34,5kv'!CF6+'Mono 34,5kv'!CG6</f>
        <v>0</v>
      </c>
      <c r="G1231" s="132"/>
      <c r="H1231" s="31"/>
      <c r="I1231" s="277"/>
      <c r="J1231" s="132"/>
      <c r="K1231" s="132"/>
      <c r="L1231" s="31"/>
      <c r="M1231" s="277"/>
      <c r="N1231" s="132"/>
      <c r="O1231" s="132"/>
      <c r="P1231" s="31"/>
      <c r="Q1231" s="277"/>
      <c r="R1231" s="132"/>
      <c r="S1231" s="132"/>
    </row>
    <row r="1232" spans="4:19" hidden="1">
      <c r="E1232" s="74" t="s">
        <v>76</v>
      </c>
      <c r="F1232" s="276">
        <f>'Mono 34,5kv'!CF7+'Mono 34,5kv'!CG7</f>
        <v>0</v>
      </c>
      <c r="G1232" s="132"/>
      <c r="H1232" s="31"/>
      <c r="I1232" s="277"/>
      <c r="J1232" s="132"/>
      <c r="K1232" s="132"/>
      <c r="L1232" s="31"/>
      <c r="M1232" s="277"/>
      <c r="N1232" s="132"/>
      <c r="O1232" s="132"/>
      <c r="P1232" s="31"/>
      <c r="Q1232" s="277"/>
      <c r="R1232" s="132"/>
      <c r="S1232" s="132"/>
    </row>
    <row r="1233" spans="5:19" hidden="1">
      <c r="E1233" s="77" t="s">
        <v>77</v>
      </c>
      <c r="F1233" s="276">
        <f>'Mono 34,5kv'!CF8+'Mono 34,5kv'!CG8</f>
        <v>0</v>
      </c>
      <c r="G1233" s="132"/>
      <c r="H1233" s="31"/>
      <c r="I1233" s="277"/>
      <c r="J1233" s="132"/>
      <c r="K1233" s="132"/>
      <c r="L1233" s="31"/>
      <c r="M1233" s="277"/>
      <c r="N1233" s="132"/>
      <c r="O1233" s="132"/>
      <c r="P1233" s="31"/>
      <c r="Q1233" s="277"/>
      <c r="R1233" s="132"/>
      <c r="S1233" s="132"/>
    </row>
    <row r="1234" spans="5:19" hidden="1">
      <c r="E1234" s="74" t="s">
        <v>100</v>
      </c>
      <c r="F1234" s="276">
        <f>'Mono 34,5kv'!CF9+'Mono 34,5kv'!CG9</f>
        <v>0</v>
      </c>
      <c r="G1234" s="132"/>
      <c r="H1234" s="31"/>
      <c r="I1234" s="277"/>
      <c r="J1234" s="132"/>
      <c r="K1234" s="132"/>
      <c r="L1234" s="31"/>
      <c r="M1234" s="277"/>
      <c r="N1234" s="132"/>
      <c r="O1234" s="132"/>
      <c r="P1234" s="31"/>
      <c r="Q1234" s="277"/>
      <c r="R1234" s="132"/>
      <c r="S1234" s="132"/>
    </row>
    <row r="1235" spans="5:19" hidden="1">
      <c r="E1235" s="77" t="s">
        <v>78</v>
      </c>
      <c r="F1235" s="276">
        <f>'Mono 34,5kv'!CF10+'Mono 34,5kv'!CG10</f>
        <v>0</v>
      </c>
      <c r="G1235" s="132"/>
      <c r="H1235" s="31"/>
      <c r="I1235" s="277"/>
      <c r="J1235" s="132"/>
      <c r="K1235" s="132"/>
      <c r="L1235" s="31"/>
      <c r="M1235" s="277"/>
      <c r="N1235" s="132"/>
      <c r="O1235" s="132"/>
      <c r="P1235" s="31"/>
      <c r="Q1235" s="277"/>
      <c r="R1235" s="132"/>
      <c r="S1235" s="132"/>
    </row>
    <row r="1236" spans="5:19" hidden="1">
      <c r="E1236" s="74" t="s">
        <v>79</v>
      </c>
      <c r="F1236" s="276">
        <f>'Mono 34,5kv'!CF11+'Mono 34,5kv'!CG11</f>
        <v>0</v>
      </c>
      <c r="G1236" s="132"/>
      <c r="H1236" s="31"/>
      <c r="I1236" s="277"/>
      <c r="J1236" s="132"/>
      <c r="K1236" s="132"/>
      <c r="L1236" s="31"/>
      <c r="M1236" s="277"/>
      <c r="N1236" s="132"/>
      <c r="O1236" s="132"/>
      <c r="P1236" s="31"/>
      <c r="Q1236" s="277"/>
      <c r="R1236" s="132"/>
      <c r="S1236" s="132"/>
    </row>
    <row r="1237" spans="5:19" hidden="1">
      <c r="E1237" s="77" t="s">
        <v>80</v>
      </c>
      <c r="F1237" s="276">
        <f>'Mono 34,5kv'!CF12+'Mono 34,5kv'!CG12</f>
        <v>0</v>
      </c>
      <c r="G1237" s="132"/>
      <c r="H1237" s="31"/>
      <c r="I1237" s="277"/>
      <c r="J1237" s="132"/>
      <c r="K1237" s="132"/>
      <c r="L1237" s="31"/>
      <c r="M1237" s="277"/>
      <c r="N1237" s="132"/>
      <c r="O1237" s="132"/>
      <c r="P1237" s="31"/>
      <c r="Q1237" s="277"/>
      <c r="R1237" s="132"/>
      <c r="S1237" s="132"/>
    </row>
    <row r="1238" spans="5:19" hidden="1">
      <c r="E1238" s="74" t="s">
        <v>81</v>
      </c>
      <c r="F1238" s="276">
        <f>'Mono 34,5kv'!CF13+'Mono 34,5kv'!CG13</f>
        <v>0</v>
      </c>
      <c r="G1238" s="132"/>
      <c r="H1238" s="31"/>
      <c r="I1238" s="277"/>
      <c r="J1238" s="132"/>
      <c r="K1238" s="132"/>
      <c r="L1238" s="31"/>
      <c r="M1238" s="277"/>
      <c r="N1238" s="132"/>
      <c r="O1238" s="132"/>
      <c r="P1238" s="31"/>
      <c r="Q1238" s="277"/>
      <c r="R1238" s="132"/>
      <c r="S1238" s="132"/>
    </row>
    <row r="1239" spans="5:19" hidden="1">
      <c r="E1239" s="77" t="s">
        <v>82</v>
      </c>
      <c r="F1239" s="276">
        <f>'Mono 34,5kv'!CF14+'Mono 34,5kv'!CG14</f>
        <v>0</v>
      </c>
      <c r="G1239" s="132"/>
      <c r="H1239" s="31"/>
      <c r="I1239" s="277"/>
      <c r="J1239" s="132"/>
      <c r="K1239" s="132"/>
      <c r="L1239" s="31"/>
      <c r="M1239" s="277"/>
      <c r="N1239" s="132"/>
      <c r="O1239" s="132"/>
      <c r="P1239" s="31"/>
      <c r="Q1239" s="277"/>
      <c r="R1239" s="132"/>
      <c r="S1239" s="132"/>
    </row>
    <row r="1240" spans="5:19" hidden="1">
      <c r="E1240" s="74" t="s">
        <v>83</v>
      </c>
      <c r="F1240" s="276">
        <f>'Mono 34,5kv'!CF15+'Mono 34,5kv'!CG15</f>
        <v>0</v>
      </c>
      <c r="G1240" s="132"/>
      <c r="H1240" s="31"/>
      <c r="I1240" s="277"/>
      <c r="J1240" s="132"/>
      <c r="K1240" s="132"/>
      <c r="L1240" s="31"/>
      <c r="M1240" s="277"/>
      <c r="N1240" s="132"/>
      <c r="O1240" s="132"/>
      <c r="P1240" s="31"/>
      <c r="Q1240" s="277"/>
      <c r="R1240" s="132"/>
      <c r="S1240" s="132"/>
    </row>
    <row r="1241" spans="5:19" hidden="1">
      <c r="E1241" s="77" t="s">
        <v>85</v>
      </c>
      <c r="F1241" s="276">
        <f>'Mono 34,5kv'!CF16+'Mono 34,5kv'!CG16</f>
        <v>0</v>
      </c>
    </row>
    <row r="1242" spans="5:19" hidden="1">
      <c r="E1242" s="74" t="s">
        <v>84</v>
      </c>
      <c r="F1242" s="276">
        <f>'Mono 34,5kv'!CF17+'Mono 34,5kv'!CG17</f>
        <v>0</v>
      </c>
    </row>
    <row r="1243" spans="5:19" hidden="1">
      <c r="E1243" s="77" t="s">
        <v>86</v>
      </c>
      <c r="F1243" s="276">
        <f>'Mono 34,5kv'!CF18+'Mono 34,5kv'!CG18</f>
        <v>0</v>
      </c>
    </row>
    <row r="1244" spans="5:19" hidden="1">
      <c r="E1244" s="74" t="s">
        <v>87</v>
      </c>
      <c r="F1244" s="276">
        <f>'Mono 34,5kv'!CF19+'Mono 34,5kv'!CG19</f>
        <v>0</v>
      </c>
    </row>
    <row r="1245" spans="5:19" hidden="1">
      <c r="E1245" s="77" t="s">
        <v>101</v>
      </c>
      <c r="F1245" s="276">
        <f>'Mono 34,5kv'!CF20+'Mono 34,5kv'!CG20</f>
        <v>0</v>
      </c>
    </row>
    <row r="1246" spans="5:19" hidden="1">
      <c r="E1246" s="74" t="s">
        <v>88</v>
      </c>
      <c r="F1246" s="276">
        <f>'Mono 34,5kv'!CF21+'Mono 34,5kv'!CG21</f>
        <v>0</v>
      </c>
    </row>
    <row r="1247" spans="5:19" hidden="1">
      <c r="E1247" s="77" t="s">
        <v>89</v>
      </c>
      <c r="F1247" s="276">
        <f>'Mono 34,5kv'!CF22+'Mono 34,5kv'!CG22</f>
        <v>0</v>
      </c>
    </row>
    <row r="1248" spans="5:19" hidden="1">
      <c r="E1248" s="74" t="s">
        <v>90</v>
      </c>
      <c r="F1248" s="276">
        <f>'Mono 34,5kv'!CF23+'Mono 34,5kv'!CG23</f>
        <v>0</v>
      </c>
    </row>
    <row r="1249" spans="4:6" hidden="1">
      <c r="E1249" s="77" t="s">
        <v>93</v>
      </c>
      <c r="F1249" s="276">
        <f>'Mono 34,5kv'!CF24+'Mono 34,5kv'!CG24</f>
        <v>0</v>
      </c>
    </row>
    <row r="1250" spans="4:6" hidden="1">
      <c r="E1250" s="74" t="s">
        <v>91</v>
      </c>
      <c r="F1250" s="276">
        <f>'Mono 34,5kv'!CF25+'Mono 34,5kv'!CG25</f>
        <v>0</v>
      </c>
    </row>
    <row r="1251" spans="4:6" hidden="1">
      <c r="E1251" s="77" t="s">
        <v>92</v>
      </c>
      <c r="F1251" s="276">
        <f>'Mono 34,5kv'!CF26+'Mono 34,5kv'!CG26</f>
        <v>0</v>
      </c>
    </row>
    <row r="1252" spans="4:6" hidden="1">
      <c r="F1252" s="282">
        <f>SUM(F1230:F1251)</f>
        <v>0</v>
      </c>
    </row>
    <row r="1253" spans="4:6" ht="19.5" hidden="1" thickBot="1">
      <c r="D1253" s="1677" t="s">
        <v>547</v>
      </c>
      <c r="E1253" s="1686"/>
      <c r="F1253" s="285">
        <f>SUM(F1254:F1264)</f>
        <v>0</v>
      </c>
    </row>
    <row r="1254" spans="4:6" hidden="1">
      <c r="E1254" s="74" t="s">
        <v>74</v>
      </c>
      <c r="F1254" s="75">
        <f>'Mono 34,5kv'!CJ5+'Mono 34,5kv'!CK5</f>
        <v>0</v>
      </c>
    </row>
    <row r="1255" spans="4:6" hidden="1">
      <c r="E1255" s="77" t="s">
        <v>75</v>
      </c>
      <c r="F1255" s="75">
        <f>'Mono 34,5kv'!CJ6+'Mono 34,5kv'!CK6</f>
        <v>0</v>
      </c>
    </row>
    <row r="1256" spans="4:6" hidden="1">
      <c r="E1256" s="74" t="s">
        <v>76</v>
      </c>
      <c r="F1256" s="75">
        <f>'Mono 34,5kv'!CJ7+'Mono 34,5kv'!CK7</f>
        <v>0</v>
      </c>
    </row>
    <row r="1257" spans="4:6" hidden="1">
      <c r="E1257" s="77" t="s">
        <v>77</v>
      </c>
      <c r="F1257" s="75">
        <f>'Mono 34,5kv'!CJ8+'Mono 34,5kv'!CK8</f>
        <v>0</v>
      </c>
    </row>
    <row r="1258" spans="4:6" hidden="1">
      <c r="E1258" s="74" t="s">
        <v>100</v>
      </c>
      <c r="F1258" s="75">
        <f>'Mono 34,5kv'!CJ9+'Mono 34,5kv'!CK9</f>
        <v>0</v>
      </c>
    </row>
    <row r="1259" spans="4:6" hidden="1">
      <c r="E1259" s="77" t="s">
        <v>78</v>
      </c>
      <c r="F1259" s="75">
        <f>'Mono 34,5kv'!CJ10+'Mono 34,5kv'!CK10</f>
        <v>0</v>
      </c>
    </row>
    <row r="1260" spans="4:6" hidden="1">
      <c r="E1260" s="74" t="s">
        <v>79</v>
      </c>
      <c r="F1260" s="75">
        <f>'Mono 34,5kv'!CJ11+'Mono 34,5kv'!CK11</f>
        <v>0</v>
      </c>
    </row>
    <row r="1261" spans="4:6" hidden="1">
      <c r="E1261" s="77" t="s">
        <v>80</v>
      </c>
      <c r="F1261" s="75">
        <f>'Mono 34,5kv'!CJ12+'Mono 34,5kv'!CK12</f>
        <v>0</v>
      </c>
    </row>
    <row r="1262" spans="4:6" hidden="1">
      <c r="E1262" s="74" t="s">
        <v>81</v>
      </c>
      <c r="F1262" s="75">
        <f>'Mono 34,5kv'!CJ13+'Mono 34,5kv'!CK13</f>
        <v>0</v>
      </c>
    </row>
    <row r="1263" spans="4:6" hidden="1">
      <c r="E1263" s="77" t="s">
        <v>82</v>
      </c>
      <c r="F1263" s="75">
        <f>'Mono 34,5kv'!CJ14+'Mono 34,5kv'!CK14</f>
        <v>0</v>
      </c>
    </row>
    <row r="1264" spans="4:6" hidden="1">
      <c r="E1264" s="74" t="s">
        <v>83</v>
      </c>
      <c r="F1264" s="75">
        <f>'Mono 34,5kv'!CJ15+'Mono 34,5kv'!CK15</f>
        <v>0</v>
      </c>
    </row>
    <row r="1265" spans="4:6" hidden="1">
      <c r="E1265" s="77" t="s">
        <v>85</v>
      </c>
      <c r="F1265" s="75">
        <f>'Mono 34,5kv'!CJ16+'Mono 34,5kv'!CK16</f>
        <v>0</v>
      </c>
    </row>
    <row r="1266" spans="4:6" hidden="1">
      <c r="E1266" s="74" t="s">
        <v>84</v>
      </c>
      <c r="F1266" s="75">
        <f>'Mono 34,5kv'!CJ17+'Mono 34,5kv'!CK17</f>
        <v>0</v>
      </c>
    </row>
    <row r="1267" spans="4:6" hidden="1">
      <c r="E1267" s="77" t="s">
        <v>86</v>
      </c>
      <c r="F1267" s="75">
        <f>'Mono 34,5kv'!CJ18+'Mono 34,5kv'!CK18</f>
        <v>0</v>
      </c>
    </row>
    <row r="1268" spans="4:6" hidden="1">
      <c r="E1268" s="74" t="s">
        <v>87</v>
      </c>
      <c r="F1268" s="75">
        <f>'Mono 34,5kv'!CJ19+'Mono 34,5kv'!CK19</f>
        <v>0</v>
      </c>
    </row>
    <row r="1269" spans="4:6" hidden="1">
      <c r="E1269" s="77" t="s">
        <v>101</v>
      </c>
      <c r="F1269" s="75">
        <f>'Mono 34,5kv'!CJ20+'Mono 34,5kv'!CK20</f>
        <v>0</v>
      </c>
    </row>
    <row r="1270" spans="4:6" hidden="1">
      <c r="E1270" s="74" t="s">
        <v>88</v>
      </c>
      <c r="F1270" s="75">
        <f>'Mono 34,5kv'!CJ21+'Mono 34,5kv'!CK21</f>
        <v>0</v>
      </c>
    </row>
    <row r="1271" spans="4:6" hidden="1">
      <c r="E1271" s="77" t="s">
        <v>89</v>
      </c>
      <c r="F1271" s="75">
        <f>'Mono 34,5kv'!CJ22+'Mono 34,5kv'!CK22</f>
        <v>0</v>
      </c>
    </row>
    <row r="1272" spans="4:6" hidden="1">
      <c r="E1272" s="74" t="s">
        <v>90</v>
      </c>
      <c r="F1272" s="75">
        <f>'Mono 34,5kv'!CJ23+'Mono 34,5kv'!CK23</f>
        <v>0</v>
      </c>
    </row>
    <row r="1273" spans="4:6" hidden="1">
      <c r="E1273" s="77" t="s">
        <v>93</v>
      </c>
      <c r="F1273" s="75">
        <f>'Mono 34,5kv'!CJ24+'Mono 34,5kv'!CK24</f>
        <v>0</v>
      </c>
    </row>
    <row r="1274" spans="4:6" hidden="1">
      <c r="E1274" s="74" t="s">
        <v>91</v>
      </c>
      <c r="F1274" s="75">
        <f>'Mono 34,5kv'!CJ25+'Mono 34,5kv'!CK25</f>
        <v>0</v>
      </c>
    </row>
    <row r="1275" spans="4:6" hidden="1">
      <c r="E1275" s="77" t="s">
        <v>92</v>
      </c>
      <c r="F1275" s="75">
        <f>'Mono 34,5kv'!CJ26+'Mono 34,5kv'!CK26</f>
        <v>0</v>
      </c>
    </row>
    <row r="1276" spans="4:6" hidden="1">
      <c r="F1276" s="280">
        <f>SUM(F1254:F1275)</f>
        <v>0</v>
      </c>
    </row>
    <row r="1277" spans="4:6" ht="19.5" hidden="1" thickBot="1">
      <c r="D1277" s="1677" t="s">
        <v>548</v>
      </c>
      <c r="E1277" s="1686"/>
      <c r="F1277" s="285">
        <f>SUM(F1278:F1288)</f>
        <v>0</v>
      </c>
    </row>
    <row r="1278" spans="4:6" hidden="1">
      <c r="E1278" s="74" t="s">
        <v>74</v>
      </c>
      <c r="F1278" s="75">
        <f>'Mono 34,5kv'!CN5+'Mono 34,5kv'!CO5</f>
        <v>0</v>
      </c>
    </row>
    <row r="1279" spans="4:6" hidden="1">
      <c r="E1279" s="77" t="s">
        <v>75</v>
      </c>
      <c r="F1279" s="75">
        <f>'Mono 34,5kv'!CN6+'Mono 34,5kv'!CO6</f>
        <v>0</v>
      </c>
    </row>
    <row r="1280" spans="4:6" hidden="1">
      <c r="E1280" s="74" t="s">
        <v>76</v>
      </c>
      <c r="F1280" s="75">
        <f>'Mono 34,5kv'!CN7+'Mono 34,5kv'!CO7</f>
        <v>0</v>
      </c>
    </row>
    <row r="1281" spans="5:6" hidden="1">
      <c r="E1281" s="77" t="s">
        <v>77</v>
      </c>
      <c r="F1281" s="75">
        <f>'Mono 34,5kv'!CN8+'Mono 34,5kv'!CO8</f>
        <v>0</v>
      </c>
    </row>
    <row r="1282" spans="5:6" hidden="1">
      <c r="E1282" s="74" t="s">
        <v>100</v>
      </c>
      <c r="F1282" s="75">
        <f>'Mono 34,5kv'!CN9+'Mono 34,5kv'!CO9</f>
        <v>0</v>
      </c>
    </row>
    <row r="1283" spans="5:6" hidden="1">
      <c r="E1283" s="77" t="s">
        <v>78</v>
      </c>
      <c r="F1283" s="75">
        <f>'Mono 34,5kv'!CN10+'Mono 34,5kv'!CO10</f>
        <v>0</v>
      </c>
    </row>
    <row r="1284" spans="5:6" hidden="1">
      <c r="E1284" s="74" t="s">
        <v>79</v>
      </c>
      <c r="F1284" s="75">
        <f>'Mono 34,5kv'!CN11+'Mono 34,5kv'!CO11</f>
        <v>0</v>
      </c>
    </row>
    <row r="1285" spans="5:6" hidden="1">
      <c r="E1285" s="77" t="s">
        <v>80</v>
      </c>
      <c r="F1285" s="75">
        <f>'Mono 34,5kv'!CN12+'Mono 34,5kv'!CO12</f>
        <v>0</v>
      </c>
    </row>
    <row r="1286" spans="5:6" hidden="1">
      <c r="E1286" s="74" t="s">
        <v>81</v>
      </c>
      <c r="F1286" s="75">
        <f>'Mono 34,5kv'!CN13+'Mono 34,5kv'!CO13</f>
        <v>0</v>
      </c>
    </row>
    <row r="1287" spans="5:6" hidden="1">
      <c r="E1287" s="77" t="s">
        <v>82</v>
      </c>
      <c r="F1287" s="75">
        <f>'Mono 34,5kv'!CN14+'Mono 34,5kv'!CO14</f>
        <v>0</v>
      </c>
    </row>
    <row r="1288" spans="5:6" hidden="1">
      <c r="E1288" s="74" t="s">
        <v>83</v>
      </c>
      <c r="F1288" s="75">
        <f>'Mono 34,5kv'!CN15+'Mono 34,5kv'!CO15</f>
        <v>0</v>
      </c>
    </row>
    <row r="1289" spans="5:6" hidden="1">
      <c r="E1289" s="77" t="s">
        <v>85</v>
      </c>
      <c r="F1289" s="75">
        <f>'Mono 34,5kv'!CN16+'Mono 34,5kv'!CO16</f>
        <v>0</v>
      </c>
    </row>
    <row r="1290" spans="5:6" hidden="1">
      <c r="E1290" s="74" t="s">
        <v>84</v>
      </c>
      <c r="F1290" s="75">
        <f>'Mono 34,5kv'!CN17+'Mono 34,5kv'!CO17</f>
        <v>0</v>
      </c>
    </row>
    <row r="1291" spans="5:6" hidden="1">
      <c r="E1291" s="77" t="s">
        <v>86</v>
      </c>
      <c r="F1291" s="75">
        <f>'Mono 34,5kv'!CN18+'Mono 34,5kv'!CO18</f>
        <v>0</v>
      </c>
    </row>
    <row r="1292" spans="5:6" hidden="1">
      <c r="E1292" s="74" t="s">
        <v>87</v>
      </c>
      <c r="F1292" s="75">
        <f>'Mono 34,5kv'!CN19+'Mono 34,5kv'!CO19</f>
        <v>0</v>
      </c>
    </row>
    <row r="1293" spans="5:6" hidden="1">
      <c r="E1293" s="77" t="s">
        <v>101</v>
      </c>
      <c r="F1293" s="75">
        <f>'Mono 34,5kv'!CN20+'Mono 34,5kv'!CO20</f>
        <v>0</v>
      </c>
    </row>
    <row r="1294" spans="5:6" hidden="1">
      <c r="E1294" s="74" t="s">
        <v>88</v>
      </c>
      <c r="F1294" s="75">
        <f>'Mono 34,5kv'!CN21+'Mono 34,5kv'!CO21</f>
        <v>0</v>
      </c>
    </row>
    <row r="1295" spans="5:6" hidden="1">
      <c r="E1295" s="77" t="s">
        <v>89</v>
      </c>
      <c r="F1295" s="75">
        <f>'Mono 34,5kv'!CN22+'Mono 34,5kv'!CO22</f>
        <v>0</v>
      </c>
    </row>
    <row r="1296" spans="5:6" hidden="1">
      <c r="E1296" s="74" t="s">
        <v>90</v>
      </c>
      <c r="F1296" s="75">
        <f>'Mono 34,5kv'!CN23+'Mono 34,5kv'!CO23</f>
        <v>0</v>
      </c>
    </row>
    <row r="1297" spans="4:6" hidden="1">
      <c r="E1297" s="77" t="s">
        <v>93</v>
      </c>
      <c r="F1297" s="75">
        <f>'Mono 34,5kv'!CN24+'Mono 34,5kv'!CO24</f>
        <v>0</v>
      </c>
    </row>
    <row r="1298" spans="4:6" hidden="1">
      <c r="E1298" s="74" t="s">
        <v>91</v>
      </c>
      <c r="F1298" s="75">
        <f>'Mono 34,5kv'!CN25+'Mono 34,5kv'!CO25</f>
        <v>0</v>
      </c>
    </row>
    <row r="1299" spans="4:6" hidden="1">
      <c r="E1299" s="77" t="s">
        <v>92</v>
      </c>
      <c r="F1299" s="75">
        <f>'Mono 34,5kv'!CN26+'Mono 34,5kv'!CO26</f>
        <v>0</v>
      </c>
    </row>
    <row r="1300" spans="4:6" hidden="1">
      <c r="F1300" s="282">
        <f>SUM(F1278:F1299)</f>
        <v>0</v>
      </c>
    </row>
    <row r="1301" spans="4:6" ht="19.5" hidden="1" thickBot="1">
      <c r="D1301" s="1677" t="s">
        <v>549</v>
      </c>
      <c r="E1301" s="1686"/>
      <c r="F1301" s="285">
        <f>SUM(F1302:F1312)</f>
        <v>0</v>
      </c>
    </row>
    <row r="1302" spans="4:6" hidden="1">
      <c r="E1302" s="74" t="s">
        <v>74</v>
      </c>
      <c r="F1302" s="75">
        <f>'Mono 34,5kv'!CV5+'Mono 34,5kv'!CW5</f>
        <v>0</v>
      </c>
    </row>
    <row r="1303" spans="4:6" hidden="1">
      <c r="E1303" s="77" t="s">
        <v>75</v>
      </c>
      <c r="F1303" s="75">
        <f>'Mono 34,5kv'!CV6+'Mono 34,5kv'!CW6</f>
        <v>0</v>
      </c>
    </row>
    <row r="1304" spans="4:6" hidden="1">
      <c r="E1304" s="74" t="s">
        <v>76</v>
      </c>
      <c r="F1304" s="75">
        <f>'Mono 34,5kv'!CV7+'Mono 34,5kv'!CW7</f>
        <v>0</v>
      </c>
    </row>
    <row r="1305" spans="4:6" hidden="1">
      <c r="E1305" s="77" t="s">
        <v>77</v>
      </c>
      <c r="F1305" s="75">
        <f>'Mono 34,5kv'!CV8+'Mono 34,5kv'!CW8</f>
        <v>0</v>
      </c>
    </row>
    <row r="1306" spans="4:6" hidden="1">
      <c r="E1306" s="74" t="s">
        <v>100</v>
      </c>
      <c r="F1306" s="75">
        <f>'Mono 34,5kv'!CV9+'Mono 34,5kv'!CW9</f>
        <v>0</v>
      </c>
    </row>
    <row r="1307" spans="4:6" hidden="1">
      <c r="E1307" s="77" t="s">
        <v>78</v>
      </c>
      <c r="F1307" s="75">
        <f>'Mono 34,5kv'!CV10+'Mono 34,5kv'!CW10</f>
        <v>0</v>
      </c>
    </row>
    <row r="1308" spans="4:6" hidden="1">
      <c r="E1308" s="74" t="s">
        <v>79</v>
      </c>
      <c r="F1308" s="75">
        <f>'Mono 34,5kv'!CV11+'Mono 34,5kv'!CW11</f>
        <v>0</v>
      </c>
    </row>
    <row r="1309" spans="4:6" hidden="1">
      <c r="E1309" s="77" t="s">
        <v>80</v>
      </c>
      <c r="F1309" s="75">
        <f>'Mono 34,5kv'!CV12+'Mono 34,5kv'!CW12</f>
        <v>0</v>
      </c>
    </row>
    <row r="1310" spans="4:6" hidden="1">
      <c r="E1310" s="74" t="s">
        <v>81</v>
      </c>
      <c r="F1310" s="75">
        <f>'Mono 34,5kv'!CV13+'Mono 34,5kv'!CW13</f>
        <v>0</v>
      </c>
    </row>
    <row r="1311" spans="4:6" hidden="1">
      <c r="E1311" s="77" t="s">
        <v>82</v>
      </c>
      <c r="F1311" s="75">
        <f>'Mono 34,5kv'!CV14+'Mono 34,5kv'!CW14</f>
        <v>0</v>
      </c>
    </row>
    <row r="1312" spans="4:6" hidden="1">
      <c r="E1312" s="74" t="s">
        <v>83</v>
      </c>
      <c r="F1312" s="75">
        <f>'Mono 34,5kv'!CV15+'Mono 34,5kv'!CW15</f>
        <v>0</v>
      </c>
    </row>
    <row r="1313" spans="4:6" hidden="1">
      <c r="E1313" s="77" t="s">
        <v>85</v>
      </c>
      <c r="F1313" s="75">
        <f>'Mono 34,5kv'!CV16+'Mono 34,5kv'!CW16</f>
        <v>0</v>
      </c>
    </row>
    <row r="1314" spans="4:6" hidden="1">
      <c r="E1314" s="74" t="s">
        <v>84</v>
      </c>
      <c r="F1314" s="75">
        <f>'Mono 34,5kv'!CV17+'Mono 34,5kv'!CW17</f>
        <v>0</v>
      </c>
    </row>
    <row r="1315" spans="4:6" hidden="1">
      <c r="E1315" s="77" t="s">
        <v>86</v>
      </c>
      <c r="F1315" s="75">
        <f>'Mono 34,5kv'!CV18+'Mono 34,5kv'!CW18</f>
        <v>0</v>
      </c>
    </row>
    <row r="1316" spans="4:6" hidden="1">
      <c r="E1316" s="74" t="s">
        <v>87</v>
      </c>
      <c r="F1316" s="75">
        <f>'Mono 34,5kv'!CV19+'Mono 34,5kv'!CW19</f>
        <v>0</v>
      </c>
    </row>
    <row r="1317" spans="4:6" hidden="1">
      <c r="E1317" s="77" t="s">
        <v>101</v>
      </c>
      <c r="F1317" s="75">
        <f>'Mono 34,5kv'!CV20+'Mono 34,5kv'!CW20</f>
        <v>0</v>
      </c>
    </row>
    <row r="1318" spans="4:6" hidden="1">
      <c r="E1318" s="74" t="s">
        <v>88</v>
      </c>
      <c r="F1318" s="75">
        <f>'Mono 34,5kv'!CV21+'Mono 34,5kv'!CW21</f>
        <v>0</v>
      </c>
    </row>
    <row r="1319" spans="4:6" hidden="1">
      <c r="E1319" s="77" t="s">
        <v>89</v>
      </c>
      <c r="F1319" s="75">
        <f>'Mono 34,5kv'!CV22+'Mono 34,5kv'!CW22</f>
        <v>0</v>
      </c>
    </row>
    <row r="1320" spans="4:6" hidden="1">
      <c r="E1320" s="74" t="s">
        <v>90</v>
      </c>
      <c r="F1320" s="75">
        <f>'Mono 34,5kv'!CV23+'Mono 34,5kv'!CW23</f>
        <v>0</v>
      </c>
    </row>
    <row r="1321" spans="4:6" hidden="1">
      <c r="E1321" s="77" t="s">
        <v>93</v>
      </c>
      <c r="F1321" s="75">
        <f>'Mono 34,5kv'!CV24+'Mono 34,5kv'!CW24</f>
        <v>0</v>
      </c>
    </row>
    <row r="1322" spans="4:6" hidden="1">
      <c r="E1322" s="74" t="s">
        <v>91</v>
      </c>
      <c r="F1322" s="75">
        <f>'Mono 34,5kv'!CV25+'Mono 34,5kv'!CW25</f>
        <v>0</v>
      </c>
    </row>
    <row r="1323" spans="4:6" hidden="1">
      <c r="E1323" s="77" t="s">
        <v>92</v>
      </c>
      <c r="F1323" s="75">
        <f>'Mono 34,5kv'!CV26+'Mono 34,5kv'!CW26</f>
        <v>0</v>
      </c>
    </row>
    <row r="1324" spans="4:6" hidden="1">
      <c r="F1324" s="282">
        <f>SUM(F1302:F1323)</f>
        <v>0</v>
      </c>
    </row>
    <row r="1325" spans="4:6" ht="19.5" hidden="1" thickBot="1">
      <c r="D1325" s="1677" t="s">
        <v>550</v>
      </c>
      <c r="E1325" s="1678"/>
      <c r="F1325" s="287">
        <f>SUM(F1326:F1347)</f>
        <v>0</v>
      </c>
    </row>
    <row r="1326" spans="4:6" hidden="1">
      <c r="E1326" s="776" t="s">
        <v>74</v>
      </c>
      <c r="F1326" s="226">
        <f>'Mono 34,5kv'!CZ5+'Mono 34,5kv'!DA5</f>
        <v>0</v>
      </c>
    </row>
    <row r="1327" spans="4:6" hidden="1">
      <c r="E1327" s="777" t="s">
        <v>75</v>
      </c>
      <c r="F1327" s="75">
        <f>'Mono 34,5kv'!CZ6+'Mono 34,5kv'!DA6</f>
        <v>0</v>
      </c>
    </row>
    <row r="1328" spans="4:6" hidden="1">
      <c r="E1328" s="776" t="s">
        <v>76</v>
      </c>
      <c r="F1328" s="75">
        <f>'Mono 34,5kv'!CZ7+'Mono 34,5kv'!DA7</f>
        <v>0</v>
      </c>
    </row>
    <row r="1329" spans="5:6" hidden="1">
      <c r="E1329" s="777" t="s">
        <v>77</v>
      </c>
      <c r="F1329" s="75">
        <f>'Mono 34,5kv'!CZ8+'Mono 34,5kv'!DA8</f>
        <v>0</v>
      </c>
    </row>
    <row r="1330" spans="5:6" hidden="1">
      <c r="E1330" s="776" t="s">
        <v>100</v>
      </c>
      <c r="F1330" s="75">
        <f>'Mono 34,5kv'!CZ9+'Mono 34,5kv'!DA9</f>
        <v>0</v>
      </c>
    </row>
    <row r="1331" spans="5:6" hidden="1">
      <c r="E1331" s="777" t="s">
        <v>78</v>
      </c>
      <c r="F1331" s="75">
        <f>'Mono 34,5kv'!CZ10+'Mono 34,5kv'!DA10</f>
        <v>0</v>
      </c>
    </row>
    <row r="1332" spans="5:6" hidden="1">
      <c r="E1332" s="776" t="s">
        <v>79</v>
      </c>
      <c r="F1332" s="75">
        <f>'Mono 34,5kv'!CZ11+'Mono 34,5kv'!DA11</f>
        <v>0</v>
      </c>
    </row>
    <row r="1333" spans="5:6" hidden="1">
      <c r="E1333" s="777" t="s">
        <v>80</v>
      </c>
      <c r="F1333" s="75">
        <f>'Mono 34,5kv'!CZ12+'Mono 34,5kv'!DA12</f>
        <v>0</v>
      </c>
    </row>
    <row r="1334" spans="5:6" hidden="1">
      <c r="E1334" s="776" t="s">
        <v>81</v>
      </c>
      <c r="F1334" s="75">
        <f>'Mono 34,5kv'!CZ13+'Mono 34,5kv'!DA13</f>
        <v>0</v>
      </c>
    </row>
    <row r="1335" spans="5:6" hidden="1">
      <c r="E1335" s="777" t="s">
        <v>82</v>
      </c>
      <c r="F1335" s="75">
        <f>'Mono 34,5kv'!CZ14+'Mono 34,5kv'!DA14</f>
        <v>0</v>
      </c>
    </row>
    <row r="1336" spans="5:6" hidden="1">
      <c r="E1336" s="776" t="s">
        <v>83</v>
      </c>
      <c r="F1336" s="75">
        <f>'Mono 34,5kv'!CZ15+'Mono 34,5kv'!DA15</f>
        <v>0</v>
      </c>
    </row>
    <row r="1337" spans="5:6" hidden="1">
      <c r="E1337" s="777" t="s">
        <v>85</v>
      </c>
      <c r="F1337" s="75">
        <f>'Mono 34,5kv'!CZ16+'Mono 34,5kv'!DA16</f>
        <v>0</v>
      </c>
    </row>
    <row r="1338" spans="5:6" hidden="1">
      <c r="E1338" s="776" t="s">
        <v>84</v>
      </c>
      <c r="F1338" s="75">
        <f>'Mono 34,5kv'!CZ17+'Mono 34,5kv'!DA17</f>
        <v>0</v>
      </c>
    </row>
    <row r="1339" spans="5:6" hidden="1">
      <c r="E1339" s="777" t="s">
        <v>86</v>
      </c>
      <c r="F1339" s="75">
        <f>'Mono 34,5kv'!CZ18+'Mono 34,5kv'!DA18</f>
        <v>0</v>
      </c>
    </row>
    <row r="1340" spans="5:6" hidden="1">
      <c r="E1340" s="776" t="s">
        <v>87</v>
      </c>
      <c r="F1340" s="75">
        <f>'Mono 34,5kv'!CZ19+'Mono 34,5kv'!DA19</f>
        <v>0</v>
      </c>
    </row>
    <row r="1341" spans="5:6" hidden="1">
      <c r="E1341" s="777" t="s">
        <v>101</v>
      </c>
      <c r="F1341" s="75">
        <f>'Mono 34,5kv'!CZ20+'Mono 34,5kv'!DA20</f>
        <v>0</v>
      </c>
    </row>
    <row r="1342" spans="5:6" hidden="1">
      <c r="E1342" s="776" t="s">
        <v>88</v>
      </c>
      <c r="F1342" s="75">
        <f>'Mono 34,5kv'!CZ21+'Mono 34,5kv'!DA21</f>
        <v>0</v>
      </c>
    </row>
    <row r="1343" spans="5:6" hidden="1">
      <c r="E1343" s="777" t="s">
        <v>89</v>
      </c>
      <c r="F1343" s="75">
        <f>'Mono 34,5kv'!CZ22+'Mono 34,5kv'!DA22</f>
        <v>0</v>
      </c>
    </row>
    <row r="1344" spans="5:6" hidden="1">
      <c r="E1344" s="776" t="s">
        <v>90</v>
      </c>
      <c r="F1344" s="75">
        <f>'Mono 34,5kv'!CZ23+'Mono 34,5kv'!DA23</f>
        <v>0</v>
      </c>
    </row>
    <row r="1345" spans="4:6" hidden="1">
      <c r="E1345" s="777" t="s">
        <v>93</v>
      </c>
      <c r="F1345" s="75">
        <f>'Mono 34,5kv'!CZ24+'Mono 34,5kv'!DA24</f>
        <v>0</v>
      </c>
    </row>
    <row r="1346" spans="4:6" hidden="1">
      <c r="E1346" s="776" t="s">
        <v>91</v>
      </c>
      <c r="F1346" s="75">
        <f>'Mono 34,5kv'!CZ25+'Mono 34,5kv'!DA25</f>
        <v>0</v>
      </c>
    </row>
    <row r="1347" spans="4:6" hidden="1">
      <c r="E1347" s="777" t="s">
        <v>92</v>
      </c>
      <c r="F1347" s="75">
        <f>'Mono 34,5kv'!CZ26+'Mono 34,5kv'!DA26</f>
        <v>0</v>
      </c>
    </row>
    <row r="1348" spans="4:6" hidden="1">
      <c r="F1348" s="282">
        <f>SUM(F1326:F1347)</f>
        <v>0</v>
      </c>
    </row>
    <row r="1349" spans="4:6" ht="19.5" hidden="1" thickBot="1">
      <c r="D1349" s="1677" t="s">
        <v>551</v>
      </c>
      <c r="E1349" s="1679"/>
      <c r="F1349" s="283">
        <f>SUM(F1350:F1371)</f>
        <v>0</v>
      </c>
    </row>
    <row r="1350" spans="4:6" hidden="1">
      <c r="E1350" s="74" t="s">
        <v>74</v>
      </c>
      <c r="F1350" s="75">
        <f>'Mono 34,5kv'!DD5+'Mono 34,5kv'!DE5</f>
        <v>0</v>
      </c>
    </row>
    <row r="1351" spans="4:6" hidden="1">
      <c r="E1351" s="77" t="s">
        <v>75</v>
      </c>
      <c r="F1351" s="75">
        <f>'Mono 34,5kv'!DD6+'Mono 34,5kv'!DE6</f>
        <v>0</v>
      </c>
    </row>
    <row r="1352" spans="4:6" hidden="1">
      <c r="E1352" s="74" t="s">
        <v>76</v>
      </c>
      <c r="F1352" s="75">
        <f>'Mono 34,5kv'!DD7+'Mono 34,5kv'!DE7</f>
        <v>0</v>
      </c>
    </row>
    <row r="1353" spans="4:6" hidden="1">
      <c r="E1353" s="77" t="s">
        <v>77</v>
      </c>
      <c r="F1353" s="75">
        <f>'Mono 34,5kv'!DD8+'Mono 34,5kv'!DE8</f>
        <v>0</v>
      </c>
    </row>
    <row r="1354" spans="4:6" hidden="1">
      <c r="E1354" s="74" t="s">
        <v>100</v>
      </c>
      <c r="F1354" s="75">
        <f>'Mono 34,5kv'!DD9+'Mono 34,5kv'!DE9</f>
        <v>0</v>
      </c>
    </row>
    <row r="1355" spans="4:6" hidden="1">
      <c r="E1355" s="77" t="s">
        <v>78</v>
      </c>
      <c r="F1355" s="75">
        <f>'Mono 34,5kv'!DD10+'Mono 34,5kv'!DE10</f>
        <v>0</v>
      </c>
    </row>
    <row r="1356" spans="4:6" hidden="1">
      <c r="E1356" s="74" t="s">
        <v>79</v>
      </c>
      <c r="F1356" s="75">
        <f>'Mono 34,5kv'!DD11+'Mono 34,5kv'!DE11</f>
        <v>0</v>
      </c>
    </row>
    <row r="1357" spans="4:6" hidden="1">
      <c r="E1357" s="77" t="s">
        <v>80</v>
      </c>
      <c r="F1357" s="75">
        <f>'Mono 34,5kv'!DD12+'Mono 34,5kv'!DE12</f>
        <v>0</v>
      </c>
    </row>
    <row r="1358" spans="4:6" hidden="1">
      <c r="E1358" s="74" t="s">
        <v>81</v>
      </c>
      <c r="F1358" s="75">
        <f>'Mono 34,5kv'!DD13+'Mono 34,5kv'!DE13</f>
        <v>0</v>
      </c>
    </row>
    <row r="1359" spans="4:6" hidden="1">
      <c r="E1359" s="77" t="s">
        <v>82</v>
      </c>
      <c r="F1359" s="75">
        <f>'Mono 34,5kv'!DD14+'Mono 34,5kv'!DE14</f>
        <v>0</v>
      </c>
    </row>
    <row r="1360" spans="4:6" hidden="1">
      <c r="E1360" s="74" t="s">
        <v>83</v>
      </c>
      <c r="F1360" s="75">
        <f>'Mono 34,5kv'!DD15+'Mono 34,5kv'!DE15</f>
        <v>0</v>
      </c>
    </row>
    <row r="1361" spans="4:6" hidden="1">
      <c r="E1361" s="77" t="s">
        <v>85</v>
      </c>
      <c r="F1361" s="75">
        <f>'Mono 34,5kv'!DD16+'Mono 34,5kv'!DE16</f>
        <v>0</v>
      </c>
    </row>
    <row r="1362" spans="4:6" hidden="1">
      <c r="E1362" s="74" t="s">
        <v>84</v>
      </c>
      <c r="F1362" s="75">
        <f>'Mono 34,5kv'!DD17+'Mono 34,5kv'!DE17</f>
        <v>0</v>
      </c>
    </row>
    <row r="1363" spans="4:6" hidden="1">
      <c r="E1363" s="77" t="s">
        <v>86</v>
      </c>
      <c r="F1363" s="75">
        <f>'Mono 34,5kv'!DD18+'Mono 34,5kv'!DE18</f>
        <v>0</v>
      </c>
    </row>
    <row r="1364" spans="4:6" hidden="1">
      <c r="E1364" s="74" t="s">
        <v>87</v>
      </c>
      <c r="F1364" s="75">
        <f>'Mono 34,5kv'!DD19+'Mono 34,5kv'!DE19</f>
        <v>0</v>
      </c>
    </row>
    <row r="1365" spans="4:6" hidden="1">
      <c r="E1365" s="77" t="s">
        <v>101</v>
      </c>
      <c r="F1365" s="75">
        <f>'Mono 34,5kv'!DD20+'Mono 34,5kv'!DE20</f>
        <v>0</v>
      </c>
    </row>
    <row r="1366" spans="4:6" hidden="1">
      <c r="E1366" s="74" t="s">
        <v>88</v>
      </c>
      <c r="F1366" s="75">
        <f>'Mono 34,5kv'!DD21+'Mono 34,5kv'!DE21</f>
        <v>0</v>
      </c>
    </row>
    <row r="1367" spans="4:6" hidden="1">
      <c r="E1367" s="77" t="s">
        <v>89</v>
      </c>
      <c r="F1367" s="75">
        <f>'Mono 34,5kv'!DD22+'Mono 34,5kv'!DE22</f>
        <v>0</v>
      </c>
    </row>
    <row r="1368" spans="4:6" hidden="1">
      <c r="E1368" s="74" t="s">
        <v>90</v>
      </c>
      <c r="F1368" s="75">
        <f>'Mono 34,5kv'!DD23+'Mono 34,5kv'!DE23</f>
        <v>0</v>
      </c>
    </row>
    <row r="1369" spans="4:6" hidden="1">
      <c r="E1369" s="77" t="s">
        <v>93</v>
      </c>
      <c r="F1369" s="75">
        <f>'Mono 34,5kv'!DD24+'Mono 34,5kv'!DE24</f>
        <v>0</v>
      </c>
    </row>
    <row r="1370" spans="4:6" hidden="1">
      <c r="E1370" s="74" t="s">
        <v>91</v>
      </c>
      <c r="F1370" s="75">
        <f>'Mono 34,5kv'!DD25+'Mono 34,5kv'!DE25</f>
        <v>0</v>
      </c>
    </row>
    <row r="1371" spans="4:6" hidden="1">
      <c r="E1371" s="77" t="s">
        <v>92</v>
      </c>
      <c r="F1371" s="75">
        <f>'Mono 34,5kv'!DD26+'Mono 34,5kv'!DE26</f>
        <v>0</v>
      </c>
    </row>
    <row r="1372" spans="4:6" hidden="1">
      <c r="F1372" s="280">
        <f>SUM(F1350:F1371)</f>
        <v>0</v>
      </c>
    </row>
    <row r="1373" spans="4:6" ht="19.5" hidden="1" thickBot="1">
      <c r="D1373" s="1677" t="s">
        <v>552</v>
      </c>
      <c r="E1373" s="1679"/>
      <c r="F1373" s="283">
        <f>SUM(F1374:F1395)</f>
        <v>0</v>
      </c>
    </row>
    <row r="1374" spans="4:6" hidden="1">
      <c r="E1374" s="74" t="s">
        <v>74</v>
      </c>
      <c r="F1374" s="75">
        <f>'Mono 34,5kv'!DH5+'Mono 34,5kv'!DI5</f>
        <v>0</v>
      </c>
    </row>
    <row r="1375" spans="4:6" hidden="1">
      <c r="E1375" s="77" t="s">
        <v>75</v>
      </c>
      <c r="F1375" s="75">
        <f>'Mono 34,5kv'!DH6+'Mono 34,5kv'!DI6</f>
        <v>0</v>
      </c>
    </row>
    <row r="1376" spans="4:6" hidden="1">
      <c r="E1376" s="74" t="s">
        <v>76</v>
      </c>
      <c r="F1376" s="75">
        <f>'Mono 34,5kv'!DH7+'Mono 34,5kv'!DI7</f>
        <v>0</v>
      </c>
    </row>
    <row r="1377" spans="5:6" hidden="1">
      <c r="E1377" s="77" t="s">
        <v>77</v>
      </c>
      <c r="F1377" s="75">
        <f>'Mono 34,5kv'!DH8+'Mono 34,5kv'!DI8</f>
        <v>0</v>
      </c>
    </row>
    <row r="1378" spans="5:6" hidden="1">
      <c r="E1378" s="74" t="s">
        <v>100</v>
      </c>
      <c r="F1378" s="75">
        <f>'Mono 34,5kv'!DH9+'Mono 34,5kv'!DI9</f>
        <v>0</v>
      </c>
    </row>
    <row r="1379" spans="5:6" hidden="1">
      <c r="E1379" s="77" t="s">
        <v>78</v>
      </c>
      <c r="F1379" s="75">
        <f>'Mono 34,5kv'!DH10+'Mono 34,5kv'!DI10</f>
        <v>0</v>
      </c>
    </row>
    <row r="1380" spans="5:6" hidden="1">
      <c r="E1380" s="74" t="s">
        <v>79</v>
      </c>
      <c r="F1380" s="75">
        <f>'Mono 34,5kv'!DH11+'Mono 34,5kv'!DI11</f>
        <v>0</v>
      </c>
    </row>
    <row r="1381" spans="5:6" hidden="1">
      <c r="E1381" s="77" t="s">
        <v>80</v>
      </c>
      <c r="F1381" s="75">
        <f>'Mono 34,5kv'!DH12+'Mono 34,5kv'!DI12</f>
        <v>0</v>
      </c>
    </row>
    <row r="1382" spans="5:6" hidden="1">
      <c r="E1382" s="74" t="s">
        <v>81</v>
      </c>
      <c r="F1382" s="75">
        <f>'Mono 34,5kv'!DH13+'Mono 34,5kv'!DI13</f>
        <v>0</v>
      </c>
    </row>
    <row r="1383" spans="5:6" hidden="1">
      <c r="E1383" s="77" t="s">
        <v>82</v>
      </c>
      <c r="F1383" s="75">
        <f>'Mono 34,5kv'!DH14+'Mono 34,5kv'!DI14</f>
        <v>0</v>
      </c>
    </row>
    <row r="1384" spans="5:6" hidden="1">
      <c r="E1384" s="74" t="s">
        <v>83</v>
      </c>
      <c r="F1384" s="75">
        <f>'Mono 34,5kv'!DH15+'Mono 34,5kv'!DI15</f>
        <v>0</v>
      </c>
    </row>
    <row r="1385" spans="5:6" hidden="1">
      <c r="E1385" s="77" t="s">
        <v>85</v>
      </c>
      <c r="F1385" s="75">
        <f>'Mono 34,5kv'!DH16+'Mono 34,5kv'!DI16</f>
        <v>0</v>
      </c>
    </row>
    <row r="1386" spans="5:6" hidden="1">
      <c r="E1386" s="74" t="s">
        <v>84</v>
      </c>
      <c r="F1386" s="75">
        <f>'Mono 34,5kv'!DH17+'Mono 34,5kv'!DI17</f>
        <v>0</v>
      </c>
    </row>
    <row r="1387" spans="5:6" hidden="1">
      <c r="E1387" s="77" t="s">
        <v>86</v>
      </c>
      <c r="F1387" s="75">
        <f>'Mono 34,5kv'!DH18+'Mono 34,5kv'!DI18</f>
        <v>0</v>
      </c>
    </row>
    <row r="1388" spans="5:6" hidden="1">
      <c r="E1388" s="74" t="s">
        <v>87</v>
      </c>
      <c r="F1388" s="75">
        <f>'Mono 34,5kv'!DH19+'Mono 34,5kv'!DI19</f>
        <v>0</v>
      </c>
    </row>
    <row r="1389" spans="5:6" hidden="1">
      <c r="E1389" s="77" t="s">
        <v>101</v>
      </c>
      <c r="F1389" s="75">
        <f>'Mono 34,5kv'!DH20+'Mono 34,5kv'!DI20</f>
        <v>0</v>
      </c>
    </row>
    <row r="1390" spans="5:6" hidden="1">
      <c r="E1390" s="74" t="s">
        <v>88</v>
      </c>
      <c r="F1390" s="75">
        <f>'Mono 34,5kv'!DH21+'Mono 34,5kv'!DI21</f>
        <v>0</v>
      </c>
    </row>
    <row r="1391" spans="5:6" hidden="1">
      <c r="E1391" s="77" t="s">
        <v>89</v>
      </c>
      <c r="F1391" s="75">
        <f>'Mono 34,5kv'!DH22+'Mono 34,5kv'!DI22</f>
        <v>0</v>
      </c>
    </row>
    <row r="1392" spans="5:6" hidden="1">
      <c r="E1392" s="74" t="s">
        <v>90</v>
      </c>
      <c r="F1392" s="75">
        <f>'Mono 34,5kv'!DH23+'Mono 34,5kv'!DI23</f>
        <v>0</v>
      </c>
    </row>
    <row r="1393" spans="4:6" hidden="1">
      <c r="E1393" s="77" t="s">
        <v>93</v>
      </c>
      <c r="F1393" s="75">
        <f>'Mono 34,5kv'!DH24+'Mono 34,5kv'!DI24</f>
        <v>0</v>
      </c>
    </row>
    <row r="1394" spans="4:6" hidden="1">
      <c r="E1394" s="74" t="s">
        <v>91</v>
      </c>
      <c r="F1394" s="75">
        <f>'Mono 34,5kv'!DH25+'Mono 34,5kv'!DI25</f>
        <v>0</v>
      </c>
    </row>
    <row r="1395" spans="4:6" hidden="1">
      <c r="E1395" s="77" t="s">
        <v>92</v>
      </c>
      <c r="F1395" s="75">
        <f>'Mono 34,5kv'!DH26+'Mono 34,5kv'!DI26</f>
        <v>0</v>
      </c>
    </row>
    <row r="1396" spans="4:6" hidden="1">
      <c r="F1396" s="282">
        <f>SUM(F1374:F1395)</f>
        <v>0</v>
      </c>
    </row>
    <row r="1397" spans="4:6" ht="19.5" hidden="1" thickBot="1">
      <c r="D1397" s="1677" t="s">
        <v>553</v>
      </c>
      <c r="E1397" s="1686"/>
      <c r="F1397" s="285">
        <f>SUM(F1398:F1419)</f>
        <v>0</v>
      </c>
    </row>
    <row r="1398" spans="4:6" hidden="1">
      <c r="E1398" s="263" t="s">
        <v>74</v>
      </c>
      <c r="F1398" s="75">
        <f>'Mono 34,5kv'!DP5+'Mono 34,5kv'!DQ5</f>
        <v>0</v>
      </c>
    </row>
    <row r="1399" spans="4:6" hidden="1">
      <c r="E1399" s="77" t="s">
        <v>75</v>
      </c>
      <c r="F1399" s="75">
        <f>'Mono 34,5kv'!DP6+'Mono 34,5kv'!DQ6</f>
        <v>0</v>
      </c>
    </row>
    <row r="1400" spans="4:6" hidden="1">
      <c r="E1400" s="74" t="s">
        <v>76</v>
      </c>
      <c r="F1400" s="75">
        <f>'Mono 34,5kv'!DP7+'Mono 34,5kv'!DQ7</f>
        <v>0</v>
      </c>
    </row>
    <row r="1401" spans="4:6" hidden="1">
      <c r="E1401" s="77" t="s">
        <v>77</v>
      </c>
      <c r="F1401" s="75">
        <f>'Mono 34,5kv'!DP8+'Mono 34,5kv'!DQ8</f>
        <v>0</v>
      </c>
    </row>
    <row r="1402" spans="4:6" hidden="1">
      <c r="E1402" s="74" t="s">
        <v>100</v>
      </c>
      <c r="F1402" s="75">
        <f>'Mono 34,5kv'!DP9+'Mono 34,5kv'!DQ9</f>
        <v>0</v>
      </c>
    </row>
    <row r="1403" spans="4:6" hidden="1">
      <c r="E1403" s="77" t="s">
        <v>78</v>
      </c>
      <c r="F1403" s="75">
        <f>'Mono 34,5kv'!DP10+'Mono 34,5kv'!DQ10</f>
        <v>0</v>
      </c>
    </row>
    <row r="1404" spans="4:6" hidden="1">
      <c r="E1404" s="74" t="s">
        <v>79</v>
      </c>
      <c r="F1404" s="75">
        <f>'Mono 34,5kv'!DP11+'Mono 34,5kv'!DQ11</f>
        <v>0</v>
      </c>
    </row>
    <row r="1405" spans="4:6" hidden="1">
      <c r="E1405" s="77" t="s">
        <v>80</v>
      </c>
      <c r="F1405" s="75">
        <f>'Mono 34,5kv'!DP12+'Mono 34,5kv'!DQ12</f>
        <v>0</v>
      </c>
    </row>
    <row r="1406" spans="4:6" hidden="1">
      <c r="E1406" s="74" t="s">
        <v>81</v>
      </c>
      <c r="F1406" s="75">
        <f>'Mono 34,5kv'!DP13+'Mono 34,5kv'!DQ13</f>
        <v>0</v>
      </c>
    </row>
    <row r="1407" spans="4:6" hidden="1">
      <c r="E1407" s="77" t="s">
        <v>82</v>
      </c>
      <c r="F1407" s="75">
        <f>'Mono 34,5kv'!DP14+'Mono 34,5kv'!DQ14</f>
        <v>0</v>
      </c>
    </row>
    <row r="1408" spans="4:6" hidden="1">
      <c r="E1408" s="208" t="s">
        <v>83</v>
      </c>
      <c r="F1408" s="75">
        <f>'Mono 34,5kv'!DP15+'Mono 34,5kv'!DQ15</f>
        <v>0</v>
      </c>
    </row>
    <row r="1409" spans="4:6" hidden="1">
      <c r="E1409" s="77" t="s">
        <v>85</v>
      </c>
      <c r="F1409" s="75">
        <f>'Mono 34,5kv'!DP16+'Mono 34,5kv'!DQ16</f>
        <v>0</v>
      </c>
    </row>
    <row r="1410" spans="4:6" hidden="1">
      <c r="E1410" s="74" t="s">
        <v>84</v>
      </c>
      <c r="F1410" s="75">
        <f>'Mono 34,5kv'!DP17+'Mono 34,5kv'!DQ17</f>
        <v>0</v>
      </c>
    </row>
    <row r="1411" spans="4:6" hidden="1">
      <c r="E1411" s="77" t="s">
        <v>86</v>
      </c>
      <c r="F1411" s="75">
        <f>'Mono 34,5kv'!DP18+'Mono 34,5kv'!DQ18</f>
        <v>0</v>
      </c>
    </row>
    <row r="1412" spans="4:6" hidden="1">
      <c r="E1412" s="74" t="s">
        <v>87</v>
      </c>
      <c r="F1412" s="75">
        <f>'Mono 34,5kv'!DP19+'Mono 34,5kv'!DQ19</f>
        <v>0</v>
      </c>
    </row>
    <row r="1413" spans="4:6" hidden="1">
      <c r="E1413" s="77" t="s">
        <v>101</v>
      </c>
      <c r="F1413" s="75">
        <f>'Mono 34,5kv'!DP20+'Mono 34,5kv'!DQ20</f>
        <v>0</v>
      </c>
    </row>
    <row r="1414" spans="4:6" hidden="1">
      <c r="E1414" s="74" t="s">
        <v>88</v>
      </c>
      <c r="F1414" s="75">
        <f>'Mono 34,5kv'!DP21+'Mono 34,5kv'!DQ21</f>
        <v>0</v>
      </c>
    </row>
    <row r="1415" spans="4:6" hidden="1">
      <c r="E1415" s="77" t="s">
        <v>89</v>
      </c>
      <c r="F1415" s="75">
        <f>'Mono 34,5kv'!DP22+'Mono 34,5kv'!DQ22</f>
        <v>0</v>
      </c>
    </row>
    <row r="1416" spans="4:6" hidden="1">
      <c r="E1416" s="74" t="s">
        <v>90</v>
      </c>
      <c r="F1416" s="75">
        <f>'Mono 34,5kv'!DP23+'Mono 34,5kv'!DQ23</f>
        <v>0</v>
      </c>
    </row>
    <row r="1417" spans="4:6" hidden="1">
      <c r="E1417" s="77" t="s">
        <v>93</v>
      </c>
      <c r="F1417" s="75">
        <f>'Mono 34,5kv'!DP24+'Mono 34,5kv'!DQ24</f>
        <v>0</v>
      </c>
    </row>
    <row r="1418" spans="4:6" hidden="1">
      <c r="E1418" s="74" t="s">
        <v>91</v>
      </c>
      <c r="F1418" s="75">
        <f>'Mono 34,5kv'!DP25+'Mono 34,5kv'!DQ25</f>
        <v>0</v>
      </c>
    </row>
    <row r="1419" spans="4:6" hidden="1">
      <c r="E1419" s="77" t="s">
        <v>92</v>
      </c>
      <c r="F1419" s="75">
        <f>'Mono 34,5kv'!DP26+'Mono 34,5kv'!DQ26</f>
        <v>0</v>
      </c>
    </row>
    <row r="1420" spans="4:6" hidden="1">
      <c r="F1420" s="282">
        <f>SUM(F1398:F1419)</f>
        <v>0</v>
      </c>
    </row>
    <row r="1421" spans="4:6" ht="18.75">
      <c r="D1421" s="1692"/>
      <c r="E1421" s="1692"/>
      <c r="F1421" s="778"/>
    </row>
    <row r="1422" spans="4:6" ht="19.5">
      <c r="D1422" s="673"/>
      <c r="E1422" s="674"/>
      <c r="F1422" s="38"/>
    </row>
    <row r="1423" spans="4:6" ht="19.5">
      <c r="D1423" s="673"/>
      <c r="E1423" s="674"/>
      <c r="F1423" s="38"/>
    </row>
    <row r="1424" spans="4:6" ht="19.5">
      <c r="D1424" s="673"/>
      <c r="E1424" s="674"/>
      <c r="F1424" s="38"/>
    </row>
    <row r="1425" spans="4:6" ht="19.5">
      <c r="D1425" s="673"/>
      <c r="E1425" s="674"/>
      <c r="F1425" s="38"/>
    </row>
    <row r="1426" spans="4:6" ht="19.5">
      <c r="D1426" s="673"/>
      <c r="E1426" s="674"/>
      <c r="F1426" s="38"/>
    </row>
    <row r="1427" spans="4:6" ht="19.5">
      <c r="D1427" s="673"/>
      <c r="E1427" s="674"/>
      <c r="F1427" s="38"/>
    </row>
    <row r="1428" spans="4:6" ht="19.5">
      <c r="D1428" s="673"/>
      <c r="E1428" s="674"/>
      <c r="F1428" s="38"/>
    </row>
    <row r="1429" spans="4:6" ht="19.5">
      <c r="D1429" s="673"/>
      <c r="E1429" s="674"/>
      <c r="F1429" s="38"/>
    </row>
    <row r="1430" spans="4:6" ht="19.5">
      <c r="D1430" s="673"/>
      <c r="E1430" s="674"/>
      <c r="F1430" s="38"/>
    </row>
    <row r="1431" spans="4:6" ht="19.5">
      <c r="D1431" s="673"/>
      <c r="E1431" s="674"/>
      <c r="F1431" s="38"/>
    </row>
    <row r="1432" spans="4:6" ht="19.5">
      <c r="D1432" s="673"/>
      <c r="E1432" s="674"/>
      <c r="F1432" s="38"/>
    </row>
    <row r="1433" spans="4:6" ht="19.5">
      <c r="D1433" s="673"/>
      <c r="E1433" s="674"/>
      <c r="F1433" s="38"/>
    </row>
    <row r="1434" spans="4:6" ht="19.5">
      <c r="D1434" s="673"/>
      <c r="E1434" s="674"/>
      <c r="F1434" s="38"/>
    </row>
    <row r="1435" spans="4:6" ht="19.5">
      <c r="D1435" s="673"/>
      <c r="E1435" s="674"/>
      <c r="F1435" s="38"/>
    </row>
    <row r="1436" spans="4:6" ht="19.5">
      <c r="D1436" s="673"/>
      <c r="E1436" s="674"/>
      <c r="F1436" s="38"/>
    </row>
    <row r="1437" spans="4:6" ht="19.5">
      <c r="D1437" s="673"/>
      <c r="E1437" s="674"/>
      <c r="F1437" s="38"/>
    </row>
    <row r="1438" spans="4:6" ht="19.5">
      <c r="D1438" s="673"/>
      <c r="E1438" s="674"/>
      <c r="F1438" s="38"/>
    </row>
    <row r="1439" spans="4:6" ht="19.5">
      <c r="D1439" s="673"/>
      <c r="E1439" s="674"/>
      <c r="F1439" s="38"/>
    </row>
    <row r="1440" spans="4:6" ht="19.5">
      <c r="D1440" s="673"/>
      <c r="E1440" s="674"/>
      <c r="F1440" s="38"/>
    </row>
    <row r="1441" spans="5:6" ht="19.5">
      <c r="E1441" s="58"/>
      <c r="F1441" s="58"/>
    </row>
    <row r="1442" spans="5:6">
      <c r="E1442" s="130"/>
      <c r="F1442" s="38"/>
    </row>
    <row r="1443" spans="5:6">
      <c r="E1443" s="130"/>
      <c r="F1443" s="38"/>
    </row>
    <row r="1444" spans="5:6">
      <c r="E1444" s="130"/>
      <c r="F1444" s="38"/>
    </row>
    <row r="1445" spans="5:6">
      <c r="E1445" s="130"/>
      <c r="F1445" s="38"/>
    </row>
    <row r="1446" spans="5:6">
      <c r="E1446" s="130"/>
      <c r="F1446" s="38"/>
    </row>
    <row r="1447" spans="5:6">
      <c r="E1447" s="130"/>
      <c r="F1447" s="38"/>
    </row>
    <row r="1448" spans="5:6">
      <c r="E1448" s="130"/>
      <c r="F1448" s="38"/>
    </row>
    <row r="1449" spans="5:6">
      <c r="E1449" s="130"/>
      <c r="F1449" s="38"/>
    </row>
    <row r="1450" spans="5:6">
      <c r="E1450" s="130"/>
      <c r="F1450" s="38"/>
    </row>
    <row r="1451" spans="5:6">
      <c r="E1451" s="130"/>
      <c r="F1451" s="38"/>
    </row>
    <row r="1452" spans="5:6">
      <c r="E1452" s="130"/>
      <c r="F1452" s="38"/>
    </row>
    <row r="1453" spans="5:6">
      <c r="E1453" s="130"/>
      <c r="F1453" s="38"/>
    </row>
    <row r="1454" spans="5:6">
      <c r="E1454" s="130"/>
      <c r="F1454" s="38"/>
    </row>
    <row r="1455" spans="5:6">
      <c r="E1455" s="130"/>
      <c r="F1455" s="38"/>
    </row>
    <row r="1456" spans="5:6">
      <c r="E1456" s="130"/>
      <c r="F1456" s="38"/>
    </row>
    <row r="1457" spans="5:6">
      <c r="E1457" s="130"/>
      <c r="F1457" s="38"/>
    </row>
    <row r="1458" spans="5:6">
      <c r="E1458" s="130"/>
      <c r="F1458" s="38"/>
    </row>
    <row r="1459" spans="5:6">
      <c r="E1459" s="130"/>
      <c r="F1459" s="38"/>
    </row>
    <row r="1460" spans="5:6">
      <c r="E1460" s="130"/>
      <c r="F1460" s="38"/>
    </row>
    <row r="1461" spans="5:6">
      <c r="E1461" s="130"/>
      <c r="F1461" s="38"/>
    </row>
    <row r="1462" spans="5:6">
      <c r="E1462" s="130"/>
      <c r="F1462" s="38"/>
    </row>
    <row r="1463" spans="5:6">
      <c r="E1463" s="130"/>
      <c r="F1463" s="38"/>
    </row>
    <row r="1464" spans="5:6">
      <c r="F1464" s="278"/>
    </row>
    <row r="1465" spans="5:6" ht="19.5">
      <c r="E1465" s="59"/>
      <c r="F1465" s="58"/>
    </row>
    <row r="1466" spans="5:6">
      <c r="E1466" s="130"/>
      <c r="F1466" s="38"/>
    </row>
    <row r="1467" spans="5:6">
      <c r="E1467" s="130"/>
      <c r="F1467" s="38"/>
    </row>
    <row r="1468" spans="5:6">
      <c r="E1468" s="130"/>
      <c r="F1468" s="38"/>
    </row>
    <row r="1469" spans="5:6">
      <c r="E1469" s="130"/>
      <c r="F1469" s="38"/>
    </row>
    <row r="1470" spans="5:6">
      <c r="E1470" s="130"/>
      <c r="F1470" s="38"/>
    </row>
    <row r="1471" spans="5:6">
      <c r="E1471" s="130"/>
      <c r="F1471" s="38"/>
    </row>
    <row r="1472" spans="5:6">
      <c r="E1472" s="130"/>
      <c r="F1472" s="38"/>
    </row>
    <row r="1473" spans="5:6">
      <c r="E1473" s="130"/>
      <c r="F1473" s="38"/>
    </row>
    <row r="1474" spans="5:6">
      <c r="E1474" s="130"/>
      <c r="F1474" s="38"/>
    </row>
    <row r="1475" spans="5:6">
      <c r="E1475" s="130"/>
      <c r="F1475" s="38"/>
    </row>
    <row r="1476" spans="5:6">
      <c r="E1476" s="130"/>
      <c r="F1476" s="38"/>
    </row>
    <row r="1477" spans="5:6">
      <c r="E1477" s="130"/>
      <c r="F1477" s="38"/>
    </row>
    <row r="1478" spans="5:6">
      <c r="E1478" s="130"/>
      <c r="F1478" s="38"/>
    </row>
    <row r="1479" spans="5:6">
      <c r="E1479" s="130"/>
      <c r="F1479" s="38"/>
    </row>
    <row r="1480" spans="5:6">
      <c r="E1480" s="130"/>
      <c r="F1480" s="38"/>
    </row>
    <row r="1481" spans="5:6">
      <c r="E1481" s="130"/>
      <c r="F1481" s="38"/>
    </row>
    <row r="1482" spans="5:6">
      <c r="E1482" s="130"/>
      <c r="F1482" s="38"/>
    </row>
    <row r="1483" spans="5:6">
      <c r="E1483" s="130"/>
      <c r="F1483" s="38"/>
    </row>
    <row r="1484" spans="5:6">
      <c r="E1484" s="130"/>
      <c r="F1484" s="38"/>
    </row>
    <row r="1485" spans="5:6">
      <c r="E1485" s="130"/>
      <c r="F1485" s="38"/>
    </row>
    <row r="1486" spans="5:6">
      <c r="E1486" s="130"/>
      <c r="F1486" s="38"/>
    </row>
    <row r="1487" spans="5:6">
      <c r="E1487" s="130"/>
      <c r="F1487" s="38"/>
    </row>
    <row r="1488" spans="5:6">
      <c r="F1488" s="278"/>
    </row>
    <row r="1489" spans="5:6" ht="19.5">
      <c r="E1489" s="59"/>
      <c r="F1489" s="58"/>
    </row>
    <row r="1490" spans="5:6">
      <c r="E1490" s="130"/>
      <c r="F1490" s="38"/>
    </row>
    <row r="1491" spans="5:6">
      <c r="E1491" s="130"/>
      <c r="F1491" s="38"/>
    </row>
    <row r="1492" spans="5:6">
      <c r="E1492" s="130"/>
      <c r="F1492" s="38"/>
    </row>
    <row r="1493" spans="5:6">
      <c r="E1493" s="130"/>
      <c r="F1493" s="38"/>
    </row>
    <row r="1494" spans="5:6">
      <c r="E1494" s="130"/>
      <c r="F1494" s="38"/>
    </row>
    <row r="1495" spans="5:6">
      <c r="E1495" s="130"/>
      <c r="F1495" s="38"/>
    </row>
    <row r="1496" spans="5:6">
      <c r="E1496" s="130"/>
      <c r="F1496" s="38"/>
    </row>
    <row r="1497" spans="5:6">
      <c r="E1497" s="130"/>
      <c r="F1497" s="38"/>
    </row>
    <row r="1498" spans="5:6">
      <c r="E1498" s="130"/>
      <c r="F1498" s="38"/>
    </row>
    <row r="1499" spans="5:6">
      <c r="E1499" s="130"/>
      <c r="F1499" s="38"/>
    </row>
    <row r="1500" spans="5:6">
      <c r="E1500" s="130"/>
      <c r="F1500" s="38"/>
    </row>
    <row r="1501" spans="5:6">
      <c r="E1501" s="130"/>
      <c r="F1501" s="38"/>
    </row>
    <row r="1502" spans="5:6">
      <c r="E1502" s="130"/>
      <c r="F1502" s="38"/>
    </row>
    <row r="1503" spans="5:6">
      <c r="E1503" s="130"/>
      <c r="F1503" s="38"/>
    </row>
    <row r="1504" spans="5:6">
      <c r="E1504" s="130"/>
      <c r="F1504" s="38"/>
    </row>
    <row r="1505" spans="5:6">
      <c r="E1505" s="130"/>
      <c r="F1505" s="38"/>
    </row>
    <row r="1506" spans="5:6">
      <c r="E1506" s="130"/>
      <c r="F1506" s="38"/>
    </row>
    <row r="1507" spans="5:6">
      <c r="E1507" s="130"/>
      <c r="F1507" s="38"/>
    </row>
    <row r="1508" spans="5:6">
      <c r="E1508" s="130"/>
      <c r="F1508" s="38"/>
    </row>
    <row r="1509" spans="5:6">
      <c r="E1509" s="130"/>
      <c r="F1509" s="38"/>
    </row>
    <row r="1510" spans="5:6">
      <c r="E1510" s="130"/>
      <c r="F1510" s="38"/>
    </row>
    <row r="1511" spans="5:6">
      <c r="E1511" s="130"/>
      <c r="F1511" s="38"/>
    </row>
    <row r="1512" spans="5:6">
      <c r="F1512" s="278"/>
    </row>
    <row r="1513" spans="5:6" ht="19.5">
      <c r="E1513" s="59"/>
      <c r="F1513" s="58"/>
    </row>
    <row r="1514" spans="5:6">
      <c r="E1514" s="130"/>
      <c r="F1514" s="38"/>
    </row>
    <row r="1515" spans="5:6">
      <c r="E1515" s="130"/>
      <c r="F1515" s="38"/>
    </row>
    <row r="1516" spans="5:6">
      <c r="E1516" s="130"/>
      <c r="F1516" s="38"/>
    </row>
    <row r="1517" spans="5:6">
      <c r="E1517" s="130"/>
      <c r="F1517" s="38"/>
    </row>
    <row r="1518" spans="5:6">
      <c r="E1518" s="130"/>
      <c r="F1518" s="38"/>
    </row>
    <row r="1519" spans="5:6">
      <c r="E1519" s="130"/>
      <c r="F1519" s="38"/>
    </row>
    <row r="1520" spans="5:6">
      <c r="E1520" s="130"/>
      <c r="F1520" s="38"/>
    </row>
    <row r="1521" spans="5:6">
      <c r="E1521" s="130"/>
      <c r="F1521" s="38"/>
    </row>
    <row r="1522" spans="5:6">
      <c r="E1522" s="130"/>
      <c r="F1522" s="38"/>
    </row>
    <row r="1523" spans="5:6">
      <c r="E1523" s="130"/>
      <c r="F1523" s="38"/>
    </row>
    <row r="1524" spans="5:6">
      <c r="E1524" s="130"/>
      <c r="F1524" s="38"/>
    </row>
    <row r="1525" spans="5:6">
      <c r="E1525" s="130"/>
      <c r="F1525" s="38"/>
    </row>
    <row r="1526" spans="5:6">
      <c r="E1526" s="130"/>
      <c r="F1526" s="38"/>
    </row>
    <row r="1527" spans="5:6">
      <c r="E1527" s="130"/>
      <c r="F1527" s="38"/>
    </row>
    <row r="1528" spans="5:6">
      <c r="E1528" s="130"/>
      <c r="F1528" s="38"/>
    </row>
    <row r="1529" spans="5:6">
      <c r="E1529" s="130"/>
      <c r="F1529" s="38"/>
    </row>
    <row r="1530" spans="5:6">
      <c r="E1530" s="130"/>
      <c r="F1530" s="38"/>
    </row>
    <row r="1531" spans="5:6">
      <c r="E1531" s="130"/>
      <c r="F1531" s="38"/>
    </row>
    <row r="1532" spans="5:6">
      <c r="E1532" s="130"/>
      <c r="F1532" s="38"/>
    </row>
    <row r="1533" spans="5:6">
      <c r="E1533" s="130"/>
      <c r="F1533" s="38"/>
    </row>
    <row r="1534" spans="5:6">
      <c r="E1534" s="130"/>
      <c r="F1534" s="38"/>
    </row>
    <row r="1535" spans="5:6">
      <c r="E1535" s="130"/>
      <c r="F1535" s="38"/>
    </row>
    <row r="1536" spans="5:6">
      <c r="F1536" s="278"/>
    </row>
    <row r="1537" spans="5:6" ht="19.5">
      <c r="E1537" s="58"/>
      <c r="F1537" s="58"/>
    </row>
    <row r="1538" spans="5:6">
      <c r="E1538" s="130"/>
      <c r="F1538" s="38"/>
    </row>
    <row r="1539" spans="5:6">
      <c r="E1539" s="130"/>
      <c r="F1539" s="38"/>
    </row>
    <row r="1540" spans="5:6">
      <c r="E1540" s="130"/>
      <c r="F1540" s="38"/>
    </row>
    <row r="1541" spans="5:6">
      <c r="E1541" s="130"/>
      <c r="F1541" s="38"/>
    </row>
    <row r="1542" spans="5:6">
      <c r="E1542" s="130"/>
      <c r="F1542" s="38"/>
    </row>
    <row r="1543" spans="5:6">
      <c r="E1543" s="130"/>
      <c r="F1543" s="38"/>
    </row>
    <row r="1544" spans="5:6">
      <c r="E1544" s="130"/>
      <c r="F1544" s="38"/>
    </row>
    <row r="1545" spans="5:6">
      <c r="E1545" s="130"/>
      <c r="F1545" s="38"/>
    </row>
    <row r="1546" spans="5:6">
      <c r="E1546" s="130"/>
      <c r="F1546" s="38"/>
    </row>
    <row r="1547" spans="5:6">
      <c r="E1547" s="130"/>
      <c r="F1547" s="38"/>
    </row>
    <row r="1548" spans="5:6">
      <c r="E1548" s="130"/>
      <c r="F1548" s="38"/>
    </row>
    <row r="1549" spans="5:6">
      <c r="E1549" s="130"/>
      <c r="F1549" s="38"/>
    </row>
    <row r="1550" spans="5:6">
      <c r="E1550" s="130"/>
      <c r="F1550" s="38"/>
    </row>
    <row r="1551" spans="5:6">
      <c r="E1551" s="130"/>
      <c r="F1551" s="38"/>
    </row>
    <row r="1552" spans="5:6">
      <c r="E1552" s="130"/>
      <c r="F1552" s="38"/>
    </row>
    <row r="1553" spans="5:6">
      <c r="E1553" s="130"/>
      <c r="F1553" s="38"/>
    </row>
    <row r="1554" spans="5:6">
      <c r="E1554" s="130"/>
      <c r="F1554" s="38"/>
    </row>
    <row r="1555" spans="5:6">
      <c r="E1555" s="130"/>
      <c r="F1555" s="38"/>
    </row>
    <row r="1556" spans="5:6">
      <c r="E1556" s="130"/>
      <c r="F1556" s="38"/>
    </row>
    <row r="1557" spans="5:6">
      <c r="E1557" s="130"/>
      <c r="F1557" s="38"/>
    </row>
    <row r="1558" spans="5:6">
      <c r="E1558" s="130"/>
      <c r="F1558" s="38"/>
    </row>
    <row r="1559" spans="5:6">
      <c r="E1559" s="130"/>
      <c r="F1559" s="38"/>
    </row>
    <row r="1560" spans="5:6">
      <c r="F1560" s="278"/>
    </row>
    <row r="1561" spans="5:6" ht="19.5">
      <c r="E1561" s="58"/>
      <c r="F1561" s="58"/>
    </row>
    <row r="1562" spans="5:6">
      <c r="E1562" s="130"/>
      <c r="F1562" s="38"/>
    </row>
    <row r="1563" spans="5:6">
      <c r="E1563" s="130"/>
      <c r="F1563" s="38"/>
    </row>
    <row r="1564" spans="5:6">
      <c r="E1564" s="130"/>
      <c r="F1564" s="38"/>
    </row>
    <row r="1565" spans="5:6">
      <c r="E1565" s="130"/>
      <c r="F1565" s="38"/>
    </row>
    <row r="1566" spans="5:6">
      <c r="E1566" s="130"/>
      <c r="F1566" s="38"/>
    </row>
    <row r="1567" spans="5:6">
      <c r="E1567" s="130"/>
      <c r="F1567" s="38"/>
    </row>
    <row r="1568" spans="5:6">
      <c r="E1568" s="130"/>
      <c r="F1568" s="38"/>
    </row>
    <row r="1569" spans="5:6">
      <c r="E1569" s="130"/>
      <c r="F1569" s="38"/>
    </row>
    <row r="1570" spans="5:6">
      <c r="E1570" s="130"/>
      <c r="F1570" s="38"/>
    </row>
    <row r="1571" spans="5:6">
      <c r="E1571" s="130"/>
      <c r="F1571" s="38"/>
    </row>
    <row r="1572" spans="5:6">
      <c r="E1572" s="130"/>
      <c r="F1572" s="38"/>
    </row>
    <row r="1573" spans="5:6">
      <c r="E1573" s="130"/>
      <c r="F1573" s="38"/>
    </row>
    <row r="1574" spans="5:6">
      <c r="E1574" s="130"/>
      <c r="F1574" s="38"/>
    </row>
    <row r="1575" spans="5:6">
      <c r="E1575" s="130"/>
      <c r="F1575" s="38"/>
    </row>
    <row r="1576" spans="5:6">
      <c r="E1576" s="130"/>
      <c r="F1576" s="38"/>
    </row>
    <row r="1577" spans="5:6">
      <c r="E1577" s="130"/>
      <c r="F1577" s="38"/>
    </row>
    <row r="1578" spans="5:6">
      <c r="E1578" s="130"/>
      <c r="F1578" s="38"/>
    </row>
    <row r="1579" spans="5:6">
      <c r="E1579" s="130"/>
      <c r="F1579" s="38"/>
    </row>
    <row r="1580" spans="5:6">
      <c r="E1580" s="130"/>
      <c r="F1580" s="38"/>
    </row>
    <row r="1581" spans="5:6">
      <c r="E1581" s="130"/>
      <c r="F1581" s="38"/>
    </row>
    <row r="1582" spans="5:6">
      <c r="E1582" s="130"/>
      <c r="F1582" s="38"/>
    </row>
    <row r="1583" spans="5:6">
      <c r="E1583" s="130"/>
      <c r="F1583" s="38"/>
    </row>
    <row r="1584" spans="5:6">
      <c r="F1584" s="278"/>
    </row>
    <row r="1585" spans="1:6" ht="15.75" customHeight="1">
      <c r="A1585" s="1691"/>
      <c r="B1585" s="1691"/>
      <c r="C1585" s="1691"/>
      <c r="D1585" s="1691"/>
      <c r="E1585" s="1691"/>
      <c r="F1585" s="282"/>
    </row>
    <row r="1586" spans="1:6" ht="15.75" customHeight="1">
      <c r="A1586" s="1691"/>
      <c r="B1586" s="1691"/>
      <c r="C1586" s="1691"/>
      <c r="D1586" s="1691"/>
      <c r="E1586" s="1691"/>
      <c r="F1586" s="282"/>
    </row>
    <row r="1587" spans="1:6" ht="15.75" customHeight="1">
      <c r="A1587" s="1691"/>
      <c r="B1587" s="1691"/>
      <c r="C1587" s="1691"/>
      <c r="D1587" s="1691"/>
      <c r="E1587" s="1691"/>
      <c r="F1587" s="282"/>
    </row>
    <row r="1588" spans="1:6" ht="15.75" customHeight="1">
      <c r="A1588" s="1691"/>
      <c r="B1588" s="1691"/>
      <c r="C1588" s="1691"/>
      <c r="D1588" s="1691"/>
      <c r="E1588" s="1691"/>
      <c r="F1588" s="282"/>
    </row>
    <row r="1589" spans="1:6" ht="15.75" customHeight="1">
      <c r="A1589" s="1691"/>
      <c r="B1589" s="1691"/>
      <c r="C1589" s="1691"/>
      <c r="D1589" s="1691"/>
      <c r="E1589" s="1691"/>
      <c r="F1589" s="282"/>
    </row>
    <row r="1590" spans="1:6" ht="15.75" customHeight="1">
      <c r="A1590" s="1691"/>
      <c r="B1590" s="1691"/>
      <c r="C1590" s="1691"/>
      <c r="D1590" s="1691"/>
      <c r="E1590" s="1691"/>
      <c r="F1590" s="282"/>
    </row>
    <row r="1591" spans="1:6" ht="15.75" customHeight="1">
      <c r="A1591" s="1691"/>
      <c r="B1591" s="1691"/>
      <c r="C1591" s="1691"/>
      <c r="D1591" s="1691"/>
      <c r="E1591" s="1691"/>
      <c r="F1591" s="282"/>
    </row>
    <row r="1592" spans="1:6" ht="15.75" customHeight="1">
      <c r="A1592" s="1691"/>
      <c r="B1592" s="1691"/>
      <c r="C1592" s="1691"/>
      <c r="D1592" s="1691"/>
      <c r="E1592" s="1691"/>
      <c r="F1592" s="282"/>
    </row>
    <row r="1593" spans="1:6" ht="15.75" customHeight="1">
      <c r="A1593" s="1691"/>
      <c r="B1593" s="1691"/>
      <c r="C1593" s="1691"/>
      <c r="D1593" s="1691"/>
      <c r="E1593" s="1691"/>
      <c r="F1593" s="282"/>
    </row>
  </sheetData>
  <sheetProtection formatCells="0" formatColumns="0" formatRows="0" insertColumns="0" insertRows="0" insertHyperlinks="0" deleteColumns="0" deleteRows="0" selectLockedCells="1" sort="0" autoFilter="0" pivotTables="0" selectUnlockedCells="1"/>
  <autoFilter ref="F2:F1593" xr:uid="{F0863ED9-A6A8-4059-AE7E-86C770ED95E0}">
    <filterColumn colId="0">
      <customFilters>
        <customFilter operator="notEqual" val="0"/>
      </customFilters>
    </filterColumn>
  </autoFilter>
  <mergeCells count="52">
    <mergeCell ref="A1590:E1590"/>
    <mergeCell ref="A1591:E1591"/>
    <mergeCell ref="A1592:E1592"/>
    <mergeCell ref="A1593:E1593"/>
    <mergeCell ref="D1421:E1421"/>
    <mergeCell ref="A1585:E1585"/>
    <mergeCell ref="A1586:E1586"/>
    <mergeCell ref="A1587:E1587"/>
    <mergeCell ref="A1588:E1588"/>
    <mergeCell ref="A1589:E1589"/>
    <mergeCell ref="D1397:E1397"/>
    <mergeCell ref="D1253:E1253"/>
    <mergeCell ref="D1085:E1085"/>
    <mergeCell ref="A723:E723"/>
    <mergeCell ref="D1373:E1373"/>
    <mergeCell ref="D1229:E1229"/>
    <mergeCell ref="D893:E893"/>
    <mergeCell ref="D1277:E1277"/>
    <mergeCell ref="D1301:E1301"/>
    <mergeCell ref="D845:E845"/>
    <mergeCell ref="A716:E716"/>
    <mergeCell ref="A719:E719"/>
    <mergeCell ref="D797:E797"/>
    <mergeCell ref="D1325:E1325"/>
    <mergeCell ref="D1349:E1349"/>
    <mergeCell ref="A721:E721"/>
    <mergeCell ref="A722:E722"/>
    <mergeCell ref="A717:E717"/>
    <mergeCell ref="A720:E720"/>
    <mergeCell ref="D220:E220"/>
    <mergeCell ref="D244:E244"/>
    <mergeCell ref="A532:E532"/>
    <mergeCell ref="A556:E556"/>
    <mergeCell ref="A580:E580"/>
    <mergeCell ref="A604:E604"/>
    <mergeCell ref="A694:E694"/>
    <mergeCell ref="A676:E676"/>
    <mergeCell ref="A1:N1"/>
    <mergeCell ref="B76:C76"/>
    <mergeCell ref="B77:C77"/>
    <mergeCell ref="B97:C98"/>
    <mergeCell ref="A3:E3"/>
    <mergeCell ref="D2:F2"/>
    <mergeCell ref="A628:E628"/>
    <mergeCell ref="A652:E652"/>
    <mergeCell ref="A714:E714"/>
    <mergeCell ref="A715:E715"/>
    <mergeCell ref="A708:E708"/>
    <mergeCell ref="A709:E709"/>
    <mergeCell ref="A711:E711"/>
    <mergeCell ref="A712:E712"/>
    <mergeCell ref="A713:E7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Macro10">
                <anchor moveWithCells="1" sizeWithCells="1">
                  <from>
                    <xdr:col>0</xdr:col>
                    <xdr:colOff>66675</xdr:colOff>
                    <xdr:row>0</xdr:row>
                    <xdr:rowOff>38100</xdr:rowOff>
                  </from>
                  <to>
                    <xdr:col>3</xdr:col>
                    <xdr:colOff>38100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Macro4">
                <anchor moveWithCells="1" sizeWithCells="1">
                  <from>
                    <xdr:col>6</xdr:col>
                    <xdr:colOff>219075</xdr:colOff>
                    <xdr:row>0</xdr:row>
                    <xdr:rowOff>104775</xdr:rowOff>
                  </from>
                  <to>
                    <xdr:col>7</xdr:col>
                    <xdr:colOff>323850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6" name="Button 3">
              <controlPr defaultSize="0" print="0" autoFill="0" autoPict="0" macro="[0]!Macro5">
                <anchor moveWithCells="1" sizeWithCells="1">
                  <from>
                    <xdr:col>7</xdr:col>
                    <xdr:colOff>371475</xdr:colOff>
                    <xdr:row>0</xdr:row>
                    <xdr:rowOff>104775</xdr:rowOff>
                  </from>
                  <to>
                    <xdr:col>8</xdr:col>
                    <xdr:colOff>466725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" name="Button 4">
              <controlPr defaultSize="0" print="0" autoFill="0" autoPict="0" macro="[0]!Macro17gg">
                <anchor moveWithCells="1" sizeWithCells="1">
                  <from>
                    <xdr:col>3</xdr:col>
                    <xdr:colOff>95250</xdr:colOff>
                    <xdr:row>0</xdr:row>
                    <xdr:rowOff>104775</xdr:rowOff>
                  </from>
                  <to>
                    <xdr:col>3</xdr:col>
                    <xdr:colOff>733425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8" name="Button 5">
              <controlPr defaultSize="0" print="0" autoFill="0" autoPict="0" macro="[0]!Macro12">
                <anchor moveWithCells="1" sizeWithCells="1">
                  <from>
                    <xdr:col>3</xdr:col>
                    <xdr:colOff>781050</xdr:colOff>
                    <xdr:row>0</xdr:row>
                    <xdr:rowOff>104775</xdr:rowOff>
                  </from>
                  <to>
                    <xdr:col>4</xdr:col>
                    <xdr:colOff>638175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9" name="Button 6">
              <controlPr defaultSize="0" print="0" autoFill="0" autoPict="0" macro="[0]!Macro3">
                <anchor moveWithCells="1" sizeWithCells="1">
                  <from>
                    <xdr:col>4</xdr:col>
                    <xdr:colOff>704850</xdr:colOff>
                    <xdr:row>0</xdr:row>
                    <xdr:rowOff>104775</xdr:rowOff>
                  </from>
                  <to>
                    <xdr:col>6</xdr:col>
                    <xdr:colOff>171450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10" name="Button 7">
              <controlPr defaultSize="0" print="0" autoFill="0" autoPict="0" macro="[0]!Macro6">
                <anchor moveWithCells="1" sizeWithCells="1">
                  <from>
                    <xdr:col>8</xdr:col>
                    <xdr:colOff>533400</xdr:colOff>
                    <xdr:row>0</xdr:row>
                    <xdr:rowOff>104775</xdr:rowOff>
                  </from>
                  <to>
                    <xdr:col>10</xdr:col>
                    <xdr:colOff>95250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7" r:id="rId11" name="Button 21">
              <controlPr defaultSize="0" print="0" autoFill="0" autoPict="0" macro="[0]!Macro7">
                <anchor moveWithCells="1" sizeWithCells="1">
                  <from>
                    <xdr:col>10</xdr:col>
                    <xdr:colOff>142875</xdr:colOff>
                    <xdr:row>0</xdr:row>
                    <xdr:rowOff>104775</xdr:rowOff>
                  </from>
                  <to>
                    <xdr:col>13</xdr:col>
                    <xdr:colOff>114300</xdr:colOff>
                    <xdr:row>0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298B9-428D-4D49-95A6-8E24B8C78520}">
  <sheetPr codeName="Plan7"/>
  <dimension ref="A1:P118"/>
  <sheetViews>
    <sheetView zoomScaleNormal="100" workbookViewId="0">
      <selection activeCell="C2" sqref="C2"/>
    </sheetView>
  </sheetViews>
  <sheetFormatPr defaultRowHeight="15"/>
  <cols>
    <col min="1" max="1" width="63" customWidth="1"/>
    <col min="2" max="2" width="4.28515625" customWidth="1"/>
    <col min="3" max="3" width="14.42578125" customWidth="1"/>
    <col min="4" max="4" width="7.28515625" customWidth="1"/>
    <col min="5" max="5" width="9.140625" style="486" hidden="1" customWidth="1"/>
    <col min="6" max="6" width="9.140625" style="478" hidden="1" customWidth="1"/>
    <col min="7" max="7" width="9.140625" style="479" hidden="1" customWidth="1"/>
    <col min="8" max="8" width="11.42578125" style="480" hidden="1" customWidth="1"/>
    <col min="9" max="9" width="11.5703125" style="485" hidden="1" customWidth="1"/>
    <col min="10" max="10" width="9.140625" style="490" hidden="1" customWidth="1"/>
    <col min="11" max="11" width="11.42578125" style="621" hidden="1" customWidth="1"/>
    <col min="12" max="12" width="9.140625" style="622" hidden="1" customWidth="1"/>
    <col min="13" max="13" width="9.140625" style="556" hidden="1" customWidth="1"/>
    <col min="14" max="14" width="9.140625" style="489" hidden="1" customWidth="1"/>
    <col min="15" max="15" width="9.140625" style="557" hidden="1" customWidth="1"/>
    <col min="16" max="16" width="9.140625" style="479" hidden="1" customWidth="1"/>
    <col min="17" max="17" width="9.140625" customWidth="1"/>
  </cols>
  <sheetData>
    <row r="1" spans="1:16" ht="36.75" thickBot="1">
      <c r="A1" s="1693" t="s">
        <v>451</v>
      </c>
      <c r="B1" s="1694"/>
      <c r="C1" s="1694"/>
      <c r="D1" s="1695"/>
      <c r="E1" s="486">
        <f>'Trifásico 13,8kv '!ET9+'Trifásico 13,8kv '!EV9+'Trifásico 34,5kv'!ET9+'Trifásico 34,5kv'!EV9</f>
        <v>0</v>
      </c>
      <c r="F1" s="478">
        <f>'Trifásico 13,8kv '!EU9+'Trifásico 13,8kv '!EW9+'Trifásico 34,5kv'!EU9+'Trifásico 34,5kv'!EW9</f>
        <v>0</v>
      </c>
      <c r="G1" s="479">
        <f>'Trifásico 13,8kv '!ET10+'Trifásico 13,8kv '!EV10+'Trifásico 34,5kv'!ET10+'Trifásico 34,5kv'!EV10</f>
        <v>0</v>
      </c>
      <c r="H1" s="480">
        <f>'Trifásico 13,8kv '!EU10+'Trifásico 13,8kv '!EW10+'Trifásico 34,5kv'!EU10+'Trifásico 34,5kv'!EW10</f>
        <v>0</v>
      </c>
      <c r="I1" s="485">
        <f>'Trifásico 13,8kv '!ET7+'Trifásico 13,8kv '!EV7+'Trifásico 34,5kv'!ET7+'Trifásico 34,5kv'!EV7</f>
        <v>0</v>
      </c>
      <c r="J1" s="490">
        <f>'Trifásico 34,5kv'!ET8+'Trifásico 34,5kv'!EV8+'Trifásico 13,8kv '!ET8+'Trifásico 13,8kv '!EV8</f>
        <v>0</v>
      </c>
      <c r="K1" s="554">
        <f>'Trifásico 13,8kv '!ET11+'Trifásico 13,8kv '!EV11+'Trifásico 34,5kv'!ET11+'Trifásico 34,5kv'!EV11</f>
        <v>0</v>
      </c>
      <c r="L1" s="555">
        <f>'Trifásico 13,8kv '!EU11+'Trifásico 13,8kv '!EW11+'Trifásico 34,5kv'!EU11+'Trifásico 34,5kv'!EW11</f>
        <v>0</v>
      </c>
      <c r="M1" s="556">
        <f>'Trifásico 13,8kv '!ET12+'Trifásico 13,8kv '!EV12+'Trifásico 34,5kv'!ET12+'Trifásico 34,5kv'!EV12</f>
        <v>0</v>
      </c>
      <c r="N1" s="489">
        <f>'Trifásico 13,8kv '!EU12+'Trifásico 13,8kv '!EW12+'Trifásico 34,5kv'!EU12+'Trifásico 34,5kv'!EW12</f>
        <v>0</v>
      </c>
      <c r="O1" s="557">
        <f>'Trifásico 13,8kv '!EU7+'Trifásico 13,8kv '!EW7+'Trifásico 34,5kv'!EU7+'Trifásico 34,5kv'!EW7</f>
        <v>0</v>
      </c>
      <c r="P1" s="479">
        <f>'Trifásico 13,8kv '!EU8+'Trifásico 13,8kv '!EW8+'Trifásico 34,5kv'!EU8+'Trifásico 34,5kv'!EW8</f>
        <v>0</v>
      </c>
    </row>
    <row r="2" spans="1:16" ht="15.75" thickBot="1">
      <c r="A2" s="163" t="s">
        <v>1329</v>
      </c>
      <c r="B2" s="643" t="s">
        <v>511</v>
      </c>
      <c r="C2" s="190"/>
      <c r="D2" s="194">
        <v>2</v>
      </c>
      <c r="E2" s="558">
        <f>D2*$E1</f>
        <v>0</v>
      </c>
      <c r="F2" s="558">
        <f>D2*$F1</f>
        <v>0</v>
      </c>
      <c r="G2" s="510">
        <f>D2*G$1</f>
        <v>0</v>
      </c>
      <c r="H2" s="511">
        <f>H$1*D2</f>
        <v>0</v>
      </c>
      <c r="I2" s="515">
        <f>D2*I1</f>
        <v>0</v>
      </c>
      <c r="J2" s="516">
        <f>D2*J1</f>
        <v>0</v>
      </c>
      <c r="K2" s="559">
        <f>D2*K$1</f>
        <v>0</v>
      </c>
      <c r="L2" s="560">
        <f>D2*L$1</f>
        <v>0</v>
      </c>
      <c r="M2" s="514">
        <f>D2*M$1</f>
        <v>0</v>
      </c>
      <c r="N2" s="561">
        <f>D2*N$1</f>
        <v>0</v>
      </c>
      <c r="O2" s="562">
        <f>D2*O1</f>
        <v>0</v>
      </c>
      <c r="P2" s="563">
        <f>D2*P1</f>
        <v>0</v>
      </c>
    </row>
    <row r="3" spans="1:16">
      <c r="A3" s="163" t="s">
        <v>1321</v>
      </c>
      <c r="B3" s="643" t="s">
        <v>0</v>
      </c>
      <c r="C3" s="191"/>
      <c r="D3" s="162">
        <v>2</v>
      </c>
      <c r="I3" s="500"/>
      <c r="J3" s="482"/>
      <c r="K3" s="564"/>
      <c r="L3" s="565"/>
      <c r="M3" s="483"/>
      <c r="O3" s="508">
        <f>D3*O1</f>
        <v>0</v>
      </c>
      <c r="P3" s="497"/>
    </row>
    <row r="4" spans="1:16">
      <c r="A4" s="163" t="s">
        <v>1322</v>
      </c>
      <c r="B4" s="643" t="s">
        <v>0</v>
      </c>
      <c r="C4" s="191"/>
      <c r="D4" s="162">
        <v>2</v>
      </c>
      <c r="I4" s="500">
        <f>D4*I1</f>
        <v>0</v>
      </c>
      <c r="J4" s="482"/>
      <c r="K4" s="564"/>
      <c r="L4" s="565"/>
      <c r="M4" s="483"/>
      <c r="O4" s="566"/>
      <c r="P4" s="497">
        <f>D4*P1</f>
        <v>0</v>
      </c>
    </row>
    <row r="5" spans="1:16">
      <c r="A5" s="163" t="s">
        <v>1323</v>
      </c>
      <c r="B5" s="643" t="s">
        <v>0</v>
      </c>
      <c r="C5" s="191"/>
      <c r="D5" s="162">
        <v>2</v>
      </c>
      <c r="F5" s="496">
        <f>E5*F1</f>
        <v>0</v>
      </c>
      <c r="I5" s="481"/>
      <c r="J5" s="504">
        <f>D5*J1</f>
        <v>0</v>
      </c>
      <c r="K5" s="567"/>
      <c r="L5" s="568"/>
      <c r="M5" s="483"/>
      <c r="O5" s="566"/>
    </row>
    <row r="6" spans="1:16">
      <c r="A6" s="163" t="s">
        <v>1324</v>
      </c>
      <c r="B6" s="643" t="s">
        <v>0</v>
      </c>
      <c r="C6" s="191"/>
      <c r="D6" s="195">
        <v>2</v>
      </c>
      <c r="E6" s="498">
        <f>D6*E1</f>
        <v>0</v>
      </c>
      <c r="G6" s="497">
        <f>D6*2*G1</f>
        <v>0</v>
      </c>
      <c r="H6" s="499">
        <f>D6*H1</f>
        <v>0</v>
      </c>
      <c r="I6" s="481"/>
      <c r="J6" s="482"/>
      <c r="K6" s="505">
        <f>D6*2*K1</f>
        <v>0</v>
      </c>
      <c r="L6" s="569">
        <f>D6*L$1</f>
        <v>0</v>
      </c>
      <c r="M6" s="483"/>
      <c r="N6" s="507">
        <f>D6*2*N1</f>
        <v>0</v>
      </c>
      <c r="O6" s="566"/>
    </row>
    <row r="7" spans="1:16">
      <c r="A7" s="163" t="s">
        <v>1325</v>
      </c>
      <c r="B7" s="643" t="s">
        <v>0</v>
      </c>
      <c r="C7" s="191"/>
      <c r="D7" s="195">
        <v>2</v>
      </c>
      <c r="E7" s="498"/>
      <c r="G7" s="497"/>
      <c r="H7" s="499"/>
      <c r="I7" s="481"/>
      <c r="J7" s="482"/>
      <c r="K7" s="505"/>
      <c r="L7" s="569"/>
      <c r="M7" s="483"/>
      <c r="N7" s="507"/>
      <c r="O7" s="508">
        <f>D7*O1</f>
        <v>0</v>
      </c>
    </row>
    <row r="8" spans="1:16">
      <c r="A8" s="163" t="s">
        <v>1326</v>
      </c>
      <c r="B8" s="643" t="s">
        <v>0</v>
      </c>
      <c r="C8" s="191"/>
      <c r="D8" s="195">
        <v>2</v>
      </c>
      <c r="I8" s="500">
        <f>D8*I1</f>
        <v>0</v>
      </c>
      <c r="J8" s="482"/>
      <c r="K8" s="570"/>
      <c r="L8" s="571"/>
      <c r="M8" s="483"/>
      <c r="O8" s="566"/>
      <c r="P8" s="497">
        <f>2*P1</f>
        <v>0</v>
      </c>
    </row>
    <row r="9" spans="1:16">
      <c r="A9" s="163" t="s">
        <v>1327</v>
      </c>
      <c r="B9" s="643" t="s">
        <v>0</v>
      </c>
      <c r="C9" s="191"/>
      <c r="D9" s="195">
        <v>2</v>
      </c>
      <c r="F9" s="496">
        <f>D9*F1</f>
        <v>0</v>
      </c>
      <c r="I9" s="481"/>
      <c r="J9" s="504">
        <f>D9*J1</f>
        <v>0</v>
      </c>
      <c r="K9" s="567"/>
      <c r="L9" s="568"/>
      <c r="M9" s="483"/>
      <c r="O9" s="566"/>
    </row>
    <row r="10" spans="1:16">
      <c r="A10" s="163" t="s">
        <v>1328</v>
      </c>
      <c r="B10" s="643" t="s">
        <v>0</v>
      </c>
      <c r="C10" s="191"/>
      <c r="D10" s="195">
        <v>2</v>
      </c>
      <c r="E10" s="498">
        <f>D10*E1</f>
        <v>0</v>
      </c>
      <c r="G10" s="497">
        <f>D10*2*G1</f>
        <v>0</v>
      </c>
      <c r="H10" s="499">
        <f>D10*H1</f>
        <v>0</v>
      </c>
      <c r="I10" s="481"/>
      <c r="J10" s="482"/>
      <c r="K10" s="505">
        <f>D10*2*K1</f>
        <v>0</v>
      </c>
      <c r="L10" s="506">
        <f>D10*L1</f>
        <v>0</v>
      </c>
      <c r="M10" s="502">
        <f>D10*M1</f>
        <v>0</v>
      </c>
      <c r="N10" s="507">
        <f>D10*2*N1</f>
        <v>0</v>
      </c>
      <c r="O10" s="566"/>
    </row>
    <row r="11" spans="1:16">
      <c r="A11" s="163" t="s">
        <v>1317</v>
      </c>
      <c r="B11" s="643" t="s">
        <v>0</v>
      </c>
      <c r="C11" s="191"/>
      <c r="D11" s="162">
        <v>1</v>
      </c>
      <c r="E11" s="498"/>
      <c r="G11" s="497"/>
      <c r="H11" s="499"/>
      <c r="I11" s="481"/>
      <c r="J11" s="482"/>
      <c r="K11" s="505"/>
      <c r="L11" s="506"/>
      <c r="M11" s="502"/>
      <c r="N11" s="507"/>
      <c r="O11" s="508">
        <f>D11*O1</f>
        <v>0</v>
      </c>
    </row>
    <row r="12" spans="1:16">
      <c r="A12" s="163" t="s">
        <v>1318</v>
      </c>
      <c r="B12" s="643" t="s">
        <v>0</v>
      </c>
      <c r="C12" s="191"/>
      <c r="D12" s="162">
        <v>4</v>
      </c>
      <c r="I12" s="500">
        <f>2*I1</f>
        <v>0</v>
      </c>
      <c r="J12" s="484"/>
      <c r="K12" s="567"/>
      <c r="L12" s="568"/>
      <c r="M12" s="483"/>
      <c r="O12" s="566"/>
      <c r="P12" s="497">
        <f>1*P1</f>
        <v>0</v>
      </c>
    </row>
    <row r="13" spans="1:16">
      <c r="A13" s="163" t="s">
        <v>1319</v>
      </c>
      <c r="B13" s="643" t="s">
        <v>0</v>
      </c>
      <c r="C13" s="191"/>
      <c r="D13" s="162">
        <v>1</v>
      </c>
      <c r="F13" s="496">
        <f>D13*F1</f>
        <v>0</v>
      </c>
      <c r="I13" s="481"/>
      <c r="J13" s="501">
        <f>D13*J1</f>
        <v>0</v>
      </c>
      <c r="K13" s="572"/>
      <c r="L13" s="568"/>
      <c r="M13" s="483"/>
      <c r="O13" s="566"/>
    </row>
    <row r="14" spans="1:16">
      <c r="A14" s="163" t="s">
        <v>1320</v>
      </c>
      <c r="B14" s="643" t="s">
        <v>0</v>
      </c>
      <c r="C14" s="191"/>
      <c r="D14" s="162">
        <v>1</v>
      </c>
      <c r="E14" s="498">
        <f>D14*E1</f>
        <v>0</v>
      </c>
      <c r="G14" s="497">
        <f>D14*2*G$1</f>
        <v>0</v>
      </c>
      <c r="H14" s="499">
        <f>D14*H1</f>
        <v>0</v>
      </c>
      <c r="I14" s="481"/>
      <c r="J14" s="501"/>
      <c r="K14" s="573">
        <f>D14*2*K1</f>
        <v>0</v>
      </c>
      <c r="L14" s="569">
        <f>D14*L$1</f>
        <v>0</v>
      </c>
      <c r="M14" s="502">
        <f>D14*2*M1</f>
        <v>0</v>
      </c>
      <c r="N14" s="507">
        <f>D14*2*N1</f>
        <v>0</v>
      </c>
      <c r="O14" s="566"/>
    </row>
    <row r="15" spans="1:16">
      <c r="A15" s="163" t="s">
        <v>1308</v>
      </c>
      <c r="B15" s="643" t="s">
        <v>0</v>
      </c>
      <c r="C15" s="191"/>
      <c r="D15" s="162">
        <v>10</v>
      </c>
      <c r="E15" s="498"/>
      <c r="G15" s="497"/>
      <c r="H15" s="499"/>
      <c r="I15" s="481"/>
      <c r="J15" s="501"/>
      <c r="K15" s="573"/>
      <c r="L15" s="569"/>
      <c r="M15" s="502"/>
      <c r="N15" s="507"/>
      <c r="O15" s="508">
        <f>D15*O1</f>
        <v>0</v>
      </c>
    </row>
    <row r="16" spans="1:16">
      <c r="A16" s="163" t="s">
        <v>1309</v>
      </c>
      <c r="B16" s="643" t="s">
        <v>168</v>
      </c>
      <c r="C16" s="191"/>
      <c r="D16" s="162">
        <v>10</v>
      </c>
      <c r="I16" s="481"/>
      <c r="J16" s="484"/>
      <c r="K16" s="572"/>
      <c r="L16" s="571"/>
      <c r="M16" s="483"/>
      <c r="O16" s="508">
        <f>D16*3*O1</f>
        <v>0</v>
      </c>
      <c r="P16" s="497">
        <f>10*P1</f>
        <v>0</v>
      </c>
    </row>
    <row r="17" spans="1:16">
      <c r="A17" s="163" t="s">
        <v>1310</v>
      </c>
      <c r="B17" s="643" t="s">
        <v>168</v>
      </c>
      <c r="C17" s="191"/>
      <c r="D17" s="162">
        <v>10</v>
      </c>
      <c r="F17" s="496">
        <f>D17*F1</f>
        <v>0</v>
      </c>
      <c r="I17" s="500">
        <f>D17*I1</f>
        <v>0</v>
      </c>
      <c r="J17" s="484"/>
      <c r="K17" s="572"/>
      <c r="L17" s="571"/>
      <c r="M17" s="483"/>
      <c r="O17" s="508"/>
      <c r="P17" s="497"/>
    </row>
    <row r="18" spans="1:16" ht="18.75">
      <c r="A18" s="163" t="s">
        <v>1311</v>
      </c>
      <c r="B18" s="643" t="s">
        <v>168</v>
      </c>
      <c r="C18" s="191"/>
      <c r="D18" s="162">
        <v>80</v>
      </c>
      <c r="E18" s="850"/>
      <c r="I18" s="481"/>
      <c r="J18" s="501">
        <f>10*J1</f>
        <v>0</v>
      </c>
      <c r="K18" s="567"/>
      <c r="L18" s="568"/>
      <c r="M18" s="483"/>
      <c r="O18" s="566"/>
      <c r="P18" s="497">
        <f>30*P1</f>
        <v>0</v>
      </c>
    </row>
    <row r="19" spans="1:16" ht="18.75">
      <c r="A19" s="163" t="s">
        <v>1312</v>
      </c>
      <c r="B19" s="643" t="s">
        <v>168</v>
      </c>
      <c r="C19" s="191"/>
      <c r="D19" s="162">
        <v>30</v>
      </c>
      <c r="E19" s="849"/>
      <c r="F19" s="496">
        <f>D19*F1</f>
        <v>0</v>
      </c>
      <c r="G19" s="497">
        <f>20*G1</f>
        <v>0</v>
      </c>
      <c r="H19" s="499">
        <f>10*H1</f>
        <v>0</v>
      </c>
      <c r="I19" s="500">
        <f>D19*I1</f>
        <v>0</v>
      </c>
      <c r="J19" s="484"/>
      <c r="K19" s="567"/>
      <c r="L19" s="568"/>
      <c r="M19" s="483"/>
      <c r="N19" s="507">
        <f>20*N1</f>
        <v>0</v>
      </c>
      <c r="O19" s="566"/>
      <c r="P19" s="497"/>
    </row>
    <row r="20" spans="1:16" ht="18.75">
      <c r="A20" s="163" t="s">
        <v>1313</v>
      </c>
      <c r="B20" s="643" t="s">
        <v>168</v>
      </c>
      <c r="C20" s="191"/>
      <c r="D20" s="195">
        <v>80</v>
      </c>
      <c r="E20" s="498">
        <f>10*E1</f>
        <v>0</v>
      </c>
      <c r="F20" s="849"/>
      <c r="I20" s="481"/>
      <c r="J20" s="501">
        <f>30*J1</f>
        <v>0</v>
      </c>
      <c r="K20" s="505">
        <f>20*K1</f>
        <v>0</v>
      </c>
      <c r="L20" s="571"/>
      <c r="M20" s="483"/>
      <c r="O20" s="566"/>
    </row>
    <row r="21" spans="1:16">
      <c r="A21" s="163" t="s">
        <v>1314</v>
      </c>
      <c r="B21" s="643" t="s">
        <v>168</v>
      </c>
      <c r="C21" s="191"/>
      <c r="D21" s="195">
        <v>80</v>
      </c>
      <c r="G21" s="497">
        <f>60*G1</f>
        <v>0</v>
      </c>
      <c r="H21" s="499">
        <f>30*H1</f>
        <v>0</v>
      </c>
      <c r="J21" s="484"/>
      <c r="K21" s="567"/>
      <c r="L21" s="506">
        <f>10*L1</f>
        <v>0</v>
      </c>
      <c r="M21" s="502">
        <f>20*M1</f>
        <v>0</v>
      </c>
      <c r="N21" s="507">
        <f>60*N1</f>
        <v>0</v>
      </c>
      <c r="O21" s="566"/>
    </row>
    <row r="22" spans="1:16" ht="18.75">
      <c r="A22" s="163" t="s">
        <v>1468</v>
      </c>
      <c r="B22" s="643"/>
      <c r="C22" s="191"/>
      <c r="D22" s="195"/>
      <c r="E22" s="849"/>
      <c r="G22" s="497"/>
      <c r="H22" s="499"/>
      <c r="J22" s="484"/>
      <c r="K22" s="567"/>
      <c r="L22" s="506"/>
      <c r="M22" s="502"/>
      <c r="N22" s="507"/>
      <c r="O22" s="566"/>
    </row>
    <row r="23" spans="1:16" ht="18.75">
      <c r="A23" s="163" t="s">
        <v>1315</v>
      </c>
      <c r="B23" s="643" t="s">
        <v>168</v>
      </c>
      <c r="C23" s="191"/>
      <c r="D23" s="195">
        <v>120</v>
      </c>
      <c r="E23" s="574">
        <f>30*E1</f>
        <v>0</v>
      </c>
      <c r="F23" s="849"/>
      <c r="J23" s="484"/>
      <c r="K23" s="505">
        <f>60*K1</f>
        <v>0</v>
      </c>
      <c r="L23" s="568"/>
      <c r="M23" s="483"/>
      <c r="O23" s="566"/>
    </row>
    <row r="24" spans="1:16" ht="18.75">
      <c r="A24" s="163" t="s">
        <v>1316</v>
      </c>
      <c r="B24" s="643" t="s">
        <v>168</v>
      </c>
      <c r="C24" s="191"/>
      <c r="D24" s="195">
        <v>30</v>
      </c>
      <c r="F24" s="849"/>
      <c r="J24" s="484"/>
      <c r="K24" s="575"/>
      <c r="L24" s="576">
        <f>30*L1</f>
        <v>0</v>
      </c>
      <c r="M24" s="502">
        <f>60*M1</f>
        <v>0</v>
      </c>
      <c r="O24" s="566"/>
    </row>
    <row r="25" spans="1:16" ht="15.75" thickBot="1">
      <c r="A25" s="163" t="s">
        <v>1293</v>
      </c>
      <c r="B25" s="643" t="s">
        <v>168</v>
      </c>
      <c r="C25" s="191"/>
      <c r="D25" s="195">
        <v>0.3</v>
      </c>
      <c r="E25" s="486">
        <f>0.3*E1</f>
        <v>0</v>
      </c>
      <c r="F25" s="486">
        <f t="shared" ref="F25:P25" si="0">0.3*F1</f>
        <v>0</v>
      </c>
      <c r="G25" s="486">
        <f t="shared" si="0"/>
        <v>0</v>
      </c>
      <c r="H25" s="486">
        <f t="shared" si="0"/>
        <v>0</v>
      </c>
      <c r="I25" s="486">
        <f t="shared" si="0"/>
        <v>0</v>
      </c>
      <c r="J25" s="486">
        <f t="shared" si="0"/>
        <v>0</v>
      </c>
      <c r="K25" s="486">
        <f t="shared" si="0"/>
        <v>0</v>
      </c>
      <c r="L25" s="486">
        <f t="shared" si="0"/>
        <v>0</v>
      </c>
      <c r="M25" s="486">
        <f t="shared" si="0"/>
        <v>0</v>
      </c>
      <c r="N25" s="486">
        <f t="shared" si="0"/>
        <v>0</v>
      </c>
      <c r="O25" s="486">
        <f t="shared" si="0"/>
        <v>0</v>
      </c>
      <c r="P25" s="486">
        <f t="shared" si="0"/>
        <v>0</v>
      </c>
    </row>
    <row r="26" spans="1:16" ht="15.75" thickBot="1">
      <c r="A26" s="163" t="s">
        <v>1249</v>
      </c>
      <c r="B26" s="643" t="s">
        <v>168</v>
      </c>
      <c r="C26" s="191"/>
      <c r="D26" s="162">
        <v>7</v>
      </c>
      <c r="E26" s="558">
        <f>D26*E1</f>
        <v>0</v>
      </c>
      <c r="F26" s="509">
        <f>D26*F1</f>
        <v>0</v>
      </c>
      <c r="G26" s="510">
        <f>D26*G$1</f>
        <v>0</v>
      </c>
      <c r="H26" s="511">
        <f>H$1*D26</f>
        <v>0</v>
      </c>
      <c r="I26" s="512">
        <f>D26*I1</f>
        <v>0</v>
      </c>
      <c r="J26" s="513">
        <f>D26*J1</f>
        <v>0</v>
      </c>
      <c r="K26" s="577">
        <f>D26*K1</f>
        <v>0</v>
      </c>
      <c r="L26" s="578">
        <f>D26*L1</f>
        <v>0</v>
      </c>
      <c r="M26" s="514">
        <f>D26*M$1</f>
        <v>0</v>
      </c>
      <c r="N26" s="561">
        <f>D26*N$1</f>
        <v>0</v>
      </c>
      <c r="O26" s="562">
        <f>D26*O1</f>
        <v>0</v>
      </c>
      <c r="P26" s="563">
        <f>D26*P1</f>
        <v>0</v>
      </c>
    </row>
    <row r="27" spans="1:16" ht="15.75" thickBot="1">
      <c r="A27" s="192" t="s">
        <v>432</v>
      </c>
      <c r="B27" s="643" t="s">
        <v>0</v>
      </c>
      <c r="C27" s="191"/>
      <c r="D27" s="195">
        <v>1</v>
      </c>
      <c r="E27" s="558">
        <f>D27*E1</f>
        <v>0</v>
      </c>
      <c r="F27" s="509">
        <f>D27*F1</f>
        <v>0</v>
      </c>
      <c r="G27" s="510">
        <f>D27*G$1</f>
        <v>0</v>
      </c>
      <c r="H27" s="511">
        <f>H$1*D27</f>
        <v>0</v>
      </c>
      <c r="I27" s="512">
        <f>D27*I1</f>
        <v>0</v>
      </c>
      <c r="J27" s="513">
        <f>D27*J1</f>
        <v>0</v>
      </c>
      <c r="K27" s="577">
        <f>D27*K1</f>
        <v>0</v>
      </c>
      <c r="L27" s="578">
        <f>D27*L1</f>
        <v>0</v>
      </c>
      <c r="M27" s="514">
        <f>D27*M$1</f>
        <v>0</v>
      </c>
      <c r="N27" s="561">
        <f>D27*N$1</f>
        <v>0</v>
      </c>
      <c r="O27" s="562">
        <f>D27*O1</f>
        <v>0</v>
      </c>
      <c r="P27" s="563">
        <f>D27*P1</f>
        <v>0</v>
      </c>
    </row>
    <row r="28" spans="1:16" ht="15.75" thickBot="1">
      <c r="A28" s="163" t="s">
        <v>1744</v>
      </c>
      <c r="B28" s="643" t="s">
        <v>0</v>
      </c>
      <c r="C28" s="191"/>
      <c r="D28" s="195">
        <v>1</v>
      </c>
      <c r="E28" s="486">
        <f>'Trifásico 13,8kv '!EV9+SUM('Trifásico 13,8kv '!EV10:EW12,'Trifásico 34,5kv'!EV9,'Trifásico 34,5kv'!EV10:EW12)*D28</f>
        <v>0</v>
      </c>
      <c r="I28" s="481"/>
      <c r="J28" s="484"/>
      <c r="K28" s="579"/>
      <c r="L28" s="580"/>
      <c r="M28" s="483"/>
      <c r="O28" s="566"/>
    </row>
    <row r="29" spans="1:16" ht="15.75" thickBot="1">
      <c r="A29" s="163" t="s">
        <v>1745</v>
      </c>
      <c r="B29" s="643" t="s">
        <v>0</v>
      </c>
      <c r="C29" s="191"/>
      <c r="D29" s="195">
        <v>1</v>
      </c>
      <c r="E29" s="558">
        <f>'Trifásico 13,8kv '!ET9+SUM('Trifásico 13,8kv '!ET10:EU12,'Trifásico 34,5kv'!ET9,'Trifásico 34,5kv'!ET10:EU12)*D29</f>
        <v>0</v>
      </c>
      <c r="F29" s="509"/>
      <c r="G29" s="510"/>
      <c r="H29" s="510"/>
      <c r="I29" s="510"/>
      <c r="J29" s="510"/>
      <c r="K29" s="577"/>
      <c r="L29" s="578"/>
      <c r="M29" s="510"/>
      <c r="N29" s="561"/>
      <c r="O29" s="510"/>
      <c r="P29" s="563"/>
    </row>
    <row r="30" spans="1:16" ht="15.75" thickBot="1">
      <c r="A30" s="1385" t="s">
        <v>1247</v>
      </c>
      <c r="B30" s="1386" t="s">
        <v>0</v>
      </c>
      <c r="C30" s="1387"/>
      <c r="D30" s="1388">
        <v>1</v>
      </c>
      <c r="E30" s="1389"/>
      <c r="F30" s="1390">
        <f>D30*F1</f>
        <v>0</v>
      </c>
      <c r="G30" s="1391"/>
      <c r="H30" s="1391"/>
      <c r="I30" s="1392">
        <f>D30*I1</f>
        <v>0</v>
      </c>
      <c r="J30" s="1392">
        <f>D30*J1</f>
        <v>0</v>
      </c>
      <c r="K30" s="1393"/>
      <c r="L30" s="1394"/>
      <c r="M30" s="1391"/>
      <c r="N30" s="1395"/>
      <c r="O30" s="1392">
        <f>D30*O1</f>
        <v>0</v>
      </c>
      <c r="P30" s="1396">
        <f>D30*P1</f>
        <v>0</v>
      </c>
    </row>
    <row r="31" spans="1:16">
      <c r="A31" s="5" t="s">
        <v>425</v>
      </c>
      <c r="B31" s="643" t="s">
        <v>0</v>
      </c>
      <c r="C31" s="191"/>
      <c r="D31" s="195"/>
      <c r="E31" s="498"/>
      <c r="F31" s="496"/>
      <c r="G31" s="497"/>
      <c r="H31" s="499"/>
      <c r="I31" s="500"/>
      <c r="J31" s="501"/>
      <c r="K31" s="581"/>
      <c r="L31" s="582"/>
      <c r="M31" s="502"/>
      <c r="N31" s="507"/>
      <c r="O31" s="508"/>
      <c r="P31" s="497"/>
    </row>
    <row r="32" spans="1:16">
      <c r="A32" s="5" t="s">
        <v>1186</v>
      </c>
      <c r="B32" s="643" t="s">
        <v>0</v>
      </c>
      <c r="C32" s="191"/>
      <c r="D32" s="195">
        <v>1</v>
      </c>
      <c r="G32" s="497">
        <f>D32*G1</f>
        <v>0</v>
      </c>
      <c r="H32" s="499">
        <f>D32*H1</f>
        <v>0</v>
      </c>
      <c r="I32" s="481"/>
      <c r="J32" s="484"/>
      <c r="K32" s="583"/>
      <c r="L32" s="569">
        <f>D32*L1</f>
        <v>0</v>
      </c>
      <c r="M32" s="502">
        <f>D32*M1</f>
        <v>0</v>
      </c>
      <c r="N32" s="507"/>
      <c r="O32" s="566"/>
    </row>
    <row r="33" spans="1:16">
      <c r="A33" s="5" t="s">
        <v>1193</v>
      </c>
      <c r="B33" s="643" t="s">
        <v>0</v>
      </c>
      <c r="C33" s="191"/>
      <c r="D33" s="195">
        <v>1</v>
      </c>
      <c r="G33" s="497"/>
      <c r="H33" s="499"/>
      <c r="I33" s="481"/>
      <c r="J33" s="501">
        <f>D33*J1</f>
        <v>0</v>
      </c>
      <c r="K33" s="583"/>
      <c r="L33" s="569"/>
      <c r="M33" s="483"/>
      <c r="N33" s="507">
        <f>D33*N1</f>
        <v>0</v>
      </c>
      <c r="O33" s="566"/>
    </row>
    <row r="34" spans="1:16">
      <c r="A34" s="5" t="s">
        <v>1192</v>
      </c>
      <c r="B34" s="643" t="s">
        <v>0</v>
      </c>
      <c r="C34" s="191"/>
      <c r="D34" s="195">
        <v>1</v>
      </c>
      <c r="E34" s="498">
        <f>D34*E1</f>
        <v>0</v>
      </c>
      <c r="I34" s="500">
        <f>D34*I1</f>
        <v>0</v>
      </c>
      <c r="J34" s="484"/>
      <c r="K34" s="583">
        <f>D34*K1</f>
        <v>0</v>
      </c>
      <c r="L34" s="569"/>
      <c r="M34" s="483"/>
      <c r="O34" s="566"/>
    </row>
    <row r="35" spans="1:16">
      <c r="A35" s="5" t="s">
        <v>1194</v>
      </c>
      <c r="B35" s="643" t="s">
        <v>0</v>
      </c>
      <c r="C35" s="191"/>
      <c r="D35" s="195">
        <v>1</v>
      </c>
      <c r="E35" s="498"/>
      <c r="I35" s="481"/>
      <c r="J35" s="484"/>
      <c r="K35" s="584"/>
      <c r="L35" s="585"/>
      <c r="M35" s="483"/>
      <c r="O35" s="566"/>
    </row>
    <row r="36" spans="1:16">
      <c r="A36" s="5" t="s">
        <v>1195</v>
      </c>
      <c r="B36" s="643" t="s">
        <v>0</v>
      </c>
      <c r="C36" s="191"/>
      <c r="D36" s="195">
        <v>1</v>
      </c>
      <c r="E36" s="498"/>
      <c r="I36" s="481"/>
      <c r="J36" s="484"/>
      <c r="K36" s="584"/>
      <c r="L36" s="585"/>
      <c r="M36" s="483"/>
      <c r="O36" s="508"/>
    </row>
    <row r="37" spans="1:16">
      <c r="A37" s="5" t="s">
        <v>1191</v>
      </c>
      <c r="B37" s="643" t="s">
        <v>0</v>
      </c>
      <c r="C37" s="191"/>
      <c r="D37" s="195">
        <v>1</v>
      </c>
      <c r="E37" s="498"/>
      <c r="F37" s="496">
        <f>D37*F1</f>
        <v>0</v>
      </c>
      <c r="I37" s="481"/>
      <c r="J37" s="484"/>
      <c r="K37" s="584"/>
      <c r="L37" s="585"/>
      <c r="M37" s="483"/>
      <c r="O37" s="508">
        <f>D37*O1</f>
        <v>0</v>
      </c>
    </row>
    <row r="38" spans="1:16">
      <c r="A38" s="5" t="s">
        <v>1196</v>
      </c>
      <c r="B38" s="643" t="s">
        <v>0</v>
      </c>
      <c r="C38" s="191"/>
      <c r="D38" s="195">
        <v>1</v>
      </c>
      <c r="E38" s="498"/>
      <c r="F38" s="496"/>
      <c r="I38" s="481"/>
      <c r="J38" s="484"/>
      <c r="K38" s="586"/>
      <c r="L38" s="587"/>
      <c r="M38" s="483"/>
      <c r="O38" s="566"/>
    </row>
    <row r="39" spans="1:16" ht="15.75" thickBot="1">
      <c r="A39" s="5" t="s">
        <v>1197</v>
      </c>
      <c r="B39" s="643" t="s">
        <v>0</v>
      </c>
      <c r="C39" s="191"/>
      <c r="D39" s="195">
        <v>1</v>
      </c>
      <c r="E39" s="498"/>
      <c r="F39" s="496"/>
      <c r="I39" s="481"/>
      <c r="J39" s="484"/>
      <c r="K39" s="586"/>
      <c r="L39" s="587"/>
      <c r="M39" s="483"/>
      <c r="O39" s="566"/>
    </row>
    <row r="40" spans="1:16" ht="15.75" thickBot="1">
      <c r="A40" s="163" t="s">
        <v>416</v>
      </c>
      <c r="B40" s="643" t="s">
        <v>0</v>
      </c>
      <c r="C40" s="191"/>
      <c r="D40" s="162">
        <v>1</v>
      </c>
      <c r="E40" s="558">
        <f>D40*E1</f>
        <v>0</v>
      </c>
      <c r="F40" s="509"/>
      <c r="G40" s="510">
        <f>D40*G$1</f>
        <v>0</v>
      </c>
      <c r="H40" s="511">
        <f>H$1*D40</f>
        <v>0</v>
      </c>
      <c r="I40" s="515">
        <f>D40*I1</f>
        <v>0</v>
      </c>
      <c r="J40" s="517">
        <f>D40*J1</f>
        <v>0</v>
      </c>
      <c r="K40" s="559">
        <f>D40*K1</f>
        <v>0</v>
      </c>
      <c r="L40" s="578">
        <f>D40*L1</f>
        <v>0</v>
      </c>
      <c r="M40" s="514">
        <f>D40*M$1</f>
        <v>0</v>
      </c>
      <c r="N40" s="561">
        <f>D40*N$1</f>
        <v>0</v>
      </c>
      <c r="O40" s="562">
        <f>D40*O1</f>
        <v>0</v>
      </c>
      <c r="P40" s="563">
        <f>D40*P1</f>
        <v>0</v>
      </c>
    </row>
    <row r="41" spans="1:16">
      <c r="A41" s="192" t="s">
        <v>1304</v>
      </c>
      <c r="B41" s="643" t="s">
        <v>0</v>
      </c>
      <c r="C41" s="191"/>
      <c r="D41" s="162">
        <v>2</v>
      </c>
      <c r="E41" s="498"/>
      <c r="F41" s="496"/>
      <c r="G41" s="497"/>
      <c r="H41" s="499"/>
      <c r="I41" s="500"/>
      <c r="J41" s="518"/>
      <c r="K41" s="586"/>
      <c r="L41" s="588"/>
      <c r="M41" s="502"/>
      <c r="N41" s="507"/>
      <c r="O41" s="508"/>
      <c r="P41" s="497">
        <f>D41*O1</f>
        <v>0</v>
      </c>
    </row>
    <row r="42" spans="1:16">
      <c r="A42" s="192" t="s">
        <v>1305</v>
      </c>
      <c r="B42" s="643" t="s">
        <v>0</v>
      </c>
      <c r="C42" s="191"/>
      <c r="D42" s="162">
        <v>2</v>
      </c>
      <c r="F42" s="486"/>
      <c r="H42" s="486"/>
      <c r="I42" s="498">
        <f>D42*I1</f>
        <v>0</v>
      </c>
      <c r="J42" s="486"/>
      <c r="K42" s="589"/>
      <c r="L42" s="590"/>
      <c r="M42" s="486"/>
      <c r="O42" s="566"/>
      <c r="P42" s="508">
        <f>D42*P1</f>
        <v>0</v>
      </c>
    </row>
    <row r="43" spans="1:16">
      <c r="A43" s="192" t="s">
        <v>1306</v>
      </c>
      <c r="B43" s="643" t="s">
        <v>0</v>
      </c>
      <c r="C43" s="191"/>
      <c r="D43" s="162">
        <v>2</v>
      </c>
      <c r="F43" s="496">
        <f>D43*F1</f>
        <v>0</v>
      </c>
      <c r="I43" s="481"/>
      <c r="J43" s="518">
        <f>D43*J1</f>
        <v>0</v>
      </c>
      <c r="K43" s="591"/>
      <c r="L43" s="568"/>
      <c r="M43" s="483"/>
      <c r="O43" s="566"/>
    </row>
    <row r="44" spans="1:16">
      <c r="A44" s="192" t="s">
        <v>1307</v>
      </c>
      <c r="B44" s="643" t="s">
        <v>0</v>
      </c>
      <c r="C44" s="191"/>
      <c r="D44" s="195">
        <v>2</v>
      </c>
      <c r="E44" s="498">
        <f>D44*E1</f>
        <v>0</v>
      </c>
      <c r="G44" s="497">
        <f>D44*2*G1</f>
        <v>0</v>
      </c>
      <c r="H44" s="499">
        <f>D44*H1</f>
        <v>0</v>
      </c>
      <c r="I44" s="487"/>
      <c r="J44" s="484"/>
      <c r="K44" s="592">
        <f>D44*2*K1</f>
        <v>0</v>
      </c>
      <c r="L44" s="506">
        <f>D44*L1</f>
        <v>0</v>
      </c>
      <c r="M44" s="502">
        <f>D44*2*M1</f>
        <v>0</v>
      </c>
      <c r="N44" s="507">
        <f>D44*N1</f>
        <v>0</v>
      </c>
      <c r="O44" s="566"/>
    </row>
    <row r="45" spans="1:16">
      <c r="A45" s="1409" t="s">
        <v>510</v>
      </c>
      <c r="B45" s="1410" t="s">
        <v>0</v>
      </c>
      <c r="C45" s="1411"/>
      <c r="D45" s="1412">
        <v>1</v>
      </c>
      <c r="E45" s="1413"/>
      <c r="F45" s="1414"/>
      <c r="G45" s="1415"/>
      <c r="H45" s="1416"/>
      <c r="I45" s="1417"/>
      <c r="J45" s="1418"/>
      <c r="K45" s="1419"/>
      <c r="L45" s="1420"/>
      <c r="M45" s="1421"/>
      <c r="N45" s="1422"/>
      <c r="O45" s="1423">
        <f>D45*O1</f>
        <v>0</v>
      </c>
      <c r="P45" s="1415"/>
    </row>
    <row r="46" spans="1:16">
      <c r="A46" s="1409" t="s">
        <v>1200</v>
      </c>
      <c r="B46" s="1410" t="s">
        <v>0</v>
      </c>
      <c r="C46" s="1411"/>
      <c r="D46" s="1412">
        <v>1</v>
      </c>
      <c r="E46" s="1413"/>
      <c r="F46" s="1414"/>
      <c r="G46" s="1415"/>
      <c r="H46" s="1416"/>
      <c r="I46" s="1417"/>
      <c r="J46" s="1418"/>
      <c r="K46" s="1419"/>
      <c r="L46" s="1420"/>
      <c r="M46" s="1421"/>
      <c r="N46" s="1422"/>
      <c r="O46" s="1423"/>
      <c r="P46" s="1415"/>
    </row>
    <row r="47" spans="1:16">
      <c r="A47" s="1409" t="s">
        <v>472</v>
      </c>
      <c r="B47" s="1410" t="s">
        <v>0</v>
      </c>
      <c r="C47" s="1411"/>
      <c r="D47" s="1412">
        <v>1</v>
      </c>
      <c r="E47" s="1413"/>
      <c r="F47" s="1414"/>
      <c r="G47" s="1415"/>
      <c r="H47" s="1416"/>
      <c r="I47" s="1425">
        <f>D47*I1</f>
        <v>0</v>
      </c>
      <c r="J47" s="1418"/>
      <c r="K47" s="1419"/>
      <c r="L47" s="1420"/>
      <c r="M47" s="1421"/>
      <c r="N47" s="1422"/>
      <c r="O47" s="1426"/>
      <c r="P47" s="1415"/>
    </row>
    <row r="48" spans="1:16">
      <c r="A48" s="1409" t="s">
        <v>1188</v>
      </c>
      <c r="B48" s="1410" t="s">
        <v>0</v>
      </c>
      <c r="C48" s="1411"/>
      <c r="D48" s="1412">
        <v>1</v>
      </c>
      <c r="E48" s="1413"/>
      <c r="F48" s="1414"/>
      <c r="G48" s="1415"/>
      <c r="H48" s="1416"/>
      <c r="I48" s="1427"/>
      <c r="J48" s="1418"/>
      <c r="K48" s="1419"/>
      <c r="L48" s="1420"/>
      <c r="M48" s="1421"/>
      <c r="N48" s="1422"/>
      <c r="O48" s="1426"/>
      <c r="P48" s="1428">
        <f>D48*P1</f>
        <v>0</v>
      </c>
    </row>
    <row r="49" spans="1:16">
      <c r="A49" s="1409" t="s">
        <v>443</v>
      </c>
      <c r="B49" s="1410" t="s">
        <v>0</v>
      </c>
      <c r="C49" s="1411"/>
      <c r="D49" s="1412">
        <v>1</v>
      </c>
      <c r="E49" s="1413"/>
      <c r="F49" s="1429">
        <f>D49*F1</f>
        <v>0</v>
      </c>
      <c r="G49" s="1415"/>
      <c r="H49" s="1416"/>
      <c r="I49" s="1417"/>
      <c r="J49" s="1430"/>
      <c r="K49" s="1431"/>
      <c r="L49" s="1420"/>
      <c r="M49" s="1421"/>
      <c r="N49" s="1422"/>
      <c r="O49" s="1426"/>
      <c r="P49" s="1415"/>
    </row>
    <row r="50" spans="1:16">
      <c r="A50" s="1409" t="s">
        <v>473</v>
      </c>
      <c r="B50" s="1410" t="s">
        <v>0</v>
      </c>
      <c r="C50" s="1411"/>
      <c r="D50" s="1412">
        <v>1</v>
      </c>
      <c r="E50" s="1413"/>
      <c r="F50" s="1414"/>
      <c r="G50" s="1428"/>
      <c r="H50" s="1416"/>
      <c r="I50" s="1417"/>
      <c r="J50" s="1432">
        <f>D50*J1</f>
        <v>0</v>
      </c>
      <c r="K50" s="1431"/>
      <c r="L50" s="1420"/>
      <c r="M50" s="1421"/>
      <c r="N50" s="1422"/>
      <c r="O50" s="1426"/>
      <c r="P50" s="1415"/>
    </row>
    <row r="51" spans="1:16">
      <c r="A51" s="1409" t="s">
        <v>466</v>
      </c>
      <c r="B51" s="1410" t="s">
        <v>0</v>
      </c>
      <c r="C51" s="1411"/>
      <c r="D51" s="1412">
        <v>1</v>
      </c>
      <c r="E51" s="1413"/>
      <c r="F51" s="1414"/>
      <c r="G51" s="1415"/>
      <c r="H51" s="1433">
        <f>D51*H1</f>
        <v>0</v>
      </c>
      <c r="I51" s="1417"/>
      <c r="J51" s="1430"/>
      <c r="K51" s="1431"/>
      <c r="L51" s="1420"/>
      <c r="M51" s="1421"/>
      <c r="N51" s="1422"/>
      <c r="O51" s="1426"/>
      <c r="P51" s="1415"/>
    </row>
    <row r="52" spans="1:16">
      <c r="A52" s="1409" t="s">
        <v>428</v>
      </c>
      <c r="B52" s="1410" t="s">
        <v>0</v>
      </c>
      <c r="C52" s="1411"/>
      <c r="D52" s="1412">
        <v>1</v>
      </c>
      <c r="E52" s="1434">
        <f>D52*E1</f>
        <v>0</v>
      </c>
      <c r="F52" s="1414"/>
      <c r="G52" s="1415"/>
      <c r="H52" s="1416"/>
      <c r="I52" s="1417"/>
      <c r="J52" s="1430"/>
      <c r="K52" s="1431"/>
      <c r="L52" s="1420"/>
      <c r="M52" s="1421"/>
      <c r="N52" s="1422"/>
      <c r="O52" s="1426"/>
      <c r="P52" s="1415"/>
    </row>
    <row r="53" spans="1:16">
      <c r="A53" s="1409" t="s">
        <v>474</v>
      </c>
      <c r="B53" s="1410" t="s">
        <v>0</v>
      </c>
      <c r="C53" s="1435"/>
      <c r="D53" s="1412">
        <v>1</v>
      </c>
      <c r="E53" s="1413"/>
      <c r="F53" s="1414"/>
      <c r="G53" s="1415"/>
      <c r="H53" s="1416"/>
      <c r="I53" s="1417"/>
      <c r="J53" s="1430"/>
      <c r="K53" s="1431"/>
      <c r="L53" s="1436">
        <f>D53*L1</f>
        <v>0</v>
      </c>
      <c r="M53" s="1421"/>
      <c r="N53" s="1422"/>
      <c r="O53" s="1426"/>
      <c r="P53" s="1415"/>
    </row>
    <row r="54" spans="1:16">
      <c r="A54" s="1409" t="s">
        <v>463</v>
      </c>
      <c r="B54" s="1410" t="s">
        <v>0</v>
      </c>
      <c r="C54" s="1411"/>
      <c r="D54" s="1412">
        <v>1</v>
      </c>
      <c r="E54" s="1413"/>
      <c r="F54" s="1414"/>
      <c r="G54" s="1428">
        <f>D54*G1</f>
        <v>0</v>
      </c>
      <c r="H54" s="1416"/>
      <c r="I54" s="1417"/>
      <c r="J54" s="1430"/>
      <c r="K54" s="1431"/>
      <c r="L54" s="1420"/>
      <c r="M54" s="1421"/>
      <c r="N54" s="1422"/>
      <c r="O54" s="1426"/>
      <c r="P54" s="1415"/>
    </row>
    <row r="55" spans="1:16">
      <c r="A55" s="1409" t="s">
        <v>475</v>
      </c>
      <c r="B55" s="1410" t="s">
        <v>0</v>
      </c>
      <c r="C55" s="1435"/>
      <c r="D55" s="1412">
        <v>1</v>
      </c>
      <c r="E55" s="1413"/>
      <c r="F55" s="1414"/>
      <c r="G55" s="1415"/>
      <c r="H55" s="1416"/>
      <c r="I55" s="1417"/>
      <c r="J55" s="1430"/>
      <c r="K55" s="1431"/>
      <c r="L55" s="1420"/>
      <c r="M55" s="1421"/>
      <c r="N55" s="1437"/>
      <c r="O55" s="1426"/>
      <c r="P55" s="1415"/>
    </row>
    <row r="56" spans="1:16" s="333" customFormat="1">
      <c r="A56" s="1453" t="s">
        <v>1753</v>
      </c>
      <c r="B56" s="1454" t="s">
        <v>0</v>
      </c>
      <c r="C56" s="1455"/>
      <c r="D56" s="1456">
        <v>1</v>
      </c>
      <c r="E56" s="1457"/>
      <c r="F56" s="1458"/>
      <c r="G56" s="1459"/>
      <c r="H56" s="1460"/>
      <c r="I56" s="1461"/>
      <c r="J56" s="1462"/>
      <c r="K56" s="1463"/>
      <c r="L56" s="1464"/>
      <c r="M56" s="1465"/>
      <c r="N56" s="1466">
        <f>D56*N$1</f>
        <v>0</v>
      </c>
      <c r="O56" s="1467"/>
      <c r="P56" s="1459"/>
    </row>
    <row r="57" spans="1:16">
      <c r="A57" s="1409" t="s">
        <v>1185</v>
      </c>
      <c r="B57" s="1410" t="s">
        <v>0</v>
      </c>
      <c r="C57" s="1435"/>
      <c r="D57" s="1412">
        <v>1</v>
      </c>
      <c r="E57" s="1413"/>
      <c r="F57" s="1414"/>
      <c r="G57" s="1415"/>
      <c r="H57" s="1416"/>
      <c r="I57" s="1417"/>
      <c r="J57" s="1430"/>
      <c r="K57" s="1438">
        <f>D57*K1</f>
        <v>0</v>
      </c>
      <c r="L57" s="1420"/>
      <c r="M57" s="1421"/>
      <c r="N57" s="1422"/>
      <c r="O57" s="1426"/>
      <c r="P57" s="1415"/>
    </row>
    <row r="58" spans="1:16">
      <c r="A58" s="1409" t="s">
        <v>476</v>
      </c>
      <c r="B58" s="1410" t="s">
        <v>0</v>
      </c>
      <c r="C58" s="1435"/>
      <c r="D58" s="1412">
        <v>1</v>
      </c>
      <c r="E58" s="1413"/>
      <c r="F58" s="1414"/>
      <c r="G58" s="1415"/>
      <c r="H58" s="1416"/>
      <c r="I58" s="1417"/>
      <c r="J58" s="1430"/>
      <c r="K58" s="1431"/>
      <c r="L58" s="1420"/>
      <c r="M58" s="1439">
        <f>D58*M1</f>
        <v>0</v>
      </c>
      <c r="N58" s="1422"/>
      <c r="O58" s="1426"/>
      <c r="P58" s="1415"/>
    </row>
    <row r="59" spans="1:16">
      <c r="A59" s="163" t="s">
        <v>1199</v>
      </c>
      <c r="B59" s="643" t="s">
        <v>0</v>
      </c>
      <c r="C59" s="174"/>
      <c r="D59" s="195">
        <v>1</v>
      </c>
      <c r="I59" s="487"/>
      <c r="J59" s="488"/>
      <c r="K59" s="593"/>
      <c r="L59" s="568"/>
      <c r="M59" s="502"/>
      <c r="O59" s="508">
        <f>D59*O1</f>
        <v>0</v>
      </c>
    </row>
    <row r="60" spans="1:16">
      <c r="A60" s="163" t="s">
        <v>1190</v>
      </c>
      <c r="B60" s="643" t="s">
        <v>0</v>
      </c>
      <c r="C60" s="174"/>
      <c r="D60" s="195">
        <v>1</v>
      </c>
      <c r="I60" s="544">
        <f>D60*I1</f>
        <v>0</v>
      </c>
      <c r="J60" s="488"/>
      <c r="K60" s="593"/>
      <c r="L60" s="568"/>
      <c r="M60" s="483"/>
      <c r="O60" s="566"/>
    </row>
    <row r="61" spans="1:16">
      <c r="A61" s="163" t="s">
        <v>1189</v>
      </c>
      <c r="B61" s="643" t="s">
        <v>0</v>
      </c>
      <c r="C61" s="174"/>
      <c r="D61" s="195">
        <v>1</v>
      </c>
      <c r="F61" s="496">
        <f>D61*F1</f>
        <v>0</v>
      </c>
      <c r="I61" s="487"/>
      <c r="J61" s="518">
        <f>D61*J1</f>
        <v>0</v>
      </c>
      <c r="K61" s="593"/>
      <c r="L61" s="568"/>
      <c r="M61" s="483"/>
      <c r="O61" s="566"/>
    </row>
    <row r="62" spans="1:16" ht="15.75" thickBot="1">
      <c r="A62" s="163" t="s">
        <v>1181</v>
      </c>
      <c r="B62" s="643" t="s">
        <v>0</v>
      </c>
      <c r="C62" s="174"/>
      <c r="D62" s="195">
        <v>1</v>
      </c>
      <c r="E62" s="498">
        <f>D62*E1</f>
        <v>0</v>
      </c>
      <c r="G62" s="497">
        <f>D62*2*G1</f>
        <v>0</v>
      </c>
      <c r="H62" s="499">
        <f>D62*H1</f>
        <v>0</v>
      </c>
      <c r="I62" s="487"/>
      <c r="J62" s="488"/>
      <c r="K62" s="594">
        <f>D62*2*K1</f>
        <v>0</v>
      </c>
      <c r="L62" s="576">
        <f>D62*L1</f>
        <v>0</v>
      </c>
      <c r="M62" s="502">
        <f>D62*2*M1</f>
        <v>0</v>
      </c>
      <c r="N62" s="507">
        <f>D62*2*N1</f>
        <v>0</v>
      </c>
      <c r="O62" s="566"/>
    </row>
    <row r="63" spans="1:16" ht="15.75" thickBot="1">
      <c r="A63" s="163" t="s">
        <v>415</v>
      </c>
      <c r="B63" s="643" t="s">
        <v>0</v>
      </c>
      <c r="C63" s="191"/>
      <c r="D63" s="162">
        <v>1</v>
      </c>
      <c r="E63" s="558">
        <f>D63*E1</f>
        <v>0</v>
      </c>
      <c r="F63" s="509"/>
      <c r="G63" s="510">
        <f>D63*G$1</f>
        <v>0</v>
      </c>
      <c r="H63" s="511">
        <f>H$1*D63</f>
        <v>0</v>
      </c>
      <c r="I63" s="512">
        <f>D63*I1</f>
        <v>0</v>
      </c>
      <c r="J63" s="517">
        <f>D63*J1</f>
        <v>0</v>
      </c>
      <c r="K63" s="595">
        <f>D63*K1</f>
        <v>0</v>
      </c>
      <c r="L63" s="578">
        <f>D63*L1</f>
        <v>0</v>
      </c>
      <c r="M63" s="514">
        <f>D63*M$1</f>
        <v>0</v>
      </c>
      <c r="N63" s="561">
        <f>D63*N$1</f>
        <v>0</v>
      </c>
      <c r="O63" s="562">
        <f>D63*O1</f>
        <v>0</v>
      </c>
      <c r="P63" s="563">
        <f>D63*P1</f>
        <v>0</v>
      </c>
    </row>
    <row r="64" spans="1:16">
      <c r="A64" s="192" t="s">
        <v>1198</v>
      </c>
      <c r="B64" s="643" t="s">
        <v>0</v>
      </c>
      <c r="C64" s="191"/>
      <c r="D64" s="162">
        <v>2</v>
      </c>
      <c r="E64" s="498"/>
      <c r="F64" s="496"/>
      <c r="G64" s="497"/>
      <c r="H64" s="499"/>
      <c r="I64" s="503"/>
      <c r="J64" s="518"/>
      <c r="K64" s="596"/>
      <c r="L64" s="588"/>
      <c r="M64" s="502"/>
      <c r="N64" s="507"/>
      <c r="O64" s="508">
        <f>D64*O1</f>
        <v>0</v>
      </c>
      <c r="P64" s="497"/>
    </row>
    <row r="65" spans="1:16">
      <c r="A65" s="192" t="s">
        <v>1182</v>
      </c>
      <c r="B65" s="643" t="s">
        <v>0</v>
      </c>
      <c r="C65" s="191"/>
      <c r="D65" s="162">
        <v>2</v>
      </c>
      <c r="I65" s="503">
        <f>D65*I1</f>
        <v>0</v>
      </c>
      <c r="J65" s="488"/>
      <c r="K65" s="597"/>
      <c r="L65" s="598"/>
      <c r="M65" s="483"/>
      <c r="O65" s="566"/>
      <c r="P65" s="497">
        <f>1*P1</f>
        <v>0</v>
      </c>
    </row>
    <row r="66" spans="1:16">
      <c r="A66" s="192" t="s">
        <v>1183</v>
      </c>
      <c r="B66" s="643" t="s">
        <v>0</v>
      </c>
      <c r="C66" s="191"/>
      <c r="D66" s="162">
        <v>3</v>
      </c>
      <c r="F66" s="496">
        <f>D66*F1</f>
        <v>0</v>
      </c>
      <c r="J66" s="541">
        <f>D66*J1</f>
        <v>0</v>
      </c>
      <c r="K66" s="572"/>
      <c r="L66" s="568"/>
      <c r="M66" s="483"/>
      <c r="O66" s="566"/>
    </row>
    <row r="67" spans="1:16" ht="15.75" thickBot="1">
      <c r="A67" s="192" t="s">
        <v>1184</v>
      </c>
      <c r="B67" s="643" t="s">
        <v>0</v>
      </c>
      <c r="C67" s="191"/>
      <c r="D67" s="195">
        <v>3</v>
      </c>
      <c r="E67" s="498">
        <f>D67*E1</f>
        <v>0</v>
      </c>
      <c r="G67" s="497">
        <f>D67*2*G1</f>
        <v>0</v>
      </c>
      <c r="H67" s="539">
        <f>D67*H1</f>
        <v>0</v>
      </c>
      <c r="K67" s="599">
        <f>D67*2*K1</f>
        <v>0</v>
      </c>
      <c r="L67" s="576">
        <f>D67*L1</f>
        <v>0</v>
      </c>
      <c r="M67" s="502">
        <f>D67*2*M1</f>
        <v>0</v>
      </c>
      <c r="N67" s="507">
        <f>D67*2*N1</f>
        <v>0</v>
      </c>
      <c r="O67" s="566"/>
    </row>
    <row r="68" spans="1:16">
      <c r="A68" s="192" t="s">
        <v>444</v>
      </c>
      <c r="B68" s="643" t="s">
        <v>0</v>
      </c>
      <c r="C68" s="191"/>
      <c r="D68" s="195">
        <v>1</v>
      </c>
      <c r="E68" s="624">
        <f>D68*E1</f>
        <v>0</v>
      </c>
      <c r="F68" s="600">
        <f>D68*F1</f>
        <v>0</v>
      </c>
      <c r="G68" s="601">
        <f>D68*G1</f>
        <v>0</v>
      </c>
      <c r="H68" s="602">
        <f>D68*H1</f>
        <v>0</v>
      </c>
      <c r="I68" s="603">
        <f>D68*I1</f>
        <v>0</v>
      </c>
      <c r="J68" s="604">
        <f>D68*J1</f>
        <v>0</v>
      </c>
      <c r="K68" s="605">
        <f>D68*K1</f>
        <v>0</v>
      </c>
      <c r="L68" s="606">
        <f>D68*L1</f>
        <v>0</v>
      </c>
      <c r="M68" s="606">
        <f>D68*M1</f>
        <v>0</v>
      </c>
      <c r="N68" s="606">
        <f>D68*N1</f>
        <v>0</v>
      </c>
      <c r="O68" s="606">
        <f>D68*O1</f>
        <v>0</v>
      </c>
      <c r="P68" s="607">
        <f>D68*P1</f>
        <v>0</v>
      </c>
    </row>
    <row r="69" spans="1:16">
      <c r="A69" s="192" t="s">
        <v>1264</v>
      </c>
      <c r="B69" s="643"/>
      <c r="C69" s="191"/>
      <c r="D69" s="195">
        <v>1</v>
      </c>
      <c r="E69" s="1380"/>
      <c r="F69" s="519">
        <f>D69*F1</f>
        <v>0</v>
      </c>
      <c r="G69" s="1381"/>
      <c r="H69" s="1382"/>
      <c r="I69" s="522">
        <f>D69*I$1</f>
        <v>0</v>
      </c>
      <c r="J69" s="608">
        <f>D69*J$1</f>
        <v>0</v>
      </c>
      <c r="K69" s="1383"/>
      <c r="L69" s="1384"/>
      <c r="M69" s="1384"/>
      <c r="N69" s="1384"/>
      <c r="O69" s="506">
        <f>D69*O$1</f>
        <v>0</v>
      </c>
      <c r="P69" s="609">
        <f>D69*P$1</f>
        <v>0</v>
      </c>
    </row>
    <row r="70" spans="1:16">
      <c r="A70" s="192" t="s">
        <v>1743</v>
      </c>
      <c r="B70" s="643" t="s">
        <v>1187</v>
      </c>
      <c r="C70" s="191"/>
      <c r="D70" s="195">
        <v>1</v>
      </c>
      <c r="E70" s="625">
        <f>D70*E1</f>
        <v>0</v>
      </c>
      <c r="F70" s="519"/>
      <c r="G70" s="520">
        <f>D70*G1</f>
        <v>0</v>
      </c>
      <c r="H70" s="521">
        <f>D70*H1</f>
        <v>0</v>
      </c>
      <c r="I70" s="522"/>
      <c r="J70" s="608"/>
      <c r="K70" s="573">
        <f>D70*K1</f>
        <v>0</v>
      </c>
      <c r="L70" s="506">
        <f>D70*L1</f>
        <v>0</v>
      </c>
      <c r="M70" s="506">
        <f>D70*M1</f>
        <v>0</v>
      </c>
      <c r="N70" s="506">
        <f>D70*N1</f>
        <v>0</v>
      </c>
      <c r="O70" s="506"/>
      <c r="P70" s="609"/>
    </row>
    <row r="71" spans="1:16">
      <c r="A71" s="1398" t="s">
        <v>1340</v>
      </c>
      <c r="B71" s="1399" t="s">
        <v>1337</v>
      </c>
      <c r="C71" s="1387"/>
      <c r="D71" s="1388">
        <v>1</v>
      </c>
      <c r="E71" s="1400">
        <f t="shared" ref="E71:E77" si="1">D71*E$1</f>
        <v>0</v>
      </c>
      <c r="F71" s="1401">
        <f t="shared" ref="F71:F76" si="2">D71/2*F$1</f>
        <v>0</v>
      </c>
      <c r="G71" s="1402">
        <f t="shared" ref="G71:G77" si="3">D71*G$1</f>
        <v>0</v>
      </c>
      <c r="H71" s="1403">
        <f t="shared" ref="H71:H77" si="4">D71*H$1</f>
        <v>0</v>
      </c>
      <c r="I71" s="1404">
        <f t="shared" ref="I71:I76" si="5">D71/2*I$1</f>
        <v>0</v>
      </c>
      <c r="J71" s="1405">
        <f t="shared" ref="J71:J76" si="6">D71/2*J$1</f>
        <v>0</v>
      </c>
      <c r="K71" s="1406">
        <f t="shared" ref="K71:K77" si="7">D71*K$1</f>
        <v>0</v>
      </c>
      <c r="L71" s="1407">
        <f t="shared" ref="L71:L77" si="8">D71*L$1</f>
        <v>0</v>
      </c>
      <c r="M71" s="1407">
        <f t="shared" ref="M71:M77" si="9">D71*M$1</f>
        <v>0</v>
      </c>
      <c r="N71" s="1407">
        <f t="shared" ref="N71:N77" si="10">D71*N$1</f>
        <v>0</v>
      </c>
      <c r="O71" s="1407">
        <f t="shared" ref="O71:O76" si="11">D71/2*O$1</f>
        <v>0</v>
      </c>
      <c r="P71" s="1408">
        <f t="shared" ref="P71:P76" si="12">D71/2*P$1</f>
        <v>0</v>
      </c>
    </row>
    <row r="72" spans="1:16">
      <c r="A72" s="1398" t="s">
        <v>1339</v>
      </c>
      <c r="B72" s="1399" t="s">
        <v>1338</v>
      </c>
      <c r="C72" s="1387"/>
      <c r="D72" s="1388">
        <v>8</v>
      </c>
      <c r="E72" s="1400">
        <f t="shared" si="1"/>
        <v>0</v>
      </c>
      <c r="F72" s="1401">
        <f t="shared" si="2"/>
        <v>0</v>
      </c>
      <c r="G72" s="1402">
        <f t="shared" si="3"/>
        <v>0</v>
      </c>
      <c r="H72" s="1403">
        <f t="shared" si="4"/>
        <v>0</v>
      </c>
      <c r="I72" s="1404">
        <f t="shared" si="5"/>
        <v>0</v>
      </c>
      <c r="J72" s="1405">
        <f t="shared" si="6"/>
        <v>0</v>
      </c>
      <c r="K72" s="1406">
        <f t="shared" si="7"/>
        <v>0</v>
      </c>
      <c r="L72" s="1407">
        <f t="shared" si="8"/>
        <v>0</v>
      </c>
      <c r="M72" s="1407">
        <f t="shared" si="9"/>
        <v>0</v>
      </c>
      <c r="N72" s="1407">
        <f t="shared" si="10"/>
        <v>0</v>
      </c>
      <c r="O72" s="1407">
        <f t="shared" si="11"/>
        <v>0</v>
      </c>
      <c r="P72" s="1408">
        <f t="shared" si="12"/>
        <v>0</v>
      </c>
    </row>
    <row r="73" spans="1:16">
      <c r="A73" s="1398" t="s">
        <v>1342</v>
      </c>
      <c r="B73" s="1399" t="s">
        <v>574</v>
      </c>
      <c r="C73" s="1387"/>
      <c r="D73" s="1388">
        <v>2</v>
      </c>
      <c r="E73" s="1400">
        <f t="shared" si="1"/>
        <v>0</v>
      </c>
      <c r="F73" s="1401">
        <f t="shared" si="2"/>
        <v>0</v>
      </c>
      <c r="G73" s="1402">
        <f t="shared" si="3"/>
        <v>0</v>
      </c>
      <c r="H73" s="1403">
        <f t="shared" si="4"/>
        <v>0</v>
      </c>
      <c r="I73" s="1404">
        <f t="shared" si="5"/>
        <v>0</v>
      </c>
      <c r="J73" s="1405">
        <f t="shared" si="6"/>
        <v>0</v>
      </c>
      <c r="K73" s="1406">
        <f t="shared" si="7"/>
        <v>0</v>
      </c>
      <c r="L73" s="1407">
        <f t="shared" si="8"/>
        <v>0</v>
      </c>
      <c r="M73" s="1407">
        <f t="shared" si="9"/>
        <v>0</v>
      </c>
      <c r="N73" s="1407">
        <f t="shared" si="10"/>
        <v>0</v>
      </c>
      <c r="O73" s="1407">
        <f t="shared" si="11"/>
        <v>0</v>
      </c>
      <c r="P73" s="1408">
        <f t="shared" si="12"/>
        <v>0</v>
      </c>
    </row>
    <row r="74" spans="1:16">
      <c r="A74" s="1398" t="s">
        <v>1341</v>
      </c>
      <c r="B74" s="1399" t="s">
        <v>743</v>
      </c>
      <c r="C74" s="1387"/>
      <c r="D74" s="1388">
        <v>10</v>
      </c>
      <c r="E74" s="1400">
        <f t="shared" si="1"/>
        <v>0</v>
      </c>
      <c r="F74" s="1401">
        <f t="shared" si="2"/>
        <v>0</v>
      </c>
      <c r="G74" s="1402">
        <f t="shared" si="3"/>
        <v>0</v>
      </c>
      <c r="H74" s="1403">
        <f t="shared" si="4"/>
        <v>0</v>
      </c>
      <c r="I74" s="1404">
        <f t="shared" si="5"/>
        <v>0</v>
      </c>
      <c r="J74" s="1405">
        <f t="shared" si="6"/>
        <v>0</v>
      </c>
      <c r="K74" s="1406">
        <f t="shared" si="7"/>
        <v>0</v>
      </c>
      <c r="L74" s="1407">
        <f t="shared" si="8"/>
        <v>0</v>
      </c>
      <c r="M74" s="1407">
        <f t="shared" si="9"/>
        <v>0</v>
      </c>
      <c r="N74" s="1407">
        <f t="shared" si="10"/>
        <v>0</v>
      </c>
      <c r="O74" s="1407">
        <f t="shared" si="11"/>
        <v>0</v>
      </c>
      <c r="P74" s="1408">
        <f t="shared" si="12"/>
        <v>0</v>
      </c>
    </row>
    <row r="75" spans="1:16">
      <c r="A75" s="1398" t="s">
        <v>1343</v>
      </c>
      <c r="B75" s="1399" t="s">
        <v>0</v>
      </c>
      <c r="C75" s="1387"/>
      <c r="D75" s="1388">
        <v>300</v>
      </c>
      <c r="E75" s="1400">
        <f t="shared" si="1"/>
        <v>0</v>
      </c>
      <c r="F75" s="1401">
        <f t="shared" si="2"/>
        <v>0</v>
      </c>
      <c r="G75" s="1402">
        <f t="shared" si="3"/>
        <v>0</v>
      </c>
      <c r="H75" s="1403">
        <f t="shared" si="4"/>
        <v>0</v>
      </c>
      <c r="I75" s="1404">
        <f t="shared" si="5"/>
        <v>0</v>
      </c>
      <c r="J75" s="1405">
        <f t="shared" si="6"/>
        <v>0</v>
      </c>
      <c r="K75" s="1406">
        <f t="shared" si="7"/>
        <v>0</v>
      </c>
      <c r="L75" s="1407">
        <f t="shared" si="8"/>
        <v>0</v>
      </c>
      <c r="M75" s="1407">
        <f t="shared" si="9"/>
        <v>0</v>
      </c>
      <c r="N75" s="1407">
        <f t="shared" si="10"/>
        <v>0</v>
      </c>
      <c r="O75" s="1407">
        <f t="shared" si="11"/>
        <v>0</v>
      </c>
      <c r="P75" s="1408">
        <f t="shared" si="12"/>
        <v>0</v>
      </c>
    </row>
    <row r="76" spans="1:16">
      <c r="A76" s="1398" t="s">
        <v>1345</v>
      </c>
      <c r="B76" s="1399" t="s">
        <v>743</v>
      </c>
      <c r="C76" s="1387"/>
      <c r="D76" s="1388">
        <v>2</v>
      </c>
      <c r="E76" s="1400">
        <f t="shared" si="1"/>
        <v>0</v>
      </c>
      <c r="F76" s="1401">
        <f t="shared" si="2"/>
        <v>0</v>
      </c>
      <c r="G76" s="1402">
        <f t="shared" si="3"/>
        <v>0</v>
      </c>
      <c r="H76" s="1403">
        <f t="shared" si="4"/>
        <v>0</v>
      </c>
      <c r="I76" s="1404">
        <f t="shared" si="5"/>
        <v>0</v>
      </c>
      <c r="J76" s="1405">
        <f t="shared" si="6"/>
        <v>0</v>
      </c>
      <c r="K76" s="1406">
        <f t="shared" si="7"/>
        <v>0</v>
      </c>
      <c r="L76" s="1407">
        <f t="shared" si="8"/>
        <v>0</v>
      </c>
      <c r="M76" s="1407">
        <f t="shared" si="9"/>
        <v>0</v>
      </c>
      <c r="N76" s="1407">
        <f t="shared" si="10"/>
        <v>0</v>
      </c>
      <c r="O76" s="1407">
        <f t="shared" si="11"/>
        <v>0</v>
      </c>
      <c r="P76" s="1408">
        <f t="shared" si="12"/>
        <v>0</v>
      </c>
    </row>
    <row r="77" spans="1:16">
      <c r="A77" s="1398" t="s">
        <v>1344</v>
      </c>
      <c r="B77" s="1399" t="s">
        <v>743</v>
      </c>
      <c r="C77" s="1387"/>
      <c r="D77" s="1388">
        <v>1</v>
      </c>
      <c r="E77" s="1400">
        <f t="shared" si="1"/>
        <v>0</v>
      </c>
      <c r="F77" s="1401">
        <f>D77*F$1</f>
        <v>0</v>
      </c>
      <c r="G77" s="1402">
        <f t="shared" si="3"/>
        <v>0</v>
      </c>
      <c r="H77" s="1403">
        <f t="shared" si="4"/>
        <v>0</v>
      </c>
      <c r="I77" s="1404">
        <f>D77*I$1</f>
        <v>0</v>
      </c>
      <c r="J77" s="1405">
        <f>D77*J$1</f>
        <v>0</v>
      </c>
      <c r="K77" s="1406">
        <f t="shared" si="7"/>
        <v>0</v>
      </c>
      <c r="L77" s="1407">
        <f t="shared" si="8"/>
        <v>0</v>
      </c>
      <c r="M77" s="1407">
        <f t="shared" si="9"/>
        <v>0</v>
      </c>
      <c r="N77" s="1407">
        <f t="shared" si="10"/>
        <v>0</v>
      </c>
      <c r="O77" s="1407">
        <f>D77*O$1</f>
        <v>0</v>
      </c>
      <c r="P77" s="1408">
        <f>D77*P$1</f>
        <v>0</v>
      </c>
    </row>
    <row r="78" spans="1:16">
      <c r="A78" s="192" t="s">
        <v>1294</v>
      </c>
      <c r="B78" s="643" t="s">
        <v>0</v>
      </c>
      <c r="C78" s="191"/>
      <c r="D78" s="195">
        <v>1</v>
      </c>
      <c r="E78" s="625">
        <f>D78*E1</f>
        <v>0</v>
      </c>
      <c r="F78" s="608">
        <f>D78*F1</f>
        <v>0</v>
      </c>
      <c r="G78" s="608">
        <f>D78*G1</f>
        <v>0</v>
      </c>
      <c r="H78" s="608">
        <f>D78*H1</f>
        <v>0</v>
      </c>
      <c r="I78" s="608">
        <f>D78*I1</f>
        <v>0</v>
      </c>
      <c r="J78" s="608">
        <f>D78*J1</f>
        <v>0</v>
      </c>
      <c r="K78" s="573">
        <f>D78*K1</f>
        <v>0</v>
      </c>
      <c r="L78" s="506">
        <f>D78*L1</f>
        <v>0</v>
      </c>
      <c r="M78" s="506">
        <f>D78*M1</f>
        <v>0</v>
      </c>
      <c r="N78" s="506">
        <f>D78*N1</f>
        <v>0</v>
      </c>
      <c r="O78" s="506">
        <f>D78*O1</f>
        <v>0</v>
      </c>
      <c r="P78" s="609">
        <f>D78*P1</f>
        <v>0</v>
      </c>
    </row>
    <row r="79" spans="1:16">
      <c r="A79" s="5" t="s">
        <v>1295</v>
      </c>
      <c r="B79" s="643" t="s">
        <v>0</v>
      </c>
      <c r="C79" s="191"/>
      <c r="D79" s="195">
        <v>2</v>
      </c>
      <c r="E79" s="626"/>
      <c r="F79" s="610"/>
      <c r="G79" s="610"/>
      <c r="H79" s="610"/>
      <c r="I79" s="610"/>
      <c r="J79" s="610"/>
      <c r="K79" s="599"/>
      <c r="L79" s="576"/>
      <c r="M79" s="576"/>
      <c r="N79" s="576"/>
      <c r="O79" s="576">
        <f>D79*O1</f>
        <v>0</v>
      </c>
      <c r="P79" s="611"/>
    </row>
    <row r="80" spans="1:16" ht="15.75" thickBot="1">
      <c r="A80" s="5" t="s">
        <v>1296</v>
      </c>
      <c r="B80" s="643" t="s">
        <v>0</v>
      </c>
      <c r="C80" s="191"/>
      <c r="D80" s="195">
        <v>2</v>
      </c>
      <c r="E80" s="627">
        <f>D80*E1</f>
        <v>0</v>
      </c>
      <c r="F80" s="525">
        <f>D80*F1</f>
        <v>0</v>
      </c>
      <c r="G80" s="526">
        <f>D80*G$1</f>
        <v>0</v>
      </c>
      <c r="H80" s="527">
        <f>D80*H$1</f>
        <v>0</v>
      </c>
      <c r="I80" s="528">
        <f>D80*I1</f>
        <v>0</v>
      </c>
      <c r="J80" s="529">
        <f>D80*J1</f>
        <v>0</v>
      </c>
      <c r="K80" s="612">
        <f>D80*K1</f>
        <v>0</v>
      </c>
      <c r="L80" s="613">
        <f>D80*L1</f>
        <v>0</v>
      </c>
      <c r="M80" s="530">
        <f>D80*M$1</f>
        <v>0</v>
      </c>
      <c r="N80" s="614">
        <f>D80*N$1</f>
        <v>0</v>
      </c>
      <c r="O80" s="615">
        <f>D80*O1</f>
        <v>0</v>
      </c>
      <c r="P80" s="616">
        <f>D80*2*P1</f>
        <v>0</v>
      </c>
    </row>
    <row r="81" spans="1:16">
      <c r="A81" s="5" t="s">
        <v>1297</v>
      </c>
      <c r="B81" s="643" t="s">
        <v>0</v>
      </c>
      <c r="C81" s="191"/>
      <c r="D81" s="195">
        <v>2</v>
      </c>
      <c r="E81" s="628"/>
      <c r="F81" s="534">
        <f>D81*F1</f>
        <v>0</v>
      </c>
      <c r="G81" s="535"/>
      <c r="H81" s="536"/>
      <c r="I81" s="543">
        <f>D81*I1</f>
        <v>0</v>
      </c>
      <c r="J81" s="537"/>
      <c r="K81" s="597"/>
      <c r="L81" s="598"/>
      <c r="M81" s="538"/>
      <c r="N81" s="617"/>
      <c r="O81" s="618"/>
      <c r="P81" s="535"/>
    </row>
    <row r="82" spans="1:16">
      <c r="A82" s="5" t="s">
        <v>1298</v>
      </c>
      <c r="B82" s="643" t="s">
        <v>0</v>
      </c>
      <c r="C82" s="191"/>
      <c r="D82" s="195">
        <v>24</v>
      </c>
      <c r="E82" s="629"/>
      <c r="F82" s="491"/>
      <c r="G82" s="492"/>
      <c r="H82" s="531"/>
      <c r="I82" s="494"/>
      <c r="J82" s="542">
        <f>2*J1</f>
        <v>0</v>
      </c>
      <c r="K82" s="572"/>
      <c r="L82" s="568"/>
      <c r="M82" s="532"/>
      <c r="N82" s="533"/>
      <c r="O82" s="619"/>
      <c r="P82" s="520">
        <f>6*P1</f>
        <v>0</v>
      </c>
    </row>
    <row r="83" spans="1:16">
      <c r="A83" s="5" t="s">
        <v>1299</v>
      </c>
      <c r="B83" s="643" t="s">
        <v>0</v>
      </c>
      <c r="C83" s="191"/>
      <c r="D83" s="195">
        <v>6</v>
      </c>
      <c r="E83" s="629"/>
      <c r="F83" s="519">
        <f>D83*F1</f>
        <v>0</v>
      </c>
      <c r="G83" s="520">
        <f>8*G1</f>
        <v>0</v>
      </c>
      <c r="H83" s="521">
        <f>2*H1</f>
        <v>0</v>
      </c>
      <c r="I83" s="522">
        <f>D83*I1</f>
        <v>0</v>
      </c>
      <c r="J83" s="495"/>
      <c r="K83" s="572"/>
      <c r="L83" s="568"/>
      <c r="M83" s="532"/>
      <c r="N83" s="620">
        <f>8*N1</f>
        <v>0</v>
      </c>
      <c r="O83" s="619"/>
      <c r="P83" s="492"/>
    </row>
    <row r="84" spans="1:16">
      <c r="A84" s="163" t="s">
        <v>1300</v>
      </c>
      <c r="B84" s="643" t="s">
        <v>0</v>
      </c>
      <c r="C84" s="191"/>
      <c r="D84" s="195">
        <v>12</v>
      </c>
      <c r="E84" s="625">
        <f>2*E1</f>
        <v>0</v>
      </c>
      <c r="F84" s="519"/>
      <c r="G84" s="492"/>
      <c r="H84" s="493"/>
      <c r="I84" s="494"/>
      <c r="J84" s="523">
        <f>6*J1</f>
        <v>0</v>
      </c>
      <c r="K84" s="573">
        <f>8*K1</f>
        <v>0</v>
      </c>
      <c r="L84" s="568"/>
      <c r="M84" s="532"/>
      <c r="N84" s="533"/>
      <c r="O84" s="619"/>
      <c r="P84" s="492"/>
    </row>
    <row r="85" spans="1:16">
      <c r="A85" s="163" t="s">
        <v>1301</v>
      </c>
      <c r="B85" s="643" t="s">
        <v>0</v>
      </c>
      <c r="C85" s="191"/>
      <c r="D85" s="195">
        <v>3</v>
      </c>
      <c r="E85" s="629"/>
      <c r="F85" s="491"/>
      <c r="G85" s="520">
        <f>D85*8*G1</f>
        <v>0</v>
      </c>
      <c r="H85" s="540">
        <f>D85*2*H1</f>
        <v>0</v>
      </c>
      <c r="I85" s="494"/>
      <c r="J85" s="495"/>
      <c r="K85" s="573"/>
      <c r="L85" s="506">
        <f>D85*L1</f>
        <v>0</v>
      </c>
      <c r="M85" s="524">
        <f>8*M1</f>
        <v>0</v>
      </c>
      <c r="N85" s="620">
        <f>24*N1</f>
        <v>0</v>
      </c>
      <c r="O85" s="619"/>
      <c r="P85" s="492"/>
    </row>
    <row r="86" spans="1:16">
      <c r="A86" s="163" t="s">
        <v>1302</v>
      </c>
      <c r="B86" s="643" t="s">
        <v>0</v>
      </c>
      <c r="C86" s="191"/>
      <c r="D86" s="195">
        <v>24</v>
      </c>
      <c r="E86" s="625">
        <f>6*E1</f>
        <v>0</v>
      </c>
      <c r="F86" s="491"/>
      <c r="G86" s="492"/>
      <c r="H86" s="493"/>
      <c r="I86" s="494"/>
      <c r="J86" s="495"/>
      <c r="K86" s="573">
        <f>D86*K1</f>
        <v>0</v>
      </c>
      <c r="L86" s="568"/>
      <c r="M86" s="524"/>
      <c r="N86" s="533"/>
      <c r="O86" s="619"/>
      <c r="P86" s="492"/>
    </row>
    <row r="87" spans="1:16">
      <c r="A87" s="685" t="s">
        <v>1303</v>
      </c>
      <c r="B87" s="686" t="s">
        <v>0</v>
      </c>
      <c r="C87" s="687"/>
      <c r="D87" s="688">
        <v>6</v>
      </c>
      <c r="E87" s="677"/>
      <c r="F87" s="678"/>
      <c r="G87" s="681"/>
      <c r="H87" s="683"/>
      <c r="I87" s="689"/>
      <c r="J87" s="696"/>
      <c r="K87" s="554"/>
      <c r="L87" s="576">
        <f>D87*L1</f>
        <v>0</v>
      </c>
      <c r="M87" s="700">
        <f>24*M1</f>
        <v>0</v>
      </c>
      <c r="N87" s="701"/>
      <c r="O87" s="702"/>
      <c r="P87" s="681"/>
    </row>
    <row r="88" spans="1:16">
      <c r="A88" s="1697"/>
      <c r="B88" s="1697"/>
      <c r="C88" s="1697"/>
      <c r="D88" s="1697"/>
      <c r="E88" s="1696"/>
      <c r="F88" s="1700"/>
      <c r="G88" s="680"/>
      <c r="H88" s="682"/>
      <c r="I88" s="1701"/>
      <c r="J88" s="1702"/>
      <c r="K88" s="1703"/>
      <c r="L88" s="1704"/>
      <c r="M88" s="711"/>
      <c r="N88" s="722"/>
      <c r="O88" s="1698"/>
      <c r="P88" s="699"/>
    </row>
    <row r="89" spans="1:16">
      <c r="A89" s="740" t="s">
        <v>1215</v>
      </c>
      <c r="B89" s="740"/>
      <c r="C89" s="690"/>
      <c r="D89" s="690"/>
      <c r="E89" s="1696"/>
      <c r="F89" s="1700"/>
      <c r="G89" s="680"/>
      <c r="H89" s="682"/>
      <c r="I89" s="1701"/>
      <c r="J89" s="1702"/>
      <c r="K89" s="1703"/>
      <c r="L89" s="1704"/>
      <c r="M89" s="711"/>
      <c r="N89" s="722"/>
      <c r="O89" s="1698"/>
      <c r="P89" s="699"/>
    </row>
    <row r="90" spans="1:16">
      <c r="A90" s="741" t="s">
        <v>1216</v>
      </c>
      <c r="B90" s="741"/>
      <c r="C90" s="679"/>
      <c r="D90" s="679"/>
      <c r="E90" s="679"/>
      <c r="F90" s="1700"/>
      <c r="G90" s="680"/>
      <c r="H90" s="682"/>
      <c r="I90" s="1701"/>
      <c r="J90" s="1702"/>
      <c r="K90" s="1703"/>
      <c r="L90" s="1704"/>
      <c r="M90" s="711"/>
      <c r="N90" s="722"/>
      <c r="O90" s="1698"/>
      <c r="P90" s="699"/>
    </row>
    <row r="91" spans="1:16">
      <c r="A91" s="742" t="s">
        <v>1217</v>
      </c>
      <c r="B91" s="742"/>
      <c r="C91" s="739"/>
      <c r="D91" s="739"/>
      <c r="E91" s="739"/>
      <c r="F91" s="739"/>
      <c r="G91" s="680"/>
      <c r="H91" s="682"/>
      <c r="I91" s="1701"/>
      <c r="J91" s="1702"/>
      <c r="K91" s="1703"/>
      <c r="L91" s="1704"/>
      <c r="M91" s="711"/>
      <c r="N91" s="722"/>
      <c r="O91" s="1698"/>
      <c r="P91" s="699"/>
    </row>
    <row r="92" spans="1:16">
      <c r="A92" s="743" t="s">
        <v>1218</v>
      </c>
      <c r="B92" s="743"/>
      <c r="C92" s="738"/>
      <c r="D92" s="738"/>
      <c r="E92" s="738"/>
      <c r="F92" s="738"/>
      <c r="G92" s="738"/>
      <c r="H92" s="684"/>
      <c r="I92" s="1701"/>
      <c r="J92" s="1702"/>
      <c r="K92" s="1703"/>
      <c r="L92" s="1704"/>
      <c r="M92" s="711"/>
      <c r="N92" s="722"/>
      <c r="O92" s="1698"/>
      <c r="P92" s="699"/>
    </row>
    <row r="93" spans="1:16">
      <c r="A93" s="744" t="s">
        <v>1219</v>
      </c>
      <c r="B93" s="744"/>
      <c r="C93" s="697"/>
      <c r="D93" s="697"/>
      <c r="E93" s="697"/>
      <c r="F93" s="697"/>
      <c r="G93" s="697"/>
      <c r="H93" s="697"/>
      <c r="I93" s="1701"/>
      <c r="J93" s="1702"/>
      <c r="K93" s="1703"/>
      <c r="L93" s="1704"/>
      <c r="M93" s="711"/>
      <c r="N93" s="722"/>
      <c r="O93" s="1698"/>
      <c r="P93" s="699"/>
    </row>
    <row r="94" spans="1:16">
      <c r="A94" s="745" t="s">
        <v>1220</v>
      </c>
      <c r="B94" s="745"/>
      <c r="C94" s="691"/>
      <c r="D94" s="691"/>
      <c r="E94" s="691"/>
      <c r="F94" s="692"/>
      <c r="G94" s="693"/>
      <c r="H94" s="694"/>
      <c r="I94" s="695"/>
      <c r="J94" s="1702"/>
      <c r="K94" s="1703"/>
      <c r="L94" s="1704"/>
      <c r="M94" s="711"/>
      <c r="N94" s="722"/>
      <c r="O94" s="1698"/>
      <c r="P94" s="699"/>
    </row>
    <row r="95" spans="1:16">
      <c r="A95" s="746" t="s">
        <v>1221</v>
      </c>
      <c r="B95" s="746"/>
      <c r="C95" s="737"/>
      <c r="D95" s="737"/>
      <c r="E95" s="737"/>
      <c r="F95" s="737"/>
      <c r="G95" s="737"/>
      <c r="H95" s="737"/>
      <c r="I95" s="737"/>
      <c r="J95" s="737"/>
      <c r="K95" s="1703"/>
      <c r="L95" s="1704"/>
      <c r="M95" s="711"/>
      <c r="N95" s="722"/>
      <c r="O95" s="1698"/>
      <c r="P95" s="699"/>
    </row>
    <row r="96" spans="1:16">
      <c r="A96" s="742" t="s">
        <v>1222</v>
      </c>
      <c r="B96" s="742"/>
      <c r="C96" s="698"/>
      <c r="D96" s="698"/>
      <c r="E96" s="698"/>
      <c r="F96" s="698"/>
      <c r="G96" s="698"/>
      <c r="H96" s="698"/>
      <c r="I96" s="698"/>
      <c r="J96" s="698"/>
      <c r="K96" s="698"/>
      <c r="L96" s="698"/>
      <c r="M96" s="711"/>
      <c r="N96" s="722"/>
      <c r="O96" s="1698"/>
      <c r="P96" s="699"/>
    </row>
    <row r="97" spans="1:16">
      <c r="A97" s="733" t="s">
        <v>1223</v>
      </c>
      <c r="B97" s="733"/>
      <c r="C97" s="703"/>
      <c r="D97" s="703"/>
      <c r="E97" s="703"/>
      <c r="F97" s="704"/>
      <c r="G97" s="705"/>
      <c r="H97" s="706"/>
      <c r="I97" s="707"/>
      <c r="J97" s="708"/>
      <c r="K97" s="709"/>
      <c r="L97" s="710"/>
      <c r="M97" s="711"/>
      <c r="N97" s="722"/>
      <c r="O97" s="1698"/>
      <c r="P97" s="699"/>
    </row>
    <row r="98" spans="1:16">
      <c r="A98" s="734" t="s">
        <v>1224</v>
      </c>
      <c r="B98" s="734"/>
      <c r="C98" s="712"/>
      <c r="D98" s="712"/>
      <c r="E98" s="713"/>
      <c r="F98" s="714"/>
      <c r="G98" s="715"/>
      <c r="H98" s="716"/>
      <c r="I98" s="717"/>
      <c r="J98" s="718"/>
      <c r="K98" s="719"/>
      <c r="L98" s="720"/>
      <c r="M98" s="721"/>
      <c r="N98" s="722"/>
      <c r="O98" s="1698"/>
      <c r="P98" s="699"/>
    </row>
    <row r="99" spans="1:16">
      <c r="A99" s="735" t="s">
        <v>1225</v>
      </c>
      <c r="B99" s="735"/>
      <c r="C99" s="723"/>
      <c r="D99" s="723"/>
      <c r="E99" s="723"/>
      <c r="F99" s="724"/>
      <c r="G99" s="725"/>
      <c r="H99" s="726"/>
      <c r="I99" s="727"/>
      <c r="J99" s="728"/>
      <c r="K99" s="729"/>
      <c r="L99" s="730"/>
      <c r="M99" s="731"/>
      <c r="N99" s="732"/>
      <c r="O99" s="1698"/>
      <c r="P99" s="699"/>
    </row>
    <row r="100" spans="1:16">
      <c r="A100" s="736" t="s">
        <v>1226</v>
      </c>
      <c r="B100" s="736"/>
      <c r="C100" s="1699"/>
      <c r="D100" s="1699"/>
      <c r="E100" s="1699"/>
      <c r="F100" s="1699"/>
      <c r="G100" s="1699"/>
      <c r="H100" s="1699"/>
      <c r="I100" s="1699"/>
      <c r="J100" s="1699"/>
      <c r="K100" s="1699"/>
      <c r="L100" s="1699"/>
      <c r="M100" s="1699"/>
      <c r="N100" s="1699"/>
      <c r="O100" s="1699"/>
      <c r="P100" s="1699"/>
    </row>
    <row r="101" spans="1:16">
      <c r="B101" s="112"/>
      <c r="C101" s="171"/>
      <c r="D101" s="187"/>
      <c r="E101" s="623"/>
    </row>
    <row r="102" spans="1:16">
      <c r="B102" s="112"/>
      <c r="C102" s="171"/>
      <c r="D102" s="187"/>
      <c r="E102" s="623"/>
    </row>
    <row r="103" spans="1:16">
      <c r="B103" s="112"/>
      <c r="C103" s="171"/>
      <c r="D103" s="187"/>
      <c r="E103" s="623"/>
    </row>
    <row r="104" spans="1:16">
      <c r="B104" s="112"/>
      <c r="D104" s="187"/>
      <c r="E104" s="623"/>
    </row>
    <row r="105" spans="1:16">
      <c r="B105" s="112"/>
      <c r="D105" s="187"/>
      <c r="E105" s="623"/>
    </row>
    <row r="106" spans="1:16">
      <c r="B106" s="112"/>
      <c r="C106" s="171"/>
      <c r="D106" s="187"/>
      <c r="E106" s="623"/>
    </row>
    <row r="107" spans="1:16">
      <c r="B107" s="112"/>
      <c r="C107" s="171"/>
      <c r="D107" s="187"/>
      <c r="E107" s="623"/>
    </row>
    <row r="108" spans="1:16">
      <c r="B108" s="112"/>
      <c r="C108" s="171"/>
      <c r="D108" s="187"/>
      <c r="E108" s="623"/>
    </row>
    <row r="109" spans="1:16">
      <c r="B109" s="112"/>
      <c r="C109" s="171"/>
      <c r="D109" s="187"/>
      <c r="E109" s="623"/>
    </row>
    <row r="110" spans="1:16">
      <c r="B110" s="112"/>
      <c r="C110" s="188"/>
      <c r="D110" s="187"/>
      <c r="E110" s="623"/>
    </row>
    <row r="111" spans="1:16">
      <c r="B111" s="112"/>
      <c r="C111" s="188"/>
      <c r="D111" s="187"/>
      <c r="E111" s="623"/>
    </row>
    <row r="112" spans="1:16">
      <c r="B112" s="112"/>
      <c r="C112" s="188"/>
      <c r="D112" s="187"/>
      <c r="E112" s="623"/>
    </row>
    <row r="113" spans="2:5">
      <c r="B113" s="112"/>
      <c r="C113" s="188"/>
      <c r="D113" s="187"/>
      <c r="E113" s="623"/>
    </row>
    <row r="114" spans="2:5">
      <c r="B114" s="112"/>
      <c r="C114" s="188"/>
      <c r="D114" s="187"/>
      <c r="E114" s="623"/>
    </row>
    <row r="115" spans="2:5">
      <c r="B115" s="112"/>
      <c r="C115" s="188"/>
      <c r="D115" s="187"/>
      <c r="E115" s="623"/>
    </row>
    <row r="116" spans="2:5">
      <c r="B116" s="189"/>
      <c r="C116" s="171"/>
      <c r="D116" s="187"/>
      <c r="E116" s="623"/>
    </row>
    <row r="117" spans="2:5">
      <c r="B117" s="189"/>
      <c r="C117" s="171"/>
      <c r="D117" s="187"/>
      <c r="E117" s="623"/>
    </row>
    <row r="118" spans="2:5">
      <c r="B118" s="112"/>
      <c r="D118" s="187"/>
      <c r="E118" s="623"/>
    </row>
  </sheetData>
  <autoFilter ref="A1:P86" xr:uid="{70DF447C-3E9D-4168-B6DB-C37C8AD02A47}">
    <filterColumn colId="0" showButton="0"/>
    <filterColumn colId="1" showButton="0"/>
    <filterColumn colId="2" showButton="0"/>
  </autoFilter>
  <mergeCells count="10">
    <mergeCell ref="A1:D1"/>
    <mergeCell ref="E88:E89"/>
    <mergeCell ref="A88:D88"/>
    <mergeCell ref="O88:O99"/>
    <mergeCell ref="C100:P100"/>
    <mergeCell ref="F88:F90"/>
    <mergeCell ref="I88:I93"/>
    <mergeCell ref="J88:J94"/>
    <mergeCell ref="K88:K95"/>
    <mergeCell ref="L88:L9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5C005-1308-4361-9EA3-60C62417066C}">
  <sheetPr codeName="Plan6">
    <pageSetUpPr fitToPage="1"/>
  </sheetPr>
  <dimension ref="A1:M1290"/>
  <sheetViews>
    <sheetView view="pageBreakPreview" zoomScale="90" zoomScaleNormal="85" zoomScaleSheetLayoutView="90" workbookViewId="0">
      <pane ySplit="17" topLeftCell="A18" activePane="bottomLeft" state="frozen"/>
      <selection pane="bottomLeft" activeCell="B2" sqref="B2:D3"/>
    </sheetView>
  </sheetViews>
  <sheetFormatPr defaultRowHeight="15"/>
  <cols>
    <col min="2" max="2" width="11" style="419" customWidth="1"/>
    <col min="3" max="3" width="65.42578125" customWidth="1"/>
    <col min="4" max="4" width="4.28515625" style="476" customWidth="1"/>
    <col min="5" max="5" width="9.7109375" style="342" customWidth="1"/>
    <col min="7" max="7" width="12.7109375" bestFit="1" customWidth="1"/>
  </cols>
  <sheetData>
    <row r="1" spans="1:13" ht="18" customHeight="1">
      <c r="A1" s="1716" t="s">
        <v>1533</v>
      </c>
      <c r="B1" s="1717"/>
      <c r="C1" s="1717"/>
      <c r="D1" s="1717"/>
      <c r="E1" s="1718"/>
      <c r="F1" s="231"/>
      <c r="G1" s="231"/>
      <c r="H1" s="231"/>
      <c r="I1" s="231"/>
      <c r="J1" s="231"/>
      <c r="K1" s="231"/>
      <c r="L1" s="231"/>
      <c r="M1" s="231"/>
    </row>
    <row r="2" spans="1:13" ht="18" customHeight="1">
      <c r="A2" s="1023"/>
      <c r="B2" s="1717" t="s">
        <v>1529</v>
      </c>
      <c r="C2" s="1717"/>
      <c r="D2" s="1717"/>
      <c r="E2" s="1024">
        <f>IF(SUM('Mono 13,8kv'!DW141:DW431)&lt;=0,0,1)</f>
        <v>0</v>
      </c>
      <c r="F2" s="231"/>
      <c r="G2" s="231"/>
      <c r="H2" s="231"/>
      <c r="I2" s="231"/>
      <c r="J2" s="231"/>
      <c r="K2" s="231"/>
      <c r="L2" s="231"/>
      <c r="M2" s="231"/>
    </row>
    <row r="3" spans="1:13" ht="0.95" customHeight="1">
      <c r="A3" s="1025"/>
      <c r="B3" s="1026"/>
      <c r="C3" s="1026"/>
      <c r="D3" s="1026"/>
      <c r="E3" s="1027">
        <f>IF(SUM('Mono 13,8kv'!DW141:DW431)&lt;=0,0,1)</f>
        <v>0</v>
      </c>
      <c r="F3" s="231"/>
      <c r="G3" s="231"/>
      <c r="H3" s="231"/>
      <c r="I3" s="231"/>
      <c r="J3" s="231"/>
      <c r="K3" s="231"/>
      <c r="L3" s="231"/>
      <c r="M3" s="231"/>
    </row>
    <row r="4" spans="1:13" ht="18" customHeight="1">
      <c r="A4" s="1028"/>
      <c r="B4" s="1717" t="s">
        <v>1530</v>
      </c>
      <c r="C4" s="1717"/>
      <c r="D4" s="1717"/>
      <c r="E4" s="1024">
        <f>IF(SUM('Trifásico 13,8kv '!EX141:EX444)&lt;=0,0,1)</f>
        <v>0</v>
      </c>
      <c r="F4" s="231"/>
      <c r="G4" s="231"/>
      <c r="H4" s="231"/>
      <c r="I4" s="231"/>
      <c r="J4" s="231"/>
      <c r="K4" s="231"/>
      <c r="L4" s="231"/>
      <c r="M4" s="231"/>
    </row>
    <row r="5" spans="1:13" ht="0.95" customHeight="1">
      <c r="A5" s="1026"/>
      <c r="B5" s="1026"/>
      <c r="C5" s="1026"/>
      <c r="D5" s="1026"/>
      <c r="E5" s="1027">
        <f>IF(SUM('Trifásico 13,8kv '!EX141:EX444)&lt;=0,0,1)</f>
        <v>0</v>
      </c>
      <c r="F5" s="231"/>
      <c r="G5" s="231"/>
      <c r="H5" s="231"/>
      <c r="I5" s="231"/>
      <c r="J5" s="231"/>
      <c r="K5" s="231"/>
      <c r="L5" s="231"/>
      <c r="M5" s="231"/>
    </row>
    <row r="6" spans="1:13" ht="18" customHeight="1">
      <c r="A6" s="1028"/>
      <c r="B6" s="1717" t="s">
        <v>1531</v>
      </c>
      <c r="C6" s="1717"/>
      <c r="D6" s="1717"/>
      <c r="E6" s="1024">
        <f>IF(SUM('Mono 34,5kv'!DS141:DS431)=0,0,1)</f>
        <v>0</v>
      </c>
      <c r="F6" s="231"/>
      <c r="G6" s="231"/>
      <c r="H6" s="231"/>
      <c r="I6" s="231"/>
      <c r="J6" s="231"/>
      <c r="K6" s="231"/>
      <c r="L6" s="231"/>
      <c r="M6" s="231"/>
    </row>
    <row r="7" spans="1:13" ht="0.95" customHeight="1">
      <c r="A7" s="1026"/>
      <c r="B7" s="1026"/>
      <c r="C7" s="1026"/>
      <c r="D7" s="1026"/>
      <c r="E7" s="1027">
        <f>IF(SUM('Mono 34,5kv'!DS141:DS431)=0,0,1)</f>
        <v>0</v>
      </c>
      <c r="F7" s="231"/>
      <c r="G7" s="231"/>
      <c r="H7" s="231"/>
      <c r="I7" s="231"/>
      <c r="J7" s="231"/>
      <c r="K7" s="231"/>
      <c r="L7" s="231"/>
      <c r="M7" s="231"/>
    </row>
    <row r="8" spans="1:13" ht="18" customHeight="1">
      <c r="A8" s="1028"/>
      <c r="B8" s="1717" t="s">
        <v>1532</v>
      </c>
      <c r="C8" s="1717"/>
      <c r="D8" s="1717"/>
      <c r="E8" s="1024">
        <f>IF(SUM('Trifásico 34,5kv'!EX141:EX444)&lt;=0,0,1)</f>
        <v>0</v>
      </c>
      <c r="F8" s="231"/>
      <c r="G8" s="231"/>
      <c r="H8" s="231"/>
      <c r="I8" s="231"/>
      <c r="J8" s="231"/>
      <c r="K8" s="231"/>
      <c r="L8" s="231"/>
      <c r="M8" s="231"/>
    </row>
    <row r="9" spans="1:13" ht="0.95" customHeight="1">
      <c r="A9" s="1026"/>
      <c r="B9" s="1026"/>
      <c r="C9" s="1026"/>
      <c r="D9" s="1026"/>
      <c r="E9" s="1027">
        <f>IF(SUM('Trifásico 34,5kv'!EX141:EX444)&lt;=0,0,1)</f>
        <v>0</v>
      </c>
      <c r="F9" s="231"/>
      <c r="G9" s="231"/>
      <c r="H9" s="231"/>
      <c r="I9" s="231"/>
      <c r="J9" s="231"/>
      <c r="K9" s="231"/>
      <c r="L9" s="231"/>
      <c r="M9" s="231"/>
    </row>
    <row r="10" spans="1:13" ht="18" customHeight="1">
      <c r="A10" s="1028"/>
      <c r="B10" s="1717" t="s">
        <v>1524</v>
      </c>
      <c r="C10" s="1717"/>
      <c r="D10" s="1717"/>
      <c r="E10" s="1024">
        <f>REGULADORES!B6</f>
        <v>0</v>
      </c>
      <c r="F10" s="231"/>
      <c r="G10" s="231"/>
      <c r="H10" s="231"/>
      <c r="I10" s="231"/>
      <c r="J10" s="231"/>
      <c r="K10" s="231"/>
      <c r="L10" s="231"/>
      <c r="M10" s="231"/>
    </row>
    <row r="11" spans="1:13" ht="0.95" customHeight="1">
      <c r="A11" s="1026"/>
      <c r="B11" s="1026"/>
      <c r="C11" s="1026"/>
      <c r="D11" s="1026"/>
      <c r="E11" s="1027">
        <f>REGULADORES!B6</f>
        <v>0</v>
      </c>
      <c r="F11" s="231"/>
      <c r="G11" s="231"/>
      <c r="H11" s="231"/>
      <c r="I11" s="231"/>
      <c r="J11" s="231"/>
      <c r="K11" s="231"/>
      <c r="L11" s="231"/>
      <c r="M11" s="231"/>
    </row>
    <row r="12" spans="1:13" ht="18" customHeight="1">
      <c r="A12" s="1028"/>
      <c r="B12" s="1717" t="s">
        <v>1525</v>
      </c>
      <c r="C12" s="1717"/>
      <c r="D12" s="1717"/>
      <c r="E12" s="1024">
        <f>REGULADORES!C6</f>
        <v>0</v>
      </c>
      <c r="F12" s="231"/>
      <c r="G12" s="231"/>
      <c r="H12" s="231"/>
      <c r="I12" s="231"/>
      <c r="J12" s="231"/>
      <c r="K12" s="231"/>
      <c r="L12" s="231"/>
      <c r="M12" s="231"/>
    </row>
    <row r="13" spans="1:13" ht="0.95" customHeight="1">
      <c r="A13" s="1026"/>
      <c r="B13" s="1026"/>
      <c r="C13" s="1026"/>
      <c r="D13" s="1026"/>
      <c r="E13" s="1027">
        <f>REGULADORES!C6</f>
        <v>0</v>
      </c>
      <c r="F13" s="231"/>
      <c r="G13" s="231"/>
      <c r="H13" s="231"/>
      <c r="I13" s="231"/>
      <c r="J13" s="231"/>
      <c r="K13" s="231"/>
      <c r="L13" s="231"/>
      <c r="M13" s="231"/>
    </row>
    <row r="14" spans="1:13" ht="18" customHeight="1">
      <c r="A14" s="1028"/>
      <c r="B14" s="1717" t="s">
        <v>1526</v>
      </c>
      <c r="C14" s="1717"/>
      <c r="D14" s="1717"/>
      <c r="E14" s="1029">
        <f>REGULADORES!D6</f>
        <v>0</v>
      </c>
      <c r="F14" s="1022"/>
      <c r="G14" s="231"/>
      <c r="H14" s="231"/>
      <c r="I14" s="231"/>
      <c r="J14" s="231"/>
      <c r="K14" s="231"/>
      <c r="L14" s="231"/>
      <c r="M14" s="231"/>
    </row>
    <row r="15" spans="1:13" ht="18" customHeight="1">
      <c r="A15" s="1719" t="s">
        <v>1735</v>
      </c>
      <c r="B15" s="1720"/>
      <c r="C15" s="1720"/>
      <c r="D15" s="1720"/>
      <c r="E15" s="1721"/>
      <c r="F15" s="232"/>
      <c r="G15" s="232"/>
      <c r="H15" s="232"/>
      <c r="I15" s="232"/>
      <c r="J15" s="232"/>
      <c r="K15" s="232"/>
      <c r="L15" s="232"/>
      <c r="M15" s="232"/>
    </row>
    <row r="16" spans="1:13" ht="18" customHeight="1">
      <c r="A16" s="1722" t="s">
        <v>1728</v>
      </c>
      <c r="B16" s="1713"/>
      <c r="C16" s="1713"/>
      <c r="D16" s="1713"/>
      <c r="E16" s="1723"/>
      <c r="F16" s="232"/>
      <c r="G16" s="232"/>
      <c r="H16" s="232"/>
      <c r="I16" s="232"/>
      <c r="J16" s="232"/>
      <c r="K16" s="232"/>
      <c r="L16" s="232"/>
      <c r="M16" s="232"/>
    </row>
    <row r="17" spans="1:13" ht="18" customHeight="1">
      <c r="A17" s="1722" t="s">
        <v>1727</v>
      </c>
      <c r="B17" s="1713"/>
      <c r="C17" s="1713"/>
      <c r="D17" s="1713"/>
      <c r="E17" s="1723"/>
      <c r="F17" s="232"/>
      <c r="G17" s="232"/>
      <c r="H17" s="232"/>
      <c r="I17" s="232"/>
      <c r="J17" s="232"/>
      <c r="K17" s="232"/>
      <c r="L17" s="232"/>
      <c r="M17" s="232"/>
    </row>
    <row r="18" spans="1:13">
      <c r="A18" s="314" t="s">
        <v>1169</v>
      </c>
      <c r="B18" s="635" t="s">
        <v>1170</v>
      </c>
      <c r="C18" s="314" t="s">
        <v>1063</v>
      </c>
      <c r="D18" s="472" t="s">
        <v>171</v>
      </c>
      <c r="E18" s="1333">
        <f>IF(SUM(E19:E310)=0,0,"Quant")</f>
        <v>0</v>
      </c>
      <c r="F18" s="231"/>
      <c r="G18" s="231"/>
      <c r="H18" s="231"/>
      <c r="I18" s="231"/>
      <c r="J18" s="231"/>
      <c r="K18" s="231"/>
      <c r="L18" s="231"/>
      <c r="M18" s="231"/>
    </row>
    <row r="19" spans="1:13" s="212" customFormat="1" ht="14.25" customHeight="1">
      <c r="A19" s="545"/>
      <c r="B19" s="209">
        <v>3752</v>
      </c>
      <c r="C19" s="210" t="s">
        <v>209</v>
      </c>
      <c r="D19" s="473" t="s">
        <v>515</v>
      </c>
      <c r="E19" s="646">
        <f>'Mono 13,8kv'!DW141+'Mono 34,5kv'!DX141+'Trifásico 34,5kv'!EX141+'Trifásico 13,8kv '!EX141+REGULADORES!N141</f>
        <v>0</v>
      </c>
    </row>
    <row r="20" spans="1:13" s="212" customFormat="1" ht="14.25" customHeight="1">
      <c r="A20" s="209">
        <v>3496</v>
      </c>
      <c r="B20" s="209">
        <v>2883</v>
      </c>
      <c r="C20" s="1034" t="s">
        <v>1030</v>
      </c>
      <c r="D20" s="45" t="s">
        <v>0</v>
      </c>
      <c r="E20" s="646">
        <f>'Mono 13,8kv'!DW142+'Mono 34,5kv'!DX142+'Trifásico 34,5kv'!EX142+'Trifásico 13,8kv '!EX142+REGULADORES!N142</f>
        <v>0</v>
      </c>
    </row>
    <row r="21" spans="1:13" s="212" customFormat="1" ht="14.25" customHeight="1">
      <c r="A21" s="209">
        <v>3495</v>
      </c>
      <c r="B21" s="209">
        <v>4239</v>
      </c>
      <c r="C21" s="1034" t="s">
        <v>1252</v>
      </c>
      <c r="D21" s="45" t="s">
        <v>0</v>
      </c>
      <c r="E21" s="646">
        <f>'Mono 13,8kv'!DW143+'Mono 34,5kv'!DX143+'Trifásico 34,5kv'!EX143+'Trifásico 13,8kv '!EX143+REGULADORES!N143</f>
        <v>0</v>
      </c>
    </row>
    <row r="22" spans="1:13" s="212" customFormat="1" ht="14.25" customHeight="1">
      <c r="A22" s="209">
        <v>3488</v>
      </c>
      <c r="B22" s="209">
        <v>2879</v>
      </c>
      <c r="C22" s="210" t="s">
        <v>1175</v>
      </c>
      <c r="D22" s="473" t="s">
        <v>515</v>
      </c>
      <c r="E22" s="646">
        <f>'Mono 13,8kv'!DW144+'Mono 34,5kv'!DX144+'Trifásico 34,5kv'!EX144+'Trifásico 13,8kv '!EX144+REGULADORES!N144</f>
        <v>0</v>
      </c>
    </row>
    <row r="23" spans="1:13" s="212" customFormat="1" ht="14.25" customHeight="1">
      <c r="A23" s="209">
        <v>3489</v>
      </c>
      <c r="B23" s="209">
        <v>116</v>
      </c>
      <c r="C23" s="210" t="s">
        <v>1176</v>
      </c>
      <c r="D23" s="473" t="s">
        <v>515</v>
      </c>
      <c r="E23" s="646">
        <f>'Mono 13,8kv'!DW145+'Mono 34,5kv'!DX145+'Trifásico 34,5kv'!EX145+'Trifásico 13,8kv '!EX145+REGULADORES!N145</f>
        <v>0</v>
      </c>
    </row>
    <row r="24" spans="1:13" s="212" customFormat="1" ht="14.25" customHeight="1">
      <c r="A24" s="209">
        <v>3490</v>
      </c>
      <c r="B24" s="209">
        <v>2880</v>
      </c>
      <c r="C24" s="210" t="s">
        <v>1177</v>
      </c>
      <c r="D24" s="473" t="s">
        <v>515</v>
      </c>
      <c r="E24" s="646">
        <f>'Mono 13,8kv'!DW146+'Mono 34,5kv'!DX146+'Trifásico 34,5kv'!EX146+'Trifásico 13,8kv '!EX146+REGULADORES!N146</f>
        <v>0</v>
      </c>
    </row>
    <row r="25" spans="1:13" s="212" customFormat="1" ht="14.25" customHeight="1">
      <c r="A25" s="209">
        <v>3492</v>
      </c>
      <c r="B25" s="1497">
        <v>502815</v>
      </c>
      <c r="C25" s="210" t="s">
        <v>1171</v>
      </c>
      <c r="D25" s="473" t="s">
        <v>515</v>
      </c>
      <c r="E25" s="646">
        <f>'Mono 13,8kv'!DW147+'Mono 34,5kv'!DX147+'Trifásico 34,5kv'!EX147+'Trifásico 13,8kv '!EX147+REGULADORES!N147</f>
        <v>0</v>
      </c>
    </row>
    <row r="26" spans="1:13" s="212" customFormat="1" ht="14.25" customHeight="1">
      <c r="A26" s="209">
        <v>3491</v>
      </c>
      <c r="B26" s="209">
        <v>2816</v>
      </c>
      <c r="C26" s="210" t="s">
        <v>1172</v>
      </c>
      <c r="D26" s="473" t="s">
        <v>515</v>
      </c>
      <c r="E26" s="646">
        <f>'Mono 13,8kv'!DW148+'Mono 34,5kv'!DX148+'Trifásico 34,5kv'!EX148+'Trifásico 13,8kv '!EX148+REGULADORES!N148</f>
        <v>0</v>
      </c>
    </row>
    <row r="27" spans="1:13" s="212" customFormat="1" ht="14.25" customHeight="1">
      <c r="A27" s="209">
        <v>3494</v>
      </c>
      <c r="B27" s="209">
        <v>3374</v>
      </c>
      <c r="C27" s="210" t="s">
        <v>1173</v>
      </c>
      <c r="D27" s="473" t="s">
        <v>515</v>
      </c>
      <c r="E27" s="646">
        <f>'Mono 13,8kv'!DW149+'Mono 34,5kv'!DX149+'Trifásico 34,5kv'!EX149+'Trifásico 13,8kv '!EX149+REGULADORES!N149</f>
        <v>0</v>
      </c>
    </row>
    <row r="28" spans="1:13" s="212" customFormat="1" ht="14.25" customHeight="1">
      <c r="A28" s="209"/>
      <c r="B28" s="209">
        <v>90310</v>
      </c>
      <c r="C28" s="210" t="s">
        <v>1174</v>
      </c>
      <c r="D28" s="473" t="s">
        <v>515</v>
      </c>
      <c r="E28" s="646">
        <f>'Mono 13,8kv'!DW150+'Mono 34,5kv'!DX150+'Trifásico 34,5kv'!EX150+'Trifásico 13,8kv '!EX150+REGULADORES!N150</f>
        <v>0</v>
      </c>
    </row>
    <row r="29" spans="1:13" s="212" customFormat="1" ht="14.25" customHeight="1">
      <c r="A29" s="209">
        <v>4244</v>
      </c>
      <c r="B29" s="209">
        <v>2817</v>
      </c>
      <c r="C29" s="210" t="s">
        <v>42</v>
      </c>
      <c r="D29" s="473" t="s">
        <v>515</v>
      </c>
      <c r="E29" s="646">
        <f>'Mono 13,8kv'!DW151+'Mono 34,5kv'!DX151+'Trifásico 34,5kv'!EX151+'Trifásico 13,8kv '!EX151+REGULADORES!N151</f>
        <v>0</v>
      </c>
    </row>
    <row r="30" spans="1:13" s="212" customFormat="1" ht="14.25" customHeight="1">
      <c r="A30" s="209">
        <v>3498</v>
      </c>
      <c r="B30" s="209">
        <v>3054</v>
      </c>
      <c r="C30" s="210" t="s">
        <v>36</v>
      </c>
      <c r="D30" s="473" t="s">
        <v>516</v>
      </c>
      <c r="E30" s="646">
        <f>'Mono 13,8kv'!DW152+'Mono 34,5kv'!DX152+'Trifásico 34,5kv'!EX152+'Trifásico 13,8kv '!EX152+REGULADORES!N152</f>
        <v>0</v>
      </c>
    </row>
    <row r="31" spans="1:13" s="212" customFormat="1" ht="14.25" customHeight="1">
      <c r="A31" s="209">
        <v>3499</v>
      </c>
      <c r="B31" s="209">
        <v>2965</v>
      </c>
      <c r="C31" s="210" t="s">
        <v>1</v>
      </c>
      <c r="D31" s="473" t="s">
        <v>515</v>
      </c>
      <c r="E31" s="646">
        <f>'Mono 13,8kv'!DW153+'Mono 34,5kv'!DX153+'Trifásico 34,5kv'!EX153+'Trifásico 13,8kv '!EX153+REGULADORES!N153</f>
        <v>0</v>
      </c>
    </row>
    <row r="32" spans="1:13" s="212" customFormat="1" ht="14.25" customHeight="1">
      <c r="A32" s="209">
        <v>3506</v>
      </c>
      <c r="B32" s="1497">
        <v>90389</v>
      </c>
      <c r="C32" s="210" t="s">
        <v>2</v>
      </c>
      <c r="D32" s="473" t="s">
        <v>515</v>
      </c>
      <c r="E32" s="646">
        <f>'Mono 13,8kv'!DW154+'Mono 34,5kv'!DX154+'Trifásico 34,5kv'!EX154+'Trifásico 13,8kv '!EX154+REGULADORES!N154</f>
        <v>0</v>
      </c>
    </row>
    <row r="33" spans="1:5" s="212" customFormat="1" ht="14.25" customHeight="1">
      <c r="A33" s="209"/>
      <c r="B33" s="1495">
        <v>90272</v>
      </c>
      <c r="C33" s="210" t="s">
        <v>312</v>
      </c>
      <c r="D33" s="473" t="s">
        <v>515</v>
      </c>
      <c r="E33" s="646">
        <f>'Mono 13,8kv'!DW155+'Mono 34,5kv'!DX155+'Trifásico 34,5kv'!EX155+'Trifásico 13,8kv '!EX155+REGULADORES!N155</f>
        <v>0</v>
      </c>
    </row>
    <row r="34" spans="1:5" s="212" customFormat="1" ht="14.25" customHeight="1">
      <c r="A34" s="209"/>
      <c r="B34" s="1495">
        <v>90285</v>
      </c>
      <c r="C34" s="210" t="s">
        <v>1424</v>
      </c>
      <c r="D34" s="473" t="s">
        <v>168</v>
      </c>
      <c r="E34" s="646">
        <f>'Mono 13,8kv'!DW156+'Mono 34,5kv'!DX156+'Trifásico 34,5kv'!EX156+'Trifásico 13,8kv '!EX156+REGULADORES!N156</f>
        <v>0</v>
      </c>
    </row>
    <row r="35" spans="1:5" s="212" customFormat="1" ht="14.25" customHeight="1">
      <c r="A35" s="209"/>
      <c r="B35" s="1495">
        <v>90286</v>
      </c>
      <c r="C35" s="210" t="s">
        <v>313</v>
      </c>
      <c r="D35" s="473" t="s">
        <v>168</v>
      </c>
      <c r="E35" s="646">
        <f>'Mono 13,8kv'!DW157+'Mono 34,5kv'!DX157+'Trifásico 34,5kv'!EX157+'Trifásico 13,8kv '!EX157+REGULADORES!N157</f>
        <v>0</v>
      </c>
    </row>
    <row r="36" spans="1:5" s="212" customFormat="1" ht="14.25" customHeight="1">
      <c r="A36" s="209">
        <v>4401</v>
      </c>
      <c r="B36" s="1495">
        <v>90287</v>
      </c>
      <c r="C36" s="210" t="s">
        <v>409</v>
      </c>
      <c r="D36" s="473" t="s">
        <v>168</v>
      </c>
      <c r="E36" s="646">
        <f>'Mono 13,8kv'!DW158+'Mono 34,5kv'!DX158+'Trifásico 34,5kv'!EX158+'Trifásico 13,8kv '!EX158+REGULADORES!N158</f>
        <v>0</v>
      </c>
    </row>
    <row r="37" spans="1:5" s="212" customFormat="1" ht="14.25" customHeight="1">
      <c r="A37" s="209">
        <v>3531</v>
      </c>
      <c r="B37" s="1495">
        <v>90288</v>
      </c>
      <c r="C37" s="210" t="s">
        <v>1382</v>
      </c>
      <c r="D37" s="473" t="s">
        <v>168</v>
      </c>
      <c r="E37" s="646">
        <f>'Mono 13,8kv'!DW159+'Mono 34,5kv'!DX159+'Trifásico 34,5kv'!EX159+'Trifásico 13,8kv '!EX159+REGULADORES!N159</f>
        <v>0</v>
      </c>
    </row>
    <row r="38" spans="1:5" s="212" customFormat="1" ht="14.25" customHeight="1">
      <c r="A38" s="209"/>
      <c r="B38" s="209"/>
      <c r="C38" s="210" t="s">
        <v>1425</v>
      </c>
      <c r="D38" s="473" t="s">
        <v>168</v>
      </c>
      <c r="E38" s="646">
        <f>'Mono 13,8kv'!DW160+'Mono 34,5kv'!DX160+'Trifásico 34,5kv'!EX160+'Trifásico 13,8kv '!EX160+REGULADORES!N160</f>
        <v>0</v>
      </c>
    </row>
    <row r="39" spans="1:5" s="212" customFormat="1" ht="14.25" customHeight="1">
      <c r="A39" s="209">
        <v>3532</v>
      </c>
      <c r="B39" s="1495">
        <v>90289</v>
      </c>
      <c r="C39" s="210" t="s">
        <v>1380</v>
      </c>
      <c r="D39" s="473" t="s">
        <v>168</v>
      </c>
      <c r="E39" s="646">
        <f>'Mono 13,8kv'!DW161+'Mono 34,5kv'!DX161+'Trifásico 34,5kv'!EX161+'Trifásico 13,8kv '!EX161+REGULADORES!N161</f>
        <v>0</v>
      </c>
    </row>
    <row r="40" spans="1:5" s="212" customFormat="1" ht="14.25" customHeight="1">
      <c r="A40" s="209"/>
      <c r="B40" s="209"/>
      <c r="C40" s="210" t="s">
        <v>58</v>
      </c>
      <c r="D40" s="473" t="s">
        <v>168</v>
      </c>
      <c r="E40" s="646">
        <f>'Mono 13,8kv'!DW162+'Mono 34,5kv'!DX162+'Trifásico 34,5kv'!EX162+'Trifásico 13,8kv '!EX162+REGULADORES!N162</f>
        <v>0</v>
      </c>
    </row>
    <row r="41" spans="1:5" s="212" customFormat="1" ht="14.25" customHeight="1">
      <c r="A41" s="209">
        <v>3512</v>
      </c>
      <c r="B41" s="209">
        <v>90274</v>
      </c>
      <c r="C41" s="210" t="s">
        <v>59</v>
      </c>
      <c r="D41" s="473" t="s">
        <v>168</v>
      </c>
      <c r="E41" s="646">
        <f>'Mono 13,8kv'!DW163+'Mono 34,5kv'!DX163+'Trifásico 34,5kv'!EX163+'Trifásico 13,8kv '!EX163+REGULADORES!N163</f>
        <v>0</v>
      </c>
    </row>
    <row r="42" spans="1:5" s="212" customFormat="1" ht="14.25" customHeight="1">
      <c r="A42" s="209">
        <v>3513</v>
      </c>
      <c r="B42" s="1495">
        <v>90282</v>
      </c>
      <c r="C42" s="210" t="s">
        <v>60</v>
      </c>
      <c r="D42" s="473" t="s">
        <v>168</v>
      </c>
      <c r="E42" s="646">
        <f>'Mono 13,8kv'!DW164+'Mono 34,5kv'!DX164+'Trifásico 34,5kv'!EX164+'Trifásico 13,8kv '!EX164+REGULADORES!N164</f>
        <v>0</v>
      </c>
    </row>
    <row r="43" spans="1:5" s="212" customFormat="1" ht="14.25" customHeight="1">
      <c r="A43" s="209">
        <v>3514</v>
      </c>
      <c r="B43" s="1495">
        <v>590283</v>
      </c>
      <c r="C43" s="210" t="s">
        <v>61</v>
      </c>
      <c r="D43" s="473" t="s">
        <v>168</v>
      </c>
      <c r="E43" s="646">
        <f>'Mono 13,8kv'!DW165+'Mono 34,5kv'!DX165+'Trifásico 34,5kv'!EX165+'Trifásico 13,8kv '!EX165+REGULADORES!N165</f>
        <v>0</v>
      </c>
    </row>
    <row r="44" spans="1:5" s="212" customFormat="1" ht="14.25" customHeight="1">
      <c r="A44" s="209"/>
      <c r="B44" s="1495">
        <v>90284</v>
      </c>
      <c r="C44" s="210" t="s">
        <v>1534</v>
      </c>
      <c r="D44" s="473" t="s">
        <v>168</v>
      </c>
      <c r="E44" s="646">
        <f>'Mono 13,8kv'!DW166+'Mono 34,5kv'!DX166+'Trifásico 34,5kv'!EX166+'Trifásico 13,8kv '!EX166+REGULADORES!N166</f>
        <v>0</v>
      </c>
    </row>
    <row r="45" spans="1:5" s="212" customFormat="1" ht="14.25" customHeight="1">
      <c r="A45" s="209"/>
      <c r="B45" s="209"/>
      <c r="C45" s="210" t="s">
        <v>1556</v>
      </c>
      <c r="D45" s="473" t="s">
        <v>168</v>
      </c>
      <c r="E45" s="646">
        <f>'Mono 13,8kv'!DW167+'Mono 34,5kv'!DX167+'Trifásico 34,5kv'!EX167+'Trifásico 13,8kv '!EX167+REGULADORES!N167</f>
        <v>0</v>
      </c>
    </row>
    <row r="46" spans="1:5" s="212" customFormat="1" ht="14.25" customHeight="1">
      <c r="A46" s="209">
        <v>3516</v>
      </c>
      <c r="B46" s="1495">
        <v>2987</v>
      </c>
      <c r="C46" s="210" t="s">
        <v>64</v>
      </c>
      <c r="D46" s="473" t="s">
        <v>168</v>
      </c>
      <c r="E46" s="646">
        <f>'Mono 13,8kv'!DW168+'Mono 34,5kv'!DX168+'Trifásico 34,5kv'!EX168+'Trifásico 13,8kv '!EX168+REGULADORES!N168</f>
        <v>0</v>
      </c>
    </row>
    <row r="47" spans="1:5" s="212" customFormat="1" ht="14.25" customHeight="1">
      <c r="A47" s="209">
        <v>3517</v>
      </c>
      <c r="B47" s="1495">
        <v>3357</v>
      </c>
      <c r="C47" s="210" t="s">
        <v>453</v>
      </c>
      <c r="D47" s="473" t="s">
        <v>168</v>
      </c>
      <c r="E47" s="646">
        <f>'Mono 13,8kv'!DW169+'Mono 34,5kv'!DX169+'Trifásico 34,5kv'!EX169+'Trifásico 13,8kv '!EX169+REGULADORES!N169</f>
        <v>0</v>
      </c>
    </row>
    <row r="48" spans="1:5" s="212" customFormat="1" ht="14.25" customHeight="1">
      <c r="A48" s="209">
        <v>4183</v>
      </c>
      <c r="B48" s="1495">
        <v>90258</v>
      </c>
      <c r="C48" s="210" t="s">
        <v>3</v>
      </c>
      <c r="D48" s="473" t="s">
        <v>516</v>
      </c>
      <c r="E48" s="646">
        <f>'Mono 13,8kv'!DW170+'Mono 34,5kv'!DX170+'Trifásico 34,5kv'!EX170+'Trifásico 13,8kv '!EX170+REGULADORES!N170</f>
        <v>0</v>
      </c>
    </row>
    <row r="49" spans="1:5" s="212" customFormat="1" ht="14.25" customHeight="1">
      <c r="A49" s="209">
        <v>3519</v>
      </c>
      <c r="B49" s="1495">
        <v>90263</v>
      </c>
      <c r="C49" s="210" t="s">
        <v>187</v>
      </c>
      <c r="D49" s="473" t="s">
        <v>516</v>
      </c>
      <c r="E49" s="646">
        <f>'Mono 13,8kv'!DW171+'Mono 34,5kv'!DX171+'Trifásico 34,5kv'!EX171+'Trifásico 13,8kv '!EX171+REGULADORES!N171</f>
        <v>0</v>
      </c>
    </row>
    <row r="50" spans="1:5" s="212" customFormat="1" ht="14.25" customHeight="1">
      <c r="A50" s="209">
        <v>3521</v>
      </c>
      <c r="B50" s="1495">
        <v>90264</v>
      </c>
      <c r="C50" s="210" t="s">
        <v>192</v>
      </c>
      <c r="D50" s="473" t="s">
        <v>516</v>
      </c>
      <c r="E50" s="646">
        <f>'Mono 13,8kv'!DW172+'Mono 34,5kv'!DX172+'Trifásico 34,5kv'!EX172+'Trifásico 13,8kv '!EX172+REGULADORES!N172</f>
        <v>0</v>
      </c>
    </row>
    <row r="51" spans="1:5" s="212" customFormat="1" ht="14.25" customHeight="1">
      <c r="A51" s="209">
        <v>4513</v>
      </c>
      <c r="B51" s="1495">
        <v>621841</v>
      </c>
      <c r="C51" s="210" t="s">
        <v>314</v>
      </c>
      <c r="D51" s="473" t="s">
        <v>516</v>
      </c>
      <c r="E51" s="646">
        <f>'Mono 13,8kv'!DW173+'Mono 34,5kv'!DX173+'Trifásico 34,5kv'!EX173+'Trifásico 13,8kv '!EX173+REGULADORES!N173</f>
        <v>0</v>
      </c>
    </row>
    <row r="52" spans="1:5" s="212" customFormat="1" ht="14.25" customHeight="1">
      <c r="A52" s="209">
        <v>3522</v>
      </c>
      <c r="B52" s="167">
        <v>590294</v>
      </c>
      <c r="C52" s="210" t="s">
        <v>62</v>
      </c>
      <c r="D52" s="473" t="s">
        <v>168</v>
      </c>
      <c r="E52" s="646">
        <f>'Mono 13,8kv'!DW174+'Mono 34,5kv'!DX174+'Trifásico 34,5kv'!EX174+'Trifásico 13,8kv '!EX174+REGULADORES!N174</f>
        <v>0</v>
      </c>
    </row>
    <row r="53" spans="1:5" s="212" customFormat="1" ht="14.25" customHeight="1">
      <c r="A53" s="209"/>
      <c r="B53" s="1495">
        <v>126</v>
      </c>
      <c r="C53" s="210" t="s">
        <v>1508</v>
      </c>
      <c r="D53" s="473" t="s">
        <v>168</v>
      </c>
      <c r="E53" s="646">
        <f>'Mono 13,8kv'!DW175+'Mono 34,5kv'!DX175+'Trifásico 34,5kv'!EX175+'Trifásico 13,8kv '!EX175+REGULADORES!N175</f>
        <v>0</v>
      </c>
    </row>
    <row r="54" spans="1:5" s="212" customFormat="1" ht="14.25" customHeight="1">
      <c r="A54" s="209">
        <v>3523</v>
      </c>
      <c r="B54" s="1495">
        <v>623945</v>
      </c>
      <c r="C54" s="210" t="s">
        <v>5</v>
      </c>
      <c r="D54" s="473" t="s">
        <v>168</v>
      </c>
      <c r="E54" s="646">
        <f>'Mono 13,8kv'!DW176+'Mono 34,5kv'!DX176+'Trifásico 34,5kv'!EX176+'Trifásico 13,8kv '!EX176+REGULADORES!N176</f>
        <v>0</v>
      </c>
    </row>
    <row r="55" spans="1:5" s="212" customFormat="1" ht="14.25" customHeight="1">
      <c r="A55" s="209"/>
      <c r="B55" s="1495">
        <v>626275</v>
      </c>
      <c r="C55" s="210" t="s">
        <v>1736</v>
      </c>
      <c r="D55" s="473" t="s">
        <v>168</v>
      </c>
      <c r="E55" s="646">
        <f>'Mono 13,8kv'!DW177+'Mono 34,5kv'!DX177+'Trifásico 34,5kv'!EX177+'Trifásico 13,8kv '!EX177+REGULADORES!N177</f>
        <v>0</v>
      </c>
    </row>
    <row r="56" spans="1:5" s="212" customFormat="1" ht="14.25" customHeight="1">
      <c r="A56" s="209">
        <v>4357</v>
      </c>
      <c r="B56" s="209"/>
      <c r="C56" s="210" t="s">
        <v>1689</v>
      </c>
      <c r="D56" s="473" t="s">
        <v>168</v>
      </c>
      <c r="E56" s="646">
        <f>'Mono 13,8kv'!DW178+'Mono 34,5kv'!DX178+'Trifásico 34,5kv'!EX178+'Trifásico 13,8kv '!EX178+REGULADORES!N178</f>
        <v>0</v>
      </c>
    </row>
    <row r="57" spans="1:5" s="212" customFormat="1" ht="14.25" customHeight="1">
      <c r="A57" s="209">
        <v>3535</v>
      </c>
      <c r="B57" s="1495">
        <v>2898</v>
      </c>
      <c r="C57" s="210" t="s">
        <v>455</v>
      </c>
      <c r="D57" s="473" t="s">
        <v>515</v>
      </c>
      <c r="E57" s="646">
        <f>'Mono 13,8kv'!DW179+'Mono 34,5kv'!DX179+'Trifásico 34,5kv'!EX179+'Trifásico 13,8kv '!EX179+REGULADORES!N179</f>
        <v>0</v>
      </c>
    </row>
    <row r="58" spans="1:5" s="212" customFormat="1" ht="14.25" customHeight="1">
      <c r="A58" s="209">
        <v>3536</v>
      </c>
      <c r="B58" s="1495">
        <v>2900</v>
      </c>
      <c r="C58" s="210" t="s">
        <v>454</v>
      </c>
      <c r="D58" s="473" t="s">
        <v>515</v>
      </c>
      <c r="E58" s="646">
        <f>'Mono 13,8kv'!DW180+'Mono 34,5kv'!DX180+'Trifásico 34,5kv'!EX180+'Trifásico 13,8kv '!EX180+REGULADORES!N180</f>
        <v>0</v>
      </c>
    </row>
    <row r="59" spans="1:5" s="212" customFormat="1" ht="14.25" customHeight="1">
      <c r="A59" s="209">
        <v>4018</v>
      </c>
      <c r="B59" s="1495">
        <v>90517</v>
      </c>
      <c r="C59" s="115" t="s">
        <v>1254</v>
      </c>
      <c r="D59" s="45" t="s">
        <v>0</v>
      </c>
      <c r="E59" s="646">
        <f>'Mono 13,8kv'!DW181+'Mono 34,5kv'!DX181+'Trifásico 34,5kv'!EX181+'Trifásico 13,8kv '!EX181+REGULADORES!N181</f>
        <v>0</v>
      </c>
    </row>
    <row r="60" spans="1:5" s="212" customFormat="1" ht="14.25" customHeight="1">
      <c r="A60" s="209">
        <v>3539</v>
      </c>
      <c r="B60" s="1495">
        <v>3454</v>
      </c>
      <c r="C60" s="210" t="s">
        <v>457</v>
      </c>
      <c r="D60" s="473" t="s">
        <v>515</v>
      </c>
      <c r="E60" s="646">
        <f>'Mono 13,8kv'!DW182+'Mono 34,5kv'!DX182+'Trifásico 34,5kv'!EX182+'Trifásico 13,8kv '!EX182+REGULADORES!N182</f>
        <v>0</v>
      </c>
    </row>
    <row r="61" spans="1:5" s="212" customFormat="1" ht="14.25" customHeight="1">
      <c r="A61" s="209">
        <v>4016</v>
      </c>
      <c r="B61" s="1495">
        <v>2808</v>
      </c>
      <c r="C61" s="210" t="s">
        <v>456</v>
      </c>
      <c r="D61" s="473" t="s">
        <v>515</v>
      </c>
      <c r="E61" s="646">
        <f>'Mono 13,8kv'!DW183+'Mono 34,5kv'!DX183+'Trifásico 34,5kv'!EX183+'Trifásico 13,8kv '!EX183+REGULADORES!N183</f>
        <v>0</v>
      </c>
    </row>
    <row r="62" spans="1:5" s="212" customFormat="1" ht="14.25" customHeight="1">
      <c r="A62" s="209">
        <v>4553</v>
      </c>
      <c r="B62" s="1495">
        <v>90549</v>
      </c>
      <c r="C62" s="167" t="s">
        <v>1789</v>
      </c>
      <c r="D62" s="473" t="s">
        <v>515</v>
      </c>
      <c r="E62" s="646">
        <f>'Mono 13,8kv'!DW184+'Mono 34,5kv'!DX184+'Trifásico 34,5kv'!EX184+'Trifásico 13,8kv '!EX184+REGULADORES!N184</f>
        <v>0</v>
      </c>
    </row>
    <row r="63" spans="1:5" s="212" customFormat="1" ht="14.25" customHeight="1">
      <c r="A63" s="209">
        <v>4554</v>
      </c>
      <c r="B63" s="1495">
        <v>90550</v>
      </c>
      <c r="C63" s="167" t="s">
        <v>1788</v>
      </c>
      <c r="D63" s="473" t="s">
        <v>515</v>
      </c>
      <c r="E63" s="646">
        <f>'Mono 13,8kv'!DW185+'Mono 34,5kv'!DX185+'Trifásico 34,5kv'!EX185+'Trifásico 13,8kv '!EX185+REGULADORES!N185</f>
        <v>0</v>
      </c>
    </row>
    <row r="64" spans="1:5" s="212" customFormat="1" ht="14.25" customHeight="1">
      <c r="A64" s="209">
        <v>4157</v>
      </c>
      <c r="B64" s="1495">
        <v>4157</v>
      </c>
      <c r="C64" s="167" t="s">
        <v>1791</v>
      </c>
      <c r="D64" s="473" t="s">
        <v>515</v>
      </c>
      <c r="E64" s="646">
        <f>'Mono 13,8kv'!DW186+'Mono 34,5kv'!DX186+'Trifásico 34,5kv'!EX186+'Trifásico 13,8kv '!EX186+REGULADORES!N186</f>
        <v>0</v>
      </c>
    </row>
    <row r="65" spans="1:5" s="212" customFormat="1" ht="14.25" customHeight="1">
      <c r="A65" s="209">
        <v>3537</v>
      </c>
      <c r="B65" s="1495">
        <v>4157</v>
      </c>
      <c r="C65" s="167" t="s">
        <v>1790</v>
      </c>
      <c r="D65" s="473" t="s">
        <v>515</v>
      </c>
      <c r="E65" s="646">
        <f>'Mono 13,8kv'!DW187+'Mono 34,5kv'!DX187+'Trifásico 34,5kv'!EX187+'Trifásico 13,8kv '!EX187+REGULADORES!N187</f>
        <v>0</v>
      </c>
    </row>
    <row r="66" spans="1:5" s="212" customFormat="1" ht="14.25" customHeight="1">
      <c r="A66" s="209">
        <v>4158</v>
      </c>
      <c r="B66" s="1495">
        <v>615062</v>
      </c>
      <c r="C66" s="167" t="s">
        <v>1792</v>
      </c>
      <c r="D66" s="473" t="s">
        <v>515</v>
      </c>
      <c r="E66" s="646">
        <f>'Mono 13,8kv'!DW188+'Mono 34,5kv'!DX188+'Trifásico 34,5kv'!EX188+'Trifásico 13,8kv '!EX188+REGULADORES!N188</f>
        <v>0</v>
      </c>
    </row>
    <row r="67" spans="1:5" s="212" customFormat="1" ht="14.25" customHeight="1">
      <c r="A67" s="209">
        <v>3538</v>
      </c>
      <c r="B67" s="1495">
        <v>615062</v>
      </c>
      <c r="C67" s="167" t="s">
        <v>1793</v>
      </c>
      <c r="D67" s="473" t="s">
        <v>515</v>
      </c>
      <c r="E67" s="646">
        <f>'Mono 13,8kv'!DW189+'Mono 34,5kv'!DX189+'Trifásico 34,5kv'!EX189+'Trifásico 13,8kv '!EX189+REGULADORES!N189</f>
        <v>0</v>
      </c>
    </row>
    <row r="68" spans="1:5" s="212" customFormat="1" ht="14.25" customHeight="1">
      <c r="A68" s="209"/>
      <c r="B68" s="1495">
        <v>3102</v>
      </c>
      <c r="C68" s="210" t="s">
        <v>1475</v>
      </c>
      <c r="D68" s="473" t="s">
        <v>0</v>
      </c>
      <c r="E68" s="646">
        <f>'Mono 13,8kv'!DW190+'Mono 34,5kv'!DX190+'Trifásico 34,5kv'!EX190+'Trifásico 13,8kv '!EX190+REGULADORES!N190</f>
        <v>0</v>
      </c>
    </row>
    <row r="69" spans="1:5" s="212" customFormat="1" ht="14.25" customHeight="1">
      <c r="A69" s="209">
        <v>3541</v>
      </c>
      <c r="B69" s="1495">
        <v>2968</v>
      </c>
      <c r="C69" s="210" t="s">
        <v>117</v>
      </c>
      <c r="D69" s="473" t="s">
        <v>515</v>
      </c>
      <c r="E69" s="646">
        <f>'Mono 13,8kv'!DW191+'Mono 34,5kv'!DX191+'Trifásico 34,5kv'!EX191+'Trifásico 13,8kv '!EX191+REGULADORES!N191</f>
        <v>0</v>
      </c>
    </row>
    <row r="70" spans="1:5" s="212" customFormat="1" ht="14.25" customHeight="1">
      <c r="A70" s="209">
        <v>3542</v>
      </c>
      <c r="B70" s="1495">
        <v>590215</v>
      </c>
      <c r="C70" s="210" t="s">
        <v>118</v>
      </c>
      <c r="D70" s="473" t="s">
        <v>515</v>
      </c>
      <c r="E70" s="646">
        <f>'Mono 13,8kv'!DW192+'Mono 34,5kv'!DX192+'Trifásico 34,5kv'!EX192+'Trifásico 13,8kv '!EX192+REGULADORES!N192</f>
        <v>0</v>
      </c>
    </row>
    <row r="71" spans="1:5" s="212" customFormat="1" ht="14.25" customHeight="1">
      <c r="A71" s="209">
        <v>3543</v>
      </c>
      <c r="B71" s="1495">
        <v>590216</v>
      </c>
      <c r="C71" s="210" t="s">
        <v>119</v>
      </c>
      <c r="D71" s="473" t="s">
        <v>515</v>
      </c>
      <c r="E71" s="646">
        <f>'Mono 13,8kv'!DW193+'Mono 34,5kv'!DX193+'Trifásico 34,5kv'!EX193+'Trifásico 13,8kv '!EX193+REGULADORES!N193</f>
        <v>0</v>
      </c>
    </row>
    <row r="72" spans="1:5" s="212" customFormat="1" ht="14.25" customHeight="1">
      <c r="A72" s="209">
        <v>3544</v>
      </c>
      <c r="B72" s="1495">
        <v>590217</v>
      </c>
      <c r="C72" s="210" t="s">
        <v>120</v>
      </c>
      <c r="D72" s="473" t="s">
        <v>515</v>
      </c>
      <c r="E72" s="646">
        <f>'Mono 13,8kv'!DW194+'Mono 34,5kv'!DX194+'Trifásico 34,5kv'!EX194+'Trifásico 13,8kv '!EX194+REGULADORES!N194</f>
        <v>0</v>
      </c>
    </row>
    <row r="73" spans="1:5" s="212" customFormat="1" ht="14.25" customHeight="1">
      <c r="A73" s="209">
        <v>3545</v>
      </c>
      <c r="B73" s="1495">
        <v>502972</v>
      </c>
      <c r="C73" s="210" t="s">
        <v>121</v>
      </c>
      <c r="D73" s="473" t="s">
        <v>515</v>
      </c>
      <c r="E73" s="646">
        <f>'Mono 13,8kv'!DW195+'Mono 34,5kv'!DX195+'Trifásico 34,5kv'!EX195+'Trifásico 13,8kv '!EX195+REGULADORES!N195</f>
        <v>0</v>
      </c>
    </row>
    <row r="74" spans="1:5" s="212" customFormat="1" ht="14.25" customHeight="1">
      <c r="A74" s="209">
        <v>3546</v>
      </c>
      <c r="B74" s="1495">
        <v>90219</v>
      </c>
      <c r="C74" s="210" t="s">
        <v>122</v>
      </c>
      <c r="D74" s="473" t="s">
        <v>515</v>
      </c>
      <c r="E74" s="646">
        <f>'Mono 13,8kv'!DW196+'Mono 34,5kv'!DX196+'Trifásico 34,5kv'!EX196+'Trifásico 13,8kv '!EX196+REGULADORES!N196</f>
        <v>0</v>
      </c>
    </row>
    <row r="75" spans="1:5" s="212" customFormat="1" ht="14.25" customHeight="1">
      <c r="A75" s="209">
        <v>3547</v>
      </c>
      <c r="B75" s="1495">
        <v>90231</v>
      </c>
      <c r="C75" s="210" t="s">
        <v>123</v>
      </c>
      <c r="D75" s="473" t="s">
        <v>515</v>
      </c>
      <c r="E75" s="646">
        <f>'Mono 13,8kv'!DW197+'Mono 34,5kv'!DX197+'Trifásico 34,5kv'!EX197+'Trifásico 13,8kv '!EX197+REGULADORES!N197</f>
        <v>0</v>
      </c>
    </row>
    <row r="76" spans="1:5" s="212" customFormat="1" ht="14.25" customHeight="1">
      <c r="A76" s="209">
        <v>3548</v>
      </c>
      <c r="B76" s="1495">
        <v>90220</v>
      </c>
      <c r="C76" s="210" t="s">
        <v>124</v>
      </c>
      <c r="D76" s="473" t="s">
        <v>515</v>
      </c>
      <c r="E76" s="646">
        <f>'Mono 13,8kv'!DW198+'Mono 34,5kv'!DX198+'Trifásico 34,5kv'!EX198+'Trifásico 13,8kv '!EX198+REGULADORES!N198</f>
        <v>0</v>
      </c>
    </row>
    <row r="77" spans="1:5" s="212" customFormat="1" ht="14.25" customHeight="1">
      <c r="A77" s="209">
        <v>3549</v>
      </c>
      <c r="B77" s="1495">
        <v>90221</v>
      </c>
      <c r="C77" s="210" t="s">
        <v>125</v>
      </c>
      <c r="D77" s="473" t="s">
        <v>515</v>
      </c>
      <c r="E77" s="646">
        <f>'Mono 13,8kv'!DW199+'Mono 34,5kv'!DX199+'Trifásico 34,5kv'!EX199+'Trifásico 13,8kv '!EX199+REGULADORES!N199</f>
        <v>0</v>
      </c>
    </row>
    <row r="78" spans="1:5" s="212" customFormat="1" ht="14.25" customHeight="1">
      <c r="A78" s="209">
        <v>3550</v>
      </c>
      <c r="B78" s="1495">
        <v>90222</v>
      </c>
      <c r="C78" s="210" t="s">
        <v>126</v>
      </c>
      <c r="D78" s="473" t="s">
        <v>515</v>
      </c>
      <c r="E78" s="646">
        <f>'Mono 13,8kv'!DW200+'Mono 34,5kv'!DX200+'Trifásico 34,5kv'!EX200+'Trifásico 13,8kv '!EX200+REGULADORES!N200</f>
        <v>0</v>
      </c>
    </row>
    <row r="79" spans="1:5" s="212" customFormat="1" ht="14.25" customHeight="1">
      <c r="A79" s="209">
        <v>3551</v>
      </c>
      <c r="B79" s="1495">
        <v>90223</v>
      </c>
      <c r="C79" s="210" t="s">
        <v>127</v>
      </c>
      <c r="D79" s="473" t="s">
        <v>515</v>
      </c>
      <c r="E79" s="646">
        <f>'Mono 13,8kv'!DW201+'Mono 34,5kv'!DX201+'Trifásico 34,5kv'!EX201+'Trifásico 13,8kv '!EX201+REGULADORES!N201</f>
        <v>0</v>
      </c>
    </row>
    <row r="80" spans="1:5" s="212" customFormat="1" ht="14.25" customHeight="1">
      <c r="A80" s="209">
        <v>3552</v>
      </c>
      <c r="B80" s="1495">
        <v>90232</v>
      </c>
      <c r="C80" s="210" t="s">
        <v>211</v>
      </c>
      <c r="D80" s="473" t="s">
        <v>515</v>
      </c>
      <c r="E80" s="646">
        <f>'Mono 13,8kv'!DW202+'Mono 34,5kv'!DX202+'Trifásico 34,5kv'!EX202+'Trifásico 13,8kv '!EX202+REGULADORES!N202</f>
        <v>0</v>
      </c>
    </row>
    <row r="81" spans="1:5" s="212" customFormat="1" ht="14.25" customHeight="1">
      <c r="A81" s="209"/>
      <c r="B81" s="1495">
        <v>90224</v>
      </c>
      <c r="C81" s="115" t="s">
        <v>1020</v>
      </c>
      <c r="D81" s="45" t="s">
        <v>0</v>
      </c>
      <c r="E81" s="646">
        <f>'Mono 13,8kv'!DW203+'Mono 34,5kv'!DX203+'Trifásico 34,5kv'!EX203+'Trifásico 13,8kv '!EX203+REGULADORES!N203</f>
        <v>0</v>
      </c>
    </row>
    <row r="82" spans="1:5" s="212" customFormat="1" ht="14.25" customHeight="1">
      <c r="A82" s="209">
        <v>4330</v>
      </c>
      <c r="B82" s="1495">
        <v>90225</v>
      </c>
      <c r="C82" s="115" t="s">
        <v>1255</v>
      </c>
      <c r="D82" s="45" t="s">
        <v>0</v>
      </c>
      <c r="E82" s="646">
        <f>'Mono 13,8kv'!DW204+'Mono 34,5kv'!DX204+'Trifásico 34,5kv'!EX204+'Trifásico 13,8kv '!EX204+REGULADORES!N204</f>
        <v>0</v>
      </c>
    </row>
    <row r="83" spans="1:5" s="212" customFormat="1" ht="14.25" customHeight="1">
      <c r="A83" s="209">
        <v>4132</v>
      </c>
      <c r="B83" s="1495">
        <v>2980</v>
      </c>
      <c r="C83" s="115" t="s">
        <v>1256</v>
      </c>
      <c r="D83" s="45" t="s">
        <v>0</v>
      </c>
      <c r="E83" s="646">
        <f>'Mono 13,8kv'!DW205+'Mono 34,5kv'!DX205+'Trifásico 34,5kv'!EX205+'Trifásico 13,8kv '!EX205+REGULADORES!N205</f>
        <v>0</v>
      </c>
    </row>
    <row r="84" spans="1:5" s="212" customFormat="1" ht="14.25" customHeight="1">
      <c r="A84" s="209">
        <v>4131</v>
      </c>
      <c r="B84" s="1495">
        <v>90226</v>
      </c>
      <c r="C84" s="115" t="s">
        <v>1257</v>
      </c>
      <c r="D84" s="45" t="s">
        <v>0</v>
      </c>
      <c r="E84" s="646">
        <f>'Mono 13,8kv'!DW206+'Mono 34,5kv'!DX206+'Trifásico 34,5kv'!EX206+'Trifásico 13,8kv '!EX206+REGULADORES!N206</f>
        <v>0</v>
      </c>
    </row>
    <row r="85" spans="1:5" s="212" customFormat="1" ht="14.25" customHeight="1">
      <c r="A85" s="209"/>
      <c r="B85" s="1495">
        <v>90227</v>
      </c>
      <c r="C85" s="115" t="s">
        <v>1258</v>
      </c>
      <c r="D85" s="45" t="s">
        <v>0</v>
      </c>
      <c r="E85" s="646">
        <f>'Mono 13,8kv'!DW207+'Mono 34,5kv'!DX207+'Trifásico 34,5kv'!EX207+'Trifásico 13,8kv '!EX207+REGULADORES!N207</f>
        <v>0</v>
      </c>
    </row>
    <row r="86" spans="1:5" s="212" customFormat="1" ht="14.25" customHeight="1">
      <c r="A86" s="209">
        <v>4531</v>
      </c>
      <c r="B86" s="1495">
        <v>90228</v>
      </c>
      <c r="C86" s="210" t="s">
        <v>1259</v>
      </c>
      <c r="D86" s="45" t="s">
        <v>0</v>
      </c>
      <c r="E86" s="646">
        <f>'Mono 13,8kv'!DW208+'Mono 34,5kv'!DX208+'Trifásico 34,5kv'!EX208+'Trifásico 13,8kv '!EX208+REGULADORES!N208</f>
        <v>0</v>
      </c>
    </row>
    <row r="87" spans="1:5" s="212" customFormat="1" ht="14.25" customHeight="1">
      <c r="A87" s="209"/>
      <c r="B87" s="1495">
        <v>90234</v>
      </c>
      <c r="C87" s="210" t="s">
        <v>1260</v>
      </c>
      <c r="D87" s="45" t="s">
        <v>0</v>
      </c>
      <c r="E87" s="646">
        <f>'Mono 13,8kv'!DW209+'Mono 34,5kv'!DX209+'Trifásico 34,5kv'!EX209+'Trifásico 13,8kv '!EX209+REGULADORES!N209</f>
        <v>0</v>
      </c>
    </row>
    <row r="88" spans="1:5" s="212" customFormat="1" ht="14.25" customHeight="1">
      <c r="A88" s="209"/>
      <c r="B88" s="1495">
        <v>90235</v>
      </c>
      <c r="C88" s="210" t="s">
        <v>1261</v>
      </c>
      <c r="D88" s="45" t="s">
        <v>0</v>
      </c>
      <c r="E88" s="646">
        <f>'Mono 13,8kv'!DW210+'Mono 34,5kv'!DX210+'Trifásico 34,5kv'!EX210+'Trifásico 13,8kv '!EX210+REGULADORES!N210</f>
        <v>0</v>
      </c>
    </row>
    <row r="89" spans="1:5" s="212" customFormat="1" ht="14.25" customHeight="1">
      <c r="A89" s="209"/>
      <c r="B89" s="1495">
        <v>590236</v>
      </c>
      <c r="C89" s="210" t="s">
        <v>1262</v>
      </c>
      <c r="D89" s="45" t="s">
        <v>0</v>
      </c>
      <c r="E89" s="646">
        <f>'Mono 13,8kv'!DW211+'Mono 34,5kv'!DX211+'Trifásico 34,5kv'!EX211+'Trifásico 13,8kv '!EX211+REGULADORES!N211</f>
        <v>0</v>
      </c>
    </row>
    <row r="90" spans="1:5" s="212" customFormat="1" ht="14.25" customHeight="1">
      <c r="A90" s="209"/>
      <c r="B90" s="1495">
        <v>90237</v>
      </c>
      <c r="C90" s="210" t="s">
        <v>1263</v>
      </c>
      <c r="D90" s="45" t="s">
        <v>0</v>
      </c>
      <c r="E90" s="646">
        <f>'Mono 13,8kv'!DW212+'Mono 34,5kv'!DX212+'Trifásico 34,5kv'!EX212+'Trifásico 13,8kv '!EX212+REGULADORES!N212</f>
        <v>0</v>
      </c>
    </row>
    <row r="91" spans="1:5" s="212" customFormat="1" ht="14.25" customHeight="1">
      <c r="A91" s="209">
        <v>4085</v>
      </c>
      <c r="B91" s="1498"/>
      <c r="C91" s="210" t="s">
        <v>381</v>
      </c>
      <c r="D91" s="473" t="s">
        <v>517</v>
      </c>
      <c r="E91" s="646">
        <f>'Mono 13,8kv'!DW213+'Mono 34,5kv'!DX213+'Trifásico 34,5kv'!EX213+'Trifásico 13,8kv '!EX213+REGULADORES!N213</f>
        <v>0</v>
      </c>
    </row>
    <row r="92" spans="1:5" s="212" customFormat="1" ht="14.25" customHeight="1">
      <c r="A92" s="209">
        <v>3556</v>
      </c>
      <c r="B92" s="1495">
        <v>3166</v>
      </c>
      <c r="C92" s="210" t="s">
        <v>1407</v>
      </c>
      <c r="D92" s="45" t="s">
        <v>0</v>
      </c>
      <c r="E92" s="646">
        <f>'Mono 13,8kv'!DW214+'Mono 34,5kv'!DX214+'Trifásico 34,5kv'!EX214+'Trifásico 13,8kv '!EX214+REGULADORES!N214</f>
        <v>0</v>
      </c>
    </row>
    <row r="93" spans="1:5" s="212" customFormat="1" ht="14.25" customHeight="1">
      <c r="A93" s="209"/>
      <c r="B93" s="1495">
        <v>3058</v>
      </c>
      <c r="C93" s="210" t="s">
        <v>1408</v>
      </c>
      <c r="D93" s="45" t="s">
        <v>0</v>
      </c>
      <c r="E93" s="646">
        <f>'Mono 13,8kv'!DW215+'Mono 34,5kv'!DX215+'Trifásico 34,5kv'!EX215+'Trifásico 13,8kv '!EX215+REGULADORES!N215</f>
        <v>0</v>
      </c>
    </row>
    <row r="94" spans="1:5" s="212" customFormat="1" ht="14.25" customHeight="1">
      <c r="A94" s="209"/>
      <c r="B94" s="1495">
        <v>361</v>
      </c>
      <c r="C94" s="210" t="s">
        <v>1409</v>
      </c>
      <c r="D94" s="45" t="s">
        <v>0</v>
      </c>
      <c r="E94" s="646">
        <f>'Mono 13,8kv'!DW216+'Mono 34,5kv'!DX216+'Trifásico 34,5kv'!EX216+'Trifásico 13,8kv '!EX216+REGULADORES!N216</f>
        <v>0</v>
      </c>
    </row>
    <row r="95" spans="1:5" s="212" customFormat="1" ht="14.25" customHeight="1">
      <c r="A95" s="209"/>
      <c r="B95" s="1495">
        <v>3263</v>
      </c>
      <c r="C95" s="210" t="s">
        <v>1410</v>
      </c>
      <c r="D95" s="45" t="s">
        <v>0</v>
      </c>
      <c r="E95" s="646">
        <f>'Mono 13,8kv'!DW217+'Mono 34,5kv'!DX217+'Trifásico 34,5kv'!EX217+'Trifásico 13,8kv '!EX217+REGULADORES!N217</f>
        <v>0</v>
      </c>
    </row>
    <row r="96" spans="1:5" s="212" customFormat="1" ht="14.25" customHeight="1">
      <c r="A96" s="209">
        <v>3557</v>
      </c>
      <c r="B96" s="1495">
        <v>502940</v>
      </c>
      <c r="C96" s="210" t="s">
        <v>8</v>
      </c>
      <c r="D96" s="473" t="s">
        <v>515</v>
      </c>
      <c r="E96" s="646">
        <f>'Mono 13,8kv'!DW218+'Mono 34,5kv'!DX218+'Trifásico 34,5kv'!EX218+'Trifásico 13,8kv '!EX218+REGULADORES!N218</f>
        <v>0</v>
      </c>
    </row>
    <row r="97" spans="1:5" s="212" customFormat="1" ht="14.25" customHeight="1">
      <c r="A97" s="209">
        <v>3559</v>
      </c>
      <c r="B97" s="1495">
        <v>90471</v>
      </c>
      <c r="C97" s="167" t="s">
        <v>1795</v>
      </c>
      <c r="D97" s="473" t="s">
        <v>515</v>
      </c>
      <c r="E97" s="646">
        <f>'Mono 13,8kv'!DW219+'Mono 34,5kv'!DX219+'Trifásico 34,5kv'!EX219+'Trifásico 13,8kv '!EX219+REGULADORES!N219</f>
        <v>0</v>
      </c>
    </row>
    <row r="98" spans="1:5" s="212" customFormat="1" ht="14.25" customHeight="1">
      <c r="A98" s="209">
        <v>3560</v>
      </c>
      <c r="B98" s="1495">
        <v>2919</v>
      </c>
      <c r="C98" s="210" t="s">
        <v>9</v>
      </c>
      <c r="D98" s="473" t="s">
        <v>515</v>
      </c>
      <c r="E98" s="646">
        <f>'Mono 13,8kv'!DW220+'Mono 34,5kv'!DX220+'Trifásico 34,5kv'!EX220+'Trifásico 13,8kv '!EX220+REGULADORES!N220</f>
        <v>0</v>
      </c>
    </row>
    <row r="99" spans="1:5" s="212" customFormat="1" ht="14.25" customHeight="1">
      <c r="A99" s="209">
        <v>3561</v>
      </c>
      <c r="B99" s="1495">
        <v>90473</v>
      </c>
      <c r="C99" s="167" t="s">
        <v>1796</v>
      </c>
      <c r="D99" s="473" t="s">
        <v>515</v>
      </c>
      <c r="E99" s="646">
        <f>'Mono 13,8kv'!DW221+'Mono 34,5kv'!DX221+'Trifásico 34,5kv'!EX221+'Trifásico 13,8kv '!EX221+REGULADORES!N221</f>
        <v>0</v>
      </c>
    </row>
    <row r="100" spans="1:5" s="212" customFormat="1" ht="14.25" customHeight="1">
      <c r="A100" s="209">
        <v>3562</v>
      </c>
      <c r="B100" s="1495">
        <v>90474</v>
      </c>
      <c r="C100" s="167" t="s">
        <v>1794</v>
      </c>
      <c r="D100" s="473" t="s">
        <v>515</v>
      </c>
      <c r="E100" s="646">
        <f>'Mono 13,8kv'!DW222+'Mono 34,5kv'!DX222+'Trifásico 34,5kv'!EX222+'Trifásico 13,8kv '!EX222+REGULADORES!N222</f>
        <v>0</v>
      </c>
    </row>
    <row r="101" spans="1:5" s="212" customFormat="1" ht="14.25" customHeight="1">
      <c r="A101" s="209"/>
      <c r="B101" s="1495">
        <v>159</v>
      </c>
      <c r="C101" s="167" t="s">
        <v>1799</v>
      </c>
      <c r="D101" s="473" t="s">
        <v>0</v>
      </c>
      <c r="E101" s="646">
        <f>'Mono 13,8kv'!DW223+'Mono 34,5kv'!DX223+'Trifásico 34,5kv'!EX223+'Trifásico 13,8kv '!EX223+REGULADORES!N223</f>
        <v>0</v>
      </c>
    </row>
    <row r="102" spans="1:5" s="212" customFormat="1" ht="14.25" customHeight="1">
      <c r="A102" s="209">
        <v>4294</v>
      </c>
      <c r="B102" s="209"/>
      <c r="C102" s="210" t="s">
        <v>145</v>
      </c>
      <c r="D102" s="473" t="s">
        <v>515</v>
      </c>
      <c r="E102" s="646">
        <f>'Mono 13,8kv'!DW224+'Mono 34,5kv'!DX224+'Trifásico 34,5kv'!EX224+'Trifásico 13,8kv '!EX224+REGULADORES!N224</f>
        <v>0</v>
      </c>
    </row>
    <row r="103" spans="1:5" s="212" customFormat="1" ht="14.25" customHeight="1">
      <c r="A103" s="209">
        <v>4104</v>
      </c>
      <c r="B103" s="209"/>
      <c r="C103" s="210" t="s">
        <v>144</v>
      </c>
      <c r="D103" s="473" t="s">
        <v>515</v>
      </c>
      <c r="E103" s="646">
        <f>'Mono 13,8kv'!DW225+'Mono 34,5kv'!DX225+'Trifásico 34,5kv'!EX225+'Trifásico 13,8kv '!EX225+REGULADORES!N225</f>
        <v>0</v>
      </c>
    </row>
    <row r="104" spans="1:5" s="212" customFormat="1" ht="14.25" customHeight="1">
      <c r="A104" s="209">
        <v>4133</v>
      </c>
      <c r="B104" s="209"/>
      <c r="C104" s="210" t="s">
        <v>213</v>
      </c>
      <c r="D104" s="473" t="s">
        <v>515</v>
      </c>
      <c r="E104" s="646">
        <f>'Mono 13,8kv'!DW226+'Mono 34,5kv'!DX226+'Trifásico 34,5kv'!EX226+'Trifásico 13,8kv '!EX226+REGULADORES!N226</f>
        <v>0</v>
      </c>
    </row>
    <row r="105" spans="1:5" s="212" customFormat="1" ht="14.25" customHeight="1">
      <c r="A105" s="209">
        <v>3553</v>
      </c>
      <c r="B105" s="209"/>
      <c r="C105" s="210" t="s">
        <v>214</v>
      </c>
      <c r="D105" s="473" t="s">
        <v>515</v>
      </c>
      <c r="E105" s="646">
        <f>'Mono 13,8kv'!DW227+'Mono 34,5kv'!DX227+'Trifásico 34,5kv'!EX227+'Trifásico 13,8kv '!EX227+REGULADORES!N227</f>
        <v>0</v>
      </c>
    </row>
    <row r="106" spans="1:5" s="212" customFormat="1" ht="14.25" customHeight="1">
      <c r="A106" s="209">
        <v>3554</v>
      </c>
      <c r="B106" s="1495">
        <v>174</v>
      </c>
      <c r="C106" s="210" t="s">
        <v>458</v>
      </c>
      <c r="D106" s="473" t="s">
        <v>515</v>
      </c>
      <c r="E106" s="646">
        <f>'Mono 13,8kv'!DW228+'Mono 34,5kv'!DX228+'Trifásico 34,5kv'!EX228+'Trifásico 13,8kv '!EX228+REGULADORES!N228</f>
        <v>0</v>
      </c>
    </row>
    <row r="107" spans="1:5" s="212" customFormat="1" ht="14.25" customHeight="1">
      <c r="A107" s="209">
        <v>3555</v>
      </c>
      <c r="B107" s="1495">
        <v>502914</v>
      </c>
      <c r="C107" s="210" t="s">
        <v>140</v>
      </c>
      <c r="D107" s="473" t="s">
        <v>515</v>
      </c>
      <c r="E107" s="646">
        <f>'Mono 13,8kv'!DW229+'Mono 34,5kv'!DX229+'Trifásico 34,5kv'!EX229+'Trifásico 13,8kv '!EX229+REGULADORES!N229</f>
        <v>0</v>
      </c>
    </row>
    <row r="108" spans="1:5" s="212" customFormat="1" ht="14.25" customHeight="1">
      <c r="A108" s="209">
        <v>4121</v>
      </c>
      <c r="B108" s="209"/>
      <c r="C108" s="210" t="s">
        <v>216</v>
      </c>
      <c r="D108" s="473" t="s">
        <v>515</v>
      </c>
      <c r="E108" s="646">
        <f>'Mono 13,8kv'!DW230+'Mono 34,5kv'!DX230+'Trifásico 34,5kv'!EX230+'Trifásico 13,8kv '!EX230+REGULADORES!N230</f>
        <v>0</v>
      </c>
    </row>
    <row r="109" spans="1:5" s="212" customFormat="1" ht="14.25" customHeight="1">
      <c r="A109" s="209">
        <v>4122</v>
      </c>
      <c r="B109" s="1495">
        <v>178</v>
      </c>
      <c r="C109" s="167" t="s">
        <v>1797</v>
      </c>
      <c r="D109" s="473" t="s">
        <v>515</v>
      </c>
      <c r="E109" s="646">
        <f>'Mono 13,8kv'!DW231+'Mono 34,5kv'!DX231+'Trifásico 34,5kv'!EX231+'Trifásico 13,8kv '!EX231+REGULADORES!N231</f>
        <v>0</v>
      </c>
    </row>
    <row r="110" spans="1:5" s="212" customFormat="1" ht="14.25" customHeight="1">
      <c r="A110" s="209"/>
      <c r="B110" s="1495">
        <v>161</v>
      </c>
      <c r="C110" s="167" t="s">
        <v>1798</v>
      </c>
      <c r="D110" s="473" t="s">
        <v>0</v>
      </c>
      <c r="E110" s="646">
        <f>'Mono 13,8kv'!DW232+'Mono 34,5kv'!DX232+'Trifásico 34,5kv'!EX232+'Trifásico 13,8kv '!EX232+REGULADORES!N232</f>
        <v>0</v>
      </c>
    </row>
    <row r="111" spans="1:5" s="212" customFormat="1" ht="14.25" customHeight="1">
      <c r="A111" s="209">
        <v>3567</v>
      </c>
      <c r="B111" s="209"/>
      <c r="C111" s="210" t="s">
        <v>1537</v>
      </c>
      <c r="D111" s="473" t="s">
        <v>0</v>
      </c>
      <c r="E111" s="646">
        <f>'Mono 13,8kv'!DW233+'Mono 34,5kv'!DX233+'Trifásico 34,5kv'!EX233+'Trifásico 13,8kv '!EX233+REGULADORES!N233</f>
        <v>0</v>
      </c>
    </row>
    <row r="112" spans="1:5" s="212" customFormat="1" ht="14.25" customHeight="1">
      <c r="A112" s="209">
        <v>3965</v>
      </c>
      <c r="B112" s="209"/>
      <c r="C112" s="210" t="s">
        <v>63</v>
      </c>
      <c r="D112" s="473" t="s">
        <v>515</v>
      </c>
      <c r="E112" s="646">
        <f>'Mono 13,8kv'!DW234+'Mono 34,5kv'!DX234+'Trifásico 34,5kv'!EX234+'Trifásico 13,8kv '!EX234+REGULADORES!N234</f>
        <v>0</v>
      </c>
    </row>
    <row r="113" spans="1:8" s="212" customFormat="1" ht="14.25" customHeight="1">
      <c r="A113" s="209">
        <v>3569</v>
      </c>
      <c r="B113" s="209"/>
      <c r="C113" s="210" t="s">
        <v>459</v>
      </c>
      <c r="D113" s="473" t="s">
        <v>515</v>
      </c>
      <c r="E113" s="646">
        <f>'Mono 13,8kv'!DW235+'Mono 34,5kv'!DX235+'Trifásico 34,5kv'!EX235+'Trifásico 13,8kv '!EX235+REGULADORES!N235</f>
        <v>0</v>
      </c>
    </row>
    <row r="114" spans="1:8" s="212" customFormat="1" ht="14.25" customHeight="1">
      <c r="A114" s="209">
        <v>3570</v>
      </c>
      <c r="B114" s="209"/>
      <c r="C114" s="210" t="s">
        <v>154</v>
      </c>
      <c r="D114" s="473" t="s">
        <v>515</v>
      </c>
      <c r="E114" s="646">
        <f>'Mono 13,8kv'!DW236+'Mono 34,5kv'!DX236+'Trifásico 34,5kv'!EX236+'Trifásico 13,8kv '!EX236+REGULADORES!N236</f>
        <v>0</v>
      </c>
    </row>
    <row r="115" spans="1:8" s="212" customFormat="1" ht="14.25" customHeight="1">
      <c r="A115" s="209">
        <v>3571</v>
      </c>
      <c r="B115" s="1495">
        <v>590401</v>
      </c>
      <c r="C115" s="167" t="s">
        <v>1800</v>
      </c>
      <c r="D115" s="473" t="s">
        <v>515</v>
      </c>
      <c r="E115" s="646">
        <f>'Mono 13,8kv'!DW237+'Mono 34,5kv'!DX237+'Trifásico 34,5kv'!EX237+'Trifásico 13,8kv '!EX237+REGULADORES!N237</f>
        <v>0</v>
      </c>
    </row>
    <row r="116" spans="1:8" s="212" customFormat="1" ht="14.25" customHeight="1">
      <c r="A116" s="209">
        <v>4310</v>
      </c>
      <c r="B116" s="209"/>
      <c r="C116" s="210" t="s">
        <v>1509</v>
      </c>
      <c r="D116" s="473" t="s">
        <v>0</v>
      </c>
      <c r="E116" s="646">
        <f>'Mono 13,8kv'!DW238+'Mono 34,5kv'!DX238+'Trifásico 34,5kv'!EX238+'Trifásico 13,8kv '!EX238+REGULADORES!N238</f>
        <v>0</v>
      </c>
    </row>
    <row r="117" spans="1:8" s="212" customFormat="1" ht="14.25" customHeight="1">
      <c r="A117" s="209">
        <v>3580</v>
      </c>
      <c r="B117" s="209"/>
      <c r="C117" s="210" t="s">
        <v>410</v>
      </c>
      <c r="D117" s="473" t="s">
        <v>515</v>
      </c>
      <c r="E117" s="646">
        <f>'Mono 13,8kv'!DW239+'Mono 34,5kv'!DX239+'Trifásico 34,5kv'!EX239+'Trifásico 13,8kv '!EX239+REGULADORES!N239</f>
        <v>0</v>
      </c>
    </row>
    <row r="118" spans="1:8" s="212" customFormat="1" ht="14.25" customHeight="1">
      <c r="A118" s="209"/>
      <c r="B118" s="209"/>
      <c r="C118" s="210" t="s">
        <v>44</v>
      </c>
      <c r="D118" s="473" t="s">
        <v>515</v>
      </c>
      <c r="E118" s="646">
        <f>'Mono 13,8kv'!DW240+'Mono 34,5kv'!DX240+'Trifásico 34,5kv'!EX240+'Trifásico 13,8kv '!EX240+REGULADORES!N240</f>
        <v>0</v>
      </c>
    </row>
    <row r="119" spans="1:8" s="212" customFormat="1" ht="14.25" customHeight="1">
      <c r="A119" s="209">
        <v>3584</v>
      </c>
      <c r="B119" s="1355"/>
      <c r="C119" s="210" t="s">
        <v>45</v>
      </c>
      <c r="D119" s="473" t="s">
        <v>515</v>
      </c>
      <c r="E119" s="646">
        <f>'Mono 13,8kv'!DW241+'Mono 34,5kv'!DX241+'Trifásico 34,5kv'!EX241+'Trifásico 13,8kv '!EX241+REGULADORES!N241</f>
        <v>0</v>
      </c>
      <c r="G119" s="1354"/>
      <c r="H119" s="238"/>
    </row>
    <row r="120" spans="1:8" s="212" customFormat="1" ht="14.25" customHeight="1">
      <c r="A120" s="209">
        <v>3585</v>
      </c>
      <c r="B120" s="209"/>
      <c r="C120" s="210" t="s">
        <v>46</v>
      </c>
      <c r="D120" s="473" t="s">
        <v>515</v>
      </c>
      <c r="E120" s="646">
        <f>'Mono 13,8kv'!DW242+'Mono 34,5kv'!DX242+'Trifásico 34,5kv'!EX242+'Trifásico 13,8kv '!EX242+REGULADORES!N242</f>
        <v>0</v>
      </c>
      <c r="G120" s="1354"/>
      <c r="H120" s="238"/>
    </row>
    <row r="121" spans="1:8" s="212" customFormat="1" ht="14.25" customHeight="1">
      <c r="A121" s="209">
        <v>3586</v>
      </c>
      <c r="B121" s="1355"/>
      <c r="C121" s="210" t="s">
        <v>47</v>
      </c>
      <c r="D121" s="473" t="s">
        <v>515</v>
      </c>
      <c r="E121" s="646">
        <f>'Mono 13,8kv'!DW243+'Mono 34,5kv'!DX243+'Trifásico 34,5kv'!EX243+'Trifásico 13,8kv '!EX243+REGULADORES!N243</f>
        <v>0</v>
      </c>
      <c r="G121" s="1354"/>
      <c r="H121" s="238"/>
    </row>
    <row r="122" spans="1:8" s="212" customFormat="1" ht="14.25" customHeight="1">
      <c r="A122" s="209">
        <v>3587</v>
      </c>
      <c r="B122" s="1355"/>
      <c r="C122" s="210" t="s">
        <v>489</v>
      </c>
      <c r="D122" s="473" t="s">
        <v>515</v>
      </c>
      <c r="E122" s="646">
        <f>'Mono 13,8kv'!DW244+'Mono 34,5kv'!DX244+'Trifásico 34,5kv'!EX244+'Trifásico 13,8kv '!EX244+REGULADORES!N244</f>
        <v>0</v>
      </c>
      <c r="H122" s="238"/>
    </row>
    <row r="123" spans="1:8" s="212" customFormat="1" ht="14.25" customHeight="1">
      <c r="A123" s="209">
        <v>3588</v>
      </c>
      <c r="B123" s="1355"/>
      <c r="C123" s="210" t="s">
        <v>48</v>
      </c>
      <c r="D123" s="473" t="s">
        <v>515</v>
      </c>
      <c r="E123" s="646">
        <f>'Mono 13,8kv'!DW245+'Mono 34,5kv'!DX245+'Trifásico 34,5kv'!EX245+'Trifásico 13,8kv '!EX245+REGULADORES!N245</f>
        <v>0</v>
      </c>
      <c r="H123" s="238"/>
    </row>
    <row r="124" spans="1:8" s="212" customFormat="1" ht="14.25" customHeight="1">
      <c r="A124" s="209">
        <v>3589</v>
      </c>
      <c r="B124" s="1355"/>
      <c r="C124" s="210" t="s">
        <v>49</v>
      </c>
      <c r="D124" s="473" t="s">
        <v>515</v>
      </c>
      <c r="E124" s="646">
        <f>'Mono 13,8kv'!DW246+'Mono 34,5kv'!DX246+'Trifásico 34,5kv'!EX246+'Trifásico 13,8kv '!EX246+REGULADORES!N246</f>
        <v>0</v>
      </c>
      <c r="H124" s="238"/>
    </row>
    <row r="125" spans="1:8" s="212" customFormat="1" ht="14.25" customHeight="1">
      <c r="A125" s="209">
        <v>3590</v>
      </c>
      <c r="B125" s="1355"/>
      <c r="C125" s="210" t="s">
        <v>488</v>
      </c>
      <c r="D125" s="473" t="s">
        <v>515</v>
      </c>
      <c r="E125" s="646">
        <f>'Mono 13,8kv'!DW247+'Mono 34,5kv'!DX247+'Trifásico 34,5kv'!EX247+'Trifásico 13,8kv '!EX247+REGULADORES!N247</f>
        <v>0</v>
      </c>
      <c r="H125" s="238"/>
    </row>
    <row r="126" spans="1:8" s="212" customFormat="1" ht="14.25" customHeight="1">
      <c r="A126" s="209"/>
      <c r="B126" s="209"/>
      <c r="C126" s="210" t="s">
        <v>250</v>
      </c>
      <c r="D126" s="473" t="s">
        <v>515</v>
      </c>
      <c r="E126" s="646">
        <f>'Mono 13,8kv'!DW248+'Mono 34,5kv'!DX248+'Trifásico 34,5kv'!EX248+'Trifásico 13,8kv '!EX248+REGULADORES!N248</f>
        <v>0</v>
      </c>
      <c r="H126" s="238"/>
    </row>
    <row r="127" spans="1:8" s="212" customFormat="1" ht="14.25" customHeight="1">
      <c r="A127" s="209">
        <v>3591</v>
      </c>
      <c r="B127" s="1355"/>
      <c r="C127" s="210" t="s">
        <v>50</v>
      </c>
      <c r="D127" s="473" t="s">
        <v>515</v>
      </c>
      <c r="E127" s="646">
        <f>'Mono 13,8kv'!DW249+'Mono 34,5kv'!DX249+'Trifásico 34,5kv'!EX249+'Trifásico 13,8kv '!EX249+REGULADORES!N249</f>
        <v>0</v>
      </c>
      <c r="G127" s="1354"/>
      <c r="H127" s="238"/>
    </row>
    <row r="128" spans="1:8" s="212" customFormat="1" ht="14.25" customHeight="1">
      <c r="A128" s="209"/>
      <c r="B128" s="209"/>
      <c r="C128" s="210" t="s">
        <v>249</v>
      </c>
      <c r="D128" s="473" t="s">
        <v>515</v>
      </c>
      <c r="E128" s="646">
        <f>'Mono 13,8kv'!DW250+'Mono 34,5kv'!DX250+'Trifásico 34,5kv'!EX250+'Trifásico 13,8kv '!EX250+REGULADORES!N250</f>
        <v>0</v>
      </c>
      <c r="H128" s="238"/>
    </row>
    <row r="129" spans="1:8" s="212" customFormat="1" ht="14.25" customHeight="1">
      <c r="A129" s="209">
        <v>3592</v>
      </c>
      <c r="B129" s="1355"/>
      <c r="C129" s="210" t="s">
        <v>245</v>
      </c>
      <c r="D129" s="473" t="s">
        <v>515</v>
      </c>
      <c r="E129" s="646">
        <f>'Mono 13,8kv'!DW251+'Mono 34,5kv'!DX251+'Trifásico 34,5kv'!EX251+'Trifásico 13,8kv '!EX251+REGULADORES!N251</f>
        <v>0</v>
      </c>
      <c r="H129" s="238"/>
    </row>
    <row r="130" spans="1:8" s="212" customFormat="1" ht="14.25" customHeight="1">
      <c r="A130" s="209">
        <v>3593</v>
      </c>
      <c r="B130" s="1355"/>
      <c r="C130" s="210" t="s">
        <v>246</v>
      </c>
      <c r="D130" s="473" t="s">
        <v>515</v>
      </c>
      <c r="E130" s="646">
        <f>'Mono 13,8kv'!DW252+'Mono 34,5kv'!DX252+'Trifásico 34,5kv'!EX252+'Trifásico 13,8kv '!EX252+REGULADORES!N252</f>
        <v>0</v>
      </c>
      <c r="H130" s="238"/>
    </row>
    <row r="131" spans="1:8" s="212" customFormat="1" ht="14.25" customHeight="1">
      <c r="A131" s="209"/>
      <c r="B131" s="209"/>
      <c r="C131" s="210" t="s">
        <v>251</v>
      </c>
      <c r="D131" s="473" t="s">
        <v>515</v>
      </c>
      <c r="E131" s="646">
        <f>'Mono 13,8kv'!DW253+'Mono 34,5kv'!DX253+'Trifásico 34,5kv'!EX253+'Trifásico 13,8kv '!EX253+REGULADORES!N253</f>
        <v>0</v>
      </c>
      <c r="G131" s="1354"/>
      <c r="H131" s="238"/>
    </row>
    <row r="132" spans="1:8" s="212" customFormat="1" ht="14.25" customHeight="1">
      <c r="A132" s="209">
        <v>3594</v>
      </c>
      <c r="B132" s="167">
        <v>590504</v>
      </c>
      <c r="C132" s="210" t="s">
        <v>247</v>
      </c>
      <c r="D132" s="473" t="s">
        <v>515</v>
      </c>
      <c r="E132" s="646">
        <f>'Mono 13,8kv'!DW254+'Mono 34,5kv'!DX254+'Trifásico 34,5kv'!EX254+'Trifásico 13,8kv '!EX254+REGULADORES!N254</f>
        <v>0</v>
      </c>
      <c r="G132" s="1354"/>
      <c r="H132" s="238"/>
    </row>
    <row r="133" spans="1:8" s="212" customFormat="1" ht="14.25" customHeight="1">
      <c r="A133" s="209"/>
      <c r="B133" s="209"/>
      <c r="C133" s="210" t="s">
        <v>1481</v>
      </c>
      <c r="D133" s="473" t="s">
        <v>515</v>
      </c>
      <c r="E133" s="646">
        <f>'Mono 13,8kv'!DW255+'Mono 34,5kv'!DX255+'Trifásico 34,5kv'!EX255+'Trifásico 13,8kv '!EX255+REGULADORES!N255</f>
        <v>0</v>
      </c>
      <c r="H133" s="238"/>
    </row>
    <row r="134" spans="1:8" s="212" customFormat="1" ht="14.25" customHeight="1">
      <c r="A134" s="209">
        <v>3595</v>
      </c>
      <c r="B134" s="1355"/>
      <c r="C134" s="210" t="s">
        <v>248</v>
      </c>
      <c r="D134" s="473" t="s">
        <v>515</v>
      </c>
      <c r="E134" s="646">
        <f>'Mono 13,8kv'!DW256+'Mono 34,5kv'!DX256+'Trifásico 34,5kv'!EX256+'Trifásico 13,8kv '!EX256+REGULADORES!N256</f>
        <v>0</v>
      </c>
      <c r="H134" s="238"/>
    </row>
    <row r="135" spans="1:8" s="212" customFormat="1" ht="14.25" customHeight="1">
      <c r="A135" s="209">
        <v>3596</v>
      </c>
      <c r="B135" s="1495">
        <v>90508</v>
      </c>
      <c r="C135" s="210" t="s">
        <v>411</v>
      </c>
      <c r="D135" s="473" t="s">
        <v>515</v>
      </c>
      <c r="E135" s="646">
        <f>'Mono 13,8kv'!DW257+'Mono 34,5kv'!DX257+'Trifásico 34,5kv'!EX257+'Trifásico 13,8kv '!EX257+REGULADORES!N257</f>
        <v>0</v>
      </c>
    </row>
    <row r="136" spans="1:8" s="212" customFormat="1" ht="14.25" customHeight="1">
      <c r="A136" s="209">
        <v>3577</v>
      </c>
      <c r="B136" s="1495">
        <v>502929</v>
      </c>
      <c r="C136" s="210" t="s">
        <v>195</v>
      </c>
      <c r="D136" s="473" t="s">
        <v>515</v>
      </c>
      <c r="E136" s="646">
        <f>'Mono 13,8kv'!DW258+'Mono 34,5kv'!DX258+'Trifásico 34,5kv'!EX258+'Trifásico 13,8kv '!EX258+REGULADORES!N258</f>
        <v>0</v>
      </c>
    </row>
    <row r="137" spans="1:8" s="212" customFormat="1" ht="14.25" customHeight="1">
      <c r="A137" s="209">
        <v>4254</v>
      </c>
      <c r="B137" s="209"/>
      <c r="C137" s="210" t="s">
        <v>194</v>
      </c>
      <c r="D137" s="473" t="s">
        <v>515</v>
      </c>
      <c r="E137" s="646">
        <f>'Mono 13,8kv'!DW259+'Mono 34,5kv'!DX259+'Trifásico 34,5kv'!EX259+'Trifásico 13,8kv '!EX259+REGULADORES!N259</f>
        <v>0</v>
      </c>
    </row>
    <row r="138" spans="1:8" s="212" customFormat="1" ht="14.25" customHeight="1">
      <c r="A138" s="209">
        <v>4137</v>
      </c>
      <c r="B138" s="209"/>
      <c r="C138" s="210" t="s">
        <v>196</v>
      </c>
      <c r="D138" s="473" t="s">
        <v>515</v>
      </c>
      <c r="E138" s="646">
        <f>'Mono 13,8kv'!DW260+'Mono 34,5kv'!DX260+'Trifásico 34,5kv'!EX260+'Trifásico 13,8kv '!EX260+REGULADORES!N260</f>
        <v>0</v>
      </c>
    </row>
    <row r="139" spans="1:8" s="212" customFormat="1" ht="14.25" customHeight="1">
      <c r="A139" s="209"/>
      <c r="B139" s="209"/>
      <c r="C139" s="210" t="s">
        <v>319</v>
      </c>
      <c r="D139" s="473" t="s">
        <v>515</v>
      </c>
      <c r="E139" s="646">
        <f>'Mono 13,8kv'!DW261+'Mono 34,5kv'!DX261+'Trifásico 34,5kv'!EX261+'Trifásico 13,8kv '!EX261+REGULADORES!N261</f>
        <v>0</v>
      </c>
    </row>
    <row r="140" spans="1:8" s="212" customFormat="1" ht="14.25" customHeight="1">
      <c r="A140" s="209"/>
      <c r="B140" s="209"/>
      <c r="C140" s="210" t="s">
        <v>43</v>
      </c>
      <c r="D140" s="473" t="s">
        <v>515</v>
      </c>
      <c r="E140" s="646">
        <f>'Mono 13,8kv'!DW262+'Mono 34,5kv'!DX262+'Trifásico 34,5kv'!EX262+'Trifásico 13,8kv '!EX262+REGULADORES!N262</f>
        <v>0</v>
      </c>
    </row>
    <row r="141" spans="1:8" s="212" customFormat="1" ht="14.25" customHeight="1">
      <c r="A141" s="209">
        <v>4087</v>
      </c>
      <c r="B141" s="209"/>
      <c r="C141" s="210" t="s">
        <v>512</v>
      </c>
      <c r="D141" s="473" t="s">
        <v>515</v>
      </c>
      <c r="E141" s="646">
        <f>'Mono 13,8kv'!DW263+'Mono 34,5kv'!DX263+'Trifásico 34,5kv'!EX263+'Trifásico 13,8kv '!EX263+REGULADORES!N263</f>
        <v>0</v>
      </c>
    </row>
    <row r="142" spans="1:8" s="212" customFormat="1" ht="14.25" customHeight="1">
      <c r="A142" s="209"/>
      <c r="B142" s="1495">
        <v>4092</v>
      </c>
      <c r="C142" s="210" t="s">
        <v>1473</v>
      </c>
      <c r="D142" s="473" t="s">
        <v>0</v>
      </c>
      <c r="E142" s="646">
        <f>'Mono 13,8kv'!DW264+'Mono 34,5kv'!DX264+'Trifásico 34,5kv'!EX264+'Trifásico 13,8kv '!EX264+REGULADORES!N264</f>
        <v>0</v>
      </c>
    </row>
    <row r="143" spans="1:8" s="212" customFormat="1" ht="14.25" customHeight="1">
      <c r="A143" s="209">
        <v>4015</v>
      </c>
      <c r="B143" s="209"/>
      <c r="C143" s="210" t="s">
        <v>51</v>
      </c>
      <c r="D143" s="473" t="s">
        <v>516</v>
      </c>
      <c r="E143" s="646">
        <f>'Mono 13,8kv'!DW265+'Mono 34,5kv'!DX265+'Trifásico 34,5kv'!EX265+'Trifásico 13,8kv '!EX265+REGULADORES!N265</f>
        <v>0</v>
      </c>
    </row>
    <row r="144" spans="1:8" s="212" customFormat="1" ht="14.25" customHeight="1">
      <c r="A144" s="209">
        <v>3942</v>
      </c>
      <c r="B144" s="1495">
        <v>90508</v>
      </c>
      <c r="C144" s="210" t="s">
        <v>1705</v>
      </c>
      <c r="D144" s="473" t="s">
        <v>168</v>
      </c>
      <c r="E144" s="646">
        <f>'Mono 13,8kv'!DW266+'Mono 34,5kv'!DX266+'Trifásico 34,5kv'!EX266+'Trifásico 13,8kv '!EX266+REGULADORES!N266</f>
        <v>0</v>
      </c>
    </row>
    <row r="145" spans="1:5" s="212" customFormat="1" ht="14.25" customHeight="1">
      <c r="A145" s="209">
        <v>4093</v>
      </c>
      <c r="B145" s="209"/>
      <c r="C145" s="210" t="s">
        <v>1510</v>
      </c>
      <c r="D145" s="473" t="s">
        <v>168</v>
      </c>
      <c r="E145" s="646">
        <f>'Mono 13,8kv'!DW267+'Mono 34,5kv'!DX267+'Trifásico 34,5kv'!EX267+'Trifásico 13,8kv '!EX267+REGULADORES!N267</f>
        <v>0</v>
      </c>
    </row>
    <row r="146" spans="1:5" s="212" customFormat="1" ht="14.25" customHeight="1">
      <c r="A146" s="209">
        <v>3600</v>
      </c>
      <c r="B146" s="209"/>
      <c r="C146" s="210" t="s">
        <v>13</v>
      </c>
      <c r="D146" s="473" t="s">
        <v>515</v>
      </c>
      <c r="E146" s="646">
        <f>'Mono 13,8kv'!DW268+'Mono 34,5kv'!DX268+'Trifásico 34,5kv'!EX268+'Trifásico 13,8kv '!EX268+REGULADORES!N268</f>
        <v>0</v>
      </c>
    </row>
    <row r="147" spans="1:5" s="212" customFormat="1" ht="14.25" customHeight="1">
      <c r="A147" s="209">
        <v>3601</v>
      </c>
      <c r="B147" s="209"/>
      <c r="C147" s="210" t="s">
        <v>174</v>
      </c>
      <c r="D147" s="473" t="s">
        <v>515</v>
      </c>
      <c r="E147" s="646">
        <f>'Mono 13,8kv'!DW269+'Mono 34,5kv'!DX269+'Trifásico 34,5kv'!EX269+'Trifásico 13,8kv '!EX269+REGULADORES!N269</f>
        <v>0</v>
      </c>
    </row>
    <row r="148" spans="1:5" s="212" customFormat="1" ht="14.25" customHeight="1">
      <c r="A148" s="209">
        <v>3603</v>
      </c>
      <c r="B148" s="1495">
        <v>590448</v>
      </c>
      <c r="C148" s="210" t="s">
        <v>15</v>
      </c>
      <c r="D148" s="473" t="s">
        <v>515</v>
      </c>
      <c r="E148" s="646">
        <f>'Mono 13,8kv'!DW270+'Mono 34,5kv'!DX270+'Trifásico 34,5kv'!EX270+'Trifásico 13,8kv '!EX270+REGULADORES!N270</f>
        <v>0</v>
      </c>
    </row>
    <row r="149" spans="1:5" s="212" customFormat="1" ht="14.25" customHeight="1">
      <c r="A149" s="209">
        <v>3980</v>
      </c>
      <c r="B149" s="209"/>
      <c r="C149" s="210" t="s">
        <v>408</v>
      </c>
      <c r="D149" s="473" t="s">
        <v>515</v>
      </c>
      <c r="E149" s="646">
        <f>'Mono 13,8kv'!DW271+'Mono 34,5kv'!DX271+'Trifásico 34,5kv'!EX271+'Trifásico 13,8kv '!EX271+REGULADORES!N271</f>
        <v>0</v>
      </c>
    </row>
    <row r="150" spans="1:5" s="212" customFormat="1" ht="14.25" customHeight="1">
      <c r="A150" s="209">
        <v>3981</v>
      </c>
      <c r="B150" s="209"/>
      <c r="C150" s="210" t="s">
        <v>165</v>
      </c>
      <c r="D150" s="473" t="s">
        <v>515</v>
      </c>
      <c r="E150" s="646">
        <f>'Mono 13,8kv'!DW272+'Mono 34,5kv'!DX272+'Trifásico 34,5kv'!EX272+'Trifásico 13,8kv '!EX272+REGULADORES!N272</f>
        <v>0</v>
      </c>
    </row>
    <row r="151" spans="1:5" s="212" customFormat="1" ht="14.25" customHeight="1">
      <c r="A151" s="209">
        <v>3605</v>
      </c>
      <c r="B151" s="209"/>
      <c r="C151" s="210" t="s">
        <v>166</v>
      </c>
      <c r="D151" s="473" t="s">
        <v>515</v>
      </c>
      <c r="E151" s="646">
        <f>'Mono 13,8kv'!DW273+'Mono 34,5kv'!DX273+'Trifásico 34,5kv'!EX273+'Trifásico 13,8kv '!EX273+REGULADORES!N273</f>
        <v>0</v>
      </c>
    </row>
    <row r="152" spans="1:5" s="212" customFormat="1" ht="14.25" customHeight="1">
      <c r="A152" s="209">
        <v>3982</v>
      </c>
      <c r="B152" s="167">
        <v>503034</v>
      </c>
      <c r="C152" s="167" t="s">
        <v>1801</v>
      </c>
      <c r="D152" s="473" t="s">
        <v>515</v>
      </c>
      <c r="E152" s="646">
        <f>'Mono 13,8kv'!DW274+'Mono 34,5kv'!DX274+'Trifásico 34,5kv'!EX274+'Trifásico 13,8kv '!EX274+REGULADORES!N274</f>
        <v>0</v>
      </c>
    </row>
    <row r="153" spans="1:5" s="212" customFormat="1" ht="14.25" customHeight="1">
      <c r="A153" s="209">
        <v>3606</v>
      </c>
      <c r="B153" s="209"/>
      <c r="C153" s="210" t="s">
        <v>210</v>
      </c>
      <c r="D153" s="473" t="s">
        <v>515</v>
      </c>
      <c r="E153" s="646">
        <f>'Mono 13,8kv'!DW275+'Mono 34,5kv'!DX275+'Trifásico 34,5kv'!EX275+'Trifásico 13,8kv '!EX275+REGULADORES!N275</f>
        <v>0</v>
      </c>
    </row>
    <row r="154" spans="1:5" s="212" customFormat="1" ht="14.25" customHeight="1">
      <c r="A154" s="209">
        <v>3607</v>
      </c>
      <c r="B154" s="1495">
        <v>590279</v>
      </c>
      <c r="C154" s="210" t="s">
        <v>67</v>
      </c>
      <c r="D154" s="473" t="s">
        <v>515</v>
      </c>
      <c r="E154" s="646">
        <f>'Mono 13,8kv'!DW276+'Mono 34,5kv'!DX276+'Trifásico 34,5kv'!EX276+'Trifásico 13,8kv '!EX276+REGULADORES!N276</f>
        <v>0</v>
      </c>
    </row>
    <row r="155" spans="1:5" s="212" customFormat="1" ht="14.25" customHeight="1">
      <c r="A155" s="209">
        <v>3609</v>
      </c>
      <c r="B155" s="209"/>
      <c r="C155" s="210" t="s">
        <v>1289</v>
      </c>
      <c r="D155" s="473" t="s">
        <v>515</v>
      </c>
      <c r="E155" s="646">
        <f>'Mono 13,8kv'!DW277+'Mono 34,5kv'!DX277+'Trifásico 34,5kv'!EX277+'Trifásico 13,8kv '!EX277+REGULADORES!N277</f>
        <v>0</v>
      </c>
    </row>
    <row r="156" spans="1:5" s="212" customFormat="1" ht="14.25" customHeight="1">
      <c r="A156" s="209">
        <v>3610</v>
      </c>
      <c r="B156" s="1495">
        <v>502944</v>
      </c>
      <c r="C156" s="210" t="s">
        <v>1290</v>
      </c>
      <c r="D156" s="473" t="s">
        <v>515</v>
      </c>
      <c r="E156" s="646">
        <f>'Mono 13,8kv'!DW278+'Mono 34,5kv'!DX278+'Trifásico 34,5kv'!EX278+'Trifásico 13,8kv '!EX278+REGULADORES!N278</f>
        <v>0</v>
      </c>
    </row>
    <row r="157" spans="1:5" s="212" customFormat="1" ht="14.25" customHeight="1">
      <c r="A157" s="209">
        <v>4182</v>
      </c>
      <c r="B157" s="209"/>
      <c r="C157" s="210" t="s">
        <v>16</v>
      </c>
      <c r="D157" s="473" t="s">
        <v>515</v>
      </c>
      <c r="E157" s="646">
        <f>'Mono 13,8kv'!DW279+'Mono 34,5kv'!DX279+'Trifásico 34,5kv'!EX279+'Trifásico 13,8kv '!EX279+REGULADORES!N279</f>
        <v>0</v>
      </c>
    </row>
    <row r="158" spans="1:5" s="212" customFormat="1" ht="14.25" customHeight="1">
      <c r="A158" s="209">
        <v>3613</v>
      </c>
      <c r="B158" s="209"/>
      <c r="C158" s="210" t="s">
        <v>17</v>
      </c>
      <c r="D158" s="473" t="s">
        <v>515</v>
      </c>
      <c r="E158" s="646">
        <f>'Mono 13,8kv'!DW280+'Mono 34,5kv'!DX280+'Trifásico 34,5kv'!EX280+'Trifásico 13,8kv '!EX280+REGULADORES!N280</f>
        <v>0</v>
      </c>
    </row>
    <row r="159" spans="1:5" s="212" customFormat="1" ht="14.25" customHeight="1">
      <c r="A159" s="209">
        <v>3615</v>
      </c>
      <c r="B159" s="1495">
        <v>502948</v>
      </c>
      <c r="C159" s="210" t="s">
        <v>199</v>
      </c>
      <c r="D159" s="473" t="s">
        <v>515</v>
      </c>
      <c r="E159" s="646">
        <f>'Mono 13,8kv'!DW281+'Mono 34,5kv'!DX281+'Trifásico 34,5kv'!EX281+'Trifásico 13,8kv '!EX281+REGULADORES!N281</f>
        <v>0</v>
      </c>
    </row>
    <row r="160" spans="1:5" s="212" customFormat="1" ht="14.25" customHeight="1">
      <c r="A160" s="209">
        <v>3614</v>
      </c>
      <c r="B160" s="209"/>
      <c r="C160" s="210" t="s">
        <v>197</v>
      </c>
      <c r="D160" s="473" t="s">
        <v>515</v>
      </c>
      <c r="E160" s="646">
        <f>'Mono 13,8kv'!DW282+'Mono 34,5kv'!DX282+'Trifásico 34,5kv'!EX282+'Trifásico 13,8kv '!EX282+REGULADORES!N282</f>
        <v>0</v>
      </c>
    </row>
    <row r="161" spans="1:8" s="212" customFormat="1" ht="14.25" customHeight="1">
      <c r="A161" s="209">
        <v>3617</v>
      </c>
      <c r="B161" s="209"/>
      <c r="C161" s="210" t="s">
        <v>198</v>
      </c>
      <c r="D161" s="473" t="s">
        <v>515</v>
      </c>
      <c r="E161" s="646">
        <f>'Mono 13,8kv'!DW283+'Mono 34,5kv'!DX283+'Trifásico 34,5kv'!EX283+'Trifásico 13,8kv '!EX283+REGULADORES!N283</f>
        <v>0</v>
      </c>
    </row>
    <row r="162" spans="1:8" s="212" customFormat="1" ht="14.25" customHeight="1">
      <c r="A162" s="209"/>
      <c r="B162" s="209"/>
      <c r="C162" s="210" t="s">
        <v>318</v>
      </c>
      <c r="D162" s="473" t="s">
        <v>515</v>
      </c>
      <c r="E162" s="646">
        <f>'Mono 13,8kv'!DW284+'Mono 34,5kv'!DX284+'Trifásico 34,5kv'!EX284+'Trifásico 13,8kv '!EX284+REGULADORES!N284</f>
        <v>0</v>
      </c>
    </row>
    <row r="163" spans="1:8" s="212" customFormat="1" ht="14.25" customHeight="1">
      <c r="A163" s="209"/>
      <c r="B163" s="209"/>
      <c r="C163" s="210" t="s">
        <v>53</v>
      </c>
      <c r="D163" s="473" t="s">
        <v>515</v>
      </c>
      <c r="E163" s="646">
        <f>'Mono 13,8kv'!DW285+'Mono 34,5kv'!DX285+'Trifásico 34,5kv'!EX285+'Trifásico 13,8kv '!EX285+REGULADORES!N285</f>
        <v>0</v>
      </c>
    </row>
    <row r="164" spans="1:8" s="212" customFormat="1" ht="14.25" customHeight="1">
      <c r="A164" s="209">
        <v>3619</v>
      </c>
      <c r="B164" s="1495">
        <v>502952</v>
      </c>
      <c r="C164" s="210" t="s">
        <v>202</v>
      </c>
      <c r="D164" s="473" t="s">
        <v>515</v>
      </c>
      <c r="E164" s="646">
        <f>'Mono 13,8kv'!DW286+'Mono 34,5kv'!DX286+'Trifásico 34,5kv'!EX286+'Trifásico 13,8kv '!EX286+REGULADORES!N286</f>
        <v>0</v>
      </c>
    </row>
    <row r="165" spans="1:8" s="212" customFormat="1" ht="14.25" customHeight="1">
      <c r="A165" s="209">
        <v>3618</v>
      </c>
      <c r="B165" s="209"/>
      <c r="C165" s="210" t="s">
        <v>200</v>
      </c>
      <c r="D165" s="473" t="s">
        <v>515</v>
      </c>
      <c r="E165" s="646">
        <f>'Mono 13,8kv'!DW287+'Mono 34,5kv'!DX287+'Trifásico 34,5kv'!EX287+'Trifásico 13,8kv '!EX287+REGULADORES!N287</f>
        <v>0</v>
      </c>
    </row>
    <row r="166" spans="1:8" s="212" customFormat="1" ht="14.25" customHeight="1">
      <c r="A166" s="209">
        <v>3621</v>
      </c>
      <c r="B166" s="209"/>
      <c r="C166" s="210" t="s">
        <v>201</v>
      </c>
      <c r="D166" s="473" t="s">
        <v>515</v>
      </c>
      <c r="E166" s="646">
        <f>'Mono 13,8kv'!DW288+'Mono 34,5kv'!DX288+'Trifásico 34,5kv'!EX288+'Trifásico 13,8kv '!EX288+REGULADORES!N288</f>
        <v>0</v>
      </c>
    </row>
    <row r="167" spans="1:8" s="212" customFormat="1" ht="14.25" customHeight="1">
      <c r="A167" s="209"/>
      <c r="B167" s="209"/>
      <c r="C167" s="210" t="s">
        <v>317</v>
      </c>
      <c r="D167" s="473" t="s">
        <v>515</v>
      </c>
      <c r="E167" s="646">
        <f>'Mono 13,8kv'!DW289+'Mono 34,5kv'!DX289+'Trifásico 34,5kv'!EX289+'Trifásico 13,8kv '!EX289+REGULADORES!N289</f>
        <v>0</v>
      </c>
    </row>
    <row r="168" spans="1:8" s="212" customFormat="1" ht="14.25" customHeight="1">
      <c r="A168" s="209">
        <v>4041</v>
      </c>
      <c r="B168" s="209"/>
      <c r="C168" s="210" t="s">
        <v>54</v>
      </c>
      <c r="D168" s="473" t="s">
        <v>515</v>
      </c>
      <c r="E168" s="646">
        <f>'Mono 13,8kv'!DW290+'Mono 34,5kv'!DX290+'Trifásico 34,5kv'!EX290+'Trifásico 13,8kv '!EX290+REGULADORES!N290</f>
        <v>0</v>
      </c>
    </row>
    <row r="169" spans="1:8" s="212" customFormat="1" ht="14.25" customHeight="1">
      <c r="A169" s="209">
        <v>3622</v>
      </c>
      <c r="B169" s="209"/>
      <c r="C169" s="210" t="s">
        <v>480</v>
      </c>
      <c r="D169" s="473" t="s">
        <v>515</v>
      </c>
      <c r="E169" s="646">
        <f>'Mono 13,8kv'!DW291+'Mono 34,5kv'!DX291+'Trifásico 34,5kv'!EX291+'Trifásico 13,8kv '!EX291+REGULADORES!N291</f>
        <v>0</v>
      </c>
    </row>
    <row r="170" spans="1:8" s="212" customFormat="1" ht="14.25" customHeight="1">
      <c r="A170" s="209">
        <v>3625</v>
      </c>
      <c r="B170" s="209"/>
      <c r="C170" s="210" t="s">
        <v>508</v>
      </c>
      <c r="D170" s="473" t="s">
        <v>515</v>
      </c>
      <c r="E170" s="646">
        <f>'Mono 13,8kv'!DW292+'Mono 34,5kv'!DX292+'Trifásico 34,5kv'!EX292+'Trifásico 13,8kv '!EX292+REGULADORES!N292</f>
        <v>0</v>
      </c>
    </row>
    <row r="171" spans="1:8" s="212" customFormat="1" ht="14.25" customHeight="1">
      <c r="A171" s="209">
        <v>3625</v>
      </c>
      <c r="B171" s="1495">
        <v>590443</v>
      </c>
      <c r="C171" s="210" t="s">
        <v>150</v>
      </c>
      <c r="D171" s="473" t="s">
        <v>515</v>
      </c>
      <c r="E171" s="646">
        <f>'Mono 13,8kv'!DW293+'Mono 34,5kv'!DX293+'Trifásico 34,5kv'!EX293+'Trifásico 13,8kv '!EX293+REGULADORES!N293</f>
        <v>0</v>
      </c>
    </row>
    <row r="172" spans="1:8" s="212" customFormat="1" ht="14.25" customHeight="1">
      <c r="A172" s="209">
        <v>3623</v>
      </c>
      <c r="B172" s="1495">
        <v>590440</v>
      </c>
      <c r="C172" s="210" t="s">
        <v>19</v>
      </c>
      <c r="D172" s="473" t="s">
        <v>515</v>
      </c>
      <c r="E172" s="646">
        <f>'Mono 13,8kv'!DW294+'Mono 34,5kv'!DX294+'Trifásico 34,5kv'!EX294+'Trifásico 13,8kv '!EX294+REGULADORES!N294</f>
        <v>0</v>
      </c>
      <c r="H172" s="1356"/>
    </row>
    <row r="173" spans="1:8" s="212" customFormat="1" ht="14.25" customHeight="1">
      <c r="A173" s="209">
        <v>4068</v>
      </c>
      <c r="B173" s="209"/>
      <c r="C173" s="210" t="s">
        <v>1204</v>
      </c>
      <c r="D173" s="473" t="s">
        <v>515</v>
      </c>
      <c r="E173" s="646">
        <f>'Mono 13,8kv'!DW295+'Mono 34,5kv'!DX295+'Trifásico 34,5kv'!EX295+'Trifásico 13,8kv '!EX295+REGULADORES!N295</f>
        <v>0</v>
      </c>
    </row>
    <row r="174" spans="1:8" s="212" customFormat="1" ht="14.25" customHeight="1">
      <c r="A174" s="209">
        <v>4069</v>
      </c>
      <c r="B174" s="209"/>
      <c r="C174" s="210" t="s">
        <v>1205</v>
      </c>
      <c r="D174" s="473" t="s">
        <v>515</v>
      </c>
      <c r="E174" s="646">
        <f>'Mono 13,8kv'!DW296+'Mono 34,5kv'!DX296+'Trifásico 34,5kv'!EX296+'Trifásico 13,8kv '!EX296+REGULADORES!N296</f>
        <v>0</v>
      </c>
    </row>
    <row r="175" spans="1:8" s="212" customFormat="1" ht="14.25" customHeight="1">
      <c r="A175" s="209"/>
      <c r="B175" s="209"/>
      <c r="C175" s="210" t="s">
        <v>1206</v>
      </c>
      <c r="D175" s="473" t="s">
        <v>515</v>
      </c>
      <c r="E175" s="646">
        <f>'Mono 13,8kv'!DW297+'Mono 34,5kv'!DX297+'Trifásico 34,5kv'!EX297+'Trifásico 13,8kv '!EX297+REGULADORES!N297</f>
        <v>0</v>
      </c>
    </row>
    <row r="176" spans="1:8" s="212" customFormat="1" ht="14.25" customHeight="1">
      <c r="A176" s="209"/>
      <c r="B176" s="209"/>
      <c r="C176" s="210" t="s">
        <v>1207</v>
      </c>
      <c r="D176" s="473" t="s">
        <v>515</v>
      </c>
      <c r="E176" s="646">
        <f>'Mono 13,8kv'!DW298+'Mono 34,5kv'!DX298+'Trifásico 34,5kv'!EX298+'Trifásico 13,8kv '!EX298+REGULADORES!N298</f>
        <v>0</v>
      </c>
    </row>
    <row r="177" spans="1:5" s="212" customFormat="1" ht="14.25" customHeight="1">
      <c r="A177" s="209"/>
      <c r="B177" s="209"/>
      <c r="C177" s="210" t="s">
        <v>1543</v>
      </c>
      <c r="D177" s="473" t="s">
        <v>515</v>
      </c>
      <c r="E177" s="646">
        <f>'Mono 13,8kv'!DW299+'Mono 34,5kv'!DX299+'Trifásico 34,5kv'!EX299+'Trifásico 13,8kv '!EX299+REGULADORES!N299</f>
        <v>0</v>
      </c>
    </row>
    <row r="178" spans="1:5" s="212" customFormat="1" ht="14.25" customHeight="1">
      <c r="A178" s="209"/>
      <c r="B178" s="209"/>
      <c r="C178" s="210" t="s">
        <v>1541</v>
      </c>
      <c r="D178" s="473" t="s">
        <v>515</v>
      </c>
      <c r="E178" s="646">
        <f>'Mono 13,8kv'!DW300+'Mono 34,5kv'!DX300+'Trifásico 34,5kv'!EX300+'Trifásico 13,8kv '!EX300+REGULADORES!N300</f>
        <v>0</v>
      </c>
    </row>
    <row r="179" spans="1:5" s="212" customFormat="1" ht="14.25" customHeight="1">
      <c r="A179" s="209">
        <v>3626</v>
      </c>
      <c r="B179" s="1495">
        <v>502955</v>
      </c>
      <c r="C179" s="210" t="s">
        <v>20</v>
      </c>
      <c r="D179" s="473" t="s">
        <v>515</v>
      </c>
      <c r="E179" s="646">
        <f>'Mono 13,8kv'!DW301+'Mono 34,5kv'!DX301+'Trifásico 34,5kv'!EX301+'Trifásico 13,8kv '!EX301+REGULADORES!N301</f>
        <v>0</v>
      </c>
    </row>
    <row r="180" spans="1:5" s="212" customFormat="1" ht="14.25" customHeight="1">
      <c r="A180" s="209">
        <v>3627</v>
      </c>
      <c r="B180" s="209"/>
      <c r="C180" s="1353" t="s">
        <v>1544</v>
      </c>
      <c r="D180" s="45" t="s">
        <v>0</v>
      </c>
      <c r="E180" s="646">
        <f>'Mono 13,8kv'!DW302+'Mono 34,5kv'!DX302+'Trifásico 34,5kv'!EX302+'Trifásico 13,8kv '!EX302+REGULADORES!N302</f>
        <v>0</v>
      </c>
    </row>
    <row r="181" spans="1:5" s="212" customFormat="1" ht="14.25" customHeight="1">
      <c r="A181" s="209">
        <v>3628</v>
      </c>
      <c r="B181" s="209"/>
      <c r="C181" s="1353" t="s">
        <v>1545</v>
      </c>
      <c r="D181" s="45" t="s">
        <v>0</v>
      </c>
      <c r="E181" s="646">
        <f>'Mono 13,8kv'!DW303+'Mono 34,5kv'!DX303+'Trifásico 34,5kv'!EX303+'Trifásico 13,8kv '!EX303+REGULADORES!N303</f>
        <v>0</v>
      </c>
    </row>
    <row r="182" spans="1:5" s="212" customFormat="1" ht="14.25" customHeight="1">
      <c r="A182" s="209">
        <v>3629</v>
      </c>
      <c r="B182" s="209"/>
      <c r="C182" s="1353" t="s">
        <v>1546</v>
      </c>
      <c r="D182" s="45" t="s">
        <v>0</v>
      </c>
      <c r="E182" s="646">
        <f>'Mono 13,8kv'!DW304+'Mono 34,5kv'!DX304+'Trifásico 34,5kv'!EX304+'Trifásico 13,8kv '!EX304+REGULADORES!N304</f>
        <v>0</v>
      </c>
    </row>
    <row r="183" spans="1:5" s="212" customFormat="1" ht="14.25" customHeight="1">
      <c r="A183" s="209">
        <v>3630</v>
      </c>
      <c r="B183" s="209"/>
      <c r="C183" s="1353" t="s">
        <v>1547</v>
      </c>
      <c r="D183" s="45" t="s">
        <v>0</v>
      </c>
      <c r="E183" s="646">
        <f>'Mono 13,8kv'!DW305+'Mono 34,5kv'!DX305+'Trifásico 34,5kv'!EX305+'Trifásico 13,8kv '!EX305+REGULADORES!N305</f>
        <v>0</v>
      </c>
    </row>
    <row r="184" spans="1:5" s="212" customFormat="1" ht="14.25" customHeight="1">
      <c r="A184" s="209">
        <v>4369</v>
      </c>
      <c r="B184" s="209"/>
      <c r="C184" s="1353" t="s">
        <v>1548</v>
      </c>
      <c r="D184" s="45" t="s">
        <v>0</v>
      </c>
      <c r="E184" s="646">
        <f>'Mono 13,8kv'!DW306+'Mono 34,5kv'!DX306+'Trifásico 34,5kv'!EX306+'Trifásico 13,8kv '!EX306+REGULADORES!N306</f>
        <v>0</v>
      </c>
    </row>
    <row r="185" spans="1:5" s="212" customFormat="1" ht="14.25" customHeight="1">
      <c r="A185" s="209">
        <v>4370</v>
      </c>
      <c r="B185" s="209"/>
      <c r="C185" s="1353" t="s">
        <v>1549</v>
      </c>
      <c r="D185" s="45" t="s">
        <v>0</v>
      </c>
      <c r="E185" s="646">
        <f>'Mono 13,8kv'!DW307+'Mono 34,5kv'!DX307+'Trifásico 34,5kv'!EX307+'Trifásico 13,8kv '!EX307+REGULADORES!N307</f>
        <v>0</v>
      </c>
    </row>
    <row r="186" spans="1:5" s="212" customFormat="1" ht="14.25" customHeight="1">
      <c r="A186" s="209"/>
      <c r="B186" s="209"/>
      <c r="C186" s="1353" t="s">
        <v>1550</v>
      </c>
      <c r="D186" s="45" t="s">
        <v>0</v>
      </c>
      <c r="E186" s="646">
        <f>'Mono 13,8kv'!DW308+'Mono 34,5kv'!DX308+'Trifásico 34,5kv'!EX308+'Trifásico 13,8kv '!EX308+REGULADORES!N308</f>
        <v>0</v>
      </c>
    </row>
    <row r="187" spans="1:5" s="212" customFormat="1" ht="14.25" customHeight="1">
      <c r="A187" s="209">
        <v>4368</v>
      </c>
      <c r="B187" s="209"/>
      <c r="C187" s="1353" t="s">
        <v>1551</v>
      </c>
      <c r="D187" s="45" t="s">
        <v>0</v>
      </c>
      <c r="E187" s="646">
        <f>'Mono 13,8kv'!DW309+'Mono 34,5kv'!DX309+'Trifásico 34,5kv'!EX309+'Trifásico 13,8kv '!EX309+REGULADORES!N309</f>
        <v>0</v>
      </c>
    </row>
    <row r="188" spans="1:5" s="212" customFormat="1" ht="14.25" customHeight="1">
      <c r="A188" s="209">
        <v>4494</v>
      </c>
      <c r="B188" s="209"/>
      <c r="C188" s="1353" t="s">
        <v>1561</v>
      </c>
      <c r="D188" s="45" t="s">
        <v>0</v>
      </c>
      <c r="E188" s="646">
        <f>'Mono 13,8kv'!DW310+'Mono 34,5kv'!DX310+'Trifásico 34,5kv'!EX310+'Trifásico 13,8kv '!EX310+REGULADORES!N310</f>
        <v>0</v>
      </c>
    </row>
    <row r="189" spans="1:5" s="212" customFormat="1" ht="14.25" customHeight="1">
      <c r="A189" s="209">
        <v>4269</v>
      </c>
      <c r="B189" s="209"/>
      <c r="C189" s="214" t="s">
        <v>305</v>
      </c>
      <c r="D189" s="473" t="s">
        <v>515</v>
      </c>
      <c r="E189" s="646">
        <f>'Mono 13,8kv'!DW311+'Mono 34,5kv'!DX311+'Trifásico 34,5kv'!EX311+'Trifásico 13,8kv '!EX311+REGULADORES!N311</f>
        <v>0</v>
      </c>
    </row>
    <row r="190" spans="1:5" s="212" customFormat="1" ht="14.25" customHeight="1">
      <c r="A190" s="209"/>
      <c r="B190" s="209"/>
      <c r="C190" s="214" t="s">
        <v>306</v>
      </c>
      <c r="D190" s="473" t="s">
        <v>515</v>
      </c>
      <c r="E190" s="646">
        <f>'Mono 13,8kv'!DW312+'Mono 34,5kv'!DX312+'Trifásico 34,5kv'!EX312+'Trifásico 13,8kv '!EX312+REGULADORES!N312</f>
        <v>0</v>
      </c>
    </row>
    <row r="191" spans="1:5" s="212" customFormat="1" ht="14.25" customHeight="1">
      <c r="A191" s="209"/>
      <c r="B191" s="209"/>
      <c r="C191" s="214" t="s">
        <v>399</v>
      </c>
      <c r="D191" s="473" t="s">
        <v>515</v>
      </c>
      <c r="E191" s="646">
        <f>'Mono 13,8kv'!DW313+'Mono 34,5kv'!DX313+'Trifásico 34,5kv'!EX313+'Trifásico 13,8kv '!EX313+REGULADORES!N313</f>
        <v>0</v>
      </c>
    </row>
    <row r="192" spans="1:5" s="212" customFormat="1" ht="14.25" customHeight="1">
      <c r="A192" s="209"/>
      <c r="B192" s="209"/>
      <c r="C192" s="210" t="s">
        <v>1511</v>
      </c>
      <c r="D192" s="473" t="s">
        <v>515</v>
      </c>
      <c r="E192" s="646">
        <f>'Mono 13,8kv'!DW314+'Mono 34,5kv'!DX314+'Trifásico 34,5kv'!EX314+'Trifásico 13,8kv '!EX314+REGULADORES!N314</f>
        <v>0</v>
      </c>
    </row>
    <row r="193" spans="1:5" s="212" customFormat="1" ht="14.25" customHeight="1">
      <c r="A193" s="209">
        <v>3631</v>
      </c>
      <c r="B193" s="209"/>
      <c r="C193" s="210" t="s">
        <v>952</v>
      </c>
      <c r="D193" s="473" t="s">
        <v>515</v>
      </c>
      <c r="E193" s="646">
        <f>'Mono 13,8kv'!DW315+'Mono 34,5kv'!DX315+'Trifásico 34,5kv'!EX315+'Trifásico 13,8kv '!EX315+REGULADORES!N315</f>
        <v>0</v>
      </c>
    </row>
    <row r="194" spans="1:5" s="212" customFormat="1" ht="14.25" customHeight="1">
      <c r="A194" s="209">
        <v>3632</v>
      </c>
      <c r="B194" s="1495">
        <v>590360</v>
      </c>
      <c r="C194" s="210" t="s">
        <v>151</v>
      </c>
      <c r="D194" s="473" t="s">
        <v>515</v>
      </c>
      <c r="E194" s="646">
        <f>'Mono 13,8kv'!DW316+'Mono 34,5kv'!DX316+'Trifásico 34,5kv'!EX316+'Trifásico 13,8kv '!EX316+REGULADORES!N316</f>
        <v>0</v>
      </c>
    </row>
    <row r="195" spans="1:5" s="212" customFormat="1" ht="14.25" customHeight="1">
      <c r="A195" s="209">
        <v>3633</v>
      </c>
      <c r="B195" s="209"/>
      <c r="C195" s="210" t="s">
        <v>219</v>
      </c>
      <c r="D195" s="473" t="s">
        <v>515</v>
      </c>
      <c r="E195" s="646">
        <f>'Mono 13,8kv'!DW317+'Mono 34,5kv'!DX317+'Trifásico 34,5kv'!EX317+'Trifásico 13,8kv '!EX317+REGULADORES!N317</f>
        <v>0</v>
      </c>
    </row>
    <row r="196" spans="1:5" s="212" customFormat="1" ht="14.25" customHeight="1">
      <c r="A196" s="209"/>
      <c r="B196" s="209"/>
      <c r="C196" s="210" t="s">
        <v>509</v>
      </c>
      <c r="D196" s="473" t="s">
        <v>515</v>
      </c>
      <c r="E196" s="646">
        <f>'Mono 13,8kv'!DW318+'Mono 34,5kv'!DX318+'Trifásico 34,5kv'!EX318+'Trifásico 13,8kv '!EX318+REGULADORES!N318</f>
        <v>0</v>
      </c>
    </row>
    <row r="197" spans="1:5" s="212" customFormat="1" ht="14.25" customHeight="1">
      <c r="A197" s="209">
        <v>3634</v>
      </c>
      <c r="B197" s="1495">
        <v>590362</v>
      </c>
      <c r="C197" s="210" t="s">
        <v>25</v>
      </c>
      <c r="D197" s="473" t="s">
        <v>515</v>
      </c>
      <c r="E197" s="646">
        <f>'Mono 13,8kv'!DW319+'Mono 34,5kv'!DX319+'Trifásico 34,5kv'!EX319+'Trifásico 13,8kv '!EX319+REGULADORES!N319</f>
        <v>0</v>
      </c>
    </row>
    <row r="198" spans="1:5" s="212" customFormat="1" ht="14.25" customHeight="1">
      <c r="A198" s="209">
        <v>3635</v>
      </c>
      <c r="B198" s="1495">
        <v>590363</v>
      </c>
      <c r="C198" s="210" t="s">
        <v>26</v>
      </c>
      <c r="D198" s="473" t="s">
        <v>515</v>
      </c>
      <c r="E198" s="646">
        <f>'Mono 13,8kv'!DW320+'Mono 34,5kv'!DX320+'Trifásico 34,5kv'!EX320+'Trifásico 13,8kv '!EX320+REGULADORES!N320</f>
        <v>0</v>
      </c>
    </row>
    <row r="199" spans="1:5" s="212" customFormat="1" ht="14.25" customHeight="1">
      <c r="A199" s="209">
        <v>3636</v>
      </c>
      <c r="B199" s="1495">
        <v>590364</v>
      </c>
      <c r="C199" s="210" t="s">
        <v>27</v>
      </c>
      <c r="D199" s="473" t="s">
        <v>515</v>
      </c>
      <c r="E199" s="646">
        <f>'Mono 13,8kv'!DW321+'Mono 34,5kv'!DX321+'Trifásico 34,5kv'!EX321+'Trifásico 13,8kv '!EX321+REGULADORES!N321</f>
        <v>0</v>
      </c>
    </row>
    <row r="200" spans="1:5" s="212" customFormat="1" ht="14.25" customHeight="1">
      <c r="A200" s="209">
        <v>3637</v>
      </c>
      <c r="B200" s="209"/>
      <c r="C200" s="210" t="s">
        <v>152</v>
      </c>
      <c r="D200" s="473" t="s">
        <v>515</v>
      </c>
      <c r="E200" s="646">
        <f>'Mono 13,8kv'!DW322+'Mono 34,5kv'!DX322+'Trifásico 34,5kv'!EX322+'Trifásico 13,8kv '!EX322+REGULADORES!N322</f>
        <v>0</v>
      </c>
    </row>
    <row r="201" spans="1:5" s="212" customFormat="1" ht="14.25" customHeight="1">
      <c r="A201" s="209"/>
      <c r="B201" s="209"/>
      <c r="C201" s="210" t="s">
        <v>1019</v>
      </c>
      <c r="D201" s="473" t="s">
        <v>515</v>
      </c>
      <c r="E201" s="646">
        <f>'Mono 13,8kv'!DW323+'Mono 34,5kv'!DX323+'Trifásico 34,5kv'!EX323+'Trifásico 13,8kv '!EX323+REGULADORES!N323</f>
        <v>0</v>
      </c>
    </row>
    <row r="202" spans="1:5" s="212" customFormat="1" ht="14.25" customHeight="1">
      <c r="A202" s="209">
        <v>4089</v>
      </c>
      <c r="B202" s="1495">
        <v>3081</v>
      </c>
      <c r="C202" s="210" t="s">
        <v>132</v>
      </c>
      <c r="D202" s="473" t="s">
        <v>515</v>
      </c>
      <c r="E202" s="646">
        <f>'Mono 13,8kv'!DW324+'Mono 34,5kv'!DX324+'Trifásico 34,5kv'!EX324+'Trifásico 13,8kv '!EX324+REGULADORES!N324</f>
        <v>0</v>
      </c>
    </row>
    <row r="203" spans="1:5" s="212" customFormat="1" ht="14.25" customHeight="1">
      <c r="A203" s="209">
        <v>3643</v>
      </c>
      <c r="B203" s="1495">
        <v>3083</v>
      </c>
      <c r="C203" s="210" t="s">
        <v>153</v>
      </c>
      <c r="D203" s="473" t="s">
        <v>515</v>
      </c>
      <c r="E203" s="646">
        <f>'Mono 13,8kv'!DW325+'Mono 34,5kv'!DX325+'Trifásico 34,5kv'!EX325+'Trifásico 13,8kv '!EX325+REGULADORES!N325</f>
        <v>0</v>
      </c>
    </row>
    <row r="204" spans="1:5" s="212" customFormat="1" ht="14.25" customHeight="1">
      <c r="A204" s="209"/>
      <c r="B204" s="1495">
        <v>3984</v>
      </c>
      <c r="C204" s="210" t="s">
        <v>1474</v>
      </c>
      <c r="D204" s="473" t="s">
        <v>0</v>
      </c>
      <c r="E204" s="646">
        <f>'Mono 13,8kv'!DW326+'Mono 34,5kv'!DX326+'Trifásico 34,5kv'!EX326+'Trifásico 13,8kv '!EX326+REGULADORES!N326</f>
        <v>0</v>
      </c>
    </row>
    <row r="205" spans="1:5" s="212" customFormat="1" ht="14.25" customHeight="1">
      <c r="A205" s="209">
        <v>3638</v>
      </c>
      <c r="B205" s="209"/>
      <c r="C205" s="210" t="s">
        <v>236</v>
      </c>
      <c r="D205" s="473" t="s">
        <v>515</v>
      </c>
      <c r="E205" s="646">
        <f>'Mono 13,8kv'!DW327+'Mono 34,5kv'!DX327+'Trifásico 34,5kv'!EX327+'Trifásico 13,8kv '!EX327+REGULADORES!N327</f>
        <v>0</v>
      </c>
    </row>
    <row r="206" spans="1:5" s="212" customFormat="1" ht="14.25" customHeight="1">
      <c r="A206" s="209">
        <v>3639</v>
      </c>
      <c r="B206" s="1495">
        <v>503014</v>
      </c>
      <c r="C206" s="210" t="s">
        <v>221</v>
      </c>
      <c r="D206" s="473" t="s">
        <v>515</v>
      </c>
      <c r="E206" s="646">
        <f>'Mono 13,8kv'!DW328+'Mono 34,5kv'!DX328+'Trifásico 34,5kv'!EX328+'Trifásico 13,8kv '!EX328+REGULADORES!N328</f>
        <v>0</v>
      </c>
    </row>
    <row r="207" spans="1:5" s="212" customFormat="1" ht="14.25" customHeight="1">
      <c r="A207" s="209">
        <v>3640</v>
      </c>
      <c r="B207" s="1495">
        <v>503013</v>
      </c>
      <c r="C207" s="210" t="s">
        <v>222</v>
      </c>
      <c r="D207" s="473" t="s">
        <v>515</v>
      </c>
      <c r="E207" s="646">
        <f>'Mono 13,8kv'!DW329+'Mono 34,5kv'!DX329+'Trifásico 34,5kv'!EX329+'Trifásico 13,8kv '!EX329+REGULADORES!N329</f>
        <v>0</v>
      </c>
    </row>
    <row r="208" spans="1:5" s="212" customFormat="1" ht="14.25" customHeight="1">
      <c r="A208" s="209">
        <v>3641</v>
      </c>
      <c r="B208" s="1495">
        <v>503015</v>
      </c>
      <c r="C208" s="210" t="s">
        <v>223</v>
      </c>
      <c r="D208" s="473" t="s">
        <v>515</v>
      </c>
      <c r="E208" s="646">
        <f>'Mono 13,8kv'!DW330+'Mono 34,5kv'!DX330+'Trifásico 34,5kv'!EX330+'Trifásico 13,8kv '!EX330+REGULADORES!N330</f>
        <v>0</v>
      </c>
    </row>
    <row r="209" spans="1:5" s="212" customFormat="1" ht="14.25" customHeight="1">
      <c r="A209" s="209">
        <v>3642</v>
      </c>
      <c r="B209" s="1495">
        <v>503016</v>
      </c>
      <c r="C209" s="210" t="s">
        <v>228</v>
      </c>
      <c r="D209" s="473" t="s">
        <v>515</v>
      </c>
      <c r="E209" s="646">
        <f>'Mono 13,8kv'!DW331+'Mono 34,5kv'!DX331+'Trifásico 34,5kv'!EX331+'Trifásico 13,8kv '!EX331+REGULADORES!N331</f>
        <v>0</v>
      </c>
    </row>
    <row r="210" spans="1:5" s="212" customFormat="1" ht="14.25" customHeight="1">
      <c r="A210" s="209"/>
      <c r="B210" s="209"/>
      <c r="C210" s="210" t="s">
        <v>1476</v>
      </c>
      <c r="D210" s="473" t="s">
        <v>515</v>
      </c>
      <c r="E210" s="646">
        <f>'Mono 13,8kv'!DW332+'Mono 34,5kv'!DX332+'Trifásico 34,5kv'!EX332+'Trifásico 13,8kv '!EX332+REGULADORES!N332</f>
        <v>0</v>
      </c>
    </row>
    <row r="211" spans="1:5" s="212" customFormat="1" ht="14.25" customHeight="1">
      <c r="A211" s="209"/>
      <c r="B211" s="1495">
        <v>250</v>
      </c>
      <c r="C211" s="210" t="s">
        <v>1477</v>
      </c>
      <c r="D211" s="473" t="s">
        <v>515</v>
      </c>
      <c r="E211" s="646">
        <f>'Mono 13,8kv'!DW333+'Mono 34,5kv'!DX333+'Trifásico 34,5kv'!EX333+'Trifásico 13,8kv '!EX333+REGULADORES!N333</f>
        <v>0</v>
      </c>
    </row>
    <row r="212" spans="1:5" s="212" customFormat="1" ht="14.25" customHeight="1">
      <c r="A212" s="209">
        <v>3645</v>
      </c>
      <c r="B212" s="209"/>
      <c r="C212" s="210" t="s">
        <v>162</v>
      </c>
      <c r="D212" s="473" t="s">
        <v>515</v>
      </c>
      <c r="E212" s="646">
        <f>'Mono 13,8kv'!DW334+'Mono 34,5kv'!DX334+'Trifásico 34,5kv'!EX334+'Trifásico 13,8kv '!EX334+REGULADORES!N334</f>
        <v>0</v>
      </c>
    </row>
    <row r="213" spans="1:5" s="212" customFormat="1" ht="14.25" customHeight="1">
      <c r="A213" s="209">
        <v>3646</v>
      </c>
      <c r="B213" s="209"/>
      <c r="C213" s="210" t="s">
        <v>69</v>
      </c>
      <c r="D213" s="473" t="s">
        <v>515</v>
      </c>
      <c r="E213" s="646">
        <f>'Mono 13,8kv'!DW335+'Mono 34,5kv'!DX335+'Trifásico 34,5kv'!EX335+'Trifásico 13,8kv '!EX335+REGULADORES!N335</f>
        <v>0</v>
      </c>
    </row>
    <row r="214" spans="1:5" s="212" customFormat="1" ht="14.25" customHeight="1">
      <c r="A214" s="209">
        <v>3648</v>
      </c>
      <c r="B214" s="167">
        <v>502963</v>
      </c>
      <c r="C214" s="210" t="s">
        <v>1706</v>
      </c>
      <c r="D214" s="473" t="s">
        <v>515</v>
      </c>
      <c r="E214" s="646">
        <f>'Mono 13,8kv'!DW336+'Mono 34,5kv'!DX336+'Trifásico 34,5kv'!EX336+'Trifásico 13,8kv '!EX336+REGULADORES!N336</f>
        <v>0</v>
      </c>
    </row>
    <row r="215" spans="1:5" s="212" customFormat="1" ht="14.25" customHeight="1">
      <c r="A215" s="209">
        <v>3649</v>
      </c>
      <c r="B215" s="167">
        <v>590251</v>
      </c>
      <c r="C215" s="210" t="s">
        <v>1707</v>
      </c>
      <c r="D215" s="473" t="s">
        <v>515</v>
      </c>
      <c r="E215" s="646">
        <f>'Mono 13,8kv'!DW337+'Mono 34,5kv'!DX337+'Trifásico 34,5kv'!EX337+'Trifásico 13,8kv '!EX337+REGULADORES!N337</f>
        <v>0</v>
      </c>
    </row>
    <row r="216" spans="1:5" s="212" customFormat="1" ht="14.25" customHeight="1">
      <c r="A216" s="209">
        <v>4194</v>
      </c>
      <c r="B216" s="167">
        <v>502961</v>
      </c>
      <c r="C216" s="210" t="s">
        <v>1708</v>
      </c>
      <c r="D216" s="473" t="s">
        <v>515</v>
      </c>
      <c r="E216" s="646">
        <f>'Mono 13,8kv'!DW338+'Mono 34,5kv'!DX338+'Trifásico 34,5kv'!EX338+'Trifásico 13,8kv '!EX338+REGULADORES!N338</f>
        <v>0</v>
      </c>
    </row>
    <row r="217" spans="1:5" s="212" customFormat="1" ht="14.25" customHeight="1">
      <c r="A217" s="209">
        <v>4127</v>
      </c>
      <c r="B217" s="1495">
        <v>2962</v>
      </c>
      <c r="C217" s="210" t="s">
        <v>1709</v>
      </c>
      <c r="D217" s="473" t="s">
        <v>515</v>
      </c>
      <c r="E217" s="646">
        <f>'Mono 13,8kv'!DW339+'Mono 34,5kv'!DX339+'Trifásico 34,5kv'!EX339+'Trifásico 13,8kv '!EX339+REGULADORES!N339</f>
        <v>0</v>
      </c>
    </row>
    <row r="218" spans="1:5" s="212" customFormat="1" ht="14.25" customHeight="1">
      <c r="A218" s="209">
        <v>3651</v>
      </c>
      <c r="B218" s="1495">
        <v>3018</v>
      </c>
      <c r="C218" s="210" t="s">
        <v>39</v>
      </c>
      <c r="D218" s="473" t="s">
        <v>515</v>
      </c>
      <c r="E218" s="646">
        <f>'Mono 13,8kv'!DW340+'Mono 34,5kv'!DX340+'Trifásico 34,5kv'!EX340+'Trifásico 13,8kv '!EX340+REGULADORES!N340</f>
        <v>0</v>
      </c>
    </row>
    <row r="219" spans="1:5" s="212" customFormat="1" ht="14.25" customHeight="1">
      <c r="A219" s="209">
        <v>4174</v>
      </c>
      <c r="B219" s="1495">
        <v>3008</v>
      </c>
      <c r="C219" s="210" t="s">
        <v>30</v>
      </c>
      <c r="D219" s="473" t="s">
        <v>515</v>
      </c>
      <c r="E219" s="646">
        <f>'Mono 13,8kv'!DW341+'Mono 34,5kv'!DX341+'Trifásico 34,5kv'!EX341+'Trifásico 13,8kv '!EX341+REGULADORES!N341</f>
        <v>0</v>
      </c>
    </row>
    <row r="220" spans="1:5" s="212" customFormat="1" ht="14.25" customHeight="1">
      <c r="A220" s="209">
        <v>4190</v>
      </c>
      <c r="B220" s="209"/>
      <c r="C220" s="210" t="s">
        <v>31</v>
      </c>
      <c r="D220" s="473" t="s">
        <v>515</v>
      </c>
      <c r="E220" s="646">
        <f>'Mono 13,8kv'!DW342+'Mono 34,5kv'!DX342+'Trifásico 34,5kv'!EX342+'Trifásico 13,8kv '!EX342+REGULADORES!N342</f>
        <v>0</v>
      </c>
    </row>
    <row r="221" spans="1:5" s="212" customFormat="1" ht="14.25" customHeight="1">
      <c r="A221" s="209">
        <v>3712</v>
      </c>
      <c r="B221" s="1495">
        <v>2998</v>
      </c>
      <c r="C221" s="210" t="s">
        <v>41</v>
      </c>
      <c r="D221" s="473" t="s">
        <v>515</v>
      </c>
      <c r="E221" s="646">
        <f>'Mono 13,8kv'!DW343+'Mono 34,5kv'!DX343+'Trifásico 34,5kv'!EX343+'Trifásico 13,8kv '!EX343+REGULADORES!N343</f>
        <v>0</v>
      </c>
    </row>
    <row r="222" spans="1:5" s="212" customFormat="1" ht="14.25" customHeight="1">
      <c r="A222" s="209">
        <v>3652</v>
      </c>
      <c r="B222" s="1495">
        <v>238</v>
      </c>
      <c r="C222" s="210" t="s">
        <v>98</v>
      </c>
      <c r="D222" s="473" t="s">
        <v>515</v>
      </c>
      <c r="E222" s="646">
        <f>'Mono 13,8kv'!DW344+'Mono 34,5kv'!DX344+'Trifásico 34,5kv'!EX344+'Trifásico 13,8kv '!EX344+REGULADORES!N344</f>
        <v>0</v>
      </c>
    </row>
    <row r="223" spans="1:5" s="212" customFormat="1" ht="14.25" customHeight="1">
      <c r="A223" s="209">
        <v>3656</v>
      </c>
      <c r="B223" s="1495">
        <v>3009</v>
      </c>
      <c r="C223" s="210" t="s">
        <v>99</v>
      </c>
      <c r="D223" s="473" t="s">
        <v>515</v>
      </c>
      <c r="E223" s="646">
        <f>'Mono 13,8kv'!DW345+'Mono 34,5kv'!DX345+'Trifásico 34,5kv'!EX345+'Trifásico 13,8kv '!EX345+REGULADORES!N345</f>
        <v>0</v>
      </c>
    </row>
    <row r="224" spans="1:5" s="212" customFormat="1" ht="14.25" customHeight="1">
      <c r="A224" s="209">
        <v>3657</v>
      </c>
      <c r="B224" s="1495">
        <v>2999</v>
      </c>
      <c r="C224" s="210" t="s">
        <v>102</v>
      </c>
      <c r="D224" s="473" t="s">
        <v>515</v>
      </c>
      <c r="E224" s="646">
        <f>'Mono 13,8kv'!DW346+'Mono 34,5kv'!DX346+'Trifásico 34,5kv'!EX346+'Trifásico 13,8kv '!EX346+REGULADORES!N346</f>
        <v>0</v>
      </c>
    </row>
    <row r="225" spans="1:5" s="212" customFormat="1" ht="14.25" customHeight="1">
      <c r="A225" s="209">
        <v>3658</v>
      </c>
      <c r="B225" s="1495">
        <v>3000</v>
      </c>
      <c r="C225" s="210" t="s">
        <v>103</v>
      </c>
      <c r="D225" s="473" t="s">
        <v>515</v>
      </c>
      <c r="E225" s="646">
        <f>'Mono 13,8kv'!DW347+'Mono 34,5kv'!DX347+'Trifásico 34,5kv'!EX347+'Trifásico 13,8kv '!EX347+REGULADORES!N347</f>
        <v>0</v>
      </c>
    </row>
    <row r="226" spans="1:5" s="212" customFormat="1" ht="14.25" customHeight="1">
      <c r="A226" s="209">
        <v>3655</v>
      </c>
      <c r="B226" s="1495">
        <v>90196</v>
      </c>
      <c r="C226" s="210" t="s">
        <v>104</v>
      </c>
      <c r="D226" s="473" t="s">
        <v>515</v>
      </c>
      <c r="E226" s="646">
        <f>'Mono 13,8kv'!DW348+'Mono 34,5kv'!DX348+'Trifásico 34,5kv'!EX348+'Trifásico 13,8kv '!EX348+REGULADORES!N348</f>
        <v>0</v>
      </c>
    </row>
    <row r="227" spans="1:5" s="212" customFormat="1" ht="14.25" customHeight="1">
      <c r="A227" s="209">
        <v>3660</v>
      </c>
      <c r="B227" s="209"/>
      <c r="C227" s="210" t="s">
        <v>105</v>
      </c>
      <c r="D227" s="473" t="s">
        <v>515</v>
      </c>
      <c r="E227" s="646">
        <f>'Mono 13,8kv'!DW349+'Mono 34,5kv'!DX349+'Trifásico 34,5kv'!EX349+'Trifásico 13,8kv '!EX349+REGULADORES!N349</f>
        <v>0</v>
      </c>
    </row>
    <row r="228" spans="1:5" s="212" customFormat="1" ht="14.25" customHeight="1">
      <c r="A228" s="209">
        <v>3661</v>
      </c>
      <c r="B228" s="209"/>
      <c r="C228" s="210" t="s">
        <v>106</v>
      </c>
      <c r="D228" s="473" t="s">
        <v>515</v>
      </c>
      <c r="E228" s="646">
        <f>'Mono 13,8kv'!DW350+'Mono 34,5kv'!DX350+'Trifásico 34,5kv'!EX350+'Trifásico 13,8kv '!EX350+REGULADORES!N350</f>
        <v>0</v>
      </c>
    </row>
    <row r="229" spans="1:5" s="212" customFormat="1" ht="14.25" customHeight="1">
      <c r="A229" s="209">
        <v>3659</v>
      </c>
      <c r="B229" s="209"/>
      <c r="C229" s="210" t="s">
        <v>107</v>
      </c>
      <c r="D229" s="473" t="s">
        <v>515</v>
      </c>
      <c r="E229" s="646">
        <f>'Mono 13,8kv'!DW351+'Mono 34,5kv'!DX351+'Trifásico 34,5kv'!EX351+'Trifásico 13,8kv '!EX351+REGULADORES!N351</f>
        <v>0</v>
      </c>
    </row>
    <row r="230" spans="1:5" s="212" customFormat="1" ht="14.25" customHeight="1">
      <c r="A230" s="209">
        <v>3958</v>
      </c>
      <c r="B230" s="209"/>
      <c r="C230" s="210" t="s">
        <v>401</v>
      </c>
      <c r="D230" s="473" t="s">
        <v>515</v>
      </c>
      <c r="E230" s="646">
        <f>'Mono 13,8kv'!DW352+'Mono 34,5kv'!DX352+'Trifásico 34,5kv'!EX352+'Trifásico 13,8kv '!EX352+REGULADORES!N352</f>
        <v>0</v>
      </c>
    </row>
    <row r="231" spans="1:5" s="212" customFormat="1" ht="14.25" customHeight="1">
      <c r="A231" s="209">
        <v>3958</v>
      </c>
      <c r="B231" s="209"/>
      <c r="C231" s="210" t="s">
        <v>402</v>
      </c>
      <c r="D231" s="473" t="s">
        <v>515</v>
      </c>
      <c r="E231" s="646">
        <f>'Mono 13,8kv'!DW353+'Mono 34,5kv'!DX353+'Trifásico 34,5kv'!EX353+'Trifásico 13,8kv '!EX353+REGULADORES!N353</f>
        <v>0</v>
      </c>
    </row>
    <row r="232" spans="1:5" s="212" customFormat="1" ht="14.25" customHeight="1">
      <c r="A232" s="209">
        <v>4298</v>
      </c>
      <c r="B232" s="209"/>
      <c r="C232" s="210" t="s">
        <v>403</v>
      </c>
      <c r="D232" s="473" t="s">
        <v>515</v>
      </c>
      <c r="E232" s="646">
        <f>'Mono 13,8kv'!DW354+'Mono 34,5kv'!DX354+'Trifásico 34,5kv'!EX354+'Trifásico 13,8kv '!EX354+REGULADORES!N354</f>
        <v>0</v>
      </c>
    </row>
    <row r="233" spans="1:5" s="212" customFormat="1" ht="14.25" customHeight="1">
      <c r="A233" s="209">
        <v>4174</v>
      </c>
      <c r="B233" s="209"/>
      <c r="C233" s="210" t="s">
        <v>108</v>
      </c>
      <c r="D233" s="473" t="s">
        <v>515</v>
      </c>
      <c r="E233" s="646">
        <f>'Mono 13,8kv'!DW355+'Mono 34,5kv'!DX355+'Trifásico 34,5kv'!EX355+'Trifásico 13,8kv '!EX355+REGULADORES!N355</f>
        <v>0</v>
      </c>
    </row>
    <row r="234" spans="1:5" s="212" customFormat="1" ht="14.25" customHeight="1">
      <c r="A234" s="209">
        <v>4043</v>
      </c>
      <c r="B234" s="209"/>
      <c r="C234" s="210" t="s">
        <v>109</v>
      </c>
      <c r="D234" s="473" t="s">
        <v>515</v>
      </c>
      <c r="E234" s="646">
        <f>'Mono 13,8kv'!DW356+'Mono 34,5kv'!DX356+'Trifásico 34,5kv'!EX356+'Trifásico 13,8kv '!EX356+REGULADORES!N356</f>
        <v>0</v>
      </c>
    </row>
    <row r="235" spans="1:5" s="212" customFormat="1" ht="14.25" customHeight="1">
      <c r="A235" s="209">
        <v>3663</v>
      </c>
      <c r="B235" s="209"/>
      <c r="C235" s="210" t="s">
        <v>32</v>
      </c>
      <c r="D235" s="473" t="s">
        <v>515</v>
      </c>
      <c r="E235" s="646">
        <f>'Mono 13,8kv'!DW357+'Mono 34,5kv'!DX357+'Trifásico 34,5kv'!EX357+'Trifásico 13,8kv '!EX357+REGULADORES!N357</f>
        <v>0</v>
      </c>
    </row>
    <row r="236" spans="1:5" s="212" customFormat="1" ht="14.25" customHeight="1">
      <c r="A236" s="209">
        <v>3662</v>
      </c>
      <c r="B236" s="209"/>
      <c r="C236" s="210" t="s">
        <v>110</v>
      </c>
      <c r="D236" s="473" t="s">
        <v>515</v>
      </c>
      <c r="E236" s="646">
        <f>'Mono 13,8kv'!DW358+'Mono 34,5kv'!DX358+'Trifásico 34,5kv'!EX358+'Trifásico 13,8kv '!EX358+REGULADORES!N358</f>
        <v>0</v>
      </c>
    </row>
    <row r="237" spans="1:5" s="212" customFormat="1" ht="14.25" customHeight="1">
      <c r="A237" s="209">
        <v>3656</v>
      </c>
      <c r="B237" s="209"/>
      <c r="C237" s="210" t="s">
        <v>111</v>
      </c>
      <c r="D237" s="473" t="s">
        <v>515</v>
      </c>
      <c r="E237" s="646">
        <f>'Mono 13,8kv'!DW359+'Mono 34,5kv'!DX359+'Trifásico 34,5kv'!EX359+'Trifásico 13,8kv '!EX359+REGULADORES!N359</f>
        <v>0</v>
      </c>
    </row>
    <row r="238" spans="1:5" s="212" customFormat="1" ht="14.25" customHeight="1">
      <c r="A238" s="209">
        <v>4044</v>
      </c>
      <c r="B238" s="209"/>
      <c r="C238" s="210" t="s">
        <v>112</v>
      </c>
      <c r="D238" s="473" t="s">
        <v>515</v>
      </c>
      <c r="E238" s="646">
        <f>'Mono 13,8kv'!DW360+'Mono 34,5kv'!DX360+'Trifásico 34,5kv'!EX360+'Trifásico 13,8kv '!EX360+REGULADORES!N360</f>
        <v>0</v>
      </c>
    </row>
    <row r="239" spans="1:5" s="212" customFormat="1" ht="14.25" customHeight="1">
      <c r="A239" s="209">
        <v>3665</v>
      </c>
      <c r="B239" s="209"/>
      <c r="C239" s="210" t="s">
        <v>38</v>
      </c>
      <c r="D239" s="473" t="s">
        <v>515</v>
      </c>
      <c r="E239" s="646">
        <f>'Mono 13,8kv'!DW361+'Mono 34,5kv'!DX361+'Trifásico 34,5kv'!EX361+'Trifásico 13,8kv '!EX361+REGULADORES!N361</f>
        <v>0</v>
      </c>
    </row>
    <row r="240" spans="1:5" s="212" customFormat="1" ht="14.25" customHeight="1">
      <c r="A240" s="209">
        <v>3664</v>
      </c>
      <c r="B240" s="1495">
        <v>90196</v>
      </c>
      <c r="C240" s="210" t="s">
        <v>113</v>
      </c>
      <c r="D240" s="473" t="s">
        <v>515</v>
      </c>
      <c r="E240" s="646">
        <f>'Mono 13,8kv'!DW362+'Mono 34,5kv'!DX362+'Trifásico 34,5kv'!EX362+'Trifásico 13,8kv '!EX362+REGULADORES!N362</f>
        <v>0</v>
      </c>
    </row>
    <row r="241" spans="1:5" s="212" customFormat="1" ht="14.25" customHeight="1">
      <c r="A241" s="209">
        <v>3660</v>
      </c>
      <c r="B241" s="1034"/>
      <c r="C241" s="210" t="s">
        <v>114</v>
      </c>
      <c r="D241" s="473" t="s">
        <v>515</v>
      </c>
      <c r="E241" s="646">
        <f>'Mono 13,8kv'!DW363+'Mono 34,5kv'!DX363+'Trifásico 34,5kv'!EX363+'Trifásico 13,8kv '!EX363+REGULADORES!N363</f>
        <v>0</v>
      </c>
    </row>
    <row r="242" spans="1:5" s="212" customFormat="1" ht="14.25" customHeight="1">
      <c r="A242" s="209">
        <v>3661</v>
      </c>
      <c r="B242" s="1034"/>
      <c r="C242" s="210" t="s">
        <v>115</v>
      </c>
      <c r="D242" s="473" t="s">
        <v>515</v>
      </c>
      <c r="E242" s="646">
        <f>'Mono 13,8kv'!DW364+'Mono 34,5kv'!DX364+'Trifásico 34,5kv'!EX364+'Trifásico 13,8kv '!EX364+REGULADORES!N364</f>
        <v>0</v>
      </c>
    </row>
    <row r="243" spans="1:5" s="212" customFormat="1" ht="14.25" customHeight="1">
      <c r="A243" s="209">
        <v>3659</v>
      </c>
      <c r="B243" s="1495">
        <v>90187</v>
      </c>
      <c r="C243" s="210" t="s">
        <v>116</v>
      </c>
      <c r="D243" s="473" t="s">
        <v>515</v>
      </c>
      <c r="E243" s="646">
        <f>'Mono 13,8kv'!DW365+'Mono 34,5kv'!DX365+'Trifásico 34,5kv'!EX365+'Trifásico 13,8kv '!EX365+REGULADORES!N365</f>
        <v>0</v>
      </c>
    </row>
    <row r="244" spans="1:5" s="212" customFormat="1" ht="14.25" customHeight="1">
      <c r="A244" s="209">
        <v>3958</v>
      </c>
      <c r="B244" s="209"/>
      <c r="C244" s="210" t="s">
        <v>404</v>
      </c>
      <c r="D244" s="473" t="s">
        <v>515</v>
      </c>
      <c r="E244" s="646">
        <f>'Mono 13,8kv'!DW366+'Mono 34,5kv'!DX366+'Trifásico 34,5kv'!EX366+'Trifásico 13,8kv '!EX366+REGULADORES!N366</f>
        <v>0</v>
      </c>
    </row>
    <row r="245" spans="1:5" s="212" customFormat="1" ht="14.25" customHeight="1">
      <c r="A245" s="209">
        <v>4257</v>
      </c>
      <c r="B245" s="209"/>
      <c r="C245" s="210" t="s">
        <v>405</v>
      </c>
      <c r="D245" s="473" t="s">
        <v>515</v>
      </c>
      <c r="E245" s="646">
        <f>'Mono 13,8kv'!DW367+'Mono 34,5kv'!DX367+'Trifásico 34,5kv'!EX367+'Trifásico 13,8kv '!EX367+REGULADORES!N367</f>
        <v>0</v>
      </c>
    </row>
    <row r="246" spans="1:5" s="212" customFormat="1" ht="14.25" customHeight="1">
      <c r="A246" s="209">
        <v>4298</v>
      </c>
      <c r="B246" s="209"/>
      <c r="C246" s="210" t="s">
        <v>406</v>
      </c>
      <c r="D246" s="473" t="s">
        <v>515</v>
      </c>
      <c r="E246" s="646">
        <f>'Mono 13,8kv'!DW368+'Mono 34,5kv'!DX368+'Trifásico 34,5kv'!EX368+'Trifásico 13,8kv '!EX368+REGULADORES!N368</f>
        <v>0</v>
      </c>
    </row>
    <row r="247" spans="1:5" s="212" customFormat="1" ht="14.25" customHeight="1">
      <c r="A247" s="209">
        <v>3666</v>
      </c>
      <c r="B247" s="209"/>
      <c r="C247" s="210" t="s">
        <v>33</v>
      </c>
      <c r="D247" s="473" t="s">
        <v>515</v>
      </c>
      <c r="E247" s="646">
        <f>'Mono 13,8kv'!DW369+'Mono 34,5kv'!DX369+'Trifásico 34,5kv'!EX369+'Trifásico 13,8kv '!EX369+REGULADORES!N369</f>
        <v>0</v>
      </c>
    </row>
    <row r="248" spans="1:5" s="212" customFormat="1" ht="14.25" customHeight="1">
      <c r="A248" s="209"/>
      <c r="B248" s="209"/>
      <c r="C248" s="210" t="s">
        <v>1512</v>
      </c>
      <c r="D248" s="473" t="s">
        <v>0</v>
      </c>
      <c r="E248" s="646">
        <f>'Mono 13,8kv'!DW370+'Mono 34,5kv'!DX370+'Trifásico 34,5kv'!EX370+'Trifásico 13,8kv '!EX370+REGULADORES!N370</f>
        <v>0</v>
      </c>
    </row>
    <row r="249" spans="1:5" s="212" customFormat="1" ht="14.25" customHeight="1">
      <c r="A249" s="209"/>
      <c r="B249" s="209"/>
      <c r="C249" s="210" t="s">
        <v>1513</v>
      </c>
      <c r="D249" s="473" t="s">
        <v>0</v>
      </c>
      <c r="E249" s="646">
        <f>'Mono 13,8kv'!DW371+'Mono 34,5kv'!DX371+'Trifásico 34,5kv'!EX371+'Trifásico 13,8kv '!EX371+REGULADORES!N371</f>
        <v>0</v>
      </c>
    </row>
    <row r="250" spans="1:5" s="212" customFormat="1" ht="14.25" customHeight="1">
      <c r="A250" s="209"/>
      <c r="B250" s="209"/>
      <c r="C250" s="210" t="s">
        <v>1514</v>
      </c>
      <c r="D250" s="473" t="s">
        <v>0</v>
      </c>
      <c r="E250" s="646">
        <f>'Mono 13,8kv'!DW372+'Mono 34,5kv'!DX372+'Trifásico 34,5kv'!EX372+'Trifásico 13,8kv '!EX372+REGULADORES!N372</f>
        <v>0</v>
      </c>
    </row>
    <row r="251" spans="1:5" s="212" customFormat="1" ht="14.25" customHeight="1">
      <c r="A251" s="209">
        <v>4055</v>
      </c>
      <c r="B251" s="209"/>
      <c r="C251" s="210" t="s">
        <v>225</v>
      </c>
      <c r="D251" s="473" t="s">
        <v>515</v>
      </c>
      <c r="E251" s="646">
        <f>'Mono 13,8kv'!DW373+'Mono 34,5kv'!DX373+'Trifásico 34,5kv'!EX373+'Trifásico 13,8kv '!EX373+REGULADORES!N373</f>
        <v>0</v>
      </c>
    </row>
    <row r="252" spans="1:5" s="212" customFormat="1" ht="14.25" customHeight="1">
      <c r="A252" s="209">
        <v>3668</v>
      </c>
      <c r="B252" s="209"/>
      <c r="C252" s="210" t="s">
        <v>34</v>
      </c>
      <c r="D252" s="473" t="s">
        <v>515</v>
      </c>
      <c r="E252" s="646">
        <f>'Mono 13,8kv'!DW374+'Mono 34,5kv'!DX374+'Trifásico 34,5kv'!EX374+'Trifásico 13,8kv '!EX374+REGULADORES!N374</f>
        <v>0</v>
      </c>
    </row>
    <row r="253" spans="1:5" s="212" customFormat="1" ht="14.25" customHeight="1">
      <c r="A253" s="209">
        <v>3669</v>
      </c>
      <c r="B253" s="167">
        <v>590410</v>
      </c>
      <c r="C253" s="210" t="s">
        <v>230</v>
      </c>
      <c r="D253" s="473" t="s">
        <v>515</v>
      </c>
      <c r="E253" s="646">
        <f>'Mono 13,8kv'!DW375+'Mono 34,5kv'!DX375+'Trifásico 34,5kv'!EX375+'Trifásico 13,8kv '!EX375+REGULADORES!N375</f>
        <v>0</v>
      </c>
    </row>
    <row r="254" spans="1:5" s="212" customFormat="1" ht="14.25" customHeight="1">
      <c r="A254" s="209">
        <v>3670</v>
      </c>
      <c r="B254" s="209"/>
      <c r="C254" s="210" t="s">
        <v>238</v>
      </c>
      <c r="D254" s="473" t="s">
        <v>515</v>
      </c>
      <c r="E254" s="646">
        <f>'Mono 13,8kv'!DW376+'Mono 34,5kv'!DX376+'Trifásico 34,5kv'!EX376+'Trifásico 13,8kv '!EX376+REGULADORES!N376</f>
        <v>0</v>
      </c>
    </row>
    <row r="255" spans="1:5" s="212" customFormat="1" ht="14.25" customHeight="1">
      <c r="A255" s="209">
        <v>3670</v>
      </c>
      <c r="B255" s="209"/>
      <c r="C255" s="210" t="s">
        <v>239</v>
      </c>
      <c r="D255" s="473" t="s">
        <v>515</v>
      </c>
      <c r="E255" s="646">
        <f>'Mono 13,8kv'!DW377+'Mono 34,5kv'!DX377+'Trifásico 34,5kv'!EX377+'Trifásico 13,8kv '!EX377+REGULADORES!N377</f>
        <v>0</v>
      </c>
    </row>
    <row r="256" spans="1:5" s="212" customFormat="1" ht="14.25" customHeight="1">
      <c r="A256" s="209">
        <v>3670</v>
      </c>
      <c r="B256" s="209"/>
      <c r="C256" s="210" t="s">
        <v>240</v>
      </c>
      <c r="D256" s="473" t="s">
        <v>515</v>
      </c>
      <c r="E256" s="646">
        <f>'Mono 13,8kv'!DW378+'Mono 34,5kv'!DX378+'Trifásico 34,5kv'!EX378+'Trifásico 13,8kv '!EX378+REGULADORES!N378</f>
        <v>0</v>
      </c>
    </row>
    <row r="257" spans="1:5" s="212" customFormat="1" ht="14.25" customHeight="1">
      <c r="A257" s="209">
        <v>3670</v>
      </c>
      <c r="B257" s="209"/>
      <c r="C257" s="210" t="s">
        <v>1515</v>
      </c>
      <c r="D257" s="473" t="s">
        <v>0</v>
      </c>
      <c r="E257" s="646">
        <f>'Mono 13,8kv'!DW379+'Mono 34,5kv'!DX379+'Trifásico 34,5kv'!EX379+'Trifásico 13,8kv '!EX379+REGULADORES!N379</f>
        <v>0</v>
      </c>
    </row>
    <row r="258" spans="1:5" s="212" customFormat="1" ht="14.25" customHeight="1">
      <c r="A258" s="209">
        <v>3670</v>
      </c>
      <c r="B258" s="209"/>
      <c r="C258" s="210" t="s">
        <v>241</v>
      </c>
      <c r="D258" s="473" t="s">
        <v>515</v>
      </c>
      <c r="E258" s="646">
        <f>'Mono 13,8kv'!DW380+'Mono 34,5kv'!DX380+'Trifásico 34,5kv'!EX380+'Trifásico 13,8kv '!EX380+REGULADORES!N380</f>
        <v>0</v>
      </c>
    </row>
    <row r="259" spans="1:5" s="212" customFormat="1" ht="14.25" customHeight="1">
      <c r="A259" s="209">
        <v>3671</v>
      </c>
      <c r="B259" s="209"/>
      <c r="C259" s="210" t="s">
        <v>237</v>
      </c>
      <c r="D259" s="473" t="s">
        <v>515</v>
      </c>
      <c r="E259" s="646">
        <f>'Mono 13,8kv'!DW381+'Mono 34,5kv'!DX381+'Trifásico 34,5kv'!EX381+'Trifásico 13,8kv '!EX381+REGULADORES!N381</f>
        <v>0</v>
      </c>
    </row>
    <row r="260" spans="1:5" s="212" customFormat="1" ht="14.25" customHeight="1">
      <c r="A260" s="209"/>
      <c r="B260" s="209"/>
      <c r="C260" s="210" t="s">
        <v>1516</v>
      </c>
      <c r="D260" s="473" t="s">
        <v>0</v>
      </c>
      <c r="E260" s="646">
        <f>'Mono 13,8kv'!DW382+'Mono 34,5kv'!DX382+'Trifásico 34,5kv'!EX382+'Trifásico 13,8kv '!EX382+REGULADORES!N382</f>
        <v>0</v>
      </c>
    </row>
    <row r="261" spans="1:5" s="212" customFormat="1" ht="14.25" customHeight="1">
      <c r="A261" s="209"/>
      <c r="B261" s="209"/>
      <c r="C261" s="210" t="s">
        <v>1517</v>
      </c>
      <c r="D261" s="473" t="s">
        <v>0</v>
      </c>
      <c r="E261" s="646">
        <f>'Mono 13,8kv'!DW383+'Mono 34,5kv'!DX383+'Trifásico 34,5kv'!EX383+'Trifásico 13,8kv '!EX383+REGULADORES!N383</f>
        <v>0</v>
      </c>
    </row>
    <row r="262" spans="1:5" s="212" customFormat="1" ht="14.25" customHeight="1">
      <c r="A262" s="209">
        <v>3673</v>
      </c>
      <c r="B262" s="209"/>
      <c r="C262" s="210" t="s">
        <v>160</v>
      </c>
      <c r="D262" s="473" t="s">
        <v>515</v>
      </c>
      <c r="E262" s="646">
        <f>'Mono 13,8kv'!DW384+'Mono 34,5kv'!DX384+'Trifásico 34,5kv'!EX384+'Trifásico 13,8kv '!EX384+REGULADORES!N384</f>
        <v>0</v>
      </c>
    </row>
    <row r="263" spans="1:5" s="212" customFormat="1" ht="14.25" customHeight="1">
      <c r="A263" s="209">
        <v>3674</v>
      </c>
      <c r="B263" s="209"/>
      <c r="C263" s="210" t="s">
        <v>161</v>
      </c>
      <c r="D263" s="473" t="s">
        <v>515</v>
      </c>
      <c r="E263" s="646">
        <f>'Mono 13,8kv'!DW385+'Mono 34,5kv'!DX385+'Trifásico 34,5kv'!EX385+'Trifásico 13,8kv '!EX385+REGULADORES!N385</f>
        <v>0</v>
      </c>
    </row>
    <row r="264" spans="1:5" s="212" customFormat="1" ht="14.25" customHeight="1">
      <c r="A264" s="209">
        <v>4105</v>
      </c>
      <c r="B264" s="1497"/>
      <c r="C264" s="210" t="s">
        <v>128</v>
      </c>
      <c r="D264" s="473" t="s">
        <v>515</v>
      </c>
      <c r="E264" s="646">
        <f>'Mono 13,8kv'!DW386+'Mono 34,5kv'!DX386+'Trifásico 34,5kv'!EX386+'Trifásico 13,8kv '!EX386+REGULADORES!N386</f>
        <v>0</v>
      </c>
    </row>
    <row r="265" spans="1:5" s="212" customFormat="1" ht="14.25" customHeight="1">
      <c r="A265" s="209">
        <v>3672</v>
      </c>
      <c r="B265" s="167">
        <v>503021</v>
      </c>
      <c r="C265" s="210" t="s">
        <v>1730</v>
      </c>
      <c r="D265" s="473" t="s">
        <v>515</v>
      </c>
      <c r="E265" s="646">
        <f>'Mono 13,8kv'!DW387+'Mono 34,5kv'!DX387+'Trifásico 34,5kv'!EX387+'Trifásico 13,8kv '!EX387+REGULADORES!N387</f>
        <v>0</v>
      </c>
    </row>
    <row r="266" spans="1:5" s="212" customFormat="1" ht="14.25" customHeight="1">
      <c r="A266" s="209">
        <v>4019</v>
      </c>
      <c r="B266" s="209"/>
      <c r="C266" s="210" t="s">
        <v>40</v>
      </c>
      <c r="D266" s="473" t="s">
        <v>515</v>
      </c>
      <c r="E266" s="646">
        <f>'Mono 13,8kv'!DW388+'Mono 34,5kv'!DX388+'Trifásico 34,5kv'!EX388+'Trifásico 13,8kv '!EX388+REGULADORES!N388</f>
        <v>0</v>
      </c>
    </row>
    <row r="267" spans="1:5" s="212" customFormat="1" ht="14.25" customHeight="1">
      <c r="A267" s="209">
        <v>3685</v>
      </c>
      <c r="B267" s="209"/>
      <c r="C267" s="210" t="s">
        <v>156</v>
      </c>
      <c r="D267" s="473" t="s">
        <v>515</v>
      </c>
      <c r="E267" s="646">
        <f>'Mono 13,8kv'!DW389+'Mono 34,5kv'!DX389+'Trifásico 34,5kv'!EX389+'Trifásico 13,8kv '!EX389+REGULADORES!N389</f>
        <v>0</v>
      </c>
    </row>
    <row r="268" spans="1:5" s="212" customFormat="1" ht="14.25" customHeight="1">
      <c r="A268" s="209">
        <v>4180</v>
      </c>
      <c r="B268" s="209"/>
      <c r="C268" s="210" t="s">
        <v>70</v>
      </c>
      <c r="D268" s="473" t="s">
        <v>515</v>
      </c>
      <c r="E268" s="646">
        <f>'Mono 13,8kv'!DW390+'Mono 34,5kv'!DX390+'Trifásico 34,5kv'!EX390+'Trifásico 13,8kv '!EX390+REGULADORES!N390</f>
        <v>0</v>
      </c>
    </row>
    <row r="269" spans="1:5" s="212" customFormat="1" ht="14.25" customHeight="1">
      <c r="A269" s="209">
        <v>3686</v>
      </c>
      <c r="B269" s="209"/>
      <c r="C269" s="210" t="s">
        <v>157</v>
      </c>
      <c r="D269" s="473" t="s">
        <v>515</v>
      </c>
      <c r="E269" s="646">
        <f>'Mono 13,8kv'!DW391+'Mono 34,5kv'!DX391+'Trifásico 34,5kv'!EX391+'Trifásico 13,8kv '!EX391+REGULADORES!N391</f>
        <v>0</v>
      </c>
    </row>
    <row r="270" spans="1:5" s="212" customFormat="1" ht="14.25" customHeight="1">
      <c r="A270" s="209">
        <v>3691</v>
      </c>
      <c r="B270" s="209"/>
      <c r="C270" s="210" t="s">
        <v>71</v>
      </c>
      <c r="D270" s="473" t="s">
        <v>515</v>
      </c>
      <c r="E270" s="646">
        <f>'Mono 13,8kv'!DW392+'Mono 34,5kv'!DX392+'Trifásico 34,5kv'!EX392+'Trifásico 13,8kv '!EX392+REGULADORES!N392</f>
        <v>0</v>
      </c>
    </row>
    <row r="271" spans="1:5" s="212" customFormat="1" ht="14.25" customHeight="1">
      <c r="A271" s="209">
        <v>3687</v>
      </c>
      <c r="B271" s="209"/>
      <c r="C271" s="210" t="s">
        <v>158</v>
      </c>
      <c r="D271" s="473" t="s">
        <v>515</v>
      </c>
      <c r="E271" s="646">
        <f>'Mono 13,8kv'!DW393+'Mono 34,5kv'!DX393+'Trifásico 34,5kv'!EX393+'Trifásico 13,8kv '!EX393+REGULADORES!N393</f>
        <v>0</v>
      </c>
    </row>
    <row r="272" spans="1:5" s="212" customFormat="1" ht="14.25" customHeight="1">
      <c r="A272" s="209">
        <v>4191</v>
      </c>
      <c r="B272" s="209"/>
      <c r="C272" s="210" t="s">
        <v>72</v>
      </c>
      <c r="D272" s="473" t="s">
        <v>515</v>
      </c>
      <c r="E272" s="646">
        <f>'Mono 13,8kv'!DW394+'Mono 34,5kv'!DX394+'Trifásico 34,5kv'!EX394+'Trifásico 13,8kv '!EX394+REGULADORES!N394</f>
        <v>0</v>
      </c>
    </row>
    <row r="273" spans="1:5" s="212" customFormat="1" ht="14.25" customHeight="1">
      <c r="A273" s="209">
        <v>3688</v>
      </c>
      <c r="B273" s="209"/>
      <c r="C273" s="210" t="s">
        <v>159</v>
      </c>
      <c r="D273" s="473" t="s">
        <v>515</v>
      </c>
      <c r="E273" s="646">
        <f>'Mono 13,8kv'!DW395+'Mono 34,5kv'!DX395+'Trifásico 34,5kv'!EX395+'Trifásico 13,8kv '!EX395+REGULADORES!N395</f>
        <v>0</v>
      </c>
    </row>
    <row r="274" spans="1:5" s="212" customFormat="1" ht="14.25" customHeight="1">
      <c r="A274" s="209">
        <v>3693</v>
      </c>
      <c r="B274" s="209"/>
      <c r="C274" s="210" t="s">
        <v>73</v>
      </c>
      <c r="D274" s="473" t="s">
        <v>515</v>
      </c>
      <c r="E274" s="646">
        <f>'Mono 13,8kv'!DW396+'Mono 34,5kv'!DX396+'Trifásico 34,5kv'!EX396+'Trifásico 13,8kv '!EX396+REGULADORES!N396</f>
        <v>0</v>
      </c>
    </row>
    <row r="275" spans="1:5" s="212" customFormat="1" ht="14.25" customHeight="1">
      <c r="A275" s="209">
        <v>3689</v>
      </c>
      <c r="B275" s="209"/>
      <c r="C275" s="210" t="s">
        <v>1552</v>
      </c>
      <c r="D275" s="473" t="s">
        <v>515</v>
      </c>
      <c r="E275" s="646">
        <f>'Mono 13,8kv'!DW397+'Mono 34,5kv'!DX397+'Trifásico 34,5kv'!EX397+'Trifásico 13,8kv '!EX397+REGULADORES!N397</f>
        <v>0</v>
      </c>
    </row>
    <row r="276" spans="1:5" s="212" customFormat="1" ht="14.25" customHeight="1">
      <c r="A276" s="209">
        <v>3694</v>
      </c>
      <c r="B276" s="209"/>
      <c r="C276" s="210" t="s">
        <v>1553</v>
      </c>
      <c r="D276" s="473" t="s">
        <v>515</v>
      </c>
      <c r="E276" s="646">
        <f>'Mono 13,8kv'!DW398+'Mono 34,5kv'!DX398+'Trifásico 34,5kv'!EX398+'Trifásico 13,8kv '!EX398+REGULADORES!N398</f>
        <v>0</v>
      </c>
    </row>
    <row r="277" spans="1:5" s="212" customFormat="1" ht="14.25" customHeight="1">
      <c r="A277" s="209">
        <v>3697</v>
      </c>
      <c r="B277" s="209"/>
      <c r="C277" s="214" t="s">
        <v>374</v>
      </c>
      <c r="D277" s="473" t="s">
        <v>515</v>
      </c>
      <c r="E277" s="646">
        <f>'Mono 13,8kv'!DW399+'Mono 34,5kv'!DX399+'Trifásico 34,5kv'!EX399+'Trifásico 13,8kv '!EX399+REGULADORES!N399</f>
        <v>0</v>
      </c>
    </row>
    <row r="278" spans="1:5" s="212" customFormat="1" ht="14.25" customHeight="1">
      <c r="A278" s="209">
        <v>3705</v>
      </c>
      <c r="B278" s="209"/>
      <c r="C278" s="214" t="s">
        <v>375</v>
      </c>
      <c r="D278" s="473" t="s">
        <v>515</v>
      </c>
      <c r="E278" s="646">
        <f>'Mono 13,8kv'!DW400+'Mono 34,5kv'!DX400+'Trifásico 34,5kv'!EX400+'Trifásico 13,8kv '!EX400+REGULADORES!N400</f>
        <v>0</v>
      </c>
    </row>
    <row r="279" spans="1:5" s="212" customFormat="1" ht="14.25" customHeight="1">
      <c r="A279" s="209">
        <v>3700</v>
      </c>
      <c r="B279" s="209"/>
      <c r="C279" s="214" t="s">
        <v>376</v>
      </c>
      <c r="D279" s="473" t="s">
        <v>515</v>
      </c>
      <c r="E279" s="646">
        <f>'Mono 13,8kv'!DW401+'Mono 34,5kv'!DX401+'Trifásico 34,5kv'!EX401+'Trifásico 13,8kv '!EX401+REGULADORES!N401</f>
        <v>0</v>
      </c>
    </row>
    <row r="280" spans="1:5" s="212" customFormat="1" ht="14.25" customHeight="1">
      <c r="A280" s="209">
        <v>3708</v>
      </c>
      <c r="B280" s="209"/>
      <c r="C280" s="214" t="s">
        <v>490</v>
      </c>
      <c r="D280" s="473" t="s">
        <v>515</v>
      </c>
      <c r="E280" s="646">
        <f>'Mono 13,8kv'!DW402+'Mono 34,5kv'!DX402+'Trifásico 34,5kv'!EX402+'Trifásico 13,8kv '!EX402+REGULADORES!N402</f>
        <v>0</v>
      </c>
    </row>
    <row r="281" spans="1:5" s="212" customFormat="1" ht="14.25" customHeight="1">
      <c r="A281" s="209">
        <v>3701</v>
      </c>
      <c r="B281" s="209"/>
      <c r="C281" s="214" t="s">
        <v>258</v>
      </c>
      <c r="D281" s="473" t="s">
        <v>515</v>
      </c>
      <c r="E281" s="646">
        <f>'Mono 13,8kv'!DW403+'Mono 34,5kv'!DX403+'Trifásico 34,5kv'!EX403+'Trifásico 13,8kv '!EX403+REGULADORES!N403</f>
        <v>0</v>
      </c>
    </row>
    <row r="282" spans="1:5" s="212" customFormat="1" ht="14.25" customHeight="1">
      <c r="A282" s="209">
        <v>3709</v>
      </c>
      <c r="B282" s="209"/>
      <c r="C282" s="214" t="s">
        <v>491</v>
      </c>
      <c r="D282" s="473" t="s">
        <v>515</v>
      </c>
      <c r="E282" s="646">
        <f>'Mono 13,8kv'!DW404+'Mono 34,5kv'!DX404+'Trifásico 34,5kv'!EX404+'Trifásico 13,8kv '!EX404+REGULADORES!N404</f>
        <v>0</v>
      </c>
    </row>
    <row r="283" spans="1:5" s="212" customFormat="1" ht="14.25" customHeight="1">
      <c r="A283" s="209">
        <v>3702</v>
      </c>
      <c r="B283" s="209"/>
      <c r="C283" s="214" t="s">
        <v>260</v>
      </c>
      <c r="D283" s="473" t="s">
        <v>515</v>
      </c>
      <c r="E283" s="646">
        <f>'Mono 13,8kv'!DW405+'Mono 34,5kv'!DX405+'Trifásico 34,5kv'!EX405+'Trifásico 13,8kv '!EX405+REGULADORES!N405</f>
        <v>0</v>
      </c>
    </row>
    <row r="284" spans="1:5" s="212" customFormat="1" ht="14.25" customHeight="1">
      <c r="A284" s="209">
        <v>3710</v>
      </c>
      <c r="B284" s="209"/>
      <c r="C284" s="214" t="s">
        <v>492</v>
      </c>
      <c r="D284" s="473" t="s">
        <v>515</v>
      </c>
      <c r="E284" s="646">
        <f>'Mono 13,8kv'!DW406+'Mono 34,5kv'!DX406+'Trifásico 34,5kv'!EX406+'Trifásico 13,8kv '!EX406+REGULADORES!N406</f>
        <v>0</v>
      </c>
    </row>
    <row r="285" spans="1:5" s="212" customFormat="1" ht="14.25" customHeight="1">
      <c r="A285" s="209">
        <v>3695</v>
      </c>
      <c r="B285" s="209"/>
      <c r="C285" s="214" t="s">
        <v>262</v>
      </c>
      <c r="D285" s="473" t="s">
        <v>515</v>
      </c>
      <c r="E285" s="646">
        <f>'Mono 13,8kv'!DW407+'Mono 34,5kv'!DX407+'Trifásico 34,5kv'!EX407+'Trifásico 13,8kv '!EX407+REGULADORES!N407</f>
        <v>0</v>
      </c>
    </row>
    <row r="286" spans="1:5" s="212" customFormat="1" ht="14.25" customHeight="1">
      <c r="A286" s="209">
        <v>3703</v>
      </c>
      <c r="B286" s="209"/>
      <c r="C286" s="214" t="s">
        <v>493</v>
      </c>
      <c r="D286" s="473" t="s">
        <v>515</v>
      </c>
      <c r="E286" s="646">
        <f>'Mono 13,8kv'!DW408+'Mono 34,5kv'!DX408+'Trifásico 34,5kv'!EX408+'Trifásico 13,8kv '!EX408+REGULADORES!N408</f>
        <v>0</v>
      </c>
    </row>
    <row r="287" spans="1:5" s="212" customFormat="1" ht="14.25" customHeight="1">
      <c r="A287" s="209">
        <v>3696</v>
      </c>
      <c r="B287" s="209"/>
      <c r="C287" s="214" t="s">
        <v>264</v>
      </c>
      <c r="D287" s="473" t="s">
        <v>515</v>
      </c>
      <c r="E287" s="646">
        <f>'Mono 13,8kv'!DW409+'Mono 34,5kv'!DX409+'Trifásico 34,5kv'!EX409+'Trifásico 13,8kv '!EX409+REGULADORES!N409</f>
        <v>0</v>
      </c>
    </row>
    <row r="288" spans="1:5" s="212" customFormat="1" ht="14.25" customHeight="1">
      <c r="A288" s="209">
        <v>3704</v>
      </c>
      <c r="B288" s="209"/>
      <c r="C288" s="214" t="s">
        <v>494</v>
      </c>
      <c r="D288" s="473" t="s">
        <v>515</v>
      </c>
      <c r="E288" s="646">
        <f>'Mono 13,8kv'!DW410+'Mono 34,5kv'!DX410+'Trifásico 34,5kv'!EX410+'Trifásico 13,8kv '!EX410+REGULADORES!N410</f>
        <v>0</v>
      </c>
    </row>
    <row r="289" spans="1:5" s="212" customFormat="1" ht="14.25" customHeight="1">
      <c r="A289" s="209">
        <v>3698</v>
      </c>
      <c r="B289" s="209"/>
      <c r="C289" s="214" t="s">
        <v>266</v>
      </c>
      <c r="D289" s="473" t="s">
        <v>515</v>
      </c>
      <c r="E289" s="646">
        <f>'Mono 13,8kv'!DW411+'Mono 34,5kv'!DX411+'Trifásico 34,5kv'!EX411+'Trifásico 13,8kv '!EX411+REGULADORES!N411</f>
        <v>0</v>
      </c>
    </row>
    <row r="290" spans="1:5" s="212" customFormat="1" ht="14.25" customHeight="1">
      <c r="A290" s="209">
        <v>3706</v>
      </c>
      <c r="B290" s="209"/>
      <c r="C290" s="214" t="s">
        <v>495</v>
      </c>
      <c r="D290" s="473" t="s">
        <v>515</v>
      </c>
      <c r="E290" s="646">
        <f>'Mono 13,8kv'!DW412+'Mono 34,5kv'!DX412+'Trifásico 34,5kv'!EX412+'Trifásico 13,8kv '!EX412+REGULADORES!N412</f>
        <v>0</v>
      </c>
    </row>
    <row r="291" spans="1:5" s="212" customFormat="1" ht="14.25" customHeight="1">
      <c r="A291" s="209">
        <v>3699</v>
      </c>
      <c r="B291" s="209"/>
      <c r="C291" s="214" t="s">
        <v>268</v>
      </c>
      <c r="D291" s="473" t="s">
        <v>515</v>
      </c>
      <c r="E291" s="646">
        <f>'Mono 13,8kv'!DW413+'Mono 34,5kv'!DX413+'Trifásico 34,5kv'!EX413+'Trifásico 13,8kv '!EX413+REGULADORES!N413</f>
        <v>0</v>
      </c>
    </row>
    <row r="292" spans="1:5" s="212" customFormat="1" ht="14.25" customHeight="1">
      <c r="A292" s="209">
        <v>3707</v>
      </c>
      <c r="B292" s="209"/>
      <c r="C292" s="214" t="s">
        <v>496</v>
      </c>
      <c r="D292" s="473" t="s">
        <v>515</v>
      </c>
      <c r="E292" s="646">
        <f>'Mono 13,8kv'!DW414+'Mono 34,5kv'!DX414+'Trifásico 34,5kv'!EX414+'Trifásico 13,8kv '!EX414+REGULADORES!N414</f>
        <v>0</v>
      </c>
    </row>
    <row r="293" spans="1:5" s="212" customFormat="1" ht="14.25" customHeight="1">
      <c r="A293" s="209"/>
      <c r="B293" s="209"/>
      <c r="C293" s="214" t="s">
        <v>270</v>
      </c>
      <c r="D293" s="473" t="s">
        <v>515</v>
      </c>
      <c r="E293" s="646">
        <f>'Mono 13,8kv'!DW415+'Mono 34,5kv'!DX415+'Trifásico 34,5kv'!EX415+'Trifásico 13,8kv '!EX415+REGULADORES!N415</f>
        <v>0</v>
      </c>
    </row>
    <row r="294" spans="1:5" s="212" customFormat="1" ht="14.25" customHeight="1">
      <c r="A294" s="209"/>
      <c r="B294" s="209"/>
      <c r="C294" s="214" t="s">
        <v>497</v>
      </c>
      <c r="D294" s="473" t="s">
        <v>515</v>
      </c>
      <c r="E294" s="646">
        <f>'Mono 13,8kv'!DW416+'Mono 34,5kv'!DX416+'Trifásico 34,5kv'!EX416+'Trifásico 13,8kv '!EX416+REGULADORES!N416</f>
        <v>0</v>
      </c>
    </row>
    <row r="295" spans="1:5" s="212" customFormat="1" ht="14.25" customHeight="1">
      <c r="A295" s="209"/>
      <c r="B295" s="209"/>
      <c r="C295" s="214" t="s">
        <v>272</v>
      </c>
      <c r="D295" s="473" t="s">
        <v>515</v>
      </c>
      <c r="E295" s="646">
        <f>'Mono 13,8kv'!DW417+'Mono 34,5kv'!DX417+'Trifásico 34,5kv'!EX417+'Trifásico 13,8kv '!EX417+REGULADORES!N417</f>
        <v>0</v>
      </c>
    </row>
    <row r="296" spans="1:5" s="212" customFormat="1" ht="14.25" customHeight="1">
      <c r="A296" s="209"/>
      <c r="B296" s="209"/>
      <c r="C296" s="214" t="s">
        <v>498</v>
      </c>
      <c r="D296" s="473" t="s">
        <v>515</v>
      </c>
      <c r="E296" s="646">
        <f>'Mono 13,8kv'!DW418+'Mono 34,5kv'!DX418+'Trifásico 34,5kv'!EX418+'Trifásico 13,8kv '!EX418+REGULADORES!N418</f>
        <v>0</v>
      </c>
    </row>
    <row r="297" spans="1:5" s="212" customFormat="1" ht="14.25" customHeight="1">
      <c r="A297" s="209"/>
      <c r="B297" s="209"/>
      <c r="C297" s="214" t="s">
        <v>274</v>
      </c>
      <c r="D297" s="473" t="s">
        <v>515</v>
      </c>
      <c r="E297" s="646">
        <f>'Mono 13,8kv'!DW419+'Mono 34,5kv'!DX419+'Trifásico 34,5kv'!EX419+'Trifásico 13,8kv '!EX419+REGULADORES!N419</f>
        <v>0</v>
      </c>
    </row>
    <row r="298" spans="1:5" s="212" customFormat="1" ht="14.25" customHeight="1">
      <c r="A298" s="209">
        <v>4282</v>
      </c>
      <c r="B298" s="209"/>
      <c r="C298" s="214" t="s">
        <v>499</v>
      </c>
      <c r="D298" s="473" t="s">
        <v>515</v>
      </c>
      <c r="E298" s="646">
        <f>'Mono 13,8kv'!DW420+'Mono 34,5kv'!DX420+'Trifásico 34,5kv'!EX420+'Trifásico 13,8kv '!EX420+REGULADORES!N420</f>
        <v>0</v>
      </c>
    </row>
    <row r="299" spans="1:5" s="212" customFormat="1" ht="14.25" customHeight="1">
      <c r="A299" s="209"/>
      <c r="B299" s="209"/>
      <c r="C299" s="214" t="s">
        <v>276</v>
      </c>
      <c r="D299" s="473" t="s">
        <v>515</v>
      </c>
      <c r="E299" s="646">
        <f>'Mono 13,8kv'!DW421+'Mono 34,5kv'!DX421+'Trifásico 34,5kv'!EX421+'Trifásico 13,8kv '!EX421+REGULADORES!N421</f>
        <v>0</v>
      </c>
    </row>
    <row r="300" spans="1:5" s="212" customFormat="1" ht="14.25" customHeight="1">
      <c r="A300" s="209">
        <v>4284</v>
      </c>
      <c r="B300" s="209"/>
      <c r="C300" s="214" t="s">
        <v>500</v>
      </c>
      <c r="D300" s="473" t="s">
        <v>515</v>
      </c>
      <c r="E300" s="646">
        <f>'Mono 13,8kv'!DW422+'Mono 34,5kv'!DX422+'Trifásico 34,5kv'!EX422+'Trifásico 13,8kv '!EX422+REGULADORES!N422</f>
        <v>0</v>
      </c>
    </row>
    <row r="301" spans="1:5" s="212" customFormat="1" ht="14.25" customHeight="1">
      <c r="A301" s="209">
        <v>4126</v>
      </c>
      <c r="B301" s="209"/>
      <c r="C301" s="214" t="s">
        <v>278</v>
      </c>
      <c r="D301" s="473" t="s">
        <v>515</v>
      </c>
      <c r="E301" s="646">
        <f>'Mono 13,8kv'!DW423+'Mono 34,5kv'!DX423+'Trifásico 34,5kv'!EX423+'Trifásico 13,8kv '!EX423+REGULADORES!N423</f>
        <v>0</v>
      </c>
    </row>
    <row r="302" spans="1:5" s="212" customFormat="1" ht="14.25" customHeight="1">
      <c r="A302" s="209">
        <v>3711</v>
      </c>
      <c r="B302" s="209"/>
      <c r="C302" s="214" t="s">
        <v>501</v>
      </c>
      <c r="D302" s="473" t="s">
        <v>515</v>
      </c>
      <c r="E302" s="646">
        <f>'Mono 13,8kv'!DW424+'Mono 34,5kv'!DX424+'Trifásico 34,5kv'!EX424+'Trifásico 13,8kv '!EX424+REGULADORES!N424</f>
        <v>0</v>
      </c>
    </row>
    <row r="303" spans="1:5" s="212" customFormat="1" ht="14.25" customHeight="1">
      <c r="A303" s="209">
        <v>4160</v>
      </c>
      <c r="B303" s="209"/>
      <c r="C303" s="214" t="s">
        <v>280</v>
      </c>
      <c r="D303" s="473" t="s">
        <v>515</v>
      </c>
      <c r="E303" s="646">
        <f>'Mono 13,8kv'!DW425+'Mono 34,5kv'!DX425+'Trifásico 34,5kv'!EX425+'Trifásico 13,8kv '!EX425+REGULADORES!N425</f>
        <v>0</v>
      </c>
    </row>
    <row r="304" spans="1:5" s="212" customFormat="1" ht="14.25" customHeight="1">
      <c r="A304" s="209">
        <v>4164</v>
      </c>
      <c r="B304" s="209"/>
      <c r="C304" s="214" t="s">
        <v>502</v>
      </c>
      <c r="D304" s="473" t="s">
        <v>515</v>
      </c>
      <c r="E304" s="646">
        <f>'Mono 13,8kv'!DW426+'Mono 34,5kv'!DX426+'Trifásico 34,5kv'!EX426+'Trifásico 13,8kv '!EX426+REGULADORES!N426</f>
        <v>0</v>
      </c>
    </row>
    <row r="305" spans="1:5" s="212" customFormat="1" ht="14.25" customHeight="1">
      <c r="A305" s="209">
        <v>4242</v>
      </c>
      <c r="B305" s="209"/>
      <c r="C305" s="214" t="s">
        <v>282</v>
      </c>
      <c r="D305" s="473" t="s">
        <v>515</v>
      </c>
      <c r="E305" s="646">
        <f>'Mono 13,8kv'!DW427+'Mono 34,5kv'!DX427+'Trifásico 34,5kv'!EX427+'Trifásico 13,8kv '!EX427+REGULADORES!N427</f>
        <v>0</v>
      </c>
    </row>
    <row r="306" spans="1:5" s="212" customFormat="1" ht="14.25" customHeight="1">
      <c r="A306" s="209">
        <v>4159</v>
      </c>
      <c r="B306" s="209"/>
      <c r="C306" s="214" t="s">
        <v>503</v>
      </c>
      <c r="D306" s="473" t="s">
        <v>515</v>
      </c>
      <c r="E306" s="646">
        <f>'Mono 13,8kv'!DW428+'Mono 34,5kv'!DX428+'Trifásico 34,5kv'!EX428+'Trifásico 13,8kv '!EX428+REGULADORES!N428</f>
        <v>0</v>
      </c>
    </row>
    <row r="307" spans="1:5" s="212" customFormat="1" ht="14.25" customHeight="1">
      <c r="A307" s="209"/>
      <c r="B307" s="209"/>
      <c r="C307" s="214" t="s">
        <v>284</v>
      </c>
      <c r="D307" s="473" t="s">
        <v>515</v>
      </c>
      <c r="E307" s="646">
        <f>'Mono 13,8kv'!DW429+'Mono 34,5kv'!DX429+'Trifásico 34,5kv'!EX429+'Trifásico 13,8kv '!EX429+REGULADORES!N429</f>
        <v>0</v>
      </c>
    </row>
    <row r="308" spans="1:5" s="212" customFormat="1" ht="14.25" customHeight="1">
      <c r="A308" s="209"/>
      <c r="B308" s="209"/>
      <c r="C308" s="214" t="s">
        <v>504</v>
      </c>
      <c r="D308" s="473" t="s">
        <v>515</v>
      </c>
      <c r="E308" s="646">
        <f>'Mono 13,8kv'!DW430+'Mono 34,5kv'!DX430+'Trifásico 34,5kv'!EX430+'Trifásico 13,8kv '!EX430+REGULADORES!N430</f>
        <v>0</v>
      </c>
    </row>
    <row r="309" spans="1:5" s="212" customFormat="1" ht="14.25" customHeight="1">
      <c r="A309" s="209"/>
      <c r="B309" s="209"/>
      <c r="C309" s="210" t="s">
        <v>378</v>
      </c>
      <c r="D309" s="473" t="s">
        <v>515</v>
      </c>
      <c r="E309" s="646">
        <f>'Mono 13,8kv'!DW431+'Mono 34,5kv'!DX431+'Trifásico 34,5kv'!EX431+'Trifásico 13,8kv '!EX431+REGULADORES!N431</f>
        <v>0</v>
      </c>
    </row>
    <row r="310" spans="1:5" s="212" customFormat="1" ht="14.25" customHeight="1">
      <c r="A310" s="209"/>
      <c r="B310" s="209"/>
      <c r="C310" s="210" t="s">
        <v>379</v>
      </c>
      <c r="D310" s="473" t="s">
        <v>515</v>
      </c>
      <c r="E310" s="646">
        <f>'Mono 13,8kv'!DW432+'Mono 34,5kv'!DX432+'Trifásico 34,5kv'!EX432+'Trifásico 13,8kv '!EX432+REGULADORES!N432</f>
        <v>0</v>
      </c>
    </row>
    <row r="311" spans="1:5" s="212" customFormat="1" ht="14.25" customHeight="1">
      <c r="A311" s="645" t="s">
        <v>1677</v>
      </c>
      <c r="B311" s="1712" t="s">
        <v>1680</v>
      </c>
      <c r="C311" s="1712"/>
      <c r="D311" s="1712"/>
      <c r="E311" s="648">
        <f>'Trifásico 13,8kv '!ET7+'Trifásico 13,8kv '!EV7+'Trifásico 34,5kv'!ET7+'Trifásico 34,5kv'!EV7</f>
        <v>0</v>
      </c>
    </row>
    <row r="312" spans="1:5" s="212" customFormat="1" ht="14.25" customHeight="1">
      <c r="A312" s="644"/>
      <c r="B312" s="1712" t="s">
        <v>1681</v>
      </c>
      <c r="C312" s="1712"/>
      <c r="D312" s="1712"/>
      <c r="E312" s="648">
        <f>'Trifásico 13,8kv '!ET8+'Trifásico 13,8kv '!EV8+'Trifásico 34,5kv'!ET8+'Trifásico 34,5kv'!EV8</f>
        <v>0</v>
      </c>
    </row>
    <row r="313" spans="1:5" s="212" customFormat="1" ht="14.25" customHeight="1">
      <c r="A313" s="1030" t="s">
        <v>1678</v>
      </c>
      <c r="B313" s="1724" t="s">
        <v>1682</v>
      </c>
      <c r="C313" s="1724"/>
      <c r="D313" s="1724"/>
      <c r="E313" s="648">
        <f>'Trifásico 13,8kv '!ET9+'Trifásico 13,8kv '!EV9+'Trifásico 34,5kv'!ET9+'Trifásico 34,5kv'!EV9</f>
        <v>0</v>
      </c>
    </row>
    <row r="314" spans="1:5" s="212" customFormat="1" ht="14.25" customHeight="1">
      <c r="A314" s="644" t="s">
        <v>1230</v>
      </c>
      <c r="B314" s="1712" t="s">
        <v>1349</v>
      </c>
      <c r="C314" s="1712"/>
      <c r="D314" s="1712"/>
      <c r="E314" s="648">
        <f>'Trifásico 13,8kv '!ET10+'Trifásico 13,8kv '!EV10+'Trifásico 34,5kv'!ET10+'Trifásico 34,5kv'!EV10</f>
        <v>0</v>
      </c>
    </row>
    <row r="315" spans="1:5" s="212" customFormat="1" ht="14.25" customHeight="1">
      <c r="A315" s="1031" t="s">
        <v>1229</v>
      </c>
      <c r="B315" s="1712" t="s">
        <v>1679</v>
      </c>
      <c r="C315" s="1712"/>
      <c r="D315" s="1712"/>
      <c r="E315" s="648">
        <f>'Trifásico 13,8kv '!ET11+'Trifásico 13,8kv '!EV11+'Trifásico 34,5kv'!ET11+'Trifásico 34,5kv'!EV11</f>
        <v>0</v>
      </c>
    </row>
    <row r="316" spans="1:5" s="212" customFormat="1" ht="14.25" customHeight="1">
      <c r="A316" s="644"/>
      <c r="B316" s="1712" t="s">
        <v>1351</v>
      </c>
      <c r="C316" s="1712"/>
      <c r="D316" s="1712"/>
      <c r="E316" s="648">
        <f>'Trifásico 13,8kv '!ET12+'Trifásico 13,8kv '!EV12+'Trifásico 34,5kv'!ET12+'Trifásico 34,5kv'!EV12</f>
        <v>0</v>
      </c>
    </row>
    <row r="317" spans="1:5" s="477" customFormat="1" ht="14.25" customHeight="1">
      <c r="A317" s="645"/>
      <c r="B317" s="1712" t="s">
        <v>1683</v>
      </c>
      <c r="C317" s="1712"/>
      <c r="D317" s="1712"/>
      <c r="E317" s="648">
        <f>'Trifásico 13,8kv '!EU7+'Trifásico 13,8kv '!EW7+'Trifásico 34,5kv'!EU7+'Trifásico 34,5kv'!EW7</f>
        <v>0</v>
      </c>
    </row>
    <row r="318" spans="1:5" s="477" customFormat="1" ht="14.25" customHeight="1">
      <c r="A318" s="644" t="s">
        <v>1677</v>
      </c>
      <c r="B318" s="1712" t="s">
        <v>1684</v>
      </c>
      <c r="C318" s="1712"/>
      <c r="D318" s="1712"/>
      <c r="E318" s="648">
        <f>'Trifásico 13,8kv '!EU8+'Trifásico 13,8kv '!EW8+'Trifásico 34,5kv'!EU8+'Trifásico 34,5kv'!EW8</f>
        <v>0</v>
      </c>
    </row>
    <row r="319" spans="1:5" s="477" customFormat="1" ht="14.25" customHeight="1">
      <c r="A319" s="644" t="s">
        <v>1677</v>
      </c>
      <c r="B319" s="1712" t="s">
        <v>1685</v>
      </c>
      <c r="C319" s="1712"/>
      <c r="D319" s="1712"/>
      <c r="E319" s="648">
        <f>'Trifásico 13,8kv '!EU9+'Trifásico 13,8kv '!EW9+'Trifásico 34,5kv'!EU9+'Trifásico 34,5kv'!EW9</f>
        <v>0</v>
      </c>
    </row>
    <row r="320" spans="1:5" s="477" customFormat="1" ht="14.25" customHeight="1">
      <c r="A320" s="644" t="s">
        <v>1677</v>
      </c>
      <c r="B320" s="1712" t="s">
        <v>1686</v>
      </c>
      <c r="C320" s="1712"/>
      <c r="D320" s="1712"/>
      <c r="E320" s="648">
        <f>'Trifásico 13,8kv '!EU10+'Trifásico 13,8kv '!EW10+'Trifásico 34,5kv'!EU10+'Trifásico 34,5kv'!EW10</f>
        <v>0</v>
      </c>
    </row>
    <row r="321" spans="1:5" s="477" customFormat="1" ht="14.25" customHeight="1">
      <c r="A321" s="644" t="s">
        <v>1677</v>
      </c>
      <c r="B321" s="1712" t="s">
        <v>1687</v>
      </c>
      <c r="C321" s="1712"/>
      <c r="D321" s="1712"/>
      <c r="E321" s="648">
        <f>'Trifásico 13,8kv '!EU11+'Trifásico 13,8kv '!EW11+'Trifásico 34,5kv'!EU11+'Trifásico 34,5kv'!EW11</f>
        <v>0</v>
      </c>
    </row>
    <row r="322" spans="1:5" s="477" customFormat="1" ht="14.25" customHeight="1">
      <c r="A322" s="644" t="s">
        <v>1677</v>
      </c>
      <c r="B322" s="1712" t="s">
        <v>1688</v>
      </c>
      <c r="C322" s="1712"/>
      <c r="D322" s="1712"/>
      <c r="E322" s="648">
        <f>'Trifásico 13,8kv '!EU12+'Trifásico 13,8kv '!EW12+'Trifásico 34,5kv'!EU12+'Trifásico 34,5kv'!EW12</f>
        <v>0</v>
      </c>
    </row>
    <row r="323" spans="1:5" s="212" customFormat="1" ht="14.25" customHeight="1">
      <c r="A323" s="209">
        <v>3498</v>
      </c>
      <c r="B323" s="414"/>
      <c r="C323" s="163" t="s">
        <v>1329</v>
      </c>
      <c r="D323" s="643" t="s">
        <v>511</v>
      </c>
      <c r="E323" s="646">
        <f>'Materiais de Medições'!E2+'Materiais de Medições'!F2+'Materiais de Medições'!G2+'Materiais de Medições'!H2+'Materiais de Medições'!I2+'Materiais de Medições'!J2+'Materiais de Medições'!K2+'Materiais de Medições'!L2+'Materiais de Medições'!M2+'Materiais de Medições'!N2+'Materiais de Medições'!O2+'Materiais de Medições'!P2+'Mono 34,5kv'!DX446</f>
        <v>0</v>
      </c>
    </row>
    <row r="324" spans="1:5" s="212" customFormat="1" ht="15" customHeight="1">
      <c r="A324" s="209">
        <v>4031</v>
      </c>
      <c r="B324" s="414"/>
      <c r="C324" s="163" t="s">
        <v>1321</v>
      </c>
      <c r="D324" s="643" t="s">
        <v>0</v>
      </c>
      <c r="E324" s="646">
        <f>'Materiais de Medições'!E3+'Materiais de Medições'!F3+'Materiais de Medições'!G3+'Materiais de Medições'!H3+'Materiais de Medições'!I3+'Materiais de Medições'!J3+'Materiais de Medições'!K3+'Materiais de Medições'!L3+'Materiais de Medições'!M3+'Materiais de Medições'!N3+'Materiais de Medições'!O3+'Materiais de Medições'!P3+'Mono 34,5kv'!DX447</f>
        <v>0</v>
      </c>
    </row>
    <row r="325" spans="1:5" s="212" customFormat="1" ht="15" customHeight="1">
      <c r="A325" s="209">
        <v>3503</v>
      </c>
      <c r="B325" s="414"/>
      <c r="C325" s="163" t="s">
        <v>1322</v>
      </c>
      <c r="D325" s="643" t="s">
        <v>0</v>
      </c>
      <c r="E325" s="646">
        <f>'Materiais de Medições'!E4+'Materiais de Medições'!F4+'Materiais de Medições'!G4+'Materiais de Medições'!H4+'Materiais de Medições'!I4+'Materiais de Medições'!J4+'Materiais de Medições'!K4+'Materiais de Medições'!L4+'Materiais de Medições'!M4+'Materiais de Medições'!N4+'Materiais de Medições'!O4+'Materiais de Medições'!P4+'Mono 34,5kv'!DX448</f>
        <v>0</v>
      </c>
    </row>
    <row r="326" spans="1:5" s="212" customFormat="1" ht="15" customHeight="1">
      <c r="A326" s="209">
        <v>4032</v>
      </c>
      <c r="B326" s="414"/>
      <c r="C326" s="163" t="s">
        <v>1323</v>
      </c>
      <c r="D326" s="643" t="s">
        <v>0</v>
      </c>
      <c r="E326" s="646">
        <f>'Materiais de Medições'!E5+'Materiais de Medições'!F5+'Materiais de Medições'!G5+'Materiais de Medições'!H5+'Materiais de Medições'!I5+'Materiais de Medições'!J5+'Materiais de Medições'!K5+'Materiais de Medições'!L5+'Materiais de Medições'!M5+'Materiais de Medições'!N5+'Materiais de Medições'!O5+'Materiais de Medições'!P5+'Mono 34,5kv'!DX449</f>
        <v>0</v>
      </c>
    </row>
    <row r="327" spans="1:5" s="212" customFormat="1" ht="15" customHeight="1">
      <c r="A327" s="209">
        <v>3504</v>
      </c>
      <c r="B327" s="414"/>
      <c r="C327" s="163" t="s">
        <v>1324</v>
      </c>
      <c r="D327" s="643" t="s">
        <v>0</v>
      </c>
      <c r="E327" s="646">
        <f>'Materiais de Medições'!E6+'Materiais de Medições'!F6+'Materiais de Medições'!G6+'Materiais de Medições'!H6+'Materiais de Medições'!I6+'Materiais de Medições'!J6+'Materiais de Medições'!K6+'Materiais de Medições'!L6+'Materiais de Medições'!M6+'Materiais de Medições'!N6+'Materiais de Medições'!O6+'Materiais de Medições'!P6+'Mono 34,5kv'!DX450</f>
        <v>0</v>
      </c>
    </row>
    <row r="328" spans="1:5" s="212" customFormat="1" ht="15" customHeight="1">
      <c r="A328" s="209"/>
      <c r="B328" s="414"/>
      <c r="C328" s="163" t="s">
        <v>1325</v>
      </c>
      <c r="D328" s="643" t="s">
        <v>0</v>
      </c>
      <c r="E328" s="646">
        <f>'Materiais de Medições'!E7+'Materiais de Medições'!F7+'Materiais de Medições'!G7+'Materiais de Medições'!H7+'Materiais de Medições'!I7+'Materiais de Medições'!J7+'Materiais de Medições'!K7+'Materiais de Medições'!L7+'Materiais de Medições'!M7+'Materiais de Medições'!N7+'Materiais de Medições'!O7+'Materiais de Medições'!P7+'Mono 34,5kv'!DX451</f>
        <v>0</v>
      </c>
    </row>
    <row r="329" spans="1:5" s="212" customFormat="1" ht="15" customHeight="1">
      <c r="A329" s="209"/>
      <c r="B329" s="414"/>
      <c r="C329" s="163" t="s">
        <v>1326</v>
      </c>
      <c r="D329" s="643" t="s">
        <v>0</v>
      </c>
      <c r="E329" s="646">
        <f>'Materiais de Medições'!E8+'Materiais de Medições'!F8+'Materiais de Medições'!G8+'Materiais de Medições'!H8+'Materiais de Medições'!I8+'Materiais de Medições'!J8+'Materiais de Medições'!K8+'Materiais de Medições'!L8+'Materiais de Medições'!M8+'Materiais de Medições'!N8+'Materiais de Medições'!O8+'Materiais de Medições'!P8+'Mono 34,5kv'!DX452</f>
        <v>0</v>
      </c>
    </row>
    <row r="330" spans="1:5" s="212" customFormat="1" ht="15" customHeight="1">
      <c r="A330" s="209"/>
      <c r="B330" s="414"/>
      <c r="C330" s="163" t="s">
        <v>1327</v>
      </c>
      <c r="D330" s="643" t="s">
        <v>0</v>
      </c>
      <c r="E330" s="646">
        <f>'Materiais de Medições'!E9+'Materiais de Medições'!F9+'Materiais de Medições'!G9+'Materiais de Medições'!H9+'Materiais de Medições'!I9+'Materiais de Medições'!J9+'Materiais de Medições'!K9+'Materiais de Medições'!L9+'Materiais de Medições'!M9+'Materiais de Medições'!N9+'Materiais de Medições'!O9+'Materiais de Medições'!P9+'Mono 34,5kv'!DX453</f>
        <v>0</v>
      </c>
    </row>
    <row r="331" spans="1:5" s="212" customFormat="1" ht="15" customHeight="1">
      <c r="A331" s="209">
        <v>4026</v>
      </c>
      <c r="B331" s="414"/>
      <c r="C331" s="163" t="s">
        <v>1328</v>
      </c>
      <c r="D331" s="643" t="s">
        <v>0</v>
      </c>
      <c r="E331" s="646">
        <f>'Materiais de Medições'!E10+'Materiais de Medições'!F10+'Materiais de Medições'!G10+'Materiais de Medições'!H10+'Materiais de Medições'!I10+'Materiais de Medições'!J10+'Materiais de Medições'!K10+'Materiais de Medições'!L10+'Materiais de Medições'!M10+'Materiais de Medições'!N10+'Materiais de Medições'!O10+'Materiais de Medições'!P10+'Mono 34,5kv'!DX454</f>
        <v>0</v>
      </c>
    </row>
    <row r="332" spans="1:5" s="212" customFormat="1" ht="15" customHeight="1">
      <c r="A332" s="209"/>
      <c r="B332" s="414"/>
      <c r="C332" s="163" t="s">
        <v>1317</v>
      </c>
      <c r="D332" s="643" t="s">
        <v>0</v>
      </c>
      <c r="E332" s="646">
        <f>'Materiais de Medições'!E11+'Materiais de Medições'!F11+'Materiais de Medições'!G11+'Materiais de Medições'!H11+'Materiais de Medições'!I11+'Materiais de Medições'!J11+'Materiais de Medições'!K11+'Materiais de Medições'!L11+'Materiais de Medições'!M11+'Materiais de Medições'!N11+'Materiais de Medições'!O11+'Materiais de Medições'!P11+'Mono 34,5kv'!DX455</f>
        <v>0</v>
      </c>
    </row>
    <row r="333" spans="1:5" s="212" customFormat="1" ht="15" customHeight="1">
      <c r="A333" s="209"/>
      <c r="B333" s="414"/>
      <c r="C333" s="163" t="s">
        <v>1318</v>
      </c>
      <c r="D333" s="643" t="s">
        <v>0</v>
      </c>
      <c r="E333" s="646">
        <f>'Materiais de Medições'!E12+'Materiais de Medições'!F12+'Materiais de Medições'!G12+'Materiais de Medições'!H12+'Materiais de Medições'!I12+'Materiais de Medições'!J12+'Materiais de Medições'!K12+'Materiais de Medições'!L12+'Materiais de Medições'!M12+'Materiais de Medições'!N12+'Materiais de Medições'!O12+'Materiais de Medições'!P12+'Mono 34,5kv'!DX456</f>
        <v>0</v>
      </c>
    </row>
    <row r="334" spans="1:5" s="212" customFormat="1" ht="15" customHeight="1">
      <c r="A334" s="209"/>
      <c r="B334" s="414"/>
      <c r="C334" s="163" t="s">
        <v>1319</v>
      </c>
      <c r="D334" s="643" t="s">
        <v>0</v>
      </c>
      <c r="E334" s="646">
        <f>'Materiais de Medições'!E13+'Materiais de Medições'!F13+'Materiais de Medições'!G13+'Materiais de Medições'!H13+'Materiais de Medições'!I13+'Materiais de Medições'!J13+'Materiais de Medições'!K13+'Materiais de Medições'!L13+'Materiais de Medições'!M13+'Materiais de Medições'!N13+'Materiais de Medições'!O13+'Materiais de Medições'!P13+'Mono 34,5kv'!DX457</f>
        <v>0</v>
      </c>
    </row>
    <row r="335" spans="1:5" s="212" customFormat="1" ht="15" customHeight="1">
      <c r="A335" s="209"/>
      <c r="B335" s="414"/>
      <c r="C335" s="163" t="s">
        <v>1320</v>
      </c>
      <c r="D335" s="643" t="s">
        <v>0</v>
      </c>
      <c r="E335" s="646">
        <f>'Materiais de Medições'!E14+'Materiais de Medições'!F14+'Materiais de Medições'!G14+'Materiais de Medições'!H14+'Materiais de Medições'!I14+'Materiais de Medições'!J14+'Materiais de Medições'!K14+'Materiais de Medições'!L14+'Materiais de Medições'!M14+'Materiais de Medições'!N14+'Materiais de Medições'!O14+'Materiais de Medições'!P14+'Mono 34,5kv'!DX458</f>
        <v>0</v>
      </c>
    </row>
    <row r="336" spans="1:5" s="212" customFormat="1" ht="15" customHeight="1">
      <c r="A336" s="209">
        <v>4209</v>
      </c>
      <c r="B336" s="414"/>
      <c r="C336" s="163" t="s">
        <v>1308</v>
      </c>
      <c r="D336" s="643" t="s">
        <v>0</v>
      </c>
      <c r="E336" s="646">
        <f>'Materiais de Medições'!E15+'Materiais de Medições'!F15+'Materiais de Medições'!G15+'Materiais de Medições'!H15+'Materiais de Medições'!I15+'Materiais de Medições'!J15+'Materiais de Medições'!K15+'Materiais de Medições'!L15+'Materiais de Medições'!M15+'Materiais de Medições'!N15+'Materiais de Medições'!O15+'Materiais de Medições'!P15+'Mono 34,5kv'!DX459</f>
        <v>0</v>
      </c>
    </row>
    <row r="337" spans="1:5" s="212" customFormat="1" ht="15" customHeight="1">
      <c r="A337" s="209">
        <v>3526</v>
      </c>
      <c r="B337" s="414"/>
      <c r="C337" s="163" t="s">
        <v>1309</v>
      </c>
      <c r="D337" s="643" t="s">
        <v>168</v>
      </c>
      <c r="E337" s="646">
        <f>'Materiais de Medições'!E16+'Materiais de Medições'!F16+'Materiais de Medições'!G16+'Materiais de Medições'!H16+'Materiais de Medições'!I16+'Materiais de Medições'!J16+'Materiais de Medições'!K16+'Materiais de Medições'!L16+'Materiais de Medições'!M16+'Materiais de Medições'!N16+'Materiais de Medições'!O16+'Materiais de Medições'!P16+'Mono 34,5kv'!DX460</f>
        <v>0</v>
      </c>
    </row>
    <row r="338" spans="1:5" s="212" customFormat="1" ht="15" customHeight="1">
      <c r="A338" s="209">
        <v>4210</v>
      </c>
      <c r="B338" s="414"/>
      <c r="C338" s="163" t="s">
        <v>1310</v>
      </c>
      <c r="D338" s="643" t="s">
        <v>168</v>
      </c>
      <c r="E338" s="646">
        <f>'Materiais de Medições'!E17+'Materiais de Medições'!F17+'Materiais de Medições'!G17+'Materiais de Medições'!H17+'Materiais de Medições'!I17+'Materiais de Medições'!J17+'Materiais de Medições'!K17+'Materiais de Medições'!L17+'Materiais de Medições'!M17+'Materiais de Medições'!N17+'Materiais de Medições'!O17+'Materiais de Medições'!P17+'Mono 34,5kv'!DX461</f>
        <v>0</v>
      </c>
    </row>
    <row r="339" spans="1:5" s="212" customFormat="1" ht="15" customHeight="1">
      <c r="A339" s="209">
        <v>3527</v>
      </c>
      <c r="B339" s="414"/>
      <c r="C339" s="163" t="s">
        <v>1311</v>
      </c>
      <c r="D339" s="643" t="s">
        <v>168</v>
      </c>
      <c r="E339" s="646">
        <f>'Materiais de Medições'!E18+'Materiais de Medições'!F18+'Materiais de Medições'!G18+'Materiais de Medições'!H18+'Materiais de Medições'!I18+'Materiais de Medições'!J18+'Materiais de Medições'!K18+'Materiais de Medições'!L18+'Materiais de Medições'!M18+'Materiais de Medições'!N18+'Materiais de Medições'!O18+'Materiais de Medições'!P18+'Mono 34,5kv'!DX462</f>
        <v>0</v>
      </c>
    </row>
    <row r="340" spans="1:5" s="212" customFormat="1" ht="15" customHeight="1">
      <c r="A340" s="209">
        <v>3528</v>
      </c>
      <c r="B340" s="414"/>
      <c r="C340" s="163" t="s">
        <v>1312</v>
      </c>
      <c r="D340" s="643" t="s">
        <v>168</v>
      </c>
      <c r="E340" s="646">
        <f>'Materiais de Medições'!E19+'Materiais de Medições'!F19+'Materiais de Medições'!G19+'Materiais de Medições'!H19+'Materiais de Medições'!I19+'Materiais de Medições'!J19+'Materiais de Medições'!K19+'Materiais de Medições'!L19+'Materiais de Medições'!M19+'Materiais de Medições'!N19+'Materiais de Medições'!O19+'Materiais de Medições'!P19+'Mono 34,5kv'!DX463</f>
        <v>0</v>
      </c>
    </row>
    <row r="341" spans="1:5" s="212" customFormat="1" ht="15" customHeight="1">
      <c r="A341" s="209">
        <v>3529</v>
      </c>
      <c r="B341" s="414"/>
      <c r="C341" s="163" t="s">
        <v>1313</v>
      </c>
      <c r="D341" s="643" t="s">
        <v>168</v>
      </c>
      <c r="E341" s="646">
        <f>'Materiais de Medições'!E20+'Materiais de Medições'!F20+'Materiais de Medições'!G20+'Materiais de Medições'!H20+'Materiais de Medições'!I20+'Materiais de Medições'!J20+'Materiais de Medições'!K20+'Materiais de Medições'!L20+'Materiais de Medições'!M20+'Materiais de Medições'!N20+'Materiais de Medições'!O20+'Materiais de Medições'!P20+'Mono 34,5kv'!DX464</f>
        <v>0</v>
      </c>
    </row>
    <row r="342" spans="1:5" s="212" customFormat="1" ht="15" customHeight="1">
      <c r="A342" s="209">
        <v>3524</v>
      </c>
      <c r="B342" s="414"/>
      <c r="C342" s="163" t="s">
        <v>1314</v>
      </c>
      <c r="D342" s="643" t="s">
        <v>168</v>
      </c>
      <c r="E342" s="646">
        <f>'Materiais de Medições'!E21+'Materiais de Medições'!F21+'Materiais de Medições'!G21+'Materiais de Medições'!H21+'Materiais de Medições'!I21+'Materiais de Medições'!J21+'Materiais de Medições'!K21+'Materiais de Medições'!L21+'Materiais de Medições'!M21+'Materiais de Medições'!N21+'Materiais de Medições'!O21+'Materiais de Medições'!P21+'Mono 34,5kv'!DX465</f>
        <v>0</v>
      </c>
    </row>
    <row r="343" spans="1:5" s="212" customFormat="1" ht="15" customHeight="1">
      <c r="A343" s="209"/>
      <c r="B343" s="414"/>
      <c r="C343" s="163" t="s">
        <v>1468</v>
      </c>
      <c r="D343" s="643"/>
      <c r="E343" s="646">
        <f>'Materiais de Medições'!E22+'Materiais de Medições'!F22+'Materiais de Medições'!G22+'Materiais de Medições'!H22+'Materiais de Medições'!I22+'Materiais de Medições'!J22+'Materiais de Medições'!K22+'Materiais de Medições'!L22+'Materiais de Medições'!M22+'Materiais de Medições'!N22+'Materiais de Medições'!O22+'Materiais de Medições'!P22+'Mono 34,5kv'!DX466</f>
        <v>0</v>
      </c>
    </row>
    <row r="344" spans="1:5" s="212" customFormat="1" ht="15" customHeight="1">
      <c r="A344" s="209">
        <v>4262</v>
      </c>
      <c r="B344" s="414"/>
      <c r="C344" s="163" t="s">
        <v>1315</v>
      </c>
      <c r="D344" s="643" t="s">
        <v>168</v>
      </c>
      <c r="E344" s="646">
        <f>'Materiais de Medições'!E23+'Materiais de Medições'!F23+'Materiais de Medições'!G23+'Materiais de Medições'!H23+'Materiais de Medições'!I23+'Materiais de Medições'!J23+'Materiais de Medições'!K23+'Materiais de Medições'!L23+'Materiais de Medições'!M23+'Materiais de Medições'!N23+'Materiais de Medições'!O23+'Materiais de Medições'!P23+'Mono 34,5kv'!DX467</f>
        <v>0</v>
      </c>
    </row>
    <row r="345" spans="1:5" s="212" customFormat="1" ht="15" customHeight="1">
      <c r="A345" s="209">
        <v>3525</v>
      </c>
      <c r="B345" s="414"/>
      <c r="C345" s="163" t="s">
        <v>1316</v>
      </c>
      <c r="D345" s="643" t="s">
        <v>168</v>
      </c>
      <c r="E345" s="646">
        <f>'Materiais de Medições'!E24+'Materiais de Medições'!F24+'Materiais de Medições'!G24+'Materiais de Medições'!H24+'Materiais de Medições'!I24+'Materiais de Medições'!J24+'Materiais de Medições'!K24+'Materiais de Medições'!L24+'Materiais de Medições'!M24+'Materiais de Medições'!N24+'Materiais de Medições'!O24+'Materiais de Medições'!P24+'Mono 34,5kv'!DX468</f>
        <v>0</v>
      </c>
    </row>
    <row r="346" spans="1:5" s="212" customFormat="1" ht="15" customHeight="1">
      <c r="A346" s="209"/>
      <c r="B346" s="414"/>
      <c r="C346" s="163" t="s">
        <v>1293</v>
      </c>
      <c r="D346" s="643" t="s">
        <v>168</v>
      </c>
      <c r="E346" s="646">
        <f>'Materiais de Medições'!E25+'Materiais de Medições'!F25+'Materiais de Medições'!G25+'Materiais de Medições'!H25+'Materiais de Medições'!I25+'Materiais de Medições'!J25+'Materiais de Medições'!K25+'Materiais de Medições'!L25+'Materiais de Medições'!M25+'Materiais de Medições'!N25+'Materiais de Medições'!O25+'Materiais de Medições'!P25+'Mono 34,5kv'!DX469</f>
        <v>0</v>
      </c>
    </row>
    <row r="347" spans="1:5" s="212" customFormat="1" ht="15" customHeight="1">
      <c r="A347" s="209">
        <v>4114</v>
      </c>
      <c r="B347" s="414"/>
      <c r="C347" s="163" t="s">
        <v>1249</v>
      </c>
      <c r="D347" s="643" t="s">
        <v>168</v>
      </c>
      <c r="E347" s="646">
        <f>'Materiais de Medições'!E26+'Materiais de Medições'!F26+'Materiais de Medições'!G26+'Materiais de Medições'!H26+'Materiais de Medições'!I26+'Materiais de Medições'!J26+'Materiais de Medições'!K26+'Materiais de Medições'!L26+'Materiais de Medições'!M26+'Materiais de Medições'!N26+'Materiais de Medições'!O26+'Materiais de Medições'!P26+'Mono 34,5kv'!DX470</f>
        <v>0</v>
      </c>
    </row>
    <row r="348" spans="1:5" s="212" customFormat="1" ht="15" customHeight="1">
      <c r="A348" s="209">
        <v>4115</v>
      </c>
      <c r="B348" s="414"/>
      <c r="C348" s="192" t="s">
        <v>432</v>
      </c>
      <c r="D348" s="643" t="s">
        <v>0</v>
      </c>
      <c r="E348" s="646">
        <f>'Materiais de Medições'!E27+'Materiais de Medições'!F27+'Materiais de Medições'!G27+'Materiais de Medições'!H27+'Materiais de Medições'!I27+'Materiais de Medições'!J27+'Materiais de Medições'!K27+'Materiais de Medições'!L27+'Materiais de Medições'!M27+'Materiais de Medições'!N27+'Materiais de Medições'!O27+'Materiais de Medições'!P27+'Mono 34,5kv'!DX471</f>
        <v>0</v>
      </c>
    </row>
    <row r="349" spans="1:5" s="212" customFormat="1" ht="15" customHeight="1">
      <c r="A349" s="209">
        <v>3533</v>
      </c>
      <c r="B349" s="414"/>
      <c r="C349" s="163" t="s">
        <v>1744</v>
      </c>
      <c r="D349" s="643" t="s">
        <v>0</v>
      </c>
      <c r="E349" s="646">
        <f>'Materiais de Medições'!E28+'Materiais de Medições'!F28+'Materiais de Medições'!G28+'Materiais de Medições'!H28+'Materiais de Medições'!I28+'Materiais de Medições'!J28+'Materiais de Medições'!K28+'Materiais de Medições'!L28+'Materiais de Medições'!M28+'Materiais de Medições'!N28+'Materiais de Medições'!O28+'Materiais de Medições'!P28+'Mono 34,5kv'!DX472</f>
        <v>0</v>
      </c>
    </row>
    <row r="350" spans="1:5" s="212" customFormat="1" ht="15" customHeight="1">
      <c r="A350" s="209">
        <v>4342</v>
      </c>
      <c r="B350" s="414"/>
      <c r="C350" s="163" t="s">
        <v>1745</v>
      </c>
      <c r="D350" s="643" t="s">
        <v>0</v>
      </c>
      <c r="E350" s="646">
        <f>'Materiais de Medições'!E29+'Materiais de Medições'!F29+'Materiais de Medições'!G29+'Materiais de Medições'!H29+'Materiais de Medições'!I29+'Materiais de Medições'!J29+'Materiais de Medições'!K29+'Materiais de Medições'!L29+'Materiais de Medições'!M29+'Materiais de Medições'!N29+'Materiais de Medições'!O29+'Materiais de Medições'!P29+'Mono 34,5kv'!DX473</f>
        <v>0</v>
      </c>
    </row>
    <row r="351" spans="1:5" s="212" customFormat="1" ht="15" customHeight="1">
      <c r="A351" s="209">
        <v>4364</v>
      </c>
      <c r="B351" s="414"/>
      <c r="C351" s="193" t="s">
        <v>1247</v>
      </c>
      <c r="D351" s="643" t="s">
        <v>0</v>
      </c>
      <c r="E351" s="646">
        <f>'Materiais de Medições'!E30+'Materiais de Medições'!F30+'Materiais de Medições'!G30+'Materiais de Medições'!H30+'Materiais de Medições'!I30+'Materiais de Medições'!J30+'Materiais de Medições'!K30+'Materiais de Medições'!L30+'Materiais de Medições'!M30+'Materiais de Medições'!N30+'Materiais de Medições'!O30+'Materiais de Medições'!P30+'Mono 34,5kv'!DX474</f>
        <v>0</v>
      </c>
    </row>
    <row r="352" spans="1:5" s="212" customFormat="1" ht="15" customHeight="1">
      <c r="A352" s="209">
        <v>4012</v>
      </c>
      <c r="B352" s="414"/>
      <c r="C352" s="5" t="s">
        <v>425</v>
      </c>
      <c r="D352" s="643" t="s">
        <v>0</v>
      </c>
      <c r="E352" s="646">
        <f>'Materiais de Medições'!E31+'Materiais de Medições'!F31+'Materiais de Medições'!G31+'Materiais de Medições'!H31+'Materiais de Medições'!I31+'Materiais de Medições'!J31+'Materiais de Medições'!K31+'Materiais de Medições'!L31+'Materiais de Medições'!M31+'Materiais de Medições'!N31+'Materiais de Medições'!O31+'Materiais de Medições'!P31+'Mono 34,5kv'!DX475</f>
        <v>0</v>
      </c>
    </row>
    <row r="353" spans="1:5" s="212" customFormat="1" ht="15" customHeight="1">
      <c r="A353" s="209">
        <v>4104</v>
      </c>
      <c r="B353" s="414"/>
      <c r="C353" s="5" t="s">
        <v>1186</v>
      </c>
      <c r="D353" s="643" t="s">
        <v>0</v>
      </c>
      <c r="E353" s="646">
        <f>'Materiais de Medições'!E32+'Materiais de Medições'!F32+'Materiais de Medições'!G32+'Materiais de Medições'!H32+'Materiais de Medições'!I32+'Materiais de Medições'!J32+'Materiais de Medições'!K32+'Materiais de Medições'!L32+'Materiais de Medições'!M32+'Materiais de Medições'!N32+'Materiais de Medições'!O32+'Materiais de Medições'!P32+'Mono 34,5kv'!DX476</f>
        <v>0</v>
      </c>
    </row>
    <row r="354" spans="1:5" s="212" customFormat="1" ht="15" customHeight="1">
      <c r="A354" s="209">
        <v>4133</v>
      </c>
      <c r="B354" s="414"/>
      <c r="C354" s="5" t="s">
        <v>1193</v>
      </c>
      <c r="D354" s="643" t="s">
        <v>0</v>
      </c>
      <c r="E354" s="646">
        <f>'Materiais de Medições'!E33+'Materiais de Medições'!F33+'Materiais de Medições'!G33+'Materiais de Medições'!H33+'Materiais de Medições'!I33+'Materiais de Medições'!J33+'Materiais de Medições'!K33+'Materiais de Medições'!L33+'Materiais de Medições'!M33+'Materiais de Medições'!N33+'Materiais de Medições'!O33+'Materiais de Medições'!P33+'Mono 34,5kv'!DX477</f>
        <v>0</v>
      </c>
    </row>
    <row r="355" spans="1:5" s="212" customFormat="1" ht="15" customHeight="1">
      <c r="A355" s="209">
        <v>3553</v>
      </c>
      <c r="B355" s="414"/>
      <c r="C355" s="5" t="s">
        <v>1192</v>
      </c>
      <c r="D355" s="643" t="s">
        <v>0</v>
      </c>
      <c r="E355" s="646">
        <f>'Materiais de Medições'!E34+'Materiais de Medições'!F34+'Materiais de Medições'!G34+'Materiais de Medições'!H34+'Materiais de Medições'!I34+'Materiais de Medições'!J34+'Materiais de Medições'!K34+'Materiais de Medições'!L34+'Materiais de Medições'!M34+'Materiais de Medições'!N34+'Materiais de Medições'!O34+'Materiais de Medições'!P34+'Mono 34,5kv'!DX478</f>
        <v>0</v>
      </c>
    </row>
    <row r="356" spans="1:5" s="212" customFormat="1" ht="15" customHeight="1">
      <c r="A356" s="209"/>
      <c r="B356" s="414"/>
      <c r="C356" s="5" t="s">
        <v>1194</v>
      </c>
      <c r="D356" s="643" t="s">
        <v>0</v>
      </c>
      <c r="E356" s="646">
        <f>'Materiais de Medições'!E35+'Materiais de Medições'!F35+'Materiais de Medições'!G35+'Materiais de Medições'!H35+'Materiais de Medições'!I35+'Materiais de Medições'!J35+'Materiais de Medições'!K35+'Materiais de Medições'!L35+'Materiais de Medições'!M35+'Materiais de Medições'!N35+'Materiais de Medições'!O35+'Materiais de Medições'!P35+'Mono 34,5kv'!DX479</f>
        <v>0</v>
      </c>
    </row>
    <row r="357" spans="1:5" s="212" customFormat="1" ht="15" customHeight="1">
      <c r="A357" s="209">
        <v>3554</v>
      </c>
      <c r="B357" s="414"/>
      <c r="C357" s="5" t="s">
        <v>1195</v>
      </c>
      <c r="D357" s="643" t="s">
        <v>0</v>
      </c>
      <c r="E357" s="646">
        <f>'Materiais de Medições'!E36+'Materiais de Medições'!F36+'Materiais de Medições'!G36+'Materiais de Medições'!H36+'Materiais de Medições'!I36+'Materiais de Medições'!J36+'Materiais de Medições'!K36+'Materiais de Medições'!L36+'Materiais de Medições'!M36+'Materiais de Medições'!N36+'Materiais de Medições'!O36+'Materiais de Medições'!P36+'Mono 34,5kv'!DX480</f>
        <v>0</v>
      </c>
    </row>
    <row r="358" spans="1:5" s="212" customFormat="1" ht="15" customHeight="1">
      <c r="A358" s="209">
        <v>3555</v>
      </c>
      <c r="B358" s="414"/>
      <c r="C358" s="5" t="s">
        <v>1191</v>
      </c>
      <c r="D358" s="643" t="s">
        <v>0</v>
      </c>
      <c r="E358" s="646">
        <f>'Materiais de Medições'!E37+'Materiais de Medições'!F37+'Materiais de Medições'!G37+'Materiais de Medições'!H37+'Materiais de Medições'!I37+'Materiais de Medições'!J37+'Materiais de Medições'!K37+'Materiais de Medições'!L37+'Materiais de Medições'!M37+'Materiais de Medições'!N37+'Materiais de Medições'!O37+'Materiais de Medições'!P37+'Mono 34,5kv'!DX481</f>
        <v>0</v>
      </c>
    </row>
    <row r="359" spans="1:5" s="212" customFormat="1" ht="15" customHeight="1">
      <c r="A359" s="209">
        <v>4121</v>
      </c>
      <c r="B359" s="414"/>
      <c r="C359" s="5" t="s">
        <v>1196</v>
      </c>
      <c r="D359" s="643" t="s">
        <v>0</v>
      </c>
      <c r="E359" s="646">
        <f>'Materiais de Medições'!E38+'Materiais de Medições'!F38+'Materiais de Medições'!G38+'Materiais de Medições'!H38+'Materiais de Medições'!I38+'Materiais de Medições'!J38+'Materiais de Medições'!K38+'Materiais de Medições'!L38+'Materiais de Medições'!M38+'Materiais de Medições'!N38+'Materiais de Medições'!O38+'Materiais de Medições'!P38+'Mono 34,5kv'!DX482</f>
        <v>0</v>
      </c>
    </row>
    <row r="360" spans="1:5" s="212" customFormat="1" ht="15" customHeight="1">
      <c r="A360" s="209">
        <v>4122</v>
      </c>
      <c r="B360" s="414"/>
      <c r="C360" s="5" t="s">
        <v>1197</v>
      </c>
      <c r="D360" s="643" t="s">
        <v>0</v>
      </c>
      <c r="E360" s="646">
        <f>'Materiais de Medições'!E39+'Materiais de Medições'!F39+'Materiais de Medições'!G39+'Materiais de Medições'!H39+'Materiais de Medições'!I39+'Materiais de Medições'!J39+'Materiais de Medições'!K39+'Materiais de Medições'!L39+'Materiais de Medições'!M39+'Materiais de Medições'!N39+'Materiais de Medições'!O39+'Materiais de Medições'!P39+'Mono 34,5kv'!DX483</f>
        <v>0</v>
      </c>
    </row>
    <row r="361" spans="1:5" s="212" customFormat="1" ht="15" customHeight="1">
      <c r="A361" s="209">
        <v>3569</v>
      </c>
      <c r="B361" s="414"/>
      <c r="C361" s="163" t="s">
        <v>416</v>
      </c>
      <c r="D361" s="643" t="s">
        <v>0</v>
      </c>
      <c r="E361" s="646">
        <f>'Materiais de Medições'!E40+'Materiais de Medições'!F40+'Materiais de Medições'!G40+'Materiais de Medições'!H40+'Materiais de Medições'!I40+'Materiais de Medições'!J40+'Materiais de Medições'!K40+'Materiais de Medições'!L40+'Materiais de Medições'!M40+'Materiais de Medições'!N40+'Materiais de Medições'!O40+'Materiais de Medições'!P40+'Mono 34,5kv'!DX484</f>
        <v>0</v>
      </c>
    </row>
    <row r="362" spans="1:5" s="212" customFormat="1" ht="15" customHeight="1">
      <c r="A362" s="209"/>
      <c r="B362" s="414"/>
      <c r="C362" s="192" t="s">
        <v>1304</v>
      </c>
      <c r="D362" s="643" t="s">
        <v>0</v>
      </c>
      <c r="E362" s="646">
        <f>'Materiais de Medições'!E41+'Materiais de Medições'!F41+'Materiais de Medições'!G41+'Materiais de Medições'!H41+'Materiais de Medições'!I41+'Materiais de Medições'!J41+'Materiais de Medições'!K41+'Materiais de Medições'!L41+'Materiais de Medições'!M41+'Materiais de Medições'!N41+'Materiais de Medições'!O41+'Materiais de Medições'!P41+'Mono 34,5kv'!DX485</f>
        <v>0</v>
      </c>
    </row>
    <row r="363" spans="1:5" s="212" customFormat="1" ht="15" customHeight="1">
      <c r="A363" s="209"/>
      <c r="B363" s="414"/>
      <c r="C363" s="192" t="s">
        <v>1305</v>
      </c>
      <c r="D363" s="643" t="s">
        <v>0</v>
      </c>
      <c r="E363" s="646">
        <f>'Materiais de Medições'!E42+'Materiais de Medições'!F42+'Materiais de Medições'!G42+'Materiais de Medições'!H42+'Materiais de Medições'!I42+'Materiais de Medições'!J42+'Materiais de Medições'!K42+'Materiais de Medições'!L42+'Materiais de Medições'!M42+'Materiais de Medições'!N42+'Materiais de Medições'!O42+'Materiais de Medições'!P42+'Mono 34,5kv'!DX486</f>
        <v>0</v>
      </c>
    </row>
    <row r="364" spans="1:5" s="212" customFormat="1" ht="15" customHeight="1">
      <c r="A364" s="209">
        <v>4350</v>
      </c>
      <c r="B364" s="414"/>
      <c r="C364" s="192" t="s">
        <v>1306</v>
      </c>
      <c r="D364" s="643" t="s">
        <v>0</v>
      </c>
      <c r="E364" s="646">
        <f>'Materiais de Medições'!E43+'Materiais de Medições'!F43+'Materiais de Medições'!G43+'Materiais de Medições'!H43+'Materiais de Medições'!I43+'Materiais de Medições'!J43+'Materiais de Medições'!K43+'Materiais de Medições'!L43+'Materiais de Medições'!M43+'Materiais de Medições'!N43+'Materiais de Medições'!O43+'Materiais de Medições'!P43+'Mono 34,5kv'!DX487</f>
        <v>0</v>
      </c>
    </row>
    <row r="365" spans="1:5" s="212" customFormat="1" ht="15" customHeight="1">
      <c r="A365" s="209">
        <v>4349</v>
      </c>
      <c r="B365" s="414"/>
      <c r="C365" s="192" t="s">
        <v>1307</v>
      </c>
      <c r="D365" s="643" t="s">
        <v>0</v>
      </c>
      <c r="E365" s="646">
        <f>'Materiais de Medições'!E44+'Materiais de Medições'!F44+'Materiais de Medições'!G44+'Materiais de Medições'!H44+'Materiais de Medições'!I44+'Materiais de Medições'!J44+'Materiais de Medições'!K44+'Materiais de Medições'!L44+'Materiais de Medições'!M44+'Materiais de Medições'!N44+'Materiais de Medições'!O44+'Materiais de Medições'!P44+'Mono 34,5kv'!DX488</f>
        <v>0</v>
      </c>
    </row>
    <row r="366" spans="1:5" s="212" customFormat="1" ht="15" customHeight="1">
      <c r="A366" s="209"/>
      <c r="B366" s="414"/>
      <c r="C366" s="163" t="s">
        <v>510</v>
      </c>
      <c r="D366" s="643" t="s">
        <v>0</v>
      </c>
      <c r="E366" s="646">
        <f>'Materiais de Medições'!E45+'Materiais de Medições'!F45+'Materiais de Medições'!G45+'Materiais de Medições'!H45+'Materiais de Medições'!I45+'Materiais de Medições'!J45+'Materiais de Medições'!K45+'Materiais de Medições'!L45+'Materiais de Medições'!M45+'Materiais de Medições'!N45+'Materiais de Medições'!O45+'Materiais de Medições'!P45+'Mono 34,5kv'!DX489</f>
        <v>0</v>
      </c>
    </row>
    <row r="367" spans="1:5" s="212" customFormat="1" ht="15" customHeight="1">
      <c r="A367" s="209">
        <v>4511</v>
      </c>
      <c r="B367" s="414"/>
      <c r="C367" s="163" t="s">
        <v>1200</v>
      </c>
      <c r="D367" s="643" t="s">
        <v>0</v>
      </c>
      <c r="E367" s="646">
        <f>'Materiais de Medições'!E46+'Materiais de Medições'!F46+'Materiais de Medições'!G46+'Materiais de Medições'!H46+'Materiais de Medições'!I46+'Materiais de Medições'!J46+'Materiais de Medições'!K46+'Materiais de Medições'!L46+'Materiais de Medições'!M46+'Materiais de Medições'!N46+'Materiais de Medições'!O46+'Materiais de Medições'!P46+'Mono 34,5kv'!DX490</f>
        <v>0</v>
      </c>
    </row>
    <row r="368" spans="1:5" s="212" customFormat="1" ht="15" customHeight="1">
      <c r="A368" s="209"/>
      <c r="B368" s="414"/>
      <c r="C368" s="163" t="s">
        <v>472</v>
      </c>
      <c r="D368" s="643" t="s">
        <v>0</v>
      </c>
      <c r="E368" s="646">
        <f>'Materiais de Medições'!E47+'Materiais de Medições'!F47+'Materiais de Medições'!G47+'Materiais de Medições'!H47+'Materiais de Medições'!I47+'Materiais de Medições'!J47+'Materiais de Medições'!K47+'Materiais de Medições'!L47+'Materiais de Medições'!M47+'Materiais de Medições'!N47+'Materiais de Medições'!O47+'Materiais de Medições'!P47+'Mono 34,5kv'!DX491</f>
        <v>0</v>
      </c>
    </row>
    <row r="369" spans="1:5" s="212" customFormat="1" ht="15" customHeight="1">
      <c r="A369" s="209">
        <v>4231</v>
      </c>
      <c r="B369" s="414"/>
      <c r="C369" s="163" t="s">
        <v>1188</v>
      </c>
      <c r="D369" s="643" t="s">
        <v>0</v>
      </c>
      <c r="E369" s="646">
        <f>'Materiais de Medições'!E48+'Materiais de Medições'!F48+'Materiais de Medições'!G48+'Materiais de Medições'!H48+'Materiais de Medições'!I48+'Materiais de Medições'!J48+'Materiais de Medições'!K48+'Materiais de Medições'!L48+'Materiais de Medições'!M48+'Materiais de Medições'!N48+'Materiais de Medições'!O48+'Materiais de Medições'!P48+'Mono 34,5kv'!DX492</f>
        <v>0</v>
      </c>
    </row>
    <row r="370" spans="1:5" s="212" customFormat="1" ht="15" customHeight="1">
      <c r="A370" s="209">
        <v>4079</v>
      </c>
      <c r="B370" s="414"/>
      <c r="C370" s="163" t="s">
        <v>443</v>
      </c>
      <c r="D370" s="643" t="s">
        <v>0</v>
      </c>
      <c r="E370" s="646">
        <f>'Materiais de Medições'!E49+'Materiais de Medições'!F49+'Materiais de Medições'!G49+'Materiais de Medições'!H49+'Materiais de Medições'!I49+'Materiais de Medições'!J49+'Materiais de Medições'!K49+'Materiais de Medições'!L49+'Materiais de Medições'!M49+'Materiais de Medições'!N49+'Materiais de Medições'!O49+'Materiais de Medições'!P49+'Mono 34,5kv'!DX493</f>
        <v>0</v>
      </c>
    </row>
    <row r="371" spans="1:5" s="212" customFormat="1" ht="15" customHeight="1">
      <c r="A371" s="209">
        <v>4058</v>
      </c>
      <c r="B371" s="414"/>
      <c r="C371" s="163" t="s">
        <v>473</v>
      </c>
      <c r="D371" s="643" t="s">
        <v>0</v>
      </c>
      <c r="E371" s="646">
        <f>'Materiais de Medições'!E50+'Materiais de Medições'!F50+'Materiais de Medições'!G50+'Materiais de Medições'!H50+'Materiais de Medições'!I50+'Materiais de Medições'!J50+'Materiais de Medições'!K50+'Materiais de Medições'!L50+'Materiais de Medições'!M50+'Materiais de Medições'!N50+'Materiais de Medições'!O50+'Materiais de Medições'!P50+'Mono 34,5kv'!DX494</f>
        <v>0</v>
      </c>
    </row>
    <row r="372" spans="1:5" s="212" customFormat="1" ht="15" customHeight="1">
      <c r="A372" s="209">
        <v>4233</v>
      </c>
      <c r="B372" s="414"/>
      <c r="C372" s="163" t="s">
        <v>466</v>
      </c>
      <c r="D372" s="643" t="s">
        <v>0</v>
      </c>
      <c r="E372" s="646">
        <f>'Materiais de Medições'!E51+'Materiais de Medições'!F51+'Materiais de Medições'!G51+'Materiais de Medições'!H51+'Materiais de Medições'!I51+'Materiais de Medições'!J51+'Materiais de Medições'!K51+'Materiais de Medições'!L51+'Materiais de Medições'!M51+'Materiais de Medições'!N51+'Materiais de Medições'!O51+'Materiais de Medições'!P51+'Mono 34,5kv'!DX495</f>
        <v>0</v>
      </c>
    </row>
    <row r="373" spans="1:5" s="212" customFormat="1" ht="15" customHeight="1">
      <c r="A373" s="209">
        <v>4116</v>
      </c>
      <c r="B373" s="414"/>
      <c r="C373" s="163" t="s">
        <v>428</v>
      </c>
      <c r="D373" s="643" t="s">
        <v>0</v>
      </c>
      <c r="E373" s="646">
        <f>'Materiais de Medições'!E52+'Materiais de Medições'!F52+'Materiais de Medições'!G52+'Materiais de Medições'!H52+'Materiais de Medições'!I52+'Materiais de Medições'!J52+'Materiais de Medições'!K52+'Materiais de Medições'!L52+'Materiais de Medições'!M52+'Materiais de Medições'!N52+'Materiais de Medições'!O52+'Materiais de Medições'!P52+'Mono 34,5kv'!DX496</f>
        <v>0</v>
      </c>
    </row>
    <row r="374" spans="1:5" s="212" customFormat="1" ht="15" customHeight="1">
      <c r="A374" s="209">
        <v>4256</v>
      </c>
      <c r="B374" s="414"/>
      <c r="C374" s="163" t="s">
        <v>474</v>
      </c>
      <c r="D374" s="643" t="s">
        <v>0</v>
      </c>
      <c r="E374" s="646">
        <f>'Materiais de Medições'!E53+'Materiais de Medições'!F53+'Materiais de Medições'!G53+'Materiais de Medições'!H53+'Materiais de Medições'!I53+'Materiais de Medições'!J53+'Materiais de Medições'!K53+'Materiais de Medições'!L53+'Materiais de Medições'!M53+'Materiais de Medições'!N53+'Materiais de Medições'!O53+'Materiais de Medições'!P53+'Mono 34,5kv'!DX497</f>
        <v>0</v>
      </c>
    </row>
    <row r="375" spans="1:5" s="212" customFormat="1" ht="15" customHeight="1">
      <c r="A375" s="209">
        <v>4117</v>
      </c>
      <c r="B375" s="414"/>
      <c r="C375" s="163" t="s">
        <v>463</v>
      </c>
      <c r="D375" s="643" t="s">
        <v>0</v>
      </c>
      <c r="E375" s="646">
        <f>'Materiais de Medições'!E54+'Materiais de Medições'!F54+'Materiais de Medições'!G54+'Materiais de Medições'!H54+'Materiais de Medições'!I54+'Materiais de Medições'!J54+'Materiais de Medições'!K54+'Materiais de Medições'!L54+'Materiais de Medições'!M54+'Materiais de Medições'!N54+'Materiais de Medições'!O54+'Materiais de Medições'!P54+'Mono 34,5kv'!DX498</f>
        <v>0</v>
      </c>
    </row>
    <row r="376" spans="1:5" s="212" customFormat="1" ht="15" customHeight="1">
      <c r="A376" s="209">
        <v>4255</v>
      </c>
      <c r="B376" s="414"/>
      <c r="C376" s="163" t="s">
        <v>475</v>
      </c>
      <c r="D376" s="643" t="s">
        <v>0</v>
      </c>
      <c r="E376" s="646">
        <f>'Materiais de Medições'!E55+'Materiais de Medições'!F55+'Materiais de Medições'!G55+'Materiais de Medições'!H55+'Materiais de Medições'!I55+'Materiais de Medições'!J55+'Materiais de Medições'!K55+'Materiais de Medições'!L55+'Materiais de Medições'!M55+'Materiais de Medições'!N55+'Materiais de Medições'!O55+'Materiais de Medições'!P55+'Mono 34,5kv'!DX499</f>
        <v>0</v>
      </c>
    </row>
    <row r="377" spans="1:5" s="212" customFormat="1" ht="15" customHeight="1">
      <c r="A377" s="209"/>
      <c r="B377" s="414"/>
      <c r="C377" s="163" t="s">
        <v>1753</v>
      </c>
      <c r="D377" s="643" t="s">
        <v>0</v>
      </c>
      <c r="E377" s="646">
        <f>'Materiais de Medições'!E56+'Materiais de Medições'!F56+'Materiais de Medições'!G56+'Materiais de Medições'!H56+'Materiais de Medições'!I56+'Materiais de Medições'!J56+'Materiais de Medições'!K56+'Materiais de Medições'!L56+'Materiais de Medições'!M56+'Materiais de Medições'!N56+'Materiais de Medições'!O56+'Materiais de Medições'!P56+'Mono 34,5kv'!DX500</f>
        <v>0</v>
      </c>
    </row>
    <row r="378" spans="1:5" s="212" customFormat="1" ht="15" customHeight="1">
      <c r="A378" s="209"/>
      <c r="B378" s="414"/>
      <c r="C378" s="163" t="s">
        <v>1185</v>
      </c>
      <c r="D378" s="643" t="s">
        <v>0</v>
      </c>
      <c r="E378" s="646">
        <f>'Materiais de Medições'!E57+'Materiais de Medições'!F57+'Materiais de Medições'!G57+'Materiais de Medições'!H57+'Materiais de Medições'!I57+'Materiais de Medições'!J57+'Materiais de Medições'!K57+'Materiais de Medições'!L57+'Materiais de Medições'!M57+'Materiais de Medições'!N57+'Materiais de Medições'!O57+'Materiais de Medições'!P57+'Mono 34,5kv'!DX500</f>
        <v>0</v>
      </c>
    </row>
    <row r="379" spans="1:5" s="212" customFormat="1" ht="15" customHeight="1">
      <c r="A379" s="209"/>
      <c r="B379" s="414"/>
      <c r="C379" s="163" t="s">
        <v>476</v>
      </c>
      <c r="D379" s="643" t="s">
        <v>0</v>
      </c>
      <c r="E379" s="646">
        <f>'Materiais de Medições'!E58+'Materiais de Medições'!F58+'Materiais de Medições'!G58+'Materiais de Medições'!H58+'Materiais de Medições'!I58+'Materiais de Medições'!J58+'Materiais de Medições'!K58+'Materiais de Medições'!L58+'Materiais de Medições'!M58+'Materiais de Medições'!N58+'Materiais de Medições'!O58+'Materiais de Medições'!P58+'Mono 34,5kv'!DX501</f>
        <v>0</v>
      </c>
    </row>
    <row r="380" spans="1:5" s="212" customFormat="1" ht="15" customHeight="1">
      <c r="A380" s="209"/>
      <c r="B380" s="414"/>
      <c r="C380" s="163" t="s">
        <v>1199</v>
      </c>
      <c r="D380" s="643" t="s">
        <v>0</v>
      </c>
      <c r="E380" s="646">
        <f>'Materiais de Medições'!E59+'Materiais de Medições'!F59+'Materiais de Medições'!G59+'Materiais de Medições'!H59+'Materiais de Medições'!I59+'Materiais de Medições'!J59+'Materiais de Medições'!K59+'Materiais de Medições'!L59+'Materiais de Medições'!M59+'Materiais de Medições'!N59+'Materiais de Medições'!O59+'Materiais de Medições'!P59+'Mono 34,5kv'!DX502</f>
        <v>0</v>
      </c>
    </row>
    <row r="381" spans="1:5" s="212" customFormat="1" ht="15" customHeight="1">
      <c r="A381" s="209"/>
      <c r="B381" s="414"/>
      <c r="C381" s="163" t="s">
        <v>1190</v>
      </c>
      <c r="D381" s="643" t="s">
        <v>0</v>
      </c>
      <c r="E381" s="646">
        <f>'Materiais de Medições'!E60+'Materiais de Medições'!F60+'Materiais de Medições'!G60+'Materiais de Medições'!H60+'Materiais de Medições'!I60+'Materiais de Medições'!J60+'Materiais de Medições'!K60+'Materiais de Medições'!L60+'Materiais de Medições'!M60+'Materiais de Medições'!N60+'Materiais de Medições'!O60+'Materiais de Medições'!P60+'Mono 34,5kv'!DX503</f>
        <v>0</v>
      </c>
    </row>
    <row r="382" spans="1:5" s="212" customFormat="1" ht="15" customHeight="1">
      <c r="A382" s="209"/>
      <c r="B382" s="414"/>
      <c r="C382" s="163" t="s">
        <v>1189</v>
      </c>
      <c r="D382" s="643" t="s">
        <v>0</v>
      </c>
      <c r="E382" s="646">
        <f>'Materiais de Medições'!E61+'Materiais de Medições'!F61+'Materiais de Medições'!G61+'Materiais de Medições'!H61+'Materiais de Medições'!I61+'Materiais de Medições'!J61+'Materiais de Medições'!K61+'Materiais de Medições'!L61+'Materiais de Medições'!M61+'Materiais de Medições'!N61+'Materiais de Medições'!O61+'Materiais de Medições'!P61+'Mono 34,5kv'!DX504</f>
        <v>0</v>
      </c>
    </row>
    <row r="383" spans="1:5" s="212" customFormat="1" ht="15" customHeight="1">
      <c r="A383" s="209"/>
      <c r="B383" s="414"/>
      <c r="C383" s="163" t="s">
        <v>1181</v>
      </c>
      <c r="D383" s="643" t="s">
        <v>0</v>
      </c>
      <c r="E383" s="646">
        <f>'Materiais de Medições'!E62+'Materiais de Medições'!F62+'Materiais de Medições'!G62+'Materiais de Medições'!H62+'Materiais de Medições'!I62+'Materiais de Medições'!J62+'Materiais de Medições'!K62+'Materiais de Medições'!L62+'Materiais de Medições'!M62+'Materiais de Medições'!N62+'Materiais de Medições'!O62+'Materiais de Medições'!P62+'Mono 34,5kv'!DX505</f>
        <v>0</v>
      </c>
    </row>
    <row r="384" spans="1:5" s="212" customFormat="1" ht="15" customHeight="1">
      <c r="A384" s="209">
        <v>3981</v>
      </c>
      <c r="B384" s="414"/>
      <c r="C384" s="163" t="s">
        <v>415</v>
      </c>
      <c r="D384" s="643" t="s">
        <v>0</v>
      </c>
      <c r="E384" s="646">
        <f>'Materiais de Medições'!E63+'Materiais de Medições'!F63+'Materiais de Medições'!G63+'Materiais de Medições'!H63+'Materiais de Medições'!I63+'Materiais de Medições'!J63+'Materiais de Medições'!K63+'Materiais de Medições'!L63+'Materiais de Medições'!M63+'Materiais de Medições'!N63+'Materiais de Medições'!O63+'Materiais de Medições'!P63+'Mono 34,5kv'!DX506</f>
        <v>0</v>
      </c>
    </row>
    <row r="385" spans="1:5" s="212" customFormat="1" ht="15" customHeight="1">
      <c r="A385" s="209"/>
      <c r="B385" s="414"/>
      <c r="C385" s="192" t="s">
        <v>1198</v>
      </c>
      <c r="D385" s="643" t="s">
        <v>0</v>
      </c>
      <c r="E385" s="646">
        <f>'Materiais de Medições'!E64+'Materiais de Medições'!F64+'Materiais de Medições'!G64+'Materiais de Medições'!H64+'Materiais de Medições'!I64+'Materiais de Medições'!J64+'Materiais de Medições'!K64+'Materiais de Medições'!L64+'Materiais de Medições'!M64+'Materiais de Medições'!N64+'Materiais de Medições'!O64+'Materiais de Medições'!P64+'Mono 34,5kv'!DX507</f>
        <v>0</v>
      </c>
    </row>
    <row r="386" spans="1:5" s="212" customFormat="1" ht="15" customHeight="1">
      <c r="A386" s="209"/>
      <c r="B386" s="414"/>
      <c r="C386" s="192" t="s">
        <v>1182</v>
      </c>
      <c r="D386" s="643" t="s">
        <v>0</v>
      </c>
      <c r="E386" s="646">
        <f>'Materiais de Medições'!E65+'Materiais de Medições'!F65+'Materiais de Medições'!G65+'Materiais de Medições'!H65+'Materiais de Medições'!I65+'Materiais de Medições'!J65+'Materiais de Medições'!K65+'Materiais de Medições'!L65+'Materiais de Medições'!M65+'Materiais de Medições'!N65+'Materiais de Medições'!O65+'Materiais de Medições'!P65+'Mono 34,5kv'!DX508</f>
        <v>0</v>
      </c>
    </row>
    <row r="387" spans="1:5" s="212" customFormat="1" ht="15" customHeight="1">
      <c r="A387" s="209"/>
      <c r="B387" s="414"/>
      <c r="C387" s="192" t="s">
        <v>1183</v>
      </c>
      <c r="D387" s="643" t="s">
        <v>0</v>
      </c>
      <c r="E387" s="646">
        <f>'Materiais de Medições'!E66+'Materiais de Medições'!F66+'Materiais de Medições'!G66+'Materiais de Medições'!H66+'Materiais de Medições'!I66+'Materiais de Medições'!J66+'Materiais de Medições'!K66+'Materiais de Medições'!L66+'Materiais de Medições'!M66+'Materiais de Medições'!N66+'Materiais de Medições'!O66+'Materiais de Medições'!P66+'Mono 34,5kv'!DX509</f>
        <v>0</v>
      </c>
    </row>
    <row r="388" spans="1:5" s="212" customFormat="1" ht="15" customHeight="1">
      <c r="A388" s="209">
        <v>4492</v>
      </c>
      <c r="B388" s="414"/>
      <c r="C388" s="192" t="s">
        <v>1184</v>
      </c>
      <c r="D388" s="643" t="s">
        <v>0</v>
      </c>
      <c r="E388" s="646">
        <f>'Materiais de Medições'!E67+'Materiais de Medições'!F67+'Materiais de Medições'!G67+'Materiais de Medições'!H67+'Materiais de Medições'!I67+'Materiais de Medições'!J67+'Materiais de Medições'!K67+'Materiais de Medições'!L67+'Materiais de Medições'!M67+'Materiais de Medições'!N67+'Materiais de Medições'!O67+'Materiais de Medições'!P67+'Mono 34,5kv'!DX510</f>
        <v>0</v>
      </c>
    </row>
    <row r="389" spans="1:5" s="212" customFormat="1" ht="15" customHeight="1">
      <c r="A389" s="209">
        <v>3969</v>
      </c>
      <c r="B389" s="414"/>
      <c r="C389" s="192" t="s">
        <v>444</v>
      </c>
      <c r="D389" s="643" t="s">
        <v>0</v>
      </c>
      <c r="E389" s="646">
        <f>'Materiais de Medições'!E68+'Materiais de Medições'!F68+'Materiais de Medições'!G68+'Materiais de Medições'!H68+'Materiais de Medições'!I68+'Materiais de Medições'!J68+'Materiais de Medições'!K68+'Materiais de Medições'!L68+'Materiais de Medições'!M68+'Materiais de Medições'!N68+'Materiais de Medições'!O68+'Materiais de Medições'!P68+'Mono 34,5kv'!DX511</f>
        <v>0</v>
      </c>
    </row>
    <row r="390" spans="1:5" s="212" customFormat="1" ht="15" customHeight="1">
      <c r="A390" s="1450"/>
      <c r="B390" s="750"/>
      <c r="C390" s="1451" t="s">
        <v>1264</v>
      </c>
      <c r="D390" s="751" t="s">
        <v>743</v>
      </c>
      <c r="E390" s="1452">
        <f>'Materiais de Medições'!E69+'Materiais de Medições'!F69+'Materiais de Medições'!G69+'Materiais de Medições'!H69+'Materiais de Medições'!I69+'Materiais de Medições'!J69+'Materiais de Medições'!K69+'Materiais de Medições'!L69+'Materiais de Medições'!M69+'Materiais de Medições'!N69+'Materiais de Medições'!O69+'Materiais de Medições'!P69+'Mono 34,5kv'!DX512</f>
        <v>0</v>
      </c>
    </row>
    <row r="391" spans="1:5" s="212" customFormat="1" ht="15" customHeight="1">
      <c r="A391" s="1450"/>
      <c r="B391" s="750"/>
      <c r="C391" s="1451" t="s">
        <v>1743</v>
      </c>
      <c r="D391" s="751" t="s">
        <v>743</v>
      </c>
      <c r="E391" s="1452">
        <f>'Materiais de Medições'!E70+'Materiais de Medições'!F70+'Materiais de Medições'!G70+'Materiais de Medições'!H70+'Materiais de Medições'!I70+'Materiais de Medições'!J70+'Materiais de Medições'!K70+'Materiais de Medições'!L70+'Materiais de Medições'!M70+'Materiais de Medições'!N70+'Materiais de Medições'!O70+'Materiais de Medições'!P70+'Mono 34,5kv'!DX512</f>
        <v>0</v>
      </c>
    </row>
    <row r="392" spans="1:5" s="212" customFormat="1" ht="15" customHeight="1">
      <c r="A392" s="1450"/>
      <c r="B392" s="750"/>
      <c r="C392" s="749" t="s">
        <v>1340</v>
      </c>
      <c r="D392" s="751" t="s">
        <v>1337</v>
      </c>
      <c r="E392" s="1452">
        <f>'Materiais de Medições'!E71+'Materiais de Medições'!F71+'Materiais de Medições'!G71+'Materiais de Medições'!H71+'Materiais de Medições'!I71+'Materiais de Medições'!J71+'Materiais de Medições'!K71+'Materiais de Medições'!L71+'Materiais de Medições'!M71+'Materiais de Medições'!N71+'Materiais de Medições'!O71+'Materiais de Medições'!P71+'Mono 34,5kv'!DX513</f>
        <v>0</v>
      </c>
    </row>
    <row r="393" spans="1:5" s="212" customFormat="1" ht="15" customHeight="1">
      <c r="A393" s="1450"/>
      <c r="B393" s="750"/>
      <c r="C393" s="749" t="s">
        <v>1339</v>
      </c>
      <c r="D393" s="751" t="s">
        <v>1338</v>
      </c>
      <c r="E393" s="1452">
        <f>'Materiais de Medições'!E72+'Materiais de Medições'!F72+'Materiais de Medições'!G72+'Materiais de Medições'!H72+'Materiais de Medições'!I72+'Materiais de Medições'!J72+'Materiais de Medições'!K72+'Materiais de Medições'!L72+'Materiais de Medições'!M72+'Materiais de Medições'!N72+'Materiais de Medições'!O72+'Materiais de Medições'!P72+'Mono 34,5kv'!DX514</f>
        <v>0</v>
      </c>
    </row>
    <row r="394" spans="1:5" s="212" customFormat="1" ht="15" customHeight="1">
      <c r="A394" s="1450"/>
      <c r="B394" s="750"/>
      <c r="C394" s="749" t="s">
        <v>1342</v>
      </c>
      <c r="D394" s="751" t="s">
        <v>574</v>
      </c>
      <c r="E394" s="1452">
        <f>'Materiais de Medições'!E73+'Materiais de Medições'!F73+'Materiais de Medições'!G73+'Materiais de Medições'!H73+'Materiais de Medições'!I73+'Materiais de Medições'!J73+'Materiais de Medições'!K73+'Materiais de Medições'!L73+'Materiais de Medições'!M73+'Materiais de Medições'!N73+'Materiais de Medições'!O73+'Materiais de Medições'!P73+'Mono 34,5kv'!DX515</f>
        <v>0</v>
      </c>
    </row>
    <row r="395" spans="1:5" s="212" customFormat="1" ht="15" customHeight="1">
      <c r="A395" s="1450"/>
      <c r="B395" s="750"/>
      <c r="C395" s="749" t="s">
        <v>1341</v>
      </c>
      <c r="D395" s="751" t="s">
        <v>743</v>
      </c>
      <c r="E395" s="1452">
        <f>'Materiais de Medições'!E74+'Materiais de Medições'!F74+'Materiais de Medições'!G74+'Materiais de Medições'!H74+'Materiais de Medições'!I74+'Materiais de Medições'!J74+'Materiais de Medições'!K74+'Materiais de Medições'!L74+'Materiais de Medições'!M74+'Materiais de Medições'!N74+'Materiais de Medições'!O74+'Materiais de Medições'!P74+'Mono 34,5kv'!DX516</f>
        <v>0</v>
      </c>
    </row>
    <row r="396" spans="1:5" s="212" customFormat="1" ht="15" customHeight="1">
      <c r="A396" s="1450"/>
      <c r="B396" s="750"/>
      <c r="C396" s="749" t="s">
        <v>1343</v>
      </c>
      <c r="D396" s="751" t="s">
        <v>0</v>
      </c>
      <c r="E396" s="1452">
        <f>'Materiais de Medições'!E75+'Materiais de Medições'!F75+'Materiais de Medições'!G75+'Materiais de Medições'!H75+'Materiais de Medições'!I75+'Materiais de Medições'!J75+'Materiais de Medições'!K75+'Materiais de Medições'!L75+'Materiais de Medições'!M75+'Materiais de Medições'!N75+'Materiais de Medições'!O75+'Materiais de Medições'!P75+'Mono 34,5kv'!DX517</f>
        <v>0</v>
      </c>
    </row>
    <row r="397" spans="1:5" s="212" customFormat="1" ht="15" customHeight="1">
      <c r="A397" s="1450"/>
      <c r="B397" s="750"/>
      <c r="C397" s="749" t="s">
        <v>1345</v>
      </c>
      <c r="D397" s="751" t="s">
        <v>743</v>
      </c>
      <c r="E397" s="1452">
        <f>'Materiais de Medições'!E76+'Materiais de Medições'!F76+'Materiais de Medições'!G76+'Materiais de Medições'!H76+'Materiais de Medições'!I76+'Materiais de Medições'!J76+'Materiais de Medições'!K76+'Materiais de Medições'!L76+'Materiais de Medições'!M76+'Materiais de Medições'!N76+'Materiais de Medições'!O76+'Materiais de Medições'!P76+'Mono 34,5kv'!DX518</f>
        <v>0</v>
      </c>
    </row>
    <row r="398" spans="1:5" s="212" customFormat="1" ht="15" customHeight="1">
      <c r="A398" s="1450"/>
      <c r="B398" s="1450"/>
      <c r="C398" s="749" t="s">
        <v>1344</v>
      </c>
      <c r="D398" s="751" t="s">
        <v>743</v>
      </c>
      <c r="E398" s="1452">
        <f>'Materiais de Medições'!E77+'Materiais de Medições'!F77+'Materiais de Medições'!G77+'Materiais de Medições'!H77+'Materiais de Medições'!I77+'Materiais de Medições'!J77+'Materiais de Medições'!K77+'Materiais de Medições'!L77+'Materiais de Medições'!M77+'Materiais de Medições'!N77+'Materiais de Medições'!O77+'Materiais de Medições'!P77+'Mono 34,5kv'!DX519</f>
        <v>0</v>
      </c>
    </row>
    <row r="399" spans="1:5" s="546" customFormat="1" ht="15" customHeight="1">
      <c r="A399" s="545">
        <v>4331</v>
      </c>
      <c r="B399" s="639"/>
      <c r="C399" s="192" t="s">
        <v>1294</v>
      </c>
      <c r="D399" s="643" t="s">
        <v>0</v>
      </c>
      <c r="E399" s="646">
        <f>'Materiais de Medições'!E78+'Materiais de Medições'!F78+'Materiais de Medições'!G78+'Materiais de Medições'!H78+'Materiais de Medições'!I78+'Materiais de Medições'!J78+'Materiais de Medições'!K78+'Materiais de Medições'!L78+'Materiais de Medições'!M78+'Materiais de Medições'!N78+'Materiais de Medições'!O78+'Materiais de Medições'!P78+'Mono 34,5kv'!DX520</f>
        <v>0</v>
      </c>
    </row>
    <row r="400" spans="1:5" s="546" customFormat="1" ht="15" customHeight="1">
      <c r="A400" s="545">
        <v>4014</v>
      </c>
      <c r="B400" s="639"/>
      <c r="C400" s="5" t="s">
        <v>1295</v>
      </c>
      <c r="D400" s="643" t="s">
        <v>0</v>
      </c>
      <c r="E400" s="646">
        <f>'Materiais de Medições'!E79+'Materiais de Medições'!F79+'Materiais de Medições'!G79+'Materiais de Medições'!H79+'Materiais de Medições'!I79+'Materiais de Medições'!J79+'Materiais de Medições'!K79+'Materiais de Medições'!L79+'Materiais de Medições'!M79+'Materiais de Medições'!N79+'Materiais de Medições'!O79+'Materiais de Medições'!P79+'Mono 34,5kv'!DX521</f>
        <v>0</v>
      </c>
    </row>
    <row r="401" spans="1:5" s="546" customFormat="1" ht="15" customHeight="1">
      <c r="A401" s="545">
        <v>3962</v>
      </c>
      <c r="B401" s="639"/>
      <c r="C401" s="5" t="s">
        <v>1296</v>
      </c>
      <c r="D401" s="643" t="s">
        <v>0</v>
      </c>
      <c r="E401" s="646">
        <f>'Materiais de Medições'!E80+'Materiais de Medições'!F80+'Materiais de Medições'!G80+'Materiais de Medições'!H80+'Materiais de Medições'!I80+'Materiais de Medições'!J80+'Materiais de Medições'!K80+'Materiais de Medições'!L80+'Materiais de Medições'!M80+'Materiais de Medições'!N80+'Materiais de Medições'!O80+'Materiais de Medições'!P80+'Mono 34,5kv'!DX522</f>
        <v>0</v>
      </c>
    </row>
    <row r="402" spans="1:5" s="546" customFormat="1" ht="15" customHeight="1">
      <c r="A402" s="545">
        <v>4177</v>
      </c>
      <c r="B402" s="639"/>
      <c r="C402" s="5" t="s">
        <v>1297</v>
      </c>
      <c r="D402" s="643" t="s">
        <v>0</v>
      </c>
      <c r="E402" s="646">
        <f>'Materiais de Medições'!E81+'Materiais de Medições'!F81+'Materiais de Medições'!G81+'Materiais de Medições'!H81+'Materiais de Medições'!I81+'Materiais de Medições'!J81+'Materiais de Medições'!K81+'Materiais de Medições'!L81+'Materiais de Medições'!M81+'Materiais de Medições'!N81+'Materiais de Medições'!O81+'Materiais de Medições'!P81+'Mono 34,5kv'!DX523</f>
        <v>0</v>
      </c>
    </row>
    <row r="403" spans="1:5" s="546" customFormat="1" ht="15" customHeight="1">
      <c r="A403" s="545">
        <v>4013</v>
      </c>
      <c r="B403" s="639"/>
      <c r="C403" s="5" t="s">
        <v>1298</v>
      </c>
      <c r="D403" s="643" t="s">
        <v>0</v>
      </c>
      <c r="E403" s="646">
        <f>'Materiais de Medições'!E82+'Materiais de Medições'!F82+'Materiais de Medições'!G82+'Materiais de Medições'!H82+'Materiais de Medições'!I82+'Materiais de Medições'!J82+'Materiais de Medições'!K82+'Materiais de Medições'!L82+'Materiais de Medições'!M82+'Materiais de Medições'!N82+'Materiais de Medições'!O82+'Materiais de Medições'!P82+'Mono 34,5kv'!DX524</f>
        <v>0</v>
      </c>
    </row>
    <row r="404" spans="1:5" s="546" customFormat="1" ht="15" customHeight="1">
      <c r="A404" s="545"/>
      <c r="B404" s="639"/>
      <c r="C404" s="5" t="s">
        <v>1299</v>
      </c>
      <c r="D404" s="643" t="s">
        <v>0</v>
      </c>
      <c r="E404" s="646">
        <f>'Materiais de Medições'!E83+'Materiais de Medições'!F83+'Materiais de Medições'!G83+'Materiais de Medições'!H83+'Materiais de Medições'!I83+'Materiais de Medições'!J83+'Materiais de Medições'!K83+'Materiais de Medições'!L83+'Materiais de Medições'!M83+'Materiais de Medições'!N83+'Materiais de Medições'!O83+'Materiais de Medições'!P83+'Mono 34,5kv'!DX525</f>
        <v>0</v>
      </c>
    </row>
    <row r="405" spans="1:5" s="546" customFormat="1" ht="15" customHeight="1">
      <c r="A405" s="545">
        <v>4119</v>
      </c>
      <c r="B405" s="639"/>
      <c r="C405" s="163" t="s">
        <v>1300</v>
      </c>
      <c r="D405" s="643" t="s">
        <v>0</v>
      </c>
      <c r="E405" s="646">
        <f>'Materiais de Medições'!E84+'Materiais de Medições'!F84+'Materiais de Medições'!G84+'Materiais de Medições'!H84+'Materiais de Medições'!I84+'Materiais de Medições'!J84+'Materiais de Medições'!K84+'Materiais de Medições'!L84+'Materiais de Medições'!M84+'Materiais de Medições'!N84+'Materiais de Medições'!O84+'Materiais de Medições'!P84+'Mono 34,5kv'!DX526</f>
        <v>0</v>
      </c>
    </row>
    <row r="406" spans="1:5" s="546" customFormat="1" ht="15" customHeight="1">
      <c r="A406" s="545">
        <v>4120</v>
      </c>
      <c r="B406" s="639"/>
      <c r="C406" s="163" t="s">
        <v>1301</v>
      </c>
      <c r="D406" s="643" t="s">
        <v>0</v>
      </c>
      <c r="E406" s="646">
        <f>'Materiais de Medições'!E85+'Materiais de Medições'!F85+'Materiais de Medições'!G85+'Materiais de Medições'!H85+'Materiais de Medições'!I85+'Materiais de Medições'!J85+'Materiais de Medições'!K85+'Materiais de Medições'!L85+'Materiais de Medições'!M85+'Materiais de Medições'!N85+'Materiais de Medições'!O85+'Materiais de Medições'!P85+'Mono 34,5kv'!DX527</f>
        <v>0</v>
      </c>
    </row>
    <row r="407" spans="1:5" s="546" customFormat="1" ht="15" customHeight="1">
      <c r="A407" s="545"/>
      <c r="B407" s="639"/>
      <c r="C407" s="163" t="s">
        <v>1302</v>
      </c>
      <c r="D407" s="643" t="s">
        <v>0</v>
      </c>
      <c r="E407" s="646">
        <f>'Materiais de Medições'!E86+'Materiais de Medições'!F86+'Materiais de Medições'!G86+'Materiais de Medições'!H86+'Materiais de Medições'!I86+'Materiais de Medições'!J86+'Materiais de Medições'!K86+'Materiais de Medições'!L86+'Materiais de Medições'!M86+'Materiais de Medições'!N86+'Materiais de Medições'!O86+'Materiais de Medições'!P86+'Mono 34,5kv'!DX528</f>
        <v>0</v>
      </c>
    </row>
    <row r="408" spans="1:5" s="546" customFormat="1" ht="15" customHeight="1">
      <c r="A408" s="545"/>
      <c r="B408" s="639"/>
      <c r="C408" s="685" t="s">
        <v>1303</v>
      </c>
      <c r="D408" s="686" t="s">
        <v>0</v>
      </c>
      <c r="E408" s="646">
        <f>'Materiais de Medições'!E87+'Materiais de Medições'!F87+'Materiais de Medições'!G87+'Materiais de Medições'!H87+'Materiais de Medições'!I87+'Materiais de Medições'!J87+'Materiais de Medições'!K87+'Materiais de Medições'!L87+'Materiais de Medições'!M87+'Materiais de Medições'!N87+'Materiais de Medições'!O87+'Materiais de Medições'!P87+'Mono 34,5kv'!DX529</f>
        <v>0</v>
      </c>
    </row>
    <row r="409" spans="1:5" ht="18.75" customHeight="1">
      <c r="A409" s="457"/>
      <c r="B409" s="640"/>
      <c r="C409" s="458" t="s">
        <v>1113</v>
      </c>
      <c r="D409" s="898"/>
      <c r="E409" s="647">
        <f>'RELIGADOR 13.8 e 34.5KV'!I7+'RELIGADOR 13.8 e 34.5KV'!J7+'RELIGADOR 13.8 e 34.5KV'!K7+'RELIGADOR 13.8 e 34.5KV'!L7+'RELIGADOR 13.8 e 34.5KV'!I8+'RELIGADOR 13.8 e 34.5KV'!J8+'RELIGADOR 13.8 e 34.5KV'!K8+'RELIGADOR 13.8 e 34.5KV'!L8+'RELIGADOR 13.8 e 34.5KV'!L9+'RELIGADOR 13.8 e 34.5KV'!K9+'RELIGADOR 13.8 e 34.5KV'!J9+'RELIGADOR 13.8 e 34.5KV'!I9+'RELIGADOR 13.8 e 34.5KV'!I10+'RELIGADOR 13.8 e 34.5KV'!J10+'RELIGADOR 13.8 e 34.5KV'!K10+'RELIGADOR 13.8 e 34.5KV'!L10+'RELIGADOR 13.8 e 34.5KV'!L11+'RELIGADOR 13.8 e 34.5KV'!K11+'RELIGADOR 13.8 e 34.5KV'!J11+'RELIGADOR 13.8 e 34.5KV'!I11+'RELIGADOR 13.8 e 34.5KV'!I12+'RELIGADOR 13.8 e 34.5KV'!J12+'RELIGADOR 13.8 e 34.5KV'!K12+'RELIGADOR 13.8 e 34.5KV'!L12+'RELIGADOR 13.8 e 34.5KV'!L13+'RELIGADOR 13.8 e 34.5KV'!K13+'RELIGADOR 13.8 e 34.5KV'!J13+'RELIGADOR 13.8 e 34.5KV'!I13+'RELIGADOR 13.8 e 34.5KV'!I14+'RELIGADOR 13.8 e 34.5KV'!J14+'RELIGADOR 13.8 e 34.5KV'!K14+'RELIGADOR 13.8 e 34.5KV'!L14+'RELIGADOR 13.8 e 34.5KV'!L15+'RELIGADOR 13.8 e 34.5KV'!K15+'RELIGADOR 13.8 e 34.5KV'!J15+'RELIGADOR 13.8 e 34.5KV'!I15+'RELIGADOR 13.8 e 34.5KV'!I16+'RELIGADOR 13.8 e 34.5KV'!J16+'RELIGADOR 13.8 e 34.5KV'!K16+'RELIGADOR 13.8 e 34.5KV'!L16+'RELIGADOR 13.8 e 34.5KV'!L17+'RELIGADOR 13.8 e 34.5KV'!K17+'RELIGADOR 13.8 e 34.5KV'!J17+'RELIGADOR 13.8 e 34.5KV'!I17+'RELIGADOR 13.8 e 34.5KV'!I18+'RELIGADOR 13.8 e 34.5KV'!J18+'RELIGADOR 13.8 e 34.5KV'!K18+'RELIGADOR 13.8 e 34.5KV'!L18+'RELIGADOR 13.8 e 34.5KV'!O7+'RELIGADOR 13.8 e 34.5KV'!P7+'RELIGADOR 13.8 e 34.5KV'!Q7+'RELIGADOR 13.8 e 34.5KV'!R7+'RELIGADOR 13.8 e 34.5KV'!R8+'RELIGADOR 13.8 e 34.5KV'!Q8+'RELIGADOR 13.8 e 34.5KV'!P8+'RELIGADOR 13.8 e 34.5KV'!O8+'RELIGADOR 13.8 e 34.5KV'!O9+'RELIGADOR 13.8 e 34.5KV'!P9+'RELIGADOR 13.8 e 34.5KV'!Q9+'RELIGADOR 13.8 e 34.5KV'!R9+'RELIGADOR 13.8 e 34.5KV'!R10+'RELIGADOR 13.8 e 34.5KV'!Q10+'RELIGADOR 13.8 e 34.5KV'!P10+'RELIGADOR 13.8 e 34.5KV'!O10+'RELIGADOR 13.8 e 34.5KV'!O11+'RELIGADOR 13.8 e 34.5KV'!P11+'RELIGADOR 13.8 e 34.5KV'!Q11+'RELIGADOR 13.8 e 34.5KV'!R11+'RELIGADOR 13.8 e 34.5KV'!R12+'RELIGADOR 13.8 e 34.5KV'!Q12+'RELIGADOR 13.8 e 34.5KV'!P12+'RELIGADOR 13.8 e 34.5KV'!O12+'RELIGADOR 13.8 e 34.5KV'!O13+'RELIGADOR 13.8 e 34.5KV'!P13+'RELIGADOR 13.8 e 34.5KV'!Q13+'RELIGADOR 13.8 e 34.5KV'!R13+'RELIGADOR 13.8 e 34.5KV'!R14+'RELIGADOR 13.8 e 34.5KV'!Q14+'RELIGADOR 13.8 e 34.5KV'!P14+'RELIGADOR 13.8 e 34.5KV'!O14+'RELIGADOR 13.8 e 34.5KV'!O15+'RELIGADOR 13.8 e 34.5KV'!P15+'RELIGADOR 13.8 e 34.5KV'!Q15+'RELIGADOR 13.8 e 34.5KV'!R15+'RELIGADOR 13.8 e 34.5KV'!R16+'RELIGADOR 13.8 e 34.5KV'!Q16+'RELIGADOR 13.8 e 34.5KV'!P16+'RELIGADOR 13.8 e 34.5KV'!O16+'RELIGADOR 13.8 e 34.5KV'!O17+'RELIGADOR 13.8 e 34.5KV'!P17+'RELIGADOR 13.8 e 34.5KV'!Q17+'RELIGADOR 13.8 e 34.5KV'!R17+'RELIGADOR 13.8 e 34.5KV'!R18+'RELIGADOR 13.8 e 34.5KV'!Q18+'RELIGADOR 13.8 e 34.5KV'!P18+'RELIGADOR 13.8 e 34.5KV'!O18</f>
        <v>0</v>
      </c>
    </row>
    <row r="410" spans="1:5" ht="18.75" customHeight="1">
      <c r="A410" s="457"/>
      <c r="B410" s="640"/>
      <c r="C410" s="458" t="s">
        <v>1112</v>
      </c>
      <c r="D410" s="898"/>
      <c r="E410" s="647">
        <f>'RELIGADOR NOVA C.P.S'!U20</f>
        <v>0</v>
      </c>
    </row>
    <row r="411" spans="1:5" ht="15" customHeight="1">
      <c r="A411" s="314" t="s">
        <v>1169</v>
      </c>
      <c r="B411" s="635" t="s">
        <v>1170</v>
      </c>
      <c r="C411" s="314" t="s">
        <v>1063</v>
      </c>
      <c r="D411" s="472" t="s">
        <v>171</v>
      </c>
      <c r="E411" s="343">
        <f>IF(SUM(E412:E495)=0,0,"Quant")</f>
        <v>0</v>
      </c>
    </row>
    <row r="412" spans="1:5" ht="15" customHeight="1">
      <c r="A412" s="167"/>
      <c r="B412" s="1495">
        <v>590401</v>
      </c>
      <c r="C412" s="167" t="s">
        <v>573</v>
      </c>
      <c r="D412" s="474" t="s">
        <v>574</v>
      </c>
      <c r="E412" s="649">
        <f>'RELIGADOR NOVA C.P.S'!T20+'RELIGADOR 13.8 e 34.5KV'!T20</f>
        <v>0</v>
      </c>
    </row>
    <row r="413" spans="1:5" ht="15" customHeight="1">
      <c r="A413" s="167"/>
      <c r="B413" s="637"/>
      <c r="C413" s="167" t="s">
        <v>767</v>
      </c>
      <c r="D413" s="474" t="s">
        <v>574</v>
      </c>
      <c r="E413" s="649">
        <f>'RELIGADOR 13.8 e 34.5KV'!T21+'RELIGADOR NOVA C.P.S'!T21</f>
        <v>0</v>
      </c>
    </row>
    <row r="414" spans="1:5" ht="15" customHeight="1">
      <c r="A414" s="167"/>
      <c r="B414" s="1495">
        <v>502944</v>
      </c>
      <c r="C414" s="167" t="s">
        <v>766</v>
      </c>
      <c r="D414" s="474" t="s">
        <v>574</v>
      </c>
      <c r="E414" s="649">
        <f>'RELIGADOR 13.8 e 34.5KV'!T22+'RELIGADOR NOVA C.P.S'!T22</f>
        <v>0</v>
      </c>
    </row>
    <row r="415" spans="1:5" ht="15" customHeight="1">
      <c r="A415" s="167"/>
      <c r="B415" s="167">
        <v>590251</v>
      </c>
      <c r="C415" s="167" t="s">
        <v>609</v>
      </c>
      <c r="D415" s="474" t="s">
        <v>574</v>
      </c>
      <c r="E415" s="649">
        <f>'RELIGADOR 13.8 e 34.5KV'!T23+'RELIGADOR NOVA C.P.S'!T23</f>
        <v>0</v>
      </c>
    </row>
    <row r="416" spans="1:5" ht="15" customHeight="1">
      <c r="A416" s="167"/>
      <c r="B416" s="637"/>
      <c r="C416" s="167" t="s">
        <v>585</v>
      </c>
      <c r="D416" s="474" t="s">
        <v>574</v>
      </c>
      <c r="E416" s="649">
        <f>'RELIGADOR 13.8 e 34.5KV'!T24+'RELIGADOR NOVA C.P.S'!T24</f>
        <v>0</v>
      </c>
    </row>
    <row r="417" spans="1:5" ht="15" customHeight="1">
      <c r="A417" s="167"/>
      <c r="B417" s="1495">
        <v>2808</v>
      </c>
      <c r="C417" s="167" t="s">
        <v>586</v>
      </c>
      <c r="D417" s="475" t="s">
        <v>574</v>
      </c>
      <c r="E417" s="649">
        <f>'RELIGADOR 13.8 e 34.5KV'!T25+'RELIGADOR NOVA C.P.S'!T25</f>
        <v>0</v>
      </c>
    </row>
    <row r="418" spans="1:5" ht="15" customHeight="1">
      <c r="A418" s="167"/>
      <c r="B418" s="1495">
        <v>623921</v>
      </c>
      <c r="C418" s="167" t="s">
        <v>582</v>
      </c>
      <c r="D418" s="475" t="s">
        <v>168</v>
      </c>
      <c r="E418" s="649">
        <f>'RELIGADOR 13.8 e 34.5KV'!T26+'RELIGADOR NOVA C.P.S'!T26</f>
        <v>0</v>
      </c>
    </row>
    <row r="419" spans="1:5" ht="15" customHeight="1">
      <c r="A419" s="167"/>
      <c r="B419" s="1495">
        <v>90473</v>
      </c>
      <c r="C419" s="167" t="s">
        <v>765</v>
      </c>
      <c r="D419" s="474" t="s">
        <v>0</v>
      </c>
      <c r="E419" s="649">
        <f>'RELIGADOR 13.8 e 34.5KV'!T27+'RELIGADOR NOVA C.P.S'!T27</f>
        <v>0</v>
      </c>
    </row>
    <row r="420" spans="1:5" ht="15" customHeight="1">
      <c r="A420" s="167"/>
      <c r="B420" s="1495">
        <v>590360</v>
      </c>
      <c r="C420" s="167" t="s">
        <v>604</v>
      </c>
      <c r="D420" s="474" t="s">
        <v>0</v>
      </c>
      <c r="E420" s="649">
        <f>'RELIGADOR 13.8 e 34.5KV'!T28+'RELIGADOR NOVA C.P.S'!T28</f>
        <v>0</v>
      </c>
    </row>
    <row r="421" spans="1:5" ht="15" customHeight="1">
      <c r="A421" s="167"/>
      <c r="B421" s="1495">
        <v>590443</v>
      </c>
      <c r="C421" s="167" t="s">
        <v>764</v>
      </c>
      <c r="D421" s="474" t="s">
        <v>0</v>
      </c>
      <c r="E421" s="649">
        <f>'RELIGADOR 13.8 e 34.5KV'!T29+'RELIGADOR NOVA C.P.S'!T29</f>
        <v>0</v>
      </c>
    </row>
    <row r="422" spans="1:5" ht="15" customHeight="1">
      <c r="A422" s="167"/>
      <c r="B422" s="1495">
        <v>590363</v>
      </c>
      <c r="C422" s="167" t="s">
        <v>605</v>
      </c>
      <c r="D422" s="474" t="s">
        <v>574</v>
      </c>
      <c r="E422" s="649">
        <f>'RELIGADOR 13.8 e 34.5KV'!T30+'RELIGADOR NOVA C.P.S'!T30</f>
        <v>0</v>
      </c>
    </row>
    <row r="423" spans="1:5" ht="15" customHeight="1">
      <c r="A423" s="167"/>
      <c r="B423" s="1495">
        <v>502952</v>
      </c>
      <c r="C423" s="167" t="s">
        <v>759</v>
      </c>
      <c r="D423" s="474" t="s">
        <v>574</v>
      </c>
      <c r="E423" s="649">
        <f>'RELIGADOR 13.8 e 34.5KV'!T31+'RELIGADOR NOVA C.P.S'!T31</f>
        <v>0</v>
      </c>
    </row>
    <row r="424" spans="1:5" ht="15" customHeight="1">
      <c r="A424" s="167"/>
      <c r="B424" s="637"/>
      <c r="C424" s="167" t="s">
        <v>760</v>
      </c>
      <c r="D424" s="474" t="s">
        <v>574</v>
      </c>
      <c r="E424" s="649">
        <f>'RELIGADOR 13.8 e 34.5KV'!T32+'RELIGADOR NOVA C.P.S'!T32</f>
        <v>0</v>
      </c>
    </row>
    <row r="425" spans="1:5" ht="15" customHeight="1">
      <c r="A425" s="167"/>
      <c r="B425" s="637"/>
      <c r="C425" s="167" t="s">
        <v>761</v>
      </c>
      <c r="D425" s="474" t="s">
        <v>574</v>
      </c>
      <c r="E425" s="649">
        <f>'RELIGADOR 13.8 e 34.5KV'!T33+'RELIGADOR NOVA C.P.S'!T33</f>
        <v>0</v>
      </c>
    </row>
    <row r="426" spans="1:5" ht="15" customHeight="1">
      <c r="A426" s="167"/>
      <c r="B426" s="637"/>
      <c r="C426" s="167" t="s">
        <v>762</v>
      </c>
      <c r="D426" s="475" t="s">
        <v>574</v>
      </c>
      <c r="E426" s="649">
        <f>'RELIGADOR 13.8 e 34.5KV'!T34+'RELIGADOR NOVA C.P.S'!T34</f>
        <v>0</v>
      </c>
    </row>
    <row r="427" spans="1:5" ht="15" customHeight="1">
      <c r="A427" s="167"/>
      <c r="B427" s="1497">
        <v>502815</v>
      </c>
      <c r="C427" s="167" t="s">
        <v>576</v>
      </c>
      <c r="D427" s="474" t="s">
        <v>574</v>
      </c>
      <c r="E427" s="649">
        <f>'RELIGADOR 13.8 e 34.5KV'!T35+'RELIGADOR NOVA C.P.S'!T35</f>
        <v>0</v>
      </c>
    </row>
    <row r="428" spans="1:5" ht="15" customHeight="1">
      <c r="A428" s="167"/>
      <c r="B428" s="637"/>
      <c r="C428" s="167" t="s">
        <v>575</v>
      </c>
      <c r="D428" s="474" t="s">
        <v>574</v>
      </c>
      <c r="E428" s="649">
        <f>'RELIGADOR 13.8 e 34.5KV'!T36+'RELIGADOR NOVA C.P.S'!T36</f>
        <v>0</v>
      </c>
    </row>
    <row r="429" spans="1:5" ht="15" customHeight="1">
      <c r="A429" s="167"/>
      <c r="B429" s="637"/>
      <c r="C429" s="167" t="s">
        <v>578</v>
      </c>
      <c r="D429" s="474" t="s">
        <v>574</v>
      </c>
      <c r="E429" s="649">
        <f>'RELIGADOR 13.8 e 34.5KV'!T37+'RELIGADOR NOVA C.P.S'!T37</f>
        <v>0</v>
      </c>
    </row>
    <row r="430" spans="1:5" ht="15" customHeight="1">
      <c r="A430" s="167"/>
      <c r="B430" s="637"/>
      <c r="C430" s="167" t="s">
        <v>577</v>
      </c>
      <c r="D430" s="474" t="s">
        <v>574</v>
      </c>
      <c r="E430" s="649">
        <f>'RELIGADOR 13.8 e 34.5KV'!T38+'RELIGADOR NOVA C.P.S'!T38</f>
        <v>0</v>
      </c>
    </row>
    <row r="431" spans="1:5" ht="15" customHeight="1">
      <c r="A431" s="167"/>
      <c r="B431" s="1495">
        <v>2919</v>
      </c>
      <c r="C431" s="167" t="s">
        <v>763</v>
      </c>
      <c r="D431" s="474" t="s">
        <v>574</v>
      </c>
      <c r="E431" s="649">
        <f>'RELIGADOR 13.8 e 34.5KV'!T39+'RELIGADOR NOVA C.P.S'!T39</f>
        <v>0</v>
      </c>
    </row>
    <row r="432" spans="1:5" ht="15" customHeight="1">
      <c r="A432" s="167">
        <v>3626</v>
      </c>
      <c r="B432" s="1495">
        <v>590440</v>
      </c>
      <c r="C432" s="167" t="s">
        <v>599</v>
      </c>
      <c r="D432" s="474" t="s">
        <v>574</v>
      </c>
      <c r="E432" s="649">
        <f>'RELIGADOR 13.8 e 34.5KV'!T40+'RELIGADOR NOVA C.P.S'!T40</f>
        <v>0</v>
      </c>
    </row>
    <row r="433" spans="1:5" ht="15" customHeight="1">
      <c r="A433" s="167"/>
      <c r="B433" s="637"/>
      <c r="C433" s="167" t="s">
        <v>1126</v>
      </c>
      <c r="D433" s="474" t="s">
        <v>574</v>
      </c>
      <c r="E433" s="649">
        <f>'RELIGADOR 13.8 e 34.5KV'!T41+'RELIGADOR NOVA C.P.S'!T41</f>
        <v>0</v>
      </c>
    </row>
    <row r="434" spans="1:5" ht="15" customHeight="1">
      <c r="A434" s="167"/>
      <c r="B434" s="1495">
        <v>590279</v>
      </c>
      <c r="C434" s="5" t="s">
        <v>596</v>
      </c>
      <c r="D434" s="474" t="s">
        <v>574</v>
      </c>
      <c r="E434" s="649">
        <f>'RELIGADOR 13.8 e 34.5KV'!T42+'RELIGADOR NOVA C.P.S'!T42</f>
        <v>0</v>
      </c>
    </row>
    <row r="435" spans="1:5" ht="15" customHeight="1">
      <c r="A435" s="167">
        <v>3603</v>
      </c>
      <c r="B435" s="1495">
        <v>590448</v>
      </c>
      <c r="C435" s="167" t="s">
        <v>593</v>
      </c>
      <c r="D435" s="474" t="s">
        <v>574</v>
      </c>
      <c r="E435" s="649">
        <f>'RELIGADOR 13.8 e 34.5KV'!T43+'RELIGADOR NOVA C.P.S'!T43</f>
        <v>0</v>
      </c>
    </row>
    <row r="436" spans="1:5" ht="15" customHeight="1">
      <c r="A436" s="167">
        <v>3626</v>
      </c>
      <c r="B436" s="1495">
        <v>502955</v>
      </c>
      <c r="C436" s="167" t="s">
        <v>600</v>
      </c>
      <c r="D436" s="474" t="s">
        <v>574</v>
      </c>
      <c r="E436" s="649">
        <f>'RELIGADOR 13.8 e 34.5KV'!T44+'RELIGADOR NOVA C.P.S'!T44</f>
        <v>0</v>
      </c>
    </row>
    <row r="437" spans="1:5" ht="15" customHeight="1">
      <c r="A437" s="167"/>
      <c r="B437" s="1495">
        <v>126</v>
      </c>
      <c r="C437" s="167" t="s">
        <v>758</v>
      </c>
      <c r="D437" s="475" t="s">
        <v>168</v>
      </c>
      <c r="E437" s="649">
        <f>'RELIGADOR 13.8 e 34.5KV'!T45+'RELIGADOR NOVA C.P.S'!T45</f>
        <v>0</v>
      </c>
    </row>
    <row r="438" spans="1:5" ht="15" customHeight="1">
      <c r="A438" s="167">
        <v>3522</v>
      </c>
      <c r="B438" s="167">
        <v>590294</v>
      </c>
      <c r="C438" s="167" t="s">
        <v>581</v>
      </c>
      <c r="D438" s="475" t="s">
        <v>168</v>
      </c>
      <c r="E438" s="649">
        <f>'RELIGADOR 13.8 e 34.5KV'!T46+'RELIGADOR NOVA C.P.S'!T46</f>
        <v>0</v>
      </c>
    </row>
    <row r="439" spans="1:5" ht="15" customHeight="1">
      <c r="A439" s="167"/>
      <c r="B439" s="1495">
        <v>502940</v>
      </c>
      <c r="C439" s="167" t="s">
        <v>594</v>
      </c>
      <c r="D439" s="475" t="s">
        <v>574</v>
      </c>
      <c r="E439" s="649">
        <f>'RELIGADOR 13.8 e 34.5KV'!T47+'RELIGADOR NOVA C.P.S'!T47</f>
        <v>0</v>
      </c>
    </row>
    <row r="440" spans="1:5" ht="15" customHeight="1">
      <c r="A440" s="167">
        <v>4085</v>
      </c>
      <c r="B440" s="637"/>
      <c r="C440" s="167" t="s">
        <v>1129</v>
      </c>
      <c r="D440" s="475" t="s">
        <v>1130</v>
      </c>
      <c r="E440" s="649">
        <f>'RELIGADOR 13.8 e 34.5KV'!T48+'RELIGADOR NOVA C.P.S'!T48</f>
        <v>0</v>
      </c>
    </row>
    <row r="441" spans="1:5" ht="15" customHeight="1">
      <c r="A441" s="167">
        <v>3553</v>
      </c>
      <c r="B441">
        <v>2915</v>
      </c>
      <c r="C441" s="167" t="s">
        <v>751</v>
      </c>
      <c r="D441" s="475" t="s">
        <v>574</v>
      </c>
      <c r="E441" s="649">
        <f>'RELIGADOR 13.8 e 34.5KV'!T49+'RELIGADOR NOVA C.P.S'!T49</f>
        <v>0</v>
      </c>
    </row>
    <row r="442" spans="1:5" ht="15" customHeight="1">
      <c r="A442" s="167">
        <v>4133</v>
      </c>
      <c r="B442" s="637"/>
      <c r="C442" s="167" t="s">
        <v>750</v>
      </c>
      <c r="D442" s="475" t="s">
        <v>574</v>
      </c>
      <c r="E442" s="649">
        <f>'RELIGADOR 13.8 e 34.5KV'!T50+'RELIGADOR NOVA C.P.S'!T50</f>
        <v>0</v>
      </c>
    </row>
    <row r="443" spans="1:5" ht="15" customHeight="1">
      <c r="A443" s="167"/>
      <c r="B443" s="637"/>
      <c r="C443" s="167" t="s">
        <v>1097</v>
      </c>
      <c r="D443" s="475" t="s">
        <v>0</v>
      </c>
      <c r="E443" s="649">
        <f>'RELIGADOR 13.8 e 34.5KV'!T51+'RELIGADOR NOVA C.P.S'!T51</f>
        <v>0</v>
      </c>
    </row>
    <row r="444" spans="1:5" ht="15" customHeight="1">
      <c r="A444" s="167"/>
      <c r="B444" s="637"/>
      <c r="C444" s="167" t="s">
        <v>752</v>
      </c>
      <c r="D444" s="474" t="s">
        <v>574</v>
      </c>
      <c r="E444" s="649">
        <f>'RELIGADOR 13.8 e 34.5KV'!T52+'RELIGADOR NOVA C.P.S'!T52</f>
        <v>0</v>
      </c>
    </row>
    <row r="445" spans="1:5" ht="15" customHeight="1">
      <c r="A445" s="167">
        <v>3554</v>
      </c>
      <c r="B445" s="1495">
        <v>174</v>
      </c>
      <c r="C445" s="167" t="s">
        <v>753</v>
      </c>
      <c r="D445" s="474" t="s">
        <v>574</v>
      </c>
      <c r="E445" s="649">
        <f>'RELIGADOR 13.8 e 34.5KV'!T53+'RELIGADOR NOVA C.P.S'!T53</f>
        <v>0</v>
      </c>
    </row>
    <row r="446" spans="1:5" ht="15" customHeight="1">
      <c r="A446" s="167">
        <v>4121</v>
      </c>
      <c r="B446" s="637"/>
      <c r="C446" s="167" t="s">
        <v>754</v>
      </c>
      <c r="D446" s="475" t="s">
        <v>574</v>
      </c>
      <c r="E446" s="649">
        <f>'RELIGADOR 13.8 e 34.5KV'!T54+'RELIGADOR NOVA C.P.S'!T54</f>
        <v>0</v>
      </c>
    </row>
    <row r="447" spans="1:5" ht="15" customHeight="1">
      <c r="A447" s="167">
        <v>3553</v>
      </c>
      <c r="B447" s="637"/>
      <c r="C447" s="167" t="s">
        <v>751</v>
      </c>
      <c r="D447" s="474" t="s">
        <v>574</v>
      </c>
      <c r="E447" s="649">
        <f>'RELIGADOR 13.8 e 34.5KV'!T55+'RELIGADOR NOVA C.P.S'!T55</f>
        <v>0</v>
      </c>
    </row>
    <row r="448" spans="1:5" ht="15" customHeight="1">
      <c r="A448" s="167"/>
      <c r="B448" s="637"/>
      <c r="C448" s="167" t="s">
        <v>755</v>
      </c>
      <c r="D448" s="475" t="s">
        <v>574</v>
      </c>
      <c r="E448" s="649">
        <f>'RELIGADOR 13.8 e 34.5KV'!T56+'RELIGADOR NOVA C.P.S'!T56</f>
        <v>0</v>
      </c>
    </row>
    <row r="449" spans="1:5" ht="15" customHeight="1">
      <c r="A449" s="167"/>
      <c r="B449" s="637"/>
      <c r="C449" s="167" t="s">
        <v>583</v>
      </c>
      <c r="D449" s="474" t="s">
        <v>574</v>
      </c>
      <c r="E449" s="649">
        <f>'RELIGADOR 13.8 e 34.5KV'!T57+'RELIGADOR NOVA C.P.S'!T57</f>
        <v>0</v>
      </c>
    </row>
    <row r="450" spans="1:5" ht="15" customHeight="1">
      <c r="A450" s="167"/>
      <c r="B450" s="209">
        <v>90548</v>
      </c>
      <c r="C450" s="167" t="s">
        <v>584</v>
      </c>
      <c r="D450" s="474" t="s">
        <v>574</v>
      </c>
      <c r="E450" s="649">
        <f>'RELIGADOR 13.8 e 34.5KV'!T58+'RELIGADOR NOVA C.P.S'!T58</f>
        <v>0</v>
      </c>
    </row>
    <row r="451" spans="1:5" ht="15" customHeight="1">
      <c r="A451" s="167"/>
      <c r="B451" s="209">
        <v>90364</v>
      </c>
      <c r="C451" s="167" t="s">
        <v>606</v>
      </c>
      <c r="D451" s="474" t="s">
        <v>574</v>
      </c>
      <c r="E451" s="649">
        <f>'RELIGADOR 13.8 e 34.5KV'!T59+'RELIGADOR NOVA C.P.S'!T59</f>
        <v>0</v>
      </c>
    </row>
    <row r="452" spans="1:5" ht="15" customHeight="1">
      <c r="A452" s="167">
        <v>3671</v>
      </c>
      <c r="B452" s="209">
        <v>503096</v>
      </c>
      <c r="C452" s="167" t="s">
        <v>614</v>
      </c>
      <c r="D452" s="474" t="s">
        <v>574</v>
      </c>
      <c r="E452" s="649">
        <f>'RELIGADOR 13.8 e 34.5KV'!T60+'RELIGADOR NOVA C.P.S'!T60</f>
        <v>0</v>
      </c>
    </row>
    <row r="453" spans="1:5" ht="15" customHeight="1">
      <c r="A453" s="167"/>
      <c r="B453" s="637"/>
      <c r="C453" s="167" t="s">
        <v>756</v>
      </c>
      <c r="D453" s="474" t="s">
        <v>574</v>
      </c>
      <c r="E453" s="649">
        <f>'RELIGADOR 13.8 e 34.5KV'!T61+'RELIGADOR NOVA C.P.S'!T61</f>
        <v>0</v>
      </c>
    </row>
    <row r="454" spans="1:5" ht="15" customHeight="1">
      <c r="A454" s="167"/>
      <c r="B454" s="637"/>
      <c r="C454" s="167" t="s">
        <v>757</v>
      </c>
      <c r="D454" s="474" t="s">
        <v>574</v>
      </c>
      <c r="E454" s="649">
        <f>'RELIGADOR 13.8 e 34.5KV'!T62+'RELIGADOR NOVA C.P.S'!T62</f>
        <v>0</v>
      </c>
    </row>
    <row r="455" spans="1:5" ht="15" customHeight="1">
      <c r="A455" s="167"/>
      <c r="B455" s="637"/>
      <c r="C455" s="167" t="s">
        <v>611</v>
      </c>
      <c r="D455" s="474" t="s">
        <v>574</v>
      </c>
      <c r="E455" s="649">
        <f>'RELIGADOR 13.8 e 34.5KV'!T63+'RELIGADOR NOVA C.P.S'!T63</f>
        <v>0</v>
      </c>
    </row>
    <row r="456" spans="1:5" ht="15" customHeight="1">
      <c r="A456" s="167"/>
      <c r="B456" s="637"/>
      <c r="C456" s="167" t="s">
        <v>612</v>
      </c>
      <c r="D456" s="474" t="s">
        <v>574</v>
      </c>
      <c r="E456" s="649">
        <f>'RELIGADOR 13.8 e 34.5KV'!T64+'RELIGADOR NOVA C.P.S'!T64</f>
        <v>0</v>
      </c>
    </row>
    <row r="457" spans="1:5" ht="15" customHeight="1">
      <c r="A457" s="167"/>
      <c r="B457" s="637"/>
      <c r="C457" s="167" t="s">
        <v>1165</v>
      </c>
      <c r="D457" s="474" t="s">
        <v>574</v>
      </c>
      <c r="E457" s="649">
        <f>'RELIGADOR 13.8 e 34.5KV'!T65+'RELIGADOR NOVA C.P.S'!T65</f>
        <v>0</v>
      </c>
    </row>
    <row r="458" spans="1:5" ht="15" customHeight="1">
      <c r="A458" s="167"/>
      <c r="B458" s="637"/>
      <c r="C458" s="167" t="s">
        <v>1167</v>
      </c>
      <c r="D458" s="474" t="s">
        <v>574</v>
      </c>
      <c r="E458" s="649">
        <f>'RELIGADOR 13.8 e 34.5KV'!T66+'RELIGADOR NOVA C.P.S'!T66</f>
        <v>0</v>
      </c>
    </row>
    <row r="459" spans="1:5" ht="15" customHeight="1">
      <c r="A459" s="167"/>
      <c r="B459" s="637"/>
      <c r="C459" s="167" t="s">
        <v>749</v>
      </c>
      <c r="D459" s="474" t="s">
        <v>574</v>
      </c>
      <c r="E459" s="649">
        <f>'RELIGADOR 13.8 e 34.5KV'!T67+'RELIGADOR NOVA C.P.S'!T67</f>
        <v>0</v>
      </c>
    </row>
    <row r="460" spans="1:5" ht="15" customHeight="1">
      <c r="A460" s="167"/>
      <c r="B460" s="1495">
        <v>3030</v>
      </c>
      <c r="C460" s="167" t="s">
        <v>601</v>
      </c>
      <c r="D460" s="474" t="s">
        <v>574</v>
      </c>
      <c r="E460" s="649">
        <f>'RELIGADOR 13.8 e 34.5KV'!T68+'RELIGADOR NOVA C.P.S'!T68</f>
        <v>0</v>
      </c>
    </row>
    <row r="461" spans="1:5" ht="15" customHeight="1">
      <c r="A461" s="167"/>
      <c r="B461" s="209">
        <v>2942</v>
      </c>
      <c r="C461" s="167" t="s">
        <v>610</v>
      </c>
      <c r="D461" s="474" t="s">
        <v>574</v>
      </c>
      <c r="E461" s="649">
        <f>'RELIGADOR 13.8 e 34.5KV'!T69+'RELIGADOR NOVA C.P.S'!T69</f>
        <v>0</v>
      </c>
    </row>
    <row r="462" spans="1:5" ht="15" customHeight="1">
      <c r="A462" s="167"/>
      <c r="B462" s="1495">
        <v>90512</v>
      </c>
      <c r="C462" s="167" t="s">
        <v>598</v>
      </c>
      <c r="D462" s="474" t="s">
        <v>574</v>
      </c>
      <c r="E462" s="649">
        <f>'RELIGADOR 13.8 e 34.5KV'!T70+'RELIGADOR NOVA C.P.S'!T70</f>
        <v>0</v>
      </c>
    </row>
    <row r="463" spans="1:5" ht="15" customHeight="1">
      <c r="A463" s="167"/>
      <c r="B463" s="637"/>
      <c r="C463" s="167" t="s">
        <v>597</v>
      </c>
      <c r="D463" s="475" t="s">
        <v>574</v>
      </c>
      <c r="E463" s="649">
        <f>'RELIGADOR 13.8 e 34.5KV'!T71+'RELIGADOR NOVA C.P.S'!T71</f>
        <v>0</v>
      </c>
    </row>
    <row r="464" spans="1:5" ht="15" customHeight="1">
      <c r="A464" s="209">
        <v>3651</v>
      </c>
      <c r="B464" s="641"/>
      <c r="C464" t="s">
        <v>1131</v>
      </c>
      <c r="D464" s="475" t="s">
        <v>574</v>
      </c>
      <c r="E464" s="649">
        <f>'RELIGADOR 13.8 e 34.5KV'!T72+'RELIGADOR NOVA C.P.S'!T72</f>
        <v>0</v>
      </c>
    </row>
    <row r="465" spans="1:5" ht="15" customHeight="1">
      <c r="A465" s="209">
        <v>4190</v>
      </c>
      <c r="B465" s="414"/>
      <c r="C465" s="315" t="s">
        <v>1114</v>
      </c>
      <c r="D465" s="475" t="s">
        <v>574</v>
      </c>
      <c r="E465" s="649">
        <f>'RELIGADOR 13.8 e 34.5KV'!T73+'RELIGADOR NOVA C.P.S'!T73</f>
        <v>0</v>
      </c>
    </row>
    <row r="466" spans="1:5" ht="15" customHeight="1">
      <c r="A466" s="209">
        <v>3712</v>
      </c>
      <c r="B466" s="414"/>
      <c r="C466" s="315" t="s">
        <v>1115</v>
      </c>
      <c r="D466" s="474" t="s">
        <v>574</v>
      </c>
      <c r="E466" s="649">
        <f>'RELIGADOR 13.8 e 34.5KV'!T74+'RELIGADOR NOVA C.P.S'!T74</f>
        <v>0</v>
      </c>
    </row>
    <row r="467" spans="1:5" ht="15" customHeight="1">
      <c r="A467" s="209">
        <v>3652</v>
      </c>
      <c r="B467" s="414"/>
      <c r="C467" s="315" t="s">
        <v>1116</v>
      </c>
      <c r="D467" s="474" t="s">
        <v>574</v>
      </c>
      <c r="E467" s="649">
        <f>'RELIGADOR 13.8 e 34.5KV'!T75+'RELIGADOR NOVA C.P.S'!T75</f>
        <v>0</v>
      </c>
    </row>
    <row r="468" spans="1:5" ht="15" customHeight="1">
      <c r="A468" s="209">
        <v>3657</v>
      </c>
      <c r="B468" s="414"/>
      <c r="C468" s="315" t="s">
        <v>1117</v>
      </c>
      <c r="D468" s="474" t="s">
        <v>574</v>
      </c>
      <c r="E468" s="649">
        <f>'RELIGADOR 13.8 e 34.5KV'!T76+'RELIGADOR NOVA C.P.S'!T76</f>
        <v>0</v>
      </c>
    </row>
    <row r="469" spans="1:5" ht="15" customHeight="1">
      <c r="A469" s="209">
        <v>4179</v>
      </c>
      <c r="B469" s="414"/>
      <c r="C469" s="315" t="s">
        <v>1118</v>
      </c>
      <c r="D469" s="475" t="s">
        <v>574</v>
      </c>
      <c r="E469" s="649">
        <f>'RELIGADOR 13.8 e 34.5KV'!T77+'RELIGADOR NOVA C.P.S'!T77</f>
        <v>0</v>
      </c>
    </row>
    <row r="470" spans="1:5" ht="15" customHeight="1">
      <c r="A470" s="209">
        <v>3655</v>
      </c>
      <c r="B470" s="1495">
        <v>90184</v>
      </c>
      <c r="C470" s="315" t="s">
        <v>1119</v>
      </c>
      <c r="D470" s="475" t="s">
        <v>574</v>
      </c>
      <c r="E470" s="649">
        <f>'RELIGADOR 13.8 e 34.5KV'!T78+'RELIGADOR NOVA C.P.S'!T78</f>
        <v>0</v>
      </c>
    </row>
    <row r="471" spans="1:5" ht="15" customHeight="1">
      <c r="A471" s="209">
        <v>3660</v>
      </c>
      <c r="B471" s="414"/>
      <c r="C471" s="315" t="s">
        <v>1120</v>
      </c>
      <c r="D471" s="474" t="s">
        <v>574</v>
      </c>
      <c r="E471" s="649">
        <f>'RELIGADOR 13.8 e 34.5KV'!T79+'RELIGADOR NOVA C.P.S'!T79</f>
        <v>0</v>
      </c>
    </row>
    <row r="472" spans="1:5" ht="15" customHeight="1">
      <c r="A472" s="209">
        <v>3661</v>
      </c>
      <c r="B472" s="414"/>
      <c r="C472" s="315" t="s">
        <v>1121</v>
      </c>
      <c r="D472" s="474" t="s">
        <v>574</v>
      </c>
      <c r="E472" s="649">
        <f>'RELIGADOR 13.8 e 34.5KV'!T80+'RELIGADOR NOVA C.P.S'!T80</f>
        <v>0</v>
      </c>
    </row>
    <row r="473" spans="1:5" ht="15" customHeight="1">
      <c r="A473" s="209">
        <v>3659</v>
      </c>
      <c r="B473" s="414"/>
      <c r="C473" s="315" t="s">
        <v>1122</v>
      </c>
      <c r="D473" s="475" t="s">
        <v>574</v>
      </c>
      <c r="E473" s="649">
        <f>'RELIGADOR 13.8 e 34.5KV'!T81+'RELIGADOR NOVA C.P.S'!T81</f>
        <v>0</v>
      </c>
    </row>
    <row r="474" spans="1:5" ht="15" customHeight="1">
      <c r="A474" s="209">
        <v>3958</v>
      </c>
      <c r="B474" s="414"/>
      <c r="C474" s="315" t="s">
        <v>1123</v>
      </c>
      <c r="D474" s="475" t="s">
        <v>574</v>
      </c>
      <c r="E474" s="649">
        <f>'RELIGADOR 13.8 e 34.5KV'!T82+'RELIGADOR NOVA C.P.S'!T82</f>
        <v>0</v>
      </c>
    </row>
    <row r="475" spans="1:5" ht="15" customHeight="1">
      <c r="A475" s="167"/>
      <c r="B475" s="637"/>
      <c r="C475" s="315" t="s">
        <v>1124</v>
      </c>
      <c r="D475" s="475" t="s">
        <v>574</v>
      </c>
      <c r="E475" s="649">
        <f>'RELIGADOR 13.8 e 34.5KV'!T83+'RELIGADOR NOVA C.P.S'!T83</f>
        <v>0</v>
      </c>
    </row>
    <row r="476" spans="1:5" ht="15" customHeight="1">
      <c r="A476" s="167"/>
      <c r="B476" s="637"/>
      <c r="C476" s="315" t="s">
        <v>1125</v>
      </c>
      <c r="D476" s="475" t="s">
        <v>574</v>
      </c>
      <c r="E476" s="649">
        <f>'RELIGADOR 13.8 e 34.5KV'!T84+'RELIGADOR NOVA C.P.S'!T84</f>
        <v>0</v>
      </c>
    </row>
    <row r="477" spans="1:5" ht="15" customHeight="1">
      <c r="A477" s="167">
        <v>3516</v>
      </c>
      <c r="B477" s="209">
        <v>90255</v>
      </c>
      <c r="C477" s="167" t="s">
        <v>592</v>
      </c>
      <c r="D477" s="475" t="s">
        <v>168</v>
      </c>
      <c r="E477" s="649">
        <f>'RELIGADOR 13.8 e 34.5KV'!T85+'RELIGADOR NOVA C.P.S'!T85</f>
        <v>0</v>
      </c>
    </row>
    <row r="478" spans="1:5" ht="15" customHeight="1">
      <c r="A478" s="167">
        <v>3570</v>
      </c>
      <c r="B478" s="209">
        <v>2902</v>
      </c>
      <c r="C478" s="167" t="s">
        <v>587</v>
      </c>
      <c r="D478" s="475" t="s">
        <v>574</v>
      </c>
      <c r="E478" s="649">
        <f>'RELIGADOR 13.8 e 34.5KV'!T86+'RELIGADOR NOVA C.P.S'!T86</f>
        <v>0</v>
      </c>
    </row>
    <row r="479" spans="1:5" ht="15" customHeight="1">
      <c r="A479" s="167"/>
      <c r="B479" s="1495">
        <v>90462</v>
      </c>
      <c r="C479" s="167" t="s">
        <v>748</v>
      </c>
      <c r="D479" s="475" t="s">
        <v>574</v>
      </c>
      <c r="E479" s="649">
        <f>'RELIGADOR 13.8 e 34.5KV'!T87+'RELIGADOR NOVA C.P.S'!T87</f>
        <v>0</v>
      </c>
    </row>
    <row r="480" spans="1:5" ht="15" customHeight="1">
      <c r="A480" s="167"/>
      <c r="B480" s="1497">
        <v>90389</v>
      </c>
      <c r="C480" s="167" t="s">
        <v>579</v>
      </c>
      <c r="D480" s="475" t="s">
        <v>574</v>
      </c>
      <c r="E480" s="649">
        <f>'RELIGADOR 13.8 e 34.5KV'!T88+'RELIGADOR NOVA C.P.S'!T88</f>
        <v>0</v>
      </c>
    </row>
    <row r="481" spans="1:5" ht="15" customHeight="1">
      <c r="A481" s="167"/>
      <c r="B481" s="637"/>
      <c r="C481" s="167" t="s">
        <v>580</v>
      </c>
      <c r="D481" s="475" t="s">
        <v>574</v>
      </c>
      <c r="E481" s="649">
        <f>'RELIGADOR 13.8 e 34.5KV'!T89+'RELIGADOR NOVA C.P.S'!T89</f>
        <v>0</v>
      </c>
    </row>
    <row r="482" spans="1:5" ht="15" customHeight="1">
      <c r="A482" s="167"/>
      <c r="B482" s="637"/>
      <c r="C482" s="167" t="s">
        <v>746</v>
      </c>
      <c r="D482" s="475" t="s">
        <v>574</v>
      </c>
      <c r="E482" s="649">
        <f>'RELIGADOR 13.8 e 34.5KV'!T90+'RELIGADOR NOVA C.P.S'!T90</f>
        <v>0</v>
      </c>
    </row>
    <row r="483" spans="1:5" ht="15" customHeight="1">
      <c r="A483" s="167"/>
      <c r="B483" s="209">
        <v>90067</v>
      </c>
      <c r="C483" s="167" t="s">
        <v>747</v>
      </c>
      <c r="D483" s="475" t="s">
        <v>574</v>
      </c>
      <c r="E483" s="649">
        <f>'RELIGADOR 13.8 e 34.5KV'!T91+'RELIGADOR NOVA C.P.S'!T91</f>
        <v>0</v>
      </c>
    </row>
    <row r="484" spans="1:5" ht="15" customHeight="1">
      <c r="A484" s="167"/>
      <c r="B484" s="637"/>
      <c r="C484" s="167" t="s">
        <v>613</v>
      </c>
      <c r="D484" s="475" t="s">
        <v>574</v>
      </c>
      <c r="E484" s="649">
        <f>'RELIGADOR 13.8 e 34.5KV'!T92+'RELIGADOR NOVA C.P.S'!T92</f>
        <v>0</v>
      </c>
    </row>
    <row r="485" spans="1:5" ht="15" customHeight="1">
      <c r="A485" s="167"/>
      <c r="B485" s="209">
        <v>3059</v>
      </c>
      <c r="C485" s="167" t="s">
        <v>591</v>
      </c>
      <c r="D485" s="474" t="s">
        <v>574</v>
      </c>
      <c r="E485" s="649">
        <f>'RELIGADOR 13.8 e 34.5KV'!T93+'RELIGADOR NOVA C.P.S'!T93</f>
        <v>0</v>
      </c>
    </row>
    <row r="486" spans="1:5" ht="15" customHeight="1">
      <c r="A486" s="167"/>
      <c r="B486" s="637"/>
      <c r="C486" s="167" t="s">
        <v>588</v>
      </c>
      <c r="D486" s="474" t="s">
        <v>574</v>
      </c>
      <c r="E486" s="649">
        <f>'RELIGADOR 13.8 e 34.5KV'!T94+'RELIGADOR NOVA C.P.S'!T94</f>
        <v>0</v>
      </c>
    </row>
    <row r="487" spans="1:5" ht="15" customHeight="1">
      <c r="A487" s="167"/>
      <c r="B487" s="637"/>
      <c r="C487" s="167" t="s">
        <v>589</v>
      </c>
      <c r="D487" s="474" t="s">
        <v>574</v>
      </c>
      <c r="E487" s="649">
        <f>'RELIGADOR 13.8 e 34.5KV'!T95+'RELIGADOR NOVA C.P.S'!T95</f>
        <v>0</v>
      </c>
    </row>
    <row r="488" spans="1:5" ht="15" customHeight="1">
      <c r="A488" s="167"/>
      <c r="B488" s="637"/>
      <c r="C488" s="167" t="s">
        <v>590</v>
      </c>
      <c r="D488" s="475" t="s">
        <v>574</v>
      </c>
      <c r="E488" s="649">
        <f>'RELIGADOR 13.8 e 34.5KV'!T96+'RELIGADOR NOVA C.P.S'!T96</f>
        <v>0</v>
      </c>
    </row>
    <row r="489" spans="1:5" ht="15" customHeight="1">
      <c r="A489" s="167"/>
      <c r="B489" s="637"/>
      <c r="C489" s="167" t="s">
        <v>603</v>
      </c>
      <c r="D489" s="475" t="s">
        <v>574</v>
      </c>
      <c r="E489" s="649">
        <f>'RELIGADOR 13.8 e 34.5KV'!T97+'RELIGADOR NOVA C.P.S'!T97</f>
        <v>0</v>
      </c>
    </row>
    <row r="490" spans="1:5" ht="15" customHeight="1">
      <c r="A490" s="167"/>
      <c r="B490" s="209">
        <v>3059</v>
      </c>
      <c r="C490" s="167" t="s">
        <v>745</v>
      </c>
      <c r="D490" s="474" t="s">
        <v>574</v>
      </c>
      <c r="E490" s="649">
        <f>'RELIGADOR 13.8 e 34.5KV'!T98+'RELIGADOR NOVA C.P.S'!T98</f>
        <v>0</v>
      </c>
    </row>
    <row r="491" spans="1:5" ht="15" customHeight="1">
      <c r="A491" s="167"/>
      <c r="B491" s="209">
        <v>3146</v>
      </c>
      <c r="C491" s="167" t="s">
        <v>615</v>
      </c>
      <c r="D491" s="475" t="s">
        <v>574</v>
      </c>
      <c r="E491" s="649">
        <f>'RELIGADOR 13.8 e 34.5KV'!T99+'RELIGADOR NOVA C.P.S'!T99</f>
        <v>0</v>
      </c>
    </row>
    <row r="492" spans="1:5" ht="15" customHeight="1">
      <c r="A492" s="167"/>
      <c r="B492" s="637"/>
      <c r="C492" s="167" t="s">
        <v>744</v>
      </c>
      <c r="D492" s="474" t="s">
        <v>574</v>
      </c>
      <c r="E492" s="649">
        <f>'RELIGADOR 13.8 e 34.5KV'!T100+'RELIGADOR NOVA C.P.S'!T100</f>
        <v>0</v>
      </c>
    </row>
    <row r="493" spans="1:5" ht="15" customHeight="1">
      <c r="A493" s="167"/>
      <c r="B493" s="1495">
        <v>90367</v>
      </c>
      <c r="C493" s="167" t="s">
        <v>608</v>
      </c>
      <c r="D493" s="474" t="s">
        <v>574</v>
      </c>
      <c r="E493" s="649">
        <f>'RELIGADOR 13.8 e 34.5KV'!T101+'RELIGADOR NOVA C.P.S'!T101</f>
        <v>0</v>
      </c>
    </row>
    <row r="494" spans="1:5" ht="15" customHeight="1">
      <c r="A494" s="167"/>
      <c r="B494" s="1495">
        <v>90366</v>
      </c>
      <c r="C494" s="167" t="s">
        <v>607</v>
      </c>
      <c r="D494" s="475" t="s">
        <v>574</v>
      </c>
      <c r="E494" s="649">
        <f>'RELIGADOR 13.8 e 34.5KV'!T102+'RELIGADOR NOVA C.P.S'!T102</f>
        <v>0</v>
      </c>
    </row>
    <row r="495" spans="1:5" ht="15" customHeight="1">
      <c r="A495" s="632"/>
      <c r="B495" s="209">
        <v>590362</v>
      </c>
      <c r="C495" s="632" t="s">
        <v>602</v>
      </c>
      <c r="D495" s="633" t="s">
        <v>574</v>
      </c>
      <c r="E495" s="650">
        <f>'RELIGADOR 13.8 e 34.5KV'!T103+'RELIGADOR NOVA C.P.S'!T103</f>
        <v>0</v>
      </c>
    </row>
    <row r="496" spans="1:5" ht="18.75" customHeight="1">
      <c r="A496" s="1714" t="s">
        <v>769</v>
      </c>
      <c r="B496" s="1715"/>
      <c r="C496" s="1715"/>
      <c r="D496" s="1715"/>
      <c r="E496" s="651">
        <f>'MEDIÇÃO AT 34.5KV'!N7+'MEDIÇÃO AT 34.5KV'!N8+'MEDIÇÃO AT 34.5KV'!N9</f>
        <v>0</v>
      </c>
    </row>
    <row r="497" spans="1:5" ht="15" customHeight="1">
      <c r="A497" s="314" t="s">
        <v>1169</v>
      </c>
      <c r="B497" s="635" t="s">
        <v>1170</v>
      </c>
      <c r="C497" s="314" t="s">
        <v>1063</v>
      </c>
      <c r="D497" s="472" t="s">
        <v>171</v>
      </c>
      <c r="E497" s="343">
        <f>IF(SUM(E498:E562)=0,0,"Quant")</f>
        <v>0</v>
      </c>
    </row>
    <row r="498" spans="1:5" ht="15" customHeight="1">
      <c r="A498" s="81"/>
      <c r="B498" s="642"/>
      <c r="C498" s="7" t="s">
        <v>661</v>
      </c>
      <c r="D498" s="634" t="s">
        <v>574</v>
      </c>
      <c r="E498" s="652">
        <f>'MEDIÇÃO AT 34.5KV'!Q39</f>
        <v>0</v>
      </c>
    </row>
    <row r="499" spans="1:5" ht="15" customHeight="1">
      <c r="A499" s="167"/>
      <c r="B499" s="637"/>
      <c r="C499" s="5" t="s">
        <v>726</v>
      </c>
      <c r="D499" s="474" t="s">
        <v>574</v>
      </c>
      <c r="E499" s="652">
        <f>'MEDIÇÃO AT 34.5KV'!Q40</f>
        <v>0</v>
      </c>
    </row>
    <row r="500" spans="1:5" ht="15" customHeight="1">
      <c r="A500" s="167"/>
      <c r="B500" s="637"/>
      <c r="C500" s="5" t="s">
        <v>741</v>
      </c>
      <c r="D500" s="474" t="s">
        <v>574</v>
      </c>
      <c r="E500" s="652">
        <f>'MEDIÇÃO AT 34.5KV'!Q41</f>
        <v>0</v>
      </c>
    </row>
    <row r="501" spans="1:5" ht="15" customHeight="1">
      <c r="A501" s="167"/>
      <c r="B501" s="637"/>
      <c r="C501" s="5" t="s">
        <v>664</v>
      </c>
      <c r="D501" s="474" t="s">
        <v>574</v>
      </c>
      <c r="E501" s="652">
        <f>'MEDIÇÃO AT 34.5KV'!Q42</f>
        <v>0</v>
      </c>
    </row>
    <row r="502" spans="1:5" ht="15" customHeight="1">
      <c r="A502" s="167"/>
      <c r="B502" s="637"/>
      <c r="C502" s="5" t="s">
        <v>665</v>
      </c>
      <c r="D502" s="474" t="s">
        <v>574</v>
      </c>
      <c r="E502" s="652">
        <f>'MEDIÇÃO AT 34.5KV'!Q43</f>
        <v>0</v>
      </c>
    </row>
    <row r="503" spans="1:5" ht="15" customHeight="1">
      <c r="A503" s="167"/>
      <c r="B503" s="637"/>
      <c r="C503" s="5" t="s">
        <v>666</v>
      </c>
      <c r="D503" s="474" t="s">
        <v>574</v>
      </c>
      <c r="E503" s="652">
        <f>'MEDIÇÃO AT 34.5KV'!Q44</f>
        <v>0</v>
      </c>
    </row>
    <row r="504" spans="1:5" ht="15" customHeight="1">
      <c r="A504" s="167"/>
      <c r="B504" s="637"/>
      <c r="C504" s="5" t="s">
        <v>667</v>
      </c>
      <c r="D504" s="474" t="s">
        <v>574</v>
      </c>
      <c r="E504" s="652">
        <f>'MEDIÇÃO AT 34.5KV'!Q45</f>
        <v>0</v>
      </c>
    </row>
    <row r="505" spans="1:5" ht="15" customHeight="1">
      <c r="A505" s="167"/>
      <c r="B505" s="637"/>
      <c r="C505" s="5" t="s">
        <v>725</v>
      </c>
      <c r="D505" s="474" t="s">
        <v>574</v>
      </c>
      <c r="E505" s="652">
        <f>'MEDIÇÃO AT 34.5KV'!Q46</f>
        <v>0</v>
      </c>
    </row>
    <row r="506" spans="1:5" ht="15" customHeight="1">
      <c r="A506" s="167"/>
      <c r="B506" s="637"/>
      <c r="C506" s="315" t="s">
        <v>102</v>
      </c>
      <c r="D506" s="474" t="s">
        <v>574</v>
      </c>
      <c r="E506" s="652">
        <f>'MEDIÇÃO AT 34.5KV'!Q47</f>
        <v>0</v>
      </c>
    </row>
    <row r="507" spans="1:5" ht="15" customHeight="1">
      <c r="A507" s="167"/>
      <c r="B507" s="637"/>
      <c r="C507" s="315" t="s">
        <v>103</v>
      </c>
      <c r="D507" s="474" t="s">
        <v>574</v>
      </c>
      <c r="E507" s="652">
        <f>'MEDIÇÃO AT 34.5KV'!Q48</f>
        <v>0</v>
      </c>
    </row>
    <row r="508" spans="1:5" ht="15" customHeight="1">
      <c r="A508" s="167"/>
      <c r="B508" s="637"/>
      <c r="C508" s="315" t="s">
        <v>104</v>
      </c>
      <c r="D508" s="474" t="s">
        <v>574</v>
      </c>
      <c r="E508" s="652">
        <f>'MEDIÇÃO AT 34.5KV'!Q49</f>
        <v>0</v>
      </c>
    </row>
    <row r="509" spans="1:5" ht="15" customHeight="1">
      <c r="A509" s="167"/>
      <c r="B509" s="637"/>
      <c r="C509" s="315" t="s">
        <v>105</v>
      </c>
      <c r="D509" s="474" t="s">
        <v>574</v>
      </c>
      <c r="E509" s="652">
        <f>'MEDIÇÃO AT 34.5KV'!Q50</f>
        <v>0</v>
      </c>
    </row>
    <row r="510" spans="1:5" ht="15" customHeight="1">
      <c r="A510" s="167"/>
      <c r="B510" s="637"/>
      <c r="C510" s="315" t="s">
        <v>106</v>
      </c>
      <c r="D510" s="474" t="s">
        <v>574</v>
      </c>
      <c r="E510" s="652">
        <f>'MEDIÇÃO AT 34.5KV'!Q51</f>
        <v>0</v>
      </c>
    </row>
    <row r="511" spans="1:5" ht="15" customHeight="1">
      <c r="A511" s="167"/>
      <c r="B511" s="637"/>
      <c r="C511" s="315" t="s">
        <v>107</v>
      </c>
      <c r="D511" s="474" t="s">
        <v>574</v>
      </c>
      <c r="E511" s="652">
        <f>'MEDIÇÃO AT 34.5KV'!Q52</f>
        <v>0</v>
      </c>
    </row>
    <row r="512" spans="1:5" ht="15" customHeight="1">
      <c r="A512" s="167"/>
      <c r="B512" s="637"/>
      <c r="C512" s="315" t="s">
        <v>401</v>
      </c>
      <c r="D512" s="474" t="s">
        <v>574</v>
      </c>
      <c r="E512" s="652">
        <f>'MEDIÇÃO AT 34.5KV'!Q53</f>
        <v>0</v>
      </c>
    </row>
    <row r="513" spans="1:5" ht="15" customHeight="1">
      <c r="A513" s="167"/>
      <c r="B513" s="637"/>
      <c r="C513" s="315" t="s">
        <v>402</v>
      </c>
      <c r="D513" s="474" t="s">
        <v>574</v>
      </c>
      <c r="E513" s="652">
        <f>'MEDIÇÃO AT 34.5KV'!Q54</f>
        <v>0</v>
      </c>
    </row>
    <row r="514" spans="1:5" ht="15" customHeight="1">
      <c r="A514" s="167"/>
      <c r="B514" s="637"/>
      <c r="C514" s="315" t="s">
        <v>403</v>
      </c>
      <c r="D514" s="474" t="s">
        <v>574</v>
      </c>
      <c r="E514" s="652">
        <f>'MEDIÇÃO AT 34.5KV'!Q55</f>
        <v>0</v>
      </c>
    </row>
    <row r="515" spans="1:5" ht="15" customHeight="1">
      <c r="A515" s="167"/>
      <c r="B515" s="637"/>
      <c r="C515" s="315" t="s">
        <v>669</v>
      </c>
      <c r="D515" s="474" t="s">
        <v>574</v>
      </c>
      <c r="E515" s="652">
        <f>'MEDIÇÃO AT 34.5KV'!Q56</f>
        <v>0</v>
      </c>
    </row>
    <row r="516" spans="1:5" ht="15" customHeight="1">
      <c r="A516" s="167"/>
      <c r="B516" s="637"/>
      <c r="C516" s="315" t="s">
        <v>727</v>
      </c>
      <c r="D516" s="474" t="s">
        <v>574</v>
      </c>
      <c r="E516" s="652">
        <f>'MEDIÇÃO AT 34.5KV'!Q57</f>
        <v>0</v>
      </c>
    </row>
    <row r="517" spans="1:5" ht="15" customHeight="1">
      <c r="A517" s="167"/>
      <c r="B517" s="637"/>
      <c r="C517" s="22" t="s">
        <v>381</v>
      </c>
      <c r="D517" s="474" t="s">
        <v>743</v>
      </c>
      <c r="E517" s="652">
        <f>'MEDIÇÃO AT 34.5KV'!Q58</f>
        <v>0</v>
      </c>
    </row>
    <row r="518" spans="1:5" ht="15" customHeight="1">
      <c r="A518" s="167"/>
      <c r="B518" s="637"/>
      <c r="C518" s="315" t="s">
        <v>671</v>
      </c>
      <c r="D518" s="474" t="s">
        <v>574</v>
      </c>
      <c r="E518" s="652">
        <f>'MEDIÇÃO AT 34.5KV'!Q59</f>
        <v>0</v>
      </c>
    </row>
    <row r="519" spans="1:5" ht="15" customHeight="1">
      <c r="A519" s="167"/>
      <c r="B519" s="637"/>
      <c r="C519" s="315" t="s">
        <v>742</v>
      </c>
      <c r="D519" s="474" t="s">
        <v>574</v>
      </c>
      <c r="E519" s="652">
        <f>'MEDIÇÃO AT 34.5KV'!Q60</f>
        <v>0</v>
      </c>
    </row>
    <row r="520" spans="1:5" ht="15" customHeight="1">
      <c r="A520" s="167"/>
      <c r="B520" s="637"/>
      <c r="C520" s="315" t="s">
        <v>673</v>
      </c>
      <c r="D520" s="474" t="s">
        <v>574</v>
      </c>
      <c r="E520" s="652">
        <f>'MEDIÇÃO AT 34.5KV'!Q61</f>
        <v>0</v>
      </c>
    </row>
    <row r="521" spans="1:5" ht="15" customHeight="1">
      <c r="A521" s="167"/>
      <c r="B521" s="637"/>
      <c r="C521" s="315" t="s">
        <v>674</v>
      </c>
      <c r="D521" s="474" t="s">
        <v>574</v>
      </c>
      <c r="E521" s="652">
        <f>'MEDIÇÃO AT 34.5KV'!Q62</f>
        <v>0</v>
      </c>
    </row>
    <row r="522" spans="1:5" ht="15" customHeight="1">
      <c r="A522" s="167"/>
      <c r="B522" s="637"/>
      <c r="C522" s="315" t="s">
        <v>675</v>
      </c>
      <c r="D522" s="474" t="s">
        <v>574</v>
      </c>
      <c r="E522" s="652">
        <f>'MEDIÇÃO AT 34.5KV'!Q63</f>
        <v>0</v>
      </c>
    </row>
    <row r="523" spans="1:5" ht="15" customHeight="1">
      <c r="A523" s="167"/>
      <c r="B523" s="637"/>
      <c r="C523" s="315" t="s">
        <v>676</v>
      </c>
      <c r="D523" s="474" t="s">
        <v>574</v>
      </c>
      <c r="E523" s="652">
        <f>'MEDIÇÃO AT 34.5KV'!Q64</f>
        <v>0</v>
      </c>
    </row>
    <row r="524" spans="1:5" ht="15" customHeight="1">
      <c r="A524" s="167"/>
      <c r="B524" s="637"/>
      <c r="C524" s="315" t="s">
        <v>677</v>
      </c>
      <c r="D524" s="474" t="s">
        <v>574</v>
      </c>
      <c r="E524" s="652">
        <f>'MEDIÇÃO AT 34.5KV'!Q65</f>
        <v>0</v>
      </c>
    </row>
    <row r="525" spans="1:5" ht="15" customHeight="1">
      <c r="A525" s="167"/>
      <c r="B525" s="637"/>
      <c r="C525" s="315" t="s">
        <v>678</v>
      </c>
      <c r="D525" s="474" t="s">
        <v>574</v>
      </c>
      <c r="E525" s="652">
        <f>'MEDIÇÃO AT 34.5KV'!Q66</f>
        <v>0</v>
      </c>
    </row>
    <row r="526" spans="1:5" ht="15" customHeight="1">
      <c r="A526" s="167"/>
      <c r="B526" s="637"/>
      <c r="C526" s="5" t="s">
        <v>679</v>
      </c>
      <c r="D526" s="474" t="s">
        <v>574</v>
      </c>
      <c r="E526" s="652">
        <f>'MEDIÇÃO AT 34.5KV'!Q67</f>
        <v>0</v>
      </c>
    </row>
    <row r="527" spans="1:5" ht="15" customHeight="1">
      <c r="A527" s="167"/>
      <c r="B527" s="637"/>
      <c r="C527" s="5" t="s">
        <v>680</v>
      </c>
      <c r="D527" s="474" t="s">
        <v>574</v>
      </c>
      <c r="E527" s="652">
        <f>'MEDIÇÃO AT 34.5KV'!Q68</f>
        <v>0</v>
      </c>
    </row>
    <row r="528" spans="1:5" ht="15" customHeight="1">
      <c r="A528" s="167"/>
      <c r="B528" s="637"/>
      <c r="C528" s="315" t="s">
        <v>681</v>
      </c>
      <c r="D528" s="474" t="s">
        <v>574</v>
      </c>
      <c r="E528" s="652">
        <f>'MEDIÇÃO AT 34.5KV'!Q69</f>
        <v>0</v>
      </c>
    </row>
    <row r="529" spans="1:5" ht="15" customHeight="1">
      <c r="A529" s="167"/>
      <c r="B529" s="637"/>
      <c r="C529" s="22" t="s">
        <v>682</v>
      </c>
      <c r="D529" s="474" t="s">
        <v>574</v>
      </c>
      <c r="E529" s="652">
        <f>'MEDIÇÃO AT 34.5KV'!Q70</f>
        <v>0</v>
      </c>
    </row>
    <row r="530" spans="1:5" ht="15" customHeight="1">
      <c r="A530" s="167"/>
      <c r="B530" s="637"/>
      <c r="C530" s="22" t="s">
        <v>381</v>
      </c>
      <c r="D530" s="474" t="s">
        <v>574</v>
      </c>
      <c r="E530" s="652">
        <f>'MEDIÇÃO AT 34.5KV'!Q71</f>
        <v>0</v>
      </c>
    </row>
    <row r="531" spans="1:5" ht="15" customHeight="1">
      <c r="A531" s="167"/>
      <c r="B531" s="637"/>
      <c r="C531" s="315" t="s">
        <v>683</v>
      </c>
      <c r="D531" s="474" t="s">
        <v>574</v>
      </c>
      <c r="E531" s="652">
        <f>'MEDIÇÃO AT 34.5KV'!Q72</f>
        <v>0</v>
      </c>
    </row>
    <row r="532" spans="1:5" ht="15" customHeight="1">
      <c r="A532" s="167"/>
      <c r="B532" s="637"/>
      <c r="C532" s="315" t="s">
        <v>684</v>
      </c>
      <c r="D532" s="474" t="s">
        <v>574</v>
      </c>
      <c r="E532" s="652">
        <f>'MEDIÇÃO AT 34.5KV'!Q73</f>
        <v>0</v>
      </c>
    </row>
    <row r="533" spans="1:5" ht="15" customHeight="1">
      <c r="A533" s="167"/>
      <c r="B533" s="637"/>
      <c r="C533" s="5" t="s">
        <v>685</v>
      </c>
      <c r="D533" s="474" t="s">
        <v>574</v>
      </c>
      <c r="E533" s="652">
        <f>'MEDIÇÃO AT 34.5KV'!Q74</f>
        <v>0</v>
      </c>
    </row>
    <row r="534" spans="1:5" ht="15" customHeight="1">
      <c r="A534" s="167"/>
      <c r="B534" s="637"/>
      <c r="C534" s="5" t="s">
        <v>686</v>
      </c>
      <c r="D534" s="474" t="s">
        <v>574</v>
      </c>
      <c r="E534" s="652">
        <f>'MEDIÇÃO AT 34.5KV'!Q75</f>
        <v>0</v>
      </c>
    </row>
    <row r="535" spans="1:5" ht="15" customHeight="1">
      <c r="A535" s="167"/>
      <c r="B535" s="637"/>
      <c r="C535" s="5" t="s">
        <v>687</v>
      </c>
      <c r="D535" s="474" t="s">
        <v>574</v>
      </c>
      <c r="E535" s="652">
        <f>'MEDIÇÃO AT 34.5KV'!Q76</f>
        <v>0</v>
      </c>
    </row>
    <row r="536" spans="1:5" ht="15" customHeight="1">
      <c r="A536" s="167"/>
      <c r="B536" s="637"/>
      <c r="C536" s="5" t="s">
        <v>688</v>
      </c>
      <c r="D536" s="474" t="s">
        <v>574</v>
      </c>
      <c r="E536" s="652">
        <f>'MEDIÇÃO AT 34.5KV'!Q77</f>
        <v>0</v>
      </c>
    </row>
    <row r="537" spans="1:5" ht="15" customHeight="1">
      <c r="A537" s="167"/>
      <c r="B537" s="637"/>
      <c r="C537" s="5" t="s">
        <v>689</v>
      </c>
      <c r="D537" s="474" t="s">
        <v>574</v>
      </c>
      <c r="E537" s="652">
        <f>'MEDIÇÃO AT 34.5KV'!Q78</f>
        <v>0</v>
      </c>
    </row>
    <row r="538" spans="1:5" ht="15" customHeight="1">
      <c r="A538" s="167"/>
      <c r="B538" s="637"/>
      <c r="C538" s="5" t="s">
        <v>690</v>
      </c>
      <c r="D538" s="474" t="s">
        <v>574</v>
      </c>
      <c r="E538" s="652">
        <f>'MEDIÇÃO AT 34.5KV'!Q79</f>
        <v>0</v>
      </c>
    </row>
    <row r="539" spans="1:5" ht="15" customHeight="1">
      <c r="A539" s="167"/>
      <c r="B539" s="637"/>
      <c r="C539" s="5" t="s">
        <v>691</v>
      </c>
      <c r="D539" s="474" t="s">
        <v>574</v>
      </c>
      <c r="E539" s="652">
        <f>'MEDIÇÃO AT 34.5KV'!Q80</f>
        <v>0</v>
      </c>
    </row>
    <row r="540" spans="1:5" ht="15" customHeight="1">
      <c r="A540" s="167"/>
      <c r="B540" s="637"/>
      <c r="C540" s="5" t="s">
        <v>728</v>
      </c>
      <c r="D540" s="474" t="s">
        <v>574</v>
      </c>
      <c r="E540" s="652">
        <f>'MEDIÇÃO AT 34.5KV'!Q81</f>
        <v>0</v>
      </c>
    </row>
    <row r="541" spans="1:5" ht="15" customHeight="1">
      <c r="A541" s="167"/>
      <c r="B541" s="637"/>
      <c r="C541" s="5" t="s">
        <v>729</v>
      </c>
      <c r="D541" s="474" t="s">
        <v>574</v>
      </c>
      <c r="E541" s="652">
        <f>'MEDIÇÃO AT 34.5KV'!Q82</f>
        <v>0</v>
      </c>
    </row>
    <row r="542" spans="1:5" ht="15" customHeight="1">
      <c r="A542" s="167"/>
      <c r="B542" s="637"/>
      <c r="C542" s="5" t="s">
        <v>731</v>
      </c>
      <c r="D542" s="474" t="s">
        <v>574</v>
      </c>
      <c r="E542" s="652">
        <f>'MEDIÇÃO AT 34.5KV'!Q83</f>
        <v>0</v>
      </c>
    </row>
    <row r="543" spans="1:5" ht="15" customHeight="1">
      <c r="A543" s="167"/>
      <c r="B543" s="637"/>
      <c r="C543" s="5" t="s">
        <v>731</v>
      </c>
      <c r="D543" s="474" t="s">
        <v>574</v>
      </c>
      <c r="E543" s="652">
        <f>'MEDIÇÃO AT 34.5KV'!Q84</f>
        <v>0</v>
      </c>
    </row>
    <row r="544" spans="1:5" ht="15" customHeight="1">
      <c r="A544" s="167"/>
      <c r="B544" s="637"/>
      <c r="C544" s="5" t="s">
        <v>730</v>
      </c>
      <c r="D544" s="474" t="s">
        <v>574</v>
      </c>
      <c r="E544" s="652">
        <f>'MEDIÇÃO AT 34.5KV'!Q85</f>
        <v>0</v>
      </c>
    </row>
    <row r="545" spans="1:5" ht="15" customHeight="1">
      <c r="A545" s="167"/>
      <c r="B545" s="637"/>
      <c r="C545" s="5" t="s">
        <v>732</v>
      </c>
      <c r="D545" s="474" t="s">
        <v>574</v>
      </c>
      <c r="E545" s="652">
        <f>'MEDIÇÃO AT 34.5KV'!Q86</f>
        <v>0</v>
      </c>
    </row>
    <row r="546" spans="1:5" ht="15" customHeight="1">
      <c r="A546" s="167"/>
      <c r="B546" s="637"/>
      <c r="C546" s="391" t="s">
        <v>737</v>
      </c>
      <c r="D546" s="474" t="s">
        <v>168</v>
      </c>
      <c r="E546" s="652">
        <f>'MEDIÇÃO AT 34.5KV'!Q87</f>
        <v>0</v>
      </c>
    </row>
    <row r="547" spans="1:5" ht="15" customHeight="1">
      <c r="A547" s="167"/>
      <c r="B547" s="637"/>
      <c r="C547" s="391" t="s">
        <v>738</v>
      </c>
      <c r="D547" s="474" t="s">
        <v>168</v>
      </c>
      <c r="E547" s="652">
        <f>'MEDIÇÃO AT 34.5KV'!Q88</f>
        <v>0</v>
      </c>
    </row>
    <row r="548" spans="1:5" ht="15" customHeight="1">
      <c r="A548" s="167"/>
      <c r="B548" s="637"/>
      <c r="C548" s="5" t="s">
        <v>739</v>
      </c>
      <c r="D548" s="474" t="s">
        <v>168</v>
      </c>
      <c r="E548" s="652">
        <f>'MEDIÇÃO AT 34.5KV'!Q89</f>
        <v>0</v>
      </c>
    </row>
    <row r="549" spans="1:5" ht="15" customHeight="1">
      <c r="A549" s="167"/>
      <c r="B549" s="637"/>
      <c r="C549" s="5" t="s">
        <v>740</v>
      </c>
      <c r="D549" s="474" t="s">
        <v>168</v>
      </c>
      <c r="E549" s="652">
        <f>'MEDIÇÃO AT 34.5KV'!Q90</f>
        <v>0</v>
      </c>
    </row>
    <row r="550" spans="1:5" ht="15" customHeight="1">
      <c r="A550" s="167"/>
      <c r="B550" s="637"/>
      <c r="C550" s="5" t="s">
        <v>711</v>
      </c>
      <c r="D550" s="474" t="s">
        <v>168</v>
      </c>
      <c r="E550" s="652">
        <f>'MEDIÇÃO AT 34.5KV'!Q91</f>
        <v>0</v>
      </c>
    </row>
    <row r="551" spans="1:5" ht="15" customHeight="1">
      <c r="A551" s="167"/>
      <c r="B551" s="637"/>
      <c r="C551" s="5" t="s">
        <v>736</v>
      </c>
      <c r="D551" s="474" t="s">
        <v>574</v>
      </c>
      <c r="E551" s="652">
        <f>'MEDIÇÃO AT 34.5KV'!Q92</f>
        <v>0</v>
      </c>
    </row>
    <row r="552" spans="1:5" ht="15" customHeight="1">
      <c r="A552" s="167"/>
      <c r="B552" s="637"/>
      <c r="C552" s="5" t="s">
        <v>733</v>
      </c>
      <c r="D552" s="474" t="s">
        <v>574</v>
      </c>
      <c r="E552" s="652">
        <f>'MEDIÇÃO AT 34.5KV'!Q93</f>
        <v>0</v>
      </c>
    </row>
    <row r="553" spans="1:5" ht="15" customHeight="1">
      <c r="A553" s="167"/>
      <c r="B553" s="637"/>
      <c r="C553" s="5" t="s">
        <v>734</v>
      </c>
      <c r="D553" s="474" t="s">
        <v>574</v>
      </c>
      <c r="E553" s="652">
        <f>'MEDIÇÃO AT 34.5KV'!Q94</f>
        <v>0</v>
      </c>
    </row>
    <row r="554" spans="1:5" ht="15" customHeight="1">
      <c r="A554" s="167"/>
      <c r="B554" s="637"/>
      <c r="C554" s="5" t="s">
        <v>735</v>
      </c>
      <c r="D554" s="474" t="s">
        <v>574</v>
      </c>
      <c r="E554" s="652">
        <f>'MEDIÇÃO AT 34.5KV'!Q95</f>
        <v>0</v>
      </c>
    </row>
    <row r="555" spans="1:5" ht="15" customHeight="1">
      <c r="A555" s="167"/>
      <c r="B555" s="637"/>
      <c r="C555" s="5" t="s">
        <v>731</v>
      </c>
      <c r="D555" s="474" t="s">
        <v>574</v>
      </c>
      <c r="E555" s="652">
        <f>'MEDIÇÃO AT 34.5KV'!Q96</f>
        <v>0</v>
      </c>
    </row>
    <row r="556" spans="1:5" ht="15" customHeight="1">
      <c r="A556" s="167"/>
      <c r="B556" s="637"/>
      <c r="C556" s="5" t="s">
        <v>718</v>
      </c>
      <c r="D556" s="474" t="s">
        <v>574</v>
      </c>
      <c r="E556" s="652">
        <f>'MEDIÇÃO AT 34.5KV'!Q97</f>
        <v>0</v>
      </c>
    </row>
    <row r="557" spans="1:5" ht="15" customHeight="1">
      <c r="A557" s="167"/>
      <c r="B557" s="637"/>
      <c r="C557" s="5" t="s">
        <v>719</v>
      </c>
      <c r="D557" s="474" t="s">
        <v>386</v>
      </c>
      <c r="E557" s="652">
        <f>'MEDIÇÃO AT 34.5KV'!Q98</f>
        <v>0</v>
      </c>
    </row>
    <row r="558" spans="1:5" ht="15" customHeight="1">
      <c r="A558" s="167"/>
      <c r="B558" s="637"/>
      <c r="C558" s="5" t="s">
        <v>720</v>
      </c>
      <c r="D558" s="474" t="s">
        <v>574</v>
      </c>
      <c r="E558" s="652">
        <f>'MEDIÇÃO AT 34.5KV'!Q99</f>
        <v>0</v>
      </c>
    </row>
    <row r="559" spans="1:5" ht="15" customHeight="1">
      <c r="A559" s="167"/>
      <c r="B559" s="637"/>
      <c r="C559" s="5" t="s">
        <v>721</v>
      </c>
      <c r="D559" s="474" t="s">
        <v>574</v>
      </c>
      <c r="E559" s="652">
        <f>'MEDIÇÃO AT 34.5KV'!Q100</f>
        <v>0</v>
      </c>
    </row>
    <row r="560" spans="1:5" ht="15" customHeight="1">
      <c r="A560" s="167"/>
      <c r="B560" s="637"/>
      <c r="C560" s="5" t="s">
        <v>722</v>
      </c>
      <c r="D560" s="474" t="s">
        <v>574</v>
      </c>
      <c r="E560" s="652">
        <f>'MEDIÇÃO AT 34.5KV'!Q101</f>
        <v>0</v>
      </c>
    </row>
    <row r="561" spans="1:5" ht="15" customHeight="1">
      <c r="A561" s="167"/>
      <c r="B561" s="637"/>
      <c r="C561" s="5" t="s">
        <v>723</v>
      </c>
      <c r="D561" s="474" t="s">
        <v>168</v>
      </c>
      <c r="E561" s="652">
        <f>'MEDIÇÃO AT 34.5KV'!Q102</f>
        <v>0</v>
      </c>
    </row>
    <row r="562" spans="1:5" ht="15" customHeight="1">
      <c r="A562" s="167"/>
      <c r="B562" s="637"/>
      <c r="C562" s="5" t="s">
        <v>724</v>
      </c>
      <c r="D562" s="474" t="s">
        <v>574</v>
      </c>
      <c r="E562" s="652">
        <f>'MEDIÇÃO AT 34.5KV'!Q103</f>
        <v>0</v>
      </c>
    </row>
    <row r="563" spans="1:5" ht="15" customHeight="1">
      <c r="A563" s="1051"/>
      <c r="B563" s="1053"/>
      <c r="C563" s="1054"/>
      <c r="D563" s="1055"/>
      <c r="E563" s="1056">
        <v>0</v>
      </c>
    </row>
    <row r="564" spans="1:5" ht="18" customHeight="1">
      <c r="A564" s="1040"/>
      <c r="B564" s="1711" t="s">
        <v>1527</v>
      </c>
      <c r="C564" s="1711"/>
      <c r="D564" s="1711"/>
      <c r="E564" s="1041">
        <f>SUM('BT-SI'!BN72:BN566)</f>
        <v>0</v>
      </c>
    </row>
    <row r="565" spans="1:5" ht="18" customHeight="1">
      <c r="A565" s="923"/>
      <c r="B565" s="1711" t="s">
        <v>1676</v>
      </c>
      <c r="C565" s="1711"/>
      <c r="D565" s="1711"/>
      <c r="E565" s="653">
        <f>SUM('ILUMINAÇÃO PUBLICA'!Q72:Q566)</f>
        <v>0</v>
      </c>
    </row>
    <row r="566" spans="1:5" ht="18" customHeight="1">
      <c r="A566" s="1039"/>
      <c r="B566" s="1713" t="s">
        <v>1528</v>
      </c>
      <c r="C566" s="1713"/>
      <c r="D566" s="1713"/>
      <c r="E566" s="1049">
        <f>SUM(Compcta!FU72:FU557)</f>
        <v>0</v>
      </c>
    </row>
    <row r="567" spans="1:5" ht="14.25" customHeight="1">
      <c r="A567" s="1052" t="s">
        <v>1169</v>
      </c>
      <c r="B567" s="1057" t="s">
        <v>1170</v>
      </c>
      <c r="C567" s="1052" t="s">
        <v>1063</v>
      </c>
      <c r="D567" s="1058" t="s">
        <v>171</v>
      </c>
      <c r="E567" s="1059">
        <f>IF(SUM(E568:E1166)=0,0,"Quant")</f>
        <v>0</v>
      </c>
    </row>
    <row r="568" spans="1:5" ht="14.25" customHeight="1">
      <c r="A568" s="1034">
        <v>3488</v>
      </c>
      <c r="B568" s="1034"/>
      <c r="C568" s="399" t="s">
        <v>770</v>
      </c>
      <c r="D568" s="400" t="s">
        <v>0</v>
      </c>
      <c r="E568" s="654">
        <f>Compcta!FU72+'BT-SI'!BN72+'ILUMINAÇÃO PUBLICA'!Q72</f>
        <v>0</v>
      </c>
    </row>
    <row r="569" spans="1:5" ht="14.25" customHeight="1">
      <c r="A569" s="1034">
        <v>3489</v>
      </c>
      <c r="B569" s="1034"/>
      <c r="C569" s="803" t="s">
        <v>771</v>
      </c>
      <c r="D569" s="804" t="s">
        <v>0</v>
      </c>
      <c r="E569" s="654">
        <f>Compcta!FU73+'BT-SI'!BN73+'ILUMINAÇÃO PUBLICA'!Q73</f>
        <v>0</v>
      </c>
    </row>
    <row r="570" spans="1:5" ht="14.25" customHeight="1">
      <c r="A570" s="1034">
        <v>3490</v>
      </c>
      <c r="B570" s="1034"/>
      <c r="C570" s="399" t="s">
        <v>772</v>
      </c>
      <c r="D570" s="400" t="s">
        <v>0</v>
      </c>
      <c r="E570" s="654">
        <f>Compcta!FU74+'BT-SI'!BN74+'ILUMINAÇÃO PUBLICA'!Q74</f>
        <v>0</v>
      </c>
    </row>
    <row r="571" spans="1:5" ht="14.25" customHeight="1">
      <c r="A571" s="1034">
        <v>3492</v>
      </c>
      <c r="B571" s="1034"/>
      <c r="C571" s="399" t="s">
        <v>1695</v>
      </c>
      <c r="D571" s="400" t="s">
        <v>0</v>
      </c>
      <c r="E571" s="654">
        <f>Compcta!FU75+'BT-SI'!BN75+'ILUMINAÇÃO PUBLICA'!Q75</f>
        <v>0</v>
      </c>
    </row>
    <row r="572" spans="1:5" ht="14.25" customHeight="1">
      <c r="A572" s="1034">
        <v>3491</v>
      </c>
      <c r="B572" s="1034"/>
      <c r="C572" s="803" t="s">
        <v>773</v>
      </c>
      <c r="D572" s="804" t="s">
        <v>0</v>
      </c>
      <c r="E572" s="654">
        <f>Compcta!FU76+'BT-SI'!BN76+'ILUMINAÇÃO PUBLICA'!Q76</f>
        <v>0</v>
      </c>
    </row>
    <row r="573" spans="1:5" ht="14.25" customHeight="1">
      <c r="A573" s="1034">
        <v>3492</v>
      </c>
      <c r="B573" s="1034"/>
      <c r="C573" s="399" t="s">
        <v>774</v>
      </c>
      <c r="D573" s="400" t="s">
        <v>0</v>
      </c>
      <c r="E573" s="654">
        <f>Compcta!FU77+'BT-SI'!BN77+'ILUMINAÇÃO PUBLICA'!Q77</f>
        <v>0</v>
      </c>
    </row>
    <row r="574" spans="1:5" ht="14.25" customHeight="1">
      <c r="A574" s="1034">
        <v>3493</v>
      </c>
      <c r="B574" s="1034"/>
      <c r="C574" s="399" t="s">
        <v>775</v>
      </c>
      <c r="D574" s="400" t="s">
        <v>0</v>
      </c>
      <c r="E574" s="654">
        <f>Compcta!FU78+'BT-SI'!BN78+'ILUMINAÇÃO PUBLICA'!Q78</f>
        <v>0</v>
      </c>
    </row>
    <row r="575" spans="1:5" ht="14.25" customHeight="1">
      <c r="A575" s="1034">
        <v>3494</v>
      </c>
      <c r="B575" s="1034"/>
      <c r="C575" s="399" t="s">
        <v>776</v>
      </c>
      <c r="D575" s="400" t="s">
        <v>0</v>
      </c>
      <c r="E575" s="654">
        <f>Compcta!FU79+'BT-SI'!BN79+'ILUMINAÇÃO PUBLICA'!Q79</f>
        <v>0</v>
      </c>
    </row>
    <row r="576" spans="1:5" ht="14.25" customHeight="1">
      <c r="A576" s="1034">
        <v>3496</v>
      </c>
      <c r="B576" s="1034"/>
      <c r="C576" s="5" t="s">
        <v>1030</v>
      </c>
      <c r="D576" s="400" t="s">
        <v>0</v>
      </c>
      <c r="E576" s="654">
        <f>Compcta!FU80+'BT-SI'!BN80+'ILUMINAÇÃO PUBLICA'!Q80</f>
        <v>0</v>
      </c>
    </row>
    <row r="577" spans="1:5" ht="14.25" customHeight="1">
      <c r="A577" s="1034"/>
      <c r="B577" s="1034"/>
      <c r="C577" s="5" t="s">
        <v>1031</v>
      </c>
      <c r="D577" s="400" t="s">
        <v>0</v>
      </c>
      <c r="E577" s="654">
        <f>Compcta!FU81+'BT-SI'!BN81+'ILUMINAÇÃO PUBLICA'!Q81</f>
        <v>0</v>
      </c>
    </row>
    <row r="578" spans="1:5" ht="14.25" customHeight="1">
      <c r="A578" s="1034">
        <v>3497</v>
      </c>
      <c r="B578" s="1034"/>
      <c r="C578" s="399" t="s">
        <v>1000</v>
      </c>
      <c r="D578" s="400" t="s">
        <v>0</v>
      </c>
      <c r="E578" s="654">
        <f>Compcta!FU82+'BT-SI'!BN82+'ILUMINAÇÃO PUBLICA'!Q82</f>
        <v>0</v>
      </c>
    </row>
    <row r="579" spans="1:5" ht="14.25" customHeight="1">
      <c r="A579" s="1034">
        <v>3498</v>
      </c>
      <c r="B579" s="1034"/>
      <c r="C579" s="399" t="s">
        <v>777</v>
      </c>
      <c r="D579" s="400" t="s">
        <v>386</v>
      </c>
      <c r="E579" s="654">
        <f>Compcta!FU83+'BT-SI'!BN83+'ILUMINAÇÃO PUBLICA'!Q83</f>
        <v>0</v>
      </c>
    </row>
    <row r="580" spans="1:5" ht="14.25" customHeight="1">
      <c r="A580" s="1034">
        <v>3501</v>
      </c>
      <c r="B580" s="1034"/>
      <c r="C580" s="399" t="s">
        <v>1082</v>
      </c>
      <c r="D580" s="400" t="s">
        <v>0</v>
      </c>
      <c r="E580" s="654">
        <f>Compcta!FU84+'BT-SI'!BN84+'ILUMINAÇÃO PUBLICA'!Q84</f>
        <v>0</v>
      </c>
    </row>
    <row r="581" spans="1:5" ht="14.25" customHeight="1">
      <c r="A581" s="1034">
        <v>3502</v>
      </c>
      <c r="B581" s="1034"/>
      <c r="C581" s="399" t="s">
        <v>1083</v>
      </c>
      <c r="D581" s="400" t="s">
        <v>0</v>
      </c>
      <c r="E581" s="654">
        <f>Compcta!FU85+'BT-SI'!BN85+'ILUMINAÇÃO PUBLICA'!Q85</f>
        <v>0</v>
      </c>
    </row>
    <row r="582" spans="1:5" ht="14.25" customHeight="1">
      <c r="A582" s="1034">
        <v>3499</v>
      </c>
      <c r="B582" s="1034"/>
      <c r="C582" s="399" t="s">
        <v>778</v>
      </c>
      <c r="D582" s="400" t="s">
        <v>0</v>
      </c>
      <c r="E582" s="654">
        <f>Compcta!FU86+'BT-SI'!BN86+'ILUMINAÇÃO PUBLICA'!Q86</f>
        <v>0</v>
      </c>
    </row>
    <row r="583" spans="1:5" ht="14.25" customHeight="1">
      <c r="A583" s="1034">
        <v>3500</v>
      </c>
      <c r="B583" s="1034"/>
      <c r="C583" s="399" t="s">
        <v>779</v>
      </c>
      <c r="D583" s="400" t="s">
        <v>0</v>
      </c>
      <c r="E583" s="654">
        <f>Compcta!FU87+'BT-SI'!BN87+'ILUMINAÇÃO PUBLICA'!Q87</f>
        <v>0</v>
      </c>
    </row>
    <row r="584" spans="1:5" ht="14.25" customHeight="1">
      <c r="A584" s="1034">
        <v>4029</v>
      </c>
      <c r="B584" s="1034"/>
      <c r="C584" s="399" t="s">
        <v>780</v>
      </c>
      <c r="D584" s="400" t="s">
        <v>0</v>
      </c>
      <c r="E584" s="654">
        <f>Compcta!FU88+'BT-SI'!BN88+'ILUMINAÇÃO PUBLICA'!Q88</f>
        <v>0</v>
      </c>
    </row>
    <row r="585" spans="1:5" ht="14.25" customHeight="1">
      <c r="A585" s="1034">
        <v>4031</v>
      </c>
      <c r="B585" s="1034"/>
      <c r="C585" s="399" t="s">
        <v>781</v>
      </c>
      <c r="D585" s="400" t="s">
        <v>0</v>
      </c>
      <c r="E585" s="654">
        <f>Compcta!FU89+'BT-SI'!BN89+'ILUMINAÇÃO PUBLICA'!Q89</f>
        <v>0</v>
      </c>
    </row>
    <row r="586" spans="1:5" ht="14.25" customHeight="1">
      <c r="A586" s="1034">
        <v>4030</v>
      </c>
      <c r="B586" s="1034"/>
      <c r="C586" s="399" t="s">
        <v>782</v>
      </c>
      <c r="D586" s="400" t="s">
        <v>0</v>
      </c>
      <c r="E586" s="654">
        <f>Compcta!FU90+'BT-SI'!BN90+'ILUMINAÇÃO PUBLICA'!Q90</f>
        <v>0</v>
      </c>
    </row>
    <row r="587" spans="1:5" ht="14.25" customHeight="1">
      <c r="A587" s="1034">
        <v>4027</v>
      </c>
      <c r="B587" s="1034"/>
      <c r="C587" s="399" t="s">
        <v>783</v>
      </c>
      <c r="D587" s="400" t="s">
        <v>0</v>
      </c>
      <c r="E587" s="654">
        <f>Compcta!FU91+'BT-SI'!BN91+'ILUMINAÇÃO PUBLICA'!Q91</f>
        <v>0</v>
      </c>
    </row>
    <row r="588" spans="1:5" ht="14.25" customHeight="1">
      <c r="A588" s="1034">
        <v>3503</v>
      </c>
      <c r="B588" s="1034"/>
      <c r="C588" s="399" t="s">
        <v>784</v>
      </c>
      <c r="D588" s="400" t="s">
        <v>0</v>
      </c>
      <c r="E588" s="654">
        <f>Compcta!FU92+'BT-SI'!BN92+'ILUMINAÇÃO PUBLICA'!Q92</f>
        <v>0</v>
      </c>
    </row>
    <row r="589" spans="1:5" ht="14.25" customHeight="1">
      <c r="A589" s="1034">
        <v>4022</v>
      </c>
      <c r="B589" s="1034"/>
      <c r="C589" s="399" t="s">
        <v>785</v>
      </c>
      <c r="D589" s="400" t="s">
        <v>0</v>
      </c>
      <c r="E589" s="654">
        <f>Compcta!FU93+'BT-SI'!BN93+'ILUMINAÇÃO PUBLICA'!Q93</f>
        <v>0</v>
      </c>
    </row>
    <row r="590" spans="1:5" ht="14.25" customHeight="1">
      <c r="A590" s="1034">
        <v>4028</v>
      </c>
      <c r="B590" s="1034"/>
      <c r="C590" s="399" t="s">
        <v>786</v>
      </c>
      <c r="D590" s="400" t="s">
        <v>0</v>
      </c>
      <c r="E590" s="654">
        <f>Compcta!FU94+'BT-SI'!BN94+'ILUMINAÇÃO PUBLICA'!Q94</f>
        <v>0</v>
      </c>
    </row>
    <row r="591" spans="1:5" ht="14.25" customHeight="1">
      <c r="A591" s="1034">
        <v>4033</v>
      </c>
      <c r="B591" s="1034"/>
      <c r="C591" s="399" t="s">
        <v>787</v>
      </c>
      <c r="D591" s="400" t="s">
        <v>0</v>
      </c>
      <c r="E591" s="654">
        <f>Compcta!FU95+'BT-SI'!BN95+'ILUMINAÇÃO PUBLICA'!Q95</f>
        <v>0</v>
      </c>
    </row>
    <row r="592" spans="1:5" ht="14.25" customHeight="1">
      <c r="A592" s="1034">
        <v>3504</v>
      </c>
      <c r="B592" s="1034"/>
      <c r="C592" s="399" t="s">
        <v>788</v>
      </c>
      <c r="D592" s="400" t="s">
        <v>0</v>
      </c>
      <c r="E592" s="654">
        <f>Compcta!FU96+'BT-SI'!BN96+'ILUMINAÇÃO PUBLICA'!Q96</f>
        <v>0</v>
      </c>
    </row>
    <row r="593" spans="1:5" ht="14.25" customHeight="1">
      <c r="A593" s="1034">
        <v>3505</v>
      </c>
      <c r="B593" s="1034"/>
      <c r="C593" s="399" t="s">
        <v>1009</v>
      </c>
      <c r="D593" s="400" t="s">
        <v>0</v>
      </c>
      <c r="E593" s="654">
        <f>Compcta!FU97+'BT-SI'!BN97+'ILUMINAÇÃO PUBLICA'!Q97</f>
        <v>0</v>
      </c>
    </row>
    <row r="594" spans="1:5" ht="14.25" customHeight="1">
      <c r="A594" s="1034"/>
      <c r="B594" s="1034"/>
      <c r="C594" s="399" t="s">
        <v>789</v>
      </c>
      <c r="D594" s="400" t="s">
        <v>0</v>
      </c>
      <c r="E594" s="654">
        <f>Compcta!FU98+'BT-SI'!BN98+'ILUMINAÇÃO PUBLICA'!Q98</f>
        <v>0</v>
      </c>
    </row>
    <row r="595" spans="1:5" ht="14.25" customHeight="1">
      <c r="A595" s="1034"/>
      <c r="B595" s="1034"/>
      <c r="C595" s="399" t="s">
        <v>790</v>
      </c>
      <c r="D595" s="400" t="s">
        <v>0</v>
      </c>
      <c r="E595" s="654">
        <f>Compcta!FU99+'BT-SI'!BN99+'ILUMINAÇÃO PUBLICA'!Q99</f>
        <v>0</v>
      </c>
    </row>
    <row r="596" spans="1:5" ht="14.25" customHeight="1">
      <c r="A596" s="1034">
        <v>3506</v>
      </c>
      <c r="B596" s="1035"/>
      <c r="C596" s="192" t="s">
        <v>2</v>
      </c>
      <c r="D596" s="400" t="s">
        <v>0</v>
      </c>
      <c r="E596" s="654">
        <f>Compcta!FU100+'BT-SI'!BN100+'ILUMINAÇÃO PUBLICA'!Q100</f>
        <v>0</v>
      </c>
    </row>
    <row r="597" spans="1:5" ht="14.25" customHeight="1">
      <c r="A597" s="1034">
        <v>3966</v>
      </c>
      <c r="B597" s="1034"/>
      <c r="C597" s="399" t="s">
        <v>791</v>
      </c>
      <c r="D597" s="400" t="s">
        <v>0</v>
      </c>
      <c r="E597" s="654">
        <f>Compcta!FU101+'BT-SI'!BN101+'ILUMINAÇÃO PUBLICA'!Q101</f>
        <v>0</v>
      </c>
    </row>
    <row r="598" spans="1:5" ht="14.25" customHeight="1">
      <c r="A598" s="1034">
        <v>4534</v>
      </c>
      <c r="B598" s="1034"/>
      <c r="C598" s="399" t="s">
        <v>1007</v>
      </c>
      <c r="D598" s="400" t="s">
        <v>0</v>
      </c>
      <c r="E598" s="654">
        <f>Compcta!FU102+'BT-SI'!BN102+'ILUMINAÇÃO PUBLICA'!Q102</f>
        <v>0</v>
      </c>
    </row>
    <row r="599" spans="1:5" ht="14.25" customHeight="1">
      <c r="A599" s="1034">
        <v>4022</v>
      </c>
      <c r="B599" s="1034"/>
      <c r="C599" s="399" t="s">
        <v>792</v>
      </c>
      <c r="D599" s="400" t="s">
        <v>0</v>
      </c>
      <c r="E599" s="654">
        <f>Compcta!FU103+'BT-SI'!BN103+'ILUMINAÇÃO PUBLICA'!Q103</f>
        <v>0</v>
      </c>
    </row>
    <row r="600" spans="1:5" ht="14.25" customHeight="1">
      <c r="A600" s="1034">
        <v>4024</v>
      </c>
      <c r="B600" s="1034"/>
      <c r="C600" s="399" t="s">
        <v>793</v>
      </c>
      <c r="D600" s="400" t="s">
        <v>0</v>
      </c>
      <c r="E600" s="654">
        <f>Compcta!FU104+'BT-SI'!BN104+'ILUMINAÇÃO PUBLICA'!Q104</f>
        <v>0</v>
      </c>
    </row>
    <row r="601" spans="1:5" ht="14.25" customHeight="1">
      <c r="A601" s="1034">
        <v>4023</v>
      </c>
      <c r="B601" s="1034"/>
      <c r="C601" s="399" t="s">
        <v>794</v>
      </c>
      <c r="D601" s="400" t="s">
        <v>0</v>
      </c>
      <c r="E601" s="654">
        <f>Compcta!FU105+'BT-SI'!BN105+'ILUMINAÇÃO PUBLICA'!Q105</f>
        <v>0</v>
      </c>
    </row>
    <row r="602" spans="1:5" ht="14.25" customHeight="1">
      <c r="A602" s="1034">
        <v>4020</v>
      </c>
      <c r="B602" s="1034"/>
      <c r="C602" s="399" t="s">
        <v>795</v>
      </c>
      <c r="D602" s="400" t="s">
        <v>0</v>
      </c>
      <c r="E602" s="654">
        <f>Compcta!FU106+'BT-SI'!BN106+'ILUMINAÇÃO PUBLICA'!Q106</f>
        <v>0</v>
      </c>
    </row>
    <row r="603" spans="1:5" ht="14.25" customHeight="1">
      <c r="A603" s="1034">
        <v>3508</v>
      </c>
      <c r="B603" s="1034"/>
      <c r="C603" s="399" t="s">
        <v>796</v>
      </c>
      <c r="D603" s="400" t="s">
        <v>0</v>
      </c>
      <c r="E603" s="654">
        <f>Compcta!FU107+'BT-SI'!BN107+'ILUMINAÇÃO PUBLICA'!Q107</f>
        <v>0</v>
      </c>
    </row>
    <row r="604" spans="1:5" ht="14.25" customHeight="1">
      <c r="A604" s="1034">
        <v>4025</v>
      </c>
      <c r="B604" s="1034"/>
      <c r="C604" s="399" t="s">
        <v>797</v>
      </c>
      <c r="D604" s="400" t="s">
        <v>0</v>
      </c>
      <c r="E604" s="654">
        <f>Compcta!FU108+'BT-SI'!BN108+'ILUMINAÇÃO PUBLICA'!Q108</f>
        <v>0</v>
      </c>
    </row>
    <row r="605" spans="1:5" ht="14.25" customHeight="1">
      <c r="A605" s="1034">
        <v>3509</v>
      </c>
      <c r="B605" s="1034"/>
      <c r="C605" s="399" t="s">
        <v>798</v>
      </c>
      <c r="D605" s="400" t="s">
        <v>0</v>
      </c>
      <c r="E605" s="654">
        <f>Compcta!FU109+'BT-SI'!BN109+'ILUMINAÇÃO PUBLICA'!Q109</f>
        <v>0</v>
      </c>
    </row>
    <row r="606" spans="1:5" ht="14.25" customHeight="1">
      <c r="A606" s="1034">
        <v>4021</v>
      </c>
      <c r="B606" s="1034"/>
      <c r="C606" s="399" t="s">
        <v>799</v>
      </c>
      <c r="D606" s="400" t="s">
        <v>0</v>
      </c>
      <c r="E606" s="654">
        <f>Compcta!FU110+'BT-SI'!BN110+'ILUMINAÇÃO PUBLICA'!Q110</f>
        <v>0</v>
      </c>
    </row>
    <row r="607" spans="1:5" ht="14.25" customHeight="1">
      <c r="A607" s="1034">
        <v>4026</v>
      </c>
      <c r="B607" s="1034"/>
      <c r="C607" s="399" t="s">
        <v>800</v>
      </c>
      <c r="D607" s="400" t="s">
        <v>0</v>
      </c>
      <c r="E607" s="654">
        <f>Compcta!FU111+'BT-SI'!BN111+'ILUMINAÇÃO PUBLICA'!Q111</f>
        <v>0</v>
      </c>
    </row>
    <row r="608" spans="1:5" ht="14.25" customHeight="1">
      <c r="A608" s="1034"/>
      <c r="B608" s="1034"/>
      <c r="C608" s="163" t="s">
        <v>464</v>
      </c>
      <c r="D608" s="400" t="s">
        <v>0</v>
      </c>
      <c r="E608" s="654">
        <f>Compcta!FU112+'BT-SI'!BN112+'ILUMINAÇÃO PUBLICA'!Q112</f>
        <v>0</v>
      </c>
    </row>
    <row r="609" spans="1:5" ht="14.25" customHeight="1">
      <c r="A609" s="1034"/>
      <c r="B609" s="1034"/>
      <c r="C609" s="163" t="s">
        <v>440</v>
      </c>
      <c r="D609" s="400" t="s">
        <v>0</v>
      </c>
      <c r="E609" s="654">
        <f>Compcta!FU113+'BT-SI'!BN113+'ILUMINAÇÃO PUBLICA'!Q113</f>
        <v>0</v>
      </c>
    </row>
    <row r="610" spans="1:5" ht="14.25" customHeight="1">
      <c r="A610" s="1034">
        <v>4035</v>
      </c>
      <c r="B610" s="1034"/>
      <c r="C610" s="399" t="s">
        <v>801</v>
      </c>
      <c r="D610" s="400" t="s">
        <v>0</v>
      </c>
      <c r="E610" s="654">
        <f>Compcta!FU114+'BT-SI'!BN114+'ILUMINAÇÃO PUBLICA'!Q114</f>
        <v>0</v>
      </c>
    </row>
    <row r="611" spans="1:5" ht="14.25" customHeight="1">
      <c r="A611" s="1034">
        <v>4037</v>
      </c>
      <c r="B611" s="1034"/>
      <c r="C611" s="399" t="s">
        <v>802</v>
      </c>
      <c r="D611" s="400" t="s">
        <v>0</v>
      </c>
      <c r="E611" s="654">
        <f>Compcta!FU115+'BT-SI'!BN115+'ILUMINAÇÃO PUBLICA'!Q115</f>
        <v>0</v>
      </c>
    </row>
    <row r="612" spans="1:5" ht="14.25" customHeight="1">
      <c r="A612" s="1034">
        <v>4066</v>
      </c>
      <c r="B612" s="1034"/>
      <c r="C612" s="399" t="s">
        <v>803</v>
      </c>
      <c r="D612" s="400" t="s">
        <v>0</v>
      </c>
      <c r="E612" s="654">
        <f>Compcta!FU116+'BT-SI'!BN116+'ILUMINAÇÃO PUBLICA'!Q116</f>
        <v>0</v>
      </c>
    </row>
    <row r="613" spans="1:5" ht="14.25" customHeight="1">
      <c r="A613" s="1034">
        <v>3510</v>
      </c>
      <c r="B613" s="1034"/>
      <c r="C613" s="399" t="s">
        <v>804</v>
      </c>
      <c r="D613" s="400" t="s">
        <v>0</v>
      </c>
      <c r="E613" s="654">
        <f>Compcta!FU117+'BT-SI'!BN117+'ILUMINAÇÃO PUBLICA'!Q117</f>
        <v>0</v>
      </c>
    </row>
    <row r="614" spans="1:5" ht="14.25" customHeight="1">
      <c r="A614" s="1034">
        <v>4038</v>
      </c>
      <c r="B614" s="1034"/>
      <c r="C614" s="399" t="s">
        <v>805</v>
      </c>
      <c r="D614" s="400" t="s">
        <v>0</v>
      </c>
      <c r="E614" s="654">
        <f>Compcta!FU118+'BT-SI'!BN118+'ILUMINAÇÃO PUBLICA'!Q118</f>
        <v>0</v>
      </c>
    </row>
    <row r="615" spans="1:5" ht="14.25" customHeight="1">
      <c r="A615" s="1034">
        <v>3511</v>
      </c>
      <c r="B615" s="1034"/>
      <c r="C615" s="399" t="s">
        <v>806</v>
      </c>
      <c r="D615" s="400" t="s">
        <v>0</v>
      </c>
      <c r="E615" s="654">
        <f>Compcta!FU119+'BT-SI'!BN119+'ILUMINAÇÃO PUBLICA'!Q119</f>
        <v>0</v>
      </c>
    </row>
    <row r="616" spans="1:5" ht="14.25" customHeight="1">
      <c r="A616" s="1034">
        <v>4034</v>
      </c>
      <c r="B616" s="1034"/>
      <c r="C616" s="399" t="s">
        <v>807</v>
      </c>
      <c r="D616" s="400" t="s">
        <v>0</v>
      </c>
      <c r="E616" s="654">
        <f>Compcta!FU120+'BT-SI'!BN120+'ILUMINAÇÃO PUBLICA'!Q120</f>
        <v>0</v>
      </c>
    </row>
    <row r="617" spans="1:5" ht="14.25" customHeight="1">
      <c r="A617" s="1034">
        <v>4067</v>
      </c>
      <c r="B617" s="1034"/>
      <c r="C617" s="399" t="s">
        <v>808</v>
      </c>
      <c r="D617" s="400" t="s">
        <v>0</v>
      </c>
      <c r="E617" s="654">
        <f>Compcta!FU121+'BT-SI'!BN121+'ILUMINAÇÃO PUBLICA'!Q121</f>
        <v>0</v>
      </c>
    </row>
    <row r="618" spans="1:5" ht="14.25" customHeight="1">
      <c r="A618" s="1034">
        <v>3531</v>
      </c>
      <c r="B618" s="1034"/>
      <c r="C618" s="399" t="s">
        <v>810</v>
      </c>
      <c r="D618" s="400" t="s">
        <v>386</v>
      </c>
      <c r="E618" s="654">
        <f>Compcta!FU122+'BT-SI'!BN122+'ILUMINAÇÃO PUBLICA'!Q122</f>
        <v>0</v>
      </c>
    </row>
    <row r="619" spans="1:5" ht="14.25" customHeight="1">
      <c r="A619" s="1034">
        <v>3532</v>
      </c>
      <c r="B619" s="1034"/>
      <c r="C619" s="399" t="s">
        <v>811</v>
      </c>
      <c r="D619" s="400" t="s">
        <v>386</v>
      </c>
      <c r="E619" s="654">
        <f>Compcta!FU123+'BT-SI'!BN123+'ILUMINAÇÃO PUBLICA'!Q123</f>
        <v>0</v>
      </c>
    </row>
    <row r="620" spans="1:5" ht="14.25" customHeight="1">
      <c r="A620" s="1034">
        <v>3530</v>
      </c>
      <c r="B620" s="1034"/>
      <c r="C620" s="399" t="s">
        <v>809</v>
      </c>
      <c r="D620" s="400" t="s">
        <v>386</v>
      </c>
      <c r="E620" s="654">
        <f>Compcta!FU124+'BT-SI'!BN124+'ILUMINAÇÃO PUBLICA'!Q124</f>
        <v>0</v>
      </c>
    </row>
    <row r="621" spans="1:5" ht="14.25" customHeight="1">
      <c r="A621" s="1034">
        <v>4501</v>
      </c>
      <c r="B621" s="1034"/>
      <c r="C621" s="399" t="s">
        <v>1716</v>
      </c>
      <c r="D621" s="400" t="s">
        <v>168</v>
      </c>
      <c r="E621" s="654">
        <f>Compcta!FU125+'BT-SI'!BN125+'ILUMINAÇÃO PUBLICA'!Q125</f>
        <v>0</v>
      </c>
    </row>
    <row r="622" spans="1:5" ht="14.25" customHeight="1">
      <c r="A622" s="1034"/>
      <c r="B622" s="1034"/>
      <c r="C622" s="399" t="s">
        <v>1717</v>
      </c>
      <c r="D622" s="400" t="s">
        <v>168</v>
      </c>
      <c r="E622" s="654">
        <f>Compcta!FU126+'BT-SI'!BN126+'ILUMINAÇÃO PUBLICA'!Q126</f>
        <v>0</v>
      </c>
    </row>
    <row r="623" spans="1:5" ht="14.25" customHeight="1">
      <c r="A623" s="1034"/>
      <c r="B623" s="1034"/>
      <c r="C623" s="399" t="s">
        <v>1718</v>
      </c>
      <c r="D623" s="400" t="s">
        <v>168</v>
      </c>
      <c r="E623" s="654">
        <f>Compcta!FU127+'BT-SI'!BN127+'ILUMINAÇÃO PUBLICA'!Q127</f>
        <v>0</v>
      </c>
    </row>
    <row r="624" spans="1:5" ht="14.25" customHeight="1">
      <c r="A624" s="1034">
        <v>3531</v>
      </c>
      <c r="B624" s="1034"/>
      <c r="C624" s="399" t="s">
        <v>1719</v>
      </c>
      <c r="D624" s="400" t="s">
        <v>168</v>
      </c>
      <c r="E624" s="654">
        <f>Compcta!FU128+'BT-SI'!BN128+'ILUMINAÇÃO PUBLICA'!Q128</f>
        <v>0</v>
      </c>
    </row>
    <row r="625" spans="1:5" ht="14.25" customHeight="1">
      <c r="A625" s="1034">
        <v>3532</v>
      </c>
      <c r="B625" s="1034"/>
      <c r="C625" s="399" t="s">
        <v>1383</v>
      </c>
      <c r="D625" s="400" t="s">
        <v>168</v>
      </c>
      <c r="E625" s="654">
        <f>Compcta!FU129+'BT-SI'!BN129+'ILUMINAÇÃO PUBLICA'!Q129</f>
        <v>0</v>
      </c>
    </row>
    <row r="626" spans="1:5" ht="14.25" customHeight="1">
      <c r="A626" s="1034">
        <v>3530</v>
      </c>
      <c r="B626" s="1034"/>
      <c r="C626" s="399" t="s">
        <v>1381</v>
      </c>
      <c r="D626" s="400" t="s">
        <v>168</v>
      </c>
      <c r="E626" s="654">
        <f>Compcta!FU130+'BT-SI'!BN130+'ILUMINAÇÃO PUBLICA'!Q130</f>
        <v>0</v>
      </c>
    </row>
    <row r="627" spans="1:5" ht="14.25" customHeight="1">
      <c r="A627" s="1034">
        <v>3512</v>
      </c>
      <c r="B627" s="1034"/>
      <c r="C627" s="399" t="s">
        <v>812</v>
      </c>
      <c r="D627" s="400" t="s">
        <v>0</v>
      </c>
      <c r="E627" s="654">
        <f>Compcta!FU131+'BT-SI'!BN131+'ILUMINAÇÃO PUBLICA'!Q131</f>
        <v>0</v>
      </c>
    </row>
    <row r="628" spans="1:5" ht="14.25" customHeight="1">
      <c r="A628" s="1034">
        <v>3513</v>
      </c>
      <c r="B628" s="1034"/>
      <c r="C628" s="399" t="s">
        <v>813</v>
      </c>
      <c r="D628" s="400" t="s">
        <v>0</v>
      </c>
      <c r="E628" s="654">
        <f>Compcta!FU132+'BT-SI'!BN132+'ILUMINAÇÃO PUBLICA'!Q132</f>
        <v>0</v>
      </c>
    </row>
    <row r="629" spans="1:5" ht="14.25" customHeight="1">
      <c r="A629" s="1034">
        <v>3514</v>
      </c>
      <c r="B629" s="1034"/>
      <c r="C629" s="399" t="s">
        <v>814</v>
      </c>
      <c r="D629" s="400" t="s">
        <v>0</v>
      </c>
      <c r="E629" s="654">
        <f>Compcta!FU133+'BT-SI'!BN133+'ILUMINAÇÃO PUBLICA'!Q133</f>
        <v>0</v>
      </c>
    </row>
    <row r="630" spans="1:5" ht="14.25" customHeight="1">
      <c r="A630" s="1034">
        <v>4234</v>
      </c>
      <c r="B630" s="1034"/>
      <c r="C630" s="399" t="s">
        <v>1050</v>
      </c>
      <c r="D630" s="400" t="s">
        <v>4</v>
      </c>
      <c r="E630" s="654">
        <f>Compcta!FU134+'BT-SI'!BN134+'ILUMINAÇÃO PUBLICA'!Q134</f>
        <v>0</v>
      </c>
    </row>
    <row r="631" spans="1:5" ht="14.25" customHeight="1">
      <c r="A631" s="1034">
        <v>4235</v>
      </c>
      <c r="B631" s="1034"/>
      <c r="C631" s="399" t="s">
        <v>1051</v>
      </c>
      <c r="D631" s="400" t="s">
        <v>4</v>
      </c>
      <c r="E631" s="654">
        <f>Compcta!FU135+'BT-SI'!BN135+'ILUMINAÇÃO PUBLICA'!Q135</f>
        <v>0</v>
      </c>
    </row>
    <row r="632" spans="1:5" ht="14.25" customHeight="1">
      <c r="A632" s="1034"/>
      <c r="B632" s="1034"/>
      <c r="C632" s="399" t="s">
        <v>1052</v>
      </c>
      <c r="D632" s="400" t="s">
        <v>4</v>
      </c>
      <c r="E632" s="654">
        <f>Compcta!FU136+'BT-SI'!BN136+'ILUMINAÇÃO PUBLICA'!Q136</f>
        <v>0</v>
      </c>
    </row>
    <row r="633" spans="1:5" ht="14.25" customHeight="1">
      <c r="A633" s="1034"/>
      <c r="B633" s="1034"/>
      <c r="C633" s="399" t="s">
        <v>815</v>
      </c>
      <c r="D633" s="400" t="s">
        <v>386</v>
      </c>
      <c r="E633" s="654">
        <f>Compcta!FU137+'BT-SI'!BN137+'ILUMINAÇÃO PUBLICA'!Q137</f>
        <v>0</v>
      </c>
    </row>
    <row r="634" spans="1:5" ht="14.25" customHeight="1">
      <c r="A634" s="1034">
        <v>3516</v>
      </c>
      <c r="B634" s="1034"/>
      <c r="C634" s="399" t="s">
        <v>816</v>
      </c>
      <c r="D634" s="400" t="s">
        <v>4</v>
      </c>
      <c r="E634" s="654">
        <f>Compcta!FU138+'BT-SI'!BN138+'ILUMINAÇÃO PUBLICA'!Q138</f>
        <v>0</v>
      </c>
    </row>
    <row r="635" spans="1:5" ht="14.25" customHeight="1">
      <c r="A635" s="1034"/>
      <c r="B635" s="1034"/>
      <c r="C635" s="399" t="s">
        <v>1739</v>
      </c>
      <c r="D635" s="400" t="s">
        <v>168</v>
      </c>
      <c r="E635" s="654">
        <f>Compcta!FU139+'BT-SI'!BN139+'ILUMINAÇÃO PUBLICA'!Q139</f>
        <v>0</v>
      </c>
    </row>
    <row r="636" spans="1:5" ht="14.25" customHeight="1">
      <c r="A636" s="1034"/>
      <c r="B636" s="1034"/>
      <c r="C636" s="399" t="s">
        <v>1168</v>
      </c>
      <c r="D636" s="400" t="s">
        <v>4</v>
      </c>
      <c r="E636" s="654">
        <f>Compcta!FU140+'BT-SI'!BN140+'ILUMINAÇÃO PUBLICA'!Q140</f>
        <v>0</v>
      </c>
    </row>
    <row r="637" spans="1:5" ht="14.25" customHeight="1">
      <c r="A637" s="1034">
        <v>4183</v>
      </c>
      <c r="B637" s="1034"/>
      <c r="C637" s="399" t="s">
        <v>3</v>
      </c>
      <c r="D637" s="400" t="s">
        <v>0</v>
      </c>
      <c r="E637" s="654">
        <f>Compcta!FU141+'BT-SI'!BN141+'ILUMINAÇÃO PUBLICA'!Q141</f>
        <v>0</v>
      </c>
    </row>
    <row r="638" spans="1:5" ht="14.25" customHeight="1">
      <c r="A638" s="1034">
        <v>3519</v>
      </c>
      <c r="B638" s="1034"/>
      <c r="C638" s="399" t="s">
        <v>817</v>
      </c>
      <c r="D638" s="400" t="s">
        <v>0</v>
      </c>
      <c r="E638" s="654">
        <f>Compcta!FU142+'BT-SI'!BN142+'ILUMINAÇÃO PUBLICA'!Q142</f>
        <v>0</v>
      </c>
    </row>
    <row r="639" spans="1:5" ht="14.25" customHeight="1">
      <c r="A639" s="1034">
        <v>3520</v>
      </c>
      <c r="B639" s="1034"/>
      <c r="C639" s="399" t="s">
        <v>818</v>
      </c>
      <c r="D639" s="400" t="s">
        <v>0</v>
      </c>
      <c r="E639" s="654">
        <f>Compcta!FU143+'BT-SI'!BN143+'ILUMINAÇÃO PUBLICA'!Q143</f>
        <v>0</v>
      </c>
    </row>
    <row r="640" spans="1:5" ht="14.25" customHeight="1">
      <c r="A640" s="1034">
        <v>3521</v>
      </c>
      <c r="B640" s="1034"/>
      <c r="C640" s="399" t="s">
        <v>819</v>
      </c>
      <c r="D640" s="400" t="s">
        <v>0</v>
      </c>
      <c r="E640" s="654">
        <f>Compcta!FU144+'BT-SI'!BN144+'ILUMINAÇÃO PUBLICA'!Q144</f>
        <v>0</v>
      </c>
    </row>
    <row r="641" spans="1:5" ht="14.25" customHeight="1">
      <c r="A641" s="1034">
        <v>3522</v>
      </c>
      <c r="B641" s="1034"/>
      <c r="C641" s="399" t="s">
        <v>820</v>
      </c>
      <c r="D641" s="400" t="s">
        <v>0</v>
      </c>
      <c r="E641" s="654">
        <f>Compcta!FU145+'BT-SI'!BN145+'ILUMINAÇÃO PUBLICA'!Q145</f>
        <v>0</v>
      </c>
    </row>
    <row r="642" spans="1:5" ht="14.25" customHeight="1">
      <c r="A642" s="1034">
        <v>3524</v>
      </c>
      <c r="B642" s="1034"/>
      <c r="C642" s="399" t="s">
        <v>1713</v>
      </c>
      <c r="D642" s="400" t="s">
        <v>168</v>
      </c>
      <c r="E642" s="654">
        <f>Compcta!FU146+'BT-SI'!BN146+'ILUMINAÇÃO PUBLICA'!Q146</f>
        <v>0</v>
      </c>
    </row>
    <row r="643" spans="1:5" ht="14.25" customHeight="1">
      <c r="A643" s="1034"/>
      <c r="B643" s="1034"/>
      <c r="C643" s="399" t="s">
        <v>1714</v>
      </c>
      <c r="D643" s="400" t="s">
        <v>168</v>
      </c>
      <c r="E643" s="654">
        <f>Compcta!FU147+'BT-SI'!BN147+'ILUMINAÇÃO PUBLICA'!Q147</f>
        <v>0</v>
      </c>
    </row>
    <row r="644" spans="1:5" ht="14.25" customHeight="1">
      <c r="A644" s="1034">
        <v>4357</v>
      </c>
      <c r="B644" s="1034"/>
      <c r="C644" s="399" t="s">
        <v>1691</v>
      </c>
      <c r="D644" s="400" t="s">
        <v>0</v>
      </c>
      <c r="E644" s="654">
        <f>Compcta!FU148+'BT-SI'!BN148+'ILUMINAÇÃO PUBLICA'!Q148</f>
        <v>0</v>
      </c>
    </row>
    <row r="645" spans="1:5" ht="14.25" customHeight="1">
      <c r="A645" s="1034"/>
      <c r="B645" s="1034"/>
      <c r="C645" s="399" t="s">
        <v>1040</v>
      </c>
      <c r="D645" s="400" t="s">
        <v>0</v>
      </c>
      <c r="E645" s="654">
        <f>Compcta!FU149+'BT-SI'!BN149+'ILUMINAÇÃO PUBLICA'!Q149</f>
        <v>0</v>
      </c>
    </row>
    <row r="646" spans="1:5" ht="14.25" customHeight="1">
      <c r="A646" s="1034">
        <v>3557</v>
      </c>
      <c r="B646" s="1034"/>
      <c r="C646" s="399" t="s">
        <v>8</v>
      </c>
      <c r="D646" s="400" t="s">
        <v>0</v>
      </c>
      <c r="E646" s="654">
        <f>Compcta!FU150+'BT-SI'!BN150+'ILUMINAÇÃO PUBLICA'!Q150</f>
        <v>0</v>
      </c>
    </row>
    <row r="647" spans="1:5" ht="14.25" customHeight="1">
      <c r="A647" s="1034"/>
      <c r="B647" s="1034"/>
      <c r="C647" s="399" t="s">
        <v>1041</v>
      </c>
      <c r="D647" s="400" t="s">
        <v>0</v>
      </c>
      <c r="E647" s="654">
        <f>Compcta!FU151+'BT-SI'!BN151+'ILUMINAÇÃO PUBLICA'!Q151</f>
        <v>0</v>
      </c>
    </row>
    <row r="648" spans="1:5" ht="14.25" customHeight="1">
      <c r="A648" s="1034"/>
      <c r="B648" s="1034"/>
      <c r="C648" s="399" t="s">
        <v>1042</v>
      </c>
      <c r="D648" s="400" t="s">
        <v>0</v>
      </c>
      <c r="E648" s="654">
        <f>Compcta!FU152+'BT-SI'!BN152+'ILUMINAÇÃO PUBLICA'!Q152</f>
        <v>0</v>
      </c>
    </row>
    <row r="649" spans="1:5" ht="14.25" customHeight="1">
      <c r="A649" s="1034"/>
      <c r="B649" s="1034"/>
      <c r="C649" s="399" t="s">
        <v>1043</v>
      </c>
      <c r="D649" s="400" t="s">
        <v>0</v>
      </c>
      <c r="E649" s="654">
        <f>Compcta!FU153+'BT-SI'!BN153+'ILUMINAÇÃO PUBLICA'!Q153</f>
        <v>0</v>
      </c>
    </row>
    <row r="650" spans="1:5" ht="14.25" customHeight="1">
      <c r="A650" s="1034"/>
      <c r="B650" s="1034"/>
      <c r="C650" s="399" t="s">
        <v>1044</v>
      </c>
      <c r="D650" s="400" t="s">
        <v>0</v>
      </c>
      <c r="E650" s="654">
        <f>Compcta!FU154+'BT-SI'!BN154+'ILUMINAÇÃO PUBLICA'!Q154</f>
        <v>0</v>
      </c>
    </row>
    <row r="651" spans="1:5" ht="14.25" customHeight="1">
      <c r="A651" s="1034"/>
      <c r="B651" s="1034"/>
      <c r="C651" s="399" t="s">
        <v>1045</v>
      </c>
      <c r="D651" s="400" t="s">
        <v>0</v>
      </c>
      <c r="E651" s="654">
        <f>Compcta!FU155+'BT-SI'!BN155+'ILUMINAÇÃO PUBLICA'!Q155</f>
        <v>0</v>
      </c>
    </row>
    <row r="652" spans="1:5" ht="14.25" customHeight="1">
      <c r="A652" s="1034"/>
      <c r="B652" s="1034"/>
      <c r="C652" s="399" t="s">
        <v>1046</v>
      </c>
      <c r="D652" s="400" t="s">
        <v>0</v>
      </c>
      <c r="E652" s="654">
        <f>Compcta!FU156+'BT-SI'!BN156+'ILUMINAÇÃO PUBLICA'!Q156</f>
        <v>0</v>
      </c>
    </row>
    <row r="653" spans="1:5" ht="14.25" customHeight="1">
      <c r="A653" s="1034"/>
      <c r="B653" s="1034"/>
      <c r="C653" s="399" t="s">
        <v>1047</v>
      </c>
      <c r="D653" s="400" t="s">
        <v>0</v>
      </c>
      <c r="E653" s="654">
        <f>Compcta!FU157+'BT-SI'!BN157+'ILUMINAÇÃO PUBLICA'!Q157</f>
        <v>0</v>
      </c>
    </row>
    <row r="654" spans="1:5" ht="14.25" customHeight="1">
      <c r="A654" s="1034"/>
      <c r="B654" s="1034"/>
      <c r="C654" s="399" t="s">
        <v>1048</v>
      </c>
      <c r="D654" s="400" t="s">
        <v>0</v>
      </c>
      <c r="E654" s="654">
        <f>Compcta!FU158+'BT-SI'!BN158+'ILUMINAÇÃO PUBLICA'!Q158</f>
        <v>0</v>
      </c>
    </row>
    <row r="655" spans="1:5" ht="14.25" customHeight="1">
      <c r="A655" s="1034"/>
      <c r="B655" s="1034"/>
      <c r="C655" s="399" t="s">
        <v>1049</v>
      </c>
      <c r="D655" s="400" t="s">
        <v>0</v>
      </c>
      <c r="E655" s="654">
        <f>Compcta!FU159+'BT-SI'!BN159+'ILUMINAÇÃO PUBLICA'!Q159</f>
        <v>0</v>
      </c>
    </row>
    <row r="656" spans="1:5" ht="14.25" customHeight="1">
      <c r="A656" s="209">
        <v>3965</v>
      </c>
      <c r="B656" s="209"/>
      <c r="C656" s="399" t="s">
        <v>461</v>
      </c>
      <c r="D656" s="400" t="s">
        <v>0</v>
      </c>
      <c r="E656" s="654">
        <f>Compcta!FU160+'BT-SI'!BN160+'ILUMINAÇÃO PUBLICA'!Q160</f>
        <v>0</v>
      </c>
    </row>
    <row r="657" spans="1:5" ht="14.25" customHeight="1">
      <c r="A657" s="1034"/>
      <c r="B657" s="1034"/>
      <c r="C657" s="399" t="s">
        <v>821</v>
      </c>
      <c r="D657" s="400" t="s">
        <v>0</v>
      </c>
      <c r="E657" s="654">
        <f>Compcta!FU161+'BT-SI'!BN161+'ILUMINAÇÃO PUBLICA'!Q161</f>
        <v>0</v>
      </c>
    </row>
    <row r="658" spans="1:5" ht="14.25" customHeight="1">
      <c r="A658" s="1034"/>
      <c r="B658" s="1034"/>
      <c r="C658" s="399" t="s">
        <v>822</v>
      </c>
      <c r="D658" s="400" t="s">
        <v>0</v>
      </c>
      <c r="E658" s="654">
        <f>Compcta!FU162+'BT-SI'!BN162+'ILUMINAÇÃO PUBLICA'!Q162</f>
        <v>0</v>
      </c>
    </row>
    <row r="659" spans="1:5" ht="14.25" customHeight="1">
      <c r="A659" s="1034"/>
      <c r="B659" s="1034"/>
      <c r="C659" s="399" t="s">
        <v>823</v>
      </c>
      <c r="D659" s="400" t="s">
        <v>0</v>
      </c>
      <c r="E659" s="654">
        <f>Compcta!FU163+'BT-SI'!BN163+'ILUMINAÇÃO PUBLICA'!Q163</f>
        <v>0</v>
      </c>
    </row>
    <row r="660" spans="1:5" ht="14.25" customHeight="1">
      <c r="A660" s="1034"/>
      <c r="B660" s="1034"/>
      <c r="C660" s="399" t="s">
        <v>824</v>
      </c>
      <c r="D660" s="400" t="s">
        <v>0</v>
      </c>
      <c r="E660" s="654">
        <f>Compcta!FU164+'BT-SI'!BN164+'ILUMINAÇÃO PUBLICA'!Q164</f>
        <v>0</v>
      </c>
    </row>
    <row r="661" spans="1:5" ht="14.25" customHeight="1">
      <c r="A661" s="1034"/>
      <c r="B661" s="1034"/>
      <c r="C661" s="399" t="s">
        <v>5</v>
      </c>
      <c r="D661" s="400" t="s">
        <v>0</v>
      </c>
      <c r="E661" s="654">
        <f>Compcta!FU165+'BT-SI'!BN165+'ILUMINAÇÃO PUBLICA'!Q165</f>
        <v>0</v>
      </c>
    </row>
    <row r="662" spans="1:5" ht="14.25" customHeight="1">
      <c r="A662" s="1034"/>
      <c r="B662" s="1034"/>
      <c r="C662" s="399" t="s">
        <v>825</v>
      </c>
      <c r="D662" s="400" t="s">
        <v>0</v>
      </c>
      <c r="E662" s="654">
        <f>Compcta!FU166+'BT-SI'!BN166+'ILUMINAÇÃO PUBLICA'!Q166</f>
        <v>0</v>
      </c>
    </row>
    <row r="663" spans="1:5" ht="14.25" customHeight="1">
      <c r="A663" s="1034"/>
      <c r="B663" s="1034"/>
      <c r="C663" s="399" t="s">
        <v>826</v>
      </c>
      <c r="D663" s="400" t="s">
        <v>0</v>
      </c>
      <c r="E663" s="654">
        <f>Compcta!FU167+'BT-SI'!BN167+'ILUMINAÇÃO PUBLICA'!Q167</f>
        <v>0</v>
      </c>
    </row>
    <row r="664" spans="1:5" ht="14.25" customHeight="1">
      <c r="A664" s="1034">
        <v>3525</v>
      </c>
      <c r="B664" s="1034"/>
      <c r="C664" s="399" t="s">
        <v>827</v>
      </c>
      <c r="D664" s="400" t="s">
        <v>0</v>
      </c>
      <c r="E664" s="654">
        <f>Compcta!FU168+'BT-SI'!BN168+'ILUMINAÇÃO PUBLICA'!Q168</f>
        <v>0</v>
      </c>
    </row>
    <row r="665" spans="1:5" ht="14.25" customHeight="1">
      <c r="A665" s="1034">
        <v>3524</v>
      </c>
      <c r="B665" s="1034"/>
      <c r="C665" s="399" t="s">
        <v>828</v>
      </c>
      <c r="D665" s="400" t="s">
        <v>0</v>
      </c>
      <c r="E665" s="654">
        <f>Compcta!FU169+'BT-SI'!BN169+'ILUMINAÇÃO PUBLICA'!Q169</f>
        <v>0</v>
      </c>
    </row>
    <row r="666" spans="1:5" ht="14.25" customHeight="1">
      <c r="A666" s="1034">
        <v>3527</v>
      </c>
      <c r="B666" s="1034"/>
      <c r="C666" s="399" t="s">
        <v>829</v>
      </c>
      <c r="D666" s="400" t="s">
        <v>0</v>
      </c>
      <c r="E666" s="654">
        <f>Compcta!FU170+'BT-SI'!BN170+'ILUMINAÇÃO PUBLICA'!Q170</f>
        <v>0</v>
      </c>
    </row>
    <row r="667" spans="1:5" ht="14.25" customHeight="1">
      <c r="A667" s="1034">
        <v>3528</v>
      </c>
      <c r="B667" s="1034"/>
      <c r="C667" s="399" t="s">
        <v>830</v>
      </c>
      <c r="D667" s="400" t="s">
        <v>0</v>
      </c>
      <c r="E667" s="654">
        <f>Compcta!FU171+'BT-SI'!BN171+'ILUMINAÇÃO PUBLICA'!Q171</f>
        <v>0</v>
      </c>
    </row>
    <row r="668" spans="1:5" ht="14.25" customHeight="1">
      <c r="A668" s="1034">
        <v>3529</v>
      </c>
      <c r="B668" s="1034"/>
      <c r="C668" s="399" t="s">
        <v>831</v>
      </c>
      <c r="D668" s="400" t="s">
        <v>0</v>
      </c>
      <c r="E668" s="654">
        <f>Compcta!FU172+'BT-SI'!BN172+'ILUMINAÇÃO PUBLICA'!Q172</f>
        <v>0</v>
      </c>
    </row>
    <row r="669" spans="1:5" ht="14.25" customHeight="1">
      <c r="A669" s="1034">
        <v>3954</v>
      </c>
      <c r="B669" s="1034"/>
      <c r="C669" s="399" t="s">
        <v>832</v>
      </c>
      <c r="D669" s="400" t="s">
        <v>0</v>
      </c>
      <c r="E669" s="654">
        <f>Compcta!FU173+'BT-SI'!BN173+'ILUMINAÇÃO PUBLICA'!Q173</f>
        <v>0</v>
      </c>
    </row>
    <row r="670" spans="1:5" ht="14.25" customHeight="1">
      <c r="A670" s="1034"/>
      <c r="B670" s="1034"/>
      <c r="C670" s="399" t="s">
        <v>833</v>
      </c>
      <c r="D670" s="400" t="s">
        <v>0</v>
      </c>
      <c r="E670" s="654">
        <f>Compcta!FU174+'BT-SI'!BN174+'ILUMINAÇÃO PUBLICA'!Q174</f>
        <v>0</v>
      </c>
    </row>
    <row r="671" spans="1:5" ht="14.25" customHeight="1">
      <c r="A671" s="1034"/>
      <c r="B671" s="1034"/>
      <c r="C671" s="399" t="s">
        <v>1086</v>
      </c>
      <c r="D671" s="400" t="s">
        <v>168</v>
      </c>
      <c r="E671" s="654">
        <f>Compcta!FU175+'BT-SI'!BN175+'ILUMINAÇÃO PUBLICA'!Q175</f>
        <v>0</v>
      </c>
    </row>
    <row r="672" spans="1:5" ht="14.25" customHeight="1">
      <c r="A672" s="1034"/>
      <c r="B672" s="1034"/>
      <c r="C672" s="399" t="s">
        <v>1087</v>
      </c>
      <c r="D672" s="400" t="s">
        <v>168</v>
      </c>
      <c r="E672" s="654">
        <f>Compcta!FU176+'BT-SI'!BN176+'ILUMINAÇÃO PUBLICA'!Q176</f>
        <v>0</v>
      </c>
    </row>
    <row r="673" spans="1:5" ht="14.25" customHeight="1">
      <c r="A673" s="1034"/>
      <c r="B673" s="1034"/>
      <c r="C673" s="399" t="s">
        <v>1088</v>
      </c>
      <c r="D673" s="400" t="s">
        <v>168</v>
      </c>
      <c r="E673" s="654">
        <f>Compcta!FU177+'BT-SI'!BN177+'ILUMINAÇÃO PUBLICA'!Q177</f>
        <v>0</v>
      </c>
    </row>
    <row r="674" spans="1:5" ht="14.25" customHeight="1">
      <c r="A674" s="1034"/>
      <c r="B674" s="1034"/>
      <c r="C674" s="399" t="s">
        <v>1571</v>
      </c>
      <c r="D674" s="400" t="s">
        <v>168</v>
      </c>
      <c r="E674" s="654">
        <f>Compcta!FU178+'BT-SI'!BN178+'ILUMINAÇÃO PUBLICA'!Q178</f>
        <v>0</v>
      </c>
    </row>
    <row r="675" spans="1:5" ht="14.25" customHeight="1">
      <c r="A675" s="1034"/>
      <c r="B675" s="1034"/>
      <c r="C675" s="399" t="s">
        <v>834</v>
      </c>
      <c r="D675" s="400" t="s">
        <v>0</v>
      </c>
      <c r="E675" s="654">
        <f>Compcta!FU179+'BT-SI'!BN179+'ILUMINAÇÃO PUBLICA'!Q179</f>
        <v>0</v>
      </c>
    </row>
    <row r="676" spans="1:5" ht="14.25" customHeight="1">
      <c r="A676" s="1034">
        <v>3533</v>
      </c>
      <c r="B676" s="1034"/>
      <c r="C676" s="399" t="s">
        <v>835</v>
      </c>
      <c r="D676" s="400" t="s">
        <v>0</v>
      </c>
      <c r="E676" s="654">
        <f>Compcta!FU180+'BT-SI'!BN180+'ILUMINAÇÃO PUBLICA'!Q180</f>
        <v>0</v>
      </c>
    </row>
    <row r="677" spans="1:5" ht="14.25" customHeight="1">
      <c r="A677" s="1034"/>
      <c r="B677" s="1034"/>
      <c r="C677" s="399" t="s">
        <v>836</v>
      </c>
      <c r="D677" s="400" t="s">
        <v>0</v>
      </c>
      <c r="E677" s="654">
        <f>Compcta!FU181+'BT-SI'!BN181+'ILUMINAÇÃO PUBLICA'!Q181</f>
        <v>0</v>
      </c>
    </row>
    <row r="678" spans="1:5" ht="14.25" customHeight="1">
      <c r="A678" s="1034"/>
      <c r="B678" s="1034"/>
      <c r="C678" s="399" t="s">
        <v>837</v>
      </c>
      <c r="D678" s="400" t="s">
        <v>0</v>
      </c>
      <c r="E678" s="654">
        <f>Compcta!FU182+'BT-SI'!BN182+'ILUMINAÇÃO PUBLICA'!Q182</f>
        <v>0</v>
      </c>
    </row>
    <row r="679" spans="1:5" ht="14.25" customHeight="1">
      <c r="A679" s="1034"/>
      <c r="B679" s="1034"/>
      <c r="C679" s="399" t="s">
        <v>838</v>
      </c>
      <c r="D679" s="400" t="s">
        <v>0</v>
      </c>
      <c r="E679" s="654">
        <f>Compcta!FU183+'BT-SI'!BN183+'ILUMINAÇÃO PUBLICA'!Q183</f>
        <v>0</v>
      </c>
    </row>
    <row r="680" spans="1:5" ht="14.25" customHeight="1">
      <c r="A680" s="1034"/>
      <c r="B680" s="1034"/>
      <c r="C680" s="399" t="s">
        <v>1039</v>
      </c>
      <c r="D680" s="400" t="s">
        <v>0</v>
      </c>
      <c r="E680" s="654">
        <f>Compcta!FU184+'BT-SI'!BN184+'ILUMINAÇÃO PUBLICA'!Q184</f>
        <v>0</v>
      </c>
    </row>
    <row r="681" spans="1:5" ht="14.25" customHeight="1">
      <c r="A681" s="1034"/>
      <c r="B681" s="1034"/>
      <c r="C681" s="399" t="s">
        <v>839</v>
      </c>
      <c r="D681" s="400" t="s">
        <v>0</v>
      </c>
      <c r="E681" s="654">
        <f>Compcta!FU185+'BT-SI'!BN185+'ILUMINAÇÃO PUBLICA'!Q185</f>
        <v>0</v>
      </c>
    </row>
    <row r="682" spans="1:5" ht="14.25" customHeight="1">
      <c r="A682" s="1034"/>
      <c r="B682" s="1034"/>
      <c r="C682" s="399" t="s">
        <v>840</v>
      </c>
      <c r="D682" s="400" t="s">
        <v>0</v>
      </c>
      <c r="E682" s="654">
        <f>Compcta!FU186+'BT-SI'!BN186+'ILUMINAÇÃO PUBLICA'!Q186</f>
        <v>0</v>
      </c>
    </row>
    <row r="683" spans="1:5" ht="14.25" customHeight="1">
      <c r="A683" s="1034"/>
      <c r="B683" s="1034"/>
      <c r="C683" s="399" t="s">
        <v>841</v>
      </c>
      <c r="D683" s="400" t="s">
        <v>0</v>
      </c>
      <c r="E683" s="654">
        <f>Compcta!FU187+'BT-SI'!BN187+'ILUMINAÇÃO PUBLICA'!Q187</f>
        <v>0</v>
      </c>
    </row>
    <row r="684" spans="1:5" ht="14.25" customHeight="1">
      <c r="A684" s="1034"/>
      <c r="B684" s="1034"/>
      <c r="C684" s="399" t="s">
        <v>842</v>
      </c>
      <c r="D684" s="400" t="s">
        <v>0</v>
      </c>
      <c r="E684" s="654">
        <f>Compcta!FU188+'BT-SI'!BN188+'ILUMINAÇÃO PUBLICA'!Q188</f>
        <v>0</v>
      </c>
    </row>
    <row r="685" spans="1:5" ht="14.25" customHeight="1">
      <c r="A685" s="1034"/>
      <c r="B685" s="1034"/>
      <c r="C685" s="399" t="s">
        <v>843</v>
      </c>
      <c r="D685" s="400" t="s">
        <v>0</v>
      </c>
      <c r="E685" s="654">
        <f>Compcta!FU189+'BT-SI'!BN189+'ILUMINAÇÃO PUBLICA'!Q189</f>
        <v>0</v>
      </c>
    </row>
    <row r="686" spans="1:5" ht="14.25" customHeight="1">
      <c r="A686" s="1034"/>
      <c r="B686" s="1034"/>
      <c r="C686" s="399" t="s">
        <v>844</v>
      </c>
      <c r="D686" s="400" t="s">
        <v>0</v>
      </c>
      <c r="E686" s="654">
        <f>Compcta!FU190+'BT-SI'!BN190+'ILUMINAÇÃO PUBLICA'!Q190</f>
        <v>0</v>
      </c>
    </row>
    <row r="687" spans="1:5" ht="14.25" customHeight="1">
      <c r="A687" s="1034"/>
      <c r="B687" s="1034"/>
      <c r="C687" s="399" t="s">
        <v>845</v>
      </c>
      <c r="D687" s="400" t="s">
        <v>0</v>
      </c>
      <c r="E687" s="654">
        <f>Compcta!FU191+'BT-SI'!BN191+'ILUMINAÇÃO PUBLICA'!Q191</f>
        <v>0</v>
      </c>
    </row>
    <row r="688" spans="1:5" ht="14.25" customHeight="1">
      <c r="A688" s="1034"/>
      <c r="B688" s="1034"/>
      <c r="C688" s="399" t="s">
        <v>1016</v>
      </c>
      <c r="D688" s="400" t="s">
        <v>0</v>
      </c>
      <c r="E688" s="654">
        <f>Compcta!FU192+'BT-SI'!BN192+'ILUMINAÇÃO PUBLICA'!Q192</f>
        <v>0</v>
      </c>
    </row>
    <row r="689" spans="1:5" ht="14.25" customHeight="1">
      <c r="A689" s="1034"/>
      <c r="B689" s="1034"/>
      <c r="C689" s="399" t="s">
        <v>846</v>
      </c>
      <c r="D689" s="400" t="s">
        <v>0</v>
      </c>
      <c r="E689" s="654">
        <f>Compcta!FU193+'BT-SI'!BN193+'ILUMINAÇÃO PUBLICA'!Q193</f>
        <v>0</v>
      </c>
    </row>
    <row r="690" spans="1:5" ht="14.25" customHeight="1">
      <c r="A690" s="1034"/>
      <c r="B690" s="1034"/>
      <c r="C690" s="399" t="s">
        <v>847</v>
      </c>
      <c r="D690" s="400" t="s">
        <v>0</v>
      </c>
      <c r="E690" s="654">
        <f>Compcta!FU194+'BT-SI'!BN194+'ILUMINAÇÃO PUBLICA'!Q194</f>
        <v>0</v>
      </c>
    </row>
    <row r="691" spans="1:5" ht="14.25" customHeight="1">
      <c r="A691" s="209">
        <v>3541</v>
      </c>
      <c r="B691" s="209"/>
      <c r="C691" s="399" t="s">
        <v>117</v>
      </c>
      <c r="D691" s="400" t="s">
        <v>0</v>
      </c>
      <c r="E691" s="654">
        <f>Compcta!FU195+'BT-SI'!BN195+'ILUMINAÇÃO PUBLICA'!Q195</f>
        <v>0</v>
      </c>
    </row>
    <row r="692" spans="1:5" ht="14.25" customHeight="1">
      <c r="A692" s="209">
        <v>3542</v>
      </c>
      <c r="B692" s="209"/>
      <c r="C692" s="399" t="s">
        <v>118</v>
      </c>
      <c r="D692" s="400" t="s">
        <v>0</v>
      </c>
      <c r="E692" s="654">
        <f>Compcta!FU196+'BT-SI'!BN196+'ILUMINAÇÃO PUBLICA'!Q196</f>
        <v>0</v>
      </c>
    </row>
    <row r="693" spans="1:5" ht="14.25" customHeight="1">
      <c r="A693" s="209">
        <v>3543</v>
      </c>
      <c r="B693" s="209"/>
      <c r="C693" s="399" t="s">
        <v>119</v>
      </c>
      <c r="D693" s="400" t="s">
        <v>0</v>
      </c>
      <c r="E693" s="654">
        <f>Compcta!FU197+'BT-SI'!BN197+'ILUMINAÇÃO PUBLICA'!Q197</f>
        <v>0</v>
      </c>
    </row>
    <row r="694" spans="1:5" ht="14.25" customHeight="1">
      <c r="A694" s="209">
        <v>3544</v>
      </c>
      <c r="B694" s="209"/>
      <c r="C694" s="399" t="s">
        <v>120</v>
      </c>
      <c r="D694" s="400" t="s">
        <v>0</v>
      </c>
      <c r="E694" s="654">
        <f>Compcta!FU198+'BT-SI'!BN198+'ILUMINAÇÃO PUBLICA'!Q198</f>
        <v>0</v>
      </c>
    </row>
    <row r="695" spans="1:5" ht="14.25" customHeight="1">
      <c r="A695" s="209">
        <v>3545</v>
      </c>
      <c r="B695" s="209"/>
      <c r="C695" s="399" t="s">
        <v>121</v>
      </c>
      <c r="D695" s="400" t="s">
        <v>0</v>
      </c>
      <c r="E695" s="654">
        <f>Compcta!FU199+'BT-SI'!BN199+'ILUMINAÇÃO PUBLICA'!Q199</f>
        <v>0</v>
      </c>
    </row>
    <row r="696" spans="1:5" ht="14.25" customHeight="1">
      <c r="A696" s="209">
        <v>3546</v>
      </c>
      <c r="B696" s="209"/>
      <c r="C696" s="399" t="s">
        <v>122</v>
      </c>
      <c r="D696" s="400" t="s">
        <v>0</v>
      </c>
      <c r="E696" s="654">
        <f>Compcta!FU200+'BT-SI'!BN200+'ILUMINAÇÃO PUBLICA'!Q200</f>
        <v>0</v>
      </c>
    </row>
    <row r="697" spans="1:5" ht="14.25" customHeight="1">
      <c r="A697" s="209">
        <v>3547</v>
      </c>
      <c r="B697" s="209"/>
      <c r="C697" s="399" t="s">
        <v>123</v>
      </c>
      <c r="D697" s="400" t="s">
        <v>0</v>
      </c>
      <c r="E697" s="654">
        <f>Compcta!FU201+'BT-SI'!BN201+'ILUMINAÇÃO PUBLICA'!Q201</f>
        <v>0</v>
      </c>
    </row>
    <row r="698" spans="1:5" ht="14.25" customHeight="1">
      <c r="A698" s="209">
        <v>3548</v>
      </c>
      <c r="B698" s="209"/>
      <c r="C698" s="399" t="s">
        <v>124</v>
      </c>
      <c r="D698" s="400" t="s">
        <v>0</v>
      </c>
      <c r="E698" s="654">
        <f>Compcta!FU202+'BT-SI'!BN202+'ILUMINAÇÃO PUBLICA'!Q202</f>
        <v>0</v>
      </c>
    </row>
    <row r="699" spans="1:5" ht="14.25" customHeight="1">
      <c r="A699" s="209">
        <v>3549</v>
      </c>
      <c r="B699" s="209"/>
      <c r="C699" s="399" t="s">
        <v>125</v>
      </c>
      <c r="D699" s="400" t="s">
        <v>0</v>
      </c>
      <c r="E699" s="654">
        <f>Compcta!FU203+'BT-SI'!BN203+'ILUMINAÇÃO PUBLICA'!Q203</f>
        <v>0</v>
      </c>
    </row>
    <row r="700" spans="1:5" ht="14.25" customHeight="1">
      <c r="A700" s="209">
        <v>3550</v>
      </c>
      <c r="B700" s="209"/>
      <c r="C700" s="399" t="s">
        <v>126</v>
      </c>
      <c r="D700" s="400" t="s">
        <v>0</v>
      </c>
      <c r="E700" s="654">
        <f>Compcta!FU204+'BT-SI'!BN204+'ILUMINAÇÃO PUBLICA'!Q204</f>
        <v>0</v>
      </c>
    </row>
    <row r="701" spans="1:5" ht="14.25" customHeight="1">
      <c r="A701" s="209">
        <v>3551</v>
      </c>
      <c r="B701" s="209"/>
      <c r="C701" s="399" t="s">
        <v>127</v>
      </c>
      <c r="D701" s="400" t="s">
        <v>0</v>
      </c>
      <c r="E701" s="654">
        <f>Compcta!FU205+'BT-SI'!BN205+'ILUMINAÇÃO PUBLICA'!Q205</f>
        <v>0</v>
      </c>
    </row>
    <row r="702" spans="1:5" ht="14.25" customHeight="1">
      <c r="A702" s="209">
        <v>3552</v>
      </c>
      <c r="B702" s="209"/>
      <c r="C702" s="399" t="s">
        <v>211</v>
      </c>
      <c r="D702" s="400" t="s">
        <v>0</v>
      </c>
      <c r="E702" s="654">
        <f>Compcta!FU206+'BT-SI'!BN206+'ILUMINAÇÃO PUBLICA'!Q206</f>
        <v>0</v>
      </c>
    </row>
    <row r="703" spans="1:5" ht="14.25" customHeight="1">
      <c r="A703" s="1034"/>
      <c r="B703" s="1034"/>
      <c r="C703" s="399" t="s">
        <v>1020</v>
      </c>
      <c r="D703" s="400" t="s">
        <v>0</v>
      </c>
      <c r="E703" s="654">
        <f>Compcta!FU207+'BT-SI'!BN207+'ILUMINAÇÃO PUBLICA'!Q207</f>
        <v>0</v>
      </c>
    </row>
    <row r="704" spans="1:5" ht="14.25" customHeight="1">
      <c r="A704" s="1034"/>
      <c r="B704" s="1034"/>
      <c r="C704" s="399" t="s">
        <v>1255</v>
      </c>
      <c r="D704" s="400" t="s">
        <v>0</v>
      </c>
      <c r="E704" s="654">
        <f>Compcta!FU208+'BT-SI'!BN208+'ILUMINAÇÃO PUBLICA'!Q208</f>
        <v>0</v>
      </c>
    </row>
    <row r="705" spans="1:5" ht="14.25" customHeight="1">
      <c r="A705" s="1034"/>
      <c r="B705" s="1034"/>
      <c r="C705" s="399" t="s">
        <v>1256</v>
      </c>
      <c r="D705" s="400" t="s">
        <v>0</v>
      </c>
      <c r="E705" s="654">
        <f>Compcta!FU209+'BT-SI'!BN209+'ILUMINAÇÃO PUBLICA'!Q209</f>
        <v>0</v>
      </c>
    </row>
    <row r="706" spans="1:5" ht="14.25" customHeight="1">
      <c r="A706" s="1034"/>
      <c r="B706" s="1034"/>
      <c r="C706" s="399" t="s">
        <v>1257</v>
      </c>
      <c r="D706" s="400" t="s">
        <v>0</v>
      </c>
      <c r="E706" s="654">
        <f>Compcta!FU210+'BT-SI'!BN210+'ILUMINAÇÃO PUBLICA'!Q210</f>
        <v>0</v>
      </c>
    </row>
    <row r="707" spans="1:5" ht="14.25" customHeight="1">
      <c r="A707" s="1034"/>
      <c r="B707" s="1034"/>
      <c r="C707" s="399" t="s">
        <v>1258</v>
      </c>
      <c r="D707" s="400" t="s">
        <v>0</v>
      </c>
      <c r="E707" s="654">
        <f>Compcta!FU211+'BT-SI'!BN211+'ILUMINAÇÃO PUBLICA'!Q211</f>
        <v>0</v>
      </c>
    </row>
    <row r="708" spans="1:5" ht="14.25" customHeight="1">
      <c r="A708" s="1034"/>
      <c r="B708" s="1034"/>
      <c r="C708" s="399" t="s">
        <v>1259</v>
      </c>
      <c r="D708" s="400" t="s">
        <v>0</v>
      </c>
      <c r="E708" s="654">
        <f>Compcta!FU212+'BT-SI'!BN212+'ILUMINAÇÃO PUBLICA'!Q212</f>
        <v>0</v>
      </c>
    </row>
    <row r="709" spans="1:5" ht="14.25" customHeight="1">
      <c r="A709" s="1034"/>
      <c r="B709" s="1034"/>
      <c r="C709" s="399" t="s">
        <v>1260</v>
      </c>
      <c r="D709" s="400" t="s">
        <v>0</v>
      </c>
      <c r="E709" s="654">
        <f>Compcta!FU213+'BT-SI'!BN213+'ILUMINAÇÃO PUBLICA'!Q213</f>
        <v>0</v>
      </c>
    </row>
    <row r="710" spans="1:5" ht="14.25" customHeight="1">
      <c r="A710" s="1034"/>
      <c r="B710" s="1034"/>
      <c r="C710" s="399" t="s">
        <v>1261</v>
      </c>
      <c r="D710" s="400" t="s">
        <v>0</v>
      </c>
      <c r="E710" s="654">
        <f>Compcta!FU214+'BT-SI'!BN214+'ILUMINAÇÃO PUBLICA'!Q214</f>
        <v>0</v>
      </c>
    </row>
    <row r="711" spans="1:5" ht="14.25" customHeight="1">
      <c r="A711" s="1034"/>
      <c r="B711" s="1034"/>
      <c r="C711" s="399" t="s">
        <v>1262</v>
      </c>
      <c r="D711" s="400" t="s">
        <v>0</v>
      </c>
      <c r="E711" s="654">
        <f>Compcta!FU215+'BT-SI'!BN215+'ILUMINAÇÃO PUBLICA'!Q215</f>
        <v>0</v>
      </c>
    </row>
    <row r="712" spans="1:5" ht="14.25" customHeight="1">
      <c r="A712" s="1034"/>
      <c r="B712" s="1034"/>
      <c r="C712" s="399" t="s">
        <v>1263</v>
      </c>
      <c r="D712" s="400" t="s">
        <v>0</v>
      </c>
      <c r="E712" s="654">
        <f>Compcta!FU216+'BT-SI'!BN216+'ILUMINAÇÃO PUBLICA'!Q216</f>
        <v>0</v>
      </c>
    </row>
    <row r="713" spans="1:5" ht="14.25" customHeight="1">
      <c r="A713" s="1034"/>
      <c r="B713" s="1034"/>
      <c r="C713" s="399" t="s">
        <v>1590</v>
      </c>
      <c r="D713" s="400" t="s">
        <v>0</v>
      </c>
      <c r="E713" s="654">
        <f>Compcta!FU217+'BT-SI'!BN217+'ILUMINAÇÃO PUBLICA'!Q217</f>
        <v>0</v>
      </c>
    </row>
    <row r="714" spans="1:5" ht="14.25" customHeight="1">
      <c r="A714" s="1034"/>
      <c r="B714" s="1034"/>
      <c r="C714" s="399" t="s">
        <v>1591</v>
      </c>
      <c r="D714" s="400" t="s">
        <v>0</v>
      </c>
      <c r="E714" s="654">
        <f>Compcta!FU218+'BT-SI'!BN218+'ILUMINAÇÃO PUBLICA'!Q218</f>
        <v>0</v>
      </c>
    </row>
    <row r="715" spans="1:5" ht="14.25" customHeight="1">
      <c r="A715" s="1034"/>
      <c r="B715" s="1034"/>
      <c r="C715" s="399" t="s">
        <v>1592</v>
      </c>
      <c r="D715" s="400" t="s">
        <v>0</v>
      </c>
      <c r="E715" s="654">
        <f>Compcta!FU219+'BT-SI'!BN219+'ILUMINAÇÃO PUBLICA'!Q219</f>
        <v>0</v>
      </c>
    </row>
    <row r="716" spans="1:5" ht="14.25" customHeight="1">
      <c r="A716" s="1034"/>
      <c r="B716" s="1034"/>
      <c r="C716" s="399" t="s">
        <v>1593</v>
      </c>
      <c r="D716" s="400" t="s">
        <v>0</v>
      </c>
      <c r="E716" s="654">
        <f>Compcta!FU220+'BT-SI'!BN220+'ILUMINAÇÃO PUBLICA'!Q220</f>
        <v>0</v>
      </c>
    </row>
    <row r="717" spans="1:5" ht="14.25" customHeight="1">
      <c r="A717" s="1034"/>
      <c r="B717" s="1034"/>
      <c r="C717" s="399" t="s">
        <v>1594</v>
      </c>
      <c r="D717" s="400" t="s">
        <v>0</v>
      </c>
      <c r="E717" s="654">
        <f>Compcta!FU221+'BT-SI'!BN221+'ILUMINAÇÃO PUBLICA'!Q221</f>
        <v>0</v>
      </c>
    </row>
    <row r="718" spans="1:5" ht="14.25" customHeight="1">
      <c r="A718" s="1034"/>
      <c r="B718" s="1034"/>
      <c r="C718" s="399" t="s">
        <v>1595</v>
      </c>
      <c r="D718" s="400" t="s">
        <v>0</v>
      </c>
      <c r="E718" s="654">
        <f>Compcta!FU222+'BT-SI'!BN222+'ILUMINAÇÃO PUBLICA'!Q222</f>
        <v>0</v>
      </c>
    </row>
    <row r="719" spans="1:5" ht="14.25" customHeight="1">
      <c r="A719" s="1034"/>
      <c r="B719" s="1034"/>
      <c r="C719" s="399" t="s">
        <v>1596</v>
      </c>
      <c r="D719" s="400" t="s">
        <v>0</v>
      </c>
      <c r="E719" s="654">
        <f>Compcta!FU223+'BT-SI'!BN223+'ILUMINAÇÃO PUBLICA'!Q223</f>
        <v>0</v>
      </c>
    </row>
    <row r="720" spans="1:5" ht="14.25" customHeight="1">
      <c r="A720" s="1034"/>
      <c r="B720" s="1034"/>
      <c r="C720" s="399" t="s">
        <v>1602</v>
      </c>
      <c r="D720" s="400" t="s">
        <v>0</v>
      </c>
      <c r="E720" s="654">
        <f>Compcta!FU224+'BT-SI'!BN224+'ILUMINAÇÃO PUBLICA'!Q224</f>
        <v>0</v>
      </c>
    </row>
    <row r="721" spans="1:5" ht="14.25" customHeight="1">
      <c r="A721" s="1034"/>
      <c r="B721" s="1034"/>
      <c r="C721" s="399" t="s">
        <v>1598</v>
      </c>
      <c r="D721" s="400" t="s">
        <v>0</v>
      </c>
      <c r="E721" s="654">
        <f>Compcta!FU225+'BT-SI'!BN225+'ILUMINAÇÃO PUBLICA'!Q225</f>
        <v>0</v>
      </c>
    </row>
    <row r="722" spans="1:5" ht="14.25" customHeight="1">
      <c r="A722" s="1034"/>
      <c r="B722" s="1034"/>
      <c r="C722" s="399" t="s">
        <v>1599</v>
      </c>
      <c r="D722" s="400" t="s">
        <v>0</v>
      </c>
      <c r="E722" s="654">
        <f>Compcta!FU226+'BT-SI'!BN226+'ILUMINAÇÃO PUBLICA'!Q226</f>
        <v>0</v>
      </c>
    </row>
    <row r="723" spans="1:5" ht="14.25" customHeight="1">
      <c r="A723" s="1034"/>
      <c r="B723" s="1034"/>
      <c r="C723" s="399" t="s">
        <v>1600</v>
      </c>
      <c r="D723" s="400" t="s">
        <v>0</v>
      </c>
      <c r="E723" s="654">
        <f>Compcta!FU227+'BT-SI'!BN227+'ILUMINAÇÃO PUBLICA'!Q227</f>
        <v>0</v>
      </c>
    </row>
    <row r="724" spans="1:5" ht="14.25" customHeight="1">
      <c r="A724" s="1034"/>
      <c r="B724" s="1034"/>
      <c r="C724" s="399" t="s">
        <v>1601</v>
      </c>
      <c r="D724" s="400" t="s">
        <v>0</v>
      </c>
      <c r="E724" s="654">
        <f>Compcta!FU228+'BT-SI'!BN228+'ILUMINAÇÃO PUBLICA'!Q228</f>
        <v>0</v>
      </c>
    </row>
    <row r="725" spans="1:5" ht="14.25" customHeight="1">
      <c r="A725" s="1034"/>
      <c r="B725" s="1034"/>
      <c r="C725" s="399" t="s">
        <v>1603</v>
      </c>
      <c r="D725" s="400" t="s">
        <v>0</v>
      </c>
      <c r="E725" s="654">
        <f>Compcta!FU229+'BT-SI'!BN229+'ILUMINAÇÃO PUBLICA'!Q229</f>
        <v>0</v>
      </c>
    </row>
    <row r="726" spans="1:5" ht="14.25" customHeight="1">
      <c r="A726" s="1034"/>
      <c r="B726" s="83"/>
      <c r="C726" s="167" t="s">
        <v>1644</v>
      </c>
      <c r="D726" s="400" t="s">
        <v>0</v>
      </c>
      <c r="E726" s="654">
        <f>Compcta!FU230+'BT-SI'!BN230+'ILUMINAÇÃO PUBLICA'!Q230</f>
        <v>0</v>
      </c>
    </row>
    <row r="727" spans="1:5" ht="14.25" customHeight="1">
      <c r="A727" s="1034"/>
      <c r="B727" s="83"/>
      <c r="C727" s="167" t="s">
        <v>1645</v>
      </c>
      <c r="D727" s="400" t="s">
        <v>0</v>
      </c>
      <c r="E727" s="654">
        <f>Compcta!FU231+'BT-SI'!BN231+'ILUMINAÇÃO PUBLICA'!Q231</f>
        <v>0</v>
      </c>
    </row>
    <row r="728" spans="1:5" ht="14.25" customHeight="1">
      <c r="A728" s="1034"/>
      <c r="B728" s="83"/>
      <c r="C728" s="167" t="s">
        <v>1646</v>
      </c>
      <c r="D728" s="400" t="s">
        <v>0</v>
      </c>
      <c r="E728" s="654">
        <f>Compcta!FU232+'BT-SI'!BN232+'ILUMINAÇÃO PUBLICA'!Q232</f>
        <v>0</v>
      </c>
    </row>
    <row r="729" spans="1:5" ht="14.25" customHeight="1">
      <c r="A729" s="1034"/>
      <c r="B729" s="83"/>
      <c r="C729" s="167" t="s">
        <v>1647</v>
      </c>
      <c r="D729" s="400" t="s">
        <v>0</v>
      </c>
      <c r="E729" s="654">
        <f>Compcta!FU233+'BT-SI'!BN233+'ILUMINAÇÃO PUBLICA'!Q233</f>
        <v>0</v>
      </c>
    </row>
    <row r="730" spans="1:5" ht="14.25" customHeight="1">
      <c r="A730" s="1034"/>
      <c r="B730" s="83"/>
      <c r="C730" s="167" t="s">
        <v>1648</v>
      </c>
      <c r="D730" s="400" t="s">
        <v>0</v>
      </c>
      <c r="E730" s="654">
        <f>Compcta!FU234+'BT-SI'!BN234+'ILUMINAÇÃO PUBLICA'!Q234</f>
        <v>0</v>
      </c>
    </row>
    <row r="731" spans="1:5" ht="14.25" customHeight="1">
      <c r="A731" s="1034"/>
      <c r="B731" s="83"/>
      <c r="C731" s="167" t="s">
        <v>1649</v>
      </c>
      <c r="D731" s="400" t="s">
        <v>0</v>
      </c>
      <c r="E731" s="654">
        <f>Compcta!FU235+'BT-SI'!BN235+'ILUMINAÇÃO PUBLICA'!Q235</f>
        <v>0</v>
      </c>
    </row>
    <row r="732" spans="1:5" ht="14.25" customHeight="1">
      <c r="A732" s="1034"/>
      <c r="B732" s="83"/>
      <c r="C732" s="167" t="s">
        <v>1650</v>
      </c>
      <c r="D732" s="400" t="s">
        <v>0</v>
      </c>
      <c r="E732" s="654">
        <f>Compcta!FU236+'BT-SI'!BN236+'ILUMINAÇÃO PUBLICA'!Q236</f>
        <v>0</v>
      </c>
    </row>
    <row r="733" spans="1:5" ht="14.25" customHeight="1">
      <c r="A733" s="1034"/>
      <c r="B733" s="83"/>
      <c r="C733" s="167" t="s">
        <v>1670</v>
      </c>
      <c r="D733" s="400" t="s">
        <v>0</v>
      </c>
      <c r="E733" s="654">
        <f>Compcta!FU237+'BT-SI'!BN237+'ILUMINAÇÃO PUBLICA'!Q237</f>
        <v>0</v>
      </c>
    </row>
    <row r="734" spans="1:5" ht="14.25" customHeight="1">
      <c r="A734" s="1034"/>
      <c r="B734" s="83"/>
      <c r="C734" s="167" t="s">
        <v>1652</v>
      </c>
      <c r="D734" s="400" t="s">
        <v>0</v>
      </c>
      <c r="E734" s="654">
        <f>Compcta!FU238+'BT-SI'!BN238+'ILUMINAÇÃO PUBLICA'!Q238</f>
        <v>0</v>
      </c>
    </row>
    <row r="735" spans="1:5" ht="14.25" customHeight="1">
      <c r="A735" s="1034"/>
      <c r="B735" s="83"/>
      <c r="C735" s="167" t="s">
        <v>1654</v>
      </c>
      <c r="D735" s="400" t="s">
        <v>0</v>
      </c>
      <c r="E735" s="654">
        <f>Compcta!FU239+'BT-SI'!BN239+'ILUMINAÇÃO PUBLICA'!Q239</f>
        <v>0</v>
      </c>
    </row>
    <row r="736" spans="1:5" ht="14.25" customHeight="1">
      <c r="A736" s="1034"/>
      <c r="B736" s="1034"/>
      <c r="C736" s="167" t="s">
        <v>1653</v>
      </c>
      <c r="D736" s="400" t="s">
        <v>0</v>
      </c>
      <c r="E736" s="654">
        <f>Compcta!FU240+'BT-SI'!BN240+'ILUMINAÇÃO PUBLICA'!Q240</f>
        <v>0</v>
      </c>
    </row>
    <row r="737" spans="1:5" ht="14.25" customHeight="1">
      <c r="A737" s="1034"/>
      <c r="B737" s="1034"/>
      <c r="C737" s="167" t="s">
        <v>1655</v>
      </c>
      <c r="D737" s="400" t="s">
        <v>0</v>
      </c>
      <c r="E737" s="654">
        <f>Compcta!FU241+'BT-SI'!BN241+'ILUMINAÇÃO PUBLICA'!Q241</f>
        <v>0</v>
      </c>
    </row>
    <row r="738" spans="1:5" ht="14.25" customHeight="1">
      <c r="A738" s="1034"/>
      <c r="B738" s="1034"/>
      <c r="C738" s="167" t="s">
        <v>1657</v>
      </c>
      <c r="D738" s="400" t="s">
        <v>0</v>
      </c>
      <c r="E738" s="654">
        <f>Compcta!FU242+'BT-SI'!BN242+'ILUMINAÇÃO PUBLICA'!Q242</f>
        <v>0</v>
      </c>
    </row>
    <row r="739" spans="1:5" ht="14.25" customHeight="1">
      <c r="A739" s="1034"/>
      <c r="B739" s="1034"/>
      <c r="C739" s="167" t="s">
        <v>1656</v>
      </c>
      <c r="D739" s="400" t="s">
        <v>0</v>
      </c>
      <c r="E739" s="654">
        <f>Compcta!FU243+'BT-SI'!BN243+'ILUMINAÇÃO PUBLICA'!Q243</f>
        <v>0</v>
      </c>
    </row>
    <row r="740" spans="1:5" ht="14.25" customHeight="1">
      <c r="A740" s="1034"/>
      <c r="B740" s="1034"/>
      <c r="C740" s="167" t="s">
        <v>1658</v>
      </c>
      <c r="D740" s="400" t="s">
        <v>0</v>
      </c>
      <c r="E740" s="654">
        <f>Compcta!FU244+'BT-SI'!BN244+'ILUMINAÇÃO PUBLICA'!Q244</f>
        <v>0</v>
      </c>
    </row>
    <row r="741" spans="1:5" ht="14.25" customHeight="1">
      <c r="A741" s="1034"/>
      <c r="B741" s="1034"/>
      <c r="C741" s="167" t="s">
        <v>1659</v>
      </c>
      <c r="D741" s="400" t="s">
        <v>0</v>
      </c>
      <c r="E741" s="654">
        <f>Compcta!FU245+'BT-SI'!BN245+'ILUMINAÇÃO PUBLICA'!Q245</f>
        <v>0</v>
      </c>
    </row>
    <row r="742" spans="1:5" ht="14.25" customHeight="1">
      <c r="A742" s="1034"/>
      <c r="B742" s="1034"/>
      <c r="C742" s="167" t="s">
        <v>1660</v>
      </c>
      <c r="D742" s="400" t="s">
        <v>0</v>
      </c>
      <c r="E742" s="654">
        <f>Compcta!FU246+'BT-SI'!BN246+'ILUMINAÇÃO PUBLICA'!Q246</f>
        <v>0</v>
      </c>
    </row>
    <row r="743" spans="1:5" ht="14.25" customHeight="1">
      <c r="A743" s="1034"/>
      <c r="B743" s="1034"/>
      <c r="C743" s="167" t="s">
        <v>1661</v>
      </c>
      <c r="D743" s="400" t="s">
        <v>0</v>
      </c>
      <c r="E743" s="654">
        <f>Compcta!FU247+'BT-SI'!BN247+'ILUMINAÇÃO PUBLICA'!Q247</f>
        <v>0</v>
      </c>
    </row>
    <row r="744" spans="1:5" ht="14.25" customHeight="1">
      <c r="A744" s="1034"/>
      <c r="B744" s="1034"/>
      <c r="C744" s="167" t="s">
        <v>1662</v>
      </c>
      <c r="D744" s="400" t="s">
        <v>0</v>
      </c>
      <c r="E744" s="654">
        <f>Compcta!FU248+'BT-SI'!BN248+'ILUMINAÇÃO PUBLICA'!Q248</f>
        <v>0</v>
      </c>
    </row>
    <row r="745" spans="1:5" ht="14.25" customHeight="1">
      <c r="A745" s="1034"/>
      <c r="B745" s="1034">
        <v>627995</v>
      </c>
      <c r="C745" s="167" t="s">
        <v>1638</v>
      </c>
      <c r="D745" s="400" t="s">
        <v>0</v>
      </c>
      <c r="E745" s="654">
        <f>Compcta!FU249+'BT-SI'!BN249+'ILUMINAÇÃO PUBLICA'!Q249</f>
        <v>0</v>
      </c>
    </row>
    <row r="746" spans="1:5" ht="14.25" customHeight="1">
      <c r="A746" s="1034"/>
      <c r="B746" s="1034">
        <v>627996</v>
      </c>
      <c r="C746" s="167" t="s">
        <v>1639</v>
      </c>
      <c r="D746" s="400" t="s">
        <v>0</v>
      </c>
      <c r="E746" s="654">
        <f>Compcta!FU250+'BT-SI'!BN250+'ILUMINAÇÃO PUBLICA'!Q250</f>
        <v>0</v>
      </c>
    </row>
    <row r="747" spans="1:5" ht="14.25" customHeight="1">
      <c r="A747" s="1034"/>
      <c r="B747" s="1034">
        <v>627997</v>
      </c>
      <c r="C747" s="167" t="s">
        <v>1640</v>
      </c>
      <c r="D747" s="400" t="s">
        <v>0</v>
      </c>
      <c r="E747" s="654">
        <f>Compcta!FU251+'BT-SI'!BN251+'ILUMINAÇÃO PUBLICA'!Q251</f>
        <v>0</v>
      </c>
    </row>
    <row r="748" spans="1:5" ht="14.25" customHeight="1">
      <c r="A748" s="1034"/>
      <c r="B748" s="1034">
        <v>627998</v>
      </c>
      <c r="C748" s="167" t="s">
        <v>1641</v>
      </c>
      <c r="D748" s="400" t="s">
        <v>0</v>
      </c>
      <c r="E748" s="654">
        <f>Compcta!FU252+'BT-SI'!BN252+'ILUMINAÇÃO PUBLICA'!Q252</f>
        <v>0</v>
      </c>
    </row>
    <row r="749" spans="1:5" ht="14.25" customHeight="1">
      <c r="A749" s="1034"/>
      <c r="B749" s="1034">
        <v>627999</v>
      </c>
      <c r="C749" s="167" t="s">
        <v>1642</v>
      </c>
      <c r="D749" s="400" t="s">
        <v>0</v>
      </c>
      <c r="E749" s="654">
        <f>Compcta!FU253+'BT-SI'!BN253+'ILUMINAÇÃO PUBLICA'!Q253</f>
        <v>0</v>
      </c>
    </row>
    <row r="750" spans="1:5" ht="14.25" customHeight="1">
      <c r="A750" s="1034"/>
      <c r="B750" s="209"/>
      <c r="C750" s="126" t="s">
        <v>381</v>
      </c>
      <c r="D750" s="400" t="s">
        <v>1643</v>
      </c>
      <c r="E750" s="654">
        <f>Compcta!FU254+'BT-SI'!BN254+'ILUMINAÇÃO PUBLICA'!Q254</f>
        <v>0</v>
      </c>
    </row>
    <row r="751" spans="1:5" ht="14.25" customHeight="1">
      <c r="A751" s="1034"/>
      <c r="B751" s="209"/>
      <c r="C751" s="22" t="s">
        <v>459</v>
      </c>
      <c r="D751" s="400" t="s">
        <v>0</v>
      </c>
      <c r="E751" s="654">
        <f>Compcta!FU255+'BT-SI'!BN255+'ILUMINAÇÃO PUBLICA'!Q255</f>
        <v>0</v>
      </c>
    </row>
    <row r="752" spans="1:5" ht="14.25" customHeight="1">
      <c r="A752" s="1034"/>
      <c r="B752" s="1034"/>
      <c r="C752" s="781" t="s">
        <v>1407</v>
      </c>
      <c r="D752" s="400" t="s">
        <v>0</v>
      </c>
      <c r="E752" s="654">
        <f>Compcta!FU256+'BT-SI'!BN256+'ILUMINAÇÃO PUBLICA'!Q256</f>
        <v>0</v>
      </c>
    </row>
    <row r="753" spans="1:5" ht="14.25" customHeight="1">
      <c r="A753" s="1034"/>
      <c r="B753" s="1034"/>
      <c r="C753" s="781" t="s">
        <v>1408</v>
      </c>
      <c r="D753" s="400" t="s">
        <v>0</v>
      </c>
      <c r="E753" s="654">
        <f>Compcta!FU257+'BT-SI'!BN257+'ILUMINAÇÃO PUBLICA'!Q257</f>
        <v>0</v>
      </c>
    </row>
    <row r="754" spans="1:5" ht="14.25" customHeight="1">
      <c r="A754" s="1034"/>
      <c r="B754" s="1034"/>
      <c r="C754" s="781" t="s">
        <v>1409</v>
      </c>
      <c r="D754" s="400" t="s">
        <v>0</v>
      </c>
      <c r="E754" s="654">
        <f>Compcta!FU258+'BT-SI'!BN258+'ILUMINAÇÃO PUBLICA'!Q258</f>
        <v>0</v>
      </c>
    </row>
    <row r="755" spans="1:5" ht="14.25" customHeight="1">
      <c r="A755" s="1034"/>
      <c r="B755" s="1034"/>
      <c r="C755" s="781" t="s">
        <v>1410</v>
      </c>
      <c r="D755" s="400" t="s">
        <v>0</v>
      </c>
      <c r="E755" s="654">
        <f>Compcta!FU259+'BT-SI'!BN259+'ILUMINAÇÃO PUBLICA'!Q259</f>
        <v>0</v>
      </c>
    </row>
    <row r="756" spans="1:5" ht="14.25" customHeight="1">
      <c r="A756" s="1034"/>
      <c r="B756" s="1034"/>
      <c r="C756" s="781" t="s">
        <v>1405</v>
      </c>
      <c r="D756" s="400" t="s">
        <v>0</v>
      </c>
      <c r="E756" s="654">
        <f>Compcta!FU260+'BT-SI'!BN260+'ILUMINAÇÃO PUBLICA'!Q260</f>
        <v>0</v>
      </c>
    </row>
    <row r="757" spans="1:5" ht="14.25" customHeight="1">
      <c r="A757" s="1034"/>
      <c r="B757" s="1034"/>
      <c r="C757" s="781" t="s">
        <v>1406</v>
      </c>
      <c r="D757" s="400" t="s">
        <v>0</v>
      </c>
      <c r="E757" s="654">
        <f>Compcta!FU261+'BT-SI'!BN261+'ILUMINAÇÃO PUBLICA'!Q261</f>
        <v>0</v>
      </c>
    </row>
    <row r="758" spans="1:5" ht="14.25" customHeight="1">
      <c r="A758" s="1034"/>
      <c r="B758" s="1034"/>
      <c r="C758" s="781" t="s">
        <v>1399</v>
      </c>
      <c r="D758" s="400" t="s">
        <v>0</v>
      </c>
      <c r="E758" s="654">
        <f>Compcta!FU262+'BT-SI'!BN262+'ILUMINAÇÃO PUBLICA'!Q262</f>
        <v>0</v>
      </c>
    </row>
    <row r="759" spans="1:5" ht="14.25" customHeight="1">
      <c r="A759" s="1034"/>
      <c r="B759" s="1034"/>
      <c r="C759" s="781" t="s">
        <v>1391</v>
      </c>
      <c r="D759" s="400" t="s">
        <v>0</v>
      </c>
      <c r="E759" s="654">
        <f>Compcta!FU263+'BT-SI'!BN263+'ILUMINAÇÃO PUBLICA'!Q263</f>
        <v>0</v>
      </c>
    </row>
    <row r="760" spans="1:5" ht="14.25" customHeight="1">
      <c r="A760" s="1034"/>
      <c r="B760" s="1034"/>
      <c r="C760" s="781" t="s">
        <v>1392</v>
      </c>
      <c r="D760" s="400" t="s">
        <v>0</v>
      </c>
      <c r="E760" s="654">
        <f>Compcta!FU264+'BT-SI'!BN264+'ILUMINAÇÃO PUBLICA'!Q264</f>
        <v>0</v>
      </c>
    </row>
    <row r="761" spans="1:5" ht="14.25" customHeight="1">
      <c r="A761" s="1034"/>
      <c r="B761" s="1034"/>
      <c r="C761" s="781" t="s">
        <v>1395</v>
      </c>
      <c r="D761" s="400" t="s">
        <v>0</v>
      </c>
      <c r="E761" s="654">
        <f>Compcta!FU265+'BT-SI'!BN265+'ILUMINAÇÃO PUBLICA'!Q265</f>
        <v>0</v>
      </c>
    </row>
    <row r="762" spans="1:5" ht="14.25" customHeight="1">
      <c r="A762" s="1034"/>
      <c r="B762" s="1034"/>
      <c r="C762" s="781" t="s">
        <v>1394</v>
      </c>
      <c r="D762" s="400" t="s">
        <v>0</v>
      </c>
      <c r="E762" s="654">
        <f>Compcta!FU266+'BT-SI'!BN266+'ILUMINAÇÃO PUBLICA'!Q266</f>
        <v>0</v>
      </c>
    </row>
    <row r="763" spans="1:5" ht="14.25" customHeight="1">
      <c r="A763" s="1034"/>
      <c r="B763" s="1034"/>
      <c r="C763" s="781" t="s">
        <v>1393</v>
      </c>
      <c r="D763" s="400" t="s">
        <v>0</v>
      </c>
      <c r="E763" s="654">
        <f>Compcta!FU267+'BT-SI'!BN267+'ILUMINAÇÃO PUBLICA'!Q267</f>
        <v>0</v>
      </c>
    </row>
    <row r="764" spans="1:5" ht="14.25" customHeight="1">
      <c r="A764" s="1034"/>
      <c r="B764" s="1034"/>
      <c r="C764" s="781" t="s">
        <v>1396</v>
      </c>
      <c r="D764" s="400" t="s">
        <v>0</v>
      </c>
      <c r="E764" s="654">
        <f>Compcta!FU268+'BT-SI'!BN268+'ILUMINAÇÃO PUBLICA'!Q268</f>
        <v>0</v>
      </c>
    </row>
    <row r="765" spans="1:5" ht="14.25" customHeight="1">
      <c r="A765" s="1034"/>
      <c r="B765" s="1034"/>
      <c r="C765" s="781" t="s">
        <v>1397</v>
      </c>
      <c r="D765" s="400" t="s">
        <v>0</v>
      </c>
      <c r="E765" s="654">
        <f>Compcta!FU269+'BT-SI'!BN269+'ILUMINAÇÃO PUBLICA'!Q269</f>
        <v>0</v>
      </c>
    </row>
    <row r="766" spans="1:5" ht="14.25" customHeight="1">
      <c r="A766" s="1034"/>
      <c r="B766" s="1034"/>
      <c r="C766" s="399" t="s">
        <v>849</v>
      </c>
      <c r="D766" s="400" t="s">
        <v>0</v>
      </c>
      <c r="E766" s="654">
        <f>Compcta!FU270+'BT-SI'!BN270+'ILUMINAÇÃO PUBLICA'!Q270</f>
        <v>0</v>
      </c>
    </row>
    <row r="767" spans="1:5" ht="14.25" customHeight="1">
      <c r="A767" s="1034"/>
      <c r="B767" s="1034"/>
      <c r="C767" s="399" t="s">
        <v>850</v>
      </c>
      <c r="D767" s="400" t="s">
        <v>0</v>
      </c>
      <c r="E767" s="654">
        <f>Compcta!FU271+'BT-SI'!BN271+'ILUMINAÇÃO PUBLICA'!Q271</f>
        <v>0</v>
      </c>
    </row>
    <row r="768" spans="1:5" ht="14.25" customHeight="1">
      <c r="A768" s="1034"/>
      <c r="B768" s="1034"/>
      <c r="C768" s="399" t="s">
        <v>9</v>
      </c>
      <c r="D768" s="400" t="s">
        <v>0</v>
      </c>
      <c r="E768" s="654">
        <f>Compcta!FU272+'BT-SI'!BN272+'ILUMINAÇÃO PUBLICA'!Q272</f>
        <v>0</v>
      </c>
    </row>
    <row r="769" spans="1:5" ht="14.25" customHeight="1">
      <c r="A769" s="1034"/>
      <c r="B769" s="1034"/>
      <c r="C769" s="399" t="s">
        <v>452</v>
      </c>
      <c r="D769" s="400" t="s">
        <v>0</v>
      </c>
      <c r="E769" s="654">
        <f>Compcta!FU273+'BT-SI'!BN273+'ILUMINAÇÃO PUBLICA'!Q273</f>
        <v>0</v>
      </c>
    </row>
    <row r="770" spans="1:5" ht="14.25" customHeight="1">
      <c r="A770" s="1034"/>
      <c r="B770" s="1034"/>
      <c r="C770" s="399" t="s">
        <v>452</v>
      </c>
      <c r="D770" s="400" t="s">
        <v>0</v>
      </c>
      <c r="E770" s="654">
        <f>Compcta!FU274+'BT-SI'!BN274+'ILUMINAÇÃO PUBLICA'!Q274</f>
        <v>0</v>
      </c>
    </row>
    <row r="771" spans="1:5" ht="14.25" customHeight="1">
      <c r="A771" s="1034"/>
      <c r="B771" s="1034"/>
      <c r="C771" s="399" t="s">
        <v>10</v>
      </c>
      <c r="D771" s="400" t="s">
        <v>0</v>
      </c>
      <c r="E771" s="654">
        <f>Compcta!FU275+'BT-SI'!BN275+'ILUMINAÇÃO PUBLICA'!Q275</f>
        <v>0</v>
      </c>
    </row>
    <row r="772" spans="1:5" ht="14.25" customHeight="1">
      <c r="A772" s="1034"/>
      <c r="B772" s="1034"/>
      <c r="C772" s="399" t="s">
        <v>851</v>
      </c>
      <c r="D772" s="400" t="s">
        <v>0</v>
      </c>
      <c r="E772" s="654">
        <f>Compcta!FU276+'BT-SI'!BN276+'ILUMINAÇÃO PUBLICA'!Q276</f>
        <v>0</v>
      </c>
    </row>
    <row r="773" spans="1:5" ht="14.25" customHeight="1">
      <c r="A773" s="1034"/>
      <c r="B773" s="1034"/>
      <c r="C773" s="399" t="s">
        <v>852</v>
      </c>
      <c r="D773" s="400" t="s">
        <v>0</v>
      </c>
      <c r="E773" s="654">
        <f>Compcta!FU277+'BT-SI'!BN277+'ILUMINAÇÃO PUBLICA'!Q277</f>
        <v>0</v>
      </c>
    </row>
    <row r="774" spans="1:5" ht="14.25" customHeight="1">
      <c r="A774" s="1034"/>
      <c r="B774" s="1034"/>
      <c r="C774" s="399" t="s">
        <v>853</v>
      </c>
      <c r="D774" s="400" t="s">
        <v>0</v>
      </c>
      <c r="E774" s="654">
        <f>Compcta!FU278+'BT-SI'!BN278+'ILUMINAÇÃO PUBLICA'!Q278</f>
        <v>0</v>
      </c>
    </row>
    <row r="775" spans="1:5" ht="14.25" customHeight="1">
      <c r="A775" s="1034"/>
      <c r="B775" s="1034"/>
      <c r="C775" s="399" t="s">
        <v>854</v>
      </c>
      <c r="D775" s="400" t="s">
        <v>0</v>
      </c>
      <c r="E775" s="654">
        <f>Compcta!FU279+'BT-SI'!BN279+'ILUMINAÇÃO PUBLICA'!Q279</f>
        <v>0</v>
      </c>
    </row>
    <row r="776" spans="1:5" ht="14.25" customHeight="1">
      <c r="A776" s="1034"/>
      <c r="B776" s="1034"/>
      <c r="C776" s="163" t="s">
        <v>425</v>
      </c>
      <c r="D776" s="400" t="s">
        <v>0</v>
      </c>
      <c r="E776" s="654">
        <f>Compcta!FU280+'BT-SI'!BN280+'ILUMINAÇÃO PUBLICA'!Q280</f>
        <v>0</v>
      </c>
    </row>
    <row r="777" spans="1:5" ht="14.25" customHeight="1">
      <c r="A777" s="1034"/>
      <c r="B777" s="1034"/>
      <c r="C777" s="163" t="s">
        <v>1084</v>
      </c>
      <c r="D777" s="400" t="s">
        <v>0</v>
      </c>
      <c r="E777" s="654">
        <f>Compcta!FU281+'BT-SI'!BN281+'ILUMINAÇÃO PUBLICA'!Q281</f>
        <v>0</v>
      </c>
    </row>
    <row r="778" spans="1:5" ht="14.25" customHeight="1">
      <c r="A778" s="1034"/>
      <c r="B778" s="1034"/>
      <c r="C778" s="163" t="s">
        <v>1572</v>
      </c>
      <c r="D778" s="400" t="s">
        <v>0</v>
      </c>
      <c r="E778" s="654">
        <f>Compcta!FU282+'BT-SI'!BN282+'ILUMINAÇÃO PUBLICA'!Q282</f>
        <v>0</v>
      </c>
    </row>
    <row r="779" spans="1:5" ht="14.25" customHeight="1">
      <c r="A779" s="1034"/>
      <c r="B779" s="1034"/>
      <c r="C779" s="399" t="s">
        <v>855</v>
      </c>
      <c r="D779" s="400" t="s">
        <v>0</v>
      </c>
      <c r="E779" s="654">
        <f>Compcta!FU283+'BT-SI'!BN283+'ILUMINAÇÃO PUBLICA'!Q283</f>
        <v>0</v>
      </c>
    </row>
    <row r="780" spans="1:5" ht="14.25" customHeight="1">
      <c r="A780" s="1034"/>
      <c r="B780" s="1034"/>
      <c r="C780" s="399" t="s">
        <v>856</v>
      </c>
      <c r="D780" s="400" t="s">
        <v>0</v>
      </c>
      <c r="E780" s="654">
        <f>Compcta!FU284+'BT-SI'!BN284+'ILUMINAÇÃO PUBLICA'!Q284</f>
        <v>0</v>
      </c>
    </row>
    <row r="781" spans="1:5" ht="14.25" customHeight="1">
      <c r="A781" s="1034"/>
      <c r="B781" s="1034"/>
      <c r="C781" s="399" t="s">
        <v>857</v>
      </c>
      <c r="D781" s="400" t="s">
        <v>0</v>
      </c>
      <c r="E781" s="654">
        <f>Compcta!FU285+'BT-SI'!BN285+'ILUMINAÇÃO PUBLICA'!Q285</f>
        <v>0</v>
      </c>
    </row>
    <row r="782" spans="1:5" ht="14.25" customHeight="1">
      <c r="A782" s="1034"/>
      <c r="B782" s="1034"/>
      <c r="C782" s="399" t="s">
        <v>858</v>
      </c>
      <c r="D782" s="400" t="s">
        <v>0</v>
      </c>
      <c r="E782" s="654">
        <f>Compcta!FU286+'BT-SI'!BN286+'ILUMINAÇÃO PUBLICA'!Q286</f>
        <v>0</v>
      </c>
    </row>
    <row r="783" spans="1:5" ht="14.25" customHeight="1">
      <c r="A783" s="1034"/>
      <c r="B783" s="1034"/>
      <c r="C783" s="399" t="s">
        <v>11</v>
      </c>
      <c r="D783" s="400" t="s">
        <v>0</v>
      </c>
      <c r="E783" s="654">
        <f>Compcta!FU287+'BT-SI'!BN287+'ILUMINAÇÃO PUBLICA'!Q287</f>
        <v>0</v>
      </c>
    </row>
    <row r="784" spans="1:5" ht="14.25" customHeight="1">
      <c r="A784" s="1034"/>
      <c r="B784" s="1034"/>
      <c r="C784" s="163" t="s">
        <v>848</v>
      </c>
      <c r="D784" s="400" t="s">
        <v>0</v>
      </c>
      <c r="E784" s="654">
        <f>Compcta!FU288+'BT-SI'!BN288+'ILUMINAÇÃO PUBLICA'!Q288</f>
        <v>0</v>
      </c>
    </row>
    <row r="785" spans="1:5" ht="14.25" customHeight="1">
      <c r="A785" s="1034"/>
      <c r="B785" s="1034"/>
      <c r="C785" s="399" t="s">
        <v>859</v>
      </c>
      <c r="D785" s="400" t="s">
        <v>0</v>
      </c>
      <c r="E785" s="654">
        <f>Compcta!FU289+'BT-SI'!BN289+'ILUMINAÇÃO PUBLICA'!Q289</f>
        <v>0</v>
      </c>
    </row>
    <row r="786" spans="1:5" ht="14.25" customHeight="1">
      <c r="A786" s="1034"/>
      <c r="B786" s="1034"/>
      <c r="C786" s="399" t="s">
        <v>860</v>
      </c>
      <c r="D786" s="400" t="s">
        <v>0</v>
      </c>
      <c r="E786" s="654">
        <f>Compcta!FU290+'BT-SI'!BN290+'ILUMINAÇÃO PUBLICA'!Q290</f>
        <v>0</v>
      </c>
    </row>
    <row r="787" spans="1:5" ht="14.25" customHeight="1">
      <c r="A787" s="1034"/>
      <c r="B787" s="1034"/>
      <c r="C787" s="399" t="s">
        <v>861</v>
      </c>
      <c r="D787" s="400" t="s">
        <v>0</v>
      </c>
      <c r="E787" s="654">
        <f>Compcta!FU291+'BT-SI'!BN291+'ILUMINAÇÃO PUBLICA'!Q291</f>
        <v>0</v>
      </c>
    </row>
    <row r="788" spans="1:5" ht="14.25" customHeight="1">
      <c r="A788" s="209">
        <v>3580</v>
      </c>
      <c r="B788" s="1034"/>
      <c r="C788" s="399" t="s">
        <v>862</v>
      </c>
      <c r="D788" s="400" t="s">
        <v>0</v>
      </c>
      <c r="E788" s="654">
        <f>Compcta!FU292+'BT-SI'!BN292+'ILUMINAÇÃO PUBLICA'!Q292</f>
        <v>0</v>
      </c>
    </row>
    <row r="789" spans="1:5" ht="14.25" customHeight="1">
      <c r="A789" s="1034"/>
      <c r="B789" s="1034"/>
      <c r="C789" s="399" t="s">
        <v>863</v>
      </c>
      <c r="D789" s="400" t="s">
        <v>0</v>
      </c>
      <c r="E789" s="654">
        <f>Compcta!FU293+'BT-SI'!BN293+'ILUMINAÇÃO PUBLICA'!Q293</f>
        <v>0</v>
      </c>
    </row>
    <row r="790" spans="1:5" ht="14.25" customHeight="1">
      <c r="A790" s="1034"/>
      <c r="B790" s="1034"/>
      <c r="C790" s="399" t="s">
        <v>864</v>
      </c>
      <c r="D790" s="400" t="s">
        <v>0</v>
      </c>
      <c r="E790" s="654">
        <f>Compcta!FU294+'BT-SI'!BN294+'ILUMINAÇÃO PUBLICA'!Q294</f>
        <v>0</v>
      </c>
    </row>
    <row r="791" spans="1:5" ht="14.25" customHeight="1">
      <c r="A791" s="1034"/>
      <c r="B791" s="1034"/>
      <c r="C791" s="399" t="s">
        <v>865</v>
      </c>
      <c r="D791" s="400" t="s">
        <v>0</v>
      </c>
      <c r="E791" s="654">
        <f>Compcta!FU295+'BT-SI'!BN295+'ILUMINAÇÃO PUBLICA'!Q295</f>
        <v>0</v>
      </c>
    </row>
    <row r="792" spans="1:5" ht="14.25" customHeight="1">
      <c r="A792" s="1034"/>
      <c r="B792" s="1034"/>
      <c r="C792" s="399" t="s">
        <v>866</v>
      </c>
      <c r="D792" s="400" t="s">
        <v>0</v>
      </c>
      <c r="E792" s="654">
        <f>Compcta!FU296+'BT-SI'!BN296+'ILUMINAÇÃO PUBLICA'!Q296</f>
        <v>0</v>
      </c>
    </row>
    <row r="793" spans="1:5" ht="14.25" customHeight="1">
      <c r="A793" s="1034"/>
      <c r="B793" s="1034"/>
      <c r="C793" s="399" t="s">
        <v>867</v>
      </c>
      <c r="D793" s="400" t="s">
        <v>0</v>
      </c>
      <c r="E793" s="654">
        <f>Compcta!FU297+'BT-SI'!BN297+'ILUMINAÇÃO PUBLICA'!Q297</f>
        <v>0</v>
      </c>
    </row>
    <row r="794" spans="1:5" ht="14.25" customHeight="1">
      <c r="A794" s="1034"/>
      <c r="B794" s="1034"/>
      <c r="C794" s="402" t="s">
        <v>1099</v>
      </c>
      <c r="D794" s="400" t="s">
        <v>0</v>
      </c>
      <c r="E794" s="654">
        <f>Compcta!FU298+'BT-SI'!BN298+'ILUMINAÇÃO PUBLICA'!Q298</f>
        <v>0</v>
      </c>
    </row>
    <row r="795" spans="1:5" ht="14.25" customHeight="1">
      <c r="A795" s="1034"/>
      <c r="B795" s="1034"/>
      <c r="C795" s="402" t="s">
        <v>1100</v>
      </c>
      <c r="D795" s="400" t="s">
        <v>0</v>
      </c>
      <c r="E795" s="654">
        <f>Compcta!FU299+'BT-SI'!BN299+'ILUMINAÇÃO PUBLICA'!Q299</f>
        <v>0</v>
      </c>
    </row>
    <row r="796" spans="1:5" ht="14.25" customHeight="1">
      <c r="A796" s="1034"/>
      <c r="B796" s="1034"/>
      <c r="C796" s="402" t="s">
        <v>1101</v>
      </c>
      <c r="D796" s="400" t="s">
        <v>0</v>
      </c>
      <c r="E796" s="654">
        <f>Compcta!FU300+'BT-SI'!BN300+'ILUMINAÇÃO PUBLICA'!Q300</f>
        <v>0</v>
      </c>
    </row>
    <row r="797" spans="1:5" ht="14.25" customHeight="1">
      <c r="A797" s="1034"/>
      <c r="B797" s="1034"/>
      <c r="C797" s="402" t="s">
        <v>1102</v>
      </c>
      <c r="D797" s="400" t="s">
        <v>0</v>
      </c>
      <c r="E797" s="654">
        <f>Compcta!FU301+'BT-SI'!BN301+'ILUMINAÇÃO PUBLICA'!Q301</f>
        <v>0</v>
      </c>
    </row>
    <row r="798" spans="1:5" ht="14.25" customHeight="1">
      <c r="A798" s="1034"/>
      <c r="B798" s="1034"/>
      <c r="C798" s="402" t="s">
        <v>1103</v>
      </c>
      <c r="D798" s="400" t="s">
        <v>0</v>
      </c>
      <c r="E798" s="654">
        <f>Compcta!FU302+'BT-SI'!BN302+'ILUMINAÇÃO PUBLICA'!Q302</f>
        <v>0</v>
      </c>
    </row>
    <row r="799" spans="1:5" ht="14.25" customHeight="1">
      <c r="A799" s="1034"/>
      <c r="B799" s="1034"/>
      <c r="C799" s="402" t="s">
        <v>1104</v>
      </c>
      <c r="D799" s="400" t="s">
        <v>0</v>
      </c>
      <c r="E799" s="654">
        <f>Compcta!FU303+'BT-SI'!BN303+'ILUMINAÇÃO PUBLICA'!Q303</f>
        <v>0</v>
      </c>
    </row>
    <row r="800" spans="1:5" ht="14.25" customHeight="1">
      <c r="A800" s="1034"/>
      <c r="B800" s="1034"/>
      <c r="C800" s="402" t="s">
        <v>1105</v>
      </c>
      <c r="D800" s="400" t="s">
        <v>0</v>
      </c>
      <c r="E800" s="654">
        <f>Compcta!FU304+'BT-SI'!BN304+'ILUMINAÇÃO PUBLICA'!Q304</f>
        <v>0</v>
      </c>
    </row>
    <row r="801" spans="1:5" ht="14.25" customHeight="1">
      <c r="A801" s="1034"/>
      <c r="B801" s="1034"/>
      <c r="C801" s="402" t="s">
        <v>1106</v>
      </c>
      <c r="D801" s="400" t="s">
        <v>0</v>
      </c>
      <c r="E801" s="654">
        <f>Compcta!FU305+'BT-SI'!BN305+'ILUMINAÇÃO PUBLICA'!Q305</f>
        <v>0</v>
      </c>
    </row>
    <row r="802" spans="1:5" ht="14.25" customHeight="1">
      <c r="A802" s="1034"/>
      <c r="B802" s="1034"/>
      <c r="C802" s="402" t="s">
        <v>1107</v>
      </c>
      <c r="D802" s="400" t="s">
        <v>0</v>
      </c>
      <c r="E802" s="654">
        <f>Compcta!FU306+'BT-SI'!BN306+'ILUMINAÇÃO PUBLICA'!Q306</f>
        <v>0</v>
      </c>
    </row>
    <row r="803" spans="1:5" ht="14.25" customHeight="1">
      <c r="A803" s="1034"/>
      <c r="B803" s="1034"/>
      <c r="C803" s="399" t="s">
        <v>877</v>
      </c>
      <c r="D803" s="400" t="s">
        <v>0</v>
      </c>
      <c r="E803" s="654">
        <f>Compcta!FU307+'BT-SI'!BN307+'ILUMINAÇÃO PUBLICA'!Q307</f>
        <v>0</v>
      </c>
    </row>
    <row r="804" spans="1:5" ht="14.25" customHeight="1">
      <c r="A804" s="1034"/>
      <c r="B804" s="1034"/>
      <c r="C804" s="399" t="s">
        <v>878</v>
      </c>
      <c r="D804" s="400" t="s">
        <v>0</v>
      </c>
      <c r="E804" s="654">
        <f>Compcta!FU308+'BT-SI'!BN308+'ILUMINAÇÃO PUBLICA'!Q308</f>
        <v>0</v>
      </c>
    </row>
    <row r="805" spans="1:5" ht="14.25" customHeight="1">
      <c r="A805" s="1034"/>
      <c r="B805" s="1034"/>
      <c r="C805" s="399" t="s">
        <v>287</v>
      </c>
      <c r="D805" s="400" t="s">
        <v>0</v>
      </c>
      <c r="E805" s="654">
        <f>Compcta!FU309+'BT-SI'!BN309+'ILUMINAÇÃO PUBLICA'!Q309</f>
        <v>0</v>
      </c>
    </row>
    <row r="806" spans="1:5" ht="14.25" customHeight="1">
      <c r="A806" s="1034"/>
      <c r="B806" s="1034"/>
      <c r="C806" s="399" t="s">
        <v>879</v>
      </c>
      <c r="D806" s="400" t="s">
        <v>0</v>
      </c>
      <c r="E806" s="654">
        <f>Compcta!FU310+'BT-SI'!BN310+'ILUMINAÇÃO PUBLICA'!Q310</f>
        <v>0</v>
      </c>
    </row>
    <row r="807" spans="1:5" ht="14.25" customHeight="1">
      <c r="A807" s="1034"/>
      <c r="B807" s="1034"/>
      <c r="C807" s="399" t="s">
        <v>880</v>
      </c>
      <c r="D807" s="400" t="s">
        <v>0</v>
      </c>
      <c r="E807" s="654">
        <f>Compcta!FU311+'BT-SI'!BN311+'ILUMINAÇÃO PUBLICA'!Q311</f>
        <v>0</v>
      </c>
    </row>
    <row r="808" spans="1:5" ht="14.25" customHeight="1">
      <c r="A808" s="1034"/>
      <c r="B808" s="1034"/>
      <c r="C808" s="399" t="s">
        <v>881</v>
      </c>
      <c r="D808" s="400" t="s">
        <v>0</v>
      </c>
      <c r="E808" s="654">
        <f>Compcta!FU312+'BT-SI'!BN312+'ILUMINAÇÃO PUBLICA'!Q312</f>
        <v>0</v>
      </c>
    </row>
    <row r="809" spans="1:5" ht="14.25" customHeight="1">
      <c r="A809" s="1034"/>
      <c r="B809" s="1034"/>
      <c r="C809" s="399" t="s">
        <v>882</v>
      </c>
      <c r="D809" s="400" t="s">
        <v>0</v>
      </c>
      <c r="E809" s="654">
        <f>Compcta!FU313+'BT-SI'!BN313+'ILUMINAÇÃO PUBLICA'!Q313</f>
        <v>0</v>
      </c>
    </row>
    <row r="810" spans="1:5" ht="14.25" customHeight="1">
      <c r="A810" s="1034"/>
      <c r="B810" s="1034"/>
      <c r="C810" s="402" t="s">
        <v>1108</v>
      </c>
      <c r="D810" s="400" t="s">
        <v>0</v>
      </c>
      <c r="E810" s="654">
        <f>Compcta!FU314+'BT-SI'!BN314+'ILUMINAÇÃO PUBLICA'!Q314</f>
        <v>0</v>
      </c>
    </row>
    <row r="811" spans="1:5" ht="14.25" customHeight="1">
      <c r="A811" s="1034"/>
      <c r="B811" s="1034"/>
      <c r="C811" s="399" t="s">
        <v>884</v>
      </c>
      <c r="D811" s="400" t="s">
        <v>0</v>
      </c>
      <c r="E811" s="654">
        <f>Compcta!FU315+'BT-SI'!BN315+'ILUMINAÇÃO PUBLICA'!Q315</f>
        <v>0</v>
      </c>
    </row>
    <row r="812" spans="1:5" ht="14.25" customHeight="1">
      <c r="A812" s="1034"/>
      <c r="B812" s="209"/>
      <c r="C812" s="22" t="s">
        <v>410</v>
      </c>
      <c r="D812" s="400" t="s">
        <v>0</v>
      </c>
      <c r="E812" s="654">
        <f>Compcta!FU316+'BT-SI'!BN316+'ILUMINAÇÃO PUBLICA'!Q316</f>
        <v>0</v>
      </c>
    </row>
    <row r="813" spans="1:5" ht="14.25" customHeight="1">
      <c r="A813" s="1034"/>
      <c r="B813" s="1034"/>
      <c r="C813" s="399" t="s">
        <v>885</v>
      </c>
      <c r="D813" s="400" t="s">
        <v>0</v>
      </c>
      <c r="E813" s="654">
        <f>Compcta!FU317+'BT-SI'!BN317+'ILUMINAÇÃO PUBLICA'!Q317</f>
        <v>0</v>
      </c>
    </row>
    <row r="814" spans="1:5" ht="14.25" customHeight="1">
      <c r="A814" s="1034"/>
      <c r="B814" s="1034"/>
      <c r="C814" s="399" t="s">
        <v>886</v>
      </c>
      <c r="D814" s="400" t="s">
        <v>0</v>
      </c>
      <c r="E814" s="654">
        <f>Compcta!FU318+'BT-SI'!BN318+'ILUMINAÇÃO PUBLICA'!Q318</f>
        <v>0</v>
      </c>
    </row>
    <row r="815" spans="1:5" ht="14.25" customHeight="1">
      <c r="A815" s="1034"/>
      <c r="B815" s="1034"/>
      <c r="C815" s="399" t="s">
        <v>887</v>
      </c>
      <c r="D815" s="400" t="s">
        <v>0</v>
      </c>
      <c r="E815" s="654">
        <f>Compcta!FU319+'BT-SI'!BN319+'ILUMINAÇÃO PUBLICA'!Q319</f>
        <v>0</v>
      </c>
    </row>
    <row r="816" spans="1:5" ht="14.25" customHeight="1">
      <c r="A816" s="1034"/>
      <c r="B816" s="1034"/>
      <c r="C816" s="399" t="s">
        <v>888</v>
      </c>
      <c r="D816" s="400" t="s">
        <v>0</v>
      </c>
      <c r="E816" s="654">
        <f>Compcta!FU320+'BT-SI'!BN320+'ILUMINAÇÃO PUBLICA'!Q320</f>
        <v>0</v>
      </c>
    </row>
    <row r="817" spans="1:5" ht="14.25" customHeight="1">
      <c r="A817" s="1034"/>
      <c r="B817" s="1034"/>
      <c r="C817" s="399" t="s">
        <v>889</v>
      </c>
      <c r="D817" s="400" t="s">
        <v>0</v>
      </c>
      <c r="E817" s="654">
        <f>Compcta!FU321+'BT-SI'!BN321+'ILUMINAÇÃO PUBLICA'!Q321</f>
        <v>0</v>
      </c>
    </row>
    <row r="818" spans="1:5" ht="14.25" customHeight="1">
      <c r="A818" s="1034"/>
      <c r="B818" s="1034"/>
      <c r="C818" s="399" t="s">
        <v>890</v>
      </c>
      <c r="D818" s="400" t="s">
        <v>0</v>
      </c>
      <c r="E818" s="654">
        <f>Compcta!FU322+'BT-SI'!BN322+'ILUMINAÇÃO PUBLICA'!Q322</f>
        <v>0</v>
      </c>
    </row>
    <row r="819" spans="1:5" ht="14.25" customHeight="1">
      <c r="A819" s="1034"/>
      <c r="B819" s="1034"/>
      <c r="C819" s="399" t="s">
        <v>891</v>
      </c>
      <c r="D819" s="400" t="s">
        <v>0</v>
      </c>
      <c r="E819" s="654">
        <f>Compcta!FU323+'BT-SI'!BN323+'ILUMINAÇÃO PUBLICA'!Q323</f>
        <v>0</v>
      </c>
    </row>
    <row r="820" spans="1:5" ht="14.25" customHeight="1">
      <c r="A820" s="1034"/>
      <c r="B820" s="1034"/>
      <c r="C820" s="399" t="s">
        <v>899</v>
      </c>
      <c r="D820" s="400" t="s">
        <v>0</v>
      </c>
      <c r="E820" s="654">
        <f>Compcta!FU324+'BT-SI'!BN324+'ILUMINAÇÃO PUBLICA'!Q324</f>
        <v>0</v>
      </c>
    </row>
    <row r="821" spans="1:5" ht="14.25" customHeight="1">
      <c r="A821" s="1034"/>
      <c r="B821" s="1034"/>
      <c r="C821" s="399" t="s">
        <v>902</v>
      </c>
      <c r="D821" s="400" t="s">
        <v>0</v>
      </c>
      <c r="E821" s="654">
        <f>Compcta!FU325+'BT-SI'!BN325+'ILUMINAÇÃO PUBLICA'!Q325</f>
        <v>0</v>
      </c>
    </row>
    <row r="822" spans="1:5" ht="14.25" customHeight="1">
      <c r="A822" s="1034"/>
      <c r="B822" s="1034"/>
      <c r="C822" s="399" t="s">
        <v>903</v>
      </c>
      <c r="D822" s="400" t="s">
        <v>0</v>
      </c>
      <c r="E822" s="654">
        <f>Compcta!FU326+'BT-SI'!BN326+'ILUMINAÇÃO PUBLICA'!Q326</f>
        <v>0</v>
      </c>
    </row>
    <row r="823" spans="1:5" ht="14.25" customHeight="1">
      <c r="A823" s="1034"/>
      <c r="B823" s="1034"/>
      <c r="C823" s="399" t="s">
        <v>905</v>
      </c>
      <c r="D823" s="400" t="s">
        <v>0</v>
      </c>
      <c r="E823" s="654">
        <f>Compcta!FU327+'BT-SI'!BN327+'ILUMINAÇÃO PUBLICA'!Q327</f>
        <v>0</v>
      </c>
    </row>
    <row r="824" spans="1:5" ht="14.25" customHeight="1">
      <c r="A824" s="1034"/>
      <c r="B824" s="1034"/>
      <c r="C824" s="399" t="s">
        <v>1720</v>
      </c>
      <c r="D824" s="400" t="s">
        <v>0</v>
      </c>
      <c r="E824" s="654">
        <f>Compcta!FU328+'BT-SI'!BN328+'ILUMINAÇÃO PUBLICA'!Q328</f>
        <v>0</v>
      </c>
    </row>
    <row r="825" spans="1:5" ht="14.25" customHeight="1">
      <c r="A825" s="1034"/>
      <c r="B825" s="1034"/>
      <c r="C825" s="399" t="s">
        <v>897</v>
      </c>
      <c r="D825" s="400" t="s">
        <v>0</v>
      </c>
      <c r="E825" s="654">
        <f>Compcta!FU329+'BT-SI'!BN329+'ILUMINAÇÃO PUBLICA'!Q329</f>
        <v>0</v>
      </c>
    </row>
    <row r="826" spans="1:5" ht="14.25" customHeight="1">
      <c r="A826" s="1034"/>
      <c r="B826" s="1034"/>
      <c r="C826" s="399" t="s">
        <v>898</v>
      </c>
      <c r="D826" s="400" t="s">
        <v>0</v>
      </c>
      <c r="E826" s="654">
        <f>Compcta!FU330+'BT-SI'!BN330+'ILUMINAÇÃO PUBLICA'!Q330</f>
        <v>0</v>
      </c>
    </row>
    <row r="827" spans="1:5" ht="14.25" customHeight="1">
      <c r="A827" s="1034"/>
      <c r="B827" s="1034"/>
      <c r="C827" s="399" t="s">
        <v>1722</v>
      </c>
      <c r="D827" s="400" t="s">
        <v>0</v>
      </c>
      <c r="E827" s="654">
        <f>Compcta!FU331+'BT-SI'!BN331+'ILUMINAÇÃO PUBLICA'!Q331</f>
        <v>0</v>
      </c>
    </row>
    <row r="828" spans="1:5" ht="14.25" customHeight="1">
      <c r="A828" s="1034"/>
      <c r="B828" s="1034"/>
      <c r="C828" s="399" t="s">
        <v>900</v>
      </c>
      <c r="D828" s="400" t="s">
        <v>0</v>
      </c>
      <c r="E828" s="654">
        <f>Compcta!FU332+'BT-SI'!BN332+'ILUMINAÇÃO PUBLICA'!Q332</f>
        <v>0</v>
      </c>
    </row>
    <row r="829" spans="1:5" ht="14.25" customHeight="1">
      <c r="A829" s="1034"/>
      <c r="B829" s="1034"/>
      <c r="C829" s="399" t="s">
        <v>901</v>
      </c>
      <c r="D829" s="400" t="s">
        <v>0</v>
      </c>
      <c r="E829" s="654">
        <f>Compcta!FU333+'BT-SI'!BN333+'ILUMINAÇÃO PUBLICA'!Q333</f>
        <v>0</v>
      </c>
    </row>
    <row r="830" spans="1:5" ht="14.25" customHeight="1">
      <c r="A830" s="1034"/>
      <c r="B830" s="1034"/>
      <c r="C830" s="399" t="s">
        <v>1723</v>
      </c>
      <c r="D830" s="400" t="s">
        <v>0</v>
      </c>
      <c r="E830" s="654">
        <f>Compcta!FU334+'BT-SI'!BN334+'ILUMINAÇÃO PUBLICA'!Q334</f>
        <v>0</v>
      </c>
    </row>
    <row r="831" spans="1:5" ht="14.25" customHeight="1">
      <c r="A831" s="1034"/>
      <c r="B831" s="1034"/>
      <c r="C831" s="399" t="s">
        <v>1724</v>
      </c>
      <c r="D831" s="400" t="s">
        <v>0</v>
      </c>
      <c r="E831" s="654">
        <f>Compcta!FU335+'BT-SI'!BN335+'ILUMINAÇÃO PUBLICA'!Q335</f>
        <v>0</v>
      </c>
    </row>
    <row r="832" spans="1:5" ht="14.25" customHeight="1">
      <c r="A832" s="1034"/>
      <c r="B832" s="1034"/>
      <c r="C832" s="399" t="s">
        <v>904</v>
      </c>
      <c r="D832" s="400" t="s">
        <v>0</v>
      </c>
      <c r="E832" s="654">
        <f>Compcta!FU336+'BT-SI'!BN336+'ILUMINAÇÃO PUBLICA'!Q336</f>
        <v>0</v>
      </c>
    </row>
    <row r="833" spans="1:5" ht="14.25" customHeight="1">
      <c r="A833" s="1034"/>
      <c r="B833" s="1034"/>
      <c r="C833" s="210" t="s">
        <v>1481</v>
      </c>
      <c r="D833" s="400" t="s">
        <v>0</v>
      </c>
      <c r="E833" s="654">
        <f>Compcta!FU337+'BT-SI'!BN337+'ILUMINAÇÃO PUBLICA'!Q337</f>
        <v>0</v>
      </c>
    </row>
    <row r="834" spans="1:5" ht="14.25" customHeight="1">
      <c r="A834" s="1034"/>
      <c r="B834" s="1034"/>
      <c r="C834" s="399" t="s">
        <v>905</v>
      </c>
      <c r="D834" s="400" t="s">
        <v>0</v>
      </c>
      <c r="E834" s="654">
        <f>Compcta!FU338+'BT-SI'!BN338+'ILUMINAÇÃO PUBLICA'!Q338</f>
        <v>0</v>
      </c>
    </row>
    <row r="835" spans="1:5" ht="14.25" customHeight="1">
      <c r="A835" s="1034"/>
      <c r="B835" s="1034"/>
      <c r="C835" s="399" t="s">
        <v>906</v>
      </c>
      <c r="D835" s="400" t="s">
        <v>0</v>
      </c>
      <c r="E835" s="654">
        <f>Compcta!FU339+'BT-SI'!BN339+'ILUMINAÇÃO PUBLICA'!Q339</f>
        <v>0</v>
      </c>
    </row>
    <row r="836" spans="1:5" ht="14.25" customHeight="1">
      <c r="A836" s="1034"/>
      <c r="B836" s="1034"/>
      <c r="C836" s="399" t="s">
        <v>907</v>
      </c>
      <c r="D836" s="400" t="s">
        <v>0</v>
      </c>
      <c r="E836" s="654">
        <f>Compcta!FU340+'BT-SI'!BN340+'ILUMINAÇÃO PUBLICA'!Q340</f>
        <v>0</v>
      </c>
    </row>
    <row r="837" spans="1:5" ht="14.25" customHeight="1">
      <c r="A837" s="1034"/>
      <c r="B837" s="1034"/>
      <c r="C837" s="399" t="s">
        <v>908</v>
      </c>
      <c r="D837" s="400" t="s">
        <v>0</v>
      </c>
      <c r="E837" s="654">
        <f>Compcta!FU341+'BT-SI'!BN341+'ILUMINAÇÃO PUBLICA'!Q341</f>
        <v>0</v>
      </c>
    </row>
    <row r="838" spans="1:5" ht="14.25" customHeight="1">
      <c r="A838" s="1034"/>
      <c r="B838" s="1034"/>
      <c r="C838" s="399" t="s">
        <v>999</v>
      </c>
      <c r="D838" s="400" t="s">
        <v>0</v>
      </c>
      <c r="E838" s="654">
        <f>Compcta!FU342+'BT-SI'!BN342+'ILUMINAÇÃO PUBLICA'!Q342</f>
        <v>0</v>
      </c>
    </row>
    <row r="839" spans="1:5" ht="14.25" customHeight="1">
      <c r="A839" s="1034"/>
      <c r="B839" s="1034"/>
      <c r="C839" s="399" t="s">
        <v>998</v>
      </c>
      <c r="D839" s="400" t="s">
        <v>0</v>
      </c>
      <c r="E839" s="654">
        <f>Compcta!FU343+'BT-SI'!BN343+'ILUMINAÇÃO PUBLICA'!Q343</f>
        <v>0</v>
      </c>
    </row>
    <row r="840" spans="1:5" ht="14.25" customHeight="1">
      <c r="A840" s="1034"/>
      <c r="B840" s="1034"/>
      <c r="C840" s="399" t="s">
        <v>909</v>
      </c>
      <c r="D840" s="400" t="s">
        <v>0</v>
      </c>
      <c r="E840" s="654">
        <f>Compcta!FU344+'BT-SI'!BN344+'ILUMINAÇÃO PUBLICA'!Q344</f>
        <v>0</v>
      </c>
    </row>
    <row r="841" spans="1:5" ht="14.25" customHeight="1">
      <c r="A841" s="1034"/>
      <c r="B841" s="1034"/>
      <c r="C841" s="399" t="s">
        <v>1060</v>
      </c>
      <c r="D841" s="400" t="s">
        <v>386</v>
      </c>
      <c r="E841" s="654">
        <f>Compcta!FU345+'BT-SI'!BN345+'ILUMINAÇÃO PUBLICA'!Q345</f>
        <v>0</v>
      </c>
    </row>
    <row r="842" spans="1:5" ht="14.25" customHeight="1">
      <c r="A842" s="1034"/>
      <c r="B842" s="1034"/>
      <c r="C842" s="399" t="s">
        <v>995</v>
      </c>
      <c r="D842" s="400" t="s">
        <v>4</v>
      </c>
      <c r="E842" s="654">
        <f>Compcta!FU346+'BT-SI'!BN346+'ILUMINAÇÃO PUBLICA'!Q346</f>
        <v>0</v>
      </c>
    </row>
    <row r="843" spans="1:5" ht="14.25" customHeight="1">
      <c r="A843" s="1034"/>
      <c r="B843" s="1034"/>
      <c r="C843" s="399" t="s">
        <v>910</v>
      </c>
      <c r="D843" s="400" t="s">
        <v>0</v>
      </c>
      <c r="E843" s="654">
        <f>Compcta!FU347+'BT-SI'!BN347+'ILUMINAÇÃO PUBLICA'!Q347</f>
        <v>0</v>
      </c>
    </row>
    <row r="844" spans="1:5" ht="14.25" customHeight="1">
      <c r="A844" s="1034"/>
      <c r="B844" s="1034"/>
      <c r="C844" s="399" t="s">
        <v>911</v>
      </c>
      <c r="D844" s="400" t="s">
        <v>0</v>
      </c>
      <c r="E844" s="654">
        <f>Compcta!FU348+'BT-SI'!BN348+'ILUMINAÇÃO PUBLICA'!Q348</f>
        <v>0</v>
      </c>
    </row>
    <row r="845" spans="1:5" ht="14.25" customHeight="1">
      <c r="A845" s="1034"/>
      <c r="B845" s="1034"/>
      <c r="C845" s="399" t="s">
        <v>912</v>
      </c>
      <c r="D845" s="400" t="s">
        <v>0</v>
      </c>
      <c r="E845" s="654">
        <f>Compcta!FU349+'BT-SI'!BN349+'ILUMINAÇÃO PUBLICA'!Q349</f>
        <v>0</v>
      </c>
    </row>
    <row r="846" spans="1:5" ht="14.25" customHeight="1">
      <c r="A846" s="1034"/>
      <c r="B846" s="1034"/>
      <c r="C846" s="399" t="s">
        <v>1081</v>
      </c>
      <c r="D846" s="400" t="s">
        <v>386</v>
      </c>
      <c r="E846" s="654">
        <f>Compcta!FU350+'BT-SI'!BN350+'ILUMINAÇÃO PUBLICA'!Q350</f>
        <v>0</v>
      </c>
    </row>
    <row r="847" spans="1:5" ht="14.25" customHeight="1">
      <c r="A847" s="1034"/>
      <c r="B847" s="1034"/>
      <c r="C847" s="399" t="s">
        <v>1732</v>
      </c>
      <c r="D847" s="400"/>
      <c r="E847" s="654">
        <f>Compcta!FU351+'BT-SI'!BN351+'ILUMINAÇÃO PUBLICA'!Q351</f>
        <v>0</v>
      </c>
    </row>
    <row r="848" spans="1:5" ht="14.25" customHeight="1">
      <c r="A848" s="209">
        <v>3981</v>
      </c>
      <c r="B848" s="1034"/>
      <c r="C848" s="399" t="s">
        <v>913</v>
      </c>
      <c r="D848" s="400" t="s">
        <v>0</v>
      </c>
      <c r="E848" s="654">
        <f>Compcta!FU352+'BT-SI'!BN352+'ILUMINAÇÃO PUBLICA'!Q352</f>
        <v>0</v>
      </c>
    </row>
    <row r="849" spans="1:5" ht="14.25" customHeight="1">
      <c r="A849" s="1034"/>
      <c r="B849" s="1034"/>
      <c r="C849" s="399" t="s">
        <v>914</v>
      </c>
      <c r="D849" s="400" t="s">
        <v>0</v>
      </c>
      <c r="E849" s="654">
        <f>Compcta!FU353+'BT-SI'!BN353+'ILUMINAÇÃO PUBLICA'!Q353</f>
        <v>0</v>
      </c>
    </row>
    <row r="850" spans="1:5" ht="14.25" customHeight="1">
      <c r="A850" s="1034"/>
      <c r="B850" s="1034"/>
      <c r="C850" s="399" t="s">
        <v>915</v>
      </c>
      <c r="D850" s="400" t="s">
        <v>0</v>
      </c>
      <c r="E850" s="654">
        <f>Compcta!FU354+'BT-SI'!BN354+'ILUMINAÇÃO PUBLICA'!Q354</f>
        <v>0</v>
      </c>
    </row>
    <row r="851" spans="1:5" ht="14.25" customHeight="1">
      <c r="A851" s="1034"/>
      <c r="B851" s="1034"/>
      <c r="C851" s="399" t="s">
        <v>916</v>
      </c>
      <c r="D851" s="400" t="s">
        <v>0</v>
      </c>
      <c r="E851" s="654">
        <f>Compcta!FU355+'BT-SI'!BN355+'ILUMINAÇÃO PUBLICA'!Q355</f>
        <v>0</v>
      </c>
    </row>
    <row r="852" spans="1:5" ht="14.25" customHeight="1">
      <c r="A852" s="1034"/>
      <c r="B852" s="1034"/>
      <c r="C852" s="399" t="s">
        <v>917</v>
      </c>
      <c r="D852" s="400" t="s">
        <v>0</v>
      </c>
      <c r="E852" s="654">
        <f>Compcta!FU356+'BT-SI'!BN356+'ILUMINAÇÃO PUBLICA'!Q356</f>
        <v>0</v>
      </c>
    </row>
    <row r="853" spans="1:5" ht="14.25" customHeight="1">
      <c r="A853" s="1034"/>
      <c r="B853" s="1034"/>
      <c r="C853" s="399" t="s">
        <v>1090</v>
      </c>
      <c r="D853" s="400" t="s">
        <v>386</v>
      </c>
      <c r="E853" s="654">
        <f>Compcta!FU357+'BT-SI'!BN357+'ILUMINAÇÃO PUBLICA'!Q357</f>
        <v>0</v>
      </c>
    </row>
    <row r="854" spans="1:5" ht="14.25" customHeight="1">
      <c r="A854" s="1034"/>
      <c r="B854" s="1034"/>
      <c r="C854" s="399" t="s">
        <v>13</v>
      </c>
      <c r="D854" s="400" t="s">
        <v>0</v>
      </c>
      <c r="E854" s="654">
        <f>Compcta!FU358+'BT-SI'!BN358+'ILUMINAÇÃO PUBLICA'!Q358</f>
        <v>0</v>
      </c>
    </row>
    <row r="855" spans="1:5" ht="14.25" customHeight="1">
      <c r="A855" s="1034"/>
      <c r="B855" s="1034"/>
      <c r="C855" s="399" t="s">
        <v>996</v>
      </c>
      <c r="D855" s="400" t="s">
        <v>4</v>
      </c>
      <c r="E855" s="654">
        <f>Compcta!FU359+'BT-SI'!BN359+'ILUMINAÇÃO PUBLICA'!Q359</f>
        <v>0</v>
      </c>
    </row>
    <row r="856" spans="1:5" ht="14.25" customHeight="1">
      <c r="A856" s="1034"/>
      <c r="B856" s="1034"/>
      <c r="C856" s="399" t="s">
        <v>918</v>
      </c>
      <c r="D856" s="400" t="s">
        <v>0</v>
      </c>
      <c r="E856" s="654">
        <f>Compcta!FU360+'BT-SI'!BN360+'ILUMINAÇÃO PUBLICA'!Q360</f>
        <v>0</v>
      </c>
    </row>
    <row r="857" spans="1:5" ht="14.25" customHeight="1">
      <c r="A857" s="1034"/>
      <c r="B857" s="1034"/>
      <c r="C857" s="399" t="s">
        <v>1001</v>
      </c>
      <c r="D857" s="400" t="s">
        <v>0</v>
      </c>
      <c r="E857" s="654">
        <f>Compcta!FU361+'BT-SI'!BN361+'ILUMINAÇÃO PUBLICA'!Q361</f>
        <v>0</v>
      </c>
    </row>
    <row r="858" spans="1:5" ht="14.25" customHeight="1">
      <c r="A858" s="1034"/>
      <c r="B858" s="1034"/>
      <c r="C858" s="5" t="s">
        <v>1032</v>
      </c>
      <c r="D858" s="400" t="s">
        <v>0</v>
      </c>
      <c r="E858" s="654">
        <f>Compcta!FU362+'BT-SI'!BN362+'ILUMINAÇÃO PUBLICA'!Q362</f>
        <v>0</v>
      </c>
    </row>
    <row r="859" spans="1:5" ht="14.25" customHeight="1">
      <c r="A859" s="1034"/>
      <c r="B859" s="1034"/>
      <c r="C859" s="5" t="s">
        <v>1033</v>
      </c>
      <c r="D859" s="400" t="s">
        <v>0</v>
      </c>
      <c r="E859" s="654">
        <f>Compcta!FU363+'BT-SI'!BN363+'ILUMINAÇÃO PUBLICA'!Q363</f>
        <v>0</v>
      </c>
    </row>
    <row r="860" spans="1:5" ht="14.25" customHeight="1">
      <c r="A860" s="1034"/>
      <c r="B860" s="1034"/>
      <c r="C860" s="5" t="s">
        <v>1034</v>
      </c>
      <c r="D860" s="400" t="s">
        <v>0</v>
      </c>
      <c r="E860" s="654">
        <f>Compcta!FU364+'BT-SI'!BN364+'ILUMINAÇÃO PUBLICA'!Q364</f>
        <v>0</v>
      </c>
    </row>
    <row r="861" spans="1:5" ht="14.25" customHeight="1">
      <c r="A861" s="1034"/>
      <c r="B861" s="1034"/>
      <c r="C861" s="5" t="s">
        <v>1035</v>
      </c>
      <c r="D861" s="400" t="s">
        <v>0</v>
      </c>
      <c r="E861" s="654">
        <f>Compcta!FU365+'BT-SI'!BN365+'ILUMINAÇÃO PUBLICA'!Q365</f>
        <v>0</v>
      </c>
    </row>
    <row r="862" spans="1:5" ht="14.25" customHeight="1">
      <c r="A862" s="1034"/>
      <c r="B862" s="1034"/>
      <c r="C862" s="5" t="s">
        <v>1036</v>
      </c>
      <c r="D862" s="400" t="s">
        <v>0</v>
      </c>
      <c r="E862" s="654">
        <f>Compcta!FU366+'BT-SI'!BN366+'ILUMINAÇÃO PUBLICA'!Q366</f>
        <v>0</v>
      </c>
    </row>
    <row r="863" spans="1:5" ht="14.25" customHeight="1">
      <c r="A863" s="1034"/>
      <c r="B863" s="1034"/>
      <c r="C863" s="5" t="s">
        <v>1037</v>
      </c>
      <c r="D863" s="400" t="s">
        <v>0</v>
      </c>
      <c r="E863" s="654">
        <f>Compcta!FU367+'BT-SI'!BN367+'ILUMINAÇÃO PUBLICA'!Q367</f>
        <v>0</v>
      </c>
    </row>
    <row r="864" spans="1:5" ht="14.25" customHeight="1">
      <c r="A864" s="1034"/>
      <c r="B864" s="1034"/>
      <c r="C864" s="5" t="s">
        <v>1038</v>
      </c>
      <c r="D864" s="400" t="s">
        <v>0</v>
      </c>
      <c r="E864" s="654">
        <f>Compcta!FU368+'BT-SI'!BN368+'ILUMINAÇÃO PUBLICA'!Q368</f>
        <v>0</v>
      </c>
    </row>
    <row r="865" spans="1:5" ht="14.25" customHeight="1">
      <c r="A865" s="1034"/>
      <c r="B865" s="1034"/>
      <c r="C865" s="399" t="s">
        <v>15</v>
      </c>
      <c r="D865" s="400" t="s">
        <v>0</v>
      </c>
      <c r="E865" s="654">
        <f>Compcta!FU369+'BT-SI'!BN369+'ILUMINAÇÃO PUBLICA'!Q369</f>
        <v>0</v>
      </c>
    </row>
    <row r="866" spans="1:5" ht="14.25" customHeight="1">
      <c r="A866" s="1034"/>
      <c r="B866" s="1034"/>
      <c r="C866" s="399" t="s">
        <v>919</v>
      </c>
      <c r="D866" s="400" t="s">
        <v>0</v>
      </c>
      <c r="E866" s="654">
        <f>Compcta!FU370+'BT-SI'!BN370+'ILUMINAÇÃO PUBLICA'!Q370</f>
        <v>0</v>
      </c>
    </row>
    <row r="867" spans="1:5" ht="14.25" customHeight="1">
      <c r="A867" s="1034"/>
      <c r="B867" s="1034"/>
      <c r="C867" s="163" t="s">
        <v>920</v>
      </c>
      <c r="D867" s="400" t="s">
        <v>0</v>
      </c>
      <c r="E867" s="654">
        <f>Compcta!FU371+'BT-SI'!BN371+'ILUMINAÇÃO PUBLICA'!Q371</f>
        <v>0</v>
      </c>
    </row>
    <row r="868" spans="1:5" ht="14.25" customHeight="1">
      <c r="A868" s="1034"/>
      <c r="B868" s="1034"/>
      <c r="C868" s="399" t="s">
        <v>921</v>
      </c>
      <c r="D868" s="400" t="s">
        <v>0</v>
      </c>
      <c r="E868" s="654">
        <f>Compcta!FU372+'BT-SI'!BN372+'ILUMINAÇÃO PUBLICA'!Q372</f>
        <v>0</v>
      </c>
    </row>
    <row r="869" spans="1:5" ht="14.25" customHeight="1">
      <c r="A869" s="1034"/>
      <c r="B869" s="1034"/>
      <c r="C869" s="399" t="s">
        <v>922</v>
      </c>
      <c r="D869" s="400" t="s">
        <v>0</v>
      </c>
      <c r="E869" s="654">
        <f>Compcta!FU373+'BT-SI'!BN373+'ILUMINAÇÃO PUBLICA'!Q373</f>
        <v>0</v>
      </c>
    </row>
    <row r="870" spans="1:5" ht="14.25" customHeight="1">
      <c r="A870" s="1034"/>
      <c r="B870" s="1034"/>
      <c r="C870" s="399" t="s">
        <v>923</v>
      </c>
      <c r="D870" s="400" t="s">
        <v>0</v>
      </c>
      <c r="E870" s="654">
        <f>Compcta!FU374+'BT-SI'!BN374+'ILUMINAÇÃO PUBLICA'!Q374</f>
        <v>0</v>
      </c>
    </row>
    <row r="871" spans="1:5" ht="14.25" customHeight="1">
      <c r="A871" s="1034"/>
      <c r="B871" s="1034"/>
      <c r="C871" s="399" t="s">
        <v>924</v>
      </c>
      <c r="D871" s="400" t="s">
        <v>0</v>
      </c>
      <c r="E871" s="654">
        <f>Compcta!FU375+'BT-SI'!BN375+'ILUMINAÇÃO PUBLICA'!Q375</f>
        <v>0</v>
      </c>
    </row>
    <row r="872" spans="1:5" ht="14.25" customHeight="1">
      <c r="A872" s="1034"/>
      <c r="B872" s="209"/>
      <c r="C872" s="22" t="s">
        <v>165</v>
      </c>
      <c r="D872" s="400" t="s">
        <v>0</v>
      </c>
      <c r="E872" s="654">
        <f>Compcta!FU376+'BT-SI'!BN376+'ILUMINAÇÃO PUBLICA'!Q376</f>
        <v>0</v>
      </c>
    </row>
    <row r="873" spans="1:5" ht="14.25" customHeight="1">
      <c r="A873" s="1034"/>
      <c r="B873" s="1034"/>
      <c r="C873" s="399" t="s">
        <v>925</v>
      </c>
      <c r="D873" s="400" t="s">
        <v>0</v>
      </c>
      <c r="E873" s="654">
        <f>Compcta!FU377+'BT-SI'!BN377+'ILUMINAÇÃO PUBLICA'!Q377</f>
        <v>0</v>
      </c>
    </row>
    <row r="874" spans="1:5" ht="14.25" customHeight="1">
      <c r="A874" s="1034"/>
      <c r="B874" s="1034"/>
      <c r="C874" s="399" t="s">
        <v>926</v>
      </c>
      <c r="D874" s="400" t="s">
        <v>0</v>
      </c>
      <c r="E874" s="654">
        <f>Compcta!FU378+'BT-SI'!BN378+'ILUMINAÇÃO PUBLICA'!Q378</f>
        <v>0</v>
      </c>
    </row>
    <row r="875" spans="1:5" ht="14.25" customHeight="1">
      <c r="A875" s="1034"/>
      <c r="B875" s="1034"/>
      <c r="C875" s="399" t="s">
        <v>210</v>
      </c>
      <c r="D875" s="400" t="s">
        <v>0</v>
      </c>
      <c r="E875" s="654">
        <f>Compcta!FU379+'BT-SI'!BN379+'ILUMINAÇÃO PUBLICA'!Q379</f>
        <v>0</v>
      </c>
    </row>
    <row r="876" spans="1:5" ht="14.25" customHeight="1">
      <c r="A876" s="1034"/>
      <c r="B876" s="1034"/>
      <c r="C876" s="399" t="s">
        <v>927</v>
      </c>
      <c r="D876" s="400" t="s">
        <v>0</v>
      </c>
      <c r="E876" s="654">
        <f>Compcta!FU380+'BT-SI'!BN380+'ILUMINAÇÃO PUBLICA'!Q380</f>
        <v>0</v>
      </c>
    </row>
    <row r="877" spans="1:5" ht="14.25" customHeight="1">
      <c r="A877" s="1034"/>
      <c r="B877" s="1034"/>
      <c r="C877" s="399" t="s">
        <v>928</v>
      </c>
      <c r="D877" s="400" t="s">
        <v>0</v>
      </c>
      <c r="E877" s="654">
        <f>Compcta!FU381+'BT-SI'!BN381+'ILUMINAÇÃO PUBLICA'!Q381</f>
        <v>0</v>
      </c>
    </row>
    <row r="878" spans="1:5" ht="14.25" customHeight="1">
      <c r="A878" s="1034"/>
      <c r="B878" s="1034"/>
      <c r="C878" s="399" t="s">
        <v>929</v>
      </c>
      <c r="D878" s="400" t="s">
        <v>0</v>
      </c>
      <c r="E878" s="654">
        <f>Compcta!FU382+'BT-SI'!BN382+'ILUMINAÇÃO PUBLICA'!Q382</f>
        <v>0</v>
      </c>
    </row>
    <row r="879" spans="1:5" ht="14.25" customHeight="1">
      <c r="A879" s="1034"/>
      <c r="B879" s="1034"/>
      <c r="C879" s="399" t="s">
        <v>16</v>
      </c>
      <c r="D879" s="400" t="s">
        <v>0</v>
      </c>
      <c r="E879" s="654">
        <f>Compcta!FU383+'BT-SI'!BN383+'ILUMINAÇÃO PUBLICA'!Q383</f>
        <v>0</v>
      </c>
    </row>
    <row r="880" spans="1:5" ht="14.25" customHeight="1">
      <c r="A880" s="1034"/>
      <c r="B880" s="1034"/>
      <c r="C880" s="399" t="s">
        <v>1012</v>
      </c>
      <c r="D880" s="400" t="s">
        <v>0</v>
      </c>
      <c r="E880" s="654">
        <f>Compcta!FU384+'BT-SI'!BN384+'ILUMINAÇÃO PUBLICA'!Q384</f>
        <v>0</v>
      </c>
    </row>
    <row r="881" spans="1:5" ht="14.25" customHeight="1">
      <c r="A881" s="1034"/>
      <c r="B881" s="1034"/>
      <c r="C881" s="399" t="s">
        <v>17</v>
      </c>
      <c r="D881" s="400" t="s">
        <v>0</v>
      </c>
      <c r="E881" s="654">
        <f>Compcta!FU385+'BT-SI'!BN385+'ILUMINAÇÃO PUBLICA'!Q385</f>
        <v>0</v>
      </c>
    </row>
    <row r="882" spans="1:5" ht="14.25" customHeight="1">
      <c r="A882" s="1034"/>
      <c r="B882" s="1034"/>
      <c r="C882" s="399" t="s">
        <v>930</v>
      </c>
      <c r="D882" s="400" t="s">
        <v>0</v>
      </c>
      <c r="E882" s="654">
        <f>Compcta!FU386+'BT-SI'!BN386+'ILUMINAÇÃO PUBLICA'!Q386</f>
        <v>0</v>
      </c>
    </row>
    <row r="883" spans="1:5" ht="14.25" customHeight="1">
      <c r="A883" s="1034"/>
      <c r="B883" s="1034"/>
      <c r="C883" s="399" t="s">
        <v>931</v>
      </c>
      <c r="D883" s="400" t="s">
        <v>0</v>
      </c>
      <c r="E883" s="654">
        <f>Compcta!FU387+'BT-SI'!BN387+'ILUMINAÇÃO PUBLICA'!Q387</f>
        <v>0</v>
      </c>
    </row>
    <row r="884" spans="1:5" ht="14.25" customHeight="1">
      <c r="A884" s="1034"/>
      <c r="B884" s="1034"/>
      <c r="C884" s="399" t="s">
        <v>932</v>
      </c>
      <c r="D884" s="400" t="s">
        <v>0</v>
      </c>
      <c r="E884" s="654">
        <f>Compcta!FU388+'BT-SI'!BN388+'ILUMINAÇÃO PUBLICA'!Q388</f>
        <v>0</v>
      </c>
    </row>
    <row r="885" spans="1:5" ht="14.25" customHeight="1">
      <c r="A885" s="1034"/>
      <c r="B885" s="1034"/>
      <c r="C885" s="399" t="s">
        <v>933</v>
      </c>
      <c r="D885" s="400" t="s">
        <v>0</v>
      </c>
      <c r="E885" s="654">
        <f>Compcta!FU389+'BT-SI'!BN389+'ILUMINAÇÃO PUBLICA'!Q389</f>
        <v>0</v>
      </c>
    </row>
    <row r="886" spans="1:5" ht="14.25" customHeight="1">
      <c r="A886" s="1034"/>
      <c r="B886" s="1034"/>
      <c r="C886" s="399" t="s">
        <v>934</v>
      </c>
      <c r="D886" s="400" t="s">
        <v>0</v>
      </c>
      <c r="E886" s="654">
        <f>Compcta!FU390+'BT-SI'!BN390+'ILUMINAÇÃO PUBLICA'!Q390</f>
        <v>0</v>
      </c>
    </row>
    <row r="887" spans="1:5" ht="14.25" customHeight="1">
      <c r="A887" s="1034"/>
      <c r="B887" s="1034"/>
      <c r="C887" s="399" t="s">
        <v>935</v>
      </c>
      <c r="D887" s="400" t="s">
        <v>0</v>
      </c>
      <c r="E887" s="654">
        <f>Compcta!FU391+'BT-SI'!BN391+'ILUMINAÇÃO PUBLICA'!Q391</f>
        <v>0</v>
      </c>
    </row>
    <row r="888" spans="1:5" ht="14.25" customHeight="1">
      <c r="A888" s="1034"/>
      <c r="B888" s="1034"/>
      <c r="C888" s="399" t="s">
        <v>936</v>
      </c>
      <c r="D888" s="400" t="s">
        <v>0</v>
      </c>
      <c r="E888" s="654">
        <f>Compcta!FU392+'BT-SI'!BN392+'ILUMINAÇÃO PUBLICA'!Q392</f>
        <v>0</v>
      </c>
    </row>
    <row r="889" spans="1:5" ht="14.25" customHeight="1">
      <c r="A889" s="1034"/>
      <c r="B889" s="1034"/>
      <c r="C889" s="399" t="s">
        <v>937</v>
      </c>
      <c r="D889" s="400" t="s">
        <v>0</v>
      </c>
      <c r="E889" s="654">
        <f>Compcta!FU393+'BT-SI'!BN393+'ILUMINAÇÃO PUBLICA'!Q393</f>
        <v>0</v>
      </c>
    </row>
    <row r="890" spans="1:5" ht="14.25" customHeight="1">
      <c r="A890" s="1034"/>
      <c r="B890" s="1034"/>
      <c r="C890" s="399" t="s">
        <v>938</v>
      </c>
      <c r="D890" s="400" t="s">
        <v>0</v>
      </c>
      <c r="E890" s="654">
        <f>Compcta!FU394+'BT-SI'!BN394+'ILUMINAÇÃO PUBLICA'!Q394</f>
        <v>0</v>
      </c>
    </row>
    <row r="891" spans="1:5" ht="14.25" customHeight="1">
      <c r="A891" s="1034"/>
      <c r="B891" s="1034"/>
      <c r="C891" s="399" t="s">
        <v>939</v>
      </c>
      <c r="D891" s="400" t="s">
        <v>0</v>
      </c>
      <c r="E891" s="654">
        <f>Compcta!FU395+'BT-SI'!BN395+'ILUMINAÇÃO PUBLICA'!Q395</f>
        <v>0</v>
      </c>
    </row>
    <row r="892" spans="1:5" ht="14.25" customHeight="1">
      <c r="A892" s="1034"/>
      <c r="B892" s="1034"/>
      <c r="C892" s="399" t="s">
        <v>940</v>
      </c>
      <c r="D892" s="400" t="s">
        <v>0</v>
      </c>
      <c r="E892" s="654">
        <f>Compcta!FU396+'BT-SI'!BN396+'ILUMINAÇÃO PUBLICA'!Q396</f>
        <v>0</v>
      </c>
    </row>
    <row r="893" spans="1:5" ht="14.25" customHeight="1">
      <c r="A893" s="1034"/>
      <c r="B893" s="1034"/>
      <c r="C893" s="399" t="s">
        <v>941</v>
      </c>
      <c r="D893" s="400" t="s">
        <v>0</v>
      </c>
      <c r="E893" s="654">
        <f>Compcta!FU397+'BT-SI'!BN397+'ILUMINAÇÃO PUBLICA'!Q397</f>
        <v>0</v>
      </c>
    </row>
    <row r="894" spans="1:5" ht="14.25" customHeight="1">
      <c r="A894" s="1034"/>
      <c r="B894" s="1034"/>
      <c r="C894" s="399" t="s">
        <v>942</v>
      </c>
      <c r="D894" s="400" t="s">
        <v>0</v>
      </c>
      <c r="E894" s="654">
        <f>Compcta!FU398+'BT-SI'!BN398+'ILUMINAÇÃO PUBLICA'!Q398</f>
        <v>0</v>
      </c>
    </row>
    <row r="895" spans="1:5" ht="14.25" customHeight="1">
      <c r="A895" s="1034"/>
      <c r="B895" s="1034"/>
      <c r="C895" s="399" t="s">
        <v>943</v>
      </c>
      <c r="D895" s="400" t="s">
        <v>0</v>
      </c>
      <c r="E895" s="654">
        <f>Compcta!FU399+'BT-SI'!BN399+'ILUMINAÇÃO PUBLICA'!Q399</f>
        <v>0</v>
      </c>
    </row>
    <row r="896" spans="1:5" ht="14.25" customHeight="1">
      <c r="A896" s="209">
        <v>3632</v>
      </c>
      <c r="B896" s="1034"/>
      <c r="C896" s="399" t="s">
        <v>944</v>
      </c>
      <c r="D896" s="400" t="s">
        <v>0</v>
      </c>
      <c r="E896" s="654">
        <f>Compcta!FU400+'BT-SI'!BN400+'ILUMINAÇÃO PUBLICA'!Q400</f>
        <v>0</v>
      </c>
    </row>
    <row r="897" spans="1:5" ht="14.25" customHeight="1">
      <c r="A897" s="209">
        <v>3633</v>
      </c>
      <c r="B897" s="1034"/>
      <c r="C897" s="399" t="s">
        <v>945</v>
      </c>
      <c r="D897" s="400" t="s">
        <v>0</v>
      </c>
      <c r="E897" s="654">
        <f>Compcta!FU401+'BT-SI'!BN401+'ILUMINAÇÃO PUBLICA'!Q401</f>
        <v>0</v>
      </c>
    </row>
    <row r="898" spans="1:5" ht="14.25" customHeight="1">
      <c r="A898" s="209">
        <v>3634</v>
      </c>
      <c r="B898" s="1034"/>
      <c r="C898" s="399" t="s">
        <v>946</v>
      </c>
      <c r="D898" s="400" t="s">
        <v>0</v>
      </c>
      <c r="E898" s="654">
        <f>Compcta!FU402+'BT-SI'!BN402+'ILUMINAÇÃO PUBLICA'!Q402</f>
        <v>0</v>
      </c>
    </row>
    <row r="899" spans="1:5" ht="14.25" customHeight="1">
      <c r="A899" s="209">
        <v>3635</v>
      </c>
      <c r="B899" s="1034"/>
      <c r="C899" s="399" t="s">
        <v>947</v>
      </c>
      <c r="D899" s="400" t="s">
        <v>0</v>
      </c>
      <c r="E899" s="654">
        <f>Compcta!FU403+'BT-SI'!BN403+'ILUMINAÇÃO PUBLICA'!Q403</f>
        <v>0</v>
      </c>
    </row>
    <row r="900" spans="1:5" ht="14.25" customHeight="1">
      <c r="A900" s="209">
        <v>3636</v>
      </c>
      <c r="B900" s="1034"/>
      <c r="C900" s="399" t="s">
        <v>948</v>
      </c>
      <c r="D900" s="400" t="s">
        <v>0</v>
      </c>
      <c r="E900" s="654">
        <f>Compcta!FU404+'BT-SI'!BN404+'ILUMINAÇÃO PUBLICA'!Q404</f>
        <v>0</v>
      </c>
    </row>
    <row r="901" spans="1:5" ht="14.25" customHeight="1">
      <c r="A901" s="209">
        <v>3637</v>
      </c>
      <c r="B901" s="1034"/>
      <c r="C901" s="399" t="s">
        <v>19</v>
      </c>
      <c r="D901" s="400" t="s">
        <v>0</v>
      </c>
      <c r="E901" s="654">
        <f>Compcta!FU405+'BT-SI'!BN405+'ILUMINAÇÃO PUBLICA'!Q405</f>
        <v>0</v>
      </c>
    </row>
    <row r="902" spans="1:5" ht="14.25" customHeight="1">
      <c r="A902" s="209"/>
      <c r="B902" s="1034"/>
      <c r="C902" s="399" t="s">
        <v>508</v>
      </c>
      <c r="D902" s="400" t="s">
        <v>0</v>
      </c>
      <c r="E902" s="654">
        <f>Compcta!FU406+'BT-SI'!BN406+'ILUMINAÇÃO PUBLICA'!Q406</f>
        <v>0</v>
      </c>
    </row>
    <row r="903" spans="1:5" ht="14.25" customHeight="1">
      <c r="A903" s="209">
        <v>3638</v>
      </c>
      <c r="B903" s="1034"/>
      <c r="C903" s="399" t="s">
        <v>949</v>
      </c>
      <c r="D903" s="400" t="s">
        <v>0</v>
      </c>
      <c r="E903" s="654">
        <f>Compcta!FU407+'BT-SI'!BN407+'ILUMINAÇÃO PUBLICA'!Q407</f>
        <v>0</v>
      </c>
    </row>
    <row r="904" spans="1:5" ht="14.25" customHeight="1">
      <c r="A904" s="209">
        <v>3639</v>
      </c>
      <c r="B904" s="1034"/>
      <c r="C904" s="163" t="s">
        <v>950</v>
      </c>
      <c r="D904" s="400" t="s">
        <v>0</v>
      </c>
      <c r="E904" s="654">
        <f>Compcta!FU408+'BT-SI'!BN408+'ILUMINAÇÃO PUBLICA'!Q408</f>
        <v>0</v>
      </c>
    </row>
    <row r="905" spans="1:5" ht="14.25" customHeight="1">
      <c r="A905" s="209">
        <v>3640</v>
      </c>
      <c r="B905" s="1034"/>
      <c r="C905" s="399" t="s">
        <v>20</v>
      </c>
      <c r="D905" s="400" t="s">
        <v>0</v>
      </c>
      <c r="E905" s="654">
        <f>Compcta!FU409+'BT-SI'!BN409+'ILUMINAÇÃO PUBLICA'!Q409</f>
        <v>0</v>
      </c>
    </row>
    <row r="906" spans="1:5" ht="14.25" customHeight="1">
      <c r="A906" s="209">
        <v>3641</v>
      </c>
      <c r="B906" s="1034"/>
      <c r="C906" s="23" t="s">
        <v>1204</v>
      </c>
      <c r="D906" s="45" t="s">
        <v>0</v>
      </c>
      <c r="E906" s="654">
        <f>Compcta!FU410+'BT-SI'!BN410+'ILUMINAÇÃO PUBLICA'!Q410</f>
        <v>0</v>
      </c>
    </row>
    <row r="907" spans="1:5" ht="14.25" customHeight="1">
      <c r="A907" s="209">
        <v>3642</v>
      </c>
      <c r="B907" s="1034"/>
      <c r="C907" s="23" t="s">
        <v>1205</v>
      </c>
      <c r="D907" s="45" t="s">
        <v>0</v>
      </c>
      <c r="E907" s="654">
        <f>Compcta!FU411+'BT-SI'!BN411+'ILUMINAÇÃO PUBLICA'!Q411</f>
        <v>0</v>
      </c>
    </row>
    <row r="908" spans="1:5" ht="14.25" customHeight="1">
      <c r="A908" s="1034"/>
      <c r="B908" s="1034"/>
      <c r="C908" s="23" t="s">
        <v>23</v>
      </c>
      <c r="D908" s="45" t="s">
        <v>0</v>
      </c>
      <c r="E908" s="654">
        <f>Compcta!FU412+'BT-SI'!BN412+'ILUMINAÇÃO PUBLICA'!Q412</f>
        <v>0</v>
      </c>
    </row>
    <row r="909" spans="1:5" ht="14.25" customHeight="1">
      <c r="A909" s="1034"/>
      <c r="B909" s="1034"/>
      <c r="C909" s="23" t="s">
        <v>951</v>
      </c>
      <c r="D909" s="45" t="s">
        <v>0</v>
      </c>
      <c r="E909" s="654">
        <f>Compcta!FU413+'BT-SI'!BN413+'ILUMINAÇÃO PUBLICA'!Q413</f>
        <v>0</v>
      </c>
    </row>
    <row r="910" spans="1:5" ht="14.25" customHeight="1">
      <c r="A910" s="1034"/>
      <c r="B910" s="1034"/>
      <c r="C910" s="23" t="s">
        <v>1204</v>
      </c>
      <c r="D910" s="45" t="s">
        <v>0</v>
      </c>
      <c r="E910" s="654">
        <f>Compcta!FU414+'BT-SI'!BN414+'ILUMINAÇÃO PUBLICA'!Q414</f>
        <v>0</v>
      </c>
    </row>
    <row r="911" spans="1:5" ht="14.25" customHeight="1">
      <c r="A911" s="1034"/>
      <c r="B911" s="1034"/>
      <c r="C911" s="23" t="s">
        <v>1205</v>
      </c>
      <c r="D911" s="45" t="s">
        <v>0</v>
      </c>
      <c r="E911" s="654">
        <f>Compcta!FU415+'BT-SI'!BN415+'ILUMINAÇÃO PUBLICA'!Q415</f>
        <v>0</v>
      </c>
    </row>
    <row r="912" spans="1:5" ht="14.25" customHeight="1">
      <c r="A912" s="1034"/>
      <c r="B912" s="1034"/>
      <c r="C912" s="210" t="s">
        <v>1206</v>
      </c>
      <c r="D912" s="473" t="s">
        <v>515</v>
      </c>
      <c r="E912" s="654">
        <f>Compcta!FU416+'BT-SI'!BN416+'ILUMINAÇÃO PUBLICA'!Q416</f>
        <v>0</v>
      </c>
    </row>
    <row r="913" spans="1:5" ht="14.25" customHeight="1">
      <c r="A913" s="1034"/>
      <c r="B913" s="1034"/>
      <c r="C913" s="23" t="s">
        <v>1207</v>
      </c>
      <c r="D913" s="45" t="s">
        <v>0</v>
      </c>
      <c r="E913" s="654">
        <f>Compcta!FU417+'BT-SI'!BN417+'ILUMINAÇÃO PUBLICA'!Q417</f>
        <v>0</v>
      </c>
    </row>
    <row r="914" spans="1:5" ht="14.25" customHeight="1">
      <c r="A914" s="1034"/>
      <c r="B914" s="1034"/>
      <c r="C914" s="210" t="s">
        <v>1543</v>
      </c>
      <c r="D914" s="473" t="s">
        <v>515</v>
      </c>
      <c r="E914" s="654">
        <f>Compcta!FU418+'BT-SI'!BN418+'ILUMINAÇÃO PUBLICA'!Q418</f>
        <v>0</v>
      </c>
    </row>
    <row r="915" spans="1:5" ht="14.25" customHeight="1">
      <c r="A915" s="1034"/>
      <c r="B915" s="1034"/>
      <c r="C915" s="163" t="s">
        <v>1542</v>
      </c>
      <c r="D915" s="400" t="s">
        <v>0</v>
      </c>
      <c r="E915" s="654">
        <f>Compcta!FU419+'BT-SI'!BN419+'ILUMINAÇÃO PUBLICA'!Q419</f>
        <v>0</v>
      </c>
    </row>
    <row r="916" spans="1:5" ht="14.25" customHeight="1">
      <c r="A916" s="1034"/>
      <c r="B916" s="1034"/>
      <c r="C916" s="399" t="s">
        <v>1003</v>
      </c>
      <c r="D916" s="400" t="s">
        <v>0</v>
      </c>
      <c r="E916" s="654">
        <f>Compcta!FU420+'BT-SI'!BN420+'ILUMINAÇÃO PUBLICA'!Q420</f>
        <v>0</v>
      </c>
    </row>
    <row r="917" spans="1:5" ht="14.25" customHeight="1">
      <c r="A917" s="1034"/>
      <c r="B917" s="1034"/>
      <c r="C917" s="399" t="s">
        <v>1004</v>
      </c>
      <c r="D917" s="400" t="s">
        <v>0</v>
      </c>
      <c r="E917" s="654">
        <f>Compcta!FU421+'BT-SI'!BN421+'ILUMINAÇÃO PUBLICA'!Q421</f>
        <v>0</v>
      </c>
    </row>
    <row r="918" spans="1:5" ht="14.25" customHeight="1">
      <c r="A918" s="1034"/>
      <c r="B918" s="1034"/>
      <c r="C918" s="399" t="s">
        <v>1005</v>
      </c>
      <c r="D918" s="400" t="s">
        <v>0</v>
      </c>
      <c r="E918" s="654">
        <f>Compcta!FU422+'BT-SI'!BN422+'ILUMINAÇÃO PUBLICA'!Q422</f>
        <v>0</v>
      </c>
    </row>
    <row r="919" spans="1:5" ht="14.25" customHeight="1">
      <c r="A919" s="1034"/>
      <c r="B919" s="1034"/>
      <c r="C919" s="399" t="s">
        <v>952</v>
      </c>
      <c r="D919" s="400" t="s">
        <v>0</v>
      </c>
      <c r="E919" s="654">
        <f>Compcta!FU423+'BT-SI'!BN423+'ILUMINAÇÃO PUBLICA'!Q423</f>
        <v>0</v>
      </c>
    </row>
    <row r="920" spans="1:5" ht="14.25" customHeight="1">
      <c r="A920" s="1034"/>
      <c r="B920" s="209"/>
      <c r="C920" s="22" t="s">
        <v>151</v>
      </c>
      <c r="D920" s="789" t="s">
        <v>515</v>
      </c>
      <c r="E920" s="654">
        <f>Compcta!FU424+'BT-SI'!BN424+'ILUMINAÇÃO PUBLICA'!Q424</f>
        <v>0</v>
      </c>
    </row>
    <row r="921" spans="1:5" ht="14.25" customHeight="1">
      <c r="A921" s="1034"/>
      <c r="B921" s="209"/>
      <c r="C921" s="22" t="s">
        <v>219</v>
      </c>
      <c r="D921" s="789" t="s">
        <v>515</v>
      </c>
      <c r="E921" s="654">
        <f>Compcta!FU425+'BT-SI'!BN425+'ILUMINAÇÃO PUBLICA'!Q425</f>
        <v>0</v>
      </c>
    </row>
    <row r="922" spans="1:5" ht="14.25" customHeight="1">
      <c r="A922" s="209">
        <v>4174</v>
      </c>
      <c r="B922" s="209"/>
      <c r="C922" s="22" t="s">
        <v>25</v>
      </c>
      <c r="D922" s="789" t="s">
        <v>515</v>
      </c>
      <c r="E922" s="654">
        <f>Compcta!FU426+'BT-SI'!BN426+'ILUMINAÇÃO PUBLICA'!Q426</f>
        <v>0</v>
      </c>
    </row>
    <row r="923" spans="1:5" ht="14.25" customHeight="1">
      <c r="A923" s="209">
        <v>4190</v>
      </c>
      <c r="B923" s="209"/>
      <c r="C923" s="22" t="s">
        <v>26</v>
      </c>
      <c r="D923" s="789" t="s">
        <v>515</v>
      </c>
      <c r="E923" s="654">
        <f>Compcta!FU427+'BT-SI'!BN427+'ILUMINAÇÃO PUBLICA'!Q427</f>
        <v>0</v>
      </c>
    </row>
    <row r="924" spans="1:5" ht="14.25" customHeight="1">
      <c r="A924" s="209">
        <v>3712</v>
      </c>
      <c r="B924" s="209"/>
      <c r="C924" s="22" t="s">
        <v>27</v>
      </c>
      <c r="D924" s="789" t="s">
        <v>515</v>
      </c>
      <c r="E924" s="654">
        <f>Compcta!FU428+'BT-SI'!BN428+'ILUMINAÇÃO PUBLICA'!Q428</f>
        <v>0</v>
      </c>
    </row>
    <row r="925" spans="1:5" ht="14.25" customHeight="1">
      <c r="A925" s="209">
        <v>3652</v>
      </c>
      <c r="B925" s="209"/>
      <c r="C925" s="22" t="s">
        <v>152</v>
      </c>
      <c r="D925" s="789" t="s">
        <v>515</v>
      </c>
      <c r="E925" s="654">
        <f>Compcta!FU429+'BT-SI'!BN429+'ILUMINAÇÃO PUBLICA'!Q429</f>
        <v>0</v>
      </c>
    </row>
    <row r="926" spans="1:5" ht="14.25" customHeight="1">
      <c r="A926" s="209">
        <v>3656</v>
      </c>
      <c r="B926" s="209"/>
      <c r="C926" s="22" t="s">
        <v>1019</v>
      </c>
      <c r="D926" s="789" t="s">
        <v>0</v>
      </c>
      <c r="E926" s="654">
        <f>Compcta!FU430+'BT-SI'!BN430+'ILUMINAÇÃO PUBLICA'!Q430</f>
        <v>0</v>
      </c>
    </row>
    <row r="927" spans="1:5" ht="14.25" customHeight="1">
      <c r="A927" s="209">
        <v>3657</v>
      </c>
      <c r="B927" s="209"/>
      <c r="C927" s="22" t="s">
        <v>236</v>
      </c>
      <c r="D927" s="789" t="s">
        <v>515</v>
      </c>
      <c r="E927" s="654">
        <f>Compcta!FU431+'BT-SI'!BN431+'ILUMINAÇÃO PUBLICA'!Q431</f>
        <v>0</v>
      </c>
    </row>
    <row r="928" spans="1:5" ht="14.25" customHeight="1">
      <c r="A928" s="209">
        <v>3658</v>
      </c>
      <c r="B928" s="209"/>
      <c r="C928" s="22" t="s">
        <v>221</v>
      </c>
      <c r="D928" s="789" t="s">
        <v>515</v>
      </c>
      <c r="E928" s="654">
        <f>Compcta!FU432+'BT-SI'!BN432+'ILUMINAÇÃO PUBLICA'!Q432</f>
        <v>0</v>
      </c>
    </row>
    <row r="929" spans="1:5" ht="14.25" customHeight="1">
      <c r="A929" s="209">
        <v>3655</v>
      </c>
      <c r="B929" s="209"/>
      <c r="C929" s="22" t="s">
        <v>222</v>
      </c>
      <c r="D929" s="789" t="s">
        <v>515</v>
      </c>
      <c r="E929" s="654">
        <f>Compcta!FU433+'BT-SI'!BN433+'ILUMINAÇÃO PUBLICA'!Q433</f>
        <v>0</v>
      </c>
    </row>
    <row r="930" spans="1:5" ht="14.25" customHeight="1">
      <c r="A930" s="209">
        <v>3660</v>
      </c>
      <c r="B930" s="209"/>
      <c r="C930" s="22" t="s">
        <v>223</v>
      </c>
      <c r="D930" s="789" t="s">
        <v>515</v>
      </c>
      <c r="E930" s="654">
        <f>Compcta!FU434+'BT-SI'!BN434+'ILUMINAÇÃO PUBLICA'!Q434</f>
        <v>0</v>
      </c>
    </row>
    <row r="931" spans="1:5" ht="14.25" customHeight="1">
      <c r="A931" s="209">
        <v>3661</v>
      </c>
      <c r="B931" s="209"/>
      <c r="C931" s="22" t="s">
        <v>228</v>
      </c>
      <c r="D931" s="789" t="s">
        <v>515</v>
      </c>
      <c r="E931" s="654">
        <f>Compcta!FU435+'BT-SI'!BN435+'ILUMINAÇÃO PUBLICA'!Q435</f>
        <v>0</v>
      </c>
    </row>
    <row r="932" spans="1:5" ht="14.25" customHeight="1">
      <c r="A932" s="209">
        <v>3659</v>
      </c>
      <c r="B932" s="1034"/>
      <c r="C932" s="399" t="s">
        <v>953</v>
      </c>
      <c r="D932" s="400" t="s">
        <v>0</v>
      </c>
      <c r="E932" s="654">
        <f>Compcta!FU436+'BT-SI'!BN436+'ILUMINAÇÃO PUBLICA'!Q436</f>
        <v>0</v>
      </c>
    </row>
    <row r="933" spans="1:5" ht="14.25" customHeight="1">
      <c r="A933" s="209"/>
      <c r="B933" s="1034"/>
      <c r="C933" s="399" t="s">
        <v>1002</v>
      </c>
      <c r="D933" s="400" t="s">
        <v>0</v>
      </c>
      <c r="E933" s="654">
        <f>Compcta!FU437+'BT-SI'!BN437+'ILUMINAÇÃO PUBLICA'!Q437</f>
        <v>0</v>
      </c>
    </row>
    <row r="934" spans="1:5" ht="14.25" customHeight="1">
      <c r="A934" s="209">
        <v>4043</v>
      </c>
      <c r="B934" s="1034"/>
      <c r="C934" s="399" t="s">
        <v>1013</v>
      </c>
      <c r="D934" s="400" t="s">
        <v>0</v>
      </c>
      <c r="E934" s="654">
        <f>Compcta!FU438+'BT-SI'!BN438+'ILUMINAÇÃO PUBLICA'!Q438</f>
        <v>0</v>
      </c>
    </row>
    <row r="935" spans="1:5" ht="14.25" customHeight="1">
      <c r="A935" s="209"/>
      <c r="B935" s="1034"/>
      <c r="C935" s="399" t="s">
        <v>1711</v>
      </c>
      <c r="D935" s="405" t="s">
        <v>0</v>
      </c>
      <c r="E935" s="654">
        <f>Compcta!FU439+'BT-SI'!BN439+'ILUMINAÇÃO PUBLICA'!Q439</f>
        <v>0</v>
      </c>
    </row>
    <row r="936" spans="1:5" ht="14.25" customHeight="1">
      <c r="A936" s="209"/>
      <c r="B936" s="1034"/>
      <c r="C936" s="399" t="s">
        <v>1710</v>
      </c>
      <c r="D936" s="405" t="s">
        <v>0</v>
      </c>
      <c r="E936" s="654">
        <f>Compcta!FU440+'BT-SI'!BN440+'ILUMINAÇÃO PUBLICA'!Q440</f>
        <v>0</v>
      </c>
    </row>
    <row r="937" spans="1:5" ht="14.25" customHeight="1">
      <c r="A937" s="209">
        <v>3648</v>
      </c>
      <c r="B937" s="414"/>
      <c r="C937" s="210" t="s">
        <v>1706</v>
      </c>
      <c r="D937" s="473" t="s">
        <v>515</v>
      </c>
      <c r="E937" s="654">
        <f>Compcta!FU441+'BT-SI'!BN441+'ILUMINAÇÃO PUBLICA'!Q441</f>
        <v>0</v>
      </c>
    </row>
    <row r="938" spans="1:5" ht="14.25" customHeight="1">
      <c r="A938" s="209">
        <v>3649</v>
      </c>
      <c r="B938" s="414"/>
      <c r="C938" s="210" t="s">
        <v>1707</v>
      </c>
      <c r="D938" s="473" t="s">
        <v>515</v>
      </c>
      <c r="E938" s="654">
        <f>Compcta!FU442+'BT-SI'!BN442+'ILUMINAÇÃO PUBLICA'!Q442</f>
        <v>0</v>
      </c>
    </row>
    <row r="939" spans="1:5" ht="14.25" customHeight="1">
      <c r="A939" s="209">
        <v>4194</v>
      </c>
      <c r="B939" s="414"/>
      <c r="C939" s="210" t="s">
        <v>1708</v>
      </c>
      <c r="D939" s="473" t="s">
        <v>515</v>
      </c>
      <c r="E939" s="654">
        <f>Compcta!FU443+'BT-SI'!BN443+'ILUMINAÇÃO PUBLICA'!Q443</f>
        <v>0</v>
      </c>
    </row>
    <row r="940" spans="1:5" ht="14.25" customHeight="1">
      <c r="A940" s="209">
        <v>4127</v>
      </c>
      <c r="B940" s="414"/>
      <c r="C940" s="210" t="s">
        <v>1709</v>
      </c>
      <c r="D940" s="473" t="s">
        <v>515</v>
      </c>
      <c r="E940" s="654">
        <f>Compcta!FU444+'BT-SI'!BN444+'ILUMINAÇÃO PUBLICA'!Q444</f>
        <v>0</v>
      </c>
    </row>
    <row r="941" spans="1:5" ht="14.25" customHeight="1">
      <c r="A941" s="1034"/>
      <c r="B941" s="1034"/>
      <c r="C941" s="399" t="s">
        <v>960</v>
      </c>
      <c r="D941" s="400" t="s">
        <v>0</v>
      </c>
      <c r="E941" s="654">
        <f>Compcta!FU445+'BT-SI'!BN445+'ILUMINAÇÃO PUBLICA'!Q445</f>
        <v>0</v>
      </c>
    </row>
    <row r="942" spans="1:5" ht="14.25" customHeight="1">
      <c r="A942" s="1034"/>
      <c r="B942" s="209">
        <v>4174</v>
      </c>
      <c r="C942" s="22" t="s">
        <v>30</v>
      </c>
      <c r="D942" s="789" t="s">
        <v>515</v>
      </c>
      <c r="E942" s="654">
        <f>Compcta!FU446+'BT-SI'!BN446+'ILUMINAÇÃO PUBLICA'!Q446</f>
        <v>0</v>
      </c>
    </row>
    <row r="943" spans="1:5" ht="14.25" customHeight="1">
      <c r="A943" s="1034"/>
      <c r="B943" s="209">
        <v>4190</v>
      </c>
      <c r="C943" s="22" t="s">
        <v>31</v>
      </c>
      <c r="D943" s="789" t="s">
        <v>515</v>
      </c>
      <c r="E943" s="654">
        <f>Compcta!FU447+'BT-SI'!BN447+'ILUMINAÇÃO PUBLICA'!Q447</f>
        <v>0</v>
      </c>
    </row>
    <row r="944" spans="1:5" ht="14.25" customHeight="1">
      <c r="A944" s="1034"/>
      <c r="B944" s="209">
        <v>3712</v>
      </c>
      <c r="C944" s="22" t="s">
        <v>41</v>
      </c>
      <c r="D944" s="789" t="s">
        <v>515</v>
      </c>
      <c r="E944" s="654">
        <f>Compcta!FU448+'BT-SI'!BN448+'ILUMINAÇÃO PUBLICA'!Q448</f>
        <v>0</v>
      </c>
    </row>
    <row r="945" spans="1:5" ht="14.25" customHeight="1">
      <c r="A945" s="1034"/>
      <c r="B945" s="209">
        <v>3652</v>
      </c>
      <c r="C945" s="22" t="s">
        <v>98</v>
      </c>
      <c r="D945" s="789" t="s">
        <v>515</v>
      </c>
      <c r="E945" s="654">
        <f>Compcta!FU449+'BT-SI'!BN449+'ILUMINAÇÃO PUBLICA'!Q449</f>
        <v>0</v>
      </c>
    </row>
    <row r="946" spans="1:5" ht="14.25" customHeight="1">
      <c r="A946" s="1034"/>
      <c r="B946" s="209">
        <v>3656</v>
      </c>
      <c r="C946" s="22" t="s">
        <v>99</v>
      </c>
      <c r="D946" s="789" t="s">
        <v>515</v>
      </c>
      <c r="E946" s="654">
        <f>Compcta!FU450+'BT-SI'!BN450+'ILUMINAÇÃO PUBLICA'!Q450</f>
        <v>0</v>
      </c>
    </row>
    <row r="947" spans="1:5" ht="14.25" customHeight="1">
      <c r="A947" s="1034">
        <v>4055</v>
      </c>
      <c r="B947" s="209">
        <v>3657</v>
      </c>
      <c r="C947" s="22" t="s">
        <v>102</v>
      </c>
      <c r="D947" s="789" t="s">
        <v>515</v>
      </c>
      <c r="E947" s="654">
        <f>Compcta!FU451+'BT-SI'!BN451+'ILUMINAÇÃO PUBLICA'!Q451</f>
        <v>0</v>
      </c>
    </row>
    <row r="948" spans="1:5" ht="14.25" customHeight="1">
      <c r="A948" s="1034"/>
      <c r="B948" s="209">
        <v>3658</v>
      </c>
      <c r="C948" s="22" t="s">
        <v>103</v>
      </c>
      <c r="D948" s="789" t="s">
        <v>515</v>
      </c>
      <c r="E948" s="654">
        <f>Compcta!FU452+'BT-SI'!BN452+'ILUMINAÇÃO PUBLICA'!Q452</f>
        <v>0</v>
      </c>
    </row>
    <row r="949" spans="1:5" ht="14.25" customHeight="1">
      <c r="A949" s="1034"/>
      <c r="B949" s="209">
        <v>3655</v>
      </c>
      <c r="C949" s="22" t="s">
        <v>104</v>
      </c>
      <c r="D949" s="789" t="s">
        <v>515</v>
      </c>
      <c r="E949" s="654">
        <f>Compcta!FU453+'BT-SI'!BN453+'ILUMINAÇÃO PUBLICA'!Q453</f>
        <v>0</v>
      </c>
    </row>
    <row r="950" spans="1:5" ht="14.25" customHeight="1">
      <c r="A950" s="1034">
        <v>3669</v>
      </c>
      <c r="B950" s="209">
        <v>3660</v>
      </c>
      <c r="C950" s="22" t="s">
        <v>105</v>
      </c>
      <c r="D950" s="789" t="s">
        <v>515</v>
      </c>
      <c r="E950" s="654">
        <f>Compcta!FU454+'BT-SI'!BN454+'ILUMINAÇÃO PUBLICA'!Q454</f>
        <v>0</v>
      </c>
    </row>
    <row r="951" spans="1:5" ht="14.25" customHeight="1">
      <c r="A951" s="1034"/>
      <c r="B951" s="209">
        <v>3661</v>
      </c>
      <c r="C951" s="22" t="s">
        <v>106</v>
      </c>
      <c r="D951" s="789" t="s">
        <v>515</v>
      </c>
      <c r="E951" s="654">
        <f>Compcta!FU455+'BT-SI'!BN455+'ILUMINAÇÃO PUBLICA'!Q455</f>
        <v>0</v>
      </c>
    </row>
    <row r="952" spans="1:5" ht="14.25" customHeight="1">
      <c r="A952" s="1034"/>
      <c r="B952" s="209">
        <v>3659</v>
      </c>
      <c r="C952" s="22" t="s">
        <v>107</v>
      </c>
      <c r="D952" s="789" t="s">
        <v>515</v>
      </c>
      <c r="E952" s="654">
        <f>Compcta!FU456+'BT-SI'!BN456+'ILUMINAÇÃO PUBLICA'!Q456</f>
        <v>0</v>
      </c>
    </row>
    <row r="953" spans="1:5" ht="14.25" customHeight="1">
      <c r="A953" s="1034"/>
      <c r="B953" s="209"/>
      <c r="C953" s="22" t="s">
        <v>108</v>
      </c>
      <c r="D953" s="789" t="s">
        <v>515</v>
      </c>
      <c r="E953" s="654">
        <f>Compcta!FU457+'BT-SI'!BN457+'ILUMINAÇÃO PUBLICA'!Q457</f>
        <v>0</v>
      </c>
    </row>
    <row r="954" spans="1:5" ht="14.25" customHeight="1">
      <c r="A954" s="1034"/>
      <c r="B954" s="209">
        <v>4043</v>
      </c>
      <c r="C954" s="22" t="s">
        <v>109</v>
      </c>
      <c r="D954" s="789" t="s">
        <v>515</v>
      </c>
      <c r="E954" s="654">
        <f>Compcta!FU458+'BT-SI'!BN458+'ILUMINAÇÃO PUBLICA'!Q458</f>
        <v>0</v>
      </c>
    </row>
    <row r="955" spans="1:5" ht="14.25" customHeight="1">
      <c r="A955" s="1034"/>
      <c r="B955" s="209">
        <v>3663</v>
      </c>
      <c r="C955" s="22" t="s">
        <v>32</v>
      </c>
      <c r="D955" s="789" t="s">
        <v>515</v>
      </c>
      <c r="E955" s="654">
        <f>Compcta!FU459+'BT-SI'!BN459+'ILUMINAÇÃO PUBLICA'!Q459</f>
        <v>0</v>
      </c>
    </row>
    <row r="956" spans="1:5" ht="14.25" customHeight="1">
      <c r="A956" s="1034"/>
      <c r="B956" s="209">
        <v>3662</v>
      </c>
      <c r="C956" s="22" t="s">
        <v>110</v>
      </c>
      <c r="D956" s="789" t="s">
        <v>515</v>
      </c>
      <c r="E956" s="654">
        <f>Compcta!FU460+'BT-SI'!BN460+'ILUMINAÇÃO PUBLICA'!Q460</f>
        <v>0</v>
      </c>
    </row>
    <row r="957" spans="1:5" ht="14.25" customHeight="1">
      <c r="A957" s="1034"/>
      <c r="B957" s="209"/>
      <c r="C957" s="22" t="s">
        <v>111</v>
      </c>
      <c r="D957" s="789" t="s">
        <v>515</v>
      </c>
      <c r="E957" s="654">
        <f>Compcta!FU461+'BT-SI'!BN461+'ILUMINAÇÃO PUBLICA'!Q461</f>
        <v>0</v>
      </c>
    </row>
    <row r="958" spans="1:5" ht="14.25" customHeight="1">
      <c r="A958" s="1034"/>
      <c r="B958" s="209">
        <v>4044</v>
      </c>
      <c r="C958" s="22" t="s">
        <v>112</v>
      </c>
      <c r="D958" s="789" t="s">
        <v>515</v>
      </c>
      <c r="E958" s="654">
        <f>Compcta!FU462+'BT-SI'!BN462+'ILUMINAÇÃO PUBLICA'!Q462</f>
        <v>0</v>
      </c>
    </row>
    <row r="959" spans="1:5" ht="14.25" customHeight="1">
      <c r="A959" s="1034"/>
      <c r="B959" s="209">
        <v>3665</v>
      </c>
      <c r="C959" s="22" t="s">
        <v>38</v>
      </c>
      <c r="D959" s="789" t="s">
        <v>515</v>
      </c>
      <c r="E959" s="654">
        <f>Compcta!FU463+'BT-SI'!BN463+'ILUMINAÇÃO PUBLICA'!Q463</f>
        <v>0</v>
      </c>
    </row>
    <row r="960" spans="1:5" ht="14.25" customHeight="1">
      <c r="A960" s="1034"/>
      <c r="B960" s="209">
        <v>3664</v>
      </c>
      <c r="C960" s="22" t="s">
        <v>113</v>
      </c>
      <c r="D960" s="789" t="s">
        <v>515</v>
      </c>
      <c r="E960" s="654">
        <f>Compcta!FU464+'BT-SI'!BN464+'ILUMINAÇÃO PUBLICA'!Q464</f>
        <v>0</v>
      </c>
    </row>
    <row r="961" spans="1:5" ht="14.25" customHeight="1">
      <c r="A961" s="1034"/>
      <c r="B961" s="209"/>
      <c r="C961" s="22" t="s">
        <v>114</v>
      </c>
      <c r="D961" s="789" t="s">
        <v>515</v>
      </c>
      <c r="E961" s="654">
        <f>Compcta!FU465+'BT-SI'!BN465+'ILUMINAÇÃO PUBLICA'!Q465</f>
        <v>0</v>
      </c>
    </row>
    <row r="962" spans="1:5" ht="14.25" customHeight="1">
      <c r="A962" s="1034"/>
      <c r="B962" s="209"/>
      <c r="C962" s="22" t="s">
        <v>115</v>
      </c>
      <c r="D962" s="789" t="s">
        <v>515</v>
      </c>
      <c r="E962" s="654">
        <f>Compcta!FU466+'BT-SI'!BN466+'ILUMINAÇÃO PUBLICA'!Q466</f>
        <v>0</v>
      </c>
    </row>
    <row r="963" spans="1:5" ht="14.25" customHeight="1">
      <c r="A963" s="1034"/>
      <c r="B963" s="209"/>
      <c r="C963" s="22" t="s">
        <v>116</v>
      </c>
      <c r="D963" s="789" t="s">
        <v>515</v>
      </c>
      <c r="E963" s="654">
        <f>Compcta!FU467+'BT-SI'!BN467+'ILUMINAÇÃO PUBLICA'!Q467</f>
        <v>0</v>
      </c>
    </row>
    <row r="964" spans="1:5" ht="14.25" customHeight="1">
      <c r="A964" s="1034"/>
      <c r="B964" s="1034"/>
      <c r="C964" s="399" t="s">
        <v>961</v>
      </c>
      <c r="D964" s="400" t="s">
        <v>0</v>
      </c>
      <c r="E964" s="654">
        <f>Compcta!FU468+'BT-SI'!BN468+'ILUMINAÇÃO PUBLICA'!Q468</f>
        <v>0</v>
      </c>
    </row>
    <row r="965" spans="1:5" ht="14.25" customHeight="1">
      <c r="A965" s="1034"/>
      <c r="B965" s="1034"/>
      <c r="C965" s="399" t="s">
        <v>33</v>
      </c>
      <c r="D965" s="400" t="s">
        <v>0</v>
      </c>
      <c r="E965" s="654">
        <f>Compcta!FU469+'BT-SI'!BN469+'ILUMINAÇÃO PUBLICA'!Q469</f>
        <v>0</v>
      </c>
    </row>
    <row r="966" spans="1:5" ht="14.25" customHeight="1">
      <c r="A966" s="1034"/>
      <c r="B966" s="1034"/>
      <c r="C966" s="399" t="s">
        <v>962</v>
      </c>
      <c r="D966" s="400" t="s">
        <v>0</v>
      </c>
      <c r="E966" s="654">
        <f>Compcta!FU470+'BT-SI'!BN470+'ILUMINAÇÃO PUBLICA'!Q470</f>
        <v>0</v>
      </c>
    </row>
    <row r="967" spans="1:5" ht="14.25" customHeight="1">
      <c r="A967" s="1034"/>
      <c r="B967" s="1034"/>
      <c r="C967" s="399" t="s">
        <v>225</v>
      </c>
      <c r="D967" s="400" t="s">
        <v>0</v>
      </c>
      <c r="E967" s="654">
        <f>Compcta!FU471+'BT-SI'!BN471+'ILUMINAÇÃO PUBLICA'!Q471</f>
        <v>0</v>
      </c>
    </row>
    <row r="968" spans="1:5" ht="14.25" customHeight="1">
      <c r="A968" s="1034"/>
      <c r="B968" s="1034"/>
      <c r="C968" s="399" t="s">
        <v>963</v>
      </c>
      <c r="D968" s="400" t="s">
        <v>0</v>
      </c>
      <c r="E968" s="654">
        <f>Compcta!FU472+'BT-SI'!BN472+'ILUMINAÇÃO PUBLICA'!Q472</f>
        <v>0</v>
      </c>
    </row>
    <row r="969" spans="1:5" ht="14.25" customHeight="1">
      <c r="A969" s="1034"/>
      <c r="B969" s="1034"/>
      <c r="C969" s="399" t="s">
        <v>34</v>
      </c>
      <c r="D969" s="400" t="s">
        <v>0</v>
      </c>
      <c r="E969" s="654">
        <f>Compcta!FU473+'BT-SI'!BN473+'ILUMINAÇÃO PUBLICA'!Q473</f>
        <v>0</v>
      </c>
    </row>
    <row r="970" spans="1:5" ht="14.25" customHeight="1">
      <c r="A970" s="1034"/>
      <c r="B970" s="1034"/>
      <c r="C970" s="399" t="s">
        <v>964</v>
      </c>
      <c r="D970" s="400" t="s">
        <v>0</v>
      </c>
      <c r="E970" s="654">
        <f>Compcta!FU474+'BT-SI'!BN474+'ILUMINAÇÃO PUBLICA'!Q474</f>
        <v>0</v>
      </c>
    </row>
    <row r="971" spans="1:5" ht="14.25" customHeight="1">
      <c r="A971" s="1034"/>
      <c r="B971" s="1034"/>
      <c r="C971" s="399" t="s">
        <v>1059</v>
      </c>
      <c r="D971" s="400" t="s">
        <v>0</v>
      </c>
      <c r="E971" s="654">
        <f>Compcta!FU475+'BT-SI'!BN475+'ILUMINAÇÃO PUBLICA'!Q475</f>
        <v>0</v>
      </c>
    </row>
    <row r="972" spans="1:5" ht="14.25" customHeight="1">
      <c r="A972" s="1034"/>
      <c r="B972" s="1034"/>
      <c r="C972" s="399" t="s">
        <v>965</v>
      </c>
      <c r="D972" s="400" t="s">
        <v>0</v>
      </c>
      <c r="E972" s="654">
        <f>Compcta!FU476+'BT-SI'!BN476+'ILUMINAÇÃO PUBLICA'!Q476</f>
        <v>0</v>
      </c>
    </row>
    <row r="973" spans="1:5" ht="14.25" customHeight="1">
      <c r="A973" s="1034"/>
      <c r="B973" s="1034"/>
      <c r="C973" s="399" t="s">
        <v>966</v>
      </c>
      <c r="D973" s="400" t="s">
        <v>0</v>
      </c>
      <c r="E973" s="654">
        <f>Compcta!FU477+'BT-SI'!BN477+'ILUMINAÇÃO PUBLICA'!Q477</f>
        <v>0</v>
      </c>
    </row>
    <row r="974" spans="1:5" ht="14.25" customHeight="1">
      <c r="A974" s="1034"/>
      <c r="B974" s="1034"/>
      <c r="C974" s="399" t="s">
        <v>1021</v>
      </c>
      <c r="D974" s="400" t="s">
        <v>0</v>
      </c>
      <c r="E974" s="654">
        <f>Compcta!FU478+'BT-SI'!BN478+'ILUMINAÇÃO PUBLICA'!Q478</f>
        <v>0</v>
      </c>
    </row>
    <row r="975" spans="1:5" ht="14.25" customHeight="1">
      <c r="A975" s="1034"/>
      <c r="B975" s="1034"/>
      <c r="C975" s="399" t="s">
        <v>1022</v>
      </c>
      <c r="D975" s="400" t="s">
        <v>0</v>
      </c>
      <c r="E975" s="654">
        <f>Compcta!FU479+'BT-SI'!BN479+'ILUMINAÇÃO PUBLICA'!Q479</f>
        <v>0</v>
      </c>
    </row>
    <row r="976" spans="1:5" ht="14.25" customHeight="1">
      <c r="A976" s="1034"/>
      <c r="B976" s="1034"/>
      <c r="C976" s="399" t="s">
        <v>238</v>
      </c>
      <c r="D976" s="400" t="s">
        <v>0</v>
      </c>
      <c r="E976" s="654">
        <f>Compcta!FU480+'BT-SI'!BN480+'ILUMINAÇÃO PUBLICA'!Q480</f>
        <v>0</v>
      </c>
    </row>
    <row r="977" spans="1:5" ht="14.25" customHeight="1">
      <c r="A977" s="1034"/>
      <c r="B977" s="1034"/>
      <c r="C977" s="399" t="s">
        <v>239</v>
      </c>
      <c r="D977" s="400" t="s">
        <v>0</v>
      </c>
      <c r="E977" s="654">
        <f>Compcta!FU481+'BT-SI'!BN481+'ILUMINAÇÃO PUBLICA'!Q481</f>
        <v>0</v>
      </c>
    </row>
    <row r="978" spans="1:5" ht="14.25" customHeight="1">
      <c r="A978" s="1034"/>
      <c r="B978" s="1034"/>
      <c r="C978" s="399" t="s">
        <v>1023</v>
      </c>
      <c r="D978" s="400" t="s">
        <v>0</v>
      </c>
      <c r="E978" s="654">
        <f>Compcta!FU482+'BT-SI'!BN482+'ILUMINAÇÃO PUBLICA'!Q482</f>
        <v>0</v>
      </c>
    </row>
    <row r="979" spans="1:5" ht="14.25" customHeight="1">
      <c r="A979" s="1034"/>
      <c r="B979" s="1034"/>
      <c r="C979" s="399" t="s">
        <v>1024</v>
      </c>
      <c r="D979" s="400" t="s">
        <v>0</v>
      </c>
      <c r="E979" s="654">
        <f>Compcta!FU483+'BT-SI'!BN483+'ILUMINAÇÃO PUBLICA'!Q483</f>
        <v>0</v>
      </c>
    </row>
    <row r="980" spans="1:5" ht="14.25" customHeight="1">
      <c r="A980" s="1034"/>
      <c r="B980" s="1034"/>
      <c r="C980" s="399" t="s">
        <v>240</v>
      </c>
      <c r="D980" s="400" t="s">
        <v>0</v>
      </c>
      <c r="E980" s="654">
        <f>Compcta!FU484+'BT-SI'!BN484+'ILUMINAÇÃO PUBLICA'!Q484</f>
        <v>0</v>
      </c>
    </row>
    <row r="981" spans="1:5" ht="14.25" customHeight="1">
      <c r="A981" s="1034"/>
      <c r="B981" s="1034"/>
      <c r="C981" s="399" t="s">
        <v>1025</v>
      </c>
      <c r="D981" s="400" t="s">
        <v>0</v>
      </c>
      <c r="E981" s="654">
        <f>Compcta!FU485+'BT-SI'!BN485+'ILUMINAÇÃO PUBLICA'!Q485</f>
        <v>0</v>
      </c>
    </row>
    <row r="982" spans="1:5" ht="14.25" customHeight="1">
      <c r="A982" s="1034"/>
      <c r="B982" s="1034"/>
      <c r="C982" s="399" t="s">
        <v>1026</v>
      </c>
      <c r="D982" s="400" t="s">
        <v>0</v>
      </c>
      <c r="E982" s="654">
        <f>Compcta!FU486+'BT-SI'!BN486+'ILUMINAÇÃO PUBLICA'!Q486</f>
        <v>0</v>
      </c>
    </row>
    <row r="983" spans="1:5" ht="14.25" customHeight="1">
      <c r="A983" s="1034"/>
      <c r="B983" s="1034"/>
      <c r="C983" s="399" t="s">
        <v>1027</v>
      </c>
      <c r="D983" s="400" t="s">
        <v>0</v>
      </c>
      <c r="E983" s="654">
        <f>Compcta!FU487+'BT-SI'!BN487+'ILUMINAÇÃO PUBLICA'!Q487</f>
        <v>0</v>
      </c>
    </row>
    <row r="984" spans="1:5" ht="14.25" customHeight="1">
      <c r="A984" s="1034"/>
      <c r="B984" s="1034"/>
      <c r="C984" s="399" t="s">
        <v>1028</v>
      </c>
      <c r="D984" s="400" t="s">
        <v>0</v>
      </c>
      <c r="E984" s="654">
        <f>Compcta!FU488+'BT-SI'!BN488+'ILUMINAÇÃO PUBLICA'!Q488</f>
        <v>0</v>
      </c>
    </row>
    <row r="985" spans="1:5" ht="14.25" customHeight="1">
      <c r="A985" s="1034"/>
      <c r="B985" s="1034"/>
      <c r="C985" s="399" t="s">
        <v>967</v>
      </c>
      <c r="D985" s="400" t="s">
        <v>0</v>
      </c>
      <c r="E985" s="654">
        <f>Compcta!FU489+'BT-SI'!BN489+'ILUMINAÇÃO PUBLICA'!Q489</f>
        <v>0</v>
      </c>
    </row>
    <row r="986" spans="1:5" ht="14.25" customHeight="1">
      <c r="A986" s="1034"/>
      <c r="B986" s="1034"/>
      <c r="C986" s="399" t="s">
        <v>1006</v>
      </c>
      <c r="D986" s="400" t="s">
        <v>0</v>
      </c>
      <c r="E986" s="654">
        <f>Compcta!FU490+'BT-SI'!BN490+'ILUMINAÇÃO PUBLICA'!Q490</f>
        <v>0</v>
      </c>
    </row>
    <row r="987" spans="1:5" ht="14.25" customHeight="1">
      <c r="A987" s="1034"/>
      <c r="B987" s="1034"/>
      <c r="C987" s="399" t="s">
        <v>968</v>
      </c>
      <c r="D987" s="400" t="s">
        <v>0</v>
      </c>
      <c r="E987" s="654">
        <f>Compcta!FU491+'BT-SI'!BN491+'ILUMINAÇÃO PUBLICA'!Q491</f>
        <v>0</v>
      </c>
    </row>
    <row r="988" spans="1:5" ht="14.25" customHeight="1">
      <c r="A988" s="1034"/>
      <c r="B988" s="1034"/>
      <c r="C988" s="399" t="s">
        <v>1015</v>
      </c>
      <c r="D988" s="400" t="s">
        <v>0</v>
      </c>
      <c r="E988" s="654">
        <f>Compcta!FU492+'BT-SI'!BN492+'ILUMINAÇÃO PUBLICA'!Q492</f>
        <v>0</v>
      </c>
    </row>
    <row r="989" spans="1:5" ht="14.25" customHeight="1">
      <c r="A989" s="1034"/>
      <c r="B989" s="1034"/>
      <c r="C989" s="399" t="s">
        <v>969</v>
      </c>
      <c r="D989" s="400" t="s">
        <v>0</v>
      </c>
      <c r="E989" s="654">
        <f>Compcta!FU493+'BT-SI'!BN493+'ILUMINAÇÃO PUBLICA'!Q493</f>
        <v>0</v>
      </c>
    </row>
    <row r="990" spans="1:5" ht="14.25" customHeight="1">
      <c r="A990" s="1034"/>
      <c r="B990" s="1034"/>
      <c r="C990" s="399" t="s">
        <v>997</v>
      </c>
      <c r="D990" s="400" t="s">
        <v>0</v>
      </c>
      <c r="E990" s="654">
        <f>Compcta!FU494+'BT-SI'!BN494+'ILUMINAÇÃO PUBLICA'!Q494</f>
        <v>0</v>
      </c>
    </row>
    <row r="991" spans="1:5" ht="14.25" customHeight="1">
      <c r="A991" s="1034"/>
      <c r="B991" s="1034"/>
      <c r="C991" s="399" t="s">
        <v>35</v>
      </c>
      <c r="D991" s="400" t="s">
        <v>0</v>
      </c>
      <c r="E991" s="654">
        <f>Compcta!FU495+'BT-SI'!BN495+'ILUMINAÇÃO PUBLICA'!Q495</f>
        <v>0</v>
      </c>
    </row>
    <row r="992" spans="1:5" ht="14.25" customHeight="1">
      <c r="A992" s="1034"/>
      <c r="B992" s="1034"/>
      <c r="C992" s="399" t="s">
        <v>970</v>
      </c>
      <c r="D992" s="400" t="s">
        <v>0</v>
      </c>
      <c r="E992" s="654">
        <f>Compcta!FU496+'BT-SI'!BN496+'ILUMINAÇÃO PUBLICA'!Q496</f>
        <v>0</v>
      </c>
    </row>
    <row r="993" spans="1:5" ht="14.25" customHeight="1">
      <c r="A993" s="1034"/>
      <c r="B993" s="1034"/>
      <c r="C993" s="399" t="s">
        <v>971</v>
      </c>
      <c r="D993" s="400" t="s">
        <v>0</v>
      </c>
      <c r="E993" s="654">
        <f>Compcta!FU497+'BT-SI'!BN497+'ILUMINAÇÃO PUBLICA'!Q497</f>
        <v>0</v>
      </c>
    </row>
    <row r="994" spans="1:5" ht="14.25" customHeight="1">
      <c r="A994" s="1034"/>
      <c r="B994" s="1034"/>
      <c r="C994" s="399" t="s">
        <v>972</v>
      </c>
      <c r="D994" s="400" t="s">
        <v>0</v>
      </c>
      <c r="E994" s="654">
        <f>Compcta!FU498+'BT-SI'!BN498+'ILUMINAÇÃO PUBLICA'!Q498</f>
        <v>0</v>
      </c>
    </row>
    <row r="995" spans="1:5" ht="14.25" customHeight="1">
      <c r="A995" s="1034"/>
      <c r="B995" s="1034"/>
      <c r="C995" s="399" t="s">
        <v>973</v>
      </c>
      <c r="D995" s="400" t="s">
        <v>0</v>
      </c>
      <c r="E995" s="654">
        <f>Compcta!FU499+'BT-SI'!BN499+'ILUMINAÇÃO PUBLICA'!Q499</f>
        <v>0</v>
      </c>
    </row>
    <row r="996" spans="1:5" ht="14.25" customHeight="1">
      <c r="A996" s="1034"/>
      <c r="B996" s="1034"/>
      <c r="C996" s="399" t="s">
        <v>974</v>
      </c>
      <c r="D996" s="400" t="s">
        <v>0</v>
      </c>
      <c r="E996" s="654">
        <f>Compcta!FU500+'BT-SI'!BN500+'ILUMINAÇÃO PUBLICA'!Q500</f>
        <v>0</v>
      </c>
    </row>
    <row r="997" spans="1:5" ht="14.25" customHeight="1">
      <c r="A997" s="1034"/>
      <c r="B997" s="1034"/>
      <c r="C997" s="399" t="s">
        <v>975</v>
      </c>
      <c r="D997" s="400" t="s">
        <v>0</v>
      </c>
      <c r="E997" s="654">
        <f>Compcta!FU501+'BT-SI'!BN501+'ILUMINAÇÃO PUBLICA'!Q501</f>
        <v>0</v>
      </c>
    </row>
    <row r="998" spans="1:5" ht="14.25" customHeight="1">
      <c r="A998" s="1034"/>
      <c r="B998" s="1034"/>
      <c r="C998" s="399" t="s">
        <v>976</v>
      </c>
      <c r="D998" s="400" t="s">
        <v>0</v>
      </c>
      <c r="E998" s="654">
        <f>Compcta!FU502+'BT-SI'!BN502+'ILUMINAÇÃO PUBLICA'!Q502</f>
        <v>0</v>
      </c>
    </row>
    <row r="999" spans="1:5" ht="14.25" customHeight="1">
      <c r="A999" s="1034"/>
      <c r="B999" s="1034"/>
      <c r="C999" s="399" t="s">
        <v>977</v>
      </c>
      <c r="D999" s="400" t="s">
        <v>0</v>
      </c>
      <c r="E999" s="654">
        <f>Compcta!FU503+'BT-SI'!BN503+'ILUMINAÇÃO PUBLICA'!Q503</f>
        <v>0</v>
      </c>
    </row>
    <row r="1000" spans="1:5" ht="14.25" customHeight="1">
      <c r="A1000" s="1034"/>
      <c r="B1000" s="1034"/>
      <c r="C1000" s="399" t="s">
        <v>978</v>
      </c>
      <c r="D1000" s="400" t="s">
        <v>0</v>
      </c>
      <c r="E1000" s="654">
        <f>Compcta!FU504+'BT-SI'!BN504+'ILUMINAÇÃO PUBLICA'!Q504</f>
        <v>0</v>
      </c>
    </row>
    <row r="1001" spans="1:5" ht="14.25" customHeight="1">
      <c r="A1001" s="1034"/>
      <c r="B1001" s="1034"/>
      <c r="C1001" s="399" t="s">
        <v>979</v>
      </c>
      <c r="D1001" s="400" t="s">
        <v>0</v>
      </c>
      <c r="E1001" s="654">
        <f>Compcta!FU505+'BT-SI'!BN505+'ILUMINAÇÃO PUBLICA'!Q505</f>
        <v>0</v>
      </c>
    </row>
    <row r="1002" spans="1:5" ht="14.25" customHeight="1">
      <c r="A1002" s="1034"/>
      <c r="B1002" s="1034"/>
      <c r="C1002" s="399" t="s">
        <v>980</v>
      </c>
      <c r="D1002" s="400" t="s">
        <v>0</v>
      </c>
      <c r="E1002" s="654">
        <f>Compcta!FU506+'BT-SI'!BN506+'ILUMINAÇÃO PUBLICA'!Q506</f>
        <v>0</v>
      </c>
    </row>
    <row r="1003" spans="1:5" ht="14.25" customHeight="1">
      <c r="A1003" s="1034"/>
      <c r="B1003" s="1034"/>
      <c r="C1003" s="399" t="s">
        <v>981</v>
      </c>
      <c r="D1003" s="400" t="s">
        <v>0</v>
      </c>
      <c r="E1003" s="654">
        <f>Compcta!FU507+'BT-SI'!BN507+'ILUMINAÇÃO PUBLICA'!Q507</f>
        <v>0</v>
      </c>
    </row>
    <row r="1004" spans="1:5" ht="14.25" customHeight="1">
      <c r="A1004" s="1034"/>
      <c r="B1004" s="1034"/>
      <c r="C1004" s="399" t="s">
        <v>982</v>
      </c>
      <c r="D1004" s="400" t="s">
        <v>0</v>
      </c>
      <c r="E1004" s="654">
        <f>Compcta!FU508+'BT-SI'!BN508+'ILUMINAÇÃO PUBLICA'!Q508</f>
        <v>0</v>
      </c>
    </row>
    <row r="1005" spans="1:5" ht="14.25" customHeight="1">
      <c r="A1005" s="1034"/>
      <c r="B1005" s="1034"/>
      <c r="C1005" s="399" t="s">
        <v>983</v>
      </c>
      <c r="D1005" s="400" t="s">
        <v>0</v>
      </c>
      <c r="E1005" s="654">
        <f>Compcta!FU509+'BT-SI'!BN509+'ILUMINAÇÃO PUBLICA'!Q509</f>
        <v>0</v>
      </c>
    </row>
    <row r="1006" spans="1:5" ht="14.25" customHeight="1">
      <c r="A1006" s="1034"/>
      <c r="B1006" s="1034"/>
      <c r="C1006" s="399" t="s">
        <v>984</v>
      </c>
      <c r="D1006" s="400" t="s">
        <v>0</v>
      </c>
      <c r="E1006" s="654">
        <f>Compcta!FU510+'BT-SI'!BN510+'ILUMINAÇÃO PUBLICA'!Q510</f>
        <v>0</v>
      </c>
    </row>
    <row r="1007" spans="1:5" ht="14.25" customHeight="1">
      <c r="A1007" s="209"/>
      <c r="B1007" s="1034"/>
      <c r="C1007" s="163" t="s">
        <v>985</v>
      </c>
      <c r="D1007" s="400" t="s">
        <v>0</v>
      </c>
      <c r="E1007" s="654">
        <f>Compcta!FU511+'BT-SI'!BN511+'ILUMINAÇÃO PUBLICA'!Q511</f>
        <v>0</v>
      </c>
    </row>
    <row r="1008" spans="1:5" ht="14.25" customHeight="1">
      <c r="A1008" s="209">
        <v>3584</v>
      </c>
      <c r="B1008" s="1034"/>
      <c r="C1008" s="163" t="s">
        <v>426</v>
      </c>
      <c r="D1008" s="400" t="s">
        <v>0</v>
      </c>
      <c r="E1008" s="654">
        <f>Compcta!FU512+'BT-SI'!BN512+'ILUMINAÇÃO PUBLICA'!Q512</f>
        <v>0</v>
      </c>
    </row>
    <row r="1009" spans="1:5" ht="14.25" customHeight="1">
      <c r="A1009" s="209">
        <v>3585</v>
      </c>
      <c r="B1009" s="1034"/>
      <c r="C1009" s="163" t="s">
        <v>471</v>
      </c>
      <c r="D1009" s="400" t="s">
        <v>0</v>
      </c>
      <c r="E1009" s="654">
        <f>Compcta!FU513+'BT-SI'!BN513+'ILUMINAÇÃO PUBLICA'!Q513</f>
        <v>0</v>
      </c>
    </row>
    <row r="1010" spans="1:5" ht="14.25" customHeight="1">
      <c r="A1010" s="209">
        <v>3586</v>
      </c>
      <c r="B1010" s="1034"/>
      <c r="C1010" s="399" t="s">
        <v>986</v>
      </c>
      <c r="D1010" s="400" t="s">
        <v>0</v>
      </c>
      <c r="E1010" s="654">
        <f>Compcta!FU514+'BT-SI'!BN514+'ILUMINAÇÃO PUBLICA'!Q514</f>
        <v>0</v>
      </c>
    </row>
    <row r="1011" spans="1:5" ht="14.25" customHeight="1">
      <c r="A1011" s="209">
        <v>3587</v>
      </c>
      <c r="B1011" s="1034"/>
      <c r="C1011" s="399" t="s">
        <v>987</v>
      </c>
      <c r="D1011" s="400" t="s">
        <v>0</v>
      </c>
      <c r="E1011" s="654">
        <f>Compcta!FU515+'BT-SI'!BN515+'ILUMINAÇÃO PUBLICA'!Q515</f>
        <v>0</v>
      </c>
    </row>
    <row r="1012" spans="1:5" ht="14.25" customHeight="1">
      <c r="A1012" s="209">
        <v>3588</v>
      </c>
      <c r="B1012" s="1034"/>
      <c r="C1012" s="399" t="s">
        <v>988</v>
      </c>
      <c r="D1012" s="400" t="s">
        <v>0</v>
      </c>
      <c r="E1012" s="654">
        <f>Compcta!FU516+'BT-SI'!BN516+'ILUMINAÇÃO PUBLICA'!Q516</f>
        <v>0</v>
      </c>
    </row>
    <row r="1013" spans="1:5" ht="14.25" customHeight="1">
      <c r="A1013" s="209">
        <v>3589</v>
      </c>
      <c r="B1013" s="1034"/>
      <c r="C1013" s="399" t="s">
        <v>989</v>
      </c>
      <c r="D1013" s="400" t="s">
        <v>0</v>
      </c>
      <c r="E1013" s="654">
        <f>Compcta!FU517+'BT-SI'!BN517+'ILUMINAÇÃO PUBLICA'!Q517</f>
        <v>0</v>
      </c>
    </row>
    <row r="1014" spans="1:5" ht="14.25" customHeight="1">
      <c r="A1014" s="209">
        <v>3590</v>
      </c>
      <c r="B1014" s="1034"/>
      <c r="C1014" s="22" t="s">
        <v>990</v>
      </c>
      <c r="D1014" s="45" t="s">
        <v>0</v>
      </c>
      <c r="E1014" s="654">
        <f>Compcta!FU518+'BT-SI'!BN518+'ILUMINAÇÃO PUBLICA'!Q518</f>
        <v>0</v>
      </c>
    </row>
    <row r="1015" spans="1:5" ht="14.25" customHeight="1">
      <c r="A1015" s="209">
        <v>3697</v>
      </c>
      <c r="B1015" s="1034"/>
      <c r="C1015" s="1" t="s">
        <v>315</v>
      </c>
      <c r="D1015" s="400" t="s">
        <v>0</v>
      </c>
      <c r="E1015" s="654">
        <f>Compcta!FU519+'BT-SI'!BN519+'ILUMINAÇÃO PUBLICA'!Q519</f>
        <v>0</v>
      </c>
    </row>
    <row r="1016" spans="1:5" ht="14.25" customHeight="1">
      <c r="A1016" s="209">
        <v>3705</v>
      </c>
      <c r="B1016" s="1034"/>
      <c r="C1016" s="1350" t="s">
        <v>255</v>
      </c>
      <c r="D1016" s="400" t="s">
        <v>0</v>
      </c>
      <c r="E1016" s="654">
        <f>Compcta!FU520+'BT-SI'!BN520+'ILUMINAÇÃO PUBLICA'!Q520</f>
        <v>0</v>
      </c>
    </row>
    <row r="1017" spans="1:5" ht="14.25" customHeight="1">
      <c r="A1017" s="209">
        <v>3700</v>
      </c>
      <c r="B1017" s="1034"/>
      <c r="C1017" s="1" t="s">
        <v>256</v>
      </c>
      <c r="D1017" s="400" t="s">
        <v>0</v>
      </c>
      <c r="E1017" s="654">
        <f>Compcta!FU521+'BT-SI'!BN521+'ILUMINAÇÃO PUBLICA'!Q521</f>
        <v>0</v>
      </c>
    </row>
    <row r="1018" spans="1:5" ht="14.25" customHeight="1">
      <c r="A1018" s="209">
        <v>3708</v>
      </c>
      <c r="B1018" s="1034"/>
      <c r="C1018" s="1350" t="s">
        <v>257</v>
      </c>
      <c r="D1018" s="400" t="s">
        <v>0</v>
      </c>
      <c r="E1018" s="654">
        <f>Compcta!FU522+'BT-SI'!BN522+'ILUMINAÇÃO PUBLICA'!Q522</f>
        <v>0</v>
      </c>
    </row>
    <row r="1019" spans="1:5" ht="14.25" customHeight="1">
      <c r="A1019" s="209">
        <v>3701</v>
      </c>
      <c r="B1019" s="1034"/>
      <c r="C1019" s="1" t="s">
        <v>258</v>
      </c>
      <c r="D1019" s="400" t="s">
        <v>0</v>
      </c>
      <c r="E1019" s="654">
        <f>Compcta!FU523+'BT-SI'!BN523+'ILUMINAÇÃO PUBLICA'!Q523</f>
        <v>0</v>
      </c>
    </row>
    <row r="1020" spans="1:5" ht="14.25" customHeight="1">
      <c r="A1020" s="209">
        <v>3709</v>
      </c>
      <c r="B1020" s="1034"/>
      <c r="C1020" s="1350" t="s">
        <v>259</v>
      </c>
      <c r="D1020" s="400" t="s">
        <v>0</v>
      </c>
      <c r="E1020" s="654">
        <f>Compcta!FU524+'BT-SI'!BN524+'ILUMINAÇÃO PUBLICA'!Q524</f>
        <v>0</v>
      </c>
    </row>
    <row r="1021" spans="1:5" ht="14.25" customHeight="1">
      <c r="A1021" s="209">
        <v>3702</v>
      </c>
      <c r="B1021" s="1034"/>
      <c r="C1021" s="1" t="s">
        <v>260</v>
      </c>
      <c r="D1021" s="400" t="s">
        <v>0</v>
      </c>
      <c r="E1021" s="654">
        <f>Compcta!FU525+'BT-SI'!BN525+'ILUMINAÇÃO PUBLICA'!Q525</f>
        <v>0</v>
      </c>
    </row>
    <row r="1022" spans="1:5" ht="14.25" customHeight="1">
      <c r="A1022" s="209">
        <v>3710</v>
      </c>
      <c r="B1022" s="1034"/>
      <c r="C1022" s="1350" t="s">
        <v>261</v>
      </c>
      <c r="D1022" s="400" t="s">
        <v>0</v>
      </c>
      <c r="E1022" s="654">
        <f>Compcta!FU526+'BT-SI'!BN526+'ILUMINAÇÃO PUBLICA'!Q526</f>
        <v>0</v>
      </c>
    </row>
    <row r="1023" spans="1:5" ht="14.25" customHeight="1">
      <c r="A1023" s="209">
        <v>3695</v>
      </c>
      <c r="B1023" s="1034"/>
      <c r="C1023" s="1" t="s">
        <v>1725</v>
      </c>
      <c r="D1023" s="400" t="s">
        <v>0</v>
      </c>
      <c r="E1023" s="654">
        <f>Compcta!FU527+'BT-SI'!BN527+'ILUMINAÇÃO PUBLICA'!Q527</f>
        <v>0</v>
      </c>
    </row>
    <row r="1024" spans="1:5" ht="14.25" customHeight="1">
      <c r="A1024" s="209">
        <v>3703</v>
      </c>
      <c r="B1024" s="1034"/>
      <c r="C1024" s="1350" t="s">
        <v>1726</v>
      </c>
      <c r="D1024" s="400" t="s">
        <v>0</v>
      </c>
      <c r="E1024" s="654">
        <f>Compcta!FU528+'BT-SI'!BN528+'ILUMINAÇÃO PUBLICA'!Q528</f>
        <v>0</v>
      </c>
    </row>
    <row r="1025" spans="1:5" ht="14.25" customHeight="1">
      <c r="A1025" s="209">
        <v>3696</v>
      </c>
      <c r="B1025" s="1034"/>
      <c r="C1025" s="1" t="s">
        <v>264</v>
      </c>
      <c r="D1025" s="400" t="s">
        <v>0</v>
      </c>
      <c r="E1025" s="654">
        <f>Compcta!FU529+'BT-SI'!BN529+'ILUMINAÇÃO PUBLICA'!Q529</f>
        <v>0</v>
      </c>
    </row>
    <row r="1026" spans="1:5" ht="14.25" customHeight="1">
      <c r="A1026" s="209">
        <v>3704</v>
      </c>
      <c r="B1026" s="1034"/>
      <c r="C1026" s="1350" t="s">
        <v>265</v>
      </c>
      <c r="D1026" s="400" t="s">
        <v>0</v>
      </c>
      <c r="E1026" s="654">
        <f>Compcta!FU530+'BT-SI'!BN530+'ILUMINAÇÃO PUBLICA'!Q530</f>
        <v>0</v>
      </c>
    </row>
    <row r="1027" spans="1:5" ht="14.25" customHeight="1">
      <c r="A1027" s="209">
        <v>3698</v>
      </c>
      <c r="B1027" s="1034"/>
      <c r="C1027" s="1" t="s">
        <v>266</v>
      </c>
      <c r="D1027" s="400" t="s">
        <v>0</v>
      </c>
      <c r="E1027" s="654">
        <f>Compcta!FU531+'BT-SI'!BN531+'ILUMINAÇÃO PUBLICA'!Q531</f>
        <v>0</v>
      </c>
    </row>
    <row r="1028" spans="1:5" ht="14.25" customHeight="1">
      <c r="A1028" s="209">
        <v>3706</v>
      </c>
      <c r="B1028" s="1034"/>
      <c r="C1028" s="1350" t="s">
        <v>267</v>
      </c>
      <c r="D1028" s="400" t="s">
        <v>0</v>
      </c>
      <c r="E1028" s="654">
        <f>Compcta!FU532+'BT-SI'!BN532+'ILUMINAÇÃO PUBLICA'!Q532</f>
        <v>0</v>
      </c>
    </row>
    <row r="1029" spans="1:5" ht="14.25" customHeight="1">
      <c r="A1029" s="209">
        <v>3699</v>
      </c>
      <c r="B1029" s="1034"/>
      <c r="C1029" s="1" t="s">
        <v>268</v>
      </c>
      <c r="D1029" s="400" t="s">
        <v>0</v>
      </c>
      <c r="E1029" s="654">
        <f>Compcta!FU533+'BT-SI'!BN533+'ILUMINAÇÃO PUBLICA'!Q533</f>
        <v>0</v>
      </c>
    </row>
    <row r="1030" spans="1:5" ht="14.25" customHeight="1">
      <c r="A1030" s="209">
        <v>3707</v>
      </c>
      <c r="B1030" s="1034"/>
      <c r="C1030" s="1350" t="s">
        <v>269</v>
      </c>
      <c r="D1030" s="400" t="s">
        <v>0</v>
      </c>
      <c r="E1030" s="654">
        <f>Compcta!FU534+'BT-SI'!BN534+'ILUMINAÇÃO PUBLICA'!Q534</f>
        <v>0</v>
      </c>
    </row>
    <row r="1031" spans="1:5" ht="14.25" customHeight="1">
      <c r="A1031" s="209"/>
      <c r="B1031" s="1034"/>
      <c r="C1031" s="1" t="s">
        <v>270</v>
      </c>
      <c r="D1031" s="400" t="s">
        <v>0</v>
      </c>
      <c r="E1031" s="654">
        <f>Compcta!FU535+'BT-SI'!BN535+'ILUMINAÇÃO PUBLICA'!Q535</f>
        <v>0</v>
      </c>
    </row>
    <row r="1032" spans="1:5" ht="14.25" customHeight="1">
      <c r="A1032" s="209"/>
      <c r="B1032" s="1034"/>
      <c r="C1032" s="1350" t="s">
        <v>271</v>
      </c>
      <c r="D1032" s="400" t="s">
        <v>0</v>
      </c>
      <c r="E1032" s="654">
        <f>Compcta!FU536+'BT-SI'!BN536+'ILUMINAÇÃO PUBLICA'!Q536</f>
        <v>0</v>
      </c>
    </row>
    <row r="1033" spans="1:5" ht="14.25" customHeight="1">
      <c r="A1033" s="209"/>
      <c r="B1033" s="1034"/>
      <c r="C1033" s="1" t="s">
        <v>272</v>
      </c>
      <c r="D1033" s="400" t="s">
        <v>0</v>
      </c>
      <c r="E1033" s="654">
        <f>Compcta!FU537+'BT-SI'!BN537+'ILUMINAÇÃO PUBLICA'!Q537</f>
        <v>0</v>
      </c>
    </row>
    <row r="1034" spans="1:5" ht="14.25" customHeight="1">
      <c r="A1034" s="209"/>
      <c r="B1034" s="1034"/>
      <c r="C1034" s="1350" t="s">
        <v>273</v>
      </c>
      <c r="D1034" s="400" t="s">
        <v>0</v>
      </c>
      <c r="E1034" s="654">
        <f>Compcta!FU538+'BT-SI'!BN538+'ILUMINAÇÃO PUBLICA'!Q538</f>
        <v>0</v>
      </c>
    </row>
    <row r="1035" spans="1:5" ht="14.25" customHeight="1">
      <c r="A1035" s="209"/>
      <c r="B1035" s="1034"/>
      <c r="C1035" s="1" t="s">
        <v>274</v>
      </c>
      <c r="D1035" s="400" t="s">
        <v>0</v>
      </c>
      <c r="E1035" s="654">
        <f>Compcta!FU539+'BT-SI'!BN539+'ILUMINAÇÃO PUBLICA'!Q539</f>
        <v>0</v>
      </c>
    </row>
    <row r="1036" spans="1:5" ht="14.25" customHeight="1">
      <c r="A1036" s="209"/>
      <c r="B1036" s="1034"/>
      <c r="C1036" s="1350" t="s">
        <v>275</v>
      </c>
      <c r="D1036" s="400" t="s">
        <v>0</v>
      </c>
      <c r="E1036" s="654">
        <f>Compcta!FU540+'BT-SI'!BN540+'ILUMINAÇÃO PUBLICA'!Q540</f>
        <v>0</v>
      </c>
    </row>
    <row r="1037" spans="1:5" ht="14.25" customHeight="1">
      <c r="A1037" s="209"/>
      <c r="B1037" s="1034"/>
      <c r="C1037" s="1" t="s">
        <v>276</v>
      </c>
      <c r="D1037" s="400" t="s">
        <v>0</v>
      </c>
      <c r="E1037" s="654">
        <f>Compcta!FU541+'BT-SI'!BN541+'ILUMINAÇÃO PUBLICA'!Q541</f>
        <v>0</v>
      </c>
    </row>
    <row r="1038" spans="1:5" ht="14.25" customHeight="1">
      <c r="A1038" s="209"/>
      <c r="B1038" s="1034"/>
      <c r="C1038" s="1350" t="s">
        <v>277</v>
      </c>
      <c r="D1038" s="400" t="s">
        <v>0</v>
      </c>
      <c r="E1038" s="654">
        <f>Compcta!FU542+'BT-SI'!BN542+'ILUMINAÇÃO PUBLICA'!Q542</f>
        <v>0</v>
      </c>
    </row>
    <row r="1039" spans="1:5" ht="14.25" customHeight="1">
      <c r="A1039" s="209"/>
      <c r="B1039" s="1034"/>
      <c r="C1039" s="1" t="s">
        <v>278</v>
      </c>
      <c r="D1039" s="400" t="s">
        <v>0</v>
      </c>
      <c r="E1039" s="654">
        <f>Compcta!FU543+'BT-SI'!BN543+'ILUMINAÇÃO PUBLICA'!Q543</f>
        <v>0</v>
      </c>
    </row>
    <row r="1040" spans="1:5" ht="14.25" customHeight="1">
      <c r="A1040" s="209">
        <v>3711</v>
      </c>
      <c r="B1040" s="1034"/>
      <c r="C1040" s="1350" t="s">
        <v>279</v>
      </c>
      <c r="D1040" s="400" t="s">
        <v>0</v>
      </c>
      <c r="E1040" s="654">
        <f>Compcta!FU544+'BT-SI'!BN544+'ILUMINAÇÃO PUBLICA'!Q544</f>
        <v>0</v>
      </c>
    </row>
    <row r="1041" spans="1:5" ht="14.25" customHeight="1">
      <c r="A1041" s="209"/>
      <c r="B1041" s="1034"/>
      <c r="C1041" s="1" t="s">
        <v>280</v>
      </c>
      <c r="D1041" s="400" t="s">
        <v>0</v>
      </c>
      <c r="E1041" s="654">
        <f>Compcta!FU545+'BT-SI'!BN545+'ILUMINAÇÃO PUBLICA'!Q545</f>
        <v>0</v>
      </c>
    </row>
    <row r="1042" spans="1:5" ht="14.25" customHeight="1">
      <c r="A1042" s="209"/>
      <c r="B1042" s="1034"/>
      <c r="C1042" s="1350" t="s">
        <v>281</v>
      </c>
      <c r="D1042" s="400" t="s">
        <v>0</v>
      </c>
      <c r="E1042" s="654">
        <f>Compcta!FU546+'BT-SI'!BN546+'ILUMINAÇÃO PUBLICA'!Q546</f>
        <v>0</v>
      </c>
    </row>
    <row r="1043" spans="1:5" ht="14.25" customHeight="1">
      <c r="A1043" s="209"/>
      <c r="B1043" s="1034"/>
      <c r="C1043" s="1" t="s">
        <v>282</v>
      </c>
      <c r="D1043" s="400" t="s">
        <v>0</v>
      </c>
      <c r="E1043" s="654">
        <f>Compcta!FU547+'BT-SI'!BN547+'ILUMINAÇÃO PUBLICA'!Q547</f>
        <v>0</v>
      </c>
    </row>
    <row r="1044" spans="1:5" ht="14.25" customHeight="1">
      <c r="A1044" s="209">
        <v>4159</v>
      </c>
      <c r="B1044" s="1034"/>
      <c r="C1044" s="1350" t="s">
        <v>283</v>
      </c>
      <c r="D1044" s="400" t="s">
        <v>0</v>
      </c>
      <c r="E1044" s="654">
        <f>Compcta!FU548+'BT-SI'!BN548+'ILUMINAÇÃO PUBLICA'!Q548</f>
        <v>0</v>
      </c>
    </row>
    <row r="1045" spans="1:5" ht="14.25" customHeight="1">
      <c r="A1045" s="209"/>
      <c r="B1045" s="1034"/>
      <c r="C1045" s="1" t="s">
        <v>284</v>
      </c>
      <c r="D1045" s="400" t="s">
        <v>0</v>
      </c>
      <c r="E1045" s="654">
        <f>Compcta!FU549+'BT-SI'!BN549+'ILUMINAÇÃO PUBLICA'!Q549</f>
        <v>0</v>
      </c>
    </row>
    <row r="1046" spans="1:5" ht="14.25" customHeight="1">
      <c r="A1046" s="209"/>
      <c r="B1046" s="1034"/>
      <c r="C1046" s="1350" t="s">
        <v>285</v>
      </c>
      <c r="D1046" s="400" t="s">
        <v>0</v>
      </c>
      <c r="E1046" s="654">
        <f>Compcta!FU550+'BT-SI'!BN550+'ILUMINAÇÃO PUBLICA'!Q550</f>
        <v>0</v>
      </c>
    </row>
    <row r="1047" spans="1:5" ht="14.25" customHeight="1">
      <c r="A1047" s="209"/>
      <c r="B1047" s="1034"/>
      <c r="C1047" s="22" t="s">
        <v>991</v>
      </c>
      <c r="D1047" s="45" t="s">
        <v>0</v>
      </c>
      <c r="E1047" s="654">
        <f>Compcta!FU551+'BT-SI'!BN551+'ILUMINAÇÃO PUBLICA'!Q551</f>
        <v>0</v>
      </c>
    </row>
    <row r="1048" spans="1:5" ht="14.25" customHeight="1">
      <c r="A1048" s="209">
        <v>3591</v>
      </c>
      <c r="B1048" s="1034"/>
      <c r="C1048" s="22" t="s">
        <v>992</v>
      </c>
      <c r="D1048" s="45" t="s">
        <v>0</v>
      </c>
      <c r="E1048" s="654">
        <f>Compcta!FU552+'BT-SI'!BN552+'ILUMINAÇÃO PUBLICA'!Q552</f>
        <v>0</v>
      </c>
    </row>
    <row r="1049" spans="1:5" ht="14.25" customHeight="1">
      <c r="A1049" s="209"/>
      <c r="B1049" s="1034"/>
      <c r="C1049" s="22" t="s">
        <v>1080</v>
      </c>
      <c r="D1049" s="45" t="s">
        <v>0</v>
      </c>
      <c r="E1049" s="654">
        <f>Compcta!FU553+'BT-SI'!BN553+'ILUMINAÇÃO PUBLICA'!Q553</f>
        <v>0</v>
      </c>
    </row>
    <row r="1050" spans="1:5" ht="14.25" customHeight="1">
      <c r="A1050" s="209">
        <v>3592</v>
      </c>
      <c r="B1050" s="1034"/>
      <c r="C1050" s="22" t="s">
        <v>993</v>
      </c>
      <c r="D1050" s="45" t="s">
        <v>0</v>
      </c>
      <c r="E1050" s="654">
        <f>Compcta!FU554+'BT-SI'!BN554+'ILUMINAÇÃO PUBLICA'!Q554</f>
        <v>0</v>
      </c>
    </row>
    <row r="1051" spans="1:5" ht="14.25" customHeight="1">
      <c r="A1051" s="209">
        <v>3593</v>
      </c>
      <c r="B1051" s="1034"/>
      <c r="C1051" s="22" t="s">
        <v>994</v>
      </c>
      <c r="D1051" s="45" t="s">
        <v>0</v>
      </c>
      <c r="E1051" s="654">
        <f>Compcta!FU555+'BT-SI'!BN555+'ILUMINAÇÃO PUBLICA'!Q555</f>
        <v>0</v>
      </c>
    </row>
    <row r="1052" spans="1:5" ht="14.25" customHeight="1">
      <c r="A1052" s="209"/>
      <c r="B1052" s="1034"/>
      <c r="C1052" s="22" t="s">
        <v>995</v>
      </c>
      <c r="D1052" s="45" t="s">
        <v>168</v>
      </c>
      <c r="E1052" s="654">
        <f>Compcta!FU556+'BT-SI'!BN556+'ILUMINAÇÃO PUBLICA'!Q556</f>
        <v>0</v>
      </c>
    </row>
    <row r="1053" spans="1:5" ht="14.25" customHeight="1">
      <c r="A1053" s="209">
        <v>3594</v>
      </c>
      <c r="B1053" s="1034"/>
      <c r="C1053" s="22" t="s">
        <v>996</v>
      </c>
      <c r="D1053" s="45" t="s">
        <v>168</v>
      </c>
      <c r="E1053" s="654">
        <f>Compcta!FU557+'BT-SI'!BN557+'ILUMINAÇÃO PUBLICA'!Q557</f>
        <v>0</v>
      </c>
    </row>
    <row r="1054" spans="1:5" ht="14.25" customHeight="1">
      <c r="A1054" s="209"/>
      <c r="B1054" s="1034"/>
      <c r="C1054" s="1036" t="s">
        <v>1156</v>
      </c>
      <c r="D1054" s="83" t="s">
        <v>0</v>
      </c>
      <c r="E1054" s="654">
        <f>Compcta!FU558+'BT-SI'!BN558+'ILUMINAÇÃO PUBLICA'!Q558</f>
        <v>0</v>
      </c>
    </row>
    <row r="1055" spans="1:5" ht="14.25" customHeight="1">
      <c r="A1055" s="209">
        <v>3595</v>
      </c>
      <c r="B1055" s="1034"/>
      <c r="C1055" s="1036" t="s">
        <v>1157</v>
      </c>
      <c r="D1055" s="83" t="s">
        <v>168</v>
      </c>
      <c r="E1055" s="654">
        <f>Compcta!FU559+'BT-SI'!BN559+'ILUMINAÇÃO PUBLICA'!Q559</f>
        <v>0</v>
      </c>
    </row>
    <row r="1056" spans="1:5" ht="14.25" customHeight="1">
      <c r="A1056" s="209">
        <v>3596</v>
      </c>
      <c r="B1056" s="1034"/>
      <c r="C1056" s="23" t="s">
        <v>1158</v>
      </c>
      <c r="D1056" s="83" t="s">
        <v>0</v>
      </c>
      <c r="E1056" s="654">
        <f>Compcta!FU560+'BT-SI'!BN560+'ILUMINAÇÃO PUBLICA'!Q560</f>
        <v>0</v>
      </c>
    </row>
    <row r="1057" spans="1:5" ht="14.25" customHeight="1">
      <c r="A1057" s="209">
        <v>3697</v>
      </c>
      <c r="B1057" s="1034"/>
      <c r="C1057" s="23" t="s">
        <v>1159</v>
      </c>
      <c r="D1057" s="83" t="s">
        <v>0</v>
      </c>
      <c r="E1057" s="654">
        <f>Compcta!FU561+'BT-SI'!BN561+'ILUMINAÇÃO PUBLICA'!Q561</f>
        <v>0</v>
      </c>
    </row>
    <row r="1058" spans="1:5" ht="14.25" customHeight="1">
      <c r="A1058" s="209">
        <v>3705</v>
      </c>
      <c r="B1058" s="1034"/>
      <c r="C1058" s="23" t="s">
        <v>1160</v>
      </c>
      <c r="D1058" s="83" t="s">
        <v>0</v>
      </c>
      <c r="E1058" s="654">
        <f>Compcta!FU562+'BT-SI'!BN562+'ILUMINAÇÃO PUBLICA'!Q562</f>
        <v>0</v>
      </c>
    </row>
    <row r="1059" spans="1:5" ht="14.25" customHeight="1">
      <c r="A1059" s="209">
        <v>3700</v>
      </c>
      <c r="B1059" s="1034"/>
      <c r="C1059" s="23" t="s">
        <v>1161</v>
      </c>
      <c r="D1059" s="83" t="s">
        <v>0</v>
      </c>
      <c r="E1059" s="654">
        <f>Compcta!FU563+'BT-SI'!BN563+'ILUMINAÇÃO PUBLICA'!Q563</f>
        <v>0</v>
      </c>
    </row>
    <row r="1060" spans="1:5" ht="14.25" customHeight="1">
      <c r="A1060" s="209">
        <v>3708</v>
      </c>
      <c r="B1060" s="1034"/>
      <c r="C1060" s="1037" t="s">
        <v>1162</v>
      </c>
      <c r="D1060" s="1038" t="s">
        <v>0</v>
      </c>
      <c r="E1060" s="654">
        <f>Compcta!FU564+'BT-SI'!BN564+'ILUMINAÇÃO PUBLICA'!Q564</f>
        <v>0</v>
      </c>
    </row>
    <row r="1061" spans="1:5" ht="14.25" customHeight="1">
      <c r="A1061" s="209">
        <v>3701</v>
      </c>
      <c r="B1061" s="1034"/>
      <c r="C1061" s="1037" t="s">
        <v>1163</v>
      </c>
      <c r="D1061" s="1038" t="s">
        <v>0</v>
      </c>
      <c r="E1061" s="654">
        <f>Compcta!FU565+'BT-SI'!BN565+'ILUMINAÇÃO PUBLICA'!Q565</f>
        <v>0</v>
      </c>
    </row>
    <row r="1062" spans="1:5" ht="14.25" customHeight="1">
      <c r="A1062" s="209">
        <v>3709</v>
      </c>
      <c r="B1062" s="1034"/>
      <c r="C1062" s="23" t="s">
        <v>1164</v>
      </c>
      <c r="D1062" s="83" t="s">
        <v>0</v>
      </c>
      <c r="E1062" s="654">
        <f>Compcta!FU566+'BT-SI'!BN566+'ILUMINAÇÃO PUBLICA'!Q566</f>
        <v>0</v>
      </c>
    </row>
    <row r="1063" spans="1:5" ht="14.25" customHeight="1" thickBot="1">
      <c r="A1063" s="993"/>
      <c r="B1063" s="994"/>
      <c r="C1063" s="995"/>
      <c r="D1063" s="996"/>
      <c r="E1063" s="997">
        <v>0</v>
      </c>
    </row>
    <row r="1064" spans="1:5" ht="14.25" customHeight="1" thickBot="1">
      <c r="A1064" s="1709" t="s">
        <v>1231</v>
      </c>
      <c r="B1064" s="1710"/>
      <c r="C1064" s="1710"/>
      <c r="D1064" s="1710"/>
      <c r="E1064" s="655">
        <f>Transformadores!R8+Transformadores!T8</f>
        <v>0</v>
      </c>
    </row>
    <row r="1065" spans="1:5" ht="14.25" customHeight="1" thickBot="1">
      <c r="A1065" s="1705" t="s">
        <v>1232</v>
      </c>
      <c r="B1065" s="1706"/>
      <c r="C1065" s="1706"/>
      <c r="D1065" s="1706"/>
      <c r="E1065" s="655">
        <f>Transformadores!S8+Transformadores!U8</f>
        <v>0</v>
      </c>
    </row>
    <row r="1066" spans="1:5" ht="14.25" customHeight="1" thickBot="1">
      <c r="A1066" s="1705" t="s">
        <v>1233</v>
      </c>
      <c r="B1066" s="1706"/>
      <c r="C1066" s="1706"/>
      <c r="D1066" s="1706"/>
      <c r="E1066" s="655">
        <f>Transformadores!R9+Transformadores!T9</f>
        <v>0</v>
      </c>
    </row>
    <row r="1067" spans="1:5" ht="14.25" customHeight="1" thickBot="1">
      <c r="A1067" s="1705" t="s">
        <v>1234</v>
      </c>
      <c r="B1067" s="1706"/>
      <c r="C1067" s="1706"/>
      <c r="D1067" s="1706"/>
      <c r="E1067" s="655">
        <f>Transformadores!S9+Transformadores!U9</f>
        <v>0</v>
      </c>
    </row>
    <row r="1068" spans="1:5" ht="14.25" customHeight="1" thickBot="1">
      <c r="A1068" s="1705" t="s">
        <v>1235</v>
      </c>
      <c r="B1068" s="1706"/>
      <c r="C1068" s="1706"/>
      <c r="D1068" s="1706"/>
      <c r="E1068" s="655">
        <f>Transformadores!R10+Transformadores!T10</f>
        <v>0</v>
      </c>
    </row>
    <row r="1069" spans="1:5" ht="14.25" customHeight="1" thickBot="1">
      <c r="A1069" s="1705" t="s">
        <v>1236</v>
      </c>
      <c r="B1069" s="1706"/>
      <c r="C1069" s="1706"/>
      <c r="D1069" s="1706"/>
      <c r="E1069" s="655">
        <f>Transformadores!S10+Transformadores!U10</f>
        <v>0</v>
      </c>
    </row>
    <row r="1070" spans="1:5" ht="14.25" customHeight="1" thickBot="1">
      <c r="A1070" s="1705" t="s">
        <v>1237</v>
      </c>
      <c r="B1070" s="1706"/>
      <c r="C1070" s="1706"/>
      <c r="D1070" s="1706"/>
      <c r="E1070" s="655">
        <f>Transformadores!R11+Transformadores!T11</f>
        <v>0</v>
      </c>
    </row>
    <row r="1071" spans="1:5" ht="14.25" customHeight="1" thickBot="1">
      <c r="A1071" s="1705" t="s">
        <v>1238</v>
      </c>
      <c r="B1071" s="1706"/>
      <c r="C1071" s="1706"/>
      <c r="D1071" s="1706"/>
      <c r="E1071" s="655">
        <f>Transformadores!S11+Transformadores!U11</f>
        <v>0</v>
      </c>
    </row>
    <row r="1072" spans="1:5" ht="14.25" customHeight="1" thickBot="1">
      <c r="A1072" s="1705" t="s">
        <v>1239</v>
      </c>
      <c r="B1072" s="1706"/>
      <c r="C1072" s="1706"/>
      <c r="D1072" s="1706"/>
      <c r="E1072" s="655">
        <f>Transformadores!R12+Transformadores!T12</f>
        <v>0</v>
      </c>
    </row>
    <row r="1073" spans="1:5" ht="14.25" customHeight="1" thickBot="1">
      <c r="A1073" s="1705" t="s">
        <v>1240</v>
      </c>
      <c r="B1073" s="1706"/>
      <c r="C1073" s="1706"/>
      <c r="D1073" s="1706"/>
      <c r="E1073" s="655">
        <f>Transformadores!S12+Transformadores!U12</f>
        <v>0</v>
      </c>
    </row>
    <row r="1074" spans="1:5" ht="14.25" customHeight="1" thickBot="1">
      <c r="A1074" s="1705" t="s">
        <v>1241</v>
      </c>
      <c r="B1074" s="1706"/>
      <c r="C1074" s="1706"/>
      <c r="D1074" s="1706"/>
      <c r="E1074" s="655">
        <f>Transformadores!R13+Transformadores!T13</f>
        <v>0</v>
      </c>
    </row>
    <row r="1075" spans="1:5" ht="14.25" customHeight="1" thickBot="1">
      <c r="A1075" s="1705" t="s">
        <v>1242</v>
      </c>
      <c r="B1075" s="1706"/>
      <c r="C1075" s="1706"/>
      <c r="D1075" s="1706"/>
      <c r="E1075" s="655">
        <f>Transformadores!S13+Transformadores!U13</f>
        <v>0</v>
      </c>
    </row>
    <row r="1076" spans="1:5" ht="14.25" customHeight="1" thickBot="1">
      <c r="A1076" s="1705" t="s">
        <v>1243</v>
      </c>
      <c r="B1076" s="1706"/>
      <c r="C1076" s="1706"/>
      <c r="D1076" s="1706"/>
      <c r="E1076" s="655">
        <f>Transformadores!R14+Transformadores!T14</f>
        <v>0</v>
      </c>
    </row>
    <row r="1077" spans="1:5" ht="14.25" customHeight="1" thickBot="1">
      <c r="A1077" s="1705" t="s">
        <v>1244</v>
      </c>
      <c r="B1077" s="1706"/>
      <c r="C1077" s="1706"/>
      <c r="D1077" s="1706"/>
      <c r="E1077" s="655">
        <f>Transformadores!S14+Transformadores!U14</f>
        <v>0</v>
      </c>
    </row>
    <row r="1078" spans="1:5" ht="14.25" customHeight="1" thickBot="1">
      <c r="A1078" s="1705" t="s">
        <v>1245</v>
      </c>
      <c r="B1078" s="1706"/>
      <c r="C1078" s="1706"/>
      <c r="D1078" s="1706"/>
      <c r="E1078" s="655">
        <f>Transformadores!R15+Transformadores!T15</f>
        <v>0</v>
      </c>
    </row>
    <row r="1079" spans="1:5" ht="14.25" customHeight="1" thickBot="1">
      <c r="A1079" s="1705" t="s">
        <v>1246</v>
      </c>
      <c r="B1079" s="1706"/>
      <c r="C1079" s="1706"/>
      <c r="D1079" s="1706"/>
      <c r="E1079" s="655">
        <f>Transformadores!S15+Transformadores!U15</f>
        <v>0</v>
      </c>
    </row>
    <row r="1080" spans="1:5" ht="14.25" customHeight="1">
      <c r="A1080" s="998"/>
      <c r="B1080" s="999"/>
      <c r="C1080" s="999"/>
      <c r="D1080" s="999"/>
      <c r="E1080" s="1000">
        <v>0</v>
      </c>
    </row>
    <row r="1081" spans="1:5" ht="14.25" customHeight="1">
      <c r="A1081" s="209">
        <v>3498</v>
      </c>
      <c r="B1081" s="844"/>
      <c r="C1081" s="163" t="s">
        <v>1329</v>
      </c>
      <c r="D1081" s="851" t="s">
        <v>511</v>
      </c>
      <c r="E1081" s="852">
        <f>SUM('Materiais de Medições compacta'!E2:P2)</f>
        <v>0</v>
      </c>
    </row>
    <row r="1082" spans="1:5" ht="14.25" customHeight="1">
      <c r="A1082" s="209">
        <v>4031</v>
      </c>
      <c r="B1082" s="844"/>
      <c r="C1082" s="163" t="s">
        <v>1321</v>
      </c>
      <c r="D1082" s="851" t="s">
        <v>0</v>
      </c>
      <c r="E1082" s="852">
        <f>SUM('Materiais de Medições compacta'!E3:P3)</f>
        <v>0</v>
      </c>
    </row>
    <row r="1083" spans="1:5" ht="14.25" customHeight="1">
      <c r="A1083" s="209">
        <v>3503</v>
      </c>
      <c r="B1083" s="844"/>
      <c r="C1083" s="163" t="s">
        <v>1322</v>
      </c>
      <c r="D1083" s="851" t="s">
        <v>0</v>
      </c>
      <c r="E1083" s="852">
        <f>SUM('Materiais de Medições compacta'!E4:P4)</f>
        <v>0</v>
      </c>
    </row>
    <row r="1084" spans="1:5" ht="14.25" customHeight="1">
      <c r="A1084" s="209">
        <v>4032</v>
      </c>
      <c r="B1084" s="844"/>
      <c r="C1084" s="163" t="s">
        <v>1323</v>
      </c>
      <c r="D1084" s="851" t="s">
        <v>0</v>
      </c>
      <c r="E1084" s="852">
        <f>SUM('Materiais de Medições compacta'!E5:P5)</f>
        <v>0</v>
      </c>
    </row>
    <row r="1085" spans="1:5" ht="14.25" customHeight="1">
      <c r="A1085" s="209">
        <v>3504</v>
      </c>
      <c r="B1085" s="844"/>
      <c r="C1085" s="163" t="s">
        <v>1324</v>
      </c>
      <c r="D1085" s="851" t="s">
        <v>0</v>
      </c>
      <c r="E1085" s="852">
        <f>SUM('Materiais de Medições compacta'!E6:P6)</f>
        <v>0</v>
      </c>
    </row>
    <row r="1086" spans="1:5" ht="14.25" customHeight="1">
      <c r="A1086" s="209"/>
      <c r="B1086" s="844"/>
      <c r="C1086" s="163" t="s">
        <v>1325</v>
      </c>
      <c r="D1086" s="851" t="s">
        <v>0</v>
      </c>
      <c r="E1086" s="852">
        <f>SUM('Materiais de Medições compacta'!E7:P7)</f>
        <v>0</v>
      </c>
    </row>
    <row r="1087" spans="1:5" ht="14.25" customHeight="1">
      <c r="A1087" s="209"/>
      <c r="B1087" s="844"/>
      <c r="C1087" s="163" t="s">
        <v>1326</v>
      </c>
      <c r="D1087" s="851" t="s">
        <v>0</v>
      </c>
      <c r="E1087" s="852">
        <f>SUM('Materiais de Medições compacta'!E8:P8)</f>
        <v>0</v>
      </c>
    </row>
    <row r="1088" spans="1:5" ht="14.25" customHeight="1">
      <c r="A1088" s="209"/>
      <c r="B1088" s="844"/>
      <c r="C1088" s="163" t="s">
        <v>1327</v>
      </c>
      <c r="D1088" s="851" t="s">
        <v>0</v>
      </c>
      <c r="E1088" s="852">
        <f>SUM('Materiais de Medições compacta'!E9:P9)</f>
        <v>0</v>
      </c>
    </row>
    <row r="1089" spans="1:5" ht="14.25" customHeight="1">
      <c r="A1089" s="209">
        <v>4026</v>
      </c>
      <c r="B1089" s="844"/>
      <c r="C1089" s="163" t="s">
        <v>1328</v>
      </c>
      <c r="D1089" s="851" t="s">
        <v>0</v>
      </c>
      <c r="E1089" s="852">
        <f>SUM('Materiais de Medições compacta'!E10:P10)</f>
        <v>0</v>
      </c>
    </row>
    <row r="1090" spans="1:5" ht="14.25" customHeight="1">
      <c r="A1090" s="209"/>
      <c r="B1090" s="844"/>
      <c r="C1090" s="163" t="s">
        <v>1317</v>
      </c>
      <c r="D1090" s="851" t="s">
        <v>0</v>
      </c>
      <c r="E1090" s="852">
        <f>SUM('Materiais de Medições compacta'!E11:P11)</f>
        <v>0</v>
      </c>
    </row>
    <row r="1091" spans="1:5" ht="14.25" customHeight="1">
      <c r="A1091" s="209"/>
      <c r="B1091" s="844"/>
      <c r="C1091" s="163" t="s">
        <v>1318</v>
      </c>
      <c r="D1091" s="851" t="s">
        <v>0</v>
      </c>
      <c r="E1091" s="852">
        <f>SUM('Materiais de Medições compacta'!E12:P12)</f>
        <v>0</v>
      </c>
    </row>
    <row r="1092" spans="1:5" ht="14.25" customHeight="1">
      <c r="A1092" s="209"/>
      <c r="B1092" s="844"/>
      <c r="C1092" s="163" t="s">
        <v>1319</v>
      </c>
      <c r="D1092" s="851" t="s">
        <v>0</v>
      </c>
      <c r="E1092" s="852">
        <f>SUM('Materiais de Medições compacta'!E13:P13)</f>
        <v>0</v>
      </c>
    </row>
    <row r="1093" spans="1:5" ht="14.25" customHeight="1">
      <c r="A1093" s="209"/>
      <c r="B1093" s="844"/>
      <c r="C1093" s="163" t="s">
        <v>1320</v>
      </c>
      <c r="D1093" s="851" t="s">
        <v>0</v>
      </c>
      <c r="E1093" s="852">
        <f>SUM('Materiais de Medições compacta'!E14:P14)</f>
        <v>0</v>
      </c>
    </row>
    <row r="1094" spans="1:5" ht="14.25" customHeight="1">
      <c r="A1094" s="209">
        <v>4209</v>
      </c>
      <c r="B1094" s="844"/>
      <c r="C1094" s="163" t="s">
        <v>1308</v>
      </c>
      <c r="D1094" s="851" t="s">
        <v>0</v>
      </c>
      <c r="E1094" s="852">
        <f>SUM('Materiais de Medições compacta'!E15:P15)</f>
        <v>0</v>
      </c>
    </row>
    <row r="1095" spans="1:5" ht="14.25" customHeight="1">
      <c r="A1095" s="209">
        <v>3526</v>
      </c>
      <c r="B1095" s="844"/>
      <c r="C1095" s="163" t="s">
        <v>1309</v>
      </c>
      <c r="D1095" s="851" t="s">
        <v>168</v>
      </c>
      <c r="E1095" s="852">
        <f>SUM('Materiais de Medições compacta'!E16:P16)</f>
        <v>0</v>
      </c>
    </row>
    <row r="1096" spans="1:5" ht="14.25" customHeight="1">
      <c r="A1096" s="209">
        <v>4210</v>
      </c>
      <c r="B1096" s="844"/>
      <c r="C1096" s="163" t="s">
        <v>1310</v>
      </c>
      <c r="D1096" s="851" t="s">
        <v>168</v>
      </c>
      <c r="E1096" s="852">
        <f>SUM('Materiais de Medições compacta'!E17:P17)</f>
        <v>0</v>
      </c>
    </row>
    <row r="1097" spans="1:5" ht="14.25" customHeight="1">
      <c r="A1097" s="209">
        <v>3527</v>
      </c>
      <c r="B1097" s="844"/>
      <c r="C1097" s="163" t="s">
        <v>1311</v>
      </c>
      <c r="D1097" s="851" t="s">
        <v>168</v>
      </c>
      <c r="E1097" s="852">
        <f>SUM('Materiais de Medições compacta'!E18:P18)</f>
        <v>0</v>
      </c>
    </row>
    <row r="1098" spans="1:5" ht="14.25" customHeight="1">
      <c r="A1098" s="209">
        <v>3528</v>
      </c>
      <c r="B1098" s="844"/>
      <c r="C1098" s="163" t="s">
        <v>1312</v>
      </c>
      <c r="D1098" s="851" t="s">
        <v>168</v>
      </c>
      <c r="E1098" s="852">
        <f>SUM('Materiais de Medições compacta'!E19:P19)</f>
        <v>0</v>
      </c>
    </row>
    <row r="1099" spans="1:5" ht="14.25" customHeight="1">
      <c r="A1099" s="209">
        <v>3529</v>
      </c>
      <c r="B1099" s="844"/>
      <c r="C1099" s="163" t="s">
        <v>1313</v>
      </c>
      <c r="D1099" s="851" t="s">
        <v>168</v>
      </c>
      <c r="E1099" s="852">
        <f>SUM('Materiais de Medições compacta'!E20:P20)</f>
        <v>0</v>
      </c>
    </row>
    <row r="1100" spans="1:5" ht="14.25" customHeight="1">
      <c r="A1100" s="209">
        <v>3524</v>
      </c>
      <c r="B1100" s="844"/>
      <c r="C1100" s="163" t="s">
        <v>1314</v>
      </c>
      <c r="D1100" s="851" t="s">
        <v>168</v>
      </c>
      <c r="E1100" s="852">
        <f>SUM('Materiais de Medições compacta'!E21:P21)</f>
        <v>0</v>
      </c>
    </row>
    <row r="1101" spans="1:5" ht="14.25" customHeight="1">
      <c r="A1101" s="209"/>
      <c r="B1101" s="844"/>
      <c r="C1101" s="163" t="s">
        <v>1468</v>
      </c>
      <c r="D1101" s="851" t="s">
        <v>168</v>
      </c>
      <c r="E1101" s="852">
        <f>SUM('Materiais de Medições compacta'!E22:P22)</f>
        <v>0</v>
      </c>
    </row>
    <row r="1102" spans="1:5" ht="14.25" customHeight="1">
      <c r="A1102" s="209">
        <v>4262</v>
      </c>
      <c r="B1102" s="844"/>
      <c r="C1102" s="163" t="s">
        <v>1315</v>
      </c>
      <c r="D1102" s="851" t="s">
        <v>168</v>
      </c>
      <c r="E1102" s="852">
        <f>SUM('Materiais de Medições compacta'!E23:P23)</f>
        <v>0</v>
      </c>
    </row>
    <row r="1103" spans="1:5" ht="14.25" customHeight="1">
      <c r="A1103" s="209">
        <v>3525</v>
      </c>
      <c r="B1103" s="844"/>
      <c r="C1103" s="163" t="s">
        <v>1316</v>
      </c>
      <c r="D1103" s="851" t="s">
        <v>168</v>
      </c>
      <c r="E1103" s="852">
        <f>SUM('Materiais de Medições compacta'!E24:P24)</f>
        <v>0</v>
      </c>
    </row>
    <row r="1104" spans="1:5" ht="14.25" customHeight="1">
      <c r="A1104" s="209"/>
      <c r="B1104" s="844"/>
      <c r="C1104" s="163" t="s">
        <v>1293</v>
      </c>
      <c r="D1104" s="851" t="s">
        <v>168</v>
      </c>
      <c r="E1104" s="852">
        <f>SUM('Materiais de Medições compacta'!E25:P25)</f>
        <v>0</v>
      </c>
    </row>
    <row r="1105" spans="1:5" ht="14.25" customHeight="1">
      <c r="A1105" s="209">
        <v>4114</v>
      </c>
      <c r="B1105" s="844"/>
      <c r="C1105" s="163" t="s">
        <v>1249</v>
      </c>
      <c r="D1105" s="851" t="s">
        <v>168</v>
      </c>
      <c r="E1105" s="852">
        <f>SUM('Materiais de Medições compacta'!E26:P26)</f>
        <v>0</v>
      </c>
    </row>
    <row r="1106" spans="1:5" ht="14.25" customHeight="1">
      <c r="A1106" s="209">
        <v>4115</v>
      </c>
      <c r="B1106" s="844"/>
      <c r="C1106" s="192" t="s">
        <v>432</v>
      </c>
      <c r="D1106" s="851" t="s">
        <v>0</v>
      </c>
      <c r="E1106" s="852">
        <f>SUM('Materiais de Medições compacta'!E27:P27)</f>
        <v>0</v>
      </c>
    </row>
    <row r="1107" spans="1:5" ht="14.25" customHeight="1">
      <c r="A1107" s="209"/>
      <c r="B1107" s="844"/>
      <c r="C1107" s="163" t="s">
        <v>1744</v>
      </c>
      <c r="D1107" s="851" t="s">
        <v>0</v>
      </c>
      <c r="E1107" s="852">
        <f>SUM('Materiais de Medições compacta'!E28:P28)</f>
        <v>0</v>
      </c>
    </row>
    <row r="1108" spans="1:5" ht="14.25" customHeight="1">
      <c r="A1108" s="209"/>
      <c r="B1108" s="844"/>
      <c r="C1108" s="163" t="s">
        <v>1745</v>
      </c>
      <c r="D1108" s="851" t="s">
        <v>0</v>
      </c>
      <c r="E1108" s="852">
        <f>SUM('Materiais de Medições compacta'!E29:P29)</f>
        <v>0</v>
      </c>
    </row>
    <row r="1109" spans="1:5" ht="14.25" customHeight="1">
      <c r="A1109" s="209">
        <v>4364</v>
      </c>
      <c r="B1109" s="844"/>
      <c r="C1109" s="193" t="s">
        <v>1751</v>
      </c>
      <c r="D1109" s="851" t="s">
        <v>0</v>
      </c>
      <c r="E1109" s="852">
        <f>SUM('Materiais de Medições compacta'!E30:P30)</f>
        <v>0</v>
      </c>
    </row>
    <row r="1110" spans="1:5" ht="14.25" customHeight="1">
      <c r="A1110" s="209">
        <v>4012</v>
      </c>
      <c r="B1110" s="844"/>
      <c r="C1110" s="163" t="s">
        <v>425</v>
      </c>
      <c r="D1110" s="851" t="s">
        <v>0</v>
      </c>
      <c r="E1110" s="852">
        <f>SUM('Materiais de Medições compacta'!E31:P31)</f>
        <v>0</v>
      </c>
    </row>
    <row r="1111" spans="1:5" ht="14.25" customHeight="1">
      <c r="A1111" s="209">
        <v>4104</v>
      </c>
      <c r="B1111" s="844"/>
      <c r="C1111" s="163" t="s">
        <v>1186</v>
      </c>
      <c r="D1111" s="851" t="s">
        <v>0</v>
      </c>
      <c r="E1111" s="852">
        <f>SUM('Materiais de Medições compacta'!E32:P32)</f>
        <v>0</v>
      </c>
    </row>
    <row r="1112" spans="1:5" ht="14.25" customHeight="1">
      <c r="A1112" s="209">
        <v>4133</v>
      </c>
      <c r="B1112" s="844"/>
      <c r="C1112" s="163">
        <v>0</v>
      </c>
      <c r="D1112" s="851" t="s">
        <v>0</v>
      </c>
      <c r="E1112" s="852">
        <f>SUM('Materiais de Medições compacta'!E33:P33)</f>
        <v>0</v>
      </c>
    </row>
    <row r="1113" spans="1:5" ht="14.25" customHeight="1">
      <c r="A1113" s="209">
        <v>3553</v>
      </c>
      <c r="B1113" s="844"/>
      <c r="C1113" s="163" t="s">
        <v>1192</v>
      </c>
      <c r="D1113" s="851" t="s">
        <v>0</v>
      </c>
      <c r="E1113" s="852">
        <f>SUM('Materiais de Medições compacta'!E34:P34)</f>
        <v>0</v>
      </c>
    </row>
    <row r="1114" spans="1:5" ht="14.25" customHeight="1">
      <c r="A1114" s="209"/>
      <c r="B1114" s="844"/>
      <c r="C1114" s="163" t="s">
        <v>1194</v>
      </c>
      <c r="D1114" s="851" t="s">
        <v>0</v>
      </c>
      <c r="E1114" s="852">
        <f>SUM('Materiais de Medições compacta'!E35:P35)</f>
        <v>0</v>
      </c>
    </row>
    <row r="1115" spans="1:5" ht="14.25" customHeight="1">
      <c r="A1115" s="209">
        <v>3554</v>
      </c>
      <c r="B1115" s="844"/>
      <c r="C1115" s="163" t="s">
        <v>1195</v>
      </c>
      <c r="D1115" s="851" t="s">
        <v>0</v>
      </c>
      <c r="E1115" s="852">
        <f>SUM('Materiais de Medições compacta'!E36:P36)</f>
        <v>0</v>
      </c>
    </row>
    <row r="1116" spans="1:5" ht="14.25" customHeight="1">
      <c r="A1116" s="209">
        <v>3555</v>
      </c>
      <c r="B1116" s="844"/>
      <c r="C1116" s="163" t="s">
        <v>1191</v>
      </c>
      <c r="D1116" s="851" t="s">
        <v>0</v>
      </c>
      <c r="E1116" s="852">
        <f>SUM('Materiais de Medições compacta'!E37:P37)</f>
        <v>0</v>
      </c>
    </row>
    <row r="1117" spans="1:5" ht="14.25" customHeight="1">
      <c r="A1117" s="209">
        <v>4121</v>
      </c>
      <c r="B1117" s="844"/>
      <c r="C1117" s="163" t="s">
        <v>1196</v>
      </c>
      <c r="D1117" s="851" t="s">
        <v>0</v>
      </c>
      <c r="E1117" s="852">
        <f>SUM('Materiais de Medições compacta'!E38:P38)</f>
        <v>0</v>
      </c>
    </row>
    <row r="1118" spans="1:5" ht="14.25" customHeight="1">
      <c r="A1118" s="209">
        <v>4122</v>
      </c>
      <c r="B1118" s="844"/>
      <c r="C1118" s="163" t="s">
        <v>1197</v>
      </c>
      <c r="D1118" s="851" t="s">
        <v>0</v>
      </c>
      <c r="E1118" s="852">
        <f>SUM('Materiais de Medições compacta'!E39:P39)</f>
        <v>0</v>
      </c>
    </row>
    <row r="1119" spans="1:5" ht="14.25" customHeight="1">
      <c r="A1119" s="209">
        <v>3569</v>
      </c>
      <c r="B1119" s="844"/>
      <c r="C1119" s="163" t="s">
        <v>416</v>
      </c>
      <c r="D1119" s="851" t="s">
        <v>0</v>
      </c>
      <c r="E1119" s="852">
        <f>SUM('Materiais de Medições compacta'!E40:P40)</f>
        <v>0</v>
      </c>
    </row>
    <row r="1120" spans="1:5" ht="14.25" customHeight="1">
      <c r="A1120" s="209"/>
      <c r="B1120" s="844"/>
      <c r="C1120" s="192" t="s">
        <v>1304</v>
      </c>
      <c r="D1120" s="851" t="s">
        <v>0</v>
      </c>
      <c r="E1120" s="852">
        <f>SUM('Materiais de Medições compacta'!E41:P41)</f>
        <v>0</v>
      </c>
    </row>
    <row r="1121" spans="1:5" ht="14.25" customHeight="1">
      <c r="A1121" s="209"/>
      <c r="B1121" s="844"/>
      <c r="C1121" s="192" t="s">
        <v>1305</v>
      </c>
      <c r="D1121" s="851" t="s">
        <v>0</v>
      </c>
      <c r="E1121" s="852">
        <f>SUM('Materiais de Medições compacta'!E42:P42)</f>
        <v>0</v>
      </c>
    </row>
    <row r="1122" spans="1:5" ht="14.25" customHeight="1">
      <c r="A1122" s="209">
        <v>4350</v>
      </c>
      <c r="B1122" s="844"/>
      <c r="C1122" s="192" t="s">
        <v>1306</v>
      </c>
      <c r="D1122" s="851" t="s">
        <v>0</v>
      </c>
      <c r="E1122" s="852">
        <f>SUM('Materiais de Medições compacta'!E43:P43)</f>
        <v>0</v>
      </c>
    </row>
    <row r="1123" spans="1:5" ht="14.25" customHeight="1">
      <c r="A1123" s="209">
        <v>4349</v>
      </c>
      <c r="B1123" s="844"/>
      <c r="C1123" s="192" t="s">
        <v>1307</v>
      </c>
      <c r="D1123" s="851" t="s">
        <v>0</v>
      </c>
      <c r="E1123" s="852">
        <f>SUM('Materiais de Medições compacta'!E44:P44)</f>
        <v>0</v>
      </c>
    </row>
    <row r="1124" spans="1:5" ht="14.25" customHeight="1">
      <c r="A1124" s="209"/>
      <c r="B1124" s="844"/>
      <c r="C1124" s="163" t="s">
        <v>510</v>
      </c>
      <c r="D1124" s="851" t="s">
        <v>0</v>
      </c>
      <c r="E1124" s="852">
        <f>SUM('Materiais de Medições compacta'!E45:P45)</f>
        <v>0</v>
      </c>
    </row>
    <row r="1125" spans="1:5" ht="14.25" customHeight="1">
      <c r="A1125" s="209">
        <v>4511</v>
      </c>
      <c r="B1125" s="844"/>
      <c r="C1125" s="163" t="s">
        <v>1200</v>
      </c>
      <c r="D1125" s="851" t="s">
        <v>0</v>
      </c>
      <c r="E1125" s="852">
        <f>SUM('Materiais de Medições compacta'!E46:P46)</f>
        <v>0</v>
      </c>
    </row>
    <row r="1126" spans="1:5" ht="14.25" customHeight="1">
      <c r="A1126" s="209"/>
      <c r="B1126" s="844"/>
      <c r="C1126" s="163" t="s">
        <v>472</v>
      </c>
      <c r="D1126" s="851" t="s">
        <v>0</v>
      </c>
      <c r="E1126" s="852">
        <f>SUM('Materiais de Medições compacta'!E47:P47)</f>
        <v>0</v>
      </c>
    </row>
    <row r="1127" spans="1:5" ht="14.25" customHeight="1">
      <c r="A1127" s="209">
        <v>4231</v>
      </c>
      <c r="B1127" s="844"/>
      <c r="C1127" s="163" t="s">
        <v>1188</v>
      </c>
      <c r="D1127" s="851" t="s">
        <v>0</v>
      </c>
      <c r="E1127" s="852">
        <f>SUM('Materiais de Medições compacta'!E48:P48)</f>
        <v>0</v>
      </c>
    </row>
    <row r="1128" spans="1:5" ht="14.25" customHeight="1">
      <c r="A1128" s="209">
        <v>4079</v>
      </c>
      <c r="B1128" s="844"/>
      <c r="C1128" s="163" t="s">
        <v>443</v>
      </c>
      <c r="D1128" s="851" t="s">
        <v>0</v>
      </c>
      <c r="E1128" s="852">
        <f>SUM('Materiais de Medições compacta'!E49:P49)</f>
        <v>0</v>
      </c>
    </row>
    <row r="1129" spans="1:5" ht="14.25" customHeight="1">
      <c r="A1129" s="209">
        <v>4058</v>
      </c>
      <c r="B1129" s="844"/>
      <c r="C1129" s="163" t="s">
        <v>473</v>
      </c>
      <c r="D1129" s="851" t="s">
        <v>0</v>
      </c>
      <c r="E1129" s="852">
        <f>SUM('Materiais de Medições compacta'!E50:P50)</f>
        <v>0</v>
      </c>
    </row>
    <row r="1130" spans="1:5" ht="14.25" customHeight="1">
      <c r="A1130" s="209">
        <v>4233</v>
      </c>
      <c r="B1130" s="844"/>
      <c r="C1130" s="163" t="s">
        <v>466</v>
      </c>
      <c r="D1130" s="851" t="s">
        <v>0</v>
      </c>
      <c r="E1130" s="852">
        <f>SUM('Materiais de Medições compacta'!E51:P51)</f>
        <v>0</v>
      </c>
    </row>
    <row r="1131" spans="1:5" ht="14.25" customHeight="1">
      <c r="A1131" s="209">
        <v>4116</v>
      </c>
      <c r="B1131" s="844"/>
      <c r="C1131" s="163" t="s">
        <v>428</v>
      </c>
      <c r="D1131" s="851" t="s">
        <v>0</v>
      </c>
      <c r="E1131" s="852">
        <f>SUM('Materiais de Medições compacta'!E52:P52)</f>
        <v>0</v>
      </c>
    </row>
    <row r="1132" spans="1:5" ht="14.25" customHeight="1">
      <c r="A1132" s="209">
        <v>4256</v>
      </c>
      <c r="B1132" s="844"/>
      <c r="C1132" s="163" t="s">
        <v>474</v>
      </c>
      <c r="D1132" s="851" t="s">
        <v>0</v>
      </c>
      <c r="E1132" s="852">
        <f>SUM('Materiais de Medições compacta'!E53:P53)</f>
        <v>0</v>
      </c>
    </row>
    <row r="1133" spans="1:5" ht="14.25" customHeight="1">
      <c r="A1133" s="209">
        <v>4117</v>
      </c>
      <c r="B1133" s="844"/>
      <c r="C1133" s="163" t="s">
        <v>463</v>
      </c>
      <c r="D1133" s="851" t="s">
        <v>0</v>
      </c>
      <c r="E1133" s="852">
        <f>SUM('Materiais de Medições compacta'!E54:P54)</f>
        <v>0</v>
      </c>
    </row>
    <row r="1134" spans="1:5" ht="14.25" customHeight="1">
      <c r="A1134" s="209">
        <v>4255</v>
      </c>
      <c r="B1134" s="844"/>
      <c r="C1134" s="163" t="s">
        <v>475</v>
      </c>
      <c r="D1134" s="851" t="s">
        <v>0</v>
      </c>
      <c r="E1134" s="852">
        <f>SUM('Materiais de Medições compacta'!E55:P55)</f>
        <v>0</v>
      </c>
    </row>
    <row r="1135" spans="1:5" ht="14.25" customHeight="1">
      <c r="A1135" s="209"/>
      <c r="B1135" s="844"/>
      <c r="C1135" s="163" t="s">
        <v>1753</v>
      </c>
      <c r="D1135" s="851" t="s">
        <v>0</v>
      </c>
      <c r="E1135" s="852">
        <f>SUM('Materiais de Medições compacta'!E56:P56)</f>
        <v>0</v>
      </c>
    </row>
    <row r="1136" spans="1:5" ht="14.25" customHeight="1">
      <c r="A1136" s="209"/>
      <c r="B1136" s="844"/>
      <c r="C1136" s="163" t="s">
        <v>1185</v>
      </c>
      <c r="D1136" s="851" t="s">
        <v>0</v>
      </c>
      <c r="E1136" s="852">
        <f>SUM('Materiais de Medições compacta'!E57:P57)</f>
        <v>0</v>
      </c>
    </row>
    <row r="1137" spans="1:5" ht="14.25" customHeight="1">
      <c r="A1137" s="209"/>
      <c r="B1137" s="844"/>
      <c r="C1137" s="163" t="s">
        <v>476</v>
      </c>
      <c r="D1137" s="851" t="s">
        <v>0</v>
      </c>
      <c r="E1137" s="852">
        <f>SUM('Materiais de Medições compacta'!E58:P58)</f>
        <v>0</v>
      </c>
    </row>
    <row r="1138" spans="1:5" ht="14.25" customHeight="1">
      <c r="A1138" s="209"/>
      <c r="B1138" s="844"/>
      <c r="C1138" s="163" t="s">
        <v>1199</v>
      </c>
      <c r="D1138" s="851" t="s">
        <v>0</v>
      </c>
      <c r="E1138" s="852">
        <f>SUM('Materiais de Medições compacta'!E59:P59)</f>
        <v>0</v>
      </c>
    </row>
    <row r="1139" spans="1:5" ht="14.25" customHeight="1">
      <c r="A1139" s="209"/>
      <c r="B1139" s="844"/>
      <c r="C1139" s="163" t="s">
        <v>1190</v>
      </c>
      <c r="D1139" s="851" t="s">
        <v>0</v>
      </c>
      <c r="E1139" s="852">
        <f>SUM('Materiais de Medições compacta'!E60:P60)</f>
        <v>0</v>
      </c>
    </row>
    <row r="1140" spans="1:5" ht="14.25" customHeight="1">
      <c r="A1140" s="209"/>
      <c r="B1140" s="844"/>
      <c r="C1140" s="163" t="s">
        <v>1189</v>
      </c>
      <c r="D1140" s="851" t="s">
        <v>0</v>
      </c>
      <c r="E1140" s="852">
        <f>SUM('Materiais de Medições compacta'!E61:P61)</f>
        <v>0</v>
      </c>
    </row>
    <row r="1141" spans="1:5" ht="14.25" customHeight="1">
      <c r="A1141" s="209"/>
      <c r="B1141" s="844"/>
      <c r="C1141" s="163" t="s">
        <v>1181</v>
      </c>
      <c r="D1141" s="851" t="s">
        <v>0</v>
      </c>
      <c r="E1141" s="852">
        <f>SUM('Materiais de Medições compacta'!E62:P62)</f>
        <v>0</v>
      </c>
    </row>
    <row r="1142" spans="1:5" ht="15.75" customHeight="1">
      <c r="A1142" s="209">
        <v>3981</v>
      </c>
      <c r="B1142" s="844"/>
      <c r="C1142" s="163" t="s">
        <v>415</v>
      </c>
      <c r="D1142" s="851" t="s">
        <v>0</v>
      </c>
      <c r="E1142" s="852">
        <f>SUM('Materiais de Medições compacta'!E63:P63)</f>
        <v>0</v>
      </c>
    </row>
    <row r="1143" spans="1:5" ht="15" customHeight="1">
      <c r="A1143" s="209"/>
      <c r="B1143" s="844"/>
      <c r="C1143" s="192" t="s">
        <v>1198</v>
      </c>
      <c r="D1143" s="851" t="s">
        <v>0</v>
      </c>
      <c r="E1143" s="852">
        <f>SUM('Materiais de Medições compacta'!E64:P64)</f>
        <v>0</v>
      </c>
    </row>
    <row r="1144" spans="1:5" ht="15" customHeight="1">
      <c r="A1144" s="209"/>
      <c r="B1144" s="844"/>
      <c r="C1144" s="192" t="s">
        <v>1182</v>
      </c>
      <c r="D1144" s="851" t="s">
        <v>0</v>
      </c>
      <c r="E1144" s="852">
        <f>SUM('Materiais de Medições compacta'!E65:P65)</f>
        <v>0</v>
      </c>
    </row>
    <row r="1145" spans="1:5" ht="15" customHeight="1">
      <c r="A1145" s="209"/>
      <c r="B1145" s="844"/>
      <c r="C1145" s="192" t="s">
        <v>1183</v>
      </c>
      <c r="D1145" s="851" t="s">
        <v>0</v>
      </c>
      <c r="E1145" s="852">
        <f>SUM('Materiais de Medições compacta'!E66:P66)</f>
        <v>0</v>
      </c>
    </row>
    <row r="1146" spans="1:5" ht="15" customHeight="1">
      <c r="A1146" s="209">
        <v>4492</v>
      </c>
      <c r="B1146" s="844"/>
      <c r="C1146" s="192" t="s">
        <v>1184</v>
      </c>
      <c r="D1146" s="851" t="s">
        <v>0</v>
      </c>
      <c r="E1146" s="852">
        <f>SUM('Materiais de Medições compacta'!E67:P67)</f>
        <v>0</v>
      </c>
    </row>
    <row r="1147" spans="1:5" ht="15" customHeight="1">
      <c r="A1147" s="209">
        <v>3969</v>
      </c>
      <c r="B1147" s="844"/>
      <c r="C1147" s="192" t="s">
        <v>444</v>
      </c>
      <c r="D1147" s="851" t="s">
        <v>0</v>
      </c>
      <c r="E1147" s="852">
        <f>SUM('Materiais de Medições compacta'!E68:P68)</f>
        <v>0</v>
      </c>
    </row>
    <row r="1148" spans="1:5" ht="15" customHeight="1">
      <c r="A1148" s="209"/>
      <c r="B1148" s="844"/>
      <c r="C1148" s="192" t="s">
        <v>1264</v>
      </c>
      <c r="D1148" s="747" t="s">
        <v>743</v>
      </c>
      <c r="E1148" s="852">
        <f>SUM('Materiais de Medições compacta'!E69:P69)</f>
        <v>0</v>
      </c>
    </row>
    <row r="1149" spans="1:5" ht="15" customHeight="1">
      <c r="A1149" s="1032"/>
      <c r="B1149" s="414"/>
      <c r="C1149" s="192" t="s">
        <v>1743</v>
      </c>
      <c r="D1149" s="747" t="s">
        <v>743</v>
      </c>
      <c r="E1149" s="852">
        <f>SUM('Materiais de Medições compacta'!E70:P70)</f>
        <v>0</v>
      </c>
    </row>
    <row r="1150" spans="1:5" ht="15" customHeight="1">
      <c r="A1150" s="1032"/>
      <c r="B1150" s="414"/>
      <c r="C1150" s="1003" t="s">
        <v>1352</v>
      </c>
      <c r="D1150" s="1004" t="s">
        <v>1444</v>
      </c>
      <c r="E1150" s="1005">
        <f>SUM('Materiais de Medições compacta'!E71:P71)</f>
        <v>0</v>
      </c>
    </row>
    <row r="1151" spans="1:5" ht="15" customHeight="1">
      <c r="A1151" s="1032"/>
      <c r="B1151" s="414"/>
      <c r="C1151" s="1003" t="s">
        <v>1353</v>
      </c>
      <c r="D1151" s="1004" t="s">
        <v>1338</v>
      </c>
      <c r="E1151" s="1005">
        <f>SUM('Materiais de Medições compacta'!E72:P72)</f>
        <v>0</v>
      </c>
    </row>
    <row r="1152" spans="1:5" ht="15" customHeight="1">
      <c r="A1152" s="1032"/>
      <c r="B1152" s="414"/>
      <c r="C1152" s="1003" t="s">
        <v>1354</v>
      </c>
      <c r="D1152" s="1004" t="s">
        <v>574</v>
      </c>
      <c r="E1152" s="1005">
        <f>SUM('Materiais de Medições compacta'!E73:P73)</f>
        <v>0</v>
      </c>
    </row>
    <row r="1153" spans="1:5" ht="15" customHeight="1">
      <c r="A1153" s="1032"/>
      <c r="B1153" s="414"/>
      <c r="C1153" s="1003" t="s">
        <v>1355</v>
      </c>
      <c r="D1153" s="1004" t="s">
        <v>743</v>
      </c>
      <c r="E1153" s="1005">
        <f>SUM('Materiais de Medições compacta'!E74:P74)</f>
        <v>0</v>
      </c>
    </row>
    <row r="1154" spans="1:5" ht="15" customHeight="1">
      <c r="A1154" s="1032"/>
      <c r="B1154" s="414"/>
      <c r="C1154" s="1003" t="s">
        <v>1356</v>
      </c>
      <c r="D1154" s="1004" t="s">
        <v>0</v>
      </c>
      <c r="E1154" s="1005">
        <f>SUM('Materiais de Medições compacta'!E75:P75)</f>
        <v>0</v>
      </c>
    </row>
    <row r="1155" spans="1:5" ht="15" customHeight="1">
      <c r="A1155" s="1032"/>
      <c r="B1155" s="414"/>
      <c r="C1155" s="1003" t="s">
        <v>1357</v>
      </c>
      <c r="D1155" s="1004" t="s">
        <v>743</v>
      </c>
      <c r="E1155" s="1005">
        <f>SUM('Materiais de Medições compacta'!E76:P76)</f>
        <v>0</v>
      </c>
    </row>
    <row r="1156" spans="1:5" ht="15" customHeight="1">
      <c r="A1156" s="1032"/>
      <c r="B1156" s="414"/>
      <c r="C1156" s="1003" t="s">
        <v>1358</v>
      </c>
      <c r="D1156" s="1004" t="s">
        <v>743</v>
      </c>
      <c r="E1156" s="1005">
        <f>SUM('Materiais de Medições compacta'!E77:P77)</f>
        <v>0</v>
      </c>
    </row>
    <row r="1157" spans="1:5" ht="15" customHeight="1">
      <c r="A1157" s="545">
        <v>4331</v>
      </c>
      <c r="B1157" s="637"/>
      <c r="C1157" s="192" t="s">
        <v>1294</v>
      </c>
      <c r="D1157" s="643" t="s">
        <v>0</v>
      </c>
      <c r="E1157" s="852">
        <f>SUM('Materiais de Medições compacta'!E78:P78)</f>
        <v>0</v>
      </c>
    </row>
    <row r="1158" spans="1:5" ht="15" customHeight="1">
      <c r="A1158" s="545">
        <v>4014</v>
      </c>
      <c r="B1158" s="637"/>
      <c r="C1158" s="5" t="s">
        <v>1295</v>
      </c>
      <c r="D1158" s="643" t="s">
        <v>0</v>
      </c>
      <c r="E1158" s="852">
        <f>SUM('Materiais de Medições compacta'!E79:P79)</f>
        <v>0</v>
      </c>
    </row>
    <row r="1159" spans="1:5" ht="15" customHeight="1">
      <c r="A1159" s="545">
        <v>3962</v>
      </c>
      <c r="B1159" s="637"/>
      <c r="C1159" s="5" t="s">
        <v>1296</v>
      </c>
      <c r="D1159" s="643" t="s">
        <v>0</v>
      </c>
      <c r="E1159" s="852">
        <f>SUM('Materiais de Medições compacta'!E80:P80)</f>
        <v>0</v>
      </c>
    </row>
    <row r="1160" spans="1:5" ht="15" customHeight="1">
      <c r="A1160" s="545">
        <v>4177</v>
      </c>
      <c r="B1160" s="637"/>
      <c r="C1160" s="5" t="s">
        <v>1297</v>
      </c>
      <c r="D1160" s="643" t="s">
        <v>0</v>
      </c>
      <c r="E1160" s="852">
        <f>SUM('Materiais de Medições compacta'!E81:P81)</f>
        <v>0</v>
      </c>
    </row>
    <row r="1161" spans="1:5" ht="15" customHeight="1">
      <c r="A1161" s="545">
        <v>4013</v>
      </c>
      <c r="B1161" s="637"/>
      <c r="C1161" s="5" t="s">
        <v>1298</v>
      </c>
      <c r="D1161" s="643" t="s">
        <v>0</v>
      </c>
      <c r="E1161" s="852">
        <f>SUM('Materiais de Medições compacta'!E82:P82)</f>
        <v>0</v>
      </c>
    </row>
    <row r="1162" spans="1:5" ht="15" customHeight="1">
      <c r="A1162" s="545"/>
      <c r="B1162" s="637"/>
      <c r="C1162" s="5" t="s">
        <v>1299</v>
      </c>
      <c r="D1162" s="643" t="s">
        <v>0</v>
      </c>
      <c r="E1162" s="852">
        <f>SUM('Materiais de Medições compacta'!E83:P83)</f>
        <v>0</v>
      </c>
    </row>
    <row r="1163" spans="1:5" ht="15" customHeight="1">
      <c r="A1163" s="545">
        <v>4119</v>
      </c>
      <c r="B1163" s="637"/>
      <c r="C1163" s="163" t="s">
        <v>1300</v>
      </c>
      <c r="D1163" s="643" t="s">
        <v>0</v>
      </c>
      <c r="E1163" s="852">
        <f>SUM('Materiais de Medições compacta'!E84:P84)</f>
        <v>0</v>
      </c>
    </row>
    <row r="1164" spans="1:5" ht="15" customHeight="1">
      <c r="A1164" s="545">
        <v>4120</v>
      </c>
      <c r="B1164" s="637"/>
      <c r="C1164" s="163" t="s">
        <v>1301</v>
      </c>
      <c r="D1164" s="643" t="s">
        <v>0</v>
      </c>
      <c r="E1164" s="852">
        <f>SUM('Materiais de Medições compacta'!E85:P85)</f>
        <v>0</v>
      </c>
    </row>
    <row r="1165" spans="1:5" ht="15" customHeight="1">
      <c r="A1165" s="545"/>
      <c r="B1165" s="637"/>
      <c r="C1165" s="163" t="s">
        <v>1302</v>
      </c>
      <c r="D1165" s="643" t="s">
        <v>0</v>
      </c>
      <c r="E1165" s="852">
        <f>SUM('Materiais de Medições compacta'!E86:P86)</f>
        <v>0</v>
      </c>
    </row>
    <row r="1166" spans="1:5" ht="15" customHeight="1">
      <c r="A1166" s="545"/>
      <c r="B1166" s="637"/>
      <c r="C1166" s="163" t="s">
        <v>1303</v>
      </c>
      <c r="D1166" s="643" t="s">
        <v>0</v>
      </c>
      <c r="E1166" s="852">
        <f>SUM('Materiais de Medições compacta'!E87:P87)</f>
        <v>0</v>
      </c>
    </row>
    <row r="1167" spans="1:5" ht="15" customHeight="1" thickBot="1">
      <c r="C1167" s="171"/>
      <c r="D1167" s="846"/>
      <c r="E1167" s="847">
        <v>0</v>
      </c>
    </row>
    <row r="1168" spans="1:5" ht="15" customHeight="1" thickBot="1">
      <c r="A1168" s="1707" t="s">
        <v>1450</v>
      </c>
      <c r="B1168" s="1708"/>
      <c r="C1168" s="1708"/>
      <c r="D1168" s="1708"/>
      <c r="E1168" s="655">
        <f>E1169</f>
        <v>0</v>
      </c>
    </row>
    <row r="1169" spans="1:5" ht="15" customHeight="1">
      <c r="A1169" s="314" t="s">
        <v>1169</v>
      </c>
      <c r="B1169" s="635" t="s">
        <v>1170</v>
      </c>
      <c r="C1169" s="314" t="s">
        <v>1063</v>
      </c>
      <c r="D1169" s="472" t="s">
        <v>171</v>
      </c>
      <c r="E1169" s="343">
        <f>IF(SUM(E1170:E1255)=0,0,"Quant")</f>
        <v>0</v>
      </c>
    </row>
    <row r="1170" spans="1:5" ht="15" customHeight="1">
      <c r="A1170" s="83">
        <v>3492</v>
      </c>
      <c r="B1170" s="639"/>
      <c r="C1170" s="163" t="s">
        <v>1171</v>
      </c>
      <c r="D1170" s="45" t="s">
        <v>515</v>
      </c>
      <c r="E1170" s="1485">
        <f>'Subestação 34,5kv'!L45</f>
        <v>0</v>
      </c>
    </row>
    <row r="1171" spans="1:5" ht="15" customHeight="1">
      <c r="A1171" s="545">
        <v>3491</v>
      </c>
      <c r="B1171" s="639"/>
      <c r="C1171" s="173" t="s">
        <v>1172</v>
      </c>
      <c r="D1171" s="1474" t="s">
        <v>515</v>
      </c>
      <c r="E1171" s="1485">
        <f>'Subestação 34,5kv'!L46</f>
        <v>0</v>
      </c>
    </row>
    <row r="1172" spans="1:5" ht="15" customHeight="1">
      <c r="A1172" s="545">
        <v>3494</v>
      </c>
      <c r="B1172" s="639"/>
      <c r="C1172" s="173" t="s">
        <v>1173</v>
      </c>
      <c r="D1172" s="1474" t="s">
        <v>515</v>
      </c>
      <c r="E1172" s="1485">
        <f>'Subestação 34,5kv'!L47</f>
        <v>0</v>
      </c>
    </row>
    <row r="1173" spans="1:5" ht="15" customHeight="1">
      <c r="A1173" s="545"/>
      <c r="B1173" s="639"/>
      <c r="C1173" s="173" t="s">
        <v>1174</v>
      </c>
      <c r="D1173" s="1474" t="s">
        <v>515</v>
      </c>
      <c r="E1173" s="1485">
        <f>'Subestação 34,5kv'!L48</f>
        <v>0</v>
      </c>
    </row>
    <row r="1174" spans="1:5" ht="15" customHeight="1">
      <c r="A1174" s="845"/>
      <c r="B1174" s="639"/>
      <c r="C1174" s="163" t="s">
        <v>1771</v>
      </c>
      <c r="D1174" s="400" t="s">
        <v>0</v>
      </c>
      <c r="E1174" s="1485">
        <f>'Subestação 34,5kv'!L49</f>
        <v>0</v>
      </c>
    </row>
    <row r="1175" spans="1:5" ht="15" customHeight="1">
      <c r="A1175" s="845"/>
      <c r="B1175" s="639"/>
      <c r="C1175" s="163" t="s">
        <v>1426</v>
      </c>
      <c r="D1175" s="400" t="s">
        <v>168</v>
      </c>
      <c r="E1175" s="1485">
        <f>'Subestação 34,5kv'!L50</f>
        <v>0</v>
      </c>
    </row>
    <row r="1176" spans="1:5" ht="15" customHeight="1">
      <c r="A1176" s="845"/>
      <c r="B1176" s="639"/>
      <c r="C1176" s="163" t="s">
        <v>1772</v>
      </c>
      <c r="D1176" s="400" t="s">
        <v>168</v>
      </c>
      <c r="E1176" s="1485">
        <f>'Subestação 34,5kv'!L51</f>
        <v>0</v>
      </c>
    </row>
    <row r="1177" spans="1:5" ht="15" customHeight="1">
      <c r="A1177" s="845">
        <v>3498</v>
      </c>
      <c r="B1177" s="639"/>
      <c r="C1177" s="163" t="s">
        <v>36</v>
      </c>
      <c r="D1177" s="400" t="s">
        <v>4</v>
      </c>
      <c r="E1177" s="1485">
        <f>'Subestação 34,5kv'!L52</f>
        <v>0</v>
      </c>
    </row>
    <row r="1178" spans="1:5" ht="15" customHeight="1">
      <c r="A1178" s="845">
        <v>3506</v>
      </c>
      <c r="B1178" s="639"/>
      <c r="C1178" s="163" t="s">
        <v>2</v>
      </c>
      <c r="D1178" s="400" t="s">
        <v>515</v>
      </c>
      <c r="E1178" s="1485">
        <f>'Subestação 34,5kv'!L53</f>
        <v>0</v>
      </c>
    </row>
    <row r="1179" spans="1:5" ht="15" customHeight="1">
      <c r="A1179" s="845"/>
      <c r="B1179" s="639"/>
      <c r="C1179" s="163" t="s">
        <v>1427</v>
      </c>
      <c r="D1179" s="400" t="s">
        <v>515</v>
      </c>
      <c r="E1179" s="1485">
        <f>'Subestação 34,5kv'!L54</f>
        <v>0</v>
      </c>
    </row>
    <row r="1180" spans="1:5" ht="15" customHeight="1">
      <c r="A1180" s="845"/>
      <c r="B1180" s="639"/>
      <c r="C1180" s="163" t="s">
        <v>1755</v>
      </c>
      <c r="D1180" s="400" t="s">
        <v>515</v>
      </c>
      <c r="E1180" s="1485">
        <f>'Subestação 34,5kv'!L55</f>
        <v>0</v>
      </c>
    </row>
    <row r="1181" spans="1:5" ht="15" customHeight="1">
      <c r="A1181" s="845"/>
      <c r="B1181" s="639"/>
      <c r="C1181" s="163" t="s">
        <v>1756</v>
      </c>
      <c r="D1181" s="400" t="s">
        <v>515</v>
      </c>
      <c r="E1181" s="1485">
        <f>'Subestação 34,5kv'!L56</f>
        <v>0</v>
      </c>
    </row>
    <row r="1182" spans="1:5" ht="15" customHeight="1">
      <c r="A1182" s="845"/>
      <c r="B1182" s="639"/>
      <c r="C1182" s="163" t="s">
        <v>1759</v>
      </c>
      <c r="D1182" s="400" t="s">
        <v>4</v>
      </c>
      <c r="E1182" s="1485">
        <f>'Subestação 34,5kv'!L57</f>
        <v>0</v>
      </c>
    </row>
    <row r="1183" spans="1:5" ht="15" customHeight="1">
      <c r="A1183" s="639"/>
      <c r="B1183" s="639"/>
      <c r="C1183" s="173" t="s">
        <v>1760</v>
      </c>
      <c r="D1183" s="1476" t="s">
        <v>4</v>
      </c>
      <c r="E1183" s="1485">
        <f>'Subestação 34,5kv'!L58</f>
        <v>0</v>
      </c>
    </row>
    <row r="1184" spans="1:5" ht="15" customHeight="1">
      <c r="A1184" s="639"/>
      <c r="B1184" s="639"/>
      <c r="C1184" s="173" t="s">
        <v>1761</v>
      </c>
      <c r="D1184" s="1476" t="s">
        <v>4</v>
      </c>
      <c r="E1184" s="1485">
        <f>'Subestação 34,5kv'!L59</f>
        <v>0</v>
      </c>
    </row>
    <row r="1185" spans="1:5" ht="15" customHeight="1">
      <c r="A1185" s="639"/>
      <c r="B1185" s="639"/>
      <c r="C1185" s="173" t="s">
        <v>1762</v>
      </c>
      <c r="D1185" s="1476" t="s">
        <v>4</v>
      </c>
      <c r="E1185" s="1485">
        <f>'Subestação 34,5kv'!L60</f>
        <v>0</v>
      </c>
    </row>
    <row r="1186" spans="1:5" ht="15" customHeight="1">
      <c r="A1186" s="845">
        <v>3522</v>
      </c>
      <c r="B1186" s="639"/>
      <c r="C1186" s="163" t="s">
        <v>1428</v>
      </c>
      <c r="D1186" s="400" t="s">
        <v>386</v>
      </c>
      <c r="E1186" s="1485">
        <f>'Subestação 34,5kv'!L61</f>
        <v>0</v>
      </c>
    </row>
    <row r="1187" spans="1:5" ht="15" customHeight="1">
      <c r="A1187" s="845"/>
      <c r="B1187" s="639"/>
      <c r="C1187" s="163" t="s">
        <v>1766</v>
      </c>
      <c r="D1187" s="400" t="s">
        <v>386</v>
      </c>
      <c r="E1187" s="1485">
        <f>'Subestação 34,5kv'!L62</f>
        <v>0</v>
      </c>
    </row>
    <row r="1188" spans="1:5" ht="15" customHeight="1">
      <c r="A1188" s="845"/>
      <c r="B1188" s="639"/>
      <c r="C1188" s="163" t="s">
        <v>1765</v>
      </c>
      <c r="D1188" s="400" t="s">
        <v>168</v>
      </c>
      <c r="E1188" s="1485">
        <f>'Subestação 34,5kv'!L63</f>
        <v>0</v>
      </c>
    </row>
    <row r="1189" spans="1:5" ht="15" customHeight="1">
      <c r="A1189" s="845"/>
      <c r="B1189" s="639"/>
      <c r="C1189" s="163" t="s">
        <v>1769</v>
      </c>
      <c r="D1189" s="400" t="s">
        <v>168</v>
      </c>
      <c r="E1189" s="1485">
        <f>'Subestação 34,5kv'!L64</f>
        <v>0</v>
      </c>
    </row>
    <row r="1190" spans="1:5" ht="15" customHeight="1">
      <c r="A1190" s="845"/>
      <c r="B1190" s="639"/>
      <c r="C1190" s="163" t="s">
        <v>1429</v>
      </c>
      <c r="D1190" s="400" t="s">
        <v>168</v>
      </c>
      <c r="E1190" s="1485">
        <f>'Subestação 34,5kv'!L65</f>
        <v>0</v>
      </c>
    </row>
    <row r="1191" spans="1:5" ht="15" customHeight="1">
      <c r="A1191" s="845">
        <v>3516</v>
      </c>
      <c r="B1191" s="639"/>
      <c r="C1191" s="163" t="s">
        <v>1770</v>
      </c>
      <c r="D1191" s="400" t="s">
        <v>168</v>
      </c>
      <c r="E1191" s="1485">
        <f>'Subestação 34,5kv'!L66</f>
        <v>0</v>
      </c>
    </row>
    <row r="1192" spans="1:5" ht="15" customHeight="1">
      <c r="A1192" s="845"/>
      <c r="B1192" s="639"/>
      <c r="C1192" s="163" t="s">
        <v>1430</v>
      </c>
      <c r="D1192" s="400" t="s">
        <v>0</v>
      </c>
      <c r="E1192" s="1485">
        <f>'Subestação 34,5kv'!L67</f>
        <v>0</v>
      </c>
    </row>
    <row r="1193" spans="1:5" ht="15" customHeight="1">
      <c r="A1193" s="845"/>
      <c r="B1193" s="639"/>
      <c r="C1193" s="163" t="s">
        <v>1784</v>
      </c>
      <c r="D1193" s="400" t="s">
        <v>0</v>
      </c>
      <c r="E1193" s="1485">
        <f>'Subestação 34,5kv'!L68</f>
        <v>0</v>
      </c>
    </row>
    <row r="1194" spans="1:5" ht="15" customHeight="1">
      <c r="A1194" s="845">
        <v>3536</v>
      </c>
      <c r="B1194" s="639"/>
      <c r="C1194" s="163" t="s">
        <v>454</v>
      </c>
      <c r="D1194" s="400" t="s">
        <v>515</v>
      </c>
      <c r="E1194" s="1485">
        <f>'Subestação 34,5kv'!L69</f>
        <v>0</v>
      </c>
    </row>
    <row r="1195" spans="1:5" ht="15" customHeight="1">
      <c r="A1195" s="845">
        <v>4016</v>
      </c>
      <c r="B1195" s="639"/>
      <c r="C1195" s="163" t="s">
        <v>456</v>
      </c>
      <c r="D1195" s="400" t="s">
        <v>515</v>
      </c>
      <c r="E1195" s="1485">
        <f>'Subestação 34,5kv'!L70</f>
        <v>0</v>
      </c>
    </row>
    <row r="1196" spans="1:5" ht="15" customHeight="1">
      <c r="A1196" s="845"/>
      <c r="B1196" s="639"/>
      <c r="C1196" s="163" t="s">
        <v>1431</v>
      </c>
      <c r="D1196" s="400" t="s">
        <v>0</v>
      </c>
      <c r="E1196" s="1485">
        <f>'Subestação 34,5kv'!L71</f>
        <v>0</v>
      </c>
    </row>
    <row r="1197" spans="1:5" ht="15" customHeight="1">
      <c r="A1197" s="639"/>
      <c r="B1197" s="639"/>
      <c r="C1197" s="173" t="s">
        <v>213</v>
      </c>
      <c r="D1197" s="1476" t="s">
        <v>0</v>
      </c>
      <c r="E1197" s="1485">
        <f>'Subestação 34,5kv'!L72</f>
        <v>0</v>
      </c>
    </row>
    <row r="1198" spans="1:5" ht="15" customHeight="1">
      <c r="A1198" s="845">
        <v>3553</v>
      </c>
      <c r="B1198" s="639"/>
      <c r="C1198" s="163" t="s">
        <v>214</v>
      </c>
      <c r="D1198" s="400" t="s">
        <v>515</v>
      </c>
      <c r="E1198" s="1485">
        <f>'Subestação 34,5kv'!L73</f>
        <v>0</v>
      </c>
    </row>
    <row r="1199" spans="1:5" ht="15" customHeight="1">
      <c r="A1199" s="845"/>
      <c r="B1199" s="639"/>
      <c r="C1199" s="163" t="s">
        <v>1780</v>
      </c>
      <c r="D1199" s="400" t="s">
        <v>0</v>
      </c>
      <c r="E1199" s="1485">
        <f>'Subestação 34,5kv'!L74</f>
        <v>0</v>
      </c>
    </row>
    <row r="1200" spans="1:5" ht="15" customHeight="1">
      <c r="A1200" s="845"/>
      <c r="B1200" s="639"/>
      <c r="C1200" s="163" t="s">
        <v>1432</v>
      </c>
      <c r="D1200" s="400" t="s">
        <v>0</v>
      </c>
      <c r="E1200" s="1485">
        <f>'Subestação 34,5kv'!L75</f>
        <v>0</v>
      </c>
    </row>
    <row r="1201" spans="1:5" ht="15" customHeight="1">
      <c r="A1201" s="845">
        <v>4085</v>
      </c>
      <c r="B1201" s="173"/>
      <c r="C1201" s="163" t="s">
        <v>1433</v>
      </c>
      <c r="D1201" s="400" t="s">
        <v>517</v>
      </c>
      <c r="E1201" s="1485">
        <f>'Subestação 34,5kv'!L76</f>
        <v>0</v>
      </c>
    </row>
    <row r="1202" spans="1:5" ht="15" customHeight="1">
      <c r="A1202" s="845">
        <v>3571</v>
      </c>
      <c r="B1202" s="639"/>
      <c r="C1202" s="163" t="s">
        <v>1768</v>
      </c>
      <c r="D1202" s="400" t="s">
        <v>515</v>
      </c>
      <c r="E1202" s="1485">
        <f>'Subestação 34,5kv'!L77</f>
        <v>0</v>
      </c>
    </row>
    <row r="1203" spans="1:5" ht="15" customHeight="1">
      <c r="A1203" s="845"/>
      <c r="B1203" s="639"/>
      <c r="C1203" s="163" t="s">
        <v>1767</v>
      </c>
      <c r="D1203" s="400" t="s">
        <v>0</v>
      </c>
      <c r="E1203" s="1485">
        <f>'Subestação 34,5kv'!L78</f>
        <v>0</v>
      </c>
    </row>
    <row r="1204" spans="1:5" ht="15" customHeight="1">
      <c r="A1204" s="845"/>
      <c r="B1204" s="639"/>
      <c r="C1204" s="163" t="s">
        <v>1434</v>
      </c>
      <c r="D1204" s="400" t="s">
        <v>515</v>
      </c>
      <c r="E1204" s="1485">
        <f>'Subestação 34,5kv'!L79</f>
        <v>0</v>
      </c>
    </row>
    <row r="1205" spans="1:5" ht="15" customHeight="1">
      <c r="A1205" s="845"/>
      <c r="B1205" s="639"/>
      <c r="C1205" s="163" t="s">
        <v>1763</v>
      </c>
      <c r="D1205" s="400" t="s">
        <v>515</v>
      </c>
      <c r="E1205" s="1485">
        <f>'Subestação 34,5kv'!L80</f>
        <v>0</v>
      </c>
    </row>
    <row r="1206" spans="1:5" ht="15" customHeight="1">
      <c r="A1206" s="845">
        <v>3580</v>
      </c>
      <c r="B1206" s="639"/>
      <c r="C1206" s="163" t="s">
        <v>410</v>
      </c>
      <c r="D1206" s="400" t="s">
        <v>0</v>
      </c>
      <c r="E1206" s="1485">
        <f>'Subestação 34,5kv'!L81</f>
        <v>0</v>
      </c>
    </row>
    <row r="1207" spans="1:5" ht="15" customHeight="1">
      <c r="A1207" s="845"/>
      <c r="B1207" s="639"/>
      <c r="C1207" s="163" t="s">
        <v>1435</v>
      </c>
      <c r="D1207" s="400" t="s">
        <v>515</v>
      </c>
      <c r="E1207" s="1485">
        <f>'Subestação 34,5kv'!L82</f>
        <v>0</v>
      </c>
    </row>
    <row r="1208" spans="1:5" ht="15" customHeight="1">
      <c r="A1208" s="845"/>
      <c r="B1208" s="639"/>
      <c r="C1208" s="163" t="s">
        <v>1781</v>
      </c>
      <c r="D1208" s="400" t="s">
        <v>0</v>
      </c>
      <c r="E1208" s="1485">
        <f>'Subestação 34,5kv'!L83</f>
        <v>0</v>
      </c>
    </row>
    <row r="1209" spans="1:5" ht="15" customHeight="1">
      <c r="A1209" s="845">
        <v>4162</v>
      </c>
      <c r="B1209" s="639"/>
      <c r="C1209" s="163" t="s">
        <v>1436</v>
      </c>
      <c r="D1209" s="400" t="s">
        <v>515</v>
      </c>
      <c r="E1209" s="1485">
        <f>'Subestação 34,5kv'!L84</f>
        <v>0</v>
      </c>
    </row>
    <row r="1210" spans="1:5" ht="15" customHeight="1">
      <c r="A1210" s="845">
        <v>4123</v>
      </c>
      <c r="B1210" s="639"/>
      <c r="C1210" s="163" t="s">
        <v>1437</v>
      </c>
      <c r="D1210" s="400" t="s">
        <v>168</v>
      </c>
      <c r="E1210" s="1485">
        <f>'Subestação 34,5kv'!L85</f>
        <v>0</v>
      </c>
    </row>
    <row r="1211" spans="1:5" ht="15" customHeight="1">
      <c r="A1211" s="845">
        <v>3603</v>
      </c>
      <c r="B1211" s="639"/>
      <c r="C1211" s="163" t="s">
        <v>15</v>
      </c>
      <c r="D1211" s="400" t="s">
        <v>515</v>
      </c>
      <c r="E1211" s="1485">
        <f>'Subestação 34,5kv'!L86</f>
        <v>0</v>
      </c>
    </row>
    <row r="1212" spans="1:5" ht="15" customHeight="1">
      <c r="A1212" s="845">
        <v>3981</v>
      </c>
      <c r="B1212" s="639"/>
      <c r="C1212" s="163" t="s">
        <v>165</v>
      </c>
      <c r="D1212" s="400" t="s">
        <v>515</v>
      </c>
      <c r="E1212" s="1485">
        <f>'Subestação 34,5kv'!L87</f>
        <v>0</v>
      </c>
    </row>
    <row r="1213" spans="1:5" ht="15" customHeight="1">
      <c r="A1213" s="845">
        <v>3605</v>
      </c>
      <c r="B1213" s="639"/>
      <c r="C1213" s="163" t="s">
        <v>166</v>
      </c>
      <c r="D1213" s="400" t="s">
        <v>515</v>
      </c>
      <c r="E1213" s="1485">
        <f>'Subestação 34,5kv'!L88</f>
        <v>0</v>
      </c>
    </row>
    <row r="1214" spans="1:5" ht="15" customHeight="1">
      <c r="A1214" s="845">
        <v>3607</v>
      </c>
      <c r="B1214" s="639"/>
      <c r="C1214" s="163" t="s">
        <v>67</v>
      </c>
      <c r="D1214" s="400" t="s">
        <v>515</v>
      </c>
      <c r="E1214" s="1485">
        <f>'Subestação 34,5kv'!L89</f>
        <v>0</v>
      </c>
    </row>
    <row r="1215" spans="1:5">
      <c r="A1215" s="845"/>
      <c r="B1215" s="639"/>
      <c r="C1215" s="163" t="s">
        <v>1782</v>
      </c>
      <c r="D1215" s="400" t="s">
        <v>0</v>
      </c>
      <c r="E1215" s="1485">
        <f>'Subestação 34,5kv'!L90</f>
        <v>0</v>
      </c>
    </row>
    <row r="1216" spans="1:5">
      <c r="A1216" s="845">
        <v>3615</v>
      </c>
      <c r="B1216" s="639"/>
      <c r="C1216" s="163" t="s">
        <v>199</v>
      </c>
      <c r="D1216" s="400" t="s">
        <v>515</v>
      </c>
      <c r="E1216" s="1485">
        <f>'Subestação 34,5kv'!L91</f>
        <v>0</v>
      </c>
    </row>
    <row r="1217" spans="1:5">
      <c r="A1217" s="639"/>
      <c r="B1217" s="639"/>
      <c r="C1217" s="173" t="s">
        <v>197</v>
      </c>
      <c r="D1217" s="1476" t="s">
        <v>515</v>
      </c>
      <c r="E1217" s="1485">
        <f>'Subestação 34,5kv'!L92</f>
        <v>0</v>
      </c>
    </row>
    <row r="1218" spans="1:5">
      <c r="A1218" s="639"/>
      <c r="B1218" s="639"/>
      <c r="C1218" s="173" t="s">
        <v>198</v>
      </c>
      <c r="D1218" s="1476" t="s">
        <v>515</v>
      </c>
      <c r="E1218" s="1485">
        <f>'Subestação 34,5kv'!L93</f>
        <v>0</v>
      </c>
    </row>
    <row r="1219" spans="1:5">
      <c r="A1219" s="639"/>
      <c r="B1219" s="639"/>
      <c r="C1219" s="173" t="s">
        <v>1783</v>
      </c>
      <c r="D1219" s="1476" t="s">
        <v>515</v>
      </c>
      <c r="E1219" s="1485">
        <f>'Subestação 34,5kv'!L94</f>
        <v>0</v>
      </c>
    </row>
    <row r="1220" spans="1:5">
      <c r="A1220" s="845"/>
      <c r="B1220" s="639"/>
      <c r="C1220" s="163" t="s">
        <v>1438</v>
      </c>
      <c r="D1220" s="400" t="s">
        <v>515</v>
      </c>
      <c r="E1220" s="1485">
        <f>'Subestação 34,5kv'!L95</f>
        <v>0</v>
      </c>
    </row>
    <row r="1221" spans="1:5">
      <c r="A1221" s="845">
        <v>3625</v>
      </c>
      <c r="B1221" s="639"/>
      <c r="C1221" s="163" t="s">
        <v>150</v>
      </c>
      <c r="D1221" s="400" t="s">
        <v>515</v>
      </c>
      <c r="E1221" s="1485">
        <f>'Subestação 34,5kv'!L96</f>
        <v>0</v>
      </c>
    </row>
    <row r="1222" spans="1:5">
      <c r="A1222" s="845"/>
      <c r="B1222" s="639"/>
      <c r="C1222" s="163" t="s">
        <v>1439</v>
      </c>
      <c r="D1222" s="400" t="s">
        <v>168</v>
      </c>
      <c r="E1222" s="1485">
        <f>'Subestação 34,5kv'!L97</f>
        <v>0</v>
      </c>
    </row>
    <row r="1223" spans="1:5">
      <c r="A1223" s="845">
        <v>3623</v>
      </c>
      <c r="B1223" s="639"/>
      <c r="C1223" s="163" t="s">
        <v>19</v>
      </c>
      <c r="D1223" s="400" t="s">
        <v>515</v>
      </c>
      <c r="E1223" s="1485">
        <f>'Subestação 34,5kv'!L98</f>
        <v>0</v>
      </c>
    </row>
    <row r="1224" spans="1:5">
      <c r="A1224" s="845"/>
      <c r="B1224" s="639"/>
      <c r="C1224" s="163" t="s">
        <v>1764</v>
      </c>
      <c r="D1224" s="845" t="s">
        <v>743</v>
      </c>
      <c r="E1224" s="1485">
        <f>'Subestação 34,5kv'!L99</f>
        <v>0</v>
      </c>
    </row>
    <row r="1225" spans="1:5">
      <c r="A1225" s="845" t="s">
        <v>1787</v>
      </c>
      <c r="B1225" s="1480"/>
      <c r="C1225" s="163" t="s">
        <v>1773</v>
      </c>
      <c r="D1225" s="1486" t="s">
        <v>1337</v>
      </c>
      <c r="E1225" s="1485">
        <f>'Subestação 34,5kv'!L100</f>
        <v>0</v>
      </c>
    </row>
    <row r="1226" spans="1:5">
      <c r="A1226" s="845" t="s">
        <v>1787</v>
      </c>
      <c r="B1226" s="1480"/>
      <c r="C1226" s="163" t="s">
        <v>1774</v>
      </c>
      <c r="D1226" s="1486" t="s">
        <v>1338</v>
      </c>
      <c r="E1226" s="1485">
        <f>'Subestação 34,5kv'!L101</f>
        <v>0</v>
      </c>
    </row>
    <row r="1227" spans="1:5">
      <c r="A1227" s="845" t="s">
        <v>1787</v>
      </c>
      <c r="B1227" s="1480"/>
      <c r="C1227" s="163" t="s">
        <v>1775</v>
      </c>
      <c r="D1227" s="1486" t="s">
        <v>574</v>
      </c>
      <c r="E1227" s="1485">
        <f>'Subestação 34,5kv'!L102</f>
        <v>0</v>
      </c>
    </row>
    <row r="1228" spans="1:5">
      <c r="A1228" s="845" t="s">
        <v>1787</v>
      </c>
      <c r="B1228" s="1480"/>
      <c r="C1228" s="163" t="s">
        <v>1776</v>
      </c>
      <c r="D1228" s="1486" t="s">
        <v>743</v>
      </c>
      <c r="E1228" s="1485">
        <f>'Subestação 34,5kv'!L103</f>
        <v>0</v>
      </c>
    </row>
    <row r="1229" spans="1:5">
      <c r="A1229" s="845" t="s">
        <v>1787</v>
      </c>
      <c r="B1229" s="1480"/>
      <c r="C1229" s="163" t="s">
        <v>1777</v>
      </c>
      <c r="D1229" s="1486" t="s">
        <v>0</v>
      </c>
      <c r="E1229" s="1485">
        <f>'Subestação 34,5kv'!L104</f>
        <v>0</v>
      </c>
    </row>
    <row r="1230" spans="1:5">
      <c r="A1230" s="845" t="s">
        <v>1787</v>
      </c>
      <c r="B1230" s="1480"/>
      <c r="C1230" s="163" t="s">
        <v>1778</v>
      </c>
      <c r="D1230" s="1486" t="s">
        <v>743</v>
      </c>
      <c r="E1230" s="1485">
        <f>'Subestação 34,5kv'!L105</f>
        <v>0</v>
      </c>
    </row>
    <row r="1231" spans="1:5">
      <c r="A1231" s="845">
        <v>3626</v>
      </c>
      <c r="B1231" s="639"/>
      <c r="C1231" s="163" t="s">
        <v>20</v>
      </c>
      <c r="D1231" s="400" t="s">
        <v>515</v>
      </c>
      <c r="E1231" s="1485">
        <f>'Subestação 34,5kv'!L106</f>
        <v>0</v>
      </c>
    </row>
    <row r="1232" spans="1:5">
      <c r="A1232" s="845"/>
      <c r="B1232" s="639"/>
      <c r="C1232" s="163" t="s">
        <v>1440</v>
      </c>
      <c r="D1232" s="400" t="s">
        <v>515</v>
      </c>
      <c r="E1232" s="1485">
        <f>'Subestação 34,5kv'!L107</f>
        <v>0</v>
      </c>
    </row>
    <row r="1233" spans="1:5">
      <c r="A1233" s="845">
        <v>3632</v>
      </c>
      <c r="B1233" s="639"/>
      <c r="C1233" s="163" t="s">
        <v>151</v>
      </c>
      <c r="D1233" s="400" t="s">
        <v>515</v>
      </c>
      <c r="E1233" s="1485">
        <f>'Subestação 34,5kv'!L108</f>
        <v>0</v>
      </c>
    </row>
    <row r="1234" spans="1:5">
      <c r="A1234" s="845">
        <v>3635</v>
      </c>
      <c r="B1234" s="639"/>
      <c r="C1234" s="163" t="s">
        <v>26</v>
      </c>
      <c r="D1234" s="400" t="s">
        <v>515</v>
      </c>
      <c r="E1234" s="1485">
        <f>'Subestação 34,5kv'!L109</f>
        <v>0</v>
      </c>
    </row>
    <row r="1235" spans="1:5">
      <c r="A1235" s="545">
        <v>3636</v>
      </c>
      <c r="B1235" s="639"/>
      <c r="C1235" s="173" t="s">
        <v>27</v>
      </c>
      <c r="D1235" s="1474" t="s">
        <v>515</v>
      </c>
      <c r="E1235" s="1485">
        <f>'Subestação 34,5kv'!L110</f>
        <v>0</v>
      </c>
    </row>
    <row r="1236" spans="1:5">
      <c r="A1236" s="845">
        <v>3639</v>
      </c>
      <c r="B1236" s="639"/>
      <c r="C1236" s="163" t="s">
        <v>221</v>
      </c>
      <c r="D1236" s="400" t="s">
        <v>515</v>
      </c>
      <c r="E1236" s="1485">
        <f>'Subestação 34,5kv'!L111</f>
        <v>0</v>
      </c>
    </row>
    <row r="1237" spans="1:5">
      <c r="A1237" s="845">
        <v>3640</v>
      </c>
      <c r="B1237" s="639"/>
      <c r="C1237" s="163" t="s">
        <v>222</v>
      </c>
      <c r="D1237" s="400" t="s">
        <v>515</v>
      </c>
      <c r="E1237" s="1485">
        <f>'Subestação 34,5kv'!L112</f>
        <v>0</v>
      </c>
    </row>
    <row r="1238" spans="1:5">
      <c r="A1238" s="845"/>
      <c r="B1238" s="639"/>
      <c r="C1238" s="163" t="s">
        <v>223</v>
      </c>
      <c r="D1238" s="400" t="s">
        <v>515</v>
      </c>
      <c r="E1238" s="1485">
        <f>'Subestação 34,5kv'!L113</f>
        <v>0</v>
      </c>
    </row>
    <row r="1239" spans="1:5">
      <c r="A1239" s="845"/>
      <c r="B1239" s="639"/>
      <c r="C1239" s="163" t="s">
        <v>69</v>
      </c>
      <c r="D1239" s="400" t="s">
        <v>515</v>
      </c>
      <c r="E1239" s="1485">
        <f>'Subestação 34,5kv'!L114</f>
        <v>0</v>
      </c>
    </row>
    <row r="1240" spans="1:5">
      <c r="A1240" s="845"/>
      <c r="B1240" s="639"/>
      <c r="C1240" s="163" t="s">
        <v>1441</v>
      </c>
      <c r="D1240" s="400" t="s">
        <v>0</v>
      </c>
      <c r="E1240" s="1485">
        <f>'Subestação 34,5kv'!L115</f>
        <v>0</v>
      </c>
    </row>
    <row r="1241" spans="1:5">
      <c r="A1241" s="845"/>
      <c r="B1241" s="639"/>
      <c r="C1241" s="163" t="s">
        <v>1442</v>
      </c>
      <c r="D1241" s="400" t="s">
        <v>0</v>
      </c>
      <c r="E1241" s="1485">
        <f>'Subestação 34,5kv'!L116</f>
        <v>0</v>
      </c>
    </row>
    <row r="1242" spans="1:5">
      <c r="A1242" s="845"/>
      <c r="B1242" s="639"/>
      <c r="C1242" s="163" t="s">
        <v>1443</v>
      </c>
      <c r="D1242" s="400" t="s">
        <v>1444</v>
      </c>
      <c r="E1242" s="1485">
        <f>'Subestação 34,5kv'!L117</f>
        <v>0</v>
      </c>
    </row>
    <row r="1243" spans="1:5">
      <c r="A1243" s="845"/>
      <c r="B1243" s="639"/>
      <c r="C1243" s="163" t="s">
        <v>1445</v>
      </c>
      <c r="D1243" s="400" t="s">
        <v>515</v>
      </c>
      <c r="E1243" s="1485">
        <f>'Subestação 34,5kv'!L118</f>
        <v>0</v>
      </c>
    </row>
    <row r="1244" spans="1:5">
      <c r="A1244" s="845"/>
      <c r="B1244" s="639"/>
      <c r="C1244" s="163" t="s">
        <v>1785</v>
      </c>
      <c r="D1244" s="400" t="s">
        <v>743</v>
      </c>
      <c r="E1244" s="1485">
        <f>'Subestação 34,5kv'!L119</f>
        <v>0</v>
      </c>
    </row>
    <row r="1245" spans="1:5">
      <c r="A1245" s="845"/>
      <c r="B1245" s="639"/>
      <c r="C1245" s="163" t="s">
        <v>1754</v>
      </c>
      <c r="D1245" s="400" t="s">
        <v>515</v>
      </c>
      <c r="E1245" s="1485">
        <f>'Subestação 34,5kv'!L120</f>
        <v>0</v>
      </c>
    </row>
    <row r="1246" spans="1:5">
      <c r="A1246" s="845"/>
      <c r="B1246" s="639"/>
      <c r="C1246" s="163" t="s">
        <v>1446</v>
      </c>
      <c r="D1246" s="400" t="s">
        <v>515</v>
      </c>
      <c r="E1246" s="1485">
        <f>'Subestação 34,5kv'!L121</f>
        <v>0</v>
      </c>
    </row>
    <row r="1247" spans="1:5">
      <c r="A1247" s="845"/>
      <c r="B1247" s="639"/>
      <c r="C1247" s="163" t="s">
        <v>102</v>
      </c>
      <c r="D1247" s="400" t="s">
        <v>515</v>
      </c>
      <c r="E1247" s="1485">
        <f>'Subestação 34,5kv'!L122</f>
        <v>0</v>
      </c>
    </row>
    <row r="1248" spans="1:5">
      <c r="A1248" s="845">
        <v>3658</v>
      </c>
      <c r="B1248" s="639"/>
      <c r="C1248" s="163" t="s">
        <v>103</v>
      </c>
      <c r="D1248" s="400" t="s">
        <v>515</v>
      </c>
      <c r="E1248" s="1485">
        <f>'Subestação 34,5kv'!L123</f>
        <v>0</v>
      </c>
    </row>
    <row r="1249" spans="1:5">
      <c r="A1249" s="845">
        <v>4055</v>
      </c>
      <c r="B1249" s="639"/>
      <c r="C1249" s="163" t="s">
        <v>225</v>
      </c>
      <c r="D1249" s="400" t="s">
        <v>515</v>
      </c>
      <c r="E1249" s="1485">
        <f>'Subestação 34,5kv'!L124</f>
        <v>0</v>
      </c>
    </row>
    <row r="1250" spans="1:5">
      <c r="A1250" s="163"/>
      <c r="B1250" s="173"/>
      <c r="C1250" s="163" t="s">
        <v>1447</v>
      </c>
      <c r="D1250" s="400" t="s">
        <v>168</v>
      </c>
      <c r="E1250" s="1485">
        <f>'Subestação 34,5kv'!L125</f>
        <v>0</v>
      </c>
    </row>
    <row r="1251" spans="1:5">
      <c r="A1251" s="163"/>
      <c r="B1251" s="173"/>
      <c r="C1251" s="163" t="s">
        <v>1448</v>
      </c>
      <c r="D1251" s="400" t="s">
        <v>515</v>
      </c>
      <c r="E1251" s="1485">
        <f>'Subestação 34,5kv'!L126</f>
        <v>0</v>
      </c>
    </row>
    <row r="1252" spans="1:5">
      <c r="A1252" s="163"/>
      <c r="B1252" s="173"/>
      <c r="C1252" s="163" t="s">
        <v>1779</v>
      </c>
      <c r="D1252" s="400" t="s">
        <v>0</v>
      </c>
      <c r="E1252" s="1485">
        <f>'Subestação 34,5kv'!L127</f>
        <v>0</v>
      </c>
    </row>
    <row r="1253" spans="1:5">
      <c r="A1253" s="163"/>
      <c r="B1253" s="173"/>
      <c r="C1253" s="163" t="s">
        <v>1758</v>
      </c>
      <c r="D1253" s="400" t="s">
        <v>515</v>
      </c>
      <c r="E1253" s="1485">
        <f>'Subestação 34,5kv'!L128</f>
        <v>0</v>
      </c>
    </row>
    <row r="1254" spans="1:5">
      <c r="A1254" s="845">
        <v>3965</v>
      </c>
      <c r="B1254" s="639"/>
      <c r="C1254" s="163" t="s">
        <v>1449</v>
      </c>
      <c r="D1254" s="400" t="s">
        <v>515</v>
      </c>
      <c r="E1254" s="1485">
        <f>'Subestação 34,5kv'!L129</f>
        <v>0</v>
      </c>
    </row>
    <row r="1255" spans="1:5">
      <c r="A1255" s="163"/>
      <c r="B1255" s="173"/>
      <c r="C1255" s="163" t="s">
        <v>1757</v>
      </c>
      <c r="D1255" s="162" t="s">
        <v>515</v>
      </c>
      <c r="E1255" s="1485">
        <f>'Subestação 34,5kv'!L130</f>
        <v>0</v>
      </c>
    </row>
    <row r="1256" spans="1:5">
      <c r="E1256" s="342">
        <v>0</v>
      </c>
    </row>
    <row r="1257" spans="1:5">
      <c r="E1257" s="342">
        <v>0</v>
      </c>
    </row>
    <row r="1258" spans="1:5">
      <c r="E1258" s="342">
        <v>0</v>
      </c>
    </row>
    <row r="1259" spans="1:5">
      <c r="E1259" s="342">
        <v>0</v>
      </c>
    </row>
    <row r="1260" spans="1:5">
      <c r="E1260" s="342">
        <v>0</v>
      </c>
    </row>
    <row r="1261" spans="1:5">
      <c r="E1261" s="342">
        <v>0</v>
      </c>
    </row>
    <row r="1262" spans="1:5">
      <c r="E1262" s="342">
        <v>0</v>
      </c>
    </row>
    <row r="1263" spans="1:5">
      <c r="E1263" s="342">
        <v>0</v>
      </c>
    </row>
    <row r="1264" spans="1:5">
      <c r="E1264" s="342">
        <v>0</v>
      </c>
    </row>
    <row r="1265" spans="5:5">
      <c r="E1265" s="342">
        <v>0</v>
      </c>
    </row>
    <row r="1266" spans="5:5">
      <c r="E1266" s="342">
        <v>0</v>
      </c>
    </row>
    <row r="1267" spans="5:5">
      <c r="E1267" s="342">
        <v>0</v>
      </c>
    </row>
    <row r="1268" spans="5:5">
      <c r="E1268" s="342">
        <v>0</v>
      </c>
    </row>
    <row r="1269" spans="5:5">
      <c r="E1269" s="342">
        <v>0</v>
      </c>
    </row>
    <row r="1270" spans="5:5">
      <c r="E1270" s="342">
        <v>0</v>
      </c>
    </row>
    <row r="1271" spans="5:5">
      <c r="E1271" s="342">
        <v>0</v>
      </c>
    </row>
    <row r="1272" spans="5:5">
      <c r="E1272" s="342">
        <v>0</v>
      </c>
    </row>
    <row r="1273" spans="5:5">
      <c r="E1273" s="342">
        <v>0</v>
      </c>
    </row>
    <row r="1274" spans="5:5">
      <c r="E1274" s="342">
        <v>0</v>
      </c>
    </row>
    <row r="1275" spans="5:5">
      <c r="E1275" s="342">
        <v>0</v>
      </c>
    </row>
    <row r="1276" spans="5:5">
      <c r="E1276" s="342">
        <v>0</v>
      </c>
    </row>
    <row r="1277" spans="5:5">
      <c r="E1277" s="342">
        <v>0</v>
      </c>
    </row>
    <row r="1278" spans="5:5">
      <c r="E1278" s="342">
        <v>0</v>
      </c>
    </row>
    <row r="1279" spans="5:5">
      <c r="E1279" s="342">
        <v>0</v>
      </c>
    </row>
    <row r="1280" spans="5:5">
      <c r="E1280" s="342">
        <v>0</v>
      </c>
    </row>
    <row r="1281" spans="5:5">
      <c r="E1281" s="342">
        <v>0</v>
      </c>
    </row>
    <row r="1282" spans="5:5">
      <c r="E1282" s="342">
        <v>0</v>
      </c>
    </row>
    <row r="1283" spans="5:5">
      <c r="E1283" s="342">
        <v>0</v>
      </c>
    </row>
    <row r="1284" spans="5:5">
      <c r="E1284" s="342">
        <v>0</v>
      </c>
    </row>
    <row r="1285" spans="5:5">
      <c r="E1285" s="342">
        <v>0</v>
      </c>
    </row>
    <row r="1286" spans="5:5">
      <c r="E1286" s="342">
        <v>0</v>
      </c>
    </row>
    <row r="1287" spans="5:5">
      <c r="E1287" s="342">
        <v>0</v>
      </c>
    </row>
    <row r="1288" spans="5:5">
      <c r="E1288" s="342">
        <v>0</v>
      </c>
    </row>
    <row r="1289" spans="5:5">
      <c r="E1289" s="342">
        <v>0</v>
      </c>
    </row>
    <row r="1290" spans="5:5">
      <c r="E1290" s="342">
        <v>0</v>
      </c>
    </row>
  </sheetData>
  <sheetProtection formatCells="0" formatColumns="0" formatRows="0" insertColumns="0" insertRows="0" insertHyperlinks="0" deleteColumns="0" deleteRows="0" selectLockedCells="1" sort="0" autoFilter="0" pivotTables="0" selectUnlockedCells="1"/>
  <autoFilter ref="E1:E1290" xr:uid="{8D3FB7B6-B707-4ADF-B2E4-CFB83C095D29}"/>
  <mergeCells count="44">
    <mergeCell ref="B315:D315"/>
    <mergeCell ref="B8:D8"/>
    <mergeCell ref="B2:D2"/>
    <mergeCell ref="B6:D6"/>
    <mergeCell ref="B311:D311"/>
    <mergeCell ref="B314:D314"/>
    <mergeCell ref="B312:D312"/>
    <mergeCell ref="B313:D313"/>
    <mergeCell ref="B316:D316"/>
    <mergeCell ref="B317:D317"/>
    <mergeCell ref="A1:E1"/>
    <mergeCell ref="A15:E15"/>
    <mergeCell ref="A16:E16"/>
    <mergeCell ref="A17:E17"/>
    <mergeCell ref="B4:D4"/>
    <mergeCell ref="B10:D10"/>
    <mergeCell ref="B12:D12"/>
    <mergeCell ref="B14:D14"/>
    <mergeCell ref="A1071:D1071"/>
    <mergeCell ref="A1066:D1066"/>
    <mergeCell ref="A1067:D1067"/>
    <mergeCell ref="A1068:D1068"/>
    <mergeCell ref="A1069:D1069"/>
    <mergeCell ref="B318:D318"/>
    <mergeCell ref="B320:D320"/>
    <mergeCell ref="B321:D321"/>
    <mergeCell ref="B319:D319"/>
    <mergeCell ref="A1064:D1064"/>
    <mergeCell ref="B565:D565"/>
    <mergeCell ref="B322:D322"/>
    <mergeCell ref="A1070:D1070"/>
    <mergeCell ref="B566:D566"/>
    <mergeCell ref="B564:D564"/>
    <mergeCell ref="A496:D496"/>
    <mergeCell ref="A1065:D1065"/>
    <mergeCell ref="A1072:D1072"/>
    <mergeCell ref="A1073:D1073"/>
    <mergeCell ref="A1079:D1079"/>
    <mergeCell ref="A1168:D1168"/>
    <mergeCell ref="A1074:D1074"/>
    <mergeCell ref="A1075:D1075"/>
    <mergeCell ref="A1076:D1076"/>
    <mergeCell ref="A1077:D1077"/>
    <mergeCell ref="A1078:D1078"/>
  </mergeCells>
  <conditionalFormatting sqref="C63">
    <cfRule type="duplicateValues" dxfId="10" priority="11" stopIfTrue="1"/>
  </conditionalFormatting>
  <conditionalFormatting sqref="C62">
    <cfRule type="duplicateValues" dxfId="9" priority="10" stopIfTrue="1"/>
  </conditionalFormatting>
  <conditionalFormatting sqref="C64">
    <cfRule type="duplicateValues" dxfId="8" priority="9" stopIfTrue="1"/>
  </conditionalFormatting>
  <conditionalFormatting sqref="C65">
    <cfRule type="duplicateValues" dxfId="7" priority="8" stopIfTrue="1"/>
  </conditionalFormatting>
  <conditionalFormatting sqref="C66">
    <cfRule type="duplicateValues" dxfId="6" priority="7" stopIfTrue="1"/>
  </conditionalFormatting>
  <conditionalFormatting sqref="C67">
    <cfRule type="duplicateValues" dxfId="5" priority="6" stopIfTrue="1"/>
  </conditionalFormatting>
  <conditionalFormatting sqref="C100">
    <cfRule type="duplicateValues" dxfId="4" priority="5" stopIfTrue="1"/>
  </conditionalFormatting>
  <conditionalFormatting sqref="C97">
    <cfRule type="duplicateValues" dxfId="3" priority="4" stopIfTrue="1"/>
  </conditionalFormatting>
  <conditionalFormatting sqref="C99">
    <cfRule type="duplicateValues" dxfId="2" priority="3" stopIfTrue="1"/>
  </conditionalFormatting>
  <conditionalFormatting sqref="C109:C110">
    <cfRule type="duplicateValues" dxfId="1" priority="2" stopIfTrue="1"/>
  </conditionalFormatting>
  <conditionalFormatting sqref="C101">
    <cfRule type="duplicateValues" dxfId="0" priority="1" stopIfTrue="1"/>
  </conditionalFormatting>
  <pageMargins left="0.25" right="0.25" top="0.75" bottom="0.75" header="0.3" footer="0.3"/>
  <pageSetup paperSize="9" scale="10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Macro10">
                <anchor moveWithCells="1" sizeWithCells="1">
                  <from>
                    <xdr:col>5</xdr:col>
                    <xdr:colOff>47625</xdr:colOff>
                    <xdr:row>0</xdr:row>
                    <xdr:rowOff>38100</xdr:rowOff>
                  </from>
                  <to>
                    <xdr:col>7</xdr:col>
                    <xdr:colOff>85725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Button 11">
              <controlPr defaultSize="0" print="0" autoFill="0" autoPict="0" macro="[0]!Macro12">
                <anchor moveWithCells="1" sizeWithCells="1">
                  <from>
                    <xdr:col>7</xdr:col>
                    <xdr:colOff>114300</xdr:colOff>
                    <xdr:row>14</xdr:row>
                    <xdr:rowOff>152400</xdr:rowOff>
                  </from>
                  <to>
                    <xdr:col>8</xdr:col>
                    <xdr:colOff>361950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6" name="Button 13">
              <controlPr defaultSize="0" print="0" autoFill="0" autoPict="0" macro="[0]!Macro4">
                <anchor moveWithCells="1" sizeWithCells="1">
                  <from>
                    <xdr:col>8</xdr:col>
                    <xdr:colOff>247650</xdr:colOff>
                    <xdr:row>0</xdr:row>
                    <xdr:rowOff>38100</xdr:rowOff>
                  </from>
                  <to>
                    <xdr:col>9</xdr:col>
                    <xdr:colOff>342900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Button 14">
              <controlPr defaultSize="0" print="0" autoFill="0" autoPict="0" macro="[0]!Macro5">
                <anchor moveWithCells="1" sizeWithCells="1">
                  <from>
                    <xdr:col>9</xdr:col>
                    <xdr:colOff>381000</xdr:colOff>
                    <xdr:row>0</xdr:row>
                    <xdr:rowOff>38100</xdr:rowOff>
                  </from>
                  <to>
                    <xdr:col>10</xdr:col>
                    <xdr:colOff>514350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8" name="Button 17">
              <controlPr defaultSize="0" print="0" autoFill="0" autoPict="0" macro="[0]!Macro6">
                <anchor moveWithCells="1" sizeWithCells="1">
                  <from>
                    <xdr:col>10</xdr:col>
                    <xdr:colOff>552450</xdr:colOff>
                    <xdr:row>0</xdr:row>
                    <xdr:rowOff>38100</xdr:rowOff>
                  </from>
                  <to>
                    <xdr:col>12</xdr:col>
                    <xdr:colOff>161925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9" name="Button 20">
              <controlPr defaultSize="0" print="0" autoFill="0" autoPict="0" macro="[0]!Macro16">
                <anchor moveWithCells="1" sizeWithCells="1">
                  <from>
                    <xdr:col>8</xdr:col>
                    <xdr:colOff>390525</xdr:colOff>
                    <xdr:row>14</xdr:row>
                    <xdr:rowOff>152400</xdr:rowOff>
                  </from>
                  <to>
                    <xdr:col>10</xdr:col>
                    <xdr:colOff>285750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0" name="Button 21">
              <controlPr defaultSize="0" print="0" autoFill="0" autoPict="0" macro="[0]!Macro15">
                <anchor moveWithCells="1" sizeWithCells="1">
                  <from>
                    <xdr:col>10</xdr:col>
                    <xdr:colOff>304800</xdr:colOff>
                    <xdr:row>14</xdr:row>
                    <xdr:rowOff>152400</xdr:rowOff>
                  </from>
                  <to>
                    <xdr:col>12</xdr:col>
                    <xdr:colOff>161925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1" name="Button 22">
              <controlPr defaultSize="0" print="0" autoFill="0" autoPict="0" macro="[0]!Macro7">
                <anchor moveWithCells="1" sizeWithCells="1">
                  <from>
                    <xdr:col>7</xdr:col>
                    <xdr:colOff>114300</xdr:colOff>
                    <xdr:row>16</xdr:row>
                    <xdr:rowOff>0</xdr:rowOff>
                  </from>
                  <to>
                    <xdr:col>9</xdr:col>
                    <xdr:colOff>381000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2" name="Button 23">
              <controlPr defaultSize="0" print="0" autoFill="0" autoPict="0" macro="[0]!Macro14">
                <anchor moveWithCells="1" sizeWithCells="1">
                  <from>
                    <xdr:col>9</xdr:col>
                    <xdr:colOff>400050</xdr:colOff>
                    <xdr:row>16</xdr:row>
                    <xdr:rowOff>0</xdr:rowOff>
                  </from>
                  <to>
                    <xdr:col>12</xdr:col>
                    <xdr:colOff>161925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3" name="Button 24">
              <controlPr locked="0" defaultSize="0" print="0" autoFill="0" autoPict="0" macro="[0]!MONO_13">
                <anchor moveWithCells="1" sizeWithCells="1">
                  <from>
                    <xdr:col>7</xdr:col>
                    <xdr:colOff>114300</xdr:colOff>
                    <xdr:row>0</xdr:row>
                    <xdr:rowOff>47625</xdr:rowOff>
                  </from>
                  <to>
                    <xdr:col>8</xdr:col>
                    <xdr:colOff>219075</xdr:colOff>
                    <xdr:row>14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3E01B-B7BB-4FAA-B515-7D61AC8B7134}">
  <sheetPr codeName="Plan19"/>
  <dimension ref="A1:Q118"/>
  <sheetViews>
    <sheetView zoomScaleNormal="100" workbookViewId="0">
      <selection activeCell="C14" sqref="C14"/>
    </sheetView>
  </sheetViews>
  <sheetFormatPr defaultRowHeight="15"/>
  <cols>
    <col min="1" max="1" width="63" customWidth="1"/>
    <col min="2" max="2" width="4.28515625" customWidth="1"/>
    <col min="3" max="3" width="14.42578125" customWidth="1"/>
    <col min="4" max="4" width="7.28515625" customWidth="1"/>
    <col min="5" max="5" width="9.140625" style="486" hidden="1" customWidth="1"/>
    <col min="6" max="6" width="9.140625" style="478" hidden="1" customWidth="1"/>
    <col min="7" max="7" width="9.140625" style="479" hidden="1" customWidth="1"/>
    <col min="8" max="8" width="11.42578125" style="480" hidden="1" customWidth="1"/>
    <col min="9" max="9" width="11.5703125" style="485" hidden="1" customWidth="1"/>
    <col min="10" max="10" width="9.140625" style="490" hidden="1" customWidth="1"/>
    <col min="11" max="11" width="11.42578125" style="621" hidden="1" customWidth="1"/>
    <col min="12" max="12" width="9.140625" style="622" hidden="1" customWidth="1"/>
    <col min="13" max="13" width="9.140625" style="556" hidden="1" customWidth="1"/>
    <col min="14" max="14" width="9.140625" style="489" hidden="1" customWidth="1"/>
    <col min="15" max="15" width="9.140625" style="557" hidden="1" customWidth="1"/>
    <col min="16" max="16" width="9.140625" style="479" hidden="1" customWidth="1"/>
    <col min="17" max="17" width="9.140625" hidden="1" customWidth="1"/>
    <col min="18" max="34" width="9.140625" customWidth="1"/>
  </cols>
  <sheetData>
    <row r="1" spans="1:16" ht="36.75" thickBot="1">
      <c r="A1" s="1693" t="s">
        <v>451</v>
      </c>
      <c r="B1" s="1694"/>
      <c r="C1" s="1694"/>
      <c r="D1" s="1695"/>
      <c r="E1" s="486">
        <f>Transformadores!R12+Transformadores!T12</f>
        <v>0</v>
      </c>
      <c r="F1" s="478">
        <f>Transformadores!S12+Transformadores!U12</f>
        <v>0</v>
      </c>
      <c r="G1" s="479">
        <f>Transformadores!R13+Transformadores!T13</f>
        <v>0</v>
      </c>
      <c r="H1" s="480">
        <f>Transformadores!S13+Transformadores!U13</f>
        <v>0</v>
      </c>
      <c r="I1" s="485">
        <f>Transformadores!R10+Transformadores!T10</f>
        <v>0</v>
      </c>
      <c r="J1" s="490">
        <f>Transformadores!R11+Transformadores!T11</f>
        <v>0</v>
      </c>
      <c r="K1" s="554">
        <f>Transformadores!R14+Transformadores!T14</f>
        <v>0</v>
      </c>
      <c r="L1" s="555">
        <f>Transformadores!U14+Transformadores!S14</f>
        <v>0</v>
      </c>
      <c r="M1" s="556">
        <f>Transformadores!R15+Transformadores!T15</f>
        <v>0</v>
      </c>
      <c r="N1" s="489">
        <f>Transformadores!S15+Transformadores!U15</f>
        <v>0</v>
      </c>
      <c r="O1" s="557">
        <f>Transformadores!S10+Transformadores!U10</f>
        <v>0</v>
      </c>
      <c r="P1" s="479">
        <f>Transformadores!S11+Transformadores!U11</f>
        <v>0</v>
      </c>
    </row>
    <row r="2" spans="1:16" ht="15.75" thickBot="1">
      <c r="A2" s="163" t="s">
        <v>1329</v>
      </c>
      <c r="B2" s="643" t="s">
        <v>511</v>
      </c>
      <c r="C2" s="190"/>
      <c r="D2" s="194">
        <v>2</v>
      </c>
      <c r="E2" s="558">
        <f>D2*$E1</f>
        <v>0</v>
      </c>
      <c r="F2" s="558">
        <f>D2*$F1</f>
        <v>0</v>
      </c>
      <c r="G2" s="510">
        <f>D2*G$1</f>
        <v>0</v>
      </c>
      <c r="H2" s="511">
        <f>H$1*D2</f>
        <v>0</v>
      </c>
      <c r="I2" s="515">
        <f>D2*I1</f>
        <v>0</v>
      </c>
      <c r="J2" s="516">
        <f>D2*J1</f>
        <v>0</v>
      </c>
      <c r="K2" s="559">
        <f>D2*K$1</f>
        <v>0</v>
      </c>
      <c r="L2" s="560">
        <f>D2*L$1</f>
        <v>0</v>
      </c>
      <c r="M2" s="514">
        <f>D2*M$1</f>
        <v>0</v>
      </c>
      <c r="N2" s="561">
        <f>D2*N$1</f>
        <v>0</v>
      </c>
      <c r="O2" s="562">
        <f>D2*O1</f>
        <v>0</v>
      </c>
      <c r="P2" s="563">
        <f>D2*P1</f>
        <v>0</v>
      </c>
    </row>
    <row r="3" spans="1:16">
      <c r="A3" s="163" t="s">
        <v>1321</v>
      </c>
      <c r="B3" s="643" t="s">
        <v>0</v>
      </c>
      <c r="C3" s="191"/>
      <c r="D3" s="162">
        <v>2</v>
      </c>
      <c r="I3" s="500"/>
      <c r="J3" s="482"/>
      <c r="K3" s="564"/>
      <c r="L3" s="565"/>
      <c r="M3" s="483"/>
      <c r="O3" s="508">
        <f>D3*O1</f>
        <v>0</v>
      </c>
      <c r="P3" s="497"/>
    </row>
    <row r="4" spans="1:16">
      <c r="A4" s="163" t="s">
        <v>1322</v>
      </c>
      <c r="B4" s="643" t="s">
        <v>0</v>
      </c>
      <c r="C4" s="191"/>
      <c r="D4" s="162">
        <v>2</v>
      </c>
      <c r="I4" s="500">
        <f>D4*I1</f>
        <v>0</v>
      </c>
      <c r="J4" s="482"/>
      <c r="K4" s="564"/>
      <c r="L4" s="565"/>
      <c r="M4" s="483"/>
      <c r="O4" s="566"/>
      <c r="P4" s="497">
        <f>D4*P1</f>
        <v>0</v>
      </c>
    </row>
    <row r="5" spans="1:16">
      <c r="A5" s="163" t="s">
        <v>1323</v>
      </c>
      <c r="B5" s="643" t="s">
        <v>0</v>
      </c>
      <c r="C5" s="191"/>
      <c r="D5" s="162">
        <v>2</v>
      </c>
      <c r="F5" s="496">
        <f>E5*F1</f>
        <v>0</v>
      </c>
      <c r="I5" s="481"/>
      <c r="J5" s="504">
        <f>D5*J1</f>
        <v>0</v>
      </c>
      <c r="K5" s="567"/>
      <c r="L5" s="568"/>
      <c r="M5" s="483"/>
      <c r="O5" s="566"/>
    </row>
    <row r="6" spans="1:16">
      <c r="A6" s="163" t="s">
        <v>1324</v>
      </c>
      <c r="B6" s="643" t="s">
        <v>0</v>
      </c>
      <c r="C6" s="191"/>
      <c r="D6" s="195">
        <v>2</v>
      </c>
      <c r="E6" s="498">
        <f>D6*E1</f>
        <v>0</v>
      </c>
      <c r="G6" s="497">
        <f>D6*2*G1</f>
        <v>0</v>
      </c>
      <c r="H6" s="499">
        <f>D6*H1</f>
        <v>0</v>
      </c>
      <c r="I6" s="481"/>
      <c r="J6" s="482"/>
      <c r="K6" s="505">
        <f>D6*2*K1</f>
        <v>0</v>
      </c>
      <c r="L6" s="569">
        <f>D6*L$1</f>
        <v>0</v>
      </c>
      <c r="M6" s="483"/>
      <c r="N6" s="507">
        <f>D6*2*N1</f>
        <v>0</v>
      </c>
      <c r="O6" s="566"/>
    </row>
    <row r="7" spans="1:16">
      <c r="A7" s="163" t="s">
        <v>1325</v>
      </c>
      <c r="B7" s="643" t="s">
        <v>0</v>
      </c>
      <c r="C7" s="191"/>
      <c r="D7" s="195">
        <v>2</v>
      </c>
      <c r="E7" s="498"/>
      <c r="G7" s="497"/>
      <c r="H7" s="499"/>
      <c r="I7" s="481"/>
      <c r="J7" s="482"/>
      <c r="K7" s="505"/>
      <c r="L7" s="569"/>
      <c r="M7" s="483"/>
      <c r="N7" s="507"/>
      <c r="O7" s="508">
        <f>D7*O1</f>
        <v>0</v>
      </c>
    </row>
    <row r="8" spans="1:16">
      <c r="A8" s="163" t="s">
        <v>1326</v>
      </c>
      <c r="B8" s="643" t="s">
        <v>0</v>
      </c>
      <c r="C8" s="191"/>
      <c r="D8" s="195">
        <v>2</v>
      </c>
      <c r="I8" s="500">
        <f>D8*I1</f>
        <v>0</v>
      </c>
      <c r="J8" s="482"/>
      <c r="K8" s="570"/>
      <c r="L8" s="571"/>
      <c r="M8" s="483"/>
      <c r="O8" s="566"/>
      <c r="P8" s="497">
        <f>2*P1</f>
        <v>0</v>
      </c>
    </row>
    <row r="9" spans="1:16">
      <c r="A9" s="163" t="s">
        <v>1327</v>
      </c>
      <c r="B9" s="643" t="s">
        <v>0</v>
      </c>
      <c r="C9" s="191"/>
      <c r="D9" s="195">
        <v>2</v>
      </c>
      <c r="F9" s="496">
        <f>D9*F1</f>
        <v>0</v>
      </c>
      <c r="I9" s="481"/>
      <c r="J9" s="504">
        <f>D9*J1</f>
        <v>0</v>
      </c>
      <c r="K9" s="567"/>
      <c r="L9" s="568"/>
      <c r="M9" s="483"/>
      <c r="O9" s="566"/>
    </row>
    <row r="10" spans="1:16">
      <c r="A10" s="163" t="s">
        <v>1328</v>
      </c>
      <c r="B10" s="643" t="s">
        <v>0</v>
      </c>
      <c r="C10" s="191"/>
      <c r="D10" s="195">
        <v>2</v>
      </c>
      <c r="E10" s="498">
        <f>D10*E1</f>
        <v>0</v>
      </c>
      <c r="G10" s="497">
        <f>D10*2*G1</f>
        <v>0</v>
      </c>
      <c r="H10" s="499">
        <f>D10*H1</f>
        <v>0</v>
      </c>
      <c r="I10" s="481"/>
      <c r="J10" s="482"/>
      <c r="K10" s="505">
        <f>D10*2*K1</f>
        <v>0</v>
      </c>
      <c r="L10" s="506">
        <f>D10*L1</f>
        <v>0</v>
      </c>
      <c r="M10" s="502">
        <f>D10*M1</f>
        <v>0</v>
      </c>
      <c r="N10" s="507">
        <f>D10*2*N1</f>
        <v>0</v>
      </c>
      <c r="O10" s="566"/>
    </row>
    <row r="11" spans="1:16">
      <c r="A11" s="163" t="s">
        <v>1317</v>
      </c>
      <c r="B11" s="643" t="s">
        <v>0</v>
      </c>
      <c r="C11" s="191"/>
      <c r="D11" s="162">
        <v>1</v>
      </c>
      <c r="E11" s="498"/>
      <c r="G11" s="497"/>
      <c r="H11" s="499"/>
      <c r="I11" s="481"/>
      <c r="J11" s="482"/>
      <c r="K11" s="505"/>
      <c r="L11" s="506"/>
      <c r="M11" s="502"/>
      <c r="N11" s="507"/>
      <c r="O11" s="508">
        <f>D11*O1</f>
        <v>0</v>
      </c>
    </row>
    <row r="12" spans="1:16">
      <c r="A12" s="163" t="s">
        <v>1318</v>
      </c>
      <c r="B12" s="643" t="s">
        <v>0</v>
      </c>
      <c r="C12" s="191"/>
      <c r="D12" s="162">
        <v>4</v>
      </c>
      <c r="I12" s="500">
        <f>2*I1</f>
        <v>0</v>
      </c>
      <c r="J12" s="484"/>
      <c r="K12" s="567"/>
      <c r="L12" s="568"/>
      <c r="M12" s="483"/>
      <c r="O12" s="566"/>
      <c r="P12" s="497">
        <f>1*P1</f>
        <v>0</v>
      </c>
    </row>
    <row r="13" spans="1:16">
      <c r="A13" s="163" t="s">
        <v>1319</v>
      </c>
      <c r="B13" s="643" t="s">
        <v>0</v>
      </c>
      <c r="C13" s="191"/>
      <c r="D13" s="162">
        <v>1</v>
      </c>
      <c r="F13" s="496">
        <f>D13*F1</f>
        <v>0</v>
      </c>
      <c r="I13" s="481"/>
      <c r="J13" s="501">
        <f>D13*J1</f>
        <v>0</v>
      </c>
      <c r="K13" s="572"/>
      <c r="L13" s="568"/>
      <c r="M13" s="483"/>
      <c r="O13" s="566"/>
    </row>
    <row r="14" spans="1:16">
      <c r="A14" s="163" t="s">
        <v>1320</v>
      </c>
      <c r="B14" s="643" t="s">
        <v>0</v>
      </c>
      <c r="C14" s="191"/>
      <c r="D14" s="162">
        <v>1</v>
      </c>
      <c r="E14" s="498">
        <f>D14*E1</f>
        <v>0</v>
      </c>
      <c r="G14" s="497">
        <f>D14*2*G$1</f>
        <v>0</v>
      </c>
      <c r="H14" s="499">
        <f>D14*H1</f>
        <v>0</v>
      </c>
      <c r="I14" s="481"/>
      <c r="J14" s="501"/>
      <c r="K14" s="573">
        <f>D14*2*K1</f>
        <v>0</v>
      </c>
      <c r="L14" s="569">
        <f>D14*L$1</f>
        <v>0</v>
      </c>
      <c r="M14" s="502">
        <f>D14*2*M1</f>
        <v>0</v>
      </c>
      <c r="N14" s="507">
        <f>D14*2*N1</f>
        <v>0</v>
      </c>
      <c r="O14" s="566"/>
    </row>
    <row r="15" spans="1:16">
      <c r="A15" s="163" t="s">
        <v>1308</v>
      </c>
      <c r="B15" s="643" t="s">
        <v>0</v>
      </c>
      <c r="C15" s="191"/>
      <c r="D15" s="162">
        <v>10</v>
      </c>
      <c r="E15" s="498"/>
      <c r="G15" s="497"/>
      <c r="H15" s="499"/>
      <c r="I15" s="481"/>
      <c r="J15" s="501"/>
      <c r="K15" s="573"/>
      <c r="L15" s="569"/>
      <c r="M15" s="502"/>
      <c r="N15" s="507"/>
      <c r="O15" s="508">
        <f>D15*O1</f>
        <v>0</v>
      </c>
    </row>
    <row r="16" spans="1:16">
      <c r="A16" s="163" t="s">
        <v>1309</v>
      </c>
      <c r="B16" s="643" t="s">
        <v>168</v>
      </c>
      <c r="C16" s="191"/>
      <c r="D16" s="162">
        <v>10</v>
      </c>
      <c r="I16" s="481"/>
      <c r="J16" s="484"/>
      <c r="K16" s="572"/>
      <c r="L16" s="571"/>
      <c r="M16" s="483"/>
      <c r="O16" s="508">
        <f>D16*3*O1</f>
        <v>0</v>
      </c>
      <c r="P16" s="497">
        <f>10*P1</f>
        <v>0</v>
      </c>
    </row>
    <row r="17" spans="1:16">
      <c r="A17" s="163" t="s">
        <v>1310</v>
      </c>
      <c r="B17" s="643" t="s">
        <v>168</v>
      </c>
      <c r="C17" s="191"/>
      <c r="D17" s="162">
        <v>10</v>
      </c>
      <c r="F17" s="496">
        <f>D17*F1</f>
        <v>0</v>
      </c>
      <c r="I17" s="500">
        <f>D17*I1</f>
        <v>0</v>
      </c>
      <c r="J17" s="484"/>
      <c r="K17" s="572"/>
      <c r="L17" s="571"/>
      <c r="M17" s="483"/>
      <c r="O17" s="508"/>
      <c r="P17" s="497"/>
    </row>
    <row r="18" spans="1:16" ht="18.75">
      <c r="A18" s="163" t="s">
        <v>1311</v>
      </c>
      <c r="B18" s="643" t="s">
        <v>168</v>
      </c>
      <c r="C18" s="191"/>
      <c r="D18" s="162">
        <v>80</v>
      </c>
      <c r="E18" s="850"/>
      <c r="I18" s="481"/>
      <c r="J18" s="501">
        <f>10*J1</f>
        <v>0</v>
      </c>
      <c r="K18" s="567"/>
      <c r="L18" s="568"/>
      <c r="M18" s="483"/>
      <c r="O18" s="566"/>
      <c r="P18" s="497">
        <f>30*P1</f>
        <v>0</v>
      </c>
    </row>
    <row r="19" spans="1:16" ht="18.75">
      <c r="A19" s="163" t="s">
        <v>1312</v>
      </c>
      <c r="B19" s="643" t="s">
        <v>168</v>
      </c>
      <c r="C19" s="191"/>
      <c r="D19" s="162">
        <v>30</v>
      </c>
      <c r="E19" s="849"/>
      <c r="F19" s="496">
        <f>D19*F1</f>
        <v>0</v>
      </c>
      <c r="G19" s="497">
        <f>20*G1</f>
        <v>0</v>
      </c>
      <c r="H19" s="499">
        <f>10*H1</f>
        <v>0</v>
      </c>
      <c r="I19" s="500">
        <f>D19*I1</f>
        <v>0</v>
      </c>
      <c r="J19" s="484"/>
      <c r="K19" s="567"/>
      <c r="L19" s="568"/>
      <c r="M19" s="483"/>
      <c r="N19" s="507">
        <f>20*N1</f>
        <v>0</v>
      </c>
      <c r="O19" s="566"/>
      <c r="P19" s="497"/>
    </row>
    <row r="20" spans="1:16" ht="18.75">
      <c r="A20" s="163" t="s">
        <v>1313</v>
      </c>
      <c r="B20" s="643" t="s">
        <v>168</v>
      </c>
      <c r="C20" s="191"/>
      <c r="D20" s="195">
        <v>80</v>
      </c>
      <c r="E20" s="498">
        <f>10*E1</f>
        <v>0</v>
      </c>
      <c r="F20" s="849"/>
      <c r="I20" s="481"/>
      <c r="J20" s="501">
        <f>30*J1</f>
        <v>0</v>
      </c>
      <c r="K20" s="505">
        <f>20*K1</f>
        <v>0</v>
      </c>
      <c r="L20" s="571"/>
      <c r="M20" s="483"/>
      <c r="O20" s="566"/>
    </row>
    <row r="21" spans="1:16">
      <c r="A21" s="163" t="s">
        <v>1314</v>
      </c>
      <c r="B21" s="643" t="s">
        <v>168</v>
      </c>
      <c r="C21" s="191"/>
      <c r="D21" s="195">
        <v>80</v>
      </c>
      <c r="G21" s="497">
        <f>60*G1</f>
        <v>0</v>
      </c>
      <c r="H21" s="499">
        <f>30*H1</f>
        <v>0</v>
      </c>
      <c r="J21" s="484"/>
      <c r="K21" s="567"/>
      <c r="L21" s="506">
        <f>10*L1</f>
        <v>0</v>
      </c>
      <c r="M21" s="502">
        <f>20*M1</f>
        <v>0</v>
      </c>
      <c r="N21" s="507">
        <f>60*N1</f>
        <v>0</v>
      </c>
      <c r="O21" s="566"/>
    </row>
    <row r="22" spans="1:16" ht="18.75">
      <c r="A22" s="163" t="s">
        <v>1468</v>
      </c>
      <c r="B22" s="643"/>
      <c r="C22" s="191"/>
      <c r="D22" s="195"/>
      <c r="E22" s="849"/>
      <c r="G22" s="497"/>
      <c r="H22" s="499"/>
      <c r="J22" s="484"/>
      <c r="K22" s="567"/>
      <c r="L22" s="506"/>
      <c r="M22" s="502"/>
      <c r="N22" s="507"/>
      <c r="O22" s="566"/>
    </row>
    <row r="23" spans="1:16" ht="18.75">
      <c r="A23" s="163" t="s">
        <v>1315</v>
      </c>
      <c r="B23" s="643" t="s">
        <v>168</v>
      </c>
      <c r="C23" s="191"/>
      <c r="D23" s="195">
        <v>120</v>
      </c>
      <c r="E23" s="574">
        <f>30*E1</f>
        <v>0</v>
      </c>
      <c r="F23" s="849"/>
      <c r="J23" s="484"/>
      <c r="K23" s="505">
        <f>60*K1</f>
        <v>0</v>
      </c>
      <c r="L23" s="568"/>
      <c r="M23" s="483"/>
      <c r="O23" s="566"/>
    </row>
    <row r="24" spans="1:16" ht="18.75">
      <c r="A24" s="163" t="s">
        <v>1316</v>
      </c>
      <c r="B24" s="643" t="s">
        <v>168</v>
      </c>
      <c r="C24" s="191"/>
      <c r="D24" s="195">
        <v>30</v>
      </c>
      <c r="F24" s="849"/>
      <c r="J24" s="484"/>
      <c r="K24" s="575"/>
      <c r="L24" s="576">
        <f>30*L1</f>
        <v>0</v>
      </c>
      <c r="M24" s="502">
        <f>60*M1</f>
        <v>0</v>
      </c>
      <c r="O24" s="566"/>
    </row>
    <row r="25" spans="1:16" ht="15.75" thickBot="1">
      <c r="A25" s="163" t="s">
        <v>1293</v>
      </c>
      <c r="B25" s="643" t="s">
        <v>168</v>
      </c>
      <c r="C25" s="191"/>
      <c r="D25" s="195">
        <v>0.3</v>
      </c>
      <c r="E25" s="486">
        <f>0.3*E1</f>
        <v>0</v>
      </c>
      <c r="F25" s="486">
        <f t="shared" ref="F25:P25" si="0">0.3*F1</f>
        <v>0</v>
      </c>
      <c r="G25" s="486">
        <f t="shared" si="0"/>
        <v>0</v>
      </c>
      <c r="H25" s="486">
        <f t="shared" si="0"/>
        <v>0</v>
      </c>
      <c r="I25" s="486">
        <f t="shared" si="0"/>
        <v>0</v>
      </c>
      <c r="J25" s="486">
        <f t="shared" si="0"/>
        <v>0</v>
      </c>
      <c r="K25" s="486">
        <f t="shared" si="0"/>
        <v>0</v>
      </c>
      <c r="L25" s="486">
        <f t="shared" si="0"/>
        <v>0</v>
      </c>
      <c r="M25" s="486">
        <f t="shared" si="0"/>
        <v>0</v>
      </c>
      <c r="N25" s="486">
        <f t="shared" si="0"/>
        <v>0</v>
      </c>
      <c r="O25" s="486">
        <f t="shared" si="0"/>
        <v>0</v>
      </c>
      <c r="P25" s="486">
        <f t="shared" si="0"/>
        <v>0</v>
      </c>
    </row>
    <row r="26" spans="1:16" ht="15.75" thickBot="1">
      <c r="A26" s="163" t="s">
        <v>1249</v>
      </c>
      <c r="B26" s="643" t="s">
        <v>168</v>
      </c>
      <c r="C26" s="191"/>
      <c r="D26" s="162">
        <v>7</v>
      </c>
      <c r="E26" s="558">
        <f>D26*E1</f>
        <v>0</v>
      </c>
      <c r="F26" s="509">
        <f>D26*F1</f>
        <v>0</v>
      </c>
      <c r="G26" s="510">
        <f>D26*G$1</f>
        <v>0</v>
      </c>
      <c r="H26" s="511">
        <f>H$1*D26</f>
        <v>0</v>
      </c>
      <c r="I26" s="512">
        <f>D26*I1</f>
        <v>0</v>
      </c>
      <c r="J26" s="513">
        <f>D26*J1</f>
        <v>0</v>
      </c>
      <c r="K26" s="577">
        <f>D26*K1</f>
        <v>0</v>
      </c>
      <c r="L26" s="578">
        <f>D26*L1</f>
        <v>0</v>
      </c>
      <c r="M26" s="514">
        <f>D26*M$1</f>
        <v>0</v>
      </c>
      <c r="N26" s="561">
        <f>D26*N$1</f>
        <v>0</v>
      </c>
      <c r="O26" s="562">
        <f>D26*O1</f>
        <v>0</v>
      </c>
      <c r="P26" s="563">
        <f>D26*P1</f>
        <v>0</v>
      </c>
    </row>
    <row r="27" spans="1:16" ht="15.75" thickBot="1">
      <c r="A27" s="192" t="s">
        <v>432</v>
      </c>
      <c r="B27" s="643" t="s">
        <v>0</v>
      </c>
      <c r="C27" s="191"/>
      <c r="D27" s="195">
        <v>1</v>
      </c>
      <c r="E27" s="558">
        <f>D27*E1</f>
        <v>0</v>
      </c>
      <c r="F27" s="509">
        <f>D27*F1</f>
        <v>0</v>
      </c>
      <c r="G27" s="510">
        <f>D27*G$1</f>
        <v>0</v>
      </c>
      <c r="H27" s="511">
        <f>H$1*D27</f>
        <v>0</v>
      </c>
      <c r="I27" s="512">
        <f>D27*I1</f>
        <v>0</v>
      </c>
      <c r="J27" s="513">
        <f>D27*J1</f>
        <v>0</v>
      </c>
      <c r="K27" s="577">
        <f>D27*K1</f>
        <v>0</v>
      </c>
      <c r="L27" s="578">
        <f>D27*L1</f>
        <v>0</v>
      </c>
      <c r="M27" s="514">
        <f>D27*M$1</f>
        <v>0</v>
      </c>
      <c r="N27" s="561">
        <f>D27*N$1</f>
        <v>0</v>
      </c>
      <c r="O27" s="562">
        <f>D27*O1</f>
        <v>0</v>
      </c>
      <c r="P27" s="563">
        <f>D27*P1</f>
        <v>0</v>
      </c>
    </row>
    <row r="28" spans="1:16" ht="15.75" thickBot="1">
      <c r="A28" s="163" t="s">
        <v>1744</v>
      </c>
      <c r="B28" s="643" t="s">
        <v>0</v>
      </c>
      <c r="C28" s="191"/>
      <c r="D28" s="195">
        <v>1</v>
      </c>
      <c r="E28" s="486">
        <f>Transformadores!T12+SUM(Transformadores!T13:U15)*D28</f>
        <v>0</v>
      </c>
      <c r="I28" s="481"/>
      <c r="J28" s="484"/>
      <c r="K28" s="579"/>
      <c r="L28" s="580"/>
      <c r="M28" s="483"/>
      <c r="O28" s="566"/>
    </row>
    <row r="29" spans="1:16" ht="15.75" thickBot="1">
      <c r="A29" s="163" t="s">
        <v>1745</v>
      </c>
      <c r="B29" s="643" t="s">
        <v>0</v>
      </c>
      <c r="C29" s="191"/>
      <c r="D29" s="195">
        <v>1</v>
      </c>
      <c r="E29" s="558">
        <f>Transformadores!R12+SUM(Transformadores!R13:S15)*D29</f>
        <v>0</v>
      </c>
      <c r="F29" s="509"/>
      <c r="G29" s="510"/>
      <c r="H29" s="510"/>
      <c r="I29" s="510"/>
      <c r="J29" s="510"/>
      <c r="K29" s="577"/>
      <c r="L29" s="578"/>
      <c r="M29" s="510"/>
      <c r="N29" s="561"/>
      <c r="O29" s="510"/>
      <c r="P29" s="563"/>
    </row>
    <row r="30" spans="1:16" s="1397" customFormat="1" ht="15.75" thickBot="1">
      <c r="A30" s="1385" t="s">
        <v>1247</v>
      </c>
      <c r="B30" s="1386" t="s">
        <v>0</v>
      </c>
      <c r="C30" s="1387"/>
      <c r="D30" s="1388">
        <v>1</v>
      </c>
      <c r="E30" s="1389"/>
      <c r="F30" s="1390">
        <f>D30*F1</f>
        <v>0</v>
      </c>
      <c r="G30" s="1391"/>
      <c r="H30" s="1391"/>
      <c r="I30" s="1392">
        <f>D30*I1</f>
        <v>0</v>
      </c>
      <c r="J30" s="1392">
        <f>D30*J1</f>
        <v>0</v>
      </c>
      <c r="K30" s="1393"/>
      <c r="L30" s="1394"/>
      <c r="M30" s="1391"/>
      <c r="N30" s="1395"/>
      <c r="O30" s="1392">
        <f>D30*O1</f>
        <v>0</v>
      </c>
      <c r="P30" s="1396">
        <f>D30*P1</f>
        <v>0</v>
      </c>
    </row>
    <row r="31" spans="1:16">
      <c r="A31" s="5" t="s">
        <v>425</v>
      </c>
      <c r="B31" s="643" t="s">
        <v>0</v>
      </c>
      <c r="C31" s="191"/>
      <c r="D31" s="195"/>
      <c r="E31" s="498"/>
      <c r="F31" s="496"/>
      <c r="G31" s="497"/>
      <c r="H31" s="499"/>
      <c r="I31" s="500"/>
      <c r="J31" s="501"/>
      <c r="K31" s="581"/>
      <c r="L31" s="582"/>
      <c r="M31" s="502"/>
      <c r="N31" s="507"/>
      <c r="O31" s="508"/>
      <c r="P31" s="497"/>
    </row>
    <row r="32" spans="1:16">
      <c r="A32" s="5" t="s">
        <v>1186</v>
      </c>
      <c r="B32" s="643" t="s">
        <v>0</v>
      </c>
      <c r="C32" s="191"/>
      <c r="D32" s="195">
        <v>1</v>
      </c>
      <c r="G32" s="497">
        <f>D32*G1</f>
        <v>0</v>
      </c>
      <c r="H32" s="499">
        <f>D32*H1</f>
        <v>0</v>
      </c>
      <c r="I32" s="481"/>
      <c r="J32" s="484"/>
      <c r="K32" s="583"/>
      <c r="L32" s="569">
        <f>D32*L1</f>
        <v>0</v>
      </c>
      <c r="M32" s="502">
        <f>D32*M1</f>
        <v>0</v>
      </c>
      <c r="N32" s="507"/>
      <c r="O32" s="566"/>
    </row>
    <row r="33" spans="1:16">
      <c r="A33" s="5" t="s">
        <v>1193</v>
      </c>
      <c r="B33" s="643" t="s">
        <v>0</v>
      </c>
      <c r="C33" s="191"/>
      <c r="D33" s="195">
        <v>1</v>
      </c>
      <c r="G33" s="497"/>
      <c r="H33" s="499"/>
      <c r="I33" s="481"/>
      <c r="J33" s="501">
        <f>D33*J1</f>
        <v>0</v>
      </c>
      <c r="K33" s="583"/>
      <c r="L33" s="569"/>
      <c r="M33" s="483"/>
      <c r="N33" s="507">
        <f>D33*N1</f>
        <v>0</v>
      </c>
      <c r="O33" s="566"/>
    </row>
    <row r="34" spans="1:16">
      <c r="A34" s="5" t="s">
        <v>1192</v>
      </c>
      <c r="B34" s="643" t="s">
        <v>0</v>
      </c>
      <c r="C34" s="191"/>
      <c r="D34" s="195">
        <v>1</v>
      </c>
      <c r="E34" s="498">
        <f>D34*E1</f>
        <v>0</v>
      </c>
      <c r="I34" s="500">
        <f>D34*I1</f>
        <v>0</v>
      </c>
      <c r="J34" s="484"/>
      <c r="K34" s="583">
        <f>D34*K1</f>
        <v>0</v>
      </c>
      <c r="L34" s="569"/>
      <c r="M34" s="483"/>
      <c r="O34" s="566"/>
    </row>
    <row r="35" spans="1:16">
      <c r="A35" s="5" t="s">
        <v>1194</v>
      </c>
      <c r="B35" s="643" t="s">
        <v>0</v>
      </c>
      <c r="C35" s="191"/>
      <c r="D35" s="195">
        <v>1</v>
      </c>
      <c r="E35" s="498"/>
      <c r="I35" s="481"/>
      <c r="J35" s="484"/>
      <c r="K35" s="584"/>
      <c r="L35" s="585"/>
      <c r="M35" s="483"/>
      <c r="O35" s="566"/>
    </row>
    <row r="36" spans="1:16">
      <c r="A36" s="5" t="s">
        <v>1195</v>
      </c>
      <c r="B36" s="643" t="s">
        <v>0</v>
      </c>
      <c r="C36" s="191"/>
      <c r="D36" s="195">
        <v>1</v>
      </c>
      <c r="E36" s="498"/>
      <c r="I36" s="481"/>
      <c r="J36" s="484"/>
      <c r="K36" s="584"/>
      <c r="L36" s="585"/>
      <c r="M36" s="483"/>
      <c r="O36" s="508"/>
    </row>
    <row r="37" spans="1:16">
      <c r="A37" s="5" t="s">
        <v>1191</v>
      </c>
      <c r="B37" s="643" t="s">
        <v>0</v>
      </c>
      <c r="C37" s="191"/>
      <c r="D37" s="195">
        <v>1</v>
      </c>
      <c r="E37" s="498"/>
      <c r="F37" s="496">
        <f>D37*F1</f>
        <v>0</v>
      </c>
      <c r="I37" s="481"/>
      <c r="J37" s="484"/>
      <c r="K37" s="584"/>
      <c r="L37" s="585"/>
      <c r="M37" s="483"/>
      <c r="O37" s="508">
        <f>D37*O1</f>
        <v>0</v>
      </c>
    </row>
    <row r="38" spans="1:16">
      <c r="A38" s="5" t="s">
        <v>1196</v>
      </c>
      <c r="B38" s="643" t="s">
        <v>0</v>
      </c>
      <c r="C38" s="191"/>
      <c r="D38" s="195">
        <v>1</v>
      </c>
      <c r="E38" s="498"/>
      <c r="F38" s="496"/>
      <c r="I38" s="481"/>
      <c r="J38" s="484"/>
      <c r="K38" s="586"/>
      <c r="L38" s="587"/>
      <c r="M38" s="483"/>
      <c r="O38" s="566"/>
    </row>
    <row r="39" spans="1:16" ht="15.75" thickBot="1">
      <c r="A39" s="5" t="s">
        <v>1197</v>
      </c>
      <c r="B39" s="643" t="s">
        <v>0</v>
      </c>
      <c r="C39" s="191"/>
      <c r="D39" s="195">
        <v>1</v>
      </c>
      <c r="E39" s="498"/>
      <c r="F39" s="496"/>
      <c r="I39" s="481"/>
      <c r="J39" s="484"/>
      <c r="K39" s="586"/>
      <c r="L39" s="587"/>
      <c r="M39" s="483"/>
      <c r="O39" s="566"/>
    </row>
    <row r="40" spans="1:16" ht="15.75" thickBot="1">
      <c r="A40" s="163" t="s">
        <v>416</v>
      </c>
      <c r="B40" s="643" t="s">
        <v>0</v>
      </c>
      <c r="C40" s="191"/>
      <c r="D40" s="162">
        <v>1</v>
      </c>
      <c r="E40" s="558">
        <f>D40*E1</f>
        <v>0</v>
      </c>
      <c r="F40" s="509"/>
      <c r="G40" s="510">
        <f>D40*G$1</f>
        <v>0</v>
      </c>
      <c r="H40" s="511">
        <f>H$1*D40</f>
        <v>0</v>
      </c>
      <c r="I40" s="515">
        <f>D40*I1</f>
        <v>0</v>
      </c>
      <c r="J40" s="517">
        <f>D40*J1</f>
        <v>0</v>
      </c>
      <c r="K40" s="559">
        <f>D40*K1</f>
        <v>0</v>
      </c>
      <c r="L40" s="578">
        <f>D40*L1</f>
        <v>0</v>
      </c>
      <c r="M40" s="514">
        <f>D40*M$1</f>
        <v>0</v>
      </c>
      <c r="N40" s="561">
        <f>D40*N$1</f>
        <v>0</v>
      </c>
      <c r="O40" s="562">
        <f>D40*O1</f>
        <v>0</v>
      </c>
      <c r="P40" s="563">
        <f>D40*P1</f>
        <v>0</v>
      </c>
    </row>
    <row r="41" spans="1:16">
      <c r="A41" s="192" t="s">
        <v>1304</v>
      </c>
      <c r="B41" s="643" t="s">
        <v>0</v>
      </c>
      <c r="C41" s="191"/>
      <c r="D41" s="162">
        <v>2</v>
      </c>
      <c r="E41" s="498"/>
      <c r="F41" s="496"/>
      <c r="G41" s="497"/>
      <c r="H41" s="499"/>
      <c r="I41" s="500"/>
      <c r="J41" s="518"/>
      <c r="K41" s="586"/>
      <c r="L41" s="588"/>
      <c r="M41" s="502"/>
      <c r="N41" s="507"/>
      <c r="O41" s="508"/>
      <c r="P41" s="497">
        <f>D41*O1</f>
        <v>0</v>
      </c>
    </row>
    <row r="42" spans="1:16">
      <c r="A42" s="192" t="s">
        <v>1305</v>
      </c>
      <c r="B42" s="643" t="s">
        <v>0</v>
      </c>
      <c r="C42" s="191"/>
      <c r="D42" s="162">
        <v>2</v>
      </c>
      <c r="F42" s="486"/>
      <c r="H42" s="486"/>
      <c r="I42" s="498">
        <f>D42*I1</f>
        <v>0</v>
      </c>
      <c r="J42" s="486"/>
      <c r="K42" s="589"/>
      <c r="L42" s="590"/>
      <c r="M42" s="486"/>
      <c r="O42" s="566"/>
      <c r="P42" s="508">
        <f>D42*P1</f>
        <v>0</v>
      </c>
    </row>
    <row r="43" spans="1:16">
      <c r="A43" s="192" t="s">
        <v>1306</v>
      </c>
      <c r="B43" s="643" t="s">
        <v>0</v>
      </c>
      <c r="C43" s="191"/>
      <c r="D43" s="162">
        <v>2</v>
      </c>
      <c r="F43" s="496">
        <f>D43*F1</f>
        <v>0</v>
      </c>
      <c r="I43" s="481"/>
      <c r="J43" s="518">
        <f>D43*J1</f>
        <v>0</v>
      </c>
      <c r="K43" s="591"/>
      <c r="L43" s="568"/>
      <c r="M43" s="483"/>
      <c r="O43" s="566"/>
    </row>
    <row r="44" spans="1:16">
      <c r="A44" s="192" t="s">
        <v>1307</v>
      </c>
      <c r="B44" s="643" t="s">
        <v>0</v>
      </c>
      <c r="C44" s="191"/>
      <c r="D44" s="195">
        <v>2</v>
      </c>
      <c r="E44" s="498">
        <f>D44*E1</f>
        <v>0</v>
      </c>
      <c r="G44" s="497">
        <f>D44*2*G1</f>
        <v>0</v>
      </c>
      <c r="H44" s="499">
        <f>D44*H1</f>
        <v>0</v>
      </c>
      <c r="I44" s="487"/>
      <c r="J44" s="484"/>
      <c r="K44" s="592">
        <f>D44*2*K1</f>
        <v>0</v>
      </c>
      <c r="L44" s="506">
        <f>D44*L1</f>
        <v>0</v>
      </c>
      <c r="M44" s="502">
        <f>D44*2*M1</f>
        <v>0</v>
      </c>
      <c r="N44" s="507">
        <f>D44*N1</f>
        <v>0</v>
      </c>
      <c r="O44" s="566"/>
    </row>
    <row r="45" spans="1:16" s="1424" customFormat="1">
      <c r="A45" s="1409" t="s">
        <v>510</v>
      </c>
      <c r="B45" s="1410" t="s">
        <v>0</v>
      </c>
      <c r="C45" s="1411"/>
      <c r="D45" s="1412">
        <v>1</v>
      </c>
      <c r="E45" s="1413"/>
      <c r="F45" s="1414"/>
      <c r="G45" s="1415"/>
      <c r="H45" s="1416"/>
      <c r="I45" s="1417"/>
      <c r="J45" s="1418"/>
      <c r="K45" s="1419"/>
      <c r="L45" s="1420"/>
      <c r="M45" s="1421"/>
      <c r="N45" s="1422"/>
      <c r="O45" s="1423">
        <f>D45*O1</f>
        <v>0</v>
      </c>
      <c r="P45" s="1415"/>
    </row>
    <row r="46" spans="1:16" s="1424" customFormat="1">
      <c r="A46" s="1409" t="s">
        <v>1200</v>
      </c>
      <c r="B46" s="1410" t="s">
        <v>0</v>
      </c>
      <c r="C46" s="1411"/>
      <c r="D46" s="1412">
        <v>1</v>
      </c>
      <c r="E46" s="1413"/>
      <c r="F46" s="1414"/>
      <c r="G46" s="1415"/>
      <c r="H46" s="1416"/>
      <c r="I46" s="1417"/>
      <c r="J46" s="1418"/>
      <c r="K46" s="1419"/>
      <c r="L46" s="1420"/>
      <c r="M46" s="1421"/>
      <c r="N46" s="1422"/>
      <c r="O46" s="1423"/>
      <c r="P46" s="1415"/>
    </row>
    <row r="47" spans="1:16" s="1424" customFormat="1">
      <c r="A47" s="1409" t="s">
        <v>472</v>
      </c>
      <c r="B47" s="1410" t="s">
        <v>0</v>
      </c>
      <c r="C47" s="1411"/>
      <c r="D47" s="1412">
        <v>1</v>
      </c>
      <c r="E47" s="1413"/>
      <c r="F47" s="1414"/>
      <c r="G47" s="1415"/>
      <c r="H47" s="1416"/>
      <c r="I47" s="1425">
        <f>D47*I1</f>
        <v>0</v>
      </c>
      <c r="J47" s="1418"/>
      <c r="K47" s="1419"/>
      <c r="L47" s="1420"/>
      <c r="M47" s="1421"/>
      <c r="N47" s="1422"/>
      <c r="O47" s="1426"/>
      <c r="P47" s="1415"/>
    </row>
    <row r="48" spans="1:16" s="1424" customFormat="1">
      <c r="A48" s="1409" t="s">
        <v>1188</v>
      </c>
      <c r="B48" s="1410" t="s">
        <v>0</v>
      </c>
      <c r="C48" s="1411"/>
      <c r="D48" s="1412">
        <v>1</v>
      </c>
      <c r="E48" s="1413"/>
      <c r="F48" s="1414"/>
      <c r="G48" s="1415"/>
      <c r="H48" s="1416"/>
      <c r="I48" s="1427"/>
      <c r="J48" s="1418"/>
      <c r="K48" s="1419"/>
      <c r="L48" s="1420"/>
      <c r="M48" s="1421"/>
      <c r="N48" s="1422"/>
      <c r="O48" s="1426"/>
      <c r="P48" s="1428">
        <f>D48*P1</f>
        <v>0</v>
      </c>
    </row>
    <row r="49" spans="1:16" s="1424" customFormat="1">
      <c r="A49" s="1409" t="s">
        <v>443</v>
      </c>
      <c r="B49" s="1410" t="s">
        <v>0</v>
      </c>
      <c r="C49" s="1411"/>
      <c r="D49" s="1412">
        <v>1</v>
      </c>
      <c r="E49" s="1413"/>
      <c r="F49" s="1429">
        <f>D49*F1</f>
        <v>0</v>
      </c>
      <c r="G49" s="1415"/>
      <c r="H49" s="1416"/>
      <c r="I49" s="1417"/>
      <c r="J49" s="1430"/>
      <c r="K49" s="1431"/>
      <c r="L49" s="1420"/>
      <c r="M49" s="1421"/>
      <c r="N49" s="1422"/>
      <c r="O49" s="1426"/>
      <c r="P49" s="1415"/>
    </row>
    <row r="50" spans="1:16" s="1424" customFormat="1">
      <c r="A50" s="1409" t="s">
        <v>473</v>
      </c>
      <c r="B50" s="1410" t="s">
        <v>0</v>
      </c>
      <c r="C50" s="1411"/>
      <c r="D50" s="1412">
        <v>1</v>
      </c>
      <c r="E50" s="1413"/>
      <c r="F50" s="1414"/>
      <c r="G50" s="1428"/>
      <c r="H50" s="1416"/>
      <c r="I50" s="1417"/>
      <c r="J50" s="1432">
        <f>D50*J1</f>
        <v>0</v>
      </c>
      <c r="K50" s="1431"/>
      <c r="L50" s="1420"/>
      <c r="M50" s="1421"/>
      <c r="N50" s="1422"/>
      <c r="O50" s="1426"/>
      <c r="P50" s="1415"/>
    </row>
    <row r="51" spans="1:16" s="1424" customFormat="1">
      <c r="A51" s="1409" t="s">
        <v>466</v>
      </c>
      <c r="B51" s="1410" t="s">
        <v>0</v>
      </c>
      <c r="C51" s="1411"/>
      <c r="D51" s="1412">
        <v>1</v>
      </c>
      <c r="E51" s="1413"/>
      <c r="F51" s="1414"/>
      <c r="G51" s="1415"/>
      <c r="H51" s="1433">
        <f>D51*H1</f>
        <v>0</v>
      </c>
      <c r="I51" s="1417"/>
      <c r="J51" s="1430"/>
      <c r="K51" s="1431"/>
      <c r="L51" s="1420"/>
      <c r="M51" s="1421"/>
      <c r="N51" s="1422"/>
      <c r="O51" s="1426"/>
      <c r="P51" s="1415"/>
    </row>
    <row r="52" spans="1:16" s="1424" customFormat="1">
      <c r="A52" s="1409" t="s">
        <v>428</v>
      </c>
      <c r="B52" s="1410" t="s">
        <v>0</v>
      </c>
      <c r="C52" s="1411"/>
      <c r="D52" s="1412">
        <v>1</v>
      </c>
      <c r="E52" s="1434">
        <f>D52*E1</f>
        <v>0</v>
      </c>
      <c r="F52" s="1414"/>
      <c r="G52" s="1415"/>
      <c r="H52" s="1416"/>
      <c r="I52" s="1417"/>
      <c r="J52" s="1430"/>
      <c r="K52" s="1431"/>
      <c r="L52" s="1420"/>
      <c r="M52" s="1421"/>
      <c r="N52" s="1422"/>
      <c r="O52" s="1426"/>
      <c r="P52" s="1415"/>
    </row>
    <row r="53" spans="1:16" s="1424" customFormat="1">
      <c r="A53" s="1409" t="s">
        <v>474</v>
      </c>
      <c r="B53" s="1410" t="s">
        <v>0</v>
      </c>
      <c r="C53" s="1435"/>
      <c r="D53" s="1412">
        <v>1</v>
      </c>
      <c r="E53" s="1413"/>
      <c r="F53" s="1414"/>
      <c r="G53" s="1415"/>
      <c r="H53" s="1416"/>
      <c r="I53" s="1417"/>
      <c r="J53" s="1430"/>
      <c r="K53" s="1431"/>
      <c r="L53" s="1436">
        <f>D53*L1</f>
        <v>0</v>
      </c>
      <c r="M53" s="1421"/>
      <c r="N53" s="1422"/>
      <c r="O53" s="1426"/>
      <c r="P53" s="1415"/>
    </row>
    <row r="54" spans="1:16" s="1424" customFormat="1">
      <c r="A54" s="1409" t="s">
        <v>463</v>
      </c>
      <c r="B54" s="1410" t="s">
        <v>0</v>
      </c>
      <c r="C54" s="1411"/>
      <c r="D54" s="1412">
        <v>1</v>
      </c>
      <c r="E54" s="1413"/>
      <c r="F54" s="1414"/>
      <c r="G54" s="1428">
        <f>D54*G1</f>
        <v>0</v>
      </c>
      <c r="H54" s="1416"/>
      <c r="I54" s="1417"/>
      <c r="J54" s="1430"/>
      <c r="K54" s="1431"/>
      <c r="L54" s="1420"/>
      <c r="M54" s="1421"/>
      <c r="N54" s="1422"/>
      <c r="O54" s="1426"/>
      <c r="P54" s="1415"/>
    </row>
    <row r="55" spans="1:16" s="1424" customFormat="1">
      <c r="A55" s="1409" t="s">
        <v>475</v>
      </c>
      <c r="B55" s="1410" t="s">
        <v>0</v>
      </c>
      <c r="C55" s="1435"/>
      <c r="D55" s="1412">
        <v>1</v>
      </c>
      <c r="E55" s="1413"/>
      <c r="F55" s="1414"/>
      <c r="G55" s="1415"/>
      <c r="H55" s="1416"/>
      <c r="I55" s="1417"/>
      <c r="J55" s="1430"/>
      <c r="K55" s="1431"/>
      <c r="L55" s="1420"/>
      <c r="M55" s="1421"/>
      <c r="N55" s="1437"/>
      <c r="O55" s="1426"/>
      <c r="P55" s="1415"/>
    </row>
    <row r="56" spans="1:16" s="1424" customFormat="1">
      <c r="A56" s="1409" t="s">
        <v>1753</v>
      </c>
      <c r="B56" s="1410" t="s">
        <v>0</v>
      </c>
      <c r="C56" s="1435"/>
      <c r="D56" s="1412">
        <v>1</v>
      </c>
      <c r="E56" s="1413"/>
      <c r="F56" s="1414"/>
      <c r="G56" s="1415"/>
      <c r="H56" s="1416"/>
      <c r="I56" s="1417"/>
      <c r="J56" s="1430"/>
      <c r="K56" s="1431"/>
      <c r="L56" s="1420"/>
      <c r="M56" s="1421"/>
      <c r="N56" s="1437">
        <f>D56*N$1</f>
        <v>0</v>
      </c>
      <c r="O56" s="1426"/>
      <c r="P56" s="1415"/>
    </row>
    <row r="57" spans="1:16" s="1424" customFormat="1">
      <c r="A57" s="1409" t="s">
        <v>1185</v>
      </c>
      <c r="B57" s="1410" t="s">
        <v>0</v>
      </c>
      <c r="C57" s="1435"/>
      <c r="D57" s="1412">
        <v>1</v>
      </c>
      <c r="E57" s="1413"/>
      <c r="F57" s="1414"/>
      <c r="G57" s="1415"/>
      <c r="H57" s="1416"/>
      <c r="I57" s="1417"/>
      <c r="J57" s="1430"/>
      <c r="K57" s="1438">
        <f>D57*K1</f>
        <v>0</v>
      </c>
      <c r="L57" s="1420"/>
      <c r="M57" s="1421"/>
      <c r="N57" s="1422"/>
      <c r="O57" s="1426"/>
      <c r="P57" s="1415"/>
    </row>
    <row r="58" spans="1:16" s="1424" customFormat="1">
      <c r="A58" s="1409" t="s">
        <v>476</v>
      </c>
      <c r="B58" s="1410" t="s">
        <v>0</v>
      </c>
      <c r="C58" s="1435"/>
      <c r="D58" s="1412">
        <v>1</v>
      </c>
      <c r="E58" s="1413"/>
      <c r="F58" s="1414"/>
      <c r="G58" s="1415"/>
      <c r="H58" s="1416"/>
      <c r="I58" s="1417"/>
      <c r="J58" s="1430"/>
      <c r="K58" s="1431"/>
      <c r="L58" s="1420"/>
      <c r="M58" s="1439">
        <f>D58*M1</f>
        <v>0</v>
      </c>
      <c r="N58" s="1422"/>
      <c r="O58" s="1426"/>
      <c r="P58" s="1415"/>
    </row>
    <row r="59" spans="1:16">
      <c r="A59" s="163" t="s">
        <v>1199</v>
      </c>
      <c r="B59" s="643" t="s">
        <v>0</v>
      </c>
      <c r="C59" s="174"/>
      <c r="D59" s="195">
        <v>1</v>
      </c>
      <c r="I59" s="487"/>
      <c r="J59" s="488"/>
      <c r="K59" s="593"/>
      <c r="L59" s="568"/>
      <c r="M59" s="502"/>
      <c r="O59" s="508">
        <f>D59*O1</f>
        <v>0</v>
      </c>
    </row>
    <row r="60" spans="1:16">
      <c r="A60" s="163" t="s">
        <v>1190</v>
      </c>
      <c r="B60" s="643" t="s">
        <v>0</v>
      </c>
      <c r="C60" s="174"/>
      <c r="D60" s="195">
        <v>1</v>
      </c>
      <c r="I60" s="544">
        <f>D60*I1</f>
        <v>0</v>
      </c>
      <c r="J60" s="488"/>
      <c r="K60" s="593"/>
      <c r="L60" s="568"/>
      <c r="M60" s="483"/>
      <c r="O60" s="566"/>
    </row>
    <row r="61" spans="1:16">
      <c r="A61" s="163" t="s">
        <v>1189</v>
      </c>
      <c r="B61" s="643" t="s">
        <v>0</v>
      </c>
      <c r="C61" s="174"/>
      <c r="D61" s="195">
        <v>1</v>
      </c>
      <c r="F61" s="496">
        <f>D61*F1</f>
        <v>0</v>
      </c>
      <c r="I61" s="487"/>
      <c r="J61" s="518">
        <f>D61*J1</f>
        <v>0</v>
      </c>
      <c r="K61" s="593"/>
      <c r="L61" s="568"/>
      <c r="M61" s="483"/>
      <c r="O61" s="566"/>
    </row>
    <row r="62" spans="1:16" ht="15.75" thickBot="1">
      <c r="A62" s="163" t="s">
        <v>1181</v>
      </c>
      <c r="B62" s="643" t="s">
        <v>0</v>
      </c>
      <c r="C62" s="174"/>
      <c r="D62" s="195">
        <v>1</v>
      </c>
      <c r="E62" s="498">
        <f>D62*E1</f>
        <v>0</v>
      </c>
      <c r="G62" s="497">
        <f>D62*2*G1</f>
        <v>0</v>
      </c>
      <c r="H62" s="499">
        <f>D62*H1</f>
        <v>0</v>
      </c>
      <c r="I62" s="487"/>
      <c r="J62" s="488"/>
      <c r="K62" s="594">
        <f>D62*2*K1</f>
        <v>0</v>
      </c>
      <c r="L62" s="576">
        <f>D62*L1</f>
        <v>0</v>
      </c>
      <c r="M62" s="502">
        <f>D62*2*M1</f>
        <v>0</v>
      </c>
      <c r="N62" s="507">
        <f>D62*2*N1</f>
        <v>0</v>
      </c>
      <c r="O62" s="566"/>
    </row>
    <row r="63" spans="1:16" ht="15.75" thickBot="1">
      <c r="A63" s="163" t="s">
        <v>415</v>
      </c>
      <c r="B63" s="643" t="s">
        <v>0</v>
      </c>
      <c r="C63" s="191"/>
      <c r="D63" s="162">
        <v>1</v>
      </c>
      <c r="E63" s="558">
        <f>D63*E1</f>
        <v>0</v>
      </c>
      <c r="F63" s="509"/>
      <c r="G63" s="510">
        <f>D63*G$1</f>
        <v>0</v>
      </c>
      <c r="H63" s="511">
        <f>H$1*D63</f>
        <v>0</v>
      </c>
      <c r="I63" s="512">
        <f>D63*I1</f>
        <v>0</v>
      </c>
      <c r="J63" s="517">
        <f>D63*J1</f>
        <v>0</v>
      </c>
      <c r="K63" s="595">
        <f>D63*K1</f>
        <v>0</v>
      </c>
      <c r="L63" s="578">
        <f>D63*L1</f>
        <v>0</v>
      </c>
      <c r="M63" s="514">
        <f>D63*M$1</f>
        <v>0</v>
      </c>
      <c r="N63" s="561">
        <f>D63*N$1</f>
        <v>0</v>
      </c>
      <c r="O63" s="562">
        <f>D63*O1</f>
        <v>0</v>
      </c>
      <c r="P63" s="563">
        <f>D63*P1</f>
        <v>0</v>
      </c>
    </row>
    <row r="64" spans="1:16">
      <c r="A64" s="192" t="s">
        <v>1198</v>
      </c>
      <c r="B64" s="643" t="s">
        <v>0</v>
      </c>
      <c r="C64" s="191"/>
      <c r="D64" s="162">
        <v>2</v>
      </c>
      <c r="E64" s="498"/>
      <c r="F64" s="496"/>
      <c r="G64" s="497"/>
      <c r="H64" s="499"/>
      <c r="I64" s="503"/>
      <c r="J64" s="518"/>
      <c r="K64" s="596"/>
      <c r="L64" s="588"/>
      <c r="M64" s="502"/>
      <c r="N64" s="507"/>
      <c r="O64" s="508">
        <f>D64*O1</f>
        <v>0</v>
      </c>
      <c r="P64" s="497"/>
    </row>
    <row r="65" spans="1:16">
      <c r="A65" s="192" t="s">
        <v>1182</v>
      </c>
      <c r="B65" s="643" t="s">
        <v>0</v>
      </c>
      <c r="C65" s="191"/>
      <c r="D65" s="162">
        <v>2</v>
      </c>
      <c r="I65" s="503">
        <f>D65*I1</f>
        <v>0</v>
      </c>
      <c r="J65" s="488"/>
      <c r="K65" s="597"/>
      <c r="L65" s="598"/>
      <c r="M65" s="483"/>
      <c r="O65" s="566"/>
      <c r="P65" s="497">
        <f>1*P1</f>
        <v>0</v>
      </c>
    </row>
    <row r="66" spans="1:16">
      <c r="A66" s="192" t="s">
        <v>1183</v>
      </c>
      <c r="B66" s="643" t="s">
        <v>0</v>
      </c>
      <c r="C66" s="191"/>
      <c r="D66" s="162">
        <v>3</v>
      </c>
      <c r="F66" s="496">
        <f>D66*F1</f>
        <v>0</v>
      </c>
      <c r="J66" s="541">
        <f>D66*J1</f>
        <v>0</v>
      </c>
      <c r="K66" s="572"/>
      <c r="L66" s="568"/>
      <c r="M66" s="483"/>
      <c r="O66" s="566"/>
    </row>
    <row r="67" spans="1:16" ht="15.75" thickBot="1">
      <c r="A67" s="192" t="s">
        <v>1184</v>
      </c>
      <c r="B67" s="643" t="s">
        <v>0</v>
      </c>
      <c r="C67" s="191"/>
      <c r="D67" s="195">
        <v>3</v>
      </c>
      <c r="E67" s="498">
        <f>D67*E1</f>
        <v>0</v>
      </c>
      <c r="G67" s="497">
        <f>D67*2*G1</f>
        <v>0</v>
      </c>
      <c r="H67" s="539">
        <f>D67*H1</f>
        <v>0</v>
      </c>
      <c r="K67" s="599">
        <f>D67*2*K1</f>
        <v>0</v>
      </c>
      <c r="L67" s="576">
        <f>D67*L1</f>
        <v>0</v>
      </c>
      <c r="M67" s="502">
        <f>D67*2*M1</f>
        <v>0</v>
      </c>
      <c r="N67" s="507">
        <f>D67*2*N1</f>
        <v>0</v>
      </c>
      <c r="O67" s="566"/>
    </row>
    <row r="68" spans="1:16">
      <c r="A68" s="192" t="s">
        <v>444</v>
      </c>
      <c r="B68" s="643" t="s">
        <v>0</v>
      </c>
      <c r="C68" s="191"/>
      <c r="D68" s="195">
        <v>1</v>
      </c>
      <c r="E68" s="624">
        <f>D68*E1</f>
        <v>0</v>
      </c>
      <c r="F68" s="600">
        <f>D68*F1</f>
        <v>0</v>
      </c>
      <c r="G68" s="601">
        <f>D68*G1</f>
        <v>0</v>
      </c>
      <c r="H68" s="602">
        <f>D68*H1</f>
        <v>0</v>
      </c>
      <c r="I68" s="603">
        <f>D68*I1</f>
        <v>0</v>
      </c>
      <c r="J68" s="604">
        <f>D68*J1</f>
        <v>0</v>
      </c>
      <c r="K68" s="605">
        <f>D68*K1</f>
        <v>0</v>
      </c>
      <c r="L68" s="606">
        <f>D68*L1</f>
        <v>0</v>
      </c>
      <c r="M68" s="606">
        <f>D68*M1</f>
        <v>0</v>
      </c>
      <c r="N68" s="606">
        <f>D68*N1</f>
        <v>0</v>
      </c>
      <c r="O68" s="606">
        <f>D68*O1</f>
        <v>0</v>
      </c>
      <c r="P68" s="607">
        <f>D68*P1</f>
        <v>0</v>
      </c>
    </row>
    <row r="69" spans="1:16">
      <c r="A69" s="192" t="s">
        <v>1264</v>
      </c>
      <c r="B69" s="643"/>
      <c r="C69" s="191"/>
      <c r="D69" s="195">
        <v>1</v>
      </c>
      <c r="E69" s="1380"/>
      <c r="F69" s="519">
        <f>D69*F1</f>
        <v>0</v>
      </c>
      <c r="G69" s="1381"/>
      <c r="H69" s="1382"/>
      <c r="I69" s="522">
        <f>D69*I$1</f>
        <v>0</v>
      </c>
      <c r="J69" s="608">
        <f>D69*J$1</f>
        <v>0</v>
      </c>
      <c r="K69" s="1383"/>
      <c r="L69" s="1384"/>
      <c r="M69" s="1384"/>
      <c r="N69" s="1384"/>
      <c r="O69" s="506">
        <f>D69*O$1</f>
        <v>0</v>
      </c>
      <c r="P69" s="609">
        <f>D69*P$1</f>
        <v>0</v>
      </c>
    </row>
    <row r="70" spans="1:16">
      <c r="A70" s="192" t="s">
        <v>1743</v>
      </c>
      <c r="B70" s="643" t="s">
        <v>1187</v>
      </c>
      <c r="C70" s="191"/>
      <c r="D70" s="195">
        <v>1</v>
      </c>
      <c r="E70" s="625">
        <f>D70*E1</f>
        <v>0</v>
      </c>
      <c r="F70" s="519"/>
      <c r="G70" s="520">
        <f>D70*G1</f>
        <v>0</v>
      </c>
      <c r="H70" s="521">
        <f>D70*H1</f>
        <v>0</v>
      </c>
      <c r="I70" s="522"/>
      <c r="J70" s="608"/>
      <c r="K70" s="573">
        <f>D70*K1</f>
        <v>0</v>
      </c>
      <c r="L70" s="506">
        <f>D70*L1</f>
        <v>0</v>
      </c>
      <c r="M70" s="506">
        <f>D70*M1</f>
        <v>0</v>
      </c>
      <c r="N70" s="506">
        <f>D70*N1</f>
        <v>0</v>
      </c>
      <c r="O70" s="506"/>
      <c r="P70" s="609"/>
    </row>
    <row r="71" spans="1:16" s="1397" customFormat="1">
      <c r="A71" s="1398" t="s">
        <v>1340</v>
      </c>
      <c r="B71" s="1399" t="s">
        <v>1337</v>
      </c>
      <c r="C71" s="1387"/>
      <c r="D71" s="1388">
        <v>1</v>
      </c>
      <c r="E71" s="1400">
        <f t="shared" ref="E71:E77" si="1">D71*E$1</f>
        <v>0</v>
      </c>
      <c r="F71" s="1401">
        <f t="shared" ref="F71:F76" si="2">D71/2*F$1</f>
        <v>0</v>
      </c>
      <c r="G71" s="1402">
        <f t="shared" ref="G71:G77" si="3">D71*G$1</f>
        <v>0</v>
      </c>
      <c r="H71" s="1403">
        <f t="shared" ref="H71:H77" si="4">D71*H$1</f>
        <v>0</v>
      </c>
      <c r="I71" s="1404">
        <f t="shared" ref="I71:I76" si="5">D71/2*I$1</f>
        <v>0</v>
      </c>
      <c r="J71" s="1405">
        <f t="shared" ref="J71:J76" si="6">D71/2*J$1</f>
        <v>0</v>
      </c>
      <c r="K71" s="1406">
        <f t="shared" ref="K71:K77" si="7">D71*K$1</f>
        <v>0</v>
      </c>
      <c r="L71" s="1407">
        <f t="shared" ref="L71:L77" si="8">D71*L$1</f>
        <v>0</v>
      </c>
      <c r="M71" s="1407">
        <f t="shared" ref="M71:M77" si="9">D71*M$1</f>
        <v>0</v>
      </c>
      <c r="N71" s="1407">
        <f t="shared" ref="N71:N77" si="10">D71*N$1</f>
        <v>0</v>
      </c>
      <c r="O71" s="1407">
        <f t="shared" ref="O71:O76" si="11">D71/2*O$1</f>
        <v>0</v>
      </c>
      <c r="P71" s="1408">
        <f t="shared" ref="P71:P76" si="12">D71/2*P$1</f>
        <v>0</v>
      </c>
    </row>
    <row r="72" spans="1:16" s="1397" customFormat="1">
      <c r="A72" s="1398" t="s">
        <v>1339</v>
      </c>
      <c r="B72" s="1399" t="s">
        <v>1338</v>
      </c>
      <c r="C72" s="1387"/>
      <c r="D72" s="1388">
        <v>8</v>
      </c>
      <c r="E72" s="1400">
        <f t="shared" si="1"/>
        <v>0</v>
      </c>
      <c r="F72" s="1401">
        <f t="shared" si="2"/>
        <v>0</v>
      </c>
      <c r="G72" s="1402">
        <f t="shared" si="3"/>
        <v>0</v>
      </c>
      <c r="H72" s="1403">
        <f t="shared" si="4"/>
        <v>0</v>
      </c>
      <c r="I72" s="1404">
        <f t="shared" si="5"/>
        <v>0</v>
      </c>
      <c r="J72" s="1405">
        <f t="shared" si="6"/>
        <v>0</v>
      </c>
      <c r="K72" s="1406">
        <f t="shared" si="7"/>
        <v>0</v>
      </c>
      <c r="L72" s="1407">
        <f t="shared" si="8"/>
        <v>0</v>
      </c>
      <c r="M72" s="1407">
        <f t="shared" si="9"/>
        <v>0</v>
      </c>
      <c r="N72" s="1407">
        <f t="shared" si="10"/>
        <v>0</v>
      </c>
      <c r="O72" s="1407">
        <f t="shared" si="11"/>
        <v>0</v>
      </c>
      <c r="P72" s="1408">
        <f t="shared" si="12"/>
        <v>0</v>
      </c>
    </row>
    <row r="73" spans="1:16" s="1397" customFormat="1">
      <c r="A73" s="1398" t="s">
        <v>1342</v>
      </c>
      <c r="B73" s="1399" t="s">
        <v>574</v>
      </c>
      <c r="C73" s="1387"/>
      <c r="D73" s="1388">
        <v>2</v>
      </c>
      <c r="E73" s="1400">
        <f t="shared" si="1"/>
        <v>0</v>
      </c>
      <c r="F73" s="1401">
        <f t="shared" si="2"/>
        <v>0</v>
      </c>
      <c r="G73" s="1402">
        <f t="shared" si="3"/>
        <v>0</v>
      </c>
      <c r="H73" s="1403">
        <f t="shared" si="4"/>
        <v>0</v>
      </c>
      <c r="I73" s="1404">
        <f t="shared" si="5"/>
        <v>0</v>
      </c>
      <c r="J73" s="1405">
        <f t="shared" si="6"/>
        <v>0</v>
      </c>
      <c r="K73" s="1406">
        <f t="shared" si="7"/>
        <v>0</v>
      </c>
      <c r="L73" s="1407">
        <f t="shared" si="8"/>
        <v>0</v>
      </c>
      <c r="M73" s="1407">
        <f t="shared" si="9"/>
        <v>0</v>
      </c>
      <c r="N73" s="1407">
        <f t="shared" si="10"/>
        <v>0</v>
      </c>
      <c r="O73" s="1407">
        <f t="shared" si="11"/>
        <v>0</v>
      </c>
      <c r="P73" s="1408">
        <f t="shared" si="12"/>
        <v>0</v>
      </c>
    </row>
    <row r="74" spans="1:16" s="1397" customFormat="1">
      <c r="A74" s="1398" t="s">
        <v>1341</v>
      </c>
      <c r="B74" s="1399" t="s">
        <v>743</v>
      </c>
      <c r="C74" s="1387"/>
      <c r="D74" s="1388">
        <v>10</v>
      </c>
      <c r="E74" s="1400">
        <f t="shared" si="1"/>
        <v>0</v>
      </c>
      <c r="F74" s="1401">
        <f t="shared" si="2"/>
        <v>0</v>
      </c>
      <c r="G74" s="1402">
        <f t="shared" si="3"/>
        <v>0</v>
      </c>
      <c r="H74" s="1403">
        <f t="shared" si="4"/>
        <v>0</v>
      </c>
      <c r="I74" s="1404">
        <f t="shared" si="5"/>
        <v>0</v>
      </c>
      <c r="J74" s="1405">
        <f t="shared" si="6"/>
        <v>0</v>
      </c>
      <c r="K74" s="1406">
        <f t="shared" si="7"/>
        <v>0</v>
      </c>
      <c r="L74" s="1407">
        <f t="shared" si="8"/>
        <v>0</v>
      </c>
      <c r="M74" s="1407">
        <f t="shared" si="9"/>
        <v>0</v>
      </c>
      <c r="N74" s="1407">
        <f t="shared" si="10"/>
        <v>0</v>
      </c>
      <c r="O74" s="1407">
        <f t="shared" si="11"/>
        <v>0</v>
      </c>
      <c r="P74" s="1408">
        <f t="shared" si="12"/>
        <v>0</v>
      </c>
    </row>
    <row r="75" spans="1:16" s="1397" customFormat="1">
      <c r="A75" s="1398" t="s">
        <v>1343</v>
      </c>
      <c r="B75" s="1399" t="s">
        <v>0</v>
      </c>
      <c r="C75" s="1387"/>
      <c r="D75" s="1388">
        <v>300</v>
      </c>
      <c r="E75" s="1400">
        <f t="shared" si="1"/>
        <v>0</v>
      </c>
      <c r="F75" s="1401">
        <f t="shared" si="2"/>
        <v>0</v>
      </c>
      <c r="G75" s="1402">
        <f t="shared" si="3"/>
        <v>0</v>
      </c>
      <c r="H75" s="1403">
        <f t="shared" si="4"/>
        <v>0</v>
      </c>
      <c r="I75" s="1404">
        <f t="shared" si="5"/>
        <v>0</v>
      </c>
      <c r="J75" s="1405">
        <f t="shared" si="6"/>
        <v>0</v>
      </c>
      <c r="K75" s="1406">
        <f t="shared" si="7"/>
        <v>0</v>
      </c>
      <c r="L75" s="1407">
        <f t="shared" si="8"/>
        <v>0</v>
      </c>
      <c r="M75" s="1407">
        <f t="shared" si="9"/>
        <v>0</v>
      </c>
      <c r="N75" s="1407">
        <f t="shared" si="10"/>
        <v>0</v>
      </c>
      <c r="O75" s="1407">
        <f t="shared" si="11"/>
        <v>0</v>
      </c>
      <c r="P75" s="1408">
        <f t="shared" si="12"/>
        <v>0</v>
      </c>
    </row>
    <row r="76" spans="1:16" s="1397" customFormat="1">
      <c r="A76" s="1398" t="s">
        <v>1345</v>
      </c>
      <c r="B76" s="1399" t="s">
        <v>743</v>
      </c>
      <c r="C76" s="1387"/>
      <c r="D76" s="1388">
        <v>2</v>
      </c>
      <c r="E76" s="1400">
        <f t="shared" si="1"/>
        <v>0</v>
      </c>
      <c r="F76" s="1401">
        <f t="shared" si="2"/>
        <v>0</v>
      </c>
      <c r="G76" s="1402">
        <f t="shared" si="3"/>
        <v>0</v>
      </c>
      <c r="H76" s="1403">
        <f t="shared" si="4"/>
        <v>0</v>
      </c>
      <c r="I76" s="1404">
        <f t="shared" si="5"/>
        <v>0</v>
      </c>
      <c r="J76" s="1405">
        <f t="shared" si="6"/>
        <v>0</v>
      </c>
      <c r="K76" s="1406">
        <f t="shared" si="7"/>
        <v>0</v>
      </c>
      <c r="L76" s="1407">
        <f t="shared" si="8"/>
        <v>0</v>
      </c>
      <c r="M76" s="1407">
        <f t="shared" si="9"/>
        <v>0</v>
      </c>
      <c r="N76" s="1407">
        <f t="shared" si="10"/>
        <v>0</v>
      </c>
      <c r="O76" s="1407">
        <f t="shared" si="11"/>
        <v>0</v>
      </c>
      <c r="P76" s="1408">
        <f t="shared" si="12"/>
        <v>0</v>
      </c>
    </row>
    <row r="77" spans="1:16" s="1397" customFormat="1">
      <c r="A77" s="1398" t="s">
        <v>1344</v>
      </c>
      <c r="B77" s="1399" t="s">
        <v>743</v>
      </c>
      <c r="C77" s="1387"/>
      <c r="D77" s="1388">
        <v>1</v>
      </c>
      <c r="E77" s="1400">
        <f t="shared" si="1"/>
        <v>0</v>
      </c>
      <c r="F77" s="1401">
        <f>D77*F$1</f>
        <v>0</v>
      </c>
      <c r="G77" s="1402">
        <f t="shared" si="3"/>
        <v>0</v>
      </c>
      <c r="H77" s="1403">
        <f t="shared" si="4"/>
        <v>0</v>
      </c>
      <c r="I77" s="1404">
        <f>D77*I$1</f>
        <v>0</v>
      </c>
      <c r="J77" s="1405">
        <f>D77*J$1</f>
        <v>0</v>
      </c>
      <c r="K77" s="1406">
        <f t="shared" si="7"/>
        <v>0</v>
      </c>
      <c r="L77" s="1407">
        <f t="shared" si="8"/>
        <v>0</v>
      </c>
      <c r="M77" s="1407">
        <f t="shared" si="9"/>
        <v>0</v>
      </c>
      <c r="N77" s="1407">
        <f t="shared" si="10"/>
        <v>0</v>
      </c>
      <c r="O77" s="1407">
        <f>D77*O$1</f>
        <v>0</v>
      </c>
      <c r="P77" s="1408">
        <f>D77*P$1</f>
        <v>0</v>
      </c>
    </row>
    <row r="78" spans="1:16">
      <c r="A78" s="192" t="s">
        <v>1294</v>
      </c>
      <c r="B78" s="643" t="s">
        <v>0</v>
      </c>
      <c r="C78" s="191"/>
      <c r="D78" s="195">
        <v>1</v>
      </c>
      <c r="E78" s="625">
        <f>D78*E1</f>
        <v>0</v>
      </c>
      <c r="F78" s="608">
        <f>D78*F1</f>
        <v>0</v>
      </c>
      <c r="G78" s="608">
        <f>D78*G1</f>
        <v>0</v>
      </c>
      <c r="H78" s="608">
        <f>D78*H1</f>
        <v>0</v>
      </c>
      <c r="I78" s="608">
        <f>D78*I1</f>
        <v>0</v>
      </c>
      <c r="J78" s="608">
        <f>D78*J1</f>
        <v>0</v>
      </c>
      <c r="K78" s="573">
        <f>D78*K1</f>
        <v>0</v>
      </c>
      <c r="L78" s="506">
        <f>D78*L1</f>
        <v>0</v>
      </c>
      <c r="M78" s="506">
        <f>D78*M1</f>
        <v>0</v>
      </c>
      <c r="N78" s="506">
        <f>D78*N1</f>
        <v>0</v>
      </c>
      <c r="O78" s="506">
        <f>D78*O1</f>
        <v>0</v>
      </c>
      <c r="P78" s="609">
        <f>D78*P1</f>
        <v>0</v>
      </c>
    </row>
    <row r="79" spans="1:16">
      <c r="A79" s="5" t="s">
        <v>1295</v>
      </c>
      <c r="B79" s="643" t="s">
        <v>0</v>
      </c>
      <c r="C79" s="191"/>
      <c r="D79" s="195">
        <v>2</v>
      </c>
      <c r="E79" s="626"/>
      <c r="F79" s="610"/>
      <c r="G79" s="610"/>
      <c r="H79" s="610"/>
      <c r="I79" s="610"/>
      <c r="J79" s="610"/>
      <c r="K79" s="599"/>
      <c r="L79" s="576"/>
      <c r="M79" s="576"/>
      <c r="N79" s="576"/>
      <c r="O79" s="576">
        <f>D79*O1</f>
        <v>0</v>
      </c>
      <c r="P79" s="611"/>
    </row>
    <row r="80" spans="1:16" ht="15.75" thickBot="1">
      <c r="A80" s="5" t="s">
        <v>1296</v>
      </c>
      <c r="B80" s="643" t="s">
        <v>0</v>
      </c>
      <c r="C80" s="191"/>
      <c r="D80" s="195">
        <v>2</v>
      </c>
      <c r="E80" s="627">
        <f>D80*E1</f>
        <v>0</v>
      </c>
      <c r="F80" s="525">
        <f>D80*F1</f>
        <v>0</v>
      </c>
      <c r="G80" s="526">
        <f>D80*G$1</f>
        <v>0</v>
      </c>
      <c r="H80" s="527">
        <f>D80*H$1</f>
        <v>0</v>
      </c>
      <c r="I80" s="528">
        <f>D80*I1</f>
        <v>0</v>
      </c>
      <c r="J80" s="529">
        <f>D80*J1</f>
        <v>0</v>
      </c>
      <c r="K80" s="612">
        <f>D80*K1</f>
        <v>0</v>
      </c>
      <c r="L80" s="613">
        <f>D80*L1</f>
        <v>0</v>
      </c>
      <c r="M80" s="530">
        <f>D80*M$1</f>
        <v>0</v>
      </c>
      <c r="N80" s="614">
        <f>D80*N$1</f>
        <v>0</v>
      </c>
      <c r="O80" s="615">
        <f>D80*O1</f>
        <v>0</v>
      </c>
      <c r="P80" s="616">
        <f>D80*2*P1</f>
        <v>0</v>
      </c>
    </row>
    <row r="81" spans="1:16">
      <c r="A81" s="5" t="s">
        <v>1297</v>
      </c>
      <c r="B81" s="643" t="s">
        <v>0</v>
      </c>
      <c r="C81" s="191"/>
      <c r="D81" s="195">
        <v>2</v>
      </c>
      <c r="E81" s="628"/>
      <c r="F81" s="534">
        <f>D81*F1</f>
        <v>0</v>
      </c>
      <c r="G81" s="535"/>
      <c r="H81" s="536"/>
      <c r="I81" s="543">
        <f>D81*I1</f>
        <v>0</v>
      </c>
      <c r="J81" s="537"/>
      <c r="K81" s="597"/>
      <c r="L81" s="598"/>
      <c r="M81" s="538"/>
      <c r="N81" s="617"/>
      <c r="O81" s="618"/>
      <c r="P81" s="535"/>
    </row>
    <row r="82" spans="1:16">
      <c r="A82" s="5" t="s">
        <v>1298</v>
      </c>
      <c r="B82" s="643" t="s">
        <v>0</v>
      </c>
      <c r="C82" s="191"/>
      <c r="D82" s="195">
        <v>24</v>
      </c>
      <c r="E82" s="629"/>
      <c r="F82" s="491"/>
      <c r="G82" s="492"/>
      <c r="H82" s="531"/>
      <c r="I82" s="494"/>
      <c r="J82" s="542">
        <f>2*J1</f>
        <v>0</v>
      </c>
      <c r="K82" s="572"/>
      <c r="L82" s="568"/>
      <c r="M82" s="532"/>
      <c r="N82" s="533"/>
      <c r="O82" s="619"/>
      <c r="P82" s="520">
        <f>6*P1</f>
        <v>0</v>
      </c>
    </row>
    <row r="83" spans="1:16">
      <c r="A83" s="5" t="s">
        <v>1299</v>
      </c>
      <c r="B83" s="643" t="s">
        <v>0</v>
      </c>
      <c r="C83" s="191"/>
      <c r="D83" s="195">
        <v>6</v>
      </c>
      <c r="E83" s="629"/>
      <c r="F83" s="519">
        <f>D83*F1</f>
        <v>0</v>
      </c>
      <c r="G83" s="520">
        <f>8*G1</f>
        <v>0</v>
      </c>
      <c r="H83" s="521">
        <f>2*H1</f>
        <v>0</v>
      </c>
      <c r="I83" s="522">
        <f>D83*I1</f>
        <v>0</v>
      </c>
      <c r="J83" s="495"/>
      <c r="K83" s="572"/>
      <c r="L83" s="568"/>
      <c r="M83" s="532"/>
      <c r="N83" s="620">
        <f>8*N1</f>
        <v>0</v>
      </c>
      <c r="O83" s="619"/>
      <c r="P83" s="492"/>
    </row>
    <row r="84" spans="1:16">
      <c r="A84" s="163" t="s">
        <v>1300</v>
      </c>
      <c r="B84" s="643" t="s">
        <v>0</v>
      </c>
      <c r="C84" s="191"/>
      <c r="D84" s="195">
        <v>12</v>
      </c>
      <c r="E84" s="625">
        <f>2*E1</f>
        <v>0</v>
      </c>
      <c r="F84" s="519"/>
      <c r="G84" s="492"/>
      <c r="H84" s="493"/>
      <c r="I84" s="494"/>
      <c r="J84" s="523">
        <f>6*J1</f>
        <v>0</v>
      </c>
      <c r="K84" s="573">
        <f>8*K1</f>
        <v>0</v>
      </c>
      <c r="L84" s="568"/>
      <c r="M84" s="532"/>
      <c r="N84" s="533"/>
      <c r="O84" s="619"/>
      <c r="P84" s="492"/>
    </row>
    <row r="85" spans="1:16">
      <c r="A85" s="163" t="s">
        <v>1301</v>
      </c>
      <c r="B85" s="643" t="s">
        <v>0</v>
      </c>
      <c r="C85" s="191"/>
      <c r="D85" s="195">
        <v>3</v>
      </c>
      <c r="E85" s="629"/>
      <c r="F85" s="491"/>
      <c r="G85" s="520">
        <f>D85*8*G1</f>
        <v>0</v>
      </c>
      <c r="H85" s="540">
        <f>D85*2*H1</f>
        <v>0</v>
      </c>
      <c r="I85" s="494"/>
      <c r="J85" s="495"/>
      <c r="K85" s="573"/>
      <c r="L85" s="506">
        <f>D85*L1</f>
        <v>0</v>
      </c>
      <c r="M85" s="524">
        <f>8*M1</f>
        <v>0</v>
      </c>
      <c r="N85" s="620">
        <f>24*N1</f>
        <v>0</v>
      </c>
      <c r="O85" s="619"/>
      <c r="P85" s="492"/>
    </row>
    <row r="86" spans="1:16">
      <c r="A86" s="163" t="s">
        <v>1302</v>
      </c>
      <c r="B86" s="643" t="s">
        <v>0</v>
      </c>
      <c r="C86" s="191"/>
      <c r="D86" s="195">
        <v>24</v>
      </c>
      <c r="E86" s="625">
        <f>6*E1</f>
        <v>0</v>
      </c>
      <c r="F86" s="491"/>
      <c r="G86" s="492"/>
      <c r="H86" s="493"/>
      <c r="I86" s="494"/>
      <c r="J86" s="495"/>
      <c r="K86" s="573">
        <f>D86*K1</f>
        <v>0</v>
      </c>
      <c r="L86" s="568"/>
      <c r="M86" s="524"/>
      <c r="N86" s="533"/>
      <c r="O86" s="619"/>
      <c r="P86" s="492"/>
    </row>
    <row r="87" spans="1:16">
      <c r="A87" s="685" t="s">
        <v>1303</v>
      </c>
      <c r="B87" s="686" t="s">
        <v>0</v>
      </c>
      <c r="C87" s="687"/>
      <c r="D87" s="688">
        <v>6</v>
      </c>
      <c r="E87" s="677"/>
      <c r="F87" s="678"/>
      <c r="G87" s="681"/>
      <c r="H87" s="683"/>
      <c r="I87" s="689"/>
      <c r="J87" s="696"/>
      <c r="K87" s="554"/>
      <c r="L87" s="576">
        <f>D87*L1</f>
        <v>0</v>
      </c>
      <c r="M87" s="700">
        <f>24*M1</f>
        <v>0</v>
      </c>
      <c r="N87" s="701"/>
      <c r="O87" s="702"/>
      <c r="P87" s="681"/>
    </row>
    <row r="88" spans="1:16">
      <c r="A88" s="1697"/>
      <c r="B88" s="1697"/>
      <c r="C88" s="1697"/>
      <c r="D88" s="1697"/>
      <c r="E88" s="1728" t="s">
        <v>1457</v>
      </c>
      <c r="F88" s="1727" t="s">
        <v>1456</v>
      </c>
      <c r="G88" s="1729" t="s">
        <v>1458</v>
      </c>
      <c r="H88" s="1730" t="s">
        <v>1459</v>
      </c>
      <c r="I88" s="1732" t="s">
        <v>1460</v>
      </c>
      <c r="J88" s="1733" t="s">
        <v>1461</v>
      </c>
      <c r="K88" s="1734" t="s">
        <v>1462</v>
      </c>
      <c r="L88" s="1729" t="s">
        <v>1463</v>
      </c>
      <c r="M88" s="1735" t="s">
        <v>1464</v>
      </c>
      <c r="N88" s="1736" t="s">
        <v>1465</v>
      </c>
      <c r="O88" s="1731" t="s">
        <v>1466</v>
      </c>
      <c r="P88" s="1725" t="s">
        <v>1467</v>
      </c>
    </row>
    <row r="89" spans="1:16">
      <c r="A89" s="740" t="s">
        <v>1215</v>
      </c>
      <c r="B89" s="740"/>
      <c r="C89" s="1726" t="s">
        <v>1469</v>
      </c>
      <c r="D89" s="1726"/>
      <c r="E89" s="1728"/>
      <c r="F89" s="1727"/>
      <c r="G89" s="1729"/>
      <c r="H89" s="1730"/>
      <c r="I89" s="1732"/>
      <c r="J89" s="1733"/>
      <c r="K89" s="1734"/>
      <c r="L89" s="1729"/>
      <c r="M89" s="1735"/>
      <c r="N89" s="1736"/>
      <c r="O89" s="1731"/>
      <c r="P89" s="1725"/>
    </row>
    <row r="90" spans="1:16">
      <c r="A90" s="741" t="s">
        <v>1216</v>
      </c>
      <c r="B90" s="741"/>
      <c r="C90" s="1726" t="s">
        <v>1469</v>
      </c>
      <c r="D90" s="1726"/>
      <c r="E90" s="679"/>
      <c r="F90" s="1727"/>
      <c r="G90" s="1729"/>
      <c r="H90" s="1730"/>
      <c r="I90" s="1732"/>
      <c r="J90" s="1733"/>
      <c r="K90" s="1734"/>
      <c r="L90" s="1729"/>
      <c r="M90" s="1735"/>
      <c r="N90" s="1736"/>
      <c r="O90" s="1731"/>
      <c r="P90" s="1725"/>
    </row>
    <row r="91" spans="1:16">
      <c r="A91" s="742" t="s">
        <v>1217</v>
      </c>
      <c r="B91" s="742"/>
      <c r="C91" s="739"/>
      <c r="D91" s="739"/>
      <c r="E91" s="739"/>
      <c r="F91" s="739"/>
      <c r="G91" s="1729"/>
      <c r="H91" s="1730"/>
      <c r="I91" s="1732"/>
      <c r="J91" s="1733"/>
      <c r="K91" s="1734"/>
      <c r="L91" s="1729"/>
      <c r="M91" s="1735"/>
      <c r="N91" s="1736"/>
      <c r="O91" s="1731"/>
      <c r="P91" s="1725"/>
    </row>
    <row r="92" spans="1:16">
      <c r="A92" s="743" t="s">
        <v>1218</v>
      </c>
      <c r="B92" s="743"/>
      <c r="C92" s="738"/>
      <c r="D92" s="738"/>
      <c r="E92" s="738"/>
      <c r="F92" s="738"/>
      <c r="G92" s="738"/>
      <c r="H92" s="1730"/>
      <c r="I92" s="1732"/>
      <c r="J92" s="1733"/>
      <c r="K92" s="1734"/>
      <c r="L92" s="1729"/>
      <c r="M92" s="1735"/>
      <c r="N92" s="1736"/>
      <c r="O92" s="1731"/>
      <c r="P92" s="1725"/>
    </row>
    <row r="93" spans="1:16">
      <c r="A93" s="744" t="s">
        <v>1219</v>
      </c>
      <c r="B93" s="744"/>
      <c r="C93" s="697"/>
      <c r="D93" s="697"/>
      <c r="E93" s="697"/>
      <c r="F93" s="697"/>
      <c r="G93" s="697"/>
      <c r="H93" s="697"/>
      <c r="I93" s="1732"/>
      <c r="J93" s="1733"/>
      <c r="K93" s="1734"/>
      <c r="L93" s="1729"/>
      <c r="M93" s="1735"/>
      <c r="N93" s="1736"/>
      <c r="O93" s="1731"/>
      <c r="P93" s="1725"/>
    </row>
    <row r="94" spans="1:16">
      <c r="A94" s="745" t="s">
        <v>1220</v>
      </c>
      <c r="B94" s="745"/>
      <c r="C94" s="691"/>
      <c r="D94" s="691"/>
      <c r="E94" s="691"/>
      <c r="F94" s="692"/>
      <c r="G94" s="693"/>
      <c r="H94" s="694"/>
      <c r="I94" s="695"/>
      <c r="J94" s="1733"/>
      <c r="K94" s="1734"/>
      <c r="L94" s="1729"/>
      <c r="M94" s="1735"/>
      <c r="N94" s="1736"/>
      <c r="O94" s="1731"/>
      <c r="P94" s="1725"/>
    </row>
    <row r="95" spans="1:16">
      <c r="A95" s="746" t="s">
        <v>1221</v>
      </c>
      <c r="B95" s="746"/>
      <c r="C95" s="737"/>
      <c r="D95" s="737"/>
      <c r="E95" s="737"/>
      <c r="F95" s="737"/>
      <c r="G95" s="737"/>
      <c r="H95" s="737"/>
      <c r="I95" s="737"/>
      <c r="J95" s="737"/>
      <c r="K95" s="1734"/>
      <c r="L95" s="1729"/>
      <c r="M95" s="1735"/>
      <c r="N95" s="1736"/>
      <c r="O95" s="1731"/>
      <c r="P95" s="1725"/>
    </row>
    <row r="96" spans="1:16">
      <c r="A96" s="742" t="s">
        <v>1222</v>
      </c>
      <c r="B96" s="742"/>
      <c r="C96" s="698"/>
      <c r="D96" s="698"/>
      <c r="E96" s="698"/>
      <c r="F96" s="698"/>
      <c r="G96" s="698"/>
      <c r="H96" s="698"/>
      <c r="I96" s="698"/>
      <c r="J96" s="698"/>
      <c r="K96" s="698"/>
      <c r="L96" s="1729"/>
      <c r="M96" s="1735"/>
      <c r="N96" s="1736"/>
      <c r="O96" s="1731"/>
      <c r="P96" s="1725"/>
    </row>
    <row r="97" spans="1:16">
      <c r="A97" s="733" t="s">
        <v>1223</v>
      </c>
      <c r="B97" s="733"/>
      <c r="C97" s="703"/>
      <c r="D97" s="703"/>
      <c r="E97" s="703"/>
      <c r="F97" s="704"/>
      <c r="G97" s="705"/>
      <c r="H97" s="706"/>
      <c r="I97" s="707"/>
      <c r="J97" s="708"/>
      <c r="K97" s="709"/>
      <c r="L97" s="710"/>
      <c r="M97" s="1735"/>
      <c r="N97" s="1736"/>
      <c r="O97" s="1731"/>
      <c r="P97" s="1725"/>
    </row>
    <row r="98" spans="1:16">
      <c r="A98" s="734" t="s">
        <v>1224</v>
      </c>
      <c r="B98" s="734"/>
      <c r="C98" s="712"/>
      <c r="D98" s="712"/>
      <c r="E98" s="713"/>
      <c r="F98" s="714"/>
      <c r="G98" s="715"/>
      <c r="H98" s="716"/>
      <c r="I98" s="717"/>
      <c r="J98" s="718"/>
      <c r="K98" s="719"/>
      <c r="L98" s="720"/>
      <c r="M98" s="721"/>
      <c r="N98" s="1736"/>
      <c r="O98" s="1731"/>
      <c r="P98" s="1725"/>
    </row>
    <row r="99" spans="1:16">
      <c r="A99" s="735" t="s">
        <v>1225</v>
      </c>
      <c r="B99" s="735"/>
      <c r="C99" s="723"/>
      <c r="D99" s="723"/>
      <c r="E99" s="723"/>
      <c r="F99" s="724"/>
      <c r="G99" s="725"/>
      <c r="H99" s="726"/>
      <c r="I99" s="727"/>
      <c r="J99" s="728"/>
      <c r="K99" s="729"/>
      <c r="L99" s="730"/>
      <c r="M99" s="731"/>
      <c r="N99" s="732"/>
      <c r="O99" s="1731"/>
      <c r="P99" s="1725"/>
    </row>
    <row r="100" spans="1:16">
      <c r="A100" s="736" t="s">
        <v>1226</v>
      </c>
      <c r="B100" s="736"/>
      <c r="C100" s="848"/>
      <c r="D100" s="848"/>
      <c r="E100" s="848"/>
      <c r="F100" s="848"/>
      <c r="G100" s="848"/>
      <c r="H100" s="848"/>
      <c r="I100" s="848"/>
      <c r="J100" s="848"/>
      <c r="K100" s="848"/>
      <c r="L100" s="848"/>
      <c r="M100" s="848"/>
      <c r="N100" s="848"/>
      <c r="O100" s="848"/>
      <c r="P100" s="1725"/>
    </row>
    <row r="101" spans="1:16">
      <c r="B101" s="112"/>
      <c r="C101" s="171"/>
      <c r="D101" s="187"/>
      <c r="E101" s="623"/>
    </row>
    <row r="102" spans="1:16">
      <c r="B102" s="112"/>
      <c r="C102" s="171"/>
      <c r="D102" s="187"/>
      <c r="E102" s="623"/>
      <c r="F102" s="496"/>
      <c r="G102" s="496"/>
    </row>
    <row r="103" spans="1:16">
      <c r="B103" s="112"/>
      <c r="C103" s="171"/>
      <c r="D103" s="187"/>
      <c r="E103" s="623"/>
    </row>
    <row r="104" spans="1:16">
      <c r="B104" s="112"/>
      <c r="D104" s="187"/>
      <c r="E104" s="623"/>
    </row>
    <row r="105" spans="1:16">
      <c r="B105" s="112"/>
      <c r="D105" s="187"/>
      <c r="E105" s="623"/>
    </row>
    <row r="106" spans="1:16">
      <c r="B106" s="112"/>
      <c r="C106" s="171"/>
      <c r="D106" s="187"/>
      <c r="E106" s="623"/>
    </row>
    <row r="107" spans="1:16">
      <c r="B107" s="112"/>
      <c r="C107" s="171"/>
      <c r="D107" s="187"/>
      <c r="E107" s="623"/>
    </row>
    <row r="108" spans="1:16">
      <c r="B108" s="112"/>
      <c r="C108" s="171"/>
      <c r="D108" s="187"/>
      <c r="E108" s="623"/>
    </row>
    <row r="109" spans="1:16">
      <c r="B109" s="112"/>
      <c r="C109" s="171"/>
      <c r="D109" s="187"/>
      <c r="E109" s="623"/>
    </row>
    <row r="110" spans="1:16">
      <c r="B110" s="112"/>
      <c r="C110" s="188"/>
      <c r="D110" s="187"/>
      <c r="E110" s="623"/>
    </row>
    <row r="111" spans="1:16">
      <c r="B111" s="112"/>
      <c r="C111" s="188"/>
      <c r="D111" s="187"/>
      <c r="E111" s="623"/>
    </row>
    <row r="112" spans="1:16">
      <c r="B112" s="112"/>
      <c r="C112" s="188"/>
      <c r="D112" s="187"/>
      <c r="E112" s="623"/>
    </row>
    <row r="113" spans="2:5">
      <c r="B113" s="112"/>
      <c r="C113" s="188"/>
      <c r="D113" s="187"/>
      <c r="E113" s="623"/>
    </row>
    <row r="114" spans="2:5">
      <c r="B114" s="112"/>
      <c r="C114" s="188"/>
      <c r="D114" s="187"/>
      <c r="E114" s="623"/>
    </row>
    <row r="115" spans="2:5">
      <c r="B115" s="112"/>
      <c r="C115" s="188"/>
      <c r="D115" s="187"/>
      <c r="E115" s="623"/>
    </row>
    <row r="116" spans="2:5">
      <c r="B116" s="189"/>
      <c r="C116" s="171"/>
      <c r="D116" s="187"/>
      <c r="E116" s="623"/>
    </row>
    <row r="117" spans="2:5">
      <c r="B117" s="189"/>
      <c r="C117" s="171"/>
      <c r="D117" s="187"/>
      <c r="E117" s="623"/>
    </row>
    <row r="118" spans="2:5">
      <c r="B118" s="112"/>
      <c r="D118" s="187"/>
      <c r="E118" s="623"/>
    </row>
  </sheetData>
  <autoFilter ref="A1:P86" xr:uid="{96FB4188-000A-43D8-B486-7A4A5EF0FCB7}">
    <filterColumn colId="0" showButton="0"/>
    <filterColumn colId="1" showButton="0"/>
    <filterColumn colId="2" showButton="0"/>
  </autoFilter>
  <mergeCells count="16">
    <mergeCell ref="A1:D1"/>
    <mergeCell ref="A88:D88"/>
    <mergeCell ref="O88:O99"/>
    <mergeCell ref="I88:I93"/>
    <mergeCell ref="J88:J94"/>
    <mergeCell ref="K88:K95"/>
    <mergeCell ref="M88:M97"/>
    <mergeCell ref="N88:N98"/>
    <mergeCell ref="P88:P100"/>
    <mergeCell ref="C89:D89"/>
    <mergeCell ref="C90:D90"/>
    <mergeCell ref="F88:F90"/>
    <mergeCell ref="E88:E89"/>
    <mergeCell ref="G88:G91"/>
    <mergeCell ref="H88:H92"/>
    <mergeCell ref="L88:L96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7B168-3270-41FC-ACE1-4337CF6BC817}">
  <sheetPr codeName="Plan16"/>
  <dimension ref="A1:Z136"/>
  <sheetViews>
    <sheetView showGridLines="0" zoomScaleNormal="100" workbookViewId="0">
      <pane ySplit="24" topLeftCell="A25" activePane="bottomLeft" state="frozen"/>
      <selection pane="bottomLeft" activeCell="U14" sqref="U14"/>
    </sheetView>
  </sheetViews>
  <sheetFormatPr defaultRowHeight="15"/>
  <cols>
    <col min="1" max="1" width="13.7109375" customWidth="1"/>
    <col min="2" max="2" width="54.85546875" hidden="1" customWidth="1"/>
    <col min="3" max="3" width="25.42578125" hidden="1" customWidth="1"/>
    <col min="4" max="4" width="2.42578125" hidden="1" customWidth="1"/>
    <col min="5" max="5" width="12.5703125" customWidth="1"/>
    <col min="6" max="9" width="6.28515625" customWidth="1"/>
    <col min="10" max="10" width="1.5703125" customWidth="1"/>
    <col min="11" max="11" width="12.42578125" hidden="1" customWidth="1"/>
    <col min="12" max="15" width="6.28515625" hidden="1" customWidth="1"/>
    <col min="16" max="16" width="3.42578125" style="6" hidden="1" customWidth="1"/>
    <col min="17" max="17" width="16" customWidth="1"/>
    <col min="18" max="21" width="6.28515625" customWidth="1"/>
    <col min="22" max="22" width="0.7109375" customWidth="1"/>
    <col min="23" max="23" width="11.7109375" customWidth="1"/>
    <col min="24" max="24" width="11" customWidth="1"/>
    <col min="25" max="25" width="10.7109375" customWidth="1"/>
    <col min="26" max="26" width="2.42578125" customWidth="1"/>
  </cols>
  <sheetData>
    <row r="1" spans="1:26" ht="7.5" customHeight="1" thickBot="1">
      <c r="A1" s="392"/>
      <c r="E1" s="1598"/>
      <c r="F1" s="1598"/>
      <c r="G1" s="1598"/>
      <c r="H1" s="1598"/>
      <c r="I1" s="1598"/>
      <c r="J1" s="1598"/>
      <c r="K1" s="1598"/>
      <c r="L1" s="1598"/>
      <c r="M1" s="1598"/>
      <c r="N1" s="1598"/>
      <c r="O1" s="1598"/>
      <c r="P1" s="1598"/>
      <c r="Q1" s="1598"/>
      <c r="R1" s="1598"/>
      <c r="S1" s="1598"/>
      <c r="T1" s="1598"/>
      <c r="U1" s="1598"/>
      <c r="V1" s="1598"/>
      <c r="W1" s="1598"/>
      <c r="X1" s="1598"/>
      <c r="Y1" s="1598"/>
      <c r="Z1" s="1598"/>
    </row>
    <row r="2" spans="1:26" ht="15" customHeight="1">
      <c r="A2" s="392"/>
      <c r="E2" s="1749" t="s">
        <v>1066</v>
      </c>
      <c r="F2" s="1750"/>
      <c r="G2" s="1750"/>
      <c r="H2" s="1750"/>
      <c r="I2" s="1751"/>
      <c r="J2" s="1043"/>
      <c r="K2" s="1764" t="s">
        <v>1065</v>
      </c>
      <c r="L2" s="1765"/>
      <c r="M2" s="1765"/>
      <c r="N2" s="1765"/>
      <c r="O2" s="1766"/>
      <c r="Q2" s="1783" t="s">
        <v>1702</v>
      </c>
      <c r="R2" s="1784"/>
      <c r="S2" s="1784"/>
      <c r="T2" s="1784"/>
      <c r="U2" s="1785"/>
      <c r="V2" s="1044"/>
      <c r="W2" s="1790" t="s">
        <v>1701</v>
      </c>
      <c r="X2" s="1790"/>
      <c r="Y2" s="1790"/>
      <c r="Z2" s="1043"/>
    </row>
    <row r="3" spans="1:26" ht="15.75" customHeight="1">
      <c r="A3" s="392"/>
      <c r="E3" s="1752"/>
      <c r="F3" s="1753"/>
      <c r="G3" s="1753"/>
      <c r="H3" s="1753"/>
      <c r="I3" s="1754"/>
      <c r="J3" s="1043"/>
      <c r="K3" s="1767"/>
      <c r="L3" s="1768"/>
      <c r="M3" s="1768"/>
      <c r="N3" s="1768"/>
      <c r="O3" s="1769"/>
      <c r="Q3" s="1786"/>
      <c r="R3" s="1787"/>
      <c r="S3" s="1787"/>
      <c r="T3" s="1787"/>
      <c r="U3" s="1788"/>
      <c r="V3" s="1044"/>
      <c r="W3" s="1790"/>
      <c r="X3" s="1790"/>
      <c r="Y3" s="1790"/>
      <c r="Z3" s="1043"/>
    </row>
    <row r="4" spans="1:26" ht="3.95" customHeight="1">
      <c r="A4" s="392"/>
      <c r="E4" s="1752"/>
      <c r="F4" s="1753"/>
      <c r="G4" s="1753"/>
      <c r="H4" s="1753"/>
      <c r="I4" s="1754"/>
      <c r="J4" s="1043"/>
      <c r="K4" s="1767"/>
      <c r="L4" s="1768"/>
      <c r="M4" s="1768"/>
      <c r="N4" s="1768"/>
      <c r="O4" s="1769"/>
      <c r="Q4" s="1786"/>
      <c r="R4" s="1787"/>
      <c r="S4" s="1787"/>
      <c r="T4" s="1787"/>
      <c r="U4" s="1788"/>
      <c r="V4" s="1044"/>
      <c r="W4" s="1790"/>
      <c r="X4" s="1790"/>
      <c r="Y4" s="1790"/>
      <c r="Z4" s="1043"/>
    </row>
    <row r="5" spans="1:26" ht="22.5" customHeight="1" thickBot="1">
      <c r="A5" s="392"/>
      <c r="B5" s="1746"/>
      <c r="C5" s="1746"/>
      <c r="D5" s="93"/>
      <c r="E5" s="1755"/>
      <c r="F5" s="1756"/>
      <c r="G5" s="1756"/>
      <c r="H5" s="1756"/>
      <c r="I5" s="1757"/>
      <c r="J5" s="1043"/>
      <c r="K5" s="1770"/>
      <c r="L5" s="1771"/>
      <c r="M5" s="1771"/>
      <c r="N5" s="1771"/>
      <c r="O5" s="1772"/>
      <c r="P5" s="1001"/>
      <c r="Q5" s="1789"/>
      <c r="R5" s="1787"/>
      <c r="S5" s="1787"/>
      <c r="T5" s="1787"/>
      <c r="U5" s="1788"/>
      <c r="V5" s="1044"/>
      <c r="W5" s="1791"/>
      <c r="X5" s="1791"/>
      <c r="Y5" s="1791"/>
      <c r="Z5" s="1043"/>
    </row>
    <row r="6" spans="1:26" ht="19.5" customHeight="1">
      <c r="A6" s="392"/>
      <c r="B6" s="1746"/>
      <c r="C6" s="1746"/>
      <c r="D6" s="35"/>
      <c r="E6" s="1781" t="s">
        <v>242</v>
      </c>
      <c r="F6" s="1758" t="s">
        <v>326</v>
      </c>
      <c r="G6" s="1759"/>
      <c r="H6" s="1758" t="s">
        <v>327</v>
      </c>
      <c r="I6" s="1759"/>
      <c r="J6" s="1043"/>
      <c r="K6" s="1781" t="s">
        <v>242</v>
      </c>
      <c r="L6" s="1758" t="s">
        <v>326</v>
      </c>
      <c r="M6" s="1759"/>
      <c r="N6" s="1758" t="s">
        <v>327</v>
      </c>
      <c r="O6" s="1759"/>
      <c r="P6" s="1002"/>
      <c r="Q6" s="1744" t="s">
        <v>1749</v>
      </c>
      <c r="R6" s="1577" t="s">
        <v>1746</v>
      </c>
      <c r="S6" s="1578"/>
      <c r="T6" s="1577" t="s">
        <v>1752</v>
      </c>
      <c r="U6" s="1578"/>
      <c r="V6" s="1045"/>
      <c r="W6" s="1775" t="s">
        <v>1228</v>
      </c>
      <c r="X6" s="1776"/>
      <c r="Y6" s="1777"/>
      <c r="Z6" s="1043"/>
    </row>
    <row r="7" spans="1:26" ht="17.100000000000001" customHeight="1" thickBot="1">
      <c r="A7" s="392"/>
      <c r="B7" s="433"/>
      <c r="C7" s="433"/>
      <c r="D7" s="35"/>
      <c r="E7" s="1782"/>
      <c r="F7" s="1760"/>
      <c r="G7" s="1761"/>
      <c r="H7" s="1760"/>
      <c r="I7" s="1761"/>
      <c r="J7" s="1043"/>
      <c r="K7" s="1782"/>
      <c r="L7" s="1760"/>
      <c r="M7" s="1761"/>
      <c r="N7" s="1760"/>
      <c r="O7" s="1761"/>
      <c r="P7" s="16"/>
      <c r="Q7" s="1745"/>
      <c r="R7" s="1448" t="s">
        <v>1747</v>
      </c>
      <c r="S7" s="1449" t="s">
        <v>1748</v>
      </c>
      <c r="T7" s="1448" t="s">
        <v>1747</v>
      </c>
      <c r="U7" s="1449" t="s">
        <v>1748</v>
      </c>
      <c r="V7" s="1046"/>
      <c r="W7" s="1778"/>
      <c r="X7" s="1779"/>
      <c r="Y7" s="1780"/>
      <c r="Z7" s="1043"/>
    </row>
    <row r="8" spans="1:26" s="6" customFormat="1" ht="15" customHeight="1" thickBot="1">
      <c r="A8" s="392"/>
      <c r="B8" s="434"/>
      <c r="C8" s="434"/>
      <c r="D8" s="35"/>
      <c r="E8" s="80" t="s">
        <v>328</v>
      </c>
      <c r="F8" s="1747"/>
      <c r="G8" s="1748"/>
      <c r="H8" s="1773"/>
      <c r="I8" s="1774"/>
      <c r="J8" s="1043"/>
      <c r="K8" s="80" t="s">
        <v>328</v>
      </c>
      <c r="L8" s="1747"/>
      <c r="M8" s="1748"/>
      <c r="N8" s="1762"/>
      <c r="O8" s="1763"/>
      <c r="P8" s="29">
        <f>(F8+H8)*15</f>
        <v>0</v>
      </c>
      <c r="Q8" s="1379" t="s">
        <v>1750</v>
      </c>
      <c r="R8" s="1445"/>
      <c r="S8" s="1440"/>
      <c r="T8" s="1445"/>
      <c r="U8" s="1441"/>
      <c r="V8" s="1047"/>
      <c r="W8" s="549" t="s">
        <v>1213</v>
      </c>
      <c r="X8" s="630" t="s">
        <v>1211</v>
      </c>
      <c r="Y8" s="631" t="s">
        <v>1212</v>
      </c>
      <c r="Z8" s="1048"/>
    </row>
    <row r="9" spans="1:26" s="8" customFormat="1" ht="15" customHeight="1" thickBot="1">
      <c r="A9" s="392"/>
      <c r="B9" s="435"/>
      <c r="C9" s="435"/>
      <c r="D9" s="35"/>
      <c r="E9" s="70" t="s">
        <v>329</v>
      </c>
      <c r="F9" s="1739"/>
      <c r="G9" s="1740"/>
      <c r="H9" s="1737"/>
      <c r="I9" s="1738"/>
      <c r="J9" s="1043"/>
      <c r="K9" s="70" t="s">
        <v>329</v>
      </c>
      <c r="L9" s="1739"/>
      <c r="M9" s="1740"/>
      <c r="N9" s="1741"/>
      <c r="O9" s="1742"/>
      <c r="P9" s="29">
        <f>(F9+H9)*30</f>
        <v>0</v>
      </c>
      <c r="Q9" s="1374" t="s">
        <v>382</v>
      </c>
      <c r="R9" s="1446"/>
      <c r="S9" s="1368"/>
      <c r="T9" s="1446"/>
      <c r="U9" s="1442"/>
      <c r="V9" s="1047"/>
      <c r="W9" s="1042"/>
      <c r="X9" s="550">
        <f>R8</f>
        <v>0</v>
      </c>
      <c r="Y9" s="551">
        <f>T8</f>
        <v>0</v>
      </c>
      <c r="Z9" s="1042"/>
    </row>
    <row r="10" spans="1:26" s="8" customFormat="1" ht="15" customHeight="1" thickBot="1">
      <c r="A10" s="392"/>
      <c r="B10" s="27"/>
      <c r="C10" s="27"/>
      <c r="D10" s="35"/>
      <c r="E10" s="80" t="s">
        <v>330</v>
      </c>
      <c r="F10" s="1739"/>
      <c r="G10" s="1740"/>
      <c r="H10" s="1737"/>
      <c r="I10" s="1738"/>
      <c r="J10" s="1043"/>
      <c r="K10" s="80" t="s">
        <v>330</v>
      </c>
      <c r="L10" s="1739"/>
      <c r="M10" s="1740"/>
      <c r="N10" s="1741"/>
      <c r="O10" s="1742"/>
      <c r="P10" s="29">
        <f>(F10+H10)*45</f>
        <v>0</v>
      </c>
      <c r="Q10" s="1375" t="s">
        <v>341</v>
      </c>
      <c r="R10" s="1446"/>
      <c r="S10" s="1368"/>
      <c r="T10" s="1446"/>
      <c r="U10" s="1442"/>
      <c r="V10" s="1047"/>
      <c r="W10" s="1042"/>
      <c r="X10" s="1042"/>
      <c r="Y10" s="1042"/>
      <c r="Z10" s="1042"/>
    </row>
    <row r="11" spans="1:26" s="8" customFormat="1" ht="15" customHeight="1" thickBot="1">
      <c r="A11" s="392"/>
      <c r="B11" s="436"/>
      <c r="C11" s="282"/>
      <c r="D11" s="35"/>
      <c r="E11" s="70" t="s">
        <v>331</v>
      </c>
      <c r="F11" s="1739"/>
      <c r="G11" s="1740"/>
      <c r="H11" s="1737"/>
      <c r="I11" s="1738"/>
      <c r="J11" s="1043"/>
      <c r="K11" s="70" t="s">
        <v>331</v>
      </c>
      <c r="L11" s="1739"/>
      <c r="M11" s="1740"/>
      <c r="N11" s="1741"/>
      <c r="O11" s="1742"/>
      <c r="P11" s="29">
        <f>(F11+H11)*75</f>
        <v>0</v>
      </c>
      <c r="Q11" s="1374" t="s">
        <v>336</v>
      </c>
      <c r="R11" s="1446"/>
      <c r="S11" s="1368"/>
      <c r="T11" s="1446"/>
      <c r="U11" s="1442"/>
      <c r="V11" s="1047"/>
      <c r="W11" s="549" t="s">
        <v>1214</v>
      </c>
      <c r="X11" s="630" t="s">
        <v>1211</v>
      </c>
      <c r="Y11" s="631" t="s">
        <v>1212</v>
      </c>
      <c r="Z11" s="1042"/>
    </row>
    <row r="12" spans="1:26" s="8" customFormat="1" ht="15" customHeight="1" thickBot="1">
      <c r="A12" s="392"/>
      <c r="B12" s="436"/>
      <c r="C12" s="282"/>
      <c r="D12" s="35"/>
      <c r="E12" s="80" t="s">
        <v>332</v>
      </c>
      <c r="F12" s="1739"/>
      <c r="G12" s="1740"/>
      <c r="H12" s="1737"/>
      <c r="I12" s="1738"/>
      <c r="J12" s="1043"/>
      <c r="K12" s="80" t="s">
        <v>332</v>
      </c>
      <c r="L12" s="1739"/>
      <c r="M12" s="1740"/>
      <c r="N12" s="1741"/>
      <c r="O12" s="1742"/>
      <c r="P12" s="29">
        <f>(F12+H12)*112.5</f>
        <v>0</v>
      </c>
      <c r="Q12" s="1375" t="s">
        <v>337</v>
      </c>
      <c r="R12" s="1446"/>
      <c r="S12" s="1368"/>
      <c r="T12" s="1446"/>
      <c r="U12" s="1442"/>
      <c r="V12" s="1047"/>
      <c r="W12" s="1050"/>
      <c r="X12" s="548">
        <f>R9</f>
        <v>0</v>
      </c>
      <c r="Y12" s="547">
        <f>T9</f>
        <v>0</v>
      </c>
      <c r="Z12" s="1042"/>
    </row>
    <row r="13" spans="1:26" s="8" customFormat="1" ht="15" customHeight="1" thickBot="1">
      <c r="A13" s="392"/>
      <c r="B13" s="436"/>
      <c r="C13" s="282"/>
      <c r="D13" s="35"/>
      <c r="E13" s="70" t="s">
        <v>333</v>
      </c>
      <c r="F13" s="1739"/>
      <c r="G13" s="1740"/>
      <c r="H13" s="1737"/>
      <c r="I13" s="1738"/>
      <c r="J13" s="1043"/>
      <c r="K13" s="70" t="s">
        <v>333</v>
      </c>
      <c r="L13" s="1739"/>
      <c r="M13" s="1740"/>
      <c r="N13" s="1741"/>
      <c r="O13" s="1742"/>
      <c r="P13" s="29">
        <f>(F13+H13)*150</f>
        <v>0</v>
      </c>
      <c r="Q13" s="1374" t="s">
        <v>338</v>
      </c>
      <c r="R13" s="1446"/>
      <c r="S13" s="1368"/>
      <c r="T13" s="1446"/>
      <c r="U13" s="1442"/>
      <c r="V13" s="1047"/>
      <c r="W13" s="1042"/>
      <c r="X13" s="1042"/>
      <c r="Y13" s="1042"/>
      <c r="Z13" s="1042"/>
    </row>
    <row r="14" spans="1:26" s="8" customFormat="1" ht="15" customHeight="1" thickBot="1">
      <c r="A14" s="392"/>
      <c r="B14" s="436"/>
      <c r="C14" s="282"/>
      <c r="D14" s="35"/>
      <c r="E14" s="80" t="s">
        <v>334</v>
      </c>
      <c r="F14" s="1739"/>
      <c r="G14" s="1740"/>
      <c r="H14" s="1737"/>
      <c r="I14" s="1738"/>
      <c r="J14" s="1043"/>
      <c r="K14" s="80" t="s">
        <v>334</v>
      </c>
      <c r="L14" s="1739"/>
      <c r="M14" s="1740"/>
      <c r="N14" s="1741"/>
      <c r="O14" s="1742"/>
      <c r="P14" s="29">
        <f>(F14+H14)*225</f>
        <v>0</v>
      </c>
      <c r="Q14" s="1375" t="s">
        <v>339</v>
      </c>
      <c r="R14" s="1446"/>
      <c r="S14" s="1368"/>
      <c r="T14" s="1446"/>
      <c r="U14" s="1442"/>
      <c r="V14" s="1047"/>
      <c r="W14" s="549" t="s">
        <v>1210</v>
      </c>
      <c r="X14" s="552" t="s">
        <v>1211</v>
      </c>
      <c r="Y14" s="553" t="s">
        <v>1212</v>
      </c>
      <c r="Z14" s="1042"/>
    </row>
    <row r="15" spans="1:26" s="8" customFormat="1" ht="15" customHeight="1" thickBot="1">
      <c r="A15" s="392"/>
      <c r="B15" s="277"/>
      <c r="C15" s="282"/>
      <c r="D15" s="35"/>
      <c r="E15" s="70" t="s">
        <v>335</v>
      </c>
      <c r="F15" s="1739"/>
      <c r="G15" s="1740"/>
      <c r="H15" s="1737"/>
      <c r="I15" s="1738"/>
      <c r="J15" s="1043"/>
      <c r="K15" s="70" t="s">
        <v>335</v>
      </c>
      <c r="L15" s="1739"/>
      <c r="M15" s="1740"/>
      <c r="N15" s="1741"/>
      <c r="O15" s="1742"/>
      <c r="P15" s="29">
        <f>(F15+H15)*300</f>
        <v>0</v>
      </c>
      <c r="Q15" s="1376" t="s">
        <v>340</v>
      </c>
      <c r="R15" s="1447"/>
      <c r="S15" s="1443"/>
      <c r="T15" s="1447"/>
      <c r="U15" s="1444"/>
      <c r="V15" s="1047"/>
      <c r="W15" s="1050"/>
      <c r="X15" s="548">
        <v>0</v>
      </c>
      <c r="Y15" s="547">
        <v>0</v>
      </c>
      <c r="Z15" s="1042"/>
    </row>
    <row r="16" spans="1:26" s="8" customFormat="1" ht="10.5" customHeight="1">
      <c r="A16" s="1369"/>
      <c r="B16" s="1370"/>
      <c r="C16" s="1371"/>
      <c r="D16" s="1372"/>
      <c r="E16" s="1372"/>
      <c r="F16" s="1372"/>
      <c r="G16" s="1372"/>
      <c r="H16" s="1372"/>
      <c r="I16" s="1372"/>
      <c r="J16" s="1369"/>
      <c r="K16" s="1372"/>
      <c r="L16" s="1372"/>
      <c r="M16" s="1372"/>
      <c r="N16" s="1372"/>
      <c r="O16" s="1372"/>
      <c r="P16" s="1372">
        <f>SUM(P8:P15)</f>
        <v>0</v>
      </c>
      <c r="Q16" s="1372"/>
      <c r="R16" s="1372"/>
      <c r="S16" s="1372"/>
      <c r="T16" s="1372"/>
      <c r="U16" s="1372"/>
      <c r="V16" s="1372"/>
      <c r="W16" s="1373"/>
      <c r="X16" s="1373"/>
      <c r="Y16" s="1373"/>
      <c r="Z16" s="1373"/>
    </row>
    <row r="17" spans="1:22" s="8" customFormat="1" ht="15" customHeight="1">
      <c r="A17"/>
      <c r="B17" s="277"/>
      <c r="C17" s="282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1743"/>
      <c r="S17" s="1743"/>
      <c r="T17" s="1743"/>
      <c r="U17" s="1743"/>
      <c r="V17" s="35"/>
    </row>
    <row r="18" spans="1:22" s="8" customFormat="1" ht="15" customHeight="1">
      <c r="A18"/>
      <c r="B18" s="277"/>
      <c r="C18" s="282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</row>
    <row r="19" spans="1:22" s="8" customFormat="1" ht="15" customHeight="1">
      <c r="A19"/>
      <c r="B19" s="277"/>
      <c r="C19" s="282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</row>
    <row r="20" spans="1:22" s="8" customFormat="1" ht="15" customHeight="1">
      <c r="A20"/>
      <c r="B20" s="277"/>
      <c r="C20" s="282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</row>
    <row r="21" spans="1:22" s="8" customFormat="1" ht="15" customHeight="1">
      <c r="A21"/>
      <c r="B21" s="277"/>
      <c r="C21" s="282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</row>
    <row r="22" spans="1:22" s="8" customFormat="1" ht="15" customHeight="1">
      <c r="A22"/>
      <c r="B22" s="437"/>
      <c r="C22" s="282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</row>
    <row r="23" spans="1:22" s="8" customFormat="1" ht="15" customHeight="1">
      <c r="A23"/>
      <c r="B23" s="277"/>
      <c r="C23" s="438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</row>
    <row r="24" spans="1:22" s="8" customFormat="1" ht="15" customHeight="1">
      <c r="A24"/>
      <c r="B24" s="277"/>
      <c r="C24" s="438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</row>
    <row r="25" spans="1:22" s="8" customFormat="1" ht="15" customHeight="1">
      <c r="A25" s="112"/>
      <c r="B25" s="277"/>
      <c r="C25" s="438"/>
      <c r="D25" s="35"/>
      <c r="E25" s="131"/>
      <c r="F25" s="132"/>
      <c r="G25" s="132"/>
      <c r="H25" s="132"/>
      <c r="I25" s="132"/>
      <c r="J25" s="31"/>
      <c r="K25" s="131"/>
      <c r="L25" s="132"/>
      <c r="M25" s="132"/>
      <c r="N25" s="132"/>
      <c r="O25" s="132"/>
      <c r="P25" s="31"/>
      <c r="Q25" s="131"/>
      <c r="R25" s="132"/>
      <c r="S25" s="132"/>
      <c r="T25" s="132"/>
      <c r="U25" s="132"/>
      <c r="V25" s="132"/>
    </row>
    <row r="26" spans="1:22" s="8" customFormat="1" ht="15" customHeight="1">
      <c r="A26" s="112"/>
      <c r="B26" s="277"/>
      <c r="C26" s="438"/>
      <c r="D26" s="35"/>
      <c r="E26" s="131"/>
      <c r="F26" s="132"/>
      <c r="G26" s="132"/>
      <c r="H26" s="132"/>
      <c r="I26" s="132"/>
      <c r="J26" s="31"/>
      <c r="K26" s="131"/>
      <c r="L26" s="132"/>
      <c r="M26" s="132"/>
      <c r="N26" s="132"/>
      <c r="O26" s="132"/>
      <c r="P26" s="31"/>
      <c r="Q26" s="131"/>
      <c r="R26" s="132"/>
      <c r="S26" s="132"/>
      <c r="T26" s="132"/>
      <c r="U26" s="132"/>
      <c r="V26" s="132"/>
    </row>
    <row r="27" spans="1:22" s="8" customFormat="1" ht="15" customHeight="1">
      <c r="A27" s="112"/>
      <c r="B27" s="277"/>
      <c r="C27" s="438"/>
      <c r="D27" s="35"/>
      <c r="E27" s="131"/>
      <c r="F27" s="132"/>
      <c r="G27" s="132"/>
      <c r="H27" s="132"/>
      <c r="I27" s="132"/>
      <c r="J27" s="31"/>
      <c r="K27" s="131"/>
      <c r="L27" s="132"/>
      <c r="M27" s="132"/>
      <c r="N27" s="132"/>
      <c r="O27" s="132"/>
      <c r="P27" s="31"/>
      <c r="Q27" s="131"/>
      <c r="R27" s="132"/>
      <c r="S27" s="132"/>
      <c r="T27" s="132"/>
      <c r="U27" s="132"/>
      <c r="V27" s="132"/>
    </row>
    <row r="28" spans="1:22" s="8" customFormat="1" ht="15" customHeight="1">
      <c r="A28" s="112"/>
      <c r="B28" s="277"/>
      <c r="C28" s="438"/>
      <c r="D28" s="35"/>
      <c r="E28" s="131"/>
      <c r="F28" s="132"/>
      <c r="G28" s="132"/>
      <c r="H28" s="132"/>
      <c r="I28" s="132"/>
      <c r="J28" s="31"/>
      <c r="K28" s="131"/>
      <c r="L28" s="132"/>
      <c r="M28" s="132"/>
      <c r="N28" s="132"/>
      <c r="O28" s="132"/>
      <c r="P28" s="31"/>
      <c r="Q28" s="131"/>
      <c r="R28" s="132"/>
      <c r="S28" s="132"/>
      <c r="T28" s="132"/>
      <c r="U28" s="132"/>
      <c r="V28" s="132"/>
    </row>
    <row r="29" spans="1:22" s="8" customFormat="1" ht="15" customHeight="1">
      <c r="A29" s="112"/>
      <c r="B29" s="277"/>
      <c r="C29" s="438"/>
      <c r="D29" s="35"/>
      <c r="E29" s="131"/>
      <c r="F29" s="132"/>
      <c r="G29" s="132"/>
      <c r="H29" s="132"/>
      <c r="I29" s="132"/>
      <c r="J29" s="31"/>
      <c r="K29" s="131"/>
      <c r="L29" s="132"/>
      <c r="M29" s="132"/>
      <c r="N29" s="132"/>
      <c r="O29" s="132"/>
      <c r="P29" s="31"/>
      <c r="Q29" s="131"/>
      <c r="R29" s="132"/>
      <c r="S29" s="132"/>
      <c r="T29" s="132"/>
      <c r="U29" s="132"/>
      <c r="V29" s="132"/>
    </row>
    <row r="30" spans="1:22" s="8" customFormat="1" ht="15" customHeight="1">
      <c r="A30" s="112"/>
      <c r="B30" s="277"/>
      <c r="C30" s="438"/>
      <c r="D30" s="35"/>
      <c r="E30" s="131"/>
      <c r="F30" s="132"/>
      <c r="G30" s="132"/>
      <c r="H30" s="132"/>
      <c r="I30" s="132"/>
      <c r="J30" s="31"/>
      <c r="K30" s="131"/>
      <c r="L30" s="132"/>
      <c r="M30" s="132"/>
      <c r="N30" s="132"/>
      <c r="O30" s="132"/>
      <c r="P30" s="31"/>
      <c r="Q30" s="131"/>
      <c r="R30" s="132"/>
      <c r="S30" s="132"/>
      <c r="T30" s="132"/>
      <c r="U30" s="132"/>
      <c r="V30" s="132"/>
    </row>
    <row r="31" spans="1:22" s="8" customFormat="1" ht="15" customHeight="1">
      <c r="A31" s="112"/>
      <c r="B31" s="277"/>
      <c r="C31" s="438"/>
      <c r="D31" s="35"/>
      <c r="E31" s="131"/>
      <c r="F31" s="132"/>
      <c r="G31" s="132"/>
      <c r="H31" s="132"/>
      <c r="I31" s="132"/>
      <c r="J31" s="31"/>
      <c r="K31" s="131"/>
      <c r="L31" s="132"/>
      <c r="M31" s="132"/>
      <c r="N31" s="132"/>
      <c r="O31" s="132"/>
      <c r="P31" s="31"/>
      <c r="Q31" s="131"/>
      <c r="R31" s="132"/>
      <c r="S31" s="132"/>
      <c r="T31" s="132"/>
      <c r="U31" s="132"/>
      <c r="V31" s="132"/>
    </row>
    <row r="32" spans="1:22" s="8" customFormat="1" ht="15" customHeight="1">
      <c r="A32" s="112"/>
      <c r="B32" s="277"/>
      <c r="C32" s="438"/>
      <c r="D32" s="35"/>
      <c r="E32" s="131"/>
      <c r="F32" s="132"/>
      <c r="G32" s="132"/>
      <c r="H32" s="132"/>
      <c r="I32" s="132"/>
      <c r="J32" s="31"/>
      <c r="K32" s="131"/>
      <c r="L32" s="132"/>
      <c r="M32" s="132"/>
      <c r="N32" s="132"/>
      <c r="O32" s="132"/>
      <c r="P32" s="31"/>
      <c r="Q32" s="131"/>
      <c r="R32" s="132"/>
      <c r="S32" s="132"/>
      <c r="T32" s="132"/>
      <c r="U32" s="132"/>
      <c r="V32" s="132"/>
    </row>
    <row r="33" spans="1:22" s="8" customFormat="1" ht="15" customHeight="1">
      <c r="A33" s="112"/>
      <c r="B33" s="277"/>
      <c r="C33" s="438"/>
      <c r="D33" s="35"/>
      <c r="E33" s="131"/>
      <c r="F33" s="132"/>
      <c r="G33" s="132"/>
      <c r="H33" s="132"/>
      <c r="I33" s="132"/>
      <c r="J33" s="31"/>
      <c r="K33" s="131"/>
      <c r="L33" s="132"/>
      <c r="M33" s="132"/>
      <c r="N33" s="132"/>
      <c r="O33" s="132"/>
      <c r="P33" s="31"/>
      <c r="Q33" s="131"/>
      <c r="R33" s="132"/>
      <c r="S33" s="132"/>
      <c r="T33" s="132"/>
      <c r="U33" s="132"/>
      <c r="V33" s="132"/>
    </row>
    <row r="34" spans="1:22" s="8" customFormat="1" ht="15" customHeight="1">
      <c r="A34" s="112"/>
      <c r="B34" s="277"/>
      <c r="C34" s="438"/>
      <c r="D34" s="35"/>
      <c r="E34" s="131"/>
      <c r="F34" s="132"/>
      <c r="G34" s="132"/>
      <c r="H34" s="132"/>
      <c r="I34" s="132"/>
      <c r="J34" s="31"/>
      <c r="K34" s="131"/>
      <c r="L34" s="132"/>
      <c r="M34" s="132"/>
      <c r="N34" s="132"/>
      <c r="O34" s="132"/>
      <c r="P34" s="31"/>
      <c r="Q34" s="131"/>
      <c r="R34" s="132"/>
      <c r="S34" s="132"/>
      <c r="T34" s="132"/>
      <c r="U34" s="132"/>
      <c r="V34" s="132"/>
    </row>
    <row r="35" spans="1:22" s="8" customFormat="1" ht="15" customHeight="1">
      <c r="A35" s="112"/>
      <c r="B35" s="277"/>
      <c r="C35" s="438"/>
      <c r="D35" s="35"/>
      <c r="E35" s="131"/>
      <c r="F35" s="132"/>
      <c r="G35" s="132"/>
      <c r="H35" s="132"/>
      <c r="I35" s="132"/>
      <c r="J35" s="31"/>
      <c r="K35" s="131"/>
      <c r="L35" s="132"/>
      <c r="M35" s="132"/>
      <c r="N35" s="132"/>
      <c r="O35" s="132"/>
      <c r="P35" s="31"/>
      <c r="Q35" s="131"/>
      <c r="R35" s="132"/>
      <c r="S35" s="132"/>
      <c r="T35" s="132"/>
      <c r="U35" s="132"/>
      <c r="V35" s="132"/>
    </row>
    <row r="36" spans="1:22" s="8" customFormat="1" ht="15" customHeight="1">
      <c r="A36" s="112"/>
      <c r="B36" s="277"/>
      <c r="C36" s="438"/>
      <c r="D36" s="35"/>
      <c r="E36" s="131"/>
      <c r="F36" s="132"/>
      <c r="G36" s="132"/>
      <c r="H36" s="132"/>
      <c r="I36" s="132"/>
      <c r="J36" s="31"/>
      <c r="K36" s="131"/>
      <c r="L36" s="132"/>
      <c r="M36" s="132"/>
      <c r="N36" s="132"/>
      <c r="O36" s="132"/>
      <c r="P36" s="31"/>
      <c r="Q36" s="131"/>
      <c r="R36" s="132"/>
      <c r="S36" s="132"/>
      <c r="T36" s="132"/>
      <c r="U36" s="132"/>
      <c r="V36" s="132"/>
    </row>
    <row r="37" spans="1:22" s="8" customFormat="1" ht="15" customHeight="1">
      <c r="A37" s="112"/>
      <c r="B37" s="277"/>
      <c r="C37" s="438"/>
      <c r="D37" s="35"/>
      <c r="E37" s="131"/>
      <c r="F37" s="132"/>
      <c r="G37" s="132"/>
      <c r="H37" s="132"/>
      <c r="I37" s="132"/>
      <c r="J37" s="31"/>
      <c r="K37" s="131"/>
      <c r="L37" s="132"/>
      <c r="M37" s="132"/>
      <c r="N37" s="132"/>
      <c r="O37" s="132"/>
      <c r="P37" s="31"/>
      <c r="Q37" s="131"/>
      <c r="R37" s="132"/>
      <c r="S37" s="132"/>
      <c r="T37" s="132"/>
      <c r="U37" s="132"/>
      <c r="V37" s="132"/>
    </row>
    <row r="38" spans="1:22" s="8" customFormat="1" ht="15" customHeight="1">
      <c r="A38" s="112"/>
      <c r="B38" s="277"/>
      <c r="C38" s="438"/>
      <c r="D38" s="35"/>
      <c r="E38" s="131"/>
      <c r="F38" s="132"/>
      <c r="G38" s="132"/>
      <c r="H38" s="132"/>
      <c r="I38" s="132"/>
      <c r="J38" s="31"/>
      <c r="K38" s="131"/>
      <c r="L38" s="132"/>
      <c r="M38" s="132"/>
      <c r="N38" s="132"/>
      <c r="O38" s="132"/>
      <c r="P38" s="31"/>
      <c r="Q38" s="131"/>
      <c r="R38" s="132"/>
      <c r="S38" s="132"/>
      <c r="T38" s="132"/>
      <c r="U38" s="132"/>
      <c r="V38" s="132"/>
    </row>
    <row r="39" spans="1:22" s="8" customFormat="1" ht="15" customHeight="1">
      <c r="A39" s="112"/>
      <c r="B39" s="277"/>
      <c r="C39" s="438"/>
      <c r="D39" s="35"/>
      <c r="E39" s="131"/>
      <c r="F39" s="132"/>
      <c r="G39" s="132"/>
      <c r="H39" s="132"/>
      <c r="I39" s="132"/>
      <c r="J39" s="31"/>
      <c r="K39" s="131"/>
      <c r="L39" s="132"/>
      <c r="M39" s="132"/>
      <c r="N39" s="132"/>
      <c r="O39" s="132"/>
      <c r="P39" s="31"/>
      <c r="Q39" s="131"/>
      <c r="R39" s="132"/>
      <c r="S39" s="132"/>
      <c r="T39" s="132"/>
      <c r="U39" s="132"/>
      <c r="V39" s="132"/>
    </row>
    <row r="40" spans="1:22" s="8" customFormat="1" ht="15" customHeight="1">
      <c r="A40" s="112"/>
      <c r="B40" s="277"/>
      <c r="C40" s="438"/>
      <c r="D40" s="35"/>
      <c r="E40" s="131"/>
      <c r="F40" s="132"/>
      <c r="G40" s="132"/>
      <c r="H40" s="132"/>
      <c r="I40" s="132"/>
      <c r="J40" s="31"/>
      <c r="K40" s="131"/>
      <c r="L40" s="132"/>
      <c r="M40" s="132"/>
      <c r="N40" s="132"/>
      <c r="O40" s="132"/>
      <c r="P40" s="31"/>
      <c r="Q40" s="131"/>
      <c r="R40" s="132"/>
      <c r="S40" s="132"/>
      <c r="T40" s="132"/>
      <c r="U40" s="132"/>
      <c r="V40" s="132"/>
    </row>
    <row r="41" spans="1:22" s="8" customFormat="1" ht="15" customHeight="1">
      <c r="A41" s="112"/>
      <c r="B41" s="277"/>
      <c r="C41" s="438"/>
      <c r="D41" s="35"/>
      <c r="E41" s="131"/>
      <c r="F41" s="132"/>
      <c r="G41" s="132"/>
      <c r="H41" s="132"/>
      <c r="I41" s="132"/>
      <c r="J41" s="31"/>
      <c r="K41" s="131"/>
      <c r="L41" s="132"/>
      <c r="M41" s="132"/>
      <c r="N41" s="132"/>
      <c r="O41" s="132"/>
      <c r="P41" s="31"/>
      <c r="Q41" s="131"/>
      <c r="R41" s="132"/>
      <c r="S41" s="132"/>
      <c r="T41" s="132"/>
      <c r="U41" s="132"/>
      <c r="V41" s="132"/>
    </row>
    <row r="42" spans="1:22" s="8" customFormat="1" ht="15" customHeight="1">
      <c r="A42" s="112"/>
      <c r="B42" s="277"/>
      <c r="C42" s="438"/>
      <c r="D42" s="35"/>
      <c r="E42" s="131"/>
      <c r="F42" s="132"/>
      <c r="G42" s="132"/>
      <c r="H42" s="132"/>
      <c r="I42" s="132"/>
      <c r="J42" s="31"/>
      <c r="K42" s="131"/>
      <c r="L42" s="132"/>
      <c r="M42" s="132"/>
      <c r="N42" s="132"/>
      <c r="O42" s="132"/>
      <c r="P42" s="31"/>
      <c r="Q42" s="131"/>
      <c r="R42" s="132"/>
      <c r="S42" s="132"/>
      <c r="T42" s="132"/>
      <c r="U42" s="132"/>
      <c r="V42" s="132"/>
    </row>
    <row r="43" spans="1:22" s="8" customFormat="1" ht="15" customHeight="1">
      <c r="A43" s="112"/>
      <c r="B43" s="277"/>
      <c r="C43" s="438"/>
      <c r="D43" s="35"/>
      <c r="E43" s="131"/>
      <c r="F43" s="132"/>
      <c r="G43" s="132"/>
      <c r="H43" s="132"/>
      <c r="I43" s="132"/>
      <c r="J43" s="31"/>
      <c r="K43" s="131"/>
      <c r="L43" s="132"/>
      <c r="M43" s="132"/>
      <c r="N43" s="132"/>
      <c r="O43" s="132"/>
      <c r="P43" s="31"/>
      <c r="Q43" s="131"/>
      <c r="R43" s="132"/>
      <c r="S43" s="132"/>
      <c r="T43" s="132"/>
      <c r="U43" s="132"/>
      <c r="V43" s="132"/>
    </row>
    <row r="44" spans="1:22" s="8" customFormat="1" ht="15" customHeight="1">
      <c r="A44" s="112"/>
      <c r="B44" s="277"/>
      <c r="C44" s="438"/>
      <c r="D44" s="35"/>
      <c r="E44" s="131"/>
      <c r="F44" s="132"/>
      <c r="G44" s="132"/>
      <c r="H44" s="132"/>
      <c r="I44" s="132"/>
      <c r="J44" s="31"/>
      <c r="K44" s="131"/>
      <c r="L44" s="132"/>
      <c r="M44" s="132"/>
      <c r="N44" s="132"/>
      <c r="O44" s="132"/>
      <c r="P44" s="31"/>
      <c r="Q44" s="131"/>
      <c r="R44" s="132"/>
      <c r="S44" s="132"/>
      <c r="T44" s="132"/>
      <c r="U44" s="132"/>
      <c r="V44" s="132"/>
    </row>
    <row r="45" spans="1:22" s="8" customFormat="1" ht="15" customHeight="1">
      <c r="A45" s="112"/>
      <c r="B45" s="277"/>
      <c r="C45" s="438"/>
      <c r="D45" s="35"/>
      <c r="E45" s="131"/>
      <c r="F45" s="132"/>
      <c r="G45" s="132"/>
      <c r="H45" s="132"/>
      <c r="I45" s="132"/>
      <c r="J45" s="31"/>
      <c r="K45" s="131"/>
      <c r="L45" s="132"/>
      <c r="M45" s="132"/>
      <c r="N45" s="132"/>
      <c r="O45" s="132"/>
      <c r="P45" s="31"/>
      <c r="Q45" s="131"/>
      <c r="R45" s="132"/>
      <c r="S45" s="132"/>
      <c r="T45" s="132"/>
      <c r="U45" s="132"/>
      <c r="V45" s="132"/>
    </row>
    <row r="46" spans="1:22" s="8" customFormat="1" ht="15" customHeight="1">
      <c r="A46" s="112"/>
      <c r="B46" s="277"/>
      <c r="C46" s="438"/>
      <c r="D46" s="35"/>
      <c r="E46" s="131"/>
      <c r="F46" s="132"/>
      <c r="G46" s="132"/>
      <c r="H46" s="132"/>
      <c r="I46" s="132"/>
      <c r="J46" s="31"/>
      <c r="K46" s="131"/>
      <c r="L46" s="132"/>
      <c r="M46" s="132"/>
      <c r="N46" s="132"/>
      <c r="O46" s="132"/>
      <c r="P46" s="31"/>
      <c r="Q46" s="131"/>
      <c r="R46" s="132"/>
      <c r="S46" s="132"/>
      <c r="T46" s="132"/>
      <c r="U46" s="132"/>
      <c r="V46" s="132"/>
    </row>
    <row r="47" spans="1:22" s="8" customFormat="1" ht="15" customHeight="1">
      <c r="A47" s="112"/>
      <c r="B47" s="277"/>
      <c r="C47" s="438"/>
      <c r="D47" s="35"/>
      <c r="E47" s="131"/>
      <c r="F47" s="132"/>
      <c r="G47" s="132"/>
      <c r="H47" s="132"/>
      <c r="I47" s="132"/>
      <c r="J47" s="31"/>
      <c r="K47" s="131"/>
      <c r="L47" s="132"/>
      <c r="M47" s="132"/>
      <c r="N47" s="132"/>
      <c r="O47" s="132"/>
      <c r="P47" s="31"/>
      <c r="Q47" s="131"/>
      <c r="R47" s="132"/>
      <c r="S47" s="132"/>
      <c r="T47" s="132"/>
      <c r="U47" s="132"/>
      <c r="V47" s="132"/>
    </row>
    <row r="48" spans="1:22" s="8" customFormat="1" ht="15" customHeight="1">
      <c r="A48"/>
      <c r="B48" s="129"/>
      <c r="C48" s="129"/>
      <c r="D48" s="122"/>
      <c r="E48" s="131"/>
      <c r="F48" s="132"/>
      <c r="G48" s="132"/>
      <c r="H48" s="132"/>
      <c r="I48" s="132"/>
    </row>
    <row r="49" spans="1:23" s="8" customFormat="1" ht="15" customHeight="1">
      <c r="A49"/>
      <c r="B49" s="129"/>
      <c r="C49" s="129"/>
      <c r="D49" s="122"/>
      <c r="E49" s="131"/>
      <c r="F49" s="132"/>
      <c r="G49" s="132"/>
      <c r="H49" s="132"/>
      <c r="I49" s="132"/>
    </row>
    <row r="50" spans="1:23" s="8" customFormat="1" ht="15" customHeight="1">
      <c r="A50"/>
      <c r="B50" s="129"/>
      <c r="C50" s="129"/>
      <c r="D50" s="122"/>
      <c r="E50" s="131"/>
      <c r="F50" s="132"/>
      <c r="G50" s="132"/>
      <c r="H50" s="132"/>
      <c r="I50" s="132"/>
    </row>
    <row r="51" spans="1:23" s="8" customFormat="1" ht="15" customHeight="1">
      <c r="A51"/>
      <c r="B51" s="129"/>
      <c r="C51" s="129"/>
      <c r="D51" s="122"/>
      <c r="E51" s="131"/>
      <c r="F51" s="132"/>
      <c r="G51" s="132"/>
      <c r="H51" s="132"/>
      <c r="I51" s="132"/>
    </row>
    <row r="52" spans="1:23" s="8" customFormat="1" ht="15" customHeight="1">
      <c r="A52"/>
      <c r="B52" s="129"/>
      <c r="C52" s="129"/>
      <c r="D52" s="122"/>
      <c r="E52" s="131"/>
      <c r="F52" s="132"/>
      <c r="G52" s="132"/>
      <c r="H52" s="132"/>
      <c r="I52" s="132"/>
    </row>
    <row r="53" spans="1:23" s="8" customFormat="1" ht="15" customHeight="1">
      <c r="A53"/>
      <c r="B53" s="129"/>
      <c r="C53" s="129"/>
      <c r="D53" s="122"/>
      <c r="E53" s="131"/>
      <c r="F53" s="132"/>
      <c r="G53" s="132"/>
      <c r="H53" s="132"/>
      <c r="I53" s="132"/>
    </row>
    <row r="54" spans="1:23" s="8" customFormat="1" ht="15" customHeight="1">
      <c r="A54"/>
      <c r="B54" s="129"/>
      <c r="C54" s="129"/>
      <c r="D54" s="122"/>
      <c r="E54" s="131"/>
      <c r="F54" s="132"/>
      <c r="G54" s="132"/>
      <c r="H54" s="132"/>
      <c r="I54" s="132"/>
    </row>
    <row r="55" spans="1:23" s="8" customFormat="1" ht="15" customHeight="1">
      <c r="A55" s="210" t="s">
        <v>1175</v>
      </c>
      <c r="B55" s="473"/>
      <c r="C55" s="129"/>
      <c r="D55" s="122"/>
      <c r="E55" s="131"/>
      <c r="F55" s="132"/>
      <c r="G55" s="132"/>
      <c r="H55" s="132"/>
      <c r="I55" s="132"/>
      <c r="L55" s="8">
        <f>L66/45*4</f>
        <v>0</v>
      </c>
      <c r="W55" s="6">
        <f t="shared" ref="W55:W61" si="0">F55+L55+M55+S55</f>
        <v>0</v>
      </c>
    </row>
    <row r="56" spans="1:23" s="8" customFormat="1" ht="15" customHeight="1">
      <c r="A56" s="210" t="s">
        <v>1176</v>
      </c>
      <c r="B56" s="473"/>
      <c r="C56" s="129"/>
      <c r="D56" s="122"/>
      <c r="E56" s="131"/>
      <c r="F56" s="132"/>
      <c r="G56" s="132"/>
      <c r="H56" s="132"/>
      <c r="I56" s="132"/>
      <c r="L56" s="8">
        <f>L67/45*4</f>
        <v>0</v>
      </c>
      <c r="W56" s="6">
        <f t="shared" si="0"/>
        <v>0</v>
      </c>
    </row>
    <row r="57" spans="1:23" s="8" customFormat="1" ht="15" customHeight="1">
      <c r="A57" s="210" t="s">
        <v>1177</v>
      </c>
      <c r="B57" s="473"/>
      <c r="C57" s="129"/>
      <c r="D57" s="122"/>
      <c r="E57" s="131"/>
      <c r="F57" s="132"/>
      <c r="G57" s="132"/>
      <c r="H57" s="132"/>
      <c r="I57" s="132"/>
      <c r="L57" s="8">
        <f>L68/45*4</f>
        <v>0</v>
      </c>
      <c r="W57" s="6">
        <f t="shared" si="0"/>
        <v>0</v>
      </c>
    </row>
    <row r="58" spans="1:23" s="8" customFormat="1" ht="15" customHeight="1">
      <c r="A58" s="210" t="s">
        <v>1694</v>
      </c>
      <c r="B58" s="473"/>
      <c r="C58" s="129"/>
      <c r="D58" s="122"/>
      <c r="E58" s="131"/>
      <c r="F58" s="132"/>
      <c r="G58" s="132"/>
      <c r="H58" s="132"/>
      <c r="I58" s="132"/>
      <c r="W58" s="6">
        <f t="shared" si="0"/>
        <v>0</v>
      </c>
    </row>
    <row r="59" spans="1:23" s="8" customFormat="1" ht="15" customHeight="1">
      <c r="A59" s="210" t="s">
        <v>1692</v>
      </c>
      <c r="B59" s="473"/>
      <c r="C59" s="129"/>
      <c r="D59" s="122"/>
      <c r="E59" s="131"/>
      <c r="F59" s="132"/>
      <c r="G59" s="132"/>
      <c r="H59" s="132"/>
      <c r="I59" s="132"/>
      <c r="L59" s="8">
        <f>L69/45*4</f>
        <v>0</v>
      </c>
      <c r="W59" s="6">
        <f t="shared" si="0"/>
        <v>0</v>
      </c>
    </row>
    <row r="60" spans="1:23" s="8" customFormat="1" ht="15" customHeight="1">
      <c r="A60" s="210" t="s">
        <v>1693</v>
      </c>
      <c r="B60" s="473"/>
      <c r="C60" s="129"/>
      <c r="D60" s="122"/>
      <c r="E60" s="131"/>
      <c r="F60" s="132"/>
      <c r="G60" s="132"/>
      <c r="H60" s="132"/>
      <c r="I60" s="132"/>
      <c r="L60" s="8">
        <f>L71/45*4</f>
        <v>0</v>
      </c>
      <c r="W60" s="6">
        <f t="shared" si="0"/>
        <v>0</v>
      </c>
    </row>
    <row r="61" spans="1:23" s="8" customFormat="1" ht="15" customHeight="1">
      <c r="A61" s="210" t="s">
        <v>1696</v>
      </c>
      <c r="B61" s="473"/>
      <c r="C61" s="129"/>
      <c r="D61" s="122"/>
      <c r="E61" s="131"/>
      <c r="F61" s="132"/>
      <c r="G61" s="132"/>
      <c r="H61" s="132"/>
      <c r="I61" s="132"/>
      <c r="L61" s="8">
        <f>SUM(X9:Y9,X12:Y12,X15:Y15,R8:U9)*1</f>
        <v>0</v>
      </c>
      <c r="W61" s="6">
        <f t="shared" si="0"/>
        <v>0</v>
      </c>
    </row>
    <row r="62" spans="1:23" s="6" customFormat="1" ht="15" customHeight="1">
      <c r="A62" s="210" t="s">
        <v>1314</v>
      </c>
      <c r="B62" s="473"/>
      <c r="C62" s="129"/>
      <c r="D62" s="122"/>
      <c r="E62" s="131"/>
      <c r="F62" s="132"/>
      <c r="G62" s="132"/>
      <c r="H62" s="132"/>
      <c r="I62" s="132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W62" s="6">
        <f>IF(SUM(Transformadores!R8:R11,S8:S11,T8:T12,U8:U12,X9:Y9,X12:Y12,X15:Y15)&lt;1,SUM(Transformadores!F8:G11,H8:I12)*4.5,0)</f>
        <v>0</v>
      </c>
    </row>
    <row r="63" spans="1:23" s="6" customFormat="1" ht="15" customHeight="1">
      <c r="A63" s="210" t="s">
        <v>1468</v>
      </c>
      <c r="B63" s="473"/>
      <c r="C63" s="129"/>
      <c r="D63" s="122"/>
      <c r="E63" s="131"/>
      <c r="F63" s="132"/>
      <c r="G63" s="132"/>
      <c r="H63" s="132"/>
      <c r="I63" s="132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W63" s="6">
        <f>IF(SUM(Transformadores!R8:R11,S8:S11,T8:T12,U8:U12,X9:Y9,X12:Y12,X15:Y15)&lt;1,SUM(Transformadores!F12:G15,H13:I15)*4.5,0)</f>
        <v>0</v>
      </c>
    </row>
    <row r="64" spans="1:23" s="6" customFormat="1" ht="15" customHeight="1">
      <c r="A64" s="3" t="s">
        <v>64</v>
      </c>
      <c r="B64" s="117"/>
      <c r="C64" s="4" t="s">
        <v>4</v>
      </c>
      <c r="D64" s="4"/>
      <c r="L64" s="6">
        <f>IF(SUM(R8:R15,S8:S15,T8:T15,U8:U15,X9:Y9,X12:Y12,X15:Y15)&gt;=1,SUM(F8:G15,H8:I15)*60,SUM(F8:G15,H8:I15)*25)</f>
        <v>0</v>
      </c>
      <c r="Q64" s="6" t="s">
        <v>1738</v>
      </c>
    </row>
    <row r="65" spans="1:23" s="6" customFormat="1" ht="15" customHeight="1">
      <c r="A65" s="3" t="s">
        <v>1736</v>
      </c>
      <c r="B65" s="117"/>
      <c r="C65" s="4"/>
      <c r="D65" s="4"/>
      <c r="W65" s="6">
        <f>IF(SUM(Transformadores!R8:R15,S8:S15,T8:T15,U8:U15,X9:Y9,X12:Y12,X15:Y15)&gt;=1,SUM(Transformadores!F8:G15,H8:I15)*60,SUM(Transformadores!F8:G15,H8:I15)*25)</f>
        <v>0</v>
      </c>
    </row>
    <row r="66" spans="1:23" s="6" customFormat="1" ht="15" customHeight="1">
      <c r="A66" s="210" t="s">
        <v>1424</v>
      </c>
      <c r="B66" s="473"/>
      <c r="C66" s="4"/>
      <c r="D66" s="4"/>
      <c r="L66" s="6">
        <f>SUM(Y9)*45</f>
        <v>0</v>
      </c>
      <c r="W66" s="6">
        <f t="shared" ref="W66:W85" si="1">F66+L66+M66+S66</f>
        <v>0</v>
      </c>
    </row>
    <row r="67" spans="1:23" s="6" customFormat="1" ht="15" customHeight="1">
      <c r="A67" s="210" t="s">
        <v>313</v>
      </c>
      <c r="B67" s="473"/>
      <c r="C67" s="4"/>
      <c r="D67" s="4"/>
      <c r="L67" s="6">
        <f>SUM(X9,Y12)*45</f>
        <v>0</v>
      </c>
      <c r="W67" s="6">
        <f t="shared" si="1"/>
        <v>0</v>
      </c>
    </row>
    <row r="68" spans="1:23" s="6" customFormat="1" ht="15" customHeight="1">
      <c r="A68" s="210" t="s">
        <v>409</v>
      </c>
      <c r="B68" s="473"/>
      <c r="C68" s="4"/>
      <c r="D68" s="4"/>
      <c r="L68" s="6">
        <f>SUM(X12)*45</f>
        <v>0</v>
      </c>
      <c r="S68" s="6">
        <f>R9*8</f>
        <v>0</v>
      </c>
      <c r="W68" s="6">
        <f t="shared" si="1"/>
        <v>0</v>
      </c>
    </row>
    <row r="69" spans="1:23" s="6" customFormat="1" ht="15" customHeight="1">
      <c r="A69" s="210" t="s">
        <v>1382</v>
      </c>
      <c r="B69" s="473"/>
      <c r="C69" s="4"/>
      <c r="D69" s="4"/>
      <c r="L69" s="6">
        <f>Y15*45</f>
        <v>0</v>
      </c>
      <c r="W69" s="6">
        <f t="shared" si="1"/>
        <v>0</v>
      </c>
    </row>
    <row r="70" spans="1:23" s="6" customFormat="1" ht="15" customHeight="1">
      <c r="A70" s="210" t="s">
        <v>1425</v>
      </c>
      <c r="B70" s="473"/>
      <c r="C70" s="4"/>
      <c r="D70" s="4"/>
      <c r="W70" s="6">
        <f t="shared" si="1"/>
        <v>0</v>
      </c>
    </row>
    <row r="71" spans="1:23" s="6" customFormat="1" ht="15" customHeight="1">
      <c r="A71" s="210" t="s">
        <v>1380</v>
      </c>
      <c r="B71" s="473"/>
      <c r="C71" s="4"/>
      <c r="D71" s="4"/>
      <c r="L71" s="6">
        <f>X15*45</f>
        <v>0</v>
      </c>
      <c r="W71" s="6">
        <f t="shared" si="1"/>
        <v>0</v>
      </c>
    </row>
    <row r="72" spans="1:23" s="6" customFormat="1" ht="15" customHeight="1">
      <c r="A72" s="6" t="s">
        <v>1691</v>
      </c>
      <c r="B72" s="117"/>
      <c r="C72" s="4"/>
      <c r="D72" s="4"/>
      <c r="K72" s="345"/>
      <c r="L72" s="136">
        <f>SUM(X9:Y9,X12:Y12,X15:Y15)*1</f>
        <v>0</v>
      </c>
      <c r="M72" s="136"/>
      <c r="N72" s="136"/>
      <c r="W72" s="6">
        <f t="shared" si="1"/>
        <v>0</v>
      </c>
    </row>
    <row r="73" spans="1:23" s="6" customFormat="1" ht="15" customHeight="1">
      <c r="A73" s="3" t="s">
        <v>154</v>
      </c>
      <c r="B73" s="117"/>
      <c r="C73" s="4" t="s">
        <v>0</v>
      </c>
      <c r="D73" s="4"/>
      <c r="W73" s="6">
        <f>IF(SUM(Transformadores!R8:R15,S8:S15,T8:T15,U8:U15,X9:Y9,X12:Y12,X15:Y15)&gt;=1,SUM(Transformadores!F8:G15,H8:I15)*15,SUM(Transformadores!F8:G15,H8:I15)*7)</f>
        <v>0</v>
      </c>
    </row>
    <row r="74" spans="1:23" s="6" customFormat="1" ht="15" customHeight="1">
      <c r="A74" s="163" t="s">
        <v>1084</v>
      </c>
      <c r="B74" s="400"/>
      <c r="C74" s="4"/>
      <c r="D74" s="4"/>
      <c r="R74" s="6">
        <f>IF(SUM(Transformadores!R8:R11,S8:S11,T8:T12,U8:U12,X9:Y9,X12:Y12,X15:Y15)&lt;1,SUM(Transformadores!F8:G11,H8:I12)*3,0)</f>
        <v>0</v>
      </c>
      <c r="U74" s="6">
        <f>SUM(X15:Y15)*8</f>
        <v>0</v>
      </c>
      <c r="W74" s="6">
        <f>R74+U74</f>
        <v>0</v>
      </c>
    </row>
    <row r="75" spans="1:23" s="6" customFormat="1" ht="15" customHeight="1">
      <c r="A75" s="163" t="s">
        <v>1570</v>
      </c>
      <c r="B75" s="400"/>
      <c r="C75" s="4"/>
      <c r="D75" s="4"/>
      <c r="W75" s="6">
        <f>IF(SUM(Transformadores!R8:R11,S8:S11,T8:T12,U8:U12,X9:Y9,X12:Y12,X15:Y15)&lt;1,SUM(Transformadores!F12:G15,H13:I15)*3,0)</f>
        <v>0</v>
      </c>
    </row>
    <row r="76" spans="1:23" s="6" customFormat="1" ht="15" customHeight="1">
      <c r="A76" s="3" t="s">
        <v>489</v>
      </c>
      <c r="B76" s="137"/>
      <c r="C76" s="4"/>
      <c r="D76" s="4"/>
      <c r="E76" s="6">
        <v>3</v>
      </c>
      <c r="F76" s="6">
        <f>IF(SUM(F8:I8)*3-[1]Compcta!FF72*3&lt;=0,0,SUM(F8:I8)*3-[1]Compcta!FF72*3)</f>
        <v>0</v>
      </c>
      <c r="H76" s="931"/>
      <c r="K76" s="6">
        <v>3</v>
      </c>
      <c r="L76" s="6">
        <f>O8*K76+M8*K76+L8*K76+K76*N8+O9*K76+M9*K76+L9*K76+K76*N9+O10*K76+M10*K76+L10*K76+K76*N10</f>
        <v>0</v>
      </c>
      <c r="W76" s="6">
        <f t="shared" si="1"/>
        <v>0</v>
      </c>
    </row>
    <row r="77" spans="1:23" s="6" customFormat="1" ht="15" customHeight="1">
      <c r="A77" s="3" t="s">
        <v>488</v>
      </c>
      <c r="B77" s="137"/>
      <c r="C77" s="4"/>
      <c r="D77" s="4"/>
      <c r="E77" s="6">
        <v>3</v>
      </c>
      <c r="F77" s="6">
        <f>IF(SUM(F9:I9)*3-[1]Compcta!FF72*3&lt;=0,0,SUM(F9:I9)*3-[1]Compcta!FF72*3)</f>
        <v>0</v>
      </c>
      <c r="K77" s="6">
        <v>3</v>
      </c>
      <c r="L77" s="6">
        <f>O11*K77+M11*K77+L11*K77+K77*N11+O12*K77+M12*K77+L12*K77+K77*N12</f>
        <v>0</v>
      </c>
      <c r="W77" s="6">
        <f t="shared" si="1"/>
        <v>0</v>
      </c>
    </row>
    <row r="78" spans="1:23" s="6" customFormat="1" ht="15" customHeight="1">
      <c r="A78" s="3" t="s">
        <v>50</v>
      </c>
      <c r="B78" s="117"/>
      <c r="C78" s="4" t="s">
        <v>0</v>
      </c>
      <c r="D78" s="4"/>
      <c r="E78" s="6">
        <v>3</v>
      </c>
      <c r="F78" s="6">
        <f>IF(SUM(F10:I10)*3-[1]Compcta!FF72*3&lt;=0,0,SUM(F10:I10)*3-[1]Compcta!FF72*3)</f>
        <v>0</v>
      </c>
      <c r="K78" s="6">
        <v>3</v>
      </c>
      <c r="L78" s="6">
        <f>O13*K78+M13*K78+L13*K78+N13*K78</f>
        <v>0</v>
      </c>
      <c r="W78" s="6">
        <f t="shared" si="1"/>
        <v>0</v>
      </c>
    </row>
    <row r="79" spans="1:23" s="6" customFormat="1" ht="15" customHeight="1">
      <c r="A79" s="67" t="s">
        <v>245</v>
      </c>
      <c r="B79" s="117"/>
      <c r="C79" s="4" t="s">
        <v>0</v>
      </c>
      <c r="D79" s="4"/>
      <c r="E79" s="6">
        <v>3</v>
      </c>
      <c r="F79" s="6">
        <f>IF(SUM(F11:I11)*3-[1]Compcta!FF72*3&lt;=0,0,SUM(F11:I11)*3-[1]Compcta!FF72*3)</f>
        <v>0</v>
      </c>
      <c r="K79" s="6">
        <v>3</v>
      </c>
      <c r="L79" s="6">
        <f>L14*K79+M14*K79+N14*K79+O14*K79</f>
        <v>0</v>
      </c>
      <c r="W79" s="6">
        <f t="shared" si="1"/>
        <v>0</v>
      </c>
    </row>
    <row r="80" spans="1:23" s="6" customFormat="1" ht="15" customHeight="1">
      <c r="A80" s="67" t="s">
        <v>246</v>
      </c>
      <c r="B80" s="117"/>
      <c r="C80" s="4" t="s">
        <v>0</v>
      </c>
      <c r="D80" s="4"/>
      <c r="E80" s="6">
        <v>3</v>
      </c>
      <c r="F80" s="6">
        <f>IF(SUM(F12:I12)*3-[1]Compcta!FF72*3&lt;=0,0,SUM(F12:I12)*3-[1]Compcta!FF72*3)</f>
        <v>0</v>
      </c>
      <c r="K80" s="6">
        <v>3</v>
      </c>
      <c r="L80" s="6">
        <f>L15*K80+N15*K80+M15*K80+O15*K80</f>
        <v>0</v>
      </c>
      <c r="W80" s="6">
        <f t="shared" si="1"/>
        <v>0</v>
      </c>
    </row>
    <row r="81" spans="1:23" s="6" customFormat="1" ht="15" customHeight="1">
      <c r="A81" s="67" t="s">
        <v>252</v>
      </c>
      <c r="B81" s="117"/>
      <c r="C81" s="4" t="s">
        <v>0</v>
      </c>
      <c r="D81" s="4"/>
      <c r="E81" s="6">
        <v>3</v>
      </c>
      <c r="F81" s="6">
        <f>IF(SUM(F13:I13)*3-[1]Compcta!FF72*3&lt;=0,0,SUM(F13:I13)*3-[1]Compcta!FF72*3)</f>
        <v>0</v>
      </c>
      <c r="W81" s="6">
        <f t="shared" si="1"/>
        <v>0</v>
      </c>
    </row>
    <row r="82" spans="1:23" s="6" customFormat="1" ht="15" customHeight="1">
      <c r="A82" s="67" t="s">
        <v>247</v>
      </c>
      <c r="B82" s="117"/>
      <c r="C82" s="4" t="s">
        <v>0</v>
      </c>
      <c r="D82" s="4"/>
      <c r="E82" s="6">
        <v>3</v>
      </c>
      <c r="F82" s="6">
        <f>IF(SUM(F14:I14)*3-[1]Compcta!FF72*3&lt;=0,0,SUM(F14:I14)*3-[1]Compcta!FF72*3)</f>
        <v>0</v>
      </c>
      <c r="Q82" s="6">
        <f t="shared" ref="Q82:R84" si="2">SUM($P$8:$P$20)</f>
        <v>0</v>
      </c>
      <c r="R82" s="6">
        <f t="shared" si="2"/>
        <v>0</v>
      </c>
      <c r="S82" s="6">
        <f>IF(AND(R82&gt;=5,R82&lt;=150),SUM([1]Compcta!BI7:BI28,[1]Compcta!BJ7:BJ28,[1]Compcta!BK7:BK28,[1]Compcta!BL7:BL28,[1]Compcta!BM7:BM28,[1]Compcta!BN7:BN28,[1]Compcta!BO7:BO28,[1]Compcta!BP7:BP28,[1]Compcta!BQ7:BQ28,[1]Compcta!BT7:BT28,[1]Compcta!BU7:BU28,[1]Compcta!BV7:BV28,[1]Compcta!BW7:BW28,[1]Compcta!BX7:BX28,[1]Compcta!BY7:BY28,[1]Compcta!BZ7:BZ28,[1]Compcta!CA7:CA28,[1]Compcta!CB7:CB28,[1]Compcta!DX7:DX28,[1]Compcta!DY7:DY28,[1]Compcta!DZ7:DZ28,[1]Compcta!EM7:EM28,[1]Compcta!EN7:EN28,[1]Compcta!EO7:EO28,[1]Compcta!DS7:DS28,[1]Compcta!DT7:DT28,[1]Compcta!DU7:DU28)*3,0)</f>
        <v>0</v>
      </c>
      <c r="W82" s="6">
        <f t="shared" si="1"/>
        <v>0</v>
      </c>
    </row>
    <row r="83" spans="1:23" s="6" customFormat="1" ht="15" customHeight="1">
      <c r="A83" s="67" t="s">
        <v>248</v>
      </c>
      <c r="B83" s="117"/>
      <c r="C83" s="4" t="s">
        <v>0</v>
      </c>
      <c r="D83" s="4"/>
      <c r="E83" s="6">
        <v>3</v>
      </c>
      <c r="F83" s="6">
        <f>IF(SUM(F15:I15)*3-[1]Compcta!FF72*3&lt;=0,0,SUM(F15:I15)*3-[1]Compcta!FF72*3)</f>
        <v>0</v>
      </c>
      <c r="Q83" s="6">
        <f t="shared" si="2"/>
        <v>0</v>
      </c>
      <c r="R83" s="6">
        <f t="shared" si="2"/>
        <v>0</v>
      </c>
      <c r="S83" s="6">
        <f>IF(AND(R83&gt;=151,R83&lt;=225),SUM([1]Compcta!BI7:BI28,[1]Compcta!BJ7:BJ28,[1]Compcta!BK7:BK28,[1]Compcta!BL7:BL28,[1]Compcta!BM7:BM28,[1]Compcta!BN7:BN28,[1]Compcta!BO7:BO28,[1]Compcta!BP7:BP28,[1]Compcta!BQ7:BQ28,[1]Compcta!BT7:BT28,[1]Compcta!BU7:BU28,[1]Compcta!BV7:BV28,[1]Compcta!BW7:BW28,[1]Compcta!BX7:BX28,[1]Compcta!BY7:BY28,[1]Compcta!BZ7:BZ28,[1]Compcta!CA7:CA28,[1]Compcta!CB7:CB28,[1]Compcta!DX7:DX28,[1]Compcta!DY7:DY28,[1]Compcta!DZ7:DZ28,[1]Compcta!EM7:EM28,[1]Compcta!EN7:EN28,[1]Compcta!EO7:EO28,[1]Compcta!DS7:DS28,[1]Compcta!DT7:DT28,[1]Compcta!DU7:DU28)*3,0)</f>
        <v>0</v>
      </c>
      <c r="W83" s="6">
        <f t="shared" si="1"/>
        <v>0</v>
      </c>
    </row>
    <row r="84" spans="1:23" s="6" customFormat="1" ht="15" customHeight="1">
      <c r="A84" s="67" t="s">
        <v>411</v>
      </c>
      <c r="B84" s="117"/>
      <c r="C84" s="4" t="s">
        <v>0</v>
      </c>
      <c r="D84" s="4"/>
      <c r="Q84" s="6">
        <f t="shared" si="2"/>
        <v>0</v>
      </c>
      <c r="R84" s="6">
        <f t="shared" si="2"/>
        <v>0</v>
      </c>
      <c r="S84" s="6">
        <f>IF(AND(R84&gt;=226,R84&lt;=750),SUM([1]Compcta!BI7:BI28,[1]Compcta!BJ7:BJ28,[1]Compcta!BK7:BK28,[1]Compcta!BL7:BL28,[1]Compcta!BM7:BM28,[1]Compcta!BN7:BN28,[1]Compcta!BO7:BO28,[1]Compcta!BP7:BP28,[1]Compcta!BQ7:BQ28,[1]Compcta!BT7:BT28,[1]Compcta!BU7:BU28,[1]Compcta!BV7:BV28,[1]Compcta!BW7:BW28,[1]Compcta!BX7:BX28,[1]Compcta!BY7:BY28,[1]Compcta!BZ7:BZ28,[1]Compcta!CA7:CA28,[1]Compcta!CB7:CB28,[1]Compcta!DX7:DX28,[1]Compcta!DY7:DY28,[1]Compcta!DZ7:DZ28,[1]Compcta!EM7:EM28,[1]Compcta!EN7:EN28,[1]Compcta!EO7:EO28,[1]Compcta!DS7:DS28,[1]Compcta!DT7:DT28,[1]Compcta!DU7:DU28)*3,0)</f>
        <v>0</v>
      </c>
      <c r="W84" s="6">
        <f t="shared" si="1"/>
        <v>0</v>
      </c>
    </row>
    <row r="85" spans="1:23" s="6" customFormat="1" ht="15" customHeight="1">
      <c r="A85" s="67" t="s">
        <v>1673</v>
      </c>
      <c r="B85" s="117"/>
      <c r="C85" s="4"/>
      <c r="D85" s="4"/>
      <c r="W85" s="6">
        <f t="shared" si="1"/>
        <v>0</v>
      </c>
    </row>
    <row r="86" spans="1:23" s="6" customFormat="1" ht="15.75" customHeight="1">
      <c r="A86" s="3" t="s">
        <v>165</v>
      </c>
      <c r="B86" s="117"/>
      <c r="C86" s="4"/>
      <c r="D86" s="4"/>
      <c r="W86" s="6">
        <f>IF(SUM(Transformadores!R8:R15,S8:S15,T8:T15,U8:U15,X9:Y9,X12:Y12,X15:Y15)&lt;1,SUM(Transformadores!F8:G15,H8:I15)*6,0)</f>
        <v>0</v>
      </c>
    </row>
    <row r="87" spans="1:23" s="6" customFormat="1" ht="15.75" customHeight="1">
      <c r="A87" s="3" t="s">
        <v>166</v>
      </c>
      <c r="B87" s="117"/>
      <c r="C87" s="4" t="s">
        <v>0</v>
      </c>
      <c r="D87" s="4"/>
      <c r="L87" s="6">
        <f>IF(SUM(R8:R15,S8:S15,T8:T15,U8:U15,X9:Y9,X12:Y12,X15:Y15)&gt;=1,SUM(F8:G15,H8:I15)*20,0)</f>
        <v>0</v>
      </c>
      <c r="W87" s="6">
        <f>IF(SUM(Transformadores!R8:R15,S8:S15,T8:T15,U8:U15,X9:Y9,X12:Y12,X15:Y15)&gt;=1,SUM(Transformadores!F8:G15,H8:I15)*20,0)</f>
        <v>0</v>
      </c>
    </row>
    <row r="88" spans="1:23" s="6" customFormat="1" ht="15.75" customHeight="1">
      <c r="A88" s="3" t="s">
        <v>1697</v>
      </c>
      <c r="B88" s="117"/>
      <c r="C88" s="4"/>
      <c r="D88" s="4"/>
      <c r="L88" s="6">
        <f>SUM(X9:Y9,X12:Y12,X15:Y15)</f>
        <v>0</v>
      </c>
      <c r="W88" s="6">
        <f>SUM(X9:Y9,X12:Y12,X15:Y15)*1</f>
        <v>0</v>
      </c>
    </row>
    <row r="89" spans="1:23" ht="15" customHeight="1">
      <c r="A89" s="3" t="s">
        <v>1698</v>
      </c>
      <c r="B89" s="117"/>
      <c r="C89" s="4"/>
      <c r="D89" s="4"/>
      <c r="E89" s="6"/>
      <c r="F89" s="6"/>
      <c r="G89" s="6"/>
      <c r="H89" s="6"/>
      <c r="I89" s="6"/>
      <c r="J89" s="6"/>
      <c r="K89" s="6"/>
      <c r="L89" s="6">
        <f>SUM(X9:Y9,X12:Y12,X15:Y15)</f>
        <v>0</v>
      </c>
      <c r="M89" s="6"/>
      <c r="N89" s="6"/>
      <c r="O89" s="6"/>
      <c r="Q89" s="6"/>
      <c r="R89" s="6"/>
      <c r="S89" s="6"/>
      <c r="T89" s="6"/>
      <c r="U89" s="6"/>
      <c r="W89" s="6">
        <f t="shared" ref="W89:W122" si="3">F89+L89+M89+S89</f>
        <v>0</v>
      </c>
    </row>
    <row r="90" spans="1:23" ht="15" customHeight="1">
      <c r="A90" s="3" t="s">
        <v>18</v>
      </c>
      <c r="B90" s="117"/>
      <c r="C90" s="4" t="s">
        <v>0</v>
      </c>
      <c r="D90" s="4"/>
      <c r="E90" s="6"/>
      <c r="F90" s="6"/>
      <c r="G90" s="6"/>
      <c r="H90" s="6"/>
      <c r="I90" s="6"/>
      <c r="J90" s="6"/>
      <c r="K90" s="6"/>
      <c r="L90" s="6">
        <f>IF(SUM(R8:R15,S8:S15,T8:T15,U8:U15,X9:Y9,X12:Y12,X15:Y15)&gt;=1,SUM(F8:G15,H8:I15)*10,0)</f>
        <v>0</v>
      </c>
      <c r="M90" s="6"/>
      <c r="N90" s="6"/>
      <c r="O90" s="6"/>
      <c r="Q90" s="6"/>
      <c r="R90" s="6"/>
      <c r="S90" s="6"/>
      <c r="T90" s="6"/>
      <c r="U90" s="6"/>
      <c r="W90" s="6">
        <f>IF(SUM(Transformadores!R8:R15,S8:S15,T8:T15,U8:U15,X9:Y9,X12:Y12,X15:Y15)&gt;=1,SUM(Transformadores!F8:G15,H8:I15)*15,SUM(Transformadores!F8:G15,H8:I15)*0)</f>
        <v>0</v>
      </c>
    </row>
    <row r="91" spans="1:23" ht="15" customHeight="1">
      <c r="A91" s="68" t="s">
        <v>315</v>
      </c>
      <c r="B91" s="118"/>
      <c r="C91" s="4" t="s">
        <v>0</v>
      </c>
      <c r="E91" s="6">
        <v>1</v>
      </c>
      <c r="F91" s="6">
        <f>F8*E91+G8*E91</f>
        <v>0</v>
      </c>
      <c r="G91" s="6"/>
      <c r="H91" s="6"/>
      <c r="I91" s="6"/>
      <c r="J91" s="6"/>
      <c r="K91" s="6">
        <v>1</v>
      </c>
      <c r="L91" s="6"/>
      <c r="M91" s="6"/>
      <c r="N91" s="6"/>
      <c r="O91" s="6"/>
      <c r="W91" s="6">
        <f t="shared" si="3"/>
        <v>0</v>
      </c>
    </row>
    <row r="92" spans="1:23" ht="15" customHeight="1">
      <c r="A92" s="69" t="s">
        <v>255</v>
      </c>
      <c r="B92" s="118"/>
      <c r="C92" s="4" t="s">
        <v>0</v>
      </c>
      <c r="E92" s="6">
        <v>1</v>
      </c>
      <c r="F92" s="6"/>
      <c r="G92" s="6"/>
      <c r="H92" s="6"/>
      <c r="I92" s="6"/>
      <c r="J92" s="6"/>
      <c r="K92" s="6">
        <v>1</v>
      </c>
      <c r="L92" s="6">
        <f>L8*K92+M8*K92</f>
        <v>0</v>
      </c>
      <c r="M92" s="6"/>
      <c r="N92" s="6"/>
      <c r="O92" s="6"/>
      <c r="W92" s="6">
        <f t="shared" si="3"/>
        <v>0</v>
      </c>
    </row>
    <row r="93" spans="1:23" ht="15" customHeight="1">
      <c r="A93" s="68" t="s">
        <v>256</v>
      </c>
      <c r="B93" s="118"/>
      <c r="C93" s="4" t="s">
        <v>0</v>
      </c>
      <c r="E93" s="6">
        <v>1</v>
      </c>
      <c r="F93" s="6">
        <f>F9*E93+G9*E93</f>
        <v>0</v>
      </c>
      <c r="G93" s="6"/>
      <c r="H93" s="6"/>
      <c r="I93" s="6"/>
      <c r="J93" s="6"/>
      <c r="K93" s="6">
        <v>1</v>
      </c>
      <c r="L93" s="6"/>
      <c r="M93" s="6"/>
      <c r="N93" s="6"/>
      <c r="O93" s="6"/>
      <c r="W93" s="6">
        <f t="shared" si="3"/>
        <v>0</v>
      </c>
    </row>
    <row r="94" spans="1:23" ht="15" customHeight="1">
      <c r="A94" s="69" t="s">
        <v>257</v>
      </c>
      <c r="B94" s="118"/>
      <c r="C94" s="4" t="s">
        <v>0</v>
      </c>
      <c r="E94" s="6">
        <v>1</v>
      </c>
      <c r="F94" s="6"/>
      <c r="G94" s="6"/>
      <c r="H94" s="6"/>
      <c r="I94" s="6"/>
      <c r="J94" s="6"/>
      <c r="K94" s="6">
        <v>1</v>
      </c>
      <c r="L94" s="6">
        <f>L9*K94+M9*K94</f>
        <v>0</v>
      </c>
      <c r="M94" s="6"/>
      <c r="N94" s="6"/>
      <c r="O94" s="6"/>
      <c r="W94" s="6">
        <f t="shared" si="3"/>
        <v>0</v>
      </c>
    </row>
    <row r="95" spans="1:23" ht="15" customHeight="1">
      <c r="A95" s="68" t="s">
        <v>258</v>
      </c>
      <c r="B95" s="118"/>
      <c r="C95" s="4" t="s">
        <v>0</v>
      </c>
      <c r="E95" s="6">
        <v>1</v>
      </c>
      <c r="F95" s="6">
        <f>F10*E95+G10*E95</f>
        <v>0</v>
      </c>
      <c r="G95" s="6"/>
      <c r="H95" s="6"/>
      <c r="I95" s="6"/>
      <c r="J95" s="6"/>
      <c r="K95" s="6">
        <v>1</v>
      </c>
      <c r="L95" s="6"/>
      <c r="M95" s="6"/>
      <c r="N95" s="6"/>
      <c r="O95" s="6"/>
      <c r="W95" s="6">
        <f t="shared" si="3"/>
        <v>0</v>
      </c>
    </row>
    <row r="96" spans="1:23" ht="15" customHeight="1">
      <c r="A96" s="69" t="s">
        <v>259</v>
      </c>
      <c r="B96" s="118"/>
      <c r="C96" s="4" t="s">
        <v>0</v>
      </c>
      <c r="E96" s="6">
        <v>1</v>
      </c>
      <c r="F96" s="6"/>
      <c r="G96" s="6"/>
      <c r="H96" s="6"/>
      <c r="I96" s="6"/>
      <c r="J96" s="6"/>
      <c r="K96" s="6">
        <v>1</v>
      </c>
      <c r="L96" s="6">
        <f>L10*K96+M10*K96</f>
        <v>0</v>
      </c>
      <c r="M96" s="6"/>
      <c r="N96" s="6"/>
      <c r="O96" s="6"/>
      <c r="W96" s="6">
        <f t="shared" si="3"/>
        <v>0</v>
      </c>
    </row>
    <row r="97" spans="1:23" ht="15" customHeight="1">
      <c r="A97" s="68" t="s">
        <v>260</v>
      </c>
      <c r="B97" s="118"/>
      <c r="C97" s="4" t="s">
        <v>0</v>
      </c>
      <c r="E97" s="6">
        <v>1</v>
      </c>
      <c r="F97" s="6">
        <f>F11*E97+G11*E97</f>
        <v>0</v>
      </c>
      <c r="G97" s="6"/>
      <c r="H97" s="6"/>
      <c r="I97" s="6"/>
      <c r="J97" s="6"/>
      <c r="K97" s="6">
        <v>1</v>
      </c>
      <c r="L97" s="6"/>
      <c r="M97" s="6"/>
      <c r="N97" s="6"/>
      <c r="O97" s="6"/>
      <c r="W97" s="6">
        <f t="shared" si="3"/>
        <v>0</v>
      </c>
    </row>
    <row r="98" spans="1:23" ht="15" customHeight="1">
      <c r="A98" s="69" t="s">
        <v>261</v>
      </c>
      <c r="B98" s="118"/>
      <c r="C98" s="4" t="s">
        <v>0</v>
      </c>
      <c r="E98" s="6">
        <v>1</v>
      </c>
      <c r="F98" s="6"/>
      <c r="G98" s="6"/>
      <c r="H98" s="6"/>
      <c r="I98" s="6"/>
      <c r="J98" s="6"/>
      <c r="K98" s="6">
        <v>1</v>
      </c>
      <c r="L98" s="6">
        <f>L11*K98+M11*K98</f>
        <v>0</v>
      </c>
      <c r="M98" s="6"/>
      <c r="N98" s="6"/>
      <c r="O98" s="6"/>
      <c r="W98" s="6">
        <f t="shared" si="3"/>
        <v>0</v>
      </c>
    </row>
    <row r="99" spans="1:23" ht="15" customHeight="1">
      <c r="A99" s="68" t="s">
        <v>262</v>
      </c>
      <c r="B99" s="118"/>
      <c r="C99" s="4" t="s">
        <v>0</v>
      </c>
      <c r="E99" s="6">
        <v>1</v>
      </c>
      <c r="F99" s="6">
        <f>F12*E99+G12*E99</f>
        <v>0</v>
      </c>
      <c r="G99" s="6"/>
      <c r="H99" s="6"/>
      <c r="I99" s="6"/>
      <c r="J99" s="6"/>
      <c r="K99" s="6">
        <v>1</v>
      </c>
      <c r="L99" s="6"/>
      <c r="M99" s="6"/>
      <c r="N99" s="6"/>
      <c r="O99" s="6"/>
      <c r="W99" s="6">
        <f t="shared" si="3"/>
        <v>0</v>
      </c>
    </row>
    <row r="100" spans="1:23" ht="15" customHeight="1">
      <c r="A100" s="69" t="s">
        <v>263</v>
      </c>
      <c r="B100" s="118"/>
      <c r="C100" s="4" t="s">
        <v>0</v>
      </c>
      <c r="E100" s="6">
        <v>1</v>
      </c>
      <c r="F100" s="6"/>
      <c r="G100" s="6"/>
      <c r="H100" s="6"/>
      <c r="I100" s="6"/>
      <c r="J100" s="6"/>
      <c r="K100" s="6">
        <v>1</v>
      </c>
      <c r="L100" s="6">
        <f>L12*K100+M12*K100</f>
        <v>0</v>
      </c>
      <c r="M100" s="6"/>
      <c r="N100" s="6"/>
      <c r="O100" s="6"/>
      <c r="W100" s="6">
        <f t="shared" si="3"/>
        <v>0</v>
      </c>
    </row>
    <row r="101" spans="1:23" ht="15" customHeight="1">
      <c r="A101" s="68" t="s">
        <v>264</v>
      </c>
      <c r="B101" s="118"/>
      <c r="C101" s="4" t="s">
        <v>0</v>
      </c>
      <c r="E101" s="6">
        <v>1</v>
      </c>
      <c r="F101" s="6">
        <f>F13*E101+G13*E101</f>
        <v>0</v>
      </c>
      <c r="G101" s="6"/>
      <c r="H101" s="6"/>
      <c r="I101" s="6"/>
      <c r="J101" s="6"/>
      <c r="K101" s="6">
        <v>1</v>
      </c>
      <c r="L101" s="6"/>
      <c r="M101" s="6"/>
      <c r="N101" s="6"/>
      <c r="O101" s="6"/>
      <c r="W101" s="6">
        <f t="shared" si="3"/>
        <v>0</v>
      </c>
    </row>
    <row r="102" spans="1:23" ht="15" customHeight="1">
      <c r="A102" s="69" t="s">
        <v>265</v>
      </c>
      <c r="B102" s="118"/>
      <c r="C102" s="4" t="s">
        <v>0</v>
      </c>
      <c r="E102" s="6">
        <v>1</v>
      </c>
      <c r="F102" s="6"/>
      <c r="G102" s="6"/>
      <c r="H102" s="6"/>
      <c r="I102" s="6"/>
      <c r="J102" s="6"/>
      <c r="K102" s="6">
        <v>1</v>
      </c>
      <c r="L102" s="6">
        <f>L13*K102+M13*K102</f>
        <v>0</v>
      </c>
      <c r="M102" s="6"/>
      <c r="N102" s="6"/>
      <c r="O102" s="6"/>
      <c r="W102" s="6">
        <f t="shared" si="3"/>
        <v>0</v>
      </c>
    </row>
    <row r="103" spans="1:23" ht="15" customHeight="1">
      <c r="A103" s="68" t="s">
        <v>266</v>
      </c>
      <c r="B103" s="118"/>
      <c r="C103" s="4" t="s">
        <v>0</v>
      </c>
      <c r="E103" s="6">
        <v>1</v>
      </c>
      <c r="F103" s="6">
        <f>F14*E103+G14*E103</f>
        <v>0</v>
      </c>
      <c r="G103" s="6"/>
      <c r="H103" s="6"/>
      <c r="I103" s="6"/>
      <c r="J103" s="6"/>
      <c r="K103" s="6">
        <v>1</v>
      </c>
      <c r="L103" s="6"/>
      <c r="M103" s="6"/>
      <c r="N103" s="6"/>
      <c r="O103" s="6"/>
      <c r="W103" s="6">
        <f t="shared" si="3"/>
        <v>0</v>
      </c>
    </row>
    <row r="104" spans="1:23" ht="15" customHeight="1">
      <c r="A104" s="69" t="s">
        <v>267</v>
      </c>
      <c r="B104" s="118" t="s">
        <v>267</v>
      </c>
      <c r="C104" s="4" t="s">
        <v>0</v>
      </c>
      <c r="E104" s="6">
        <v>1</v>
      </c>
      <c r="F104" s="6"/>
      <c r="G104" s="6"/>
      <c r="H104" s="6"/>
      <c r="I104" s="6"/>
      <c r="J104" s="6"/>
      <c r="K104" s="6">
        <v>1</v>
      </c>
      <c r="L104" s="6">
        <f>L14*K104+M14*K104</f>
        <v>0</v>
      </c>
      <c r="M104" s="6"/>
      <c r="N104" s="6"/>
      <c r="O104" s="6"/>
      <c r="W104" s="6">
        <f t="shared" si="3"/>
        <v>0</v>
      </c>
    </row>
    <row r="105" spans="1:23" ht="15" customHeight="1">
      <c r="A105" s="68" t="s">
        <v>268</v>
      </c>
      <c r="B105" s="118" t="s">
        <v>268</v>
      </c>
      <c r="C105" s="4" t="s">
        <v>0</v>
      </c>
      <c r="E105" s="6">
        <v>1</v>
      </c>
      <c r="F105" s="6">
        <f>F15*E105+G15*E105</f>
        <v>0</v>
      </c>
      <c r="G105" s="6"/>
      <c r="H105" s="6"/>
      <c r="I105" s="6"/>
      <c r="J105" s="6"/>
      <c r="K105" s="6">
        <v>1</v>
      </c>
      <c r="L105" s="6"/>
      <c r="M105" s="6"/>
      <c r="N105" s="6"/>
      <c r="O105" s="6"/>
      <c r="W105" s="6">
        <f t="shared" si="3"/>
        <v>0</v>
      </c>
    </row>
    <row r="106" spans="1:23" ht="15" customHeight="1">
      <c r="A106" s="69" t="s">
        <v>269</v>
      </c>
      <c r="B106" s="118" t="s">
        <v>269</v>
      </c>
      <c r="C106" s="4" t="s">
        <v>0</v>
      </c>
      <c r="E106" s="6">
        <v>1</v>
      </c>
      <c r="F106" s="6"/>
      <c r="G106" s="6"/>
      <c r="H106" s="6"/>
      <c r="I106" s="6"/>
      <c r="J106" s="6"/>
      <c r="K106" s="6">
        <v>1</v>
      </c>
      <c r="L106" s="6">
        <f>L15*K106+M15*K106</f>
        <v>0</v>
      </c>
      <c r="M106" s="6"/>
      <c r="N106" s="6"/>
      <c r="O106" s="6"/>
      <c r="W106" s="6">
        <f t="shared" si="3"/>
        <v>0</v>
      </c>
    </row>
    <row r="107" spans="1:23" ht="15" customHeight="1">
      <c r="A107" s="68" t="s">
        <v>270</v>
      </c>
      <c r="B107" s="118" t="s">
        <v>270</v>
      </c>
      <c r="C107" s="4" t="s">
        <v>0</v>
      </c>
      <c r="E107" s="6">
        <v>1</v>
      </c>
      <c r="F107" s="6">
        <f>H8*E107+I8*E107</f>
        <v>0</v>
      </c>
      <c r="G107" s="6"/>
      <c r="H107" s="6"/>
      <c r="I107" s="6"/>
      <c r="J107" s="6"/>
      <c r="K107" s="6">
        <v>1</v>
      </c>
      <c r="L107" s="6"/>
      <c r="M107" s="6"/>
      <c r="N107" s="6"/>
      <c r="O107" s="6"/>
      <c r="W107" s="6">
        <f t="shared" si="3"/>
        <v>0</v>
      </c>
    </row>
    <row r="108" spans="1:23" ht="15" customHeight="1">
      <c r="A108" s="69" t="s">
        <v>271</v>
      </c>
      <c r="B108" s="118" t="s">
        <v>271</v>
      </c>
      <c r="C108" s="4" t="s">
        <v>0</v>
      </c>
      <c r="E108" s="6">
        <v>1</v>
      </c>
      <c r="F108" s="6"/>
      <c r="G108" s="6"/>
      <c r="H108" s="6"/>
      <c r="I108" s="6"/>
      <c r="J108" s="6"/>
      <c r="K108" s="6">
        <v>1</v>
      </c>
      <c r="L108" s="6">
        <f>N8*K108+O8*K108</f>
        <v>0</v>
      </c>
      <c r="M108" s="6"/>
      <c r="N108" s="6"/>
      <c r="O108" s="6"/>
      <c r="W108" s="6">
        <f t="shared" si="3"/>
        <v>0</v>
      </c>
    </row>
    <row r="109" spans="1:23" ht="15" customHeight="1">
      <c r="A109" s="68" t="s">
        <v>272</v>
      </c>
      <c r="B109" s="118" t="s">
        <v>272</v>
      </c>
      <c r="C109" s="4" t="s">
        <v>0</v>
      </c>
      <c r="E109" s="6">
        <v>1</v>
      </c>
      <c r="F109" s="6">
        <f>H9*E109+I9*E109</f>
        <v>0</v>
      </c>
      <c r="G109" s="6"/>
      <c r="H109" s="6"/>
      <c r="I109" s="6"/>
      <c r="J109" s="6"/>
      <c r="K109" s="6">
        <v>1</v>
      </c>
      <c r="L109" s="6"/>
      <c r="M109" s="6"/>
      <c r="N109" s="6"/>
      <c r="O109" s="6"/>
      <c r="W109" s="6">
        <f t="shared" si="3"/>
        <v>0</v>
      </c>
    </row>
    <row r="110" spans="1:23" ht="15" customHeight="1">
      <c r="A110" s="69" t="s">
        <v>273</v>
      </c>
      <c r="B110" s="118" t="s">
        <v>273</v>
      </c>
      <c r="C110" s="4" t="s">
        <v>0</v>
      </c>
      <c r="E110" s="6">
        <v>1</v>
      </c>
      <c r="F110" s="6"/>
      <c r="G110" s="6"/>
      <c r="H110" s="6"/>
      <c r="I110" s="6"/>
      <c r="J110" s="6"/>
      <c r="K110" s="6">
        <v>1</v>
      </c>
      <c r="L110" s="6">
        <f>N9*K110+O9*K110</f>
        <v>0</v>
      </c>
      <c r="M110" s="6"/>
      <c r="N110" s="6"/>
      <c r="O110" s="6"/>
      <c r="W110" s="6">
        <f t="shared" si="3"/>
        <v>0</v>
      </c>
    </row>
    <row r="111" spans="1:23" ht="15" customHeight="1">
      <c r="A111" s="68" t="s">
        <v>274</v>
      </c>
      <c r="B111" s="118" t="s">
        <v>274</v>
      </c>
      <c r="C111" s="4" t="s">
        <v>0</v>
      </c>
      <c r="E111" s="6">
        <v>1</v>
      </c>
      <c r="F111" s="6">
        <f>H10*E111+I10*E111</f>
        <v>0</v>
      </c>
      <c r="G111" s="6"/>
      <c r="H111" s="6"/>
      <c r="I111" s="6"/>
      <c r="J111" s="6"/>
      <c r="K111" s="6">
        <v>1</v>
      </c>
      <c r="L111" s="6"/>
      <c r="M111" s="6"/>
      <c r="N111" s="6"/>
      <c r="O111" s="6"/>
      <c r="W111" s="6">
        <f t="shared" si="3"/>
        <v>0</v>
      </c>
    </row>
    <row r="112" spans="1:23" ht="15" customHeight="1">
      <c r="A112" s="69" t="s">
        <v>275</v>
      </c>
      <c r="B112" s="118" t="s">
        <v>275</v>
      </c>
      <c r="C112" s="4" t="s">
        <v>0</v>
      </c>
      <c r="E112" s="6">
        <v>1</v>
      </c>
      <c r="F112" s="6"/>
      <c r="G112" s="6"/>
      <c r="H112" s="6"/>
      <c r="I112" s="6"/>
      <c r="J112" s="6"/>
      <c r="K112" s="6">
        <v>1</v>
      </c>
      <c r="L112" s="6">
        <f>N10*K112+O10*K112</f>
        <v>0</v>
      </c>
      <c r="M112" s="6"/>
      <c r="N112" s="6"/>
      <c r="O112" s="6"/>
      <c r="W112" s="6">
        <f t="shared" si="3"/>
        <v>0</v>
      </c>
    </row>
    <row r="113" spans="1:23" ht="15" customHeight="1">
      <c r="A113" s="68" t="s">
        <v>276</v>
      </c>
      <c r="B113" s="118" t="s">
        <v>276</v>
      </c>
      <c r="C113" s="4" t="s">
        <v>0</v>
      </c>
      <c r="E113" s="6">
        <v>1</v>
      </c>
      <c r="F113" s="6">
        <f>H11*E113+I11*E113</f>
        <v>0</v>
      </c>
      <c r="G113" s="6"/>
      <c r="H113" s="6"/>
      <c r="I113" s="6"/>
      <c r="J113" s="6"/>
      <c r="K113" s="6">
        <v>1</v>
      </c>
      <c r="L113" s="6"/>
      <c r="M113" s="6"/>
      <c r="N113" s="6"/>
      <c r="O113" s="6"/>
      <c r="W113" s="6">
        <f t="shared" si="3"/>
        <v>0</v>
      </c>
    </row>
    <row r="114" spans="1:23" ht="15" customHeight="1">
      <c r="A114" s="69" t="s">
        <v>277</v>
      </c>
      <c r="B114" s="118" t="s">
        <v>277</v>
      </c>
      <c r="C114" s="4" t="s">
        <v>0</v>
      </c>
      <c r="E114" s="6">
        <v>1</v>
      </c>
      <c r="F114" s="6"/>
      <c r="G114" s="6"/>
      <c r="H114" s="6"/>
      <c r="I114" s="6"/>
      <c r="J114" s="6"/>
      <c r="K114" s="6">
        <v>1</v>
      </c>
      <c r="L114" s="6">
        <f>N11*K114+O11*K114</f>
        <v>0</v>
      </c>
      <c r="M114" s="6"/>
      <c r="N114" s="6"/>
      <c r="O114" s="6"/>
      <c r="W114" s="6">
        <f t="shared" si="3"/>
        <v>0</v>
      </c>
    </row>
    <row r="115" spans="1:23" ht="15" customHeight="1">
      <c r="A115" s="68" t="s">
        <v>278</v>
      </c>
      <c r="B115" s="118" t="s">
        <v>278</v>
      </c>
      <c r="C115" s="4" t="s">
        <v>0</v>
      </c>
      <c r="E115" s="6">
        <v>1</v>
      </c>
      <c r="F115" s="6">
        <f>H12*E115+I12*E115</f>
        <v>0</v>
      </c>
      <c r="G115" s="6"/>
      <c r="H115" s="6"/>
      <c r="I115" s="6"/>
      <c r="J115" s="6"/>
      <c r="K115" s="6">
        <v>1</v>
      </c>
      <c r="L115" s="6"/>
      <c r="M115" s="6"/>
      <c r="N115" s="6"/>
      <c r="O115" s="6"/>
      <c r="W115" s="6">
        <f t="shared" si="3"/>
        <v>0</v>
      </c>
    </row>
    <row r="116" spans="1:23" ht="15" customHeight="1">
      <c r="A116" s="69" t="s">
        <v>279</v>
      </c>
      <c r="B116" s="118" t="s">
        <v>279</v>
      </c>
      <c r="C116" s="4" t="s">
        <v>0</v>
      </c>
      <c r="E116" s="6">
        <v>1</v>
      </c>
      <c r="F116" s="6"/>
      <c r="G116" s="6"/>
      <c r="H116" s="6"/>
      <c r="I116" s="6"/>
      <c r="J116" s="6"/>
      <c r="K116" s="6">
        <v>1</v>
      </c>
      <c r="L116" s="6">
        <f>N12*K116+O12*K116</f>
        <v>0</v>
      </c>
      <c r="M116" s="6"/>
      <c r="N116" s="6"/>
      <c r="O116" s="6"/>
      <c r="W116" s="6">
        <f t="shared" si="3"/>
        <v>0</v>
      </c>
    </row>
    <row r="117" spans="1:23" ht="15" customHeight="1">
      <c r="A117" s="68" t="s">
        <v>280</v>
      </c>
      <c r="B117" s="118" t="s">
        <v>280</v>
      </c>
      <c r="C117" s="4" t="s">
        <v>0</v>
      </c>
      <c r="E117" s="6">
        <v>1</v>
      </c>
      <c r="F117" s="6">
        <f>H13*E117+I13*E117</f>
        <v>0</v>
      </c>
      <c r="G117" s="6"/>
      <c r="H117" s="6"/>
      <c r="I117" s="6"/>
      <c r="J117" s="6"/>
      <c r="K117" s="6">
        <v>1</v>
      </c>
      <c r="L117" s="6"/>
      <c r="M117" s="6"/>
      <c r="N117" s="6"/>
      <c r="O117" s="6"/>
      <c r="W117" s="6">
        <f t="shared" si="3"/>
        <v>0</v>
      </c>
    </row>
    <row r="118" spans="1:23" ht="15" customHeight="1">
      <c r="A118" s="69" t="s">
        <v>281</v>
      </c>
      <c r="B118" s="118" t="s">
        <v>281</v>
      </c>
      <c r="C118" s="4" t="s">
        <v>0</v>
      </c>
      <c r="E118" s="6">
        <v>1</v>
      </c>
      <c r="F118" s="6"/>
      <c r="G118" s="6"/>
      <c r="H118" s="6"/>
      <c r="I118" s="6"/>
      <c r="J118" s="6"/>
      <c r="K118" s="6">
        <v>1</v>
      </c>
      <c r="L118" s="6">
        <f>N13*K118+O13*K118</f>
        <v>0</v>
      </c>
      <c r="M118" s="6"/>
      <c r="N118" s="6"/>
      <c r="O118" s="6"/>
      <c r="W118" s="6">
        <f t="shared" si="3"/>
        <v>0</v>
      </c>
    </row>
    <row r="119" spans="1:23" ht="15" customHeight="1">
      <c r="A119" s="68" t="s">
        <v>282</v>
      </c>
      <c r="B119" s="118" t="s">
        <v>282</v>
      </c>
      <c r="C119" s="4" t="s">
        <v>0</v>
      </c>
      <c r="E119" s="6">
        <v>1</v>
      </c>
      <c r="F119" s="6">
        <f>H14*E119+I14*E119</f>
        <v>0</v>
      </c>
      <c r="G119" s="6"/>
      <c r="H119" s="6"/>
      <c r="I119" s="6"/>
      <c r="J119" s="6"/>
      <c r="K119" s="6">
        <v>1</v>
      </c>
      <c r="L119" s="6"/>
      <c r="M119" s="6"/>
      <c r="N119" s="6"/>
      <c r="O119" s="6"/>
      <c r="W119" s="6">
        <f t="shared" si="3"/>
        <v>0</v>
      </c>
    </row>
    <row r="120" spans="1:23" ht="15.75">
      <c r="A120" s="69" t="s">
        <v>283</v>
      </c>
      <c r="B120" s="118" t="s">
        <v>283</v>
      </c>
      <c r="C120" s="4" t="s">
        <v>0</v>
      </c>
      <c r="E120" s="6">
        <v>1</v>
      </c>
      <c r="F120" s="6"/>
      <c r="G120" s="6"/>
      <c r="H120" s="6"/>
      <c r="I120" s="6"/>
      <c r="J120" s="6"/>
      <c r="K120" s="6">
        <v>1</v>
      </c>
      <c r="L120" s="6">
        <f>N14*K120+O14*K120</f>
        <v>0</v>
      </c>
      <c r="M120" s="6"/>
      <c r="N120" s="6"/>
      <c r="O120" s="6"/>
      <c r="W120" s="6">
        <f t="shared" si="3"/>
        <v>0</v>
      </c>
    </row>
    <row r="121" spans="1:23" ht="15.75">
      <c r="A121" s="68" t="s">
        <v>284</v>
      </c>
      <c r="B121" s="118" t="s">
        <v>284</v>
      </c>
      <c r="C121" s="4" t="s">
        <v>0</v>
      </c>
      <c r="E121" s="6">
        <v>1</v>
      </c>
      <c r="F121" s="6">
        <f>H15*E121+I15*E121</f>
        <v>0</v>
      </c>
      <c r="G121" s="6"/>
      <c r="H121" s="6"/>
      <c r="I121" s="6"/>
      <c r="J121" s="6"/>
      <c r="K121" s="6">
        <v>1</v>
      </c>
      <c r="L121" s="6"/>
      <c r="M121" s="6"/>
      <c r="N121" s="6"/>
      <c r="O121" s="6"/>
      <c r="W121" s="6">
        <f t="shared" si="3"/>
        <v>0</v>
      </c>
    </row>
    <row r="122" spans="1:23" ht="15.75">
      <c r="A122" s="69" t="s">
        <v>285</v>
      </c>
      <c r="B122" s="118" t="s">
        <v>285</v>
      </c>
      <c r="C122" s="4" t="s">
        <v>0</v>
      </c>
      <c r="E122" s="6">
        <v>1</v>
      </c>
      <c r="F122" s="6"/>
      <c r="G122" s="6"/>
      <c r="H122" s="6"/>
      <c r="I122" s="6"/>
      <c r="J122" s="6"/>
      <c r="K122" s="6">
        <v>1</v>
      </c>
      <c r="L122" s="6">
        <f>N15*K122+O15*K122</f>
        <v>0</v>
      </c>
      <c r="M122" s="6"/>
      <c r="N122" s="6"/>
      <c r="O122" s="6"/>
      <c r="W122" s="6">
        <f t="shared" si="3"/>
        <v>0</v>
      </c>
    </row>
    <row r="123" spans="1:23">
      <c r="J123" s="6"/>
      <c r="K123" s="6"/>
      <c r="L123" s="6"/>
      <c r="M123" s="6"/>
      <c r="N123" s="6"/>
      <c r="O123" s="6"/>
    </row>
    <row r="124" spans="1:23">
      <c r="J124" s="6"/>
      <c r="K124" s="6"/>
      <c r="L124" s="6"/>
      <c r="M124" s="6"/>
      <c r="N124" s="6"/>
      <c r="O124" s="6"/>
    </row>
    <row r="125" spans="1:23">
      <c r="J125" s="6"/>
      <c r="K125" s="6"/>
      <c r="L125" s="6"/>
      <c r="M125" s="6"/>
      <c r="N125" s="6"/>
      <c r="O125" s="6"/>
    </row>
    <row r="126" spans="1:23">
      <c r="J126" s="6"/>
      <c r="K126" s="6"/>
      <c r="L126" s="6"/>
      <c r="M126" s="6"/>
      <c r="N126" s="6"/>
      <c r="O126" s="6"/>
    </row>
    <row r="127" spans="1:23">
      <c r="J127" s="6"/>
      <c r="K127" s="6"/>
      <c r="L127" s="6"/>
      <c r="M127" s="6"/>
      <c r="N127" s="6"/>
      <c r="O127" s="6"/>
    </row>
    <row r="128" spans="1:23">
      <c r="J128" s="6"/>
      <c r="K128" s="6"/>
      <c r="L128" s="6"/>
      <c r="M128" s="6"/>
      <c r="N128" s="6"/>
      <c r="O128" s="6"/>
    </row>
    <row r="129" spans="10:15">
      <c r="J129" s="6"/>
      <c r="K129" s="6"/>
      <c r="L129" s="6"/>
      <c r="M129" s="6"/>
      <c r="N129" s="6"/>
      <c r="O129" s="6"/>
    </row>
    <row r="130" spans="10:15">
      <c r="J130" s="6"/>
      <c r="K130" s="6"/>
      <c r="L130" s="6"/>
      <c r="M130" s="6"/>
      <c r="N130" s="6"/>
      <c r="O130" s="6"/>
    </row>
    <row r="131" spans="10:15">
      <c r="J131" s="6"/>
      <c r="K131" s="6"/>
      <c r="L131" s="6"/>
      <c r="M131" s="6"/>
      <c r="N131" s="6"/>
      <c r="O131" s="6"/>
    </row>
    <row r="132" spans="10:15">
      <c r="J132" s="6"/>
      <c r="K132" s="6"/>
      <c r="L132" s="6"/>
      <c r="M132" s="6"/>
      <c r="N132" s="6"/>
      <c r="O132" s="6"/>
    </row>
    <row r="133" spans="10:15">
      <c r="J133" s="6"/>
      <c r="K133" s="6"/>
      <c r="L133" s="6"/>
      <c r="M133" s="6"/>
      <c r="N133" s="6"/>
      <c r="O133" s="6"/>
    </row>
    <row r="134" spans="10:15">
      <c r="J134" s="6"/>
      <c r="K134" s="6"/>
      <c r="L134" s="6"/>
      <c r="M134" s="6"/>
      <c r="N134" s="6"/>
      <c r="O134" s="6"/>
    </row>
    <row r="135" spans="10:15">
      <c r="J135" s="6"/>
      <c r="K135" s="6"/>
      <c r="L135" s="6"/>
      <c r="M135" s="6"/>
      <c r="N135" s="6"/>
      <c r="O135" s="6"/>
    </row>
    <row r="136" spans="10:15">
      <c r="J136" s="6"/>
      <c r="K136" s="6"/>
      <c r="L136" s="6"/>
      <c r="M136" s="6"/>
      <c r="N136" s="6"/>
      <c r="O136" s="6"/>
    </row>
  </sheetData>
  <mergeCells count="50">
    <mergeCell ref="E6:E7"/>
    <mergeCell ref="R6:S6"/>
    <mergeCell ref="K6:K7"/>
    <mergeCell ref="Q2:U5"/>
    <mergeCell ref="W2:Y5"/>
    <mergeCell ref="N8:O8"/>
    <mergeCell ref="K2:O5"/>
    <mergeCell ref="H8:I8"/>
    <mergeCell ref="H9:I9"/>
    <mergeCell ref="H10:I10"/>
    <mergeCell ref="E1:Z1"/>
    <mergeCell ref="W6:Y7"/>
    <mergeCell ref="L6:M7"/>
    <mergeCell ref="N6:O7"/>
    <mergeCell ref="T6:U6"/>
    <mergeCell ref="T17:U17"/>
    <mergeCell ref="Q6:Q7"/>
    <mergeCell ref="N9:O9"/>
    <mergeCell ref="B5:C6"/>
    <mergeCell ref="F8:G8"/>
    <mergeCell ref="E2:I5"/>
    <mergeCell ref="L8:M8"/>
    <mergeCell ref="L9:M9"/>
    <mergeCell ref="F6:G7"/>
    <mergeCell ref="H6:I7"/>
    <mergeCell ref="L12:M12"/>
    <mergeCell ref="N10:O10"/>
    <mergeCell ref="L11:M11"/>
    <mergeCell ref="N11:O11"/>
    <mergeCell ref="H11:I11"/>
    <mergeCell ref="R17:S17"/>
    <mergeCell ref="N14:O14"/>
    <mergeCell ref="L15:M15"/>
    <mergeCell ref="N15:O15"/>
    <mergeCell ref="L13:M13"/>
    <mergeCell ref="L14:M14"/>
    <mergeCell ref="F9:G9"/>
    <mergeCell ref="F11:G11"/>
    <mergeCell ref="L10:M10"/>
    <mergeCell ref="N13:O13"/>
    <mergeCell ref="N12:O12"/>
    <mergeCell ref="H15:I15"/>
    <mergeCell ref="H13:I13"/>
    <mergeCell ref="F13:G13"/>
    <mergeCell ref="F12:G12"/>
    <mergeCell ref="F10:G10"/>
    <mergeCell ref="F14:G14"/>
    <mergeCell ref="F15:G15"/>
    <mergeCell ref="H14:I14"/>
    <mergeCell ref="H12:I1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Macro10">
                <anchor moveWithCells="1" sizeWithCells="1">
                  <from>
                    <xdr:col>0</xdr:col>
                    <xdr:colOff>57150</xdr:colOff>
                    <xdr:row>1</xdr:row>
                    <xdr:rowOff>19050</xdr:rowOff>
                  </from>
                  <to>
                    <xdr:col>0</xdr:col>
                    <xdr:colOff>828675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5" name="Button 4">
              <controlPr defaultSize="0" print="0" autoFill="0" autoPict="0" macro="[0]!Macro17gg">
                <anchor moveWithCells="1" sizeWithCells="1">
                  <from>
                    <xdr:col>0</xdr:col>
                    <xdr:colOff>57150</xdr:colOff>
                    <xdr:row>4</xdr:row>
                    <xdr:rowOff>95250</xdr:rowOff>
                  </from>
                  <to>
                    <xdr:col>0</xdr:col>
                    <xdr:colOff>828675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6" name="Button 5">
              <controlPr defaultSize="0" print="0" autoFill="0" autoPict="0" macro="[0]!Macro12">
                <anchor moveWithCells="1" sizeWithCells="1">
                  <from>
                    <xdr:col>0</xdr:col>
                    <xdr:colOff>57150</xdr:colOff>
                    <xdr:row>5</xdr:row>
                    <xdr:rowOff>161925</xdr:rowOff>
                  </from>
                  <to>
                    <xdr:col>0</xdr:col>
                    <xdr:colOff>828675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7" name="Button 8">
              <controlPr defaultSize="0" print="0" autoFill="0" autoPict="0" macro="[0]!Macro16">
                <anchor moveWithCells="1" sizeWithCells="1">
                  <from>
                    <xdr:col>0</xdr:col>
                    <xdr:colOff>47625</xdr:colOff>
                    <xdr:row>7</xdr:row>
                    <xdr:rowOff>76200</xdr:rowOff>
                  </from>
                  <to>
                    <xdr:col>0</xdr:col>
                    <xdr:colOff>428625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3" r:id="rId8" name="Button 9">
              <controlPr defaultSize="0" print="0" autoFill="0" autoPict="0" macro="[0]!Macro15">
                <anchor moveWithCells="1" sizeWithCells="1">
                  <from>
                    <xdr:col>0</xdr:col>
                    <xdr:colOff>476250</xdr:colOff>
                    <xdr:row>7</xdr:row>
                    <xdr:rowOff>66675</xdr:rowOff>
                  </from>
                  <to>
                    <xdr:col>0</xdr:col>
                    <xdr:colOff>828675</xdr:colOff>
                    <xdr:row>14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45DC8-4946-4824-9E58-2D33B16424EC}">
  <sheetPr codeName="Plan10"/>
  <dimension ref="A1:FU566"/>
  <sheetViews>
    <sheetView showGridLines="0" zoomScale="80" zoomScaleNormal="80" workbookViewId="0">
      <pane xSplit="3" ySplit="18" topLeftCell="D19" activePane="bottomRight" state="frozen"/>
      <selection pane="topRight" activeCell="D1" sqref="D1"/>
      <selection pane="bottomLeft" activeCell="A36" sqref="A36"/>
      <selection pane="bottomRight" activeCell="B2" sqref="B2:C4"/>
    </sheetView>
  </sheetViews>
  <sheetFormatPr defaultRowHeight="15"/>
  <cols>
    <col min="1" max="1" width="12.42578125" customWidth="1"/>
    <col min="2" max="2" width="58.140625" customWidth="1"/>
    <col min="3" max="3" width="9.140625" customWidth="1"/>
    <col min="4" max="4" width="1.7109375" customWidth="1"/>
    <col min="5" max="5" width="13" customWidth="1"/>
    <col min="6" max="14" width="5.28515625" customWidth="1"/>
    <col min="15" max="15" width="1.7109375" customWidth="1"/>
    <col min="16" max="16" width="13" customWidth="1"/>
    <col min="17" max="25" width="5.28515625" customWidth="1"/>
    <col min="26" max="26" width="1.7109375" customWidth="1"/>
    <col min="27" max="27" width="13.140625" customWidth="1"/>
    <col min="28" max="36" width="5.28515625" customWidth="1"/>
    <col min="37" max="37" width="1.7109375" customWidth="1"/>
    <col min="38" max="38" width="13.42578125" customWidth="1"/>
    <col min="39" max="47" width="5.28515625" customWidth="1"/>
    <col min="48" max="48" width="1.7109375" customWidth="1"/>
    <col min="49" max="49" width="13" customWidth="1"/>
    <col min="50" max="58" width="5.28515625" customWidth="1"/>
    <col min="59" max="59" width="1.7109375" customWidth="1"/>
    <col min="60" max="60" width="13.28515625" customWidth="1"/>
    <col min="61" max="69" width="5.28515625" customWidth="1"/>
    <col min="70" max="70" width="2" customWidth="1"/>
    <col min="71" max="71" width="13.28515625" customWidth="1"/>
    <col min="72" max="80" width="5.28515625" customWidth="1"/>
    <col min="81" max="81" width="1.7109375" customWidth="1"/>
    <col min="82" max="82" width="13" customWidth="1"/>
    <col min="83" max="83" width="9.7109375" customWidth="1"/>
    <col min="84" max="85" width="9.140625" customWidth="1"/>
    <col min="86" max="86" width="2" customWidth="1"/>
    <col min="87" max="87" width="12.7109375" customWidth="1"/>
    <col min="88" max="90" width="9.140625" customWidth="1"/>
    <col min="91" max="91" width="2.28515625" customWidth="1"/>
    <col min="92" max="92" width="12.42578125" customWidth="1"/>
    <col min="93" max="95" width="9.140625" customWidth="1"/>
    <col min="96" max="96" width="2.140625" customWidth="1"/>
    <col min="97" max="97" width="12.7109375" customWidth="1"/>
    <col min="101" max="101" width="2.140625" customWidth="1"/>
    <col min="102" max="102" width="11.5703125" customWidth="1"/>
    <col min="106" max="106" width="1.85546875" customWidth="1"/>
    <col min="107" max="107" width="12.28515625" customWidth="1"/>
    <col min="108" max="110" width="9.140625" customWidth="1"/>
    <col min="111" max="111" width="2" customWidth="1"/>
    <col min="112" max="112" width="12.5703125" customWidth="1"/>
    <col min="116" max="116" width="2" customWidth="1"/>
    <col min="117" max="117" width="12.28515625" customWidth="1"/>
    <col min="121" max="121" width="1.7109375" customWidth="1"/>
    <col min="122" max="122" width="12.28515625" customWidth="1"/>
    <col min="123" max="125" width="9.140625" customWidth="1"/>
    <col min="126" max="126" width="1.5703125" customWidth="1"/>
    <col min="127" max="127" width="12.140625" customWidth="1"/>
    <col min="128" max="130" width="9.140625" customWidth="1"/>
    <col min="131" max="131" width="1.7109375" customWidth="1"/>
    <col min="132" max="132" width="12" hidden="1" customWidth="1"/>
    <col min="133" max="135" width="9.140625" hidden="1" customWidth="1"/>
    <col min="136" max="136" width="2.140625" hidden="1" customWidth="1"/>
    <col min="137" max="137" width="12.5703125" hidden="1" customWidth="1"/>
    <col min="138" max="140" width="9.140625" hidden="1" customWidth="1"/>
    <col min="141" max="141" width="2" hidden="1" customWidth="1"/>
    <col min="142" max="142" width="12.28515625" customWidth="1"/>
    <col min="143" max="145" width="9.140625" customWidth="1"/>
    <col min="146" max="146" width="2" customWidth="1"/>
    <col min="147" max="147" width="12.42578125" customWidth="1"/>
    <col min="151" max="151" width="2.140625" customWidth="1"/>
    <col min="152" max="152" width="12" customWidth="1"/>
    <col min="153" max="155" width="8.7109375" customWidth="1"/>
    <col min="156" max="156" width="1.5703125" customWidth="1"/>
    <col min="157" max="157" width="12.85546875" customWidth="1"/>
    <col min="158" max="160" width="8.7109375" customWidth="1"/>
    <col min="161" max="161" width="1.42578125" customWidth="1"/>
    <col min="162" max="162" width="12.5703125" customWidth="1"/>
    <col min="163" max="165" width="8.7109375" customWidth="1"/>
    <col min="166" max="166" width="1.42578125" customWidth="1"/>
    <col min="167" max="167" width="1.42578125" hidden="1" customWidth="1"/>
    <col min="168" max="168" width="12.7109375" customWidth="1"/>
    <col min="169" max="171" width="8.7109375" customWidth="1"/>
    <col min="172" max="172" width="10.7109375" customWidth="1"/>
    <col min="173" max="174" width="10.7109375" style="420" customWidth="1"/>
    <col min="175" max="177" width="9.140625" style="420"/>
  </cols>
  <sheetData>
    <row r="1" spans="1:173" ht="4.5" customHeight="1" thickBot="1">
      <c r="A1" s="392"/>
      <c r="B1" s="1828"/>
      <c r="C1" s="1829"/>
      <c r="AW1" s="782"/>
    </row>
    <row r="2" spans="1:173" ht="20.100000000000001" customHeight="1" thickBot="1">
      <c r="A2" s="1291"/>
      <c r="B2" s="1830" t="s">
        <v>1064</v>
      </c>
      <c r="C2" s="1831"/>
      <c r="D2" s="1220"/>
      <c r="E2" s="1839" t="s">
        <v>1411</v>
      </c>
      <c r="F2" s="1840"/>
      <c r="G2" s="1840"/>
      <c r="H2" s="1840"/>
      <c r="I2" s="1840"/>
      <c r="J2" s="1840"/>
      <c r="K2" s="1840"/>
      <c r="L2" s="1840"/>
      <c r="M2" s="1840"/>
      <c r="N2" s="1841"/>
      <c r="O2" s="1220"/>
      <c r="P2" s="1839" t="s">
        <v>1413</v>
      </c>
      <c r="Q2" s="1840"/>
      <c r="R2" s="1840"/>
      <c r="S2" s="1840"/>
      <c r="T2" s="1840"/>
      <c r="U2" s="1840"/>
      <c r="V2" s="1840"/>
      <c r="W2" s="1840"/>
      <c r="X2" s="1840"/>
      <c r="Y2" s="1841"/>
      <c r="Z2" s="1220"/>
      <c r="AA2" s="1859" t="s">
        <v>1398</v>
      </c>
      <c r="AB2" s="1860"/>
      <c r="AC2" s="1860"/>
      <c r="AD2" s="1860"/>
      <c r="AE2" s="1860"/>
      <c r="AF2" s="1860"/>
      <c r="AG2" s="1860"/>
      <c r="AH2" s="1860"/>
      <c r="AI2" s="1860"/>
      <c r="AJ2" s="1861"/>
      <c r="AK2" s="1075"/>
      <c r="AL2" s="1839" t="s">
        <v>1414</v>
      </c>
      <c r="AM2" s="1840"/>
      <c r="AN2" s="1840"/>
      <c r="AO2" s="1840"/>
      <c r="AP2" s="1840"/>
      <c r="AQ2" s="1840"/>
      <c r="AR2" s="1840"/>
      <c r="AS2" s="1840"/>
      <c r="AT2" s="1840"/>
      <c r="AU2" s="1841"/>
      <c r="AV2" s="1220"/>
      <c r="AW2" s="1848" t="s">
        <v>1390</v>
      </c>
      <c r="AX2" s="1849"/>
      <c r="AY2" s="1849"/>
      <c r="AZ2" s="1849"/>
      <c r="BA2" s="1849"/>
      <c r="BB2" s="1849"/>
      <c r="BC2" s="1849"/>
      <c r="BD2" s="1849"/>
      <c r="BE2" s="1849"/>
      <c r="BF2" s="1849"/>
      <c r="BG2" s="1220"/>
      <c r="BH2" s="1839" t="s">
        <v>1386</v>
      </c>
      <c r="BI2" s="1840"/>
      <c r="BJ2" s="1840"/>
      <c r="BK2" s="1840"/>
      <c r="BL2" s="1840"/>
      <c r="BM2" s="1840"/>
      <c r="BN2" s="1840"/>
      <c r="BO2" s="1840"/>
      <c r="BP2" s="1840"/>
      <c r="BQ2" s="1841"/>
      <c r="BR2" s="1220"/>
      <c r="BS2" s="1839" t="s">
        <v>1415</v>
      </c>
      <c r="BT2" s="1840"/>
      <c r="BU2" s="1840"/>
      <c r="BV2" s="1840"/>
      <c r="BW2" s="1840"/>
      <c r="BX2" s="1840"/>
      <c r="BY2" s="1840"/>
      <c r="BZ2" s="1840"/>
      <c r="CA2" s="1840"/>
      <c r="CB2" s="1841"/>
      <c r="CC2" s="1220"/>
      <c r="CD2" s="1292"/>
      <c r="CE2" s="1220"/>
      <c r="CF2" s="1220"/>
      <c r="CG2" s="1220"/>
      <c r="CH2" s="1220"/>
      <c r="CI2" s="1220"/>
      <c r="CJ2" s="1220"/>
      <c r="CK2" s="1220"/>
      <c r="CL2" s="1220"/>
      <c r="CM2" s="1220"/>
      <c r="CN2" s="1220"/>
      <c r="CO2" s="1220"/>
      <c r="CP2" s="1220"/>
      <c r="CQ2" s="1220"/>
      <c r="CR2" s="1220"/>
      <c r="CS2" s="1220"/>
      <c r="CT2" s="1220"/>
      <c r="CU2" s="1220"/>
      <c r="CV2" s="1220"/>
      <c r="CW2" s="1220"/>
      <c r="CX2" s="1220"/>
      <c r="CY2" s="1220"/>
      <c r="CZ2" s="1220"/>
      <c r="DA2" s="1220"/>
      <c r="DB2" s="1220"/>
      <c r="DC2" s="1220"/>
      <c r="DD2" s="1220"/>
      <c r="DE2" s="1220"/>
      <c r="DF2" s="1220"/>
      <c r="DG2" s="1220"/>
      <c r="DH2" s="1220"/>
      <c r="DI2" s="1220"/>
      <c r="DJ2" s="1220"/>
      <c r="DK2" s="1220"/>
      <c r="DL2" s="1220"/>
      <c r="DM2" s="1220"/>
      <c r="DN2" s="1220"/>
      <c r="DO2" s="1220"/>
      <c r="DP2" s="1220"/>
      <c r="DQ2" s="1293"/>
      <c r="DR2" s="1220"/>
      <c r="DS2" s="1220"/>
      <c r="DT2" s="1220"/>
      <c r="DU2" s="1220"/>
      <c r="DV2" s="1220"/>
      <c r="DW2" s="1220"/>
      <c r="DX2" s="1220"/>
      <c r="DY2" s="1220"/>
      <c r="DZ2" s="1220"/>
      <c r="EA2" s="1220"/>
      <c r="EB2" s="1220"/>
      <c r="EC2" s="1220"/>
      <c r="ED2" s="1220"/>
      <c r="EE2" s="1220"/>
      <c r="EF2" s="1220"/>
      <c r="EG2" s="1220"/>
      <c r="EH2" s="1220"/>
      <c r="EI2" s="1220"/>
      <c r="EJ2" s="1220"/>
      <c r="EK2" s="1220"/>
      <c r="EL2" s="1220"/>
      <c r="EM2" s="1220"/>
      <c r="EN2" s="1220"/>
      <c r="EO2" s="1220"/>
      <c r="EP2" s="1220"/>
      <c r="EQ2" s="1220"/>
      <c r="ER2" s="1220"/>
      <c r="ES2" s="1220"/>
      <c r="ET2" s="1220"/>
      <c r="EU2" s="1220"/>
      <c r="EV2" s="1220"/>
      <c r="EW2" s="1220"/>
      <c r="EX2" s="1220"/>
      <c r="EY2" s="1220"/>
      <c r="EZ2" s="1220"/>
      <c r="FA2" s="1220"/>
      <c r="FB2" s="1220"/>
      <c r="FC2" s="1220"/>
      <c r="FD2" s="1220"/>
      <c r="FE2" s="1220"/>
      <c r="FF2" s="1850" t="s">
        <v>1385</v>
      </c>
      <c r="FG2" s="1851"/>
      <c r="FH2" s="1851"/>
      <c r="FI2" s="1852"/>
      <c r="FJ2" s="1220"/>
      <c r="FK2" s="1220"/>
      <c r="FL2" s="1850" t="s">
        <v>1384</v>
      </c>
      <c r="FM2" s="1851"/>
      <c r="FN2" s="1851"/>
      <c r="FO2" s="1852"/>
    </row>
    <row r="3" spans="1:173" ht="17.100000000000001" customHeight="1">
      <c r="A3" s="1291"/>
      <c r="B3" s="1832"/>
      <c r="C3" s="1833"/>
      <c r="D3" s="1220"/>
      <c r="E3" s="1797" t="s">
        <v>1404</v>
      </c>
      <c r="F3" s="1803" t="s">
        <v>570</v>
      </c>
      <c r="G3" s="1804"/>
      <c r="H3" s="1805"/>
      <c r="I3" s="1794" t="s">
        <v>571</v>
      </c>
      <c r="J3" s="1795"/>
      <c r="K3" s="1796"/>
      <c r="L3" s="1794" t="s">
        <v>1029</v>
      </c>
      <c r="M3" s="1795"/>
      <c r="N3" s="1796"/>
      <c r="O3" s="1220"/>
      <c r="P3" s="1797" t="s">
        <v>1404</v>
      </c>
      <c r="Q3" s="1794" t="s">
        <v>570</v>
      </c>
      <c r="R3" s="1795"/>
      <c r="S3" s="1796"/>
      <c r="T3" s="1794" t="s">
        <v>571</v>
      </c>
      <c r="U3" s="1795"/>
      <c r="V3" s="1796"/>
      <c r="W3" s="1794" t="s">
        <v>1029</v>
      </c>
      <c r="X3" s="1795"/>
      <c r="Y3" s="1796"/>
      <c r="Z3" s="1220"/>
      <c r="AA3" s="1797" t="s">
        <v>1404</v>
      </c>
      <c r="AB3" s="1794" t="s">
        <v>570</v>
      </c>
      <c r="AC3" s="1795"/>
      <c r="AD3" s="1796"/>
      <c r="AE3" s="1794" t="s">
        <v>571</v>
      </c>
      <c r="AF3" s="1795"/>
      <c r="AG3" s="1796"/>
      <c r="AH3" s="1794" t="s">
        <v>1029</v>
      </c>
      <c r="AI3" s="1795"/>
      <c r="AJ3" s="1796"/>
      <c r="AK3" s="1294"/>
      <c r="AL3" s="1797" t="s">
        <v>1404</v>
      </c>
      <c r="AM3" s="1794" t="s">
        <v>570</v>
      </c>
      <c r="AN3" s="1795"/>
      <c r="AO3" s="1796"/>
      <c r="AP3" s="1794" t="s">
        <v>571</v>
      </c>
      <c r="AQ3" s="1795"/>
      <c r="AR3" s="1796"/>
      <c r="AS3" s="1794" t="s">
        <v>1029</v>
      </c>
      <c r="AT3" s="1795"/>
      <c r="AU3" s="1796"/>
      <c r="AV3" s="1220"/>
      <c r="AW3" s="1797" t="s">
        <v>1404</v>
      </c>
      <c r="AX3" s="1794" t="s">
        <v>570</v>
      </c>
      <c r="AY3" s="1795"/>
      <c r="AZ3" s="1796"/>
      <c r="BA3" s="1794" t="s">
        <v>571</v>
      </c>
      <c r="BB3" s="1795"/>
      <c r="BC3" s="1796"/>
      <c r="BD3" s="1794" t="s">
        <v>1029</v>
      </c>
      <c r="BE3" s="1795"/>
      <c r="BF3" s="1796"/>
      <c r="BG3" s="1220"/>
      <c r="BH3" s="1797" t="s">
        <v>1404</v>
      </c>
      <c r="BI3" s="1794" t="s">
        <v>570</v>
      </c>
      <c r="BJ3" s="1795"/>
      <c r="BK3" s="1796"/>
      <c r="BL3" s="1794" t="s">
        <v>571</v>
      </c>
      <c r="BM3" s="1795"/>
      <c r="BN3" s="1796"/>
      <c r="BO3" s="1794" t="s">
        <v>1029</v>
      </c>
      <c r="BP3" s="1795"/>
      <c r="BQ3" s="1796"/>
      <c r="BR3" s="1220"/>
      <c r="BS3" s="1797" t="s">
        <v>1404</v>
      </c>
      <c r="BT3" s="1794" t="s">
        <v>570</v>
      </c>
      <c r="BU3" s="1795"/>
      <c r="BV3" s="1796"/>
      <c r="BW3" s="1794" t="s">
        <v>571</v>
      </c>
      <c r="BX3" s="1795"/>
      <c r="BY3" s="1796"/>
      <c r="BZ3" s="1794" t="s">
        <v>1029</v>
      </c>
      <c r="CA3" s="1795"/>
      <c r="CB3" s="1796"/>
      <c r="CC3" s="1220"/>
      <c r="CD3" s="1292"/>
      <c r="CE3" s="1220"/>
      <c r="CF3" s="1220"/>
      <c r="CG3" s="1220"/>
      <c r="CH3" s="1220"/>
      <c r="CI3" s="1220"/>
      <c r="CJ3" s="1220"/>
      <c r="CK3" s="1220"/>
      <c r="CL3" s="1220"/>
      <c r="CM3" s="1220"/>
      <c r="CN3" s="1220"/>
      <c r="CO3" s="1220"/>
      <c r="CP3" s="1220"/>
      <c r="CQ3" s="1220"/>
      <c r="CR3" s="1220"/>
      <c r="CS3" s="1220"/>
      <c r="CT3" s="1220"/>
      <c r="CU3" s="1220"/>
      <c r="CV3" s="1220"/>
      <c r="CW3" s="1220"/>
      <c r="CX3" s="1220"/>
      <c r="CY3" s="1220"/>
      <c r="CZ3" s="1220"/>
      <c r="DA3" s="1220"/>
      <c r="DB3" s="1220"/>
      <c r="DC3" s="1220"/>
      <c r="DD3" s="1220"/>
      <c r="DE3" s="1220"/>
      <c r="DF3" s="1220"/>
      <c r="DG3" s="1220"/>
      <c r="DH3" s="1220"/>
      <c r="DI3" s="1220"/>
      <c r="DJ3" s="1220"/>
      <c r="DK3" s="1220"/>
      <c r="DL3" s="1220"/>
      <c r="DM3" s="1220"/>
      <c r="DN3" s="1220"/>
      <c r="DO3" s="1220"/>
      <c r="DP3" s="1220"/>
      <c r="DQ3" s="1220"/>
      <c r="DR3" s="1220"/>
      <c r="DS3" s="1220"/>
      <c r="DT3" s="1220"/>
      <c r="DU3" s="1220"/>
      <c r="DV3" s="1220"/>
      <c r="DW3" s="1220"/>
      <c r="DX3" s="1220"/>
      <c r="DY3" s="1220"/>
      <c r="DZ3" s="1220"/>
      <c r="EA3" s="1220"/>
      <c r="EB3" s="1220"/>
      <c r="EC3" s="1220"/>
      <c r="ED3" s="1220"/>
      <c r="EE3" s="1220"/>
      <c r="EF3" s="1220"/>
      <c r="EG3" s="1220"/>
      <c r="EH3" s="1220"/>
      <c r="EI3" s="1220"/>
      <c r="EJ3" s="1220"/>
      <c r="EK3" s="1220"/>
      <c r="EL3" s="1220"/>
      <c r="EM3" s="1220"/>
      <c r="EN3" s="1220"/>
      <c r="EO3" s="1220"/>
      <c r="EP3" s="1220"/>
      <c r="EQ3" s="1220"/>
      <c r="ER3" s="1220"/>
      <c r="ES3" s="1220"/>
      <c r="ET3" s="1220"/>
      <c r="EU3" s="1220"/>
      <c r="EV3" s="1220"/>
      <c r="EW3" s="1220"/>
      <c r="EX3" s="1220"/>
      <c r="EY3" s="1220"/>
      <c r="EZ3" s="1220"/>
      <c r="FA3" s="1220"/>
      <c r="FB3" s="1220"/>
      <c r="FC3" s="1220"/>
      <c r="FD3" s="1220"/>
      <c r="FE3" s="1220"/>
      <c r="FF3" s="1853"/>
      <c r="FG3" s="1854"/>
      <c r="FH3" s="1854"/>
      <c r="FI3" s="1855"/>
      <c r="FJ3" s="1220"/>
      <c r="FK3" s="1220"/>
      <c r="FL3" s="1853"/>
      <c r="FM3" s="1854"/>
      <c r="FN3" s="1854"/>
      <c r="FO3" s="1855"/>
    </row>
    <row r="4" spans="1:173" ht="16.5" customHeight="1" thickBot="1">
      <c r="A4" s="1291"/>
      <c r="B4" s="1832"/>
      <c r="C4" s="1833"/>
      <c r="D4" s="1220"/>
      <c r="E4" s="1798"/>
      <c r="F4" s="1806" t="s">
        <v>1400</v>
      </c>
      <c r="G4" s="1807"/>
      <c r="H4" s="1808"/>
      <c r="I4" s="1811" t="s">
        <v>1400</v>
      </c>
      <c r="J4" s="1812"/>
      <c r="K4" s="1813"/>
      <c r="L4" s="1811" t="s">
        <v>1400</v>
      </c>
      <c r="M4" s="1812"/>
      <c r="N4" s="1813"/>
      <c r="O4" s="1220"/>
      <c r="P4" s="1798"/>
      <c r="Q4" s="1836" t="s">
        <v>1400</v>
      </c>
      <c r="R4" s="1837"/>
      <c r="S4" s="1838"/>
      <c r="T4" s="1811" t="s">
        <v>1400</v>
      </c>
      <c r="U4" s="1812"/>
      <c r="V4" s="1813"/>
      <c r="W4" s="1811" t="s">
        <v>1400</v>
      </c>
      <c r="X4" s="1812"/>
      <c r="Y4" s="1813"/>
      <c r="Z4" s="1220"/>
      <c r="AA4" s="1798"/>
      <c r="AB4" s="1836" t="s">
        <v>1400</v>
      </c>
      <c r="AC4" s="1837"/>
      <c r="AD4" s="1838"/>
      <c r="AE4" s="1811" t="s">
        <v>1400</v>
      </c>
      <c r="AF4" s="1812"/>
      <c r="AG4" s="1813"/>
      <c r="AH4" s="1811" t="s">
        <v>1400</v>
      </c>
      <c r="AI4" s="1812"/>
      <c r="AJ4" s="1813"/>
      <c r="AK4" s="1114"/>
      <c r="AL4" s="1798"/>
      <c r="AM4" s="1836" t="s">
        <v>1400</v>
      </c>
      <c r="AN4" s="1837"/>
      <c r="AO4" s="1838"/>
      <c r="AP4" s="1811" t="s">
        <v>1400</v>
      </c>
      <c r="AQ4" s="1812"/>
      <c r="AR4" s="1813"/>
      <c r="AS4" s="1811" t="s">
        <v>1400</v>
      </c>
      <c r="AT4" s="1812"/>
      <c r="AU4" s="1813"/>
      <c r="AV4" s="1220"/>
      <c r="AW4" s="1798"/>
      <c r="AX4" s="1836" t="s">
        <v>1400</v>
      </c>
      <c r="AY4" s="1837"/>
      <c r="AZ4" s="1838"/>
      <c r="BA4" s="1811" t="s">
        <v>1400</v>
      </c>
      <c r="BB4" s="1812"/>
      <c r="BC4" s="1813"/>
      <c r="BD4" s="1811" t="s">
        <v>1400</v>
      </c>
      <c r="BE4" s="1812"/>
      <c r="BF4" s="1813"/>
      <c r="BG4" s="1220"/>
      <c r="BH4" s="1798"/>
      <c r="BI4" s="1836" t="s">
        <v>1400</v>
      </c>
      <c r="BJ4" s="1837"/>
      <c r="BK4" s="1838"/>
      <c r="BL4" s="1811" t="s">
        <v>1400</v>
      </c>
      <c r="BM4" s="1812"/>
      <c r="BN4" s="1813"/>
      <c r="BO4" s="1811" t="s">
        <v>1400</v>
      </c>
      <c r="BP4" s="1812"/>
      <c r="BQ4" s="1813"/>
      <c r="BR4" s="1220"/>
      <c r="BS4" s="1798"/>
      <c r="BT4" s="1836" t="s">
        <v>1400</v>
      </c>
      <c r="BU4" s="1837"/>
      <c r="BV4" s="1838"/>
      <c r="BW4" s="1811" t="s">
        <v>1400</v>
      </c>
      <c r="BX4" s="1812"/>
      <c r="BY4" s="1813"/>
      <c r="BZ4" s="1811" t="s">
        <v>1400</v>
      </c>
      <c r="CA4" s="1812"/>
      <c r="CB4" s="1813"/>
      <c r="CC4" s="1220"/>
      <c r="CD4" s="1295"/>
      <c r="CE4" s="1220"/>
      <c r="CF4" s="1220"/>
      <c r="CG4" s="1220"/>
      <c r="CH4" s="1220"/>
      <c r="CI4" s="1220"/>
      <c r="CJ4" s="1220"/>
      <c r="CK4" s="1220"/>
      <c r="CL4" s="1220"/>
      <c r="CM4" s="1220"/>
      <c r="CN4" s="1220"/>
      <c r="CO4" s="1220"/>
      <c r="CP4" s="1220"/>
      <c r="CQ4" s="1220"/>
      <c r="CR4" s="1220"/>
      <c r="CS4" s="1220"/>
      <c r="CT4" s="1220"/>
      <c r="CU4" s="1220"/>
      <c r="CV4" s="1220"/>
      <c r="CW4" s="1220"/>
      <c r="CX4" s="1220"/>
      <c r="CY4" s="1220"/>
      <c r="CZ4" s="1220"/>
      <c r="DA4" s="1220"/>
      <c r="DB4" s="1220"/>
      <c r="DC4" s="1220"/>
      <c r="DD4" s="1220"/>
      <c r="DE4" s="1220"/>
      <c r="DF4" s="1220"/>
      <c r="DG4" s="1220"/>
      <c r="DH4" s="1220"/>
      <c r="DI4" s="1220"/>
      <c r="DJ4" s="1220"/>
      <c r="DK4" s="1220"/>
      <c r="DL4" s="1220"/>
      <c r="DM4" s="1220"/>
      <c r="DN4" s="1220"/>
      <c r="DO4" s="1220"/>
      <c r="DP4" s="1220"/>
      <c r="DQ4" s="1220"/>
      <c r="DR4" s="1220"/>
      <c r="DS4" s="1220"/>
      <c r="DT4" s="1220"/>
      <c r="DU4" s="1220"/>
      <c r="DV4" s="1220"/>
      <c r="DW4" s="1220"/>
      <c r="DX4" s="1220"/>
      <c r="DY4" s="1220"/>
      <c r="DZ4" s="1220"/>
      <c r="EA4" s="1220"/>
      <c r="EB4" s="1220"/>
      <c r="EC4" s="1220"/>
      <c r="ED4" s="1220"/>
      <c r="EE4" s="1220"/>
      <c r="EF4" s="1220"/>
      <c r="EG4" s="1220"/>
      <c r="EH4" s="1220"/>
      <c r="EI4" s="1220"/>
      <c r="EJ4" s="1220"/>
      <c r="EK4" s="1220"/>
      <c r="EL4" s="1220"/>
      <c r="EM4" s="1220"/>
      <c r="EN4" s="1220"/>
      <c r="EO4" s="1220"/>
      <c r="EP4" s="1220"/>
      <c r="EQ4" s="1220"/>
      <c r="ER4" s="1220"/>
      <c r="ES4" s="1220"/>
      <c r="ET4" s="1220"/>
      <c r="EU4" s="1220"/>
      <c r="EV4" s="1220"/>
      <c r="EW4" s="1220"/>
      <c r="EX4" s="1220"/>
      <c r="EY4" s="1220"/>
      <c r="EZ4" s="1220"/>
      <c r="FA4" s="1220"/>
      <c r="FB4" s="1220"/>
      <c r="FC4" s="1220"/>
      <c r="FD4" s="1220"/>
      <c r="FE4" s="1220"/>
      <c r="FF4" s="1856"/>
      <c r="FG4" s="1857"/>
      <c r="FH4" s="1857"/>
      <c r="FI4" s="1858"/>
      <c r="FJ4" s="1220"/>
      <c r="FK4" s="1220"/>
      <c r="FL4" s="1856"/>
      <c r="FM4" s="1857"/>
      <c r="FN4" s="1857"/>
      <c r="FO4" s="1858"/>
    </row>
    <row r="5" spans="1:173" ht="20.100000000000001" customHeight="1" thickBot="1">
      <c r="A5" s="1291"/>
      <c r="B5" s="1826" t="s">
        <v>1412</v>
      </c>
      <c r="C5" s="1827"/>
      <c r="D5" s="1075"/>
      <c r="E5" s="1799"/>
      <c r="F5" s="1792" t="s">
        <v>1389</v>
      </c>
      <c r="G5" s="1792" t="s">
        <v>1387</v>
      </c>
      <c r="H5" s="1834" t="s">
        <v>1388</v>
      </c>
      <c r="I5" s="1818" t="s">
        <v>1389</v>
      </c>
      <c r="J5" s="1820" t="s">
        <v>1387</v>
      </c>
      <c r="K5" s="1822" t="s">
        <v>1388</v>
      </c>
      <c r="L5" s="1824" t="s">
        <v>1389</v>
      </c>
      <c r="M5" s="1809" t="s">
        <v>1387</v>
      </c>
      <c r="N5" s="1800" t="s">
        <v>1388</v>
      </c>
      <c r="O5" s="1597"/>
      <c r="P5" s="1799"/>
      <c r="Q5" s="1792" t="s">
        <v>1401</v>
      </c>
      <c r="R5" s="1792" t="s">
        <v>1402</v>
      </c>
      <c r="S5" s="1792" t="s">
        <v>1403</v>
      </c>
      <c r="T5" s="1818" t="s">
        <v>1401</v>
      </c>
      <c r="U5" s="1820" t="s">
        <v>1402</v>
      </c>
      <c r="V5" s="1822" t="s">
        <v>1403</v>
      </c>
      <c r="W5" s="1824" t="s">
        <v>1401</v>
      </c>
      <c r="X5" s="1809" t="s">
        <v>1402</v>
      </c>
      <c r="Y5" s="1800" t="s">
        <v>1403</v>
      </c>
      <c r="Z5" s="1067"/>
      <c r="AA5" s="1799"/>
      <c r="AB5" s="1792" t="s">
        <v>1389</v>
      </c>
      <c r="AC5" s="1792" t="s">
        <v>1387</v>
      </c>
      <c r="AD5" s="1834" t="s">
        <v>1388</v>
      </c>
      <c r="AE5" s="1818" t="s">
        <v>1389</v>
      </c>
      <c r="AF5" s="1820" t="s">
        <v>1387</v>
      </c>
      <c r="AG5" s="1822" t="s">
        <v>1388</v>
      </c>
      <c r="AH5" s="1824" t="s">
        <v>1389</v>
      </c>
      <c r="AI5" s="1809" t="s">
        <v>1387</v>
      </c>
      <c r="AJ5" s="1800" t="s">
        <v>1388</v>
      </c>
      <c r="AK5" s="1075"/>
      <c r="AL5" s="1799"/>
      <c r="AM5" s="1792" t="s">
        <v>1401</v>
      </c>
      <c r="AN5" s="1792" t="s">
        <v>1402</v>
      </c>
      <c r="AO5" s="1792" t="s">
        <v>1403</v>
      </c>
      <c r="AP5" s="1818" t="s">
        <v>1401</v>
      </c>
      <c r="AQ5" s="1820" t="s">
        <v>1402</v>
      </c>
      <c r="AR5" s="1822" t="s">
        <v>1403</v>
      </c>
      <c r="AS5" s="1824" t="s">
        <v>1401</v>
      </c>
      <c r="AT5" s="1809" t="s">
        <v>1402</v>
      </c>
      <c r="AU5" s="1800" t="s">
        <v>1403</v>
      </c>
      <c r="AV5" s="1067"/>
      <c r="AW5" s="1799"/>
      <c r="AX5" s="1792" t="s">
        <v>1389</v>
      </c>
      <c r="AY5" s="1792" t="s">
        <v>1387</v>
      </c>
      <c r="AZ5" s="1834" t="s">
        <v>1388</v>
      </c>
      <c r="BA5" s="1818" t="s">
        <v>1389</v>
      </c>
      <c r="BB5" s="1820" t="s">
        <v>1387</v>
      </c>
      <c r="BC5" s="1822" t="s">
        <v>1388</v>
      </c>
      <c r="BD5" s="1824" t="s">
        <v>1389</v>
      </c>
      <c r="BE5" s="1809" t="s">
        <v>1387</v>
      </c>
      <c r="BF5" s="1800" t="s">
        <v>1388</v>
      </c>
      <c r="BG5" s="1075"/>
      <c r="BH5" s="1799"/>
      <c r="BI5" s="1792" t="s">
        <v>1389</v>
      </c>
      <c r="BJ5" s="1792" t="s">
        <v>1387</v>
      </c>
      <c r="BK5" s="1834" t="s">
        <v>1388</v>
      </c>
      <c r="BL5" s="1818" t="s">
        <v>1389</v>
      </c>
      <c r="BM5" s="1820" t="s">
        <v>1387</v>
      </c>
      <c r="BN5" s="1822" t="s">
        <v>1388</v>
      </c>
      <c r="BO5" s="1824" t="s">
        <v>1389</v>
      </c>
      <c r="BP5" s="1809" t="s">
        <v>1387</v>
      </c>
      <c r="BQ5" s="1800" t="s">
        <v>1388</v>
      </c>
      <c r="BR5" s="1075"/>
      <c r="BS5" s="1799"/>
      <c r="BT5" s="1792" t="s">
        <v>1401</v>
      </c>
      <c r="BU5" s="1792" t="s">
        <v>1402</v>
      </c>
      <c r="BV5" s="1792" t="s">
        <v>1403</v>
      </c>
      <c r="BW5" s="1818" t="s">
        <v>1401</v>
      </c>
      <c r="BX5" s="1820" t="s">
        <v>1402</v>
      </c>
      <c r="BY5" s="1822" t="s">
        <v>1403</v>
      </c>
      <c r="BZ5" s="1824" t="s">
        <v>1401</v>
      </c>
      <c r="CA5" s="1809" t="s">
        <v>1402</v>
      </c>
      <c r="CB5" s="1800" t="s">
        <v>1403</v>
      </c>
      <c r="CC5" s="1163"/>
      <c r="CD5" s="1606" t="s">
        <v>1054</v>
      </c>
      <c r="CE5" s="1842"/>
      <c r="CF5" s="1842"/>
      <c r="CG5" s="1843"/>
      <c r="CH5" s="1064"/>
      <c r="CI5" s="1606" t="s">
        <v>557</v>
      </c>
      <c r="CJ5" s="1842"/>
      <c r="CK5" s="1842"/>
      <c r="CL5" s="1843"/>
      <c r="CM5" s="1064"/>
      <c r="CN5" s="1586" t="s">
        <v>558</v>
      </c>
      <c r="CO5" s="1587"/>
      <c r="CP5" s="1587"/>
      <c r="CQ5" s="1588"/>
      <c r="CR5" s="1064"/>
      <c r="CS5" s="1586" t="s">
        <v>559</v>
      </c>
      <c r="CT5" s="1587"/>
      <c r="CU5" s="1587"/>
      <c r="CV5" s="1588"/>
      <c r="CW5" s="1071"/>
      <c r="CX5" s="1586" t="s">
        <v>560</v>
      </c>
      <c r="CY5" s="1587"/>
      <c r="CZ5" s="1587"/>
      <c r="DA5" s="1588"/>
      <c r="DB5" s="1075"/>
      <c r="DC5" s="1586" t="s">
        <v>561</v>
      </c>
      <c r="DD5" s="1587"/>
      <c r="DE5" s="1587"/>
      <c r="DF5" s="1588"/>
      <c r="DG5" s="1072"/>
      <c r="DH5" s="1586" t="s">
        <v>563</v>
      </c>
      <c r="DI5" s="1587"/>
      <c r="DJ5" s="1587"/>
      <c r="DK5" s="1588"/>
      <c r="DL5" s="1075"/>
      <c r="DM5" s="1586" t="s">
        <v>562</v>
      </c>
      <c r="DN5" s="1587"/>
      <c r="DO5" s="1587"/>
      <c r="DP5" s="1588"/>
      <c r="DQ5" s="1296"/>
      <c r="DR5" s="1586" t="s">
        <v>564</v>
      </c>
      <c r="DS5" s="1587"/>
      <c r="DT5" s="1587"/>
      <c r="DU5" s="1588"/>
      <c r="DV5" s="1064"/>
      <c r="DW5" s="1594" t="s">
        <v>565</v>
      </c>
      <c r="DX5" s="1595"/>
      <c r="DY5" s="1595"/>
      <c r="DZ5" s="1596"/>
      <c r="EA5" s="1075"/>
      <c r="EB5" s="1594" t="s">
        <v>566</v>
      </c>
      <c r="EC5" s="1595"/>
      <c r="ED5" s="1595"/>
      <c r="EE5" s="1596"/>
      <c r="EF5" s="1064"/>
      <c r="EG5" s="1586" t="s">
        <v>567</v>
      </c>
      <c r="EH5" s="1587"/>
      <c r="EI5" s="1587"/>
      <c r="EJ5" s="1588"/>
      <c r="EK5" s="1064"/>
      <c r="EL5" s="1586" t="s">
        <v>568</v>
      </c>
      <c r="EM5" s="1587"/>
      <c r="EN5" s="1587"/>
      <c r="EO5" s="1588"/>
      <c r="EP5" s="1064"/>
      <c r="EQ5" s="1586" t="s">
        <v>569</v>
      </c>
      <c r="ER5" s="1587"/>
      <c r="ES5" s="1587"/>
      <c r="ET5" s="1588"/>
      <c r="EU5" s="1064"/>
      <c r="EV5" s="1586" t="s">
        <v>1010</v>
      </c>
      <c r="EW5" s="1587"/>
      <c r="EX5" s="1587"/>
      <c r="EY5" s="1588"/>
      <c r="EZ5" s="1220"/>
      <c r="FA5" s="1586" t="s">
        <v>1011</v>
      </c>
      <c r="FB5" s="1587"/>
      <c r="FC5" s="1587"/>
      <c r="FD5" s="1588"/>
      <c r="FE5" s="1220"/>
      <c r="FF5" s="1586" t="s">
        <v>1014</v>
      </c>
      <c r="FG5" s="1587"/>
      <c r="FH5" s="1587"/>
      <c r="FI5" s="1588"/>
      <c r="FJ5" s="1220"/>
      <c r="FK5" s="1220"/>
      <c r="FL5" s="1845" t="s">
        <v>1180</v>
      </c>
      <c r="FM5" s="1846"/>
      <c r="FN5" s="1846"/>
      <c r="FO5" s="1847"/>
      <c r="FP5" s="59"/>
      <c r="FQ5" s="796"/>
    </row>
    <row r="6" spans="1:173" ht="17.25" customHeight="1" thickBot="1">
      <c r="A6" s="1291"/>
      <c r="B6" s="1297"/>
      <c r="C6" s="1298"/>
      <c r="D6" s="1170"/>
      <c r="E6" s="1299" t="s">
        <v>206</v>
      </c>
      <c r="F6" s="1793"/>
      <c r="G6" s="1793"/>
      <c r="H6" s="1835"/>
      <c r="I6" s="1819"/>
      <c r="J6" s="1821"/>
      <c r="K6" s="1823"/>
      <c r="L6" s="1825"/>
      <c r="M6" s="1810"/>
      <c r="N6" s="1801"/>
      <c r="O6" s="1597"/>
      <c r="P6" s="1299" t="s">
        <v>206</v>
      </c>
      <c r="Q6" s="1793"/>
      <c r="R6" s="1793"/>
      <c r="S6" s="1793"/>
      <c r="T6" s="1819"/>
      <c r="U6" s="1821"/>
      <c r="V6" s="1823"/>
      <c r="W6" s="1825"/>
      <c r="X6" s="1810"/>
      <c r="Y6" s="1801"/>
      <c r="Z6" s="1067"/>
      <c r="AA6" s="1299" t="s">
        <v>206</v>
      </c>
      <c r="AB6" s="1793"/>
      <c r="AC6" s="1793"/>
      <c r="AD6" s="1835"/>
      <c r="AE6" s="1819"/>
      <c r="AF6" s="1821"/>
      <c r="AG6" s="1823"/>
      <c r="AH6" s="1825"/>
      <c r="AI6" s="1810"/>
      <c r="AJ6" s="1801"/>
      <c r="AK6" s="1170"/>
      <c r="AL6" s="1299" t="s">
        <v>206</v>
      </c>
      <c r="AM6" s="1793"/>
      <c r="AN6" s="1793"/>
      <c r="AO6" s="1793"/>
      <c r="AP6" s="1819"/>
      <c r="AQ6" s="1821"/>
      <c r="AR6" s="1823"/>
      <c r="AS6" s="1825"/>
      <c r="AT6" s="1810"/>
      <c r="AU6" s="1801"/>
      <c r="AV6" s="1067"/>
      <c r="AW6" s="1299" t="s">
        <v>206</v>
      </c>
      <c r="AX6" s="1793"/>
      <c r="AY6" s="1793"/>
      <c r="AZ6" s="1835"/>
      <c r="BA6" s="1819"/>
      <c r="BB6" s="1821"/>
      <c r="BC6" s="1823"/>
      <c r="BD6" s="1825"/>
      <c r="BE6" s="1810"/>
      <c r="BF6" s="1801"/>
      <c r="BG6" s="1170"/>
      <c r="BH6" s="1299" t="s">
        <v>206</v>
      </c>
      <c r="BI6" s="1793"/>
      <c r="BJ6" s="1793"/>
      <c r="BK6" s="1835"/>
      <c r="BL6" s="1819"/>
      <c r="BM6" s="1821"/>
      <c r="BN6" s="1823"/>
      <c r="BO6" s="1825"/>
      <c r="BP6" s="1810"/>
      <c r="BQ6" s="1801"/>
      <c r="BR6" s="1170"/>
      <c r="BS6" s="1299" t="s">
        <v>206</v>
      </c>
      <c r="BT6" s="1793"/>
      <c r="BU6" s="1793"/>
      <c r="BV6" s="1793"/>
      <c r="BW6" s="1819"/>
      <c r="BX6" s="1821"/>
      <c r="BY6" s="1823"/>
      <c r="BZ6" s="1825"/>
      <c r="CA6" s="1810"/>
      <c r="CB6" s="1801"/>
      <c r="CC6" s="1163"/>
      <c r="CD6" s="1235" t="s">
        <v>206</v>
      </c>
      <c r="CE6" s="1235" t="s">
        <v>570</v>
      </c>
      <c r="CF6" s="1235" t="s">
        <v>571</v>
      </c>
      <c r="CG6" s="1235" t="s">
        <v>1029</v>
      </c>
      <c r="CH6" s="1083"/>
      <c r="CI6" s="1235" t="s">
        <v>206</v>
      </c>
      <c r="CJ6" s="1235" t="s">
        <v>570</v>
      </c>
      <c r="CK6" s="1235" t="s">
        <v>571</v>
      </c>
      <c r="CL6" s="1235" t="s">
        <v>1029</v>
      </c>
      <c r="CM6" s="1083"/>
      <c r="CN6" s="1235" t="s">
        <v>206</v>
      </c>
      <c r="CO6" s="1235" t="s">
        <v>570</v>
      </c>
      <c r="CP6" s="1235" t="s">
        <v>571</v>
      </c>
      <c r="CQ6" s="1235" t="s">
        <v>1029</v>
      </c>
      <c r="CR6" s="1072"/>
      <c r="CS6" s="1235" t="s">
        <v>206</v>
      </c>
      <c r="CT6" s="1235" t="s">
        <v>570</v>
      </c>
      <c r="CU6" s="1235" t="s">
        <v>571</v>
      </c>
      <c r="CV6" s="1235" t="s">
        <v>1029</v>
      </c>
      <c r="CW6" s="1088"/>
      <c r="CX6" s="1235" t="s">
        <v>206</v>
      </c>
      <c r="CY6" s="1235" t="s">
        <v>570</v>
      </c>
      <c r="CZ6" s="1235" t="s">
        <v>1029</v>
      </c>
      <c r="DA6" s="1235" t="s">
        <v>572</v>
      </c>
      <c r="DB6" s="1170"/>
      <c r="DC6" s="1235" t="s">
        <v>206</v>
      </c>
      <c r="DD6" s="1235" t="s">
        <v>570</v>
      </c>
      <c r="DE6" s="1235" t="s">
        <v>571</v>
      </c>
      <c r="DF6" s="1235" t="s">
        <v>1029</v>
      </c>
      <c r="DG6" s="1089"/>
      <c r="DH6" s="1235" t="s">
        <v>206</v>
      </c>
      <c r="DI6" s="1235" t="s">
        <v>570</v>
      </c>
      <c r="DJ6" s="1235" t="s">
        <v>571</v>
      </c>
      <c r="DK6" s="1235" t="s">
        <v>1029</v>
      </c>
      <c r="DL6" s="1170"/>
      <c r="DM6" s="1235" t="s">
        <v>206</v>
      </c>
      <c r="DN6" s="1235" t="s">
        <v>570</v>
      </c>
      <c r="DO6" s="1235" t="s">
        <v>571</v>
      </c>
      <c r="DP6" s="1235" t="s">
        <v>1029</v>
      </c>
      <c r="DQ6" s="1170"/>
      <c r="DR6" s="1235" t="s">
        <v>206</v>
      </c>
      <c r="DS6" s="1235" t="s">
        <v>570</v>
      </c>
      <c r="DT6" s="1235" t="s">
        <v>571</v>
      </c>
      <c r="DU6" s="1235" t="s">
        <v>1029</v>
      </c>
      <c r="DV6" s="1096"/>
      <c r="DW6" s="1235" t="s">
        <v>206</v>
      </c>
      <c r="DX6" s="1235" t="s">
        <v>570</v>
      </c>
      <c r="DY6" s="1235" t="s">
        <v>571</v>
      </c>
      <c r="DZ6" s="1235" t="s">
        <v>1029</v>
      </c>
      <c r="EA6" s="1170"/>
      <c r="EB6" s="1235" t="s">
        <v>206</v>
      </c>
      <c r="EC6" s="1235" t="s">
        <v>570</v>
      </c>
      <c r="ED6" s="1235" t="s">
        <v>571</v>
      </c>
      <c r="EE6" s="1235" t="s">
        <v>572</v>
      </c>
      <c r="EF6" s="1096"/>
      <c r="EG6" s="1235" t="s">
        <v>206</v>
      </c>
      <c r="EH6" s="1235" t="s">
        <v>570</v>
      </c>
      <c r="EI6" s="1235" t="s">
        <v>571</v>
      </c>
      <c r="EJ6" s="1235" t="s">
        <v>572</v>
      </c>
      <c r="EK6" s="1096"/>
      <c r="EL6" s="1235" t="s">
        <v>206</v>
      </c>
      <c r="EM6" s="1235" t="s">
        <v>570</v>
      </c>
      <c r="EN6" s="1235" t="s">
        <v>571</v>
      </c>
      <c r="EO6" s="1235" t="s">
        <v>1029</v>
      </c>
      <c r="EP6" s="1096"/>
      <c r="EQ6" s="1235" t="s">
        <v>206</v>
      </c>
      <c r="ER6" s="1235" t="s">
        <v>570</v>
      </c>
      <c r="ES6" s="1235" t="s">
        <v>571</v>
      </c>
      <c r="ET6" s="1235" t="s">
        <v>1029</v>
      </c>
      <c r="EU6" s="1096"/>
      <c r="EV6" s="1235" t="s">
        <v>206</v>
      </c>
      <c r="EW6" s="1235" t="s">
        <v>570</v>
      </c>
      <c r="EX6" s="1235" t="s">
        <v>571</v>
      </c>
      <c r="EY6" s="1235" t="s">
        <v>1029</v>
      </c>
      <c r="EZ6" s="1220"/>
      <c r="FA6" s="1235" t="s">
        <v>206</v>
      </c>
      <c r="FB6" s="1235" t="s">
        <v>570</v>
      </c>
      <c r="FC6" s="1235" t="s">
        <v>571</v>
      </c>
      <c r="FD6" s="1235" t="s">
        <v>1029</v>
      </c>
      <c r="FE6" s="1220"/>
      <c r="FF6" s="1235" t="s">
        <v>206</v>
      </c>
      <c r="FG6" s="1235" t="s">
        <v>570</v>
      </c>
      <c r="FH6" s="1235" t="s">
        <v>571</v>
      </c>
      <c r="FI6" s="1235" t="s">
        <v>1029</v>
      </c>
      <c r="FJ6" s="1220"/>
      <c r="FK6" s="1220"/>
      <c r="FL6" s="1235" t="s">
        <v>206</v>
      </c>
      <c r="FM6" s="1235" t="s">
        <v>570</v>
      </c>
      <c r="FN6" s="1235" t="s">
        <v>571</v>
      </c>
      <c r="FO6" s="1235" t="s">
        <v>1029</v>
      </c>
      <c r="FP6" s="58"/>
      <c r="FQ6" s="796"/>
    </row>
    <row r="7" spans="1:173" ht="15" customHeight="1">
      <c r="A7" s="1291"/>
      <c r="B7" s="1300" t="s">
        <v>1416</v>
      </c>
      <c r="C7" s="1240">
        <v>0</v>
      </c>
      <c r="D7" s="1114"/>
      <c r="E7" s="1125" t="s">
        <v>74</v>
      </c>
      <c r="F7" s="1301"/>
      <c r="G7" s="1302"/>
      <c r="H7" s="1303"/>
      <c r="I7" s="1304"/>
      <c r="J7" s="1305"/>
      <c r="K7" s="1306"/>
      <c r="L7" s="1307"/>
      <c r="M7" s="1242"/>
      <c r="N7" s="1243"/>
      <c r="O7" s="1597"/>
      <c r="P7" s="1125" t="s">
        <v>74</v>
      </c>
      <c r="Q7" s="1301"/>
      <c r="R7" s="1302"/>
      <c r="S7" s="1303"/>
      <c r="T7" s="1304"/>
      <c r="U7" s="1305"/>
      <c r="V7" s="1306"/>
      <c r="W7" s="1307"/>
      <c r="X7" s="1242"/>
      <c r="Y7" s="1243"/>
      <c r="Z7" s="1067"/>
      <c r="AA7" s="1308" t="s">
        <v>74</v>
      </c>
      <c r="AB7" s="1301"/>
      <c r="AC7" s="1302"/>
      <c r="AD7" s="1303"/>
      <c r="AE7" s="1304"/>
      <c r="AF7" s="1305"/>
      <c r="AG7" s="1306"/>
      <c r="AH7" s="1307"/>
      <c r="AI7" s="1242"/>
      <c r="AJ7" s="1243"/>
      <c r="AK7" s="1114"/>
      <c r="AL7" s="1309" t="s">
        <v>74</v>
      </c>
      <c r="AM7" s="1301"/>
      <c r="AN7" s="1302"/>
      <c r="AO7" s="1303"/>
      <c r="AP7" s="1304"/>
      <c r="AQ7" s="1305"/>
      <c r="AR7" s="1306"/>
      <c r="AS7" s="1307"/>
      <c r="AT7" s="1242"/>
      <c r="AU7" s="1243"/>
      <c r="AV7" s="1067"/>
      <c r="AW7" s="1308" t="s">
        <v>74</v>
      </c>
      <c r="AX7" s="1301"/>
      <c r="AY7" s="1302"/>
      <c r="AZ7" s="1303"/>
      <c r="BA7" s="1304"/>
      <c r="BB7" s="1305"/>
      <c r="BC7" s="1306"/>
      <c r="BD7" s="1307"/>
      <c r="BE7" s="1242"/>
      <c r="BF7" s="1243"/>
      <c r="BG7" s="1114"/>
      <c r="BH7" s="1308" t="s">
        <v>74</v>
      </c>
      <c r="BI7" s="1301"/>
      <c r="BJ7" s="1302"/>
      <c r="BK7" s="1303"/>
      <c r="BL7" s="1304"/>
      <c r="BM7" s="1305"/>
      <c r="BN7" s="1306"/>
      <c r="BO7" s="1307"/>
      <c r="BP7" s="1242"/>
      <c r="BQ7" s="1243"/>
      <c r="BR7" s="1114"/>
      <c r="BS7" s="1308" t="s">
        <v>74</v>
      </c>
      <c r="BT7" s="1301"/>
      <c r="BU7" s="1302"/>
      <c r="BV7" s="1303"/>
      <c r="BW7" s="1304"/>
      <c r="BX7" s="1305"/>
      <c r="BY7" s="1306"/>
      <c r="BZ7" s="1307"/>
      <c r="CA7" s="1242"/>
      <c r="CB7" s="1243"/>
      <c r="CC7" s="1163"/>
      <c r="CD7" s="1125" t="s">
        <v>74</v>
      </c>
      <c r="CE7" s="1110"/>
      <c r="CF7" s="1111"/>
      <c r="CG7" s="1185"/>
      <c r="CH7" s="1112"/>
      <c r="CI7" s="1125" t="s">
        <v>74</v>
      </c>
      <c r="CJ7" s="1180"/>
      <c r="CK7" s="1181"/>
      <c r="CL7" s="1182"/>
      <c r="CM7" s="1112"/>
      <c r="CN7" s="1125" t="s">
        <v>74</v>
      </c>
      <c r="CO7" s="1180"/>
      <c r="CP7" s="1181"/>
      <c r="CQ7" s="1182"/>
      <c r="CR7" s="1114"/>
      <c r="CS7" s="1125" t="s">
        <v>74</v>
      </c>
      <c r="CT7" s="1180"/>
      <c r="CU7" s="1181"/>
      <c r="CV7" s="1182"/>
      <c r="CW7" s="1112"/>
      <c r="CX7" s="1125" t="s">
        <v>74</v>
      </c>
      <c r="CY7" s="1180"/>
      <c r="CZ7" s="1181"/>
      <c r="DA7" s="1182"/>
      <c r="DB7" s="1114"/>
      <c r="DC7" s="1125" t="s">
        <v>74</v>
      </c>
      <c r="DD7" s="1180"/>
      <c r="DE7" s="1181"/>
      <c r="DF7" s="1182"/>
      <c r="DG7" s="1114"/>
      <c r="DH7" s="1125" t="s">
        <v>74</v>
      </c>
      <c r="DI7" s="1180"/>
      <c r="DJ7" s="1181"/>
      <c r="DK7" s="1182"/>
      <c r="DL7" s="1114"/>
      <c r="DM7" s="1125" t="s">
        <v>74</v>
      </c>
      <c r="DN7" s="1180"/>
      <c r="DO7" s="1181"/>
      <c r="DP7" s="1182"/>
      <c r="DQ7" s="1114"/>
      <c r="DR7" s="1125" t="s">
        <v>74</v>
      </c>
      <c r="DS7" s="1180"/>
      <c r="DT7" s="1181"/>
      <c r="DU7" s="1182"/>
      <c r="DV7" s="1116"/>
      <c r="DW7" s="1183" t="s">
        <v>74</v>
      </c>
      <c r="DX7" s="1186"/>
      <c r="DY7" s="1181"/>
      <c r="DZ7" s="1182"/>
      <c r="EA7" s="1114"/>
      <c r="EB7" s="1183" t="s">
        <v>74</v>
      </c>
      <c r="EC7" s="1186"/>
      <c r="ED7" s="1181"/>
      <c r="EE7" s="1182"/>
      <c r="EF7" s="1116"/>
      <c r="EG7" s="1125" t="s">
        <v>74</v>
      </c>
      <c r="EH7" s="1180"/>
      <c r="EI7" s="1181"/>
      <c r="EJ7" s="1182"/>
      <c r="EK7" s="1116"/>
      <c r="EL7" s="1125" t="s">
        <v>74</v>
      </c>
      <c r="EM7" s="1180"/>
      <c r="EN7" s="1181"/>
      <c r="EO7" s="1182"/>
      <c r="EP7" s="1116"/>
      <c r="EQ7" s="1125" t="s">
        <v>74</v>
      </c>
      <c r="ER7" s="1180"/>
      <c r="ES7" s="1181"/>
      <c r="ET7" s="1182"/>
      <c r="EU7" s="1116"/>
      <c r="EV7" s="1125" t="s">
        <v>74</v>
      </c>
      <c r="EW7" s="1180"/>
      <c r="EX7" s="1181"/>
      <c r="EY7" s="1182"/>
      <c r="EZ7" s="1220"/>
      <c r="FA7" s="1125" t="s">
        <v>74</v>
      </c>
      <c r="FB7" s="1180"/>
      <c r="FC7" s="1181"/>
      <c r="FD7" s="1182"/>
      <c r="FE7" s="1220"/>
      <c r="FF7" s="1125" t="s">
        <v>74</v>
      </c>
      <c r="FG7" s="1180"/>
      <c r="FH7" s="1181"/>
      <c r="FI7" s="1182"/>
      <c r="FJ7" s="1220"/>
      <c r="FK7" s="1220"/>
      <c r="FL7" s="1125" t="s">
        <v>74</v>
      </c>
      <c r="FM7" s="1180"/>
      <c r="FN7" s="1181"/>
      <c r="FO7" s="1182"/>
      <c r="FP7" s="38"/>
      <c r="FQ7" s="796"/>
    </row>
    <row r="8" spans="1:173" ht="15" customHeight="1">
      <c r="A8" s="1291"/>
      <c r="B8" s="1310" t="s">
        <v>1417</v>
      </c>
      <c r="C8" s="1240">
        <v>0</v>
      </c>
      <c r="D8" s="1114"/>
      <c r="E8" s="1193" t="s">
        <v>75</v>
      </c>
      <c r="F8" s="1311"/>
      <c r="G8" s="1184"/>
      <c r="H8" s="1266"/>
      <c r="I8" s="1312"/>
      <c r="J8" s="1181"/>
      <c r="K8" s="1313"/>
      <c r="L8" s="1314"/>
      <c r="M8" s="1185"/>
      <c r="N8" s="1260"/>
      <c r="O8" s="1597"/>
      <c r="P8" s="1193" t="s">
        <v>75</v>
      </c>
      <c r="Q8" s="1311"/>
      <c r="R8" s="1184"/>
      <c r="S8" s="1266"/>
      <c r="T8" s="1312"/>
      <c r="U8" s="1181"/>
      <c r="V8" s="1313"/>
      <c r="W8" s="1314"/>
      <c r="X8" s="1185"/>
      <c r="Y8" s="1260"/>
      <c r="Z8" s="1067"/>
      <c r="AA8" s="1315" t="s">
        <v>75</v>
      </c>
      <c r="AB8" s="1311"/>
      <c r="AC8" s="1184"/>
      <c r="AD8" s="1266"/>
      <c r="AE8" s="1312"/>
      <c r="AF8" s="1181"/>
      <c r="AG8" s="1313"/>
      <c r="AH8" s="1314"/>
      <c r="AI8" s="1185"/>
      <c r="AJ8" s="1260"/>
      <c r="AK8" s="1114"/>
      <c r="AL8" s="1316" t="s">
        <v>75</v>
      </c>
      <c r="AM8" s="1311"/>
      <c r="AN8" s="1184"/>
      <c r="AO8" s="1266"/>
      <c r="AP8" s="1312"/>
      <c r="AQ8" s="1181"/>
      <c r="AR8" s="1313"/>
      <c r="AS8" s="1314"/>
      <c r="AT8" s="1185"/>
      <c r="AU8" s="1260"/>
      <c r="AV8" s="1067"/>
      <c r="AW8" s="1315" t="s">
        <v>75</v>
      </c>
      <c r="AX8" s="1311"/>
      <c r="AY8" s="1184"/>
      <c r="AZ8" s="1266"/>
      <c r="BA8" s="1312"/>
      <c r="BB8" s="1181"/>
      <c r="BC8" s="1313"/>
      <c r="BD8" s="1314"/>
      <c r="BE8" s="1185"/>
      <c r="BF8" s="1260"/>
      <c r="BG8" s="1114"/>
      <c r="BH8" s="1315" t="s">
        <v>75</v>
      </c>
      <c r="BI8" s="1311"/>
      <c r="BJ8" s="1184"/>
      <c r="BK8" s="1266"/>
      <c r="BL8" s="1312"/>
      <c r="BM8" s="1181"/>
      <c r="BN8" s="1313"/>
      <c r="BO8" s="1314"/>
      <c r="BP8" s="1185"/>
      <c r="BQ8" s="1260"/>
      <c r="BR8" s="1114"/>
      <c r="BS8" s="1315" t="s">
        <v>75</v>
      </c>
      <c r="BT8" s="1311"/>
      <c r="BU8" s="1184"/>
      <c r="BV8" s="1266"/>
      <c r="BW8" s="1312"/>
      <c r="BX8" s="1181"/>
      <c r="BY8" s="1313"/>
      <c r="BZ8" s="1314"/>
      <c r="CA8" s="1185"/>
      <c r="CB8" s="1260"/>
      <c r="CC8" s="1163"/>
      <c r="CD8" s="1193" t="s">
        <v>75</v>
      </c>
      <c r="CE8" s="1110"/>
      <c r="CF8" s="1111"/>
      <c r="CG8" s="1185"/>
      <c r="CH8" s="1112"/>
      <c r="CI8" s="1193" t="s">
        <v>75</v>
      </c>
      <c r="CJ8" s="1184"/>
      <c r="CK8" s="1111"/>
      <c r="CL8" s="1185"/>
      <c r="CM8" s="1112"/>
      <c r="CN8" s="1193" t="s">
        <v>75</v>
      </c>
      <c r="CO8" s="1184"/>
      <c r="CP8" s="1111"/>
      <c r="CQ8" s="1185"/>
      <c r="CR8" s="1114"/>
      <c r="CS8" s="1193" t="s">
        <v>75</v>
      </c>
      <c r="CT8" s="1180"/>
      <c r="CU8" s="1111"/>
      <c r="CV8" s="1185"/>
      <c r="CW8" s="1112"/>
      <c r="CX8" s="1193" t="s">
        <v>75</v>
      </c>
      <c r="CY8" s="1184"/>
      <c r="CZ8" s="1111"/>
      <c r="DA8" s="1185"/>
      <c r="DB8" s="1114"/>
      <c r="DC8" s="1193" t="s">
        <v>75</v>
      </c>
      <c r="DD8" s="1184"/>
      <c r="DE8" s="1111"/>
      <c r="DF8" s="1185"/>
      <c r="DG8" s="1114"/>
      <c r="DH8" s="1193" t="s">
        <v>75</v>
      </c>
      <c r="DI8" s="1184"/>
      <c r="DJ8" s="1111"/>
      <c r="DK8" s="1185"/>
      <c r="DL8" s="1114"/>
      <c r="DM8" s="1193" t="s">
        <v>75</v>
      </c>
      <c r="DN8" s="1184"/>
      <c r="DO8" s="1111"/>
      <c r="DP8" s="1185"/>
      <c r="DQ8" s="1114"/>
      <c r="DR8" s="1193" t="s">
        <v>75</v>
      </c>
      <c r="DS8" s="1184"/>
      <c r="DT8" s="1111"/>
      <c r="DU8" s="1185"/>
      <c r="DV8" s="1128"/>
      <c r="DW8" s="1193" t="s">
        <v>75</v>
      </c>
      <c r="DX8" s="1110"/>
      <c r="DY8" s="1111"/>
      <c r="DZ8" s="1185"/>
      <c r="EA8" s="1114"/>
      <c r="EB8" s="1193" t="s">
        <v>75</v>
      </c>
      <c r="EC8" s="1110"/>
      <c r="ED8" s="1111"/>
      <c r="EE8" s="1185"/>
      <c r="EF8" s="1128"/>
      <c r="EG8" s="1193" t="s">
        <v>75</v>
      </c>
      <c r="EH8" s="1184"/>
      <c r="EI8" s="1111"/>
      <c r="EJ8" s="1185"/>
      <c r="EK8" s="1128"/>
      <c r="EL8" s="1193" t="s">
        <v>75</v>
      </c>
      <c r="EM8" s="1184"/>
      <c r="EN8" s="1111"/>
      <c r="EO8" s="1185"/>
      <c r="EP8" s="1128"/>
      <c r="EQ8" s="1193" t="s">
        <v>75</v>
      </c>
      <c r="ER8" s="1184"/>
      <c r="ES8" s="1111"/>
      <c r="ET8" s="1185"/>
      <c r="EU8" s="1128"/>
      <c r="EV8" s="1193" t="s">
        <v>75</v>
      </c>
      <c r="EW8" s="1184"/>
      <c r="EX8" s="1111"/>
      <c r="EY8" s="1185"/>
      <c r="EZ8" s="1220"/>
      <c r="FA8" s="1193" t="s">
        <v>75</v>
      </c>
      <c r="FB8" s="1184"/>
      <c r="FC8" s="1111"/>
      <c r="FD8" s="1185"/>
      <c r="FE8" s="1220"/>
      <c r="FF8" s="1193" t="s">
        <v>75</v>
      </c>
      <c r="FG8" s="1184"/>
      <c r="FH8" s="1111"/>
      <c r="FI8" s="1185"/>
      <c r="FJ8" s="1220"/>
      <c r="FK8" s="1220"/>
      <c r="FL8" s="1193" t="s">
        <v>75</v>
      </c>
      <c r="FM8" s="1184"/>
      <c r="FN8" s="1111"/>
      <c r="FO8" s="1185"/>
      <c r="FP8" s="38"/>
      <c r="FQ8" s="796"/>
    </row>
    <row r="9" spans="1:173" ht="15" customHeight="1">
      <c r="A9" s="1291"/>
      <c r="B9" s="1300" t="s">
        <v>1418</v>
      </c>
      <c r="C9" s="1240">
        <v>0</v>
      </c>
      <c r="D9" s="1114"/>
      <c r="E9" s="1125" t="s">
        <v>76</v>
      </c>
      <c r="F9" s="1311"/>
      <c r="G9" s="1184"/>
      <c r="H9" s="1266"/>
      <c r="I9" s="1312"/>
      <c r="J9" s="1181"/>
      <c r="K9" s="1313"/>
      <c r="L9" s="1314"/>
      <c r="M9" s="1185"/>
      <c r="N9" s="1260"/>
      <c r="O9" s="1597"/>
      <c r="P9" s="1125" t="s">
        <v>76</v>
      </c>
      <c r="Q9" s="1311"/>
      <c r="R9" s="1184"/>
      <c r="S9" s="1266"/>
      <c r="T9" s="1312"/>
      <c r="U9" s="1181"/>
      <c r="V9" s="1313"/>
      <c r="W9" s="1314"/>
      <c r="X9" s="1185"/>
      <c r="Y9" s="1260"/>
      <c r="Z9" s="1067"/>
      <c r="AA9" s="1317" t="s">
        <v>76</v>
      </c>
      <c r="AB9" s="1311"/>
      <c r="AC9" s="1184"/>
      <c r="AD9" s="1266"/>
      <c r="AE9" s="1312"/>
      <c r="AF9" s="1181"/>
      <c r="AG9" s="1313"/>
      <c r="AH9" s="1314"/>
      <c r="AI9" s="1185"/>
      <c r="AJ9" s="1260"/>
      <c r="AK9" s="1114"/>
      <c r="AL9" s="1318" t="s">
        <v>76</v>
      </c>
      <c r="AM9" s="1311"/>
      <c r="AN9" s="1184"/>
      <c r="AO9" s="1266"/>
      <c r="AP9" s="1312"/>
      <c r="AQ9" s="1181"/>
      <c r="AR9" s="1313"/>
      <c r="AS9" s="1314"/>
      <c r="AT9" s="1185"/>
      <c r="AU9" s="1260"/>
      <c r="AV9" s="1067"/>
      <c r="AW9" s="1317" t="s">
        <v>76</v>
      </c>
      <c r="AX9" s="1311"/>
      <c r="AY9" s="1184"/>
      <c r="AZ9" s="1266"/>
      <c r="BA9" s="1312"/>
      <c r="BB9" s="1181"/>
      <c r="BC9" s="1313"/>
      <c r="BD9" s="1314"/>
      <c r="BE9" s="1185"/>
      <c r="BF9" s="1260"/>
      <c r="BG9" s="1114"/>
      <c r="BH9" s="1317" t="s">
        <v>76</v>
      </c>
      <c r="BI9" s="1311"/>
      <c r="BJ9" s="1184"/>
      <c r="BK9" s="1266"/>
      <c r="BL9" s="1312"/>
      <c r="BM9" s="1181"/>
      <c r="BN9" s="1313"/>
      <c r="BO9" s="1314"/>
      <c r="BP9" s="1185"/>
      <c r="BQ9" s="1260"/>
      <c r="BR9" s="1114"/>
      <c r="BS9" s="1317" t="s">
        <v>76</v>
      </c>
      <c r="BT9" s="1311"/>
      <c r="BU9" s="1184"/>
      <c r="BV9" s="1266"/>
      <c r="BW9" s="1312"/>
      <c r="BX9" s="1181"/>
      <c r="BY9" s="1313"/>
      <c r="BZ9" s="1314"/>
      <c r="CA9" s="1185"/>
      <c r="CB9" s="1260"/>
      <c r="CC9" s="1163"/>
      <c r="CD9" s="1125" t="s">
        <v>76</v>
      </c>
      <c r="CE9" s="1110"/>
      <c r="CF9" s="1111"/>
      <c r="CG9" s="1185"/>
      <c r="CH9" s="1112"/>
      <c r="CI9" s="1125" t="s">
        <v>76</v>
      </c>
      <c r="CJ9" s="1184"/>
      <c r="CK9" s="1111"/>
      <c r="CL9" s="1185"/>
      <c r="CM9" s="1112"/>
      <c r="CN9" s="1125" t="s">
        <v>76</v>
      </c>
      <c r="CO9" s="1184"/>
      <c r="CP9" s="1111"/>
      <c r="CQ9" s="1185"/>
      <c r="CR9" s="1114"/>
      <c r="CS9" s="1125" t="s">
        <v>76</v>
      </c>
      <c r="CT9" s="1184"/>
      <c r="CU9" s="1111"/>
      <c r="CV9" s="1185"/>
      <c r="CW9" s="1112"/>
      <c r="CX9" s="1125" t="s">
        <v>76</v>
      </c>
      <c r="CY9" s="1184"/>
      <c r="CZ9" s="1111"/>
      <c r="DA9" s="1185"/>
      <c r="DB9" s="1114"/>
      <c r="DC9" s="1125" t="s">
        <v>76</v>
      </c>
      <c r="DD9" s="1184"/>
      <c r="DE9" s="1111"/>
      <c r="DF9" s="1185"/>
      <c r="DG9" s="1114"/>
      <c r="DH9" s="1125" t="s">
        <v>76</v>
      </c>
      <c r="DI9" s="1184"/>
      <c r="DJ9" s="1111"/>
      <c r="DK9" s="1185"/>
      <c r="DL9" s="1114"/>
      <c r="DM9" s="1125" t="s">
        <v>76</v>
      </c>
      <c r="DN9" s="1184"/>
      <c r="DO9" s="1111"/>
      <c r="DP9" s="1185"/>
      <c r="DQ9" s="1114"/>
      <c r="DR9" s="1125" t="s">
        <v>76</v>
      </c>
      <c r="DS9" s="1184"/>
      <c r="DT9" s="1111"/>
      <c r="DU9" s="1185"/>
      <c r="DV9" s="1128"/>
      <c r="DW9" s="1125" t="s">
        <v>76</v>
      </c>
      <c r="DX9" s="1110"/>
      <c r="DY9" s="1111"/>
      <c r="DZ9" s="1185"/>
      <c r="EA9" s="1114"/>
      <c r="EB9" s="1125" t="s">
        <v>76</v>
      </c>
      <c r="EC9" s="1110"/>
      <c r="ED9" s="1111"/>
      <c r="EE9" s="1185"/>
      <c r="EF9" s="1128"/>
      <c r="EG9" s="1125" t="s">
        <v>76</v>
      </c>
      <c r="EH9" s="1184"/>
      <c r="EI9" s="1111"/>
      <c r="EJ9" s="1185"/>
      <c r="EK9" s="1128"/>
      <c r="EL9" s="1125" t="s">
        <v>76</v>
      </c>
      <c r="EM9" s="1184"/>
      <c r="EN9" s="1111"/>
      <c r="EO9" s="1185"/>
      <c r="EP9" s="1128"/>
      <c r="EQ9" s="1125" t="s">
        <v>76</v>
      </c>
      <c r="ER9" s="1184"/>
      <c r="ES9" s="1111"/>
      <c r="ET9" s="1185"/>
      <c r="EU9" s="1128"/>
      <c r="EV9" s="1125" t="s">
        <v>76</v>
      </c>
      <c r="EW9" s="1184"/>
      <c r="EX9" s="1111"/>
      <c r="EY9" s="1185"/>
      <c r="EZ9" s="1220"/>
      <c r="FA9" s="1125" t="s">
        <v>76</v>
      </c>
      <c r="FB9" s="1184"/>
      <c r="FC9" s="1111"/>
      <c r="FD9" s="1185"/>
      <c r="FE9" s="1220"/>
      <c r="FF9" s="1125" t="s">
        <v>76</v>
      </c>
      <c r="FG9" s="1184"/>
      <c r="FH9" s="1111"/>
      <c r="FI9" s="1185"/>
      <c r="FJ9" s="1220"/>
      <c r="FK9" s="1220"/>
      <c r="FL9" s="1125" t="s">
        <v>76</v>
      </c>
      <c r="FM9" s="1184"/>
      <c r="FN9" s="1111"/>
      <c r="FO9" s="1185"/>
      <c r="FP9" s="38"/>
      <c r="FQ9" s="796"/>
    </row>
    <row r="10" spans="1:173" ht="15" customHeight="1">
      <c r="A10" s="1291"/>
      <c r="B10" s="1319" t="s">
        <v>1061</v>
      </c>
      <c r="C10" s="1240">
        <v>0</v>
      </c>
      <c r="D10" s="1114"/>
      <c r="E10" s="1193" t="s">
        <v>77</v>
      </c>
      <c r="F10" s="1311"/>
      <c r="G10" s="1184"/>
      <c r="H10" s="1266"/>
      <c r="I10" s="1312"/>
      <c r="J10" s="1181"/>
      <c r="K10" s="1313"/>
      <c r="L10" s="1314"/>
      <c r="M10" s="1185"/>
      <c r="N10" s="1260"/>
      <c r="O10" s="1597"/>
      <c r="P10" s="1193" t="s">
        <v>77</v>
      </c>
      <c r="Q10" s="1311"/>
      <c r="R10" s="1184"/>
      <c r="S10" s="1266"/>
      <c r="T10" s="1312"/>
      <c r="U10" s="1181"/>
      <c r="V10" s="1313"/>
      <c r="W10" s="1314"/>
      <c r="X10" s="1185"/>
      <c r="Y10" s="1260"/>
      <c r="Z10" s="1067"/>
      <c r="AA10" s="1315" t="s">
        <v>77</v>
      </c>
      <c r="AB10" s="1311"/>
      <c r="AC10" s="1184"/>
      <c r="AD10" s="1266"/>
      <c r="AE10" s="1312"/>
      <c r="AF10" s="1181"/>
      <c r="AG10" s="1313"/>
      <c r="AH10" s="1314"/>
      <c r="AI10" s="1185"/>
      <c r="AJ10" s="1260"/>
      <c r="AK10" s="1114"/>
      <c r="AL10" s="1316" t="s">
        <v>77</v>
      </c>
      <c r="AM10" s="1311"/>
      <c r="AN10" s="1184"/>
      <c r="AO10" s="1266"/>
      <c r="AP10" s="1312"/>
      <c r="AQ10" s="1181"/>
      <c r="AR10" s="1313"/>
      <c r="AS10" s="1314"/>
      <c r="AT10" s="1185"/>
      <c r="AU10" s="1260"/>
      <c r="AV10" s="1067"/>
      <c r="AW10" s="1315" t="s">
        <v>77</v>
      </c>
      <c r="AX10" s="1311"/>
      <c r="AY10" s="1184"/>
      <c r="AZ10" s="1266"/>
      <c r="BA10" s="1312"/>
      <c r="BB10" s="1181"/>
      <c r="BC10" s="1313"/>
      <c r="BD10" s="1314"/>
      <c r="BE10" s="1185"/>
      <c r="BF10" s="1260"/>
      <c r="BG10" s="1114"/>
      <c r="BH10" s="1315" t="s">
        <v>77</v>
      </c>
      <c r="BI10" s="1311"/>
      <c r="BJ10" s="1184"/>
      <c r="BK10" s="1266"/>
      <c r="BL10" s="1312"/>
      <c r="BM10" s="1181"/>
      <c r="BN10" s="1313"/>
      <c r="BO10" s="1314"/>
      <c r="BP10" s="1185"/>
      <c r="BQ10" s="1260"/>
      <c r="BR10" s="1114"/>
      <c r="BS10" s="1315" t="s">
        <v>77</v>
      </c>
      <c r="BT10" s="1311"/>
      <c r="BU10" s="1184"/>
      <c r="BV10" s="1266"/>
      <c r="BW10" s="1312"/>
      <c r="BX10" s="1181"/>
      <c r="BY10" s="1313"/>
      <c r="BZ10" s="1314"/>
      <c r="CA10" s="1185"/>
      <c r="CB10" s="1260"/>
      <c r="CC10" s="1163"/>
      <c r="CD10" s="1193" t="s">
        <v>77</v>
      </c>
      <c r="CE10" s="1110"/>
      <c r="CF10" s="1111"/>
      <c r="CG10" s="1185"/>
      <c r="CH10" s="1112"/>
      <c r="CI10" s="1193" t="s">
        <v>77</v>
      </c>
      <c r="CJ10" s="1184"/>
      <c r="CK10" s="1111"/>
      <c r="CL10" s="1185"/>
      <c r="CM10" s="1112"/>
      <c r="CN10" s="1193" t="s">
        <v>77</v>
      </c>
      <c r="CO10" s="1184"/>
      <c r="CP10" s="1111"/>
      <c r="CQ10" s="1185"/>
      <c r="CR10" s="1114"/>
      <c r="CS10" s="1193" t="s">
        <v>77</v>
      </c>
      <c r="CT10" s="1184"/>
      <c r="CU10" s="1111"/>
      <c r="CV10" s="1185"/>
      <c r="CW10" s="1112"/>
      <c r="CX10" s="1193" t="s">
        <v>77</v>
      </c>
      <c r="CY10" s="1184"/>
      <c r="CZ10" s="1111"/>
      <c r="DA10" s="1185"/>
      <c r="DB10" s="1114"/>
      <c r="DC10" s="1193" t="s">
        <v>77</v>
      </c>
      <c r="DD10" s="1184"/>
      <c r="DE10" s="1111"/>
      <c r="DF10" s="1185"/>
      <c r="DG10" s="1114"/>
      <c r="DH10" s="1193" t="s">
        <v>77</v>
      </c>
      <c r="DI10" s="1184"/>
      <c r="DJ10" s="1111"/>
      <c r="DK10" s="1185"/>
      <c r="DL10" s="1114"/>
      <c r="DM10" s="1193" t="s">
        <v>77</v>
      </c>
      <c r="DN10" s="1184"/>
      <c r="DO10" s="1111"/>
      <c r="DP10" s="1185"/>
      <c r="DQ10" s="1114"/>
      <c r="DR10" s="1193" t="s">
        <v>77</v>
      </c>
      <c r="DS10" s="1184"/>
      <c r="DT10" s="1111"/>
      <c r="DU10" s="1185"/>
      <c r="DV10" s="1128"/>
      <c r="DW10" s="1193" t="s">
        <v>77</v>
      </c>
      <c r="DX10" s="1110"/>
      <c r="DY10" s="1111"/>
      <c r="DZ10" s="1185"/>
      <c r="EA10" s="1114"/>
      <c r="EB10" s="1193" t="s">
        <v>77</v>
      </c>
      <c r="EC10" s="1110"/>
      <c r="ED10" s="1111"/>
      <c r="EE10" s="1185"/>
      <c r="EF10" s="1128"/>
      <c r="EG10" s="1193" t="s">
        <v>77</v>
      </c>
      <c r="EH10" s="1184"/>
      <c r="EI10" s="1111"/>
      <c r="EJ10" s="1185"/>
      <c r="EK10" s="1128"/>
      <c r="EL10" s="1193" t="s">
        <v>77</v>
      </c>
      <c r="EM10" s="1184"/>
      <c r="EN10" s="1111"/>
      <c r="EO10" s="1185"/>
      <c r="EP10" s="1128"/>
      <c r="EQ10" s="1193" t="s">
        <v>77</v>
      </c>
      <c r="ER10" s="1184"/>
      <c r="ES10" s="1111"/>
      <c r="ET10" s="1185"/>
      <c r="EU10" s="1128"/>
      <c r="EV10" s="1193" t="s">
        <v>77</v>
      </c>
      <c r="EW10" s="1184"/>
      <c r="EX10" s="1111"/>
      <c r="EY10" s="1185"/>
      <c r="EZ10" s="1220"/>
      <c r="FA10" s="1193" t="s">
        <v>77</v>
      </c>
      <c r="FB10" s="1184"/>
      <c r="FC10" s="1111"/>
      <c r="FD10" s="1185"/>
      <c r="FE10" s="1220"/>
      <c r="FF10" s="1193" t="s">
        <v>77</v>
      </c>
      <c r="FG10" s="1184"/>
      <c r="FH10" s="1111"/>
      <c r="FI10" s="1185"/>
      <c r="FJ10" s="1220"/>
      <c r="FK10" s="1220"/>
      <c r="FL10" s="1193" t="s">
        <v>77</v>
      </c>
      <c r="FM10" s="1184"/>
      <c r="FN10" s="1111"/>
      <c r="FO10" s="1185"/>
      <c r="FP10" s="38"/>
      <c r="FQ10" s="796"/>
    </row>
    <row r="11" spans="1:173" ht="15" customHeight="1">
      <c r="A11" s="1291"/>
      <c r="B11" s="1320" t="s">
        <v>1062</v>
      </c>
      <c r="C11" s="1240">
        <v>0</v>
      </c>
      <c r="D11" s="1114"/>
      <c r="E11" s="1125" t="s">
        <v>100</v>
      </c>
      <c r="F11" s="1311"/>
      <c r="G11" s="1184"/>
      <c r="H11" s="1266"/>
      <c r="I11" s="1312"/>
      <c r="J11" s="1181"/>
      <c r="K11" s="1313"/>
      <c r="L11" s="1314"/>
      <c r="M11" s="1185"/>
      <c r="N11" s="1260"/>
      <c r="O11" s="1597"/>
      <c r="P11" s="1125" t="s">
        <v>100</v>
      </c>
      <c r="Q11" s="1311"/>
      <c r="R11" s="1184"/>
      <c r="S11" s="1266"/>
      <c r="T11" s="1312"/>
      <c r="U11" s="1181"/>
      <c r="V11" s="1313"/>
      <c r="W11" s="1314"/>
      <c r="X11" s="1185"/>
      <c r="Y11" s="1260"/>
      <c r="Z11" s="1067"/>
      <c r="AA11" s="1317" t="s">
        <v>100</v>
      </c>
      <c r="AB11" s="1311"/>
      <c r="AC11" s="1184"/>
      <c r="AD11" s="1266"/>
      <c r="AE11" s="1312"/>
      <c r="AF11" s="1181"/>
      <c r="AG11" s="1313"/>
      <c r="AH11" s="1314"/>
      <c r="AI11" s="1185"/>
      <c r="AJ11" s="1260"/>
      <c r="AK11" s="1114"/>
      <c r="AL11" s="1318" t="s">
        <v>100</v>
      </c>
      <c r="AM11" s="1311"/>
      <c r="AN11" s="1184"/>
      <c r="AO11" s="1266"/>
      <c r="AP11" s="1312"/>
      <c r="AQ11" s="1181"/>
      <c r="AR11" s="1313"/>
      <c r="AS11" s="1314"/>
      <c r="AT11" s="1185"/>
      <c r="AU11" s="1260"/>
      <c r="AV11" s="1067"/>
      <c r="AW11" s="1317" t="s">
        <v>100</v>
      </c>
      <c r="AX11" s="1311"/>
      <c r="AY11" s="1184"/>
      <c r="AZ11" s="1266"/>
      <c r="BA11" s="1312"/>
      <c r="BB11" s="1181"/>
      <c r="BC11" s="1313"/>
      <c r="BD11" s="1314"/>
      <c r="BE11" s="1185"/>
      <c r="BF11" s="1260"/>
      <c r="BG11" s="1114"/>
      <c r="BH11" s="1317" t="s">
        <v>100</v>
      </c>
      <c r="BI11" s="1311"/>
      <c r="BJ11" s="1184"/>
      <c r="BK11" s="1266"/>
      <c r="BL11" s="1312"/>
      <c r="BM11" s="1181"/>
      <c r="BN11" s="1313"/>
      <c r="BO11" s="1314"/>
      <c r="BP11" s="1185"/>
      <c r="BQ11" s="1260"/>
      <c r="BR11" s="1114"/>
      <c r="BS11" s="1317" t="s">
        <v>100</v>
      </c>
      <c r="BT11" s="1311"/>
      <c r="BU11" s="1184"/>
      <c r="BV11" s="1266"/>
      <c r="BW11" s="1312"/>
      <c r="BX11" s="1181"/>
      <c r="BY11" s="1313"/>
      <c r="BZ11" s="1314"/>
      <c r="CA11" s="1185"/>
      <c r="CB11" s="1260"/>
      <c r="CC11" s="1163"/>
      <c r="CD11" s="1125" t="s">
        <v>100</v>
      </c>
      <c r="CE11" s="1110"/>
      <c r="CF11" s="1111"/>
      <c r="CG11" s="1185"/>
      <c r="CH11" s="1112"/>
      <c r="CI11" s="1125" t="s">
        <v>100</v>
      </c>
      <c r="CJ11" s="1184"/>
      <c r="CK11" s="1111"/>
      <c r="CL11" s="1185"/>
      <c r="CM11" s="1112"/>
      <c r="CN11" s="1125" t="s">
        <v>100</v>
      </c>
      <c r="CO11" s="1184"/>
      <c r="CP11" s="1111"/>
      <c r="CQ11" s="1185"/>
      <c r="CR11" s="1114"/>
      <c r="CS11" s="1125" t="s">
        <v>100</v>
      </c>
      <c r="CT11" s="1184"/>
      <c r="CU11" s="1111"/>
      <c r="CV11" s="1185"/>
      <c r="CW11" s="1112"/>
      <c r="CX11" s="1125" t="s">
        <v>100</v>
      </c>
      <c r="CY11" s="1184"/>
      <c r="CZ11" s="1111"/>
      <c r="DA11" s="1185"/>
      <c r="DB11" s="1114"/>
      <c r="DC11" s="1125" t="s">
        <v>100</v>
      </c>
      <c r="DD11" s="1184"/>
      <c r="DE11" s="1111"/>
      <c r="DF11" s="1185"/>
      <c r="DG11" s="1114"/>
      <c r="DH11" s="1125" t="s">
        <v>100</v>
      </c>
      <c r="DI11" s="1184"/>
      <c r="DJ11" s="1111"/>
      <c r="DK11" s="1185"/>
      <c r="DL11" s="1114"/>
      <c r="DM11" s="1125" t="s">
        <v>100</v>
      </c>
      <c r="DN11" s="1184"/>
      <c r="DO11" s="1111"/>
      <c r="DP11" s="1185"/>
      <c r="DQ11" s="1114"/>
      <c r="DR11" s="1125" t="s">
        <v>100</v>
      </c>
      <c r="DS11" s="1184"/>
      <c r="DT11" s="1111"/>
      <c r="DU11" s="1185"/>
      <c r="DV11" s="1128"/>
      <c r="DW11" s="1125" t="s">
        <v>100</v>
      </c>
      <c r="DX11" s="1110"/>
      <c r="DY11" s="1111"/>
      <c r="DZ11" s="1185"/>
      <c r="EA11" s="1114"/>
      <c r="EB11" s="1125" t="s">
        <v>100</v>
      </c>
      <c r="EC11" s="1110"/>
      <c r="ED11" s="1111"/>
      <c r="EE11" s="1185"/>
      <c r="EF11" s="1128"/>
      <c r="EG11" s="1125" t="s">
        <v>100</v>
      </c>
      <c r="EH11" s="1184"/>
      <c r="EI11" s="1111"/>
      <c r="EJ11" s="1185"/>
      <c r="EK11" s="1128"/>
      <c r="EL11" s="1125" t="s">
        <v>100</v>
      </c>
      <c r="EM11" s="1184"/>
      <c r="EN11" s="1111"/>
      <c r="EO11" s="1185"/>
      <c r="EP11" s="1128"/>
      <c r="EQ11" s="1125" t="s">
        <v>100</v>
      </c>
      <c r="ER11" s="1184"/>
      <c r="ES11" s="1111"/>
      <c r="ET11" s="1185"/>
      <c r="EU11" s="1128"/>
      <c r="EV11" s="1125" t="s">
        <v>100</v>
      </c>
      <c r="EW11" s="1184"/>
      <c r="EX11" s="1111"/>
      <c r="EY11" s="1185"/>
      <c r="EZ11" s="1220"/>
      <c r="FA11" s="1125" t="s">
        <v>100</v>
      </c>
      <c r="FB11" s="1184"/>
      <c r="FC11" s="1111"/>
      <c r="FD11" s="1185"/>
      <c r="FE11" s="1220"/>
      <c r="FF11" s="1125" t="s">
        <v>100</v>
      </c>
      <c r="FG11" s="1184"/>
      <c r="FH11" s="1111"/>
      <c r="FI11" s="1185"/>
      <c r="FJ11" s="1220"/>
      <c r="FK11" s="1220"/>
      <c r="FL11" s="1125" t="s">
        <v>100</v>
      </c>
      <c r="FM11" s="1184"/>
      <c r="FN11" s="1111"/>
      <c r="FO11" s="1185"/>
      <c r="FP11" s="38"/>
      <c r="FQ11" s="796"/>
    </row>
    <row r="12" spans="1:173" ht="15" customHeight="1">
      <c r="A12" s="1291"/>
      <c r="B12" s="1321" t="s">
        <v>1056</v>
      </c>
      <c r="C12" s="1240">
        <v>0</v>
      </c>
      <c r="D12" s="1114"/>
      <c r="E12" s="1193" t="s">
        <v>78</v>
      </c>
      <c r="F12" s="1311"/>
      <c r="G12" s="1184"/>
      <c r="H12" s="1266"/>
      <c r="I12" s="1312"/>
      <c r="J12" s="1181"/>
      <c r="K12" s="1313"/>
      <c r="L12" s="1314"/>
      <c r="M12" s="1185"/>
      <c r="N12" s="1260"/>
      <c r="O12" s="1597"/>
      <c r="P12" s="1193" t="s">
        <v>78</v>
      </c>
      <c r="Q12" s="1311"/>
      <c r="R12" s="1184"/>
      <c r="S12" s="1266"/>
      <c r="T12" s="1312"/>
      <c r="U12" s="1181"/>
      <c r="V12" s="1313"/>
      <c r="W12" s="1314"/>
      <c r="X12" s="1185"/>
      <c r="Y12" s="1260"/>
      <c r="Z12" s="1067"/>
      <c r="AA12" s="1315" t="s">
        <v>78</v>
      </c>
      <c r="AB12" s="1311"/>
      <c r="AC12" s="1184"/>
      <c r="AD12" s="1266"/>
      <c r="AE12" s="1312"/>
      <c r="AF12" s="1181"/>
      <c r="AG12" s="1313"/>
      <c r="AH12" s="1314"/>
      <c r="AI12" s="1185"/>
      <c r="AJ12" s="1260"/>
      <c r="AK12" s="1114"/>
      <c r="AL12" s="1316" t="s">
        <v>78</v>
      </c>
      <c r="AM12" s="1311"/>
      <c r="AN12" s="1184"/>
      <c r="AO12" s="1266"/>
      <c r="AP12" s="1312"/>
      <c r="AQ12" s="1181"/>
      <c r="AR12" s="1313"/>
      <c r="AS12" s="1314"/>
      <c r="AT12" s="1185"/>
      <c r="AU12" s="1260"/>
      <c r="AV12" s="1067"/>
      <c r="AW12" s="1315" t="s">
        <v>78</v>
      </c>
      <c r="AX12" s="1311"/>
      <c r="AY12" s="1184"/>
      <c r="AZ12" s="1266"/>
      <c r="BA12" s="1312"/>
      <c r="BB12" s="1181"/>
      <c r="BC12" s="1313"/>
      <c r="BD12" s="1314"/>
      <c r="BE12" s="1185"/>
      <c r="BF12" s="1260"/>
      <c r="BG12" s="1114"/>
      <c r="BH12" s="1315" t="s">
        <v>78</v>
      </c>
      <c r="BI12" s="1311"/>
      <c r="BJ12" s="1184"/>
      <c r="BK12" s="1266"/>
      <c r="BL12" s="1312"/>
      <c r="BM12" s="1181"/>
      <c r="BN12" s="1313"/>
      <c r="BO12" s="1314"/>
      <c r="BP12" s="1185"/>
      <c r="BQ12" s="1260"/>
      <c r="BR12" s="1114"/>
      <c r="BS12" s="1315" t="s">
        <v>78</v>
      </c>
      <c r="BT12" s="1311"/>
      <c r="BU12" s="1184"/>
      <c r="BV12" s="1266"/>
      <c r="BW12" s="1312"/>
      <c r="BX12" s="1181"/>
      <c r="BY12" s="1313"/>
      <c r="BZ12" s="1314"/>
      <c r="CA12" s="1185"/>
      <c r="CB12" s="1260"/>
      <c r="CC12" s="1163"/>
      <c r="CD12" s="1193" t="s">
        <v>78</v>
      </c>
      <c r="CE12" s="1110"/>
      <c r="CF12" s="1111"/>
      <c r="CG12" s="1185"/>
      <c r="CH12" s="1112"/>
      <c r="CI12" s="1193" t="s">
        <v>78</v>
      </c>
      <c r="CJ12" s="1184"/>
      <c r="CK12" s="1111"/>
      <c r="CL12" s="1185"/>
      <c r="CM12" s="1112"/>
      <c r="CN12" s="1193" t="s">
        <v>78</v>
      </c>
      <c r="CO12" s="1184"/>
      <c r="CP12" s="1111"/>
      <c r="CQ12" s="1185"/>
      <c r="CR12" s="1114"/>
      <c r="CS12" s="1193" t="s">
        <v>78</v>
      </c>
      <c r="CT12" s="1184"/>
      <c r="CU12" s="1111"/>
      <c r="CV12" s="1185"/>
      <c r="CW12" s="1112"/>
      <c r="CX12" s="1193" t="s">
        <v>78</v>
      </c>
      <c r="CY12" s="1184"/>
      <c r="CZ12" s="1111"/>
      <c r="DA12" s="1185"/>
      <c r="DB12" s="1114"/>
      <c r="DC12" s="1193" t="s">
        <v>78</v>
      </c>
      <c r="DD12" s="1184"/>
      <c r="DE12" s="1111"/>
      <c r="DF12" s="1185"/>
      <c r="DG12" s="1114"/>
      <c r="DH12" s="1193" t="s">
        <v>78</v>
      </c>
      <c r="DI12" s="1184"/>
      <c r="DJ12" s="1111"/>
      <c r="DK12" s="1185"/>
      <c r="DL12" s="1114"/>
      <c r="DM12" s="1193" t="s">
        <v>78</v>
      </c>
      <c r="DN12" s="1184"/>
      <c r="DO12" s="1111"/>
      <c r="DP12" s="1185"/>
      <c r="DQ12" s="1114"/>
      <c r="DR12" s="1193" t="s">
        <v>78</v>
      </c>
      <c r="DS12" s="1184"/>
      <c r="DT12" s="1111"/>
      <c r="DU12" s="1185"/>
      <c r="DV12" s="1128"/>
      <c r="DW12" s="1193" t="s">
        <v>78</v>
      </c>
      <c r="DX12" s="1184"/>
      <c r="DY12" s="1111"/>
      <c r="DZ12" s="1185"/>
      <c r="EA12" s="1114"/>
      <c r="EB12" s="1193" t="s">
        <v>78</v>
      </c>
      <c r="EC12" s="1110"/>
      <c r="ED12" s="1111"/>
      <c r="EE12" s="1185"/>
      <c r="EF12" s="1128"/>
      <c r="EG12" s="1193" t="s">
        <v>78</v>
      </c>
      <c r="EH12" s="1184"/>
      <c r="EI12" s="1111"/>
      <c r="EJ12" s="1185"/>
      <c r="EK12" s="1128"/>
      <c r="EL12" s="1193" t="s">
        <v>78</v>
      </c>
      <c r="EM12" s="1184"/>
      <c r="EN12" s="1111"/>
      <c r="EO12" s="1185"/>
      <c r="EP12" s="1128"/>
      <c r="EQ12" s="1193" t="s">
        <v>78</v>
      </c>
      <c r="ER12" s="1184"/>
      <c r="ES12" s="1111"/>
      <c r="ET12" s="1185"/>
      <c r="EU12" s="1128"/>
      <c r="EV12" s="1193" t="s">
        <v>78</v>
      </c>
      <c r="EW12" s="1184"/>
      <c r="EX12" s="1111"/>
      <c r="EY12" s="1185"/>
      <c r="EZ12" s="1220"/>
      <c r="FA12" s="1193" t="s">
        <v>78</v>
      </c>
      <c r="FB12" s="1184"/>
      <c r="FC12" s="1111"/>
      <c r="FD12" s="1185"/>
      <c r="FE12" s="1220"/>
      <c r="FF12" s="1193" t="s">
        <v>78</v>
      </c>
      <c r="FG12" s="1184"/>
      <c r="FH12" s="1111"/>
      <c r="FI12" s="1185"/>
      <c r="FJ12" s="1220"/>
      <c r="FK12" s="1220"/>
      <c r="FL12" s="1193" t="s">
        <v>78</v>
      </c>
      <c r="FM12" s="1184"/>
      <c r="FN12" s="1111"/>
      <c r="FO12" s="1185"/>
      <c r="FP12" s="38"/>
      <c r="FQ12" s="796"/>
    </row>
    <row r="13" spans="1:173" ht="15" customHeight="1">
      <c r="A13" s="1291"/>
      <c r="B13" s="1320" t="s">
        <v>1058</v>
      </c>
      <c r="C13" s="1240">
        <v>0</v>
      </c>
      <c r="D13" s="1114"/>
      <c r="E13" s="1125" t="s">
        <v>79</v>
      </c>
      <c r="F13" s="1311"/>
      <c r="G13" s="1184"/>
      <c r="H13" s="1266"/>
      <c r="I13" s="1312"/>
      <c r="J13" s="1181"/>
      <c r="K13" s="1313"/>
      <c r="L13" s="1314"/>
      <c r="M13" s="1185"/>
      <c r="N13" s="1260"/>
      <c r="O13" s="1597"/>
      <c r="P13" s="1125" t="s">
        <v>79</v>
      </c>
      <c r="Q13" s="1311"/>
      <c r="R13" s="1184"/>
      <c r="S13" s="1266"/>
      <c r="T13" s="1312"/>
      <c r="U13" s="1181"/>
      <c r="V13" s="1313"/>
      <c r="W13" s="1314"/>
      <c r="X13" s="1185"/>
      <c r="Y13" s="1260"/>
      <c r="Z13" s="1067"/>
      <c r="AA13" s="1317" t="s">
        <v>79</v>
      </c>
      <c r="AB13" s="1311"/>
      <c r="AC13" s="1184"/>
      <c r="AD13" s="1266"/>
      <c r="AE13" s="1312"/>
      <c r="AF13" s="1181"/>
      <c r="AG13" s="1313"/>
      <c r="AH13" s="1314"/>
      <c r="AI13" s="1185"/>
      <c r="AJ13" s="1260"/>
      <c r="AK13" s="1114"/>
      <c r="AL13" s="1318" t="s">
        <v>79</v>
      </c>
      <c r="AM13" s="1311"/>
      <c r="AN13" s="1184"/>
      <c r="AO13" s="1266"/>
      <c r="AP13" s="1312"/>
      <c r="AQ13" s="1181"/>
      <c r="AR13" s="1313"/>
      <c r="AS13" s="1314"/>
      <c r="AT13" s="1185"/>
      <c r="AU13" s="1260"/>
      <c r="AV13" s="1067"/>
      <c r="AW13" s="1317" t="s">
        <v>79</v>
      </c>
      <c r="AX13" s="1311"/>
      <c r="AY13" s="1184"/>
      <c r="AZ13" s="1266"/>
      <c r="BA13" s="1312"/>
      <c r="BB13" s="1181"/>
      <c r="BC13" s="1313"/>
      <c r="BD13" s="1314"/>
      <c r="BE13" s="1185"/>
      <c r="BF13" s="1260"/>
      <c r="BG13" s="1114"/>
      <c r="BH13" s="1317" t="s">
        <v>79</v>
      </c>
      <c r="BI13" s="1311"/>
      <c r="BJ13" s="1184"/>
      <c r="BK13" s="1266"/>
      <c r="BL13" s="1312"/>
      <c r="BM13" s="1181"/>
      <c r="BN13" s="1313"/>
      <c r="BO13" s="1314"/>
      <c r="BP13" s="1185"/>
      <c r="BQ13" s="1260"/>
      <c r="BR13" s="1114"/>
      <c r="BS13" s="1317" t="s">
        <v>79</v>
      </c>
      <c r="BT13" s="1311"/>
      <c r="BU13" s="1184"/>
      <c r="BV13" s="1266"/>
      <c r="BW13" s="1312"/>
      <c r="BX13" s="1181"/>
      <c r="BY13" s="1313"/>
      <c r="BZ13" s="1314"/>
      <c r="CA13" s="1185"/>
      <c r="CB13" s="1260"/>
      <c r="CC13" s="1163"/>
      <c r="CD13" s="1125" t="s">
        <v>79</v>
      </c>
      <c r="CE13" s="1110"/>
      <c r="CF13" s="1111"/>
      <c r="CG13" s="1185"/>
      <c r="CH13" s="1112"/>
      <c r="CI13" s="1125" t="s">
        <v>79</v>
      </c>
      <c r="CJ13" s="1184"/>
      <c r="CK13" s="1111"/>
      <c r="CL13" s="1185"/>
      <c r="CM13" s="1112"/>
      <c r="CN13" s="1125" t="s">
        <v>79</v>
      </c>
      <c r="CO13" s="1184"/>
      <c r="CP13" s="1111"/>
      <c r="CQ13" s="1185"/>
      <c r="CR13" s="1114"/>
      <c r="CS13" s="1125" t="s">
        <v>79</v>
      </c>
      <c r="CT13" s="1184"/>
      <c r="CU13" s="1111"/>
      <c r="CV13" s="1185"/>
      <c r="CW13" s="1112"/>
      <c r="CX13" s="1125" t="s">
        <v>79</v>
      </c>
      <c r="CY13" s="1184"/>
      <c r="CZ13" s="1111"/>
      <c r="DA13" s="1185"/>
      <c r="DB13" s="1114"/>
      <c r="DC13" s="1125" t="s">
        <v>79</v>
      </c>
      <c r="DD13" s="1184"/>
      <c r="DE13" s="1111"/>
      <c r="DF13" s="1185"/>
      <c r="DG13" s="1114"/>
      <c r="DH13" s="1125" t="s">
        <v>79</v>
      </c>
      <c r="DI13" s="1184"/>
      <c r="DJ13" s="1111"/>
      <c r="DK13" s="1185"/>
      <c r="DL13" s="1114"/>
      <c r="DM13" s="1125" t="s">
        <v>79</v>
      </c>
      <c r="DN13" s="1184"/>
      <c r="DO13" s="1111"/>
      <c r="DP13" s="1185"/>
      <c r="DQ13" s="1114"/>
      <c r="DR13" s="1125" t="s">
        <v>79</v>
      </c>
      <c r="DS13" s="1184"/>
      <c r="DT13" s="1111"/>
      <c r="DU13" s="1185"/>
      <c r="DV13" s="1128"/>
      <c r="DW13" s="1125" t="s">
        <v>79</v>
      </c>
      <c r="DX13" s="1110"/>
      <c r="DY13" s="1111"/>
      <c r="DZ13" s="1185"/>
      <c r="EA13" s="1114"/>
      <c r="EB13" s="1125" t="s">
        <v>79</v>
      </c>
      <c r="EC13" s="1110"/>
      <c r="ED13" s="1111"/>
      <c r="EE13" s="1185"/>
      <c r="EF13" s="1128"/>
      <c r="EG13" s="1125" t="s">
        <v>79</v>
      </c>
      <c r="EH13" s="1184"/>
      <c r="EI13" s="1111"/>
      <c r="EJ13" s="1185"/>
      <c r="EK13" s="1128"/>
      <c r="EL13" s="1125" t="s">
        <v>79</v>
      </c>
      <c r="EM13" s="1184"/>
      <c r="EN13" s="1111"/>
      <c r="EO13" s="1185"/>
      <c r="EP13" s="1128"/>
      <c r="EQ13" s="1125" t="s">
        <v>79</v>
      </c>
      <c r="ER13" s="1184"/>
      <c r="ES13" s="1111"/>
      <c r="ET13" s="1185"/>
      <c r="EU13" s="1128"/>
      <c r="EV13" s="1125" t="s">
        <v>79</v>
      </c>
      <c r="EW13" s="1184"/>
      <c r="EX13" s="1111"/>
      <c r="EY13" s="1185"/>
      <c r="EZ13" s="1220"/>
      <c r="FA13" s="1125" t="s">
        <v>79</v>
      </c>
      <c r="FB13" s="1184"/>
      <c r="FC13" s="1111"/>
      <c r="FD13" s="1185"/>
      <c r="FE13" s="1220"/>
      <c r="FF13" s="1125" t="s">
        <v>79</v>
      </c>
      <c r="FG13" s="1184"/>
      <c r="FH13" s="1111"/>
      <c r="FI13" s="1185"/>
      <c r="FJ13" s="1220"/>
      <c r="FK13" s="1220"/>
      <c r="FL13" s="1125" t="s">
        <v>79</v>
      </c>
      <c r="FM13" s="1184"/>
      <c r="FN13" s="1111"/>
      <c r="FO13" s="1185"/>
      <c r="FP13" s="38"/>
      <c r="FQ13" s="796"/>
    </row>
    <row r="14" spans="1:173" ht="15" customHeight="1">
      <c r="A14" s="1291"/>
      <c r="B14" s="1321" t="s">
        <v>1057</v>
      </c>
      <c r="C14" s="1240">
        <v>0</v>
      </c>
      <c r="D14" s="1114"/>
      <c r="E14" s="1193" t="s">
        <v>80</v>
      </c>
      <c r="F14" s="1311"/>
      <c r="G14" s="1184"/>
      <c r="H14" s="1266"/>
      <c r="I14" s="1312"/>
      <c r="J14" s="1181"/>
      <c r="K14" s="1313"/>
      <c r="L14" s="1314"/>
      <c r="M14" s="1185"/>
      <c r="N14" s="1260"/>
      <c r="O14" s="1597"/>
      <c r="P14" s="1193" t="s">
        <v>80</v>
      </c>
      <c r="Q14" s="1311"/>
      <c r="R14" s="1184"/>
      <c r="S14" s="1266"/>
      <c r="T14" s="1312"/>
      <c r="U14" s="1181"/>
      <c r="V14" s="1313"/>
      <c r="W14" s="1314"/>
      <c r="X14" s="1185"/>
      <c r="Y14" s="1260"/>
      <c r="Z14" s="1067"/>
      <c r="AA14" s="1315" t="s">
        <v>80</v>
      </c>
      <c r="AB14" s="1311"/>
      <c r="AC14" s="1184"/>
      <c r="AD14" s="1266"/>
      <c r="AE14" s="1312"/>
      <c r="AF14" s="1181"/>
      <c r="AG14" s="1313"/>
      <c r="AH14" s="1314"/>
      <c r="AI14" s="1185"/>
      <c r="AJ14" s="1260"/>
      <c r="AK14" s="1114"/>
      <c r="AL14" s="1316" t="s">
        <v>80</v>
      </c>
      <c r="AM14" s="1311"/>
      <c r="AN14" s="1184"/>
      <c r="AO14" s="1266"/>
      <c r="AP14" s="1312"/>
      <c r="AQ14" s="1181"/>
      <c r="AR14" s="1313"/>
      <c r="AS14" s="1314"/>
      <c r="AT14" s="1185"/>
      <c r="AU14" s="1260"/>
      <c r="AV14" s="1067"/>
      <c r="AW14" s="1315" t="s">
        <v>80</v>
      </c>
      <c r="AX14" s="1311"/>
      <c r="AY14" s="1184"/>
      <c r="AZ14" s="1266"/>
      <c r="BA14" s="1312"/>
      <c r="BB14" s="1181"/>
      <c r="BC14" s="1313"/>
      <c r="BD14" s="1314"/>
      <c r="BE14" s="1185"/>
      <c r="BF14" s="1260"/>
      <c r="BG14" s="1114"/>
      <c r="BH14" s="1315" t="s">
        <v>80</v>
      </c>
      <c r="BI14" s="1311"/>
      <c r="BJ14" s="1184"/>
      <c r="BK14" s="1266"/>
      <c r="BL14" s="1312"/>
      <c r="BM14" s="1181"/>
      <c r="BN14" s="1313"/>
      <c r="BO14" s="1314"/>
      <c r="BP14" s="1185"/>
      <c r="BQ14" s="1260"/>
      <c r="BR14" s="1114"/>
      <c r="BS14" s="1315" t="s">
        <v>80</v>
      </c>
      <c r="BT14" s="1311"/>
      <c r="BU14" s="1184"/>
      <c r="BV14" s="1266"/>
      <c r="BW14" s="1312"/>
      <c r="BX14" s="1181"/>
      <c r="BY14" s="1313"/>
      <c r="BZ14" s="1314"/>
      <c r="CA14" s="1185"/>
      <c r="CB14" s="1260"/>
      <c r="CC14" s="1163"/>
      <c r="CD14" s="1193" t="s">
        <v>80</v>
      </c>
      <c r="CE14" s="1110"/>
      <c r="CF14" s="1111"/>
      <c r="CG14" s="1185"/>
      <c r="CH14" s="1112"/>
      <c r="CI14" s="1193" t="s">
        <v>80</v>
      </c>
      <c r="CJ14" s="1184"/>
      <c r="CK14" s="1111"/>
      <c r="CL14" s="1185"/>
      <c r="CM14" s="1112"/>
      <c r="CN14" s="1193" t="s">
        <v>80</v>
      </c>
      <c r="CO14" s="1184"/>
      <c r="CP14" s="1111"/>
      <c r="CQ14" s="1185"/>
      <c r="CR14" s="1114"/>
      <c r="CS14" s="1193" t="s">
        <v>80</v>
      </c>
      <c r="CT14" s="1184"/>
      <c r="CU14" s="1111"/>
      <c r="CV14" s="1185"/>
      <c r="CW14" s="1112"/>
      <c r="CX14" s="1193" t="s">
        <v>80</v>
      </c>
      <c r="CY14" s="1184"/>
      <c r="CZ14" s="1111"/>
      <c r="DA14" s="1185"/>
      <c r="DB14" s="1114"/>
      <c r="DC14" s="1193" t="s">
        <v>80</v>
      </c>
      <c r="DD14" s="1184"/>
      <c r="DE14" s="1111"/>
      <c r="DF14" s="1185"/>
      <c r="DG14" s="1114"/>
      <c r="DH14" s="1193" t="s">
        <v>80</v>
      </c>
      <c r="DI14" s="1184"/>
      <c r="DJ14" s="1111"/>
      <c r="DK14" s="1185"/>
      <c r="DL14" s="1114"/>
      <c r="DM14" s="1193" t="s">
        <v>80</v>
      </c>
      <c r="DN14" s="1184"/>
      <c r="DO14" s="1111"/>
      <c r="DP14" s="1185"/>
      <c r="DQ14" s="1114"/>
      <c r="DR14" s="1193" t="s">
        <v>80</v>
      </c>
      <c r="DS14" s="1184"/>
      <c r="DT14" s="1111"/>
      <c r="DU14" s="1185"/>
      <c r="DV14" s="1128"/>
      <c r="DW14" s="1193" t="s">
        <v>80</v>
      </c>
      <c r="DX14" s="1110"/>
      <c r="DY14" s="1111"/>
      <c r="DZ14" s="1185"/>
      <c r="EA14" s="1114"/>
      <c r="EB14" s="1193" t="s">
        <v>80</v>
      </c>
      <c r="EC14" s="1110"/>
      <c r="ED14" s="1111"/>
      <c r="EE14" s="1185"/>
      <c r="EF14" s="1128"/>
      <c r="EG14" s="1193" t="s">
        <v>80</v>
      </c>
      <c r="EH14" s="1184"/>
      <c r="EI14" s="1111"/>
      <c r="EJ14" s="1185"/>
      <c r="EK14" s="1128"/>
      <c r="EL14" s="1193" t="s">
        <v>80</v>
      </c>
      <c r="EM14" s="1184"/>
      <c r="EN14" s="1111"/>
      <c r="EO14" s="1185"/>
      <c r="EP14" s="1128"/>
      <c r="EQ14" s="1193" t="s">
        <v>80</v>
      </c>
      <c r="ER14" s="1184"/>
      <c r="ES14" s="1111"/>
      <c r="ET14" s="1185"/>
      <c r="EU14" s="1128"/>
      <c r="EV14" s="1193" t="s">
        <v>80</v>
      </c>
      <c r="EW14" s="1184"/>
      <c r="EX14" s="1111"/>
      <c r="EY14" s="1185"/>
      <c r="EZ14" s="1220"/>
      <c r="FA14" s="1193" t="s">
        <v>80</v>
      </c>
      <c r="FB14" s="1184"/>
      <c r="FC14" s="1111"/>
      <c r="FD14" s="1185"/>
      <c r="FE14" s="1220"/>
      <c r="FF14" s="1193" t="s">
        <v>80</v>
      </c>
      <c r="FG14" s="1184"/>
      <c r="FH14" s="1111"/>
      <c r="FI14" s="1185"/>
      <c r="FJ14" s="1220"/>
      <c r="FK14" s="1220"/>
      <c r="FL14" s="1193" t="s">
        <v>80</v>
      </c>
      <c r="FM14" s="1184"/>
      <c r="FN14" s="1111"/>
      <c r="FO14" s="1185"/>
      <c r="FP14" s="38"/>
      <c r="FQ14" s="796"/>
    </row>
    <row r="15" spans="1:173" ht="15" customHeight="1">
      <c r="A15" s="1291"/>
      <c r="B15" s="1320" t="s">
        <v>1095</v>
      </c>
      <c r="C15" s="1240">
        <v>0</v>
      </c>
      <c r="D15" s="1114"/>
      <c r="E15" s="1125" t="s">
        <v>81</v>
      </c>
      <c r="F15" s="1311"/>
      <c r="G15" s="1184"/>
      <c r="H15" s="1266"/>
      <c r="I15" s="1312"/>
      <c r="J15" s="1181"/>
      <c r="K15" s="1313"/>
      <c r="L15" s="1314"/>
      <c r="M15" s="1185"/>
      <c r="N15" s="1260"/>
      <c r="O15" s="1597"/>
      <c r="P15" s="1125" t="s">
        <v>81</v>
      </c>
      <c r="Q15" s="1311"/>
      <c r="R15" s="1184"/>
      <c r="S15" s="1266"/>
      <c r="T15" s="1312"/>
      <c r="U15" s="1181"/>
      <c r="V15" s="1313"/>
      <c r="W15" s="1314"/>
      <c r="X15" s="1185"/>
      <c r="Y15" s="1260"/>
      <c r="Z15" s="1067"/>
      <c r="AA15" s="1317" t="s">
        <v>81</v>
      </c>
      <c r="AB15" s="1311"/>
      <c r="AC15" s="1184"/>
      <c r="AD15" s="1266"/>
      <c r="AE15" s="1312"/>
      <c r="AF15" s="1181"/>
      <c r="AG15" s="1313"/>
      <c r="AH15" s="1314"/>
      <c r="AI15" s="1185"/>
      <c r="AJ15" s="1260"/>
      <c r="AK15" s="1114"/>
      <c r="AL15" s="1318" t="s">
        <v>81</v>
      </c>
      <c r="AM15" s="1311"/>
      <c r="AN15" s="1184"/>
      <c r="AO15" s="1266"/>
      <c r="AP15" s="1312"/>
      <c r="AQ15" s="1181"/>
      <c r="AR15" s="1313"/>
      <c r="AS15" s="1314"/>
      <c r="AT15" s="1185"/>
      <c r="AU15" s="1260"/>
      <c r="AV15" s="1067"/>
      <c r="AW15" s="1317" t="s">
        <v>81</v>
      </c>
      <c r="AX15" s="1311"/>
      <c r="AY15" s="1184"/>
      <c r="AZ15" s="1266"/>
      <c r="BA15" s="1312"/>
      <c r="BB15" s="1181"/>
      <c r="BC15" s="1313"/>
      <c r="BD15" s="1314"/>
      <c r="BE15" s="1185"/>
      <c r="BF15" s="1260"/>
      <c r="BG15" s="1114"/>
      <c r="BH15" s="1317" t="s">
        <v>81</v>
      </c>
      <c r="BI15" s="1311"/>
      <c r="BJ15" s="1184"/>
      <c r="BK15" s="1266"/>
      <c r="BL15" s="1312"/>
      <c r="BM15" s="1181"/>
      <c r="BN15" s="1313"/>
      <c r="BO15" s="1314"/>
      <c r="BP15" s="1185"/>
      <c r="BQ15" s="1260"/>
      <c r="BR15" s="1114"/>
      <c r="BS15" s="1317" t="s">
        <v>81</v>
      </c>
      <c r="BT15" s="1311"/>
      <c r="BU15" s="1184"/>
      <c r="BV15" s="1266"/>
      <c r="BW15" s="1312"/>
      <c r="BX15" s="1181"/>
      <c r="BY15" s="1313"/>
      <c r="BZ15" s="1314"/>
      <c r="CA15" s="1185"/>
      <c r="CB15" s="1260"/>
      <c r="CC15" s="1163"/>
      <c r="CD15" s="1125" t="s">
        <v>81</v>
      </c>
      <c r="CE15" s="1110"/>
      <c r="CF15" s="1111"/>
      <c r="CG15" s="1185"/>
      <c r="CH15" s="1112"/>
      <c r="CI15" s="1125" t="s">
        <v>81</v>
      </c>
      <c r="CJ15" s="1184"/>
      <c r="CK15" s="1111"/>
      <c r="CL15" s="1185"/>
      <c r="CM15" s="1112"/>
      <c r="CN15" s="1125" t="s">
        <v>81</v>
      </c>
      <c r="CO15" s="1184"/>
      <c r="CP15" s="1111"/>
      <c r="CQ15" s="1185"/>
      <c r="CR15" s="1114"/>
      <c r="CS15" s="1125" t="s">
        <v>81</v>
      </c>
      <c r="CT15" s="1184"/>
      <c r="CU15" s="1111"/>
      <c r="CV15" s="1185"/>
      <c r="CW15" s="1112"/>
      <c r="CX15" s="1125" t="s">
        <v>81</v>
      </c>
      <c r="CY15" s="1184"/>
      <c r="CZ15" s="1111"/>
      <c r="DA15" s="1185"/>
      <c r="DB15" s="1114"/>
      <c r="DC15" s="1125" t="s">
        <v>81</v>
      </c>
      <c r="DD15" s="1184"/>
      <c r="DE15" s="1111"/>
      <c r="DF15" s="1185"/>
      <c r="DG15" s="1114"/>
      <c r="DH15" s="1125" t="s">
        <v>81</v>
      </c>
      <c r="DI15" s="1184"/>
      <c r="DJ15" s="1111"/>
      <c r="DK15" s="1185"/>
      <c r="DL15" s="1114"/>
      <c r="DM15" s="1125" t="s">
        <v>81</v>
      </c>
      <c r="DN15" s="1184"/>
      <c r="DO15" s="1111"/>
      <c r="DP15" s="1185"/>
      <c r="DQ15" s="1114"/>
      <c r="DR15" s="1125" t="s">
        <v>81</v>
      </c>
      <c r="DS15" s="1184"/>
      <c r="DT15" s="1111"/>
      <c r="DU15" s="1185"/>
      <c r="DV15" s="1128"/>
      <c r="DW15" s="1125" t="s">
        <v>81</v>
      </c>
      <c r="DX15" s="1110"/>
      <c r="DY15" s="1111"/>
      <c r="DZ15" s="1185"/>
      <c r="EA15" s="1114"/>
      <c r="EB15" s="1125" t="s">
        <v>81</v>
      </c>
      <c r="EC15" s="1110"/>
      <c r="ED15" s="1111"/>
      <c r="EE15" s="1185"/>
      <c r="EF15" s="1128"/>
      <c r="EG15" s="1125" t="s">
        <v>81</v>
      </c>
      <c r="EH15" s="1184"/>
      <c r="EI15" s="1111"/>
      <c r="EJ15" s="1185"/>
      <c r="EK15" s="1128"/>
      <c r="EL15" s="1125" t="s">
        <v>81</v>
      </c>
      <c r="EM15" s="1184"/>
      <c r="EN15" s="1111"/>
      <c r="EO15" s="1185"/>
      <c r="EP15" s="1128"/>
      <c r="EQ15" s="1125" t="s">
        <v>81</v>
      </c>
      <c r="ER15" s="1184"/>
      <c r="ES15" s="1111"/>
      <c r="ET15" s="1185"/>
      <c r="EU15" s="1128"/>
      <c r="EV15" s="1125" t="s">
        <v>81</v>
      </c>
      <c r="EW15" s="1184"/>
      <c r="EX15" s="1111"/>
      <c r="EY15" s="1185"/>
      <c r="EZ15" s="1220"/>
      <c r="FA15" s="1125" t="s">
        <v>81</v>
      </c>
      <c r="FB15" s="1184"/>
      <c r="FC15" s="1111"/>
      <c r="FD15" s="1185"/>
      <c r="FE15" s="1220"/>
      <c r="FF15" s="1125" t="s">
        <v>81</v>
      </c>
      <c r="FG15" s="1184"/>
      <c r="FH15" s="1111"/>
      <c r="FI15" s="1185"/>
      <c r="FJ15" s="1220"/>
      <c r="FK15" s="1220"/>
      <c r="FL15" s="1125" t="s">
        <v>81</v>
      </c>
      <c r="FM15" s="1184"/>
      <c r="FN15" s="1111"/>
      <c r="FO15" s="1185"/>
      <c r="FP15" s="38"/>
      <c r="FQ15" s="796"/>
    </row>
    <row r="16" spans="1:173" ht="15" customHeight="1">
      <c r="A16" s="1291"/>
      <c r="B16" s="1321" t="s">
        <v>1096</v>
      </c>
      <c r="C16" s="1240">
        <v>0</v>
      </c>
      <c r="D16" s="1114"/>
      <c r="E16" s="1193" t="s">
        <v>82</v>
      </c>
      <c r="F16" s="1311"/>
      <c r="G16" s="1184"/>
      <c r="H16" s="1266"/>
      <c r="I16" s="1312"/>
      <c r="J16" s="1181"/>
      <c r="K16" s="1313"/>
      <c r="L16" s="1314"/>
      <c r="M16" s="1185"/>
      <c r="N16" s="1260"/>
      <c r="O16" s="1597"/>
      <c r="P16" s="1193" t="s">
        <v>82</v>
      </c>
      <c r="Q16" s="1311"/>
      <c r="R16" s="1184"/>
      <c r="S16" s="1266"/>
      <c r="T16" s="1312"/>
      <c r="U16" s="1181"/>
      <c r="V16" s="1313"/>
      <c r="W16" s="1314"/>
      <c r="X16" s="1185"/>
      <c r="Y16" s="1260"/>
      <c r="Z16" s="1067"/>
      <c r="AA16" s="1315" t="s">
        <v>82</v>
      </c>
      <c r="AB16" s="1311"/>
      <c r="AC16" s="1184"/>
      <c r="AD16" s="1266"/>
      <c r="AE16" s="1312"/>
      <c r="AF16" s="1181"/>
      <c r="AG16" s="1313"/>
      <c r="AH16" s="1314"/>
      <c r="AI16" s="1185"/>
      <c r="AJ16" s="1260"/>
      <c r="AK16" s="1114"/>
      <c r="AL16" s="1316" t="s">
        <v>82</v>
      </c>
      <c r="AM16" s="1311"/>
      <c r="AN16" s="1184"/>
      <c r="AO16" s="1266"/>
      <c r="AP16" s="1312"/>
      <c r="AQ16" s="1181"/>
      <c r="AR16" s="1313"/>
      <c r="AS16" s="1314"/>
      <c r="AT16" s="1185"/>
      <c r="AU16" s="1260"/>
      <c r="AV16" s="1067"/>
      <c r="AW16" s="1315" t="s">
        <v>82</v>
      </c>
      <c r="AX16" s="1311"/>
      <c r="AY16" s="1184"/>
      <c r="AZ16" s="1266"/>
      <c r="BA16" s="1312"/>
      <c r="BB16" s="1181"/>
      <c r="BC16" s="1313"/>
      <c r="BD16" s="1314"/>
      <c r="BE16" s="1185"/>
      <c r="BF16" s="1260"/>
      <c r="BG16" s="1114"/>
      <c r="BH16" s="1315" t="s">
        <v>82</v>
      </c>
      <c r="BI16" s="1311"/>
      <c r="BJ16" s="1184"/>
      <c r="BK16" s="1266"/>
      <c r="BL16" s="1312"/>
      <c r="BM16" s="1181"/>
      <c r="BN16" s="1313"/>
      <c r="BO16" s="1314"/>
      <c r="BP16" s="1185"/>
      <c r="BQ16" s="1260"/>
      <c r="BR16" s="1114"/>
      <c r="BS16" s="1315" t="s">
        <v>82</v>
      </c>
      <c r="BT16" s="1311"/>
      <c r="BU16" s="1184"/>
      <c r="BV16" s="1266"/>
      <c r="BW16" s="1312"/>
      <c r="BX16" s="1181"/>
      <c r="BY16" s="1313"/>
      <c r="BZ16" s="1314"/>
      <c r="CA16" s="1185"/>
      <c r="CB16" s="1260"/>
      <c r="CC16" s="1163"/>
      <c r="CD16" s="1193" t="s">
        <v>82</v>
      </c>
      <c r="CE16" s="1110"/>
      <c r="CF16" s="1111"/>
      <c r="CG16" s="1185"/>
      <c r="CH16" s="1112"/>
      <c r="CI16" s="1193" t="s">
        <v>82</v>
      </c>
      <c r="CJ16" s="1184"/>
      <c r="CK16" s="1111"/>
      <c r="CL16" s="1185"/>
      <c r="CM16" s="1112"/>
      <c r="CN16" s="1193" t="s">
        <v>82</v>
      </c>
      <c r="CO16" s="1184"/>
      <c r="CP16" s="1111"/>
      <c r="CQ16" s="1185"/>
      <c r="CR16" s="1114"/>
      <c r="CS16" s="1193" t="s">
        <v>82</v>
      </c>
      <c r="CT16" s="1184"/>
      <c r="CU16" s="1111"/>
      <c r="CV16" s="1185"/>
      <c r="CW16" s="1112"/>
      <c r="CX16" s="1193" t="s">
        <v>82</v>
      </c>
      <c r="CY16" s="1184"/>
      <c r="CZ16" s="1111"/>
      <c r="DA16" s="1185"/>
      <c r="DB16" s="1114"/>
      <c r="DC16" s="1193" t="s">
        <v>82</v>
      </c>
      <c r="DD16" s="1184"/>
      <c r="DE16" s="1111"/>
      <c r="DF16" s="1185"/>
      <c r="DG16" s="1114"/>
      <c r="DH16" s="1193" t="s">
        <v>82</v>
      </c>
      <c r="DI16" s="1184"/>
      <c r="DJ16" s="1111"/>
      <c r="DK16" s="1185"/>
      <c r="DL16" s="1114"/>
      <c r="DM16" s="1193" t="s">
        <v>82</v>
      </c>
      <c r="DN16" s="1184"/>
      <c r="DO16" s="1111"/>
      <c r="DP16" s="1185"/>
      <c r="DQ16" s="1114"/>
      <c r="DR16" s="1193" t="s">
        <v>82</v>
      </c>
      <c r="DS16" s="1184"/>
      <c r="DT16" s="1111"/>
      <c r="DU16" s="1185"/>
      <c r="DV16" s="1128"/>
      <c r="DW16" s="1193" t="s">
        <v>82</v>
      </c>
      <c r="DX16" s="1110"/>
      <c r="DY16" s="1111"/>
      <c r="DZ16" s="1185"/>
      <c r="EA16" s="1114"/>
      <c r="EB16" s="1193" t="s">
        <v>82</v>
      </c>
      <c r="EC16" s="1110"/>
      <c r="ED16" s="1111"/>
      <c r="EE16" s="1185"/>
      <c r="EF16" s="1128"/>
      <c r="EG16" s="1193" t="s">
        <v>82</v>
      </c>
      <c r="EH16" s="1184"/>
      <c r="EI16" s="1111"/>
      <c r="EJ16" s="1185"/>
      <c r="EK16" s="1128"/>
      <c r="EL16" s="1193" t="s">
        <v>82</v>
      </c>
      <c r="EM16" s="1184"/>
      <c r="EN16" s="1111"/>
      <c r="EO16" s="1185"/>
      <c r="EP16" s="1128"/>
      <c r="EQ16" s="1193" t="s">
        <v>82</v>
      </c>
      <c r="ER16" s="1184"/>
      <c r="ES16" s="1111"/>
      <c r="ET16" s="1185"/>
      <c r="EU16" s="1128"/>
      <c r="EV16" s="1193" t="s">
        <v>82</v>
      </c>
      <c r="EW16" s="1184"/>
      <c r="EX16" s="1111"/>
      <c r="EY16" s="1185"/>
      <c r="EZ16" s="1220"/>
      <c r="FA16" s="1193" t="s">
        <v>82</v>
      </c>
      <c r="FB16" s="1184"/>
      <c r="FC16" s="1111"/>
      <c r="FD16" s="1185"/>
      <c r="FE16" s="1220"/>
      <c r="FF16" s="1193" t="s">
        <v>82</v>
      </c>
      <c r="FG16" s="1184"/>
      <c r="FH16" s="1111"/>
      <c r="FI16" s="1185"/>
      <c r="FJ16" s="1220"/>
      <c r="FK16" s="1220"/>
      <c r="FL16" s="1193" t="s">
        <v>82</v>
      </c>
      <c r="FM16" s="1184"/>
      <c r="FN16" s="1111"/>
      <c r="FO16" s="1185"/>
      <c r="FP16" s="38"/>
      <c r="FQ16" s="796"/>
    </row>
    <row r="17" spans="1:173" ht="15" customHeight="1">
      <c r="A17" s="1291"/>
      <c r="B17" s="1322" t="s">
        <v>1098</v>
      </c>
      <c r="C17" s="1240">
        <v>0</v>
      </c>
      <c r="D17" s="1114"/>
      <c r="E17" s="1125" t="s">
        <v>83</v>
      </c>
      <c r="F17" s="1311"/>
      <c r="G17" s="1184"/>
      <c r="H17" s="1266"/>
      <c r="I17" s="1312"/>
      <c r="J17" s="1181"/>
      <c r="K17" s="1313"/>
      <c r="L17" s="1314"/>
      <c r="M17" s="1185"/>
      <c r="N17" s="1260"/>
      <c r="O17" s="1597"/>
      <c r="P17" s="1125" t="s">
        <v>83</v>
      </c>
      <c r="Q17" s="1311"/>
      <c r="R17" s="1184"/>
      <c r="S17" s="1266"/>
      <c r="T17" s="1312"/>
      <c r="U17" s="1181"/>
      <c r="V17" s="1313"/>
      <c r="W17" s="1314"/>
      <c r="X17" s="1185"/>
      <c r="Y17" s="1260"/>
      <c r="Z17" s="1067"/>
      <c r="AA17" s="1317" t="s">
        <v>83</v>
      </c>
      <c r="AB17" s="1311"/>
      <c r="AC17" s="1184"/>
      <c r="AD17" s="1266"/>
      <c r="AE17" s="1312"/>
      <c r="AF17" s="1181"/>
      <c r="AG17" s="1313"/>
      <c r="AH17" s="1314"/>
      <c r="AI17" s="1185"/>
      <c r="AJ17" s="1260"/>
      <c r="AK17" s="1114"/>
      <c r="AL17" s="1318" t="s">
        <v>83</v>
      </c>
      <c r="AM17" s="1311"/>
      <c r="AN17" s="1184"/>
      <c r="AO17" s="1266"/>
      <c r="AP17" s="1312"/>
      <c r="AQ17" s="1181"/>
      <c r="AR17" s="1313"/>
      <c r="AS17" s="1314"/>
      <c r="AT17" s="1185"/>
      <c r="AU17" s="1260"/>
      <c r="AV17" s="1067"/>
      <c r="AW17" s="1317" t="s">
        <v>83</v>
      </c>
      <c r="AX17" s="1311"/>
      <c r="AY17" s="1184"/>
      <c r="AZ17" s="1266"/>
      <c r="BA17" s="1312"/>
      <c r="BB17" s="1181"/>
      <c r="BC17" s="1313"/>
      <c r="BD17" s="1314"/>
      <c r="BE17" s="1185"/>
      <c r="BF17" s="1260"/>
      <c r="BG17" s="1114"/>
      <c r="BH17" s="1317" t="s">
        <v>83</v>
      </c>
      <c r="BI17" s="1311"/>
      <c r="BJ17" s="1184"/>
      <c r="BK17" s="1266"/>
      <c r="BL17" s="1312"/>
      <c r="BM17" s="1181"/>
      <c r="BN17" s="1313"/>
      <c r="BO17" s="1314"/>
      <c r="BP17" s="1185"/>
      <c r="BQ17" s="1260"/>
      <c r="BR17" s="1114"/>
      <c r="BS17" s="1317" t="s">
        <v>83</v>
      </c>
      <c r="BT17" s="1311"/>
      <c r="BU17" s="1184"/>
      <c r="BV17" s="1266"/>
      <c r="BW17" s="1312"/>
      <c r="BX17" s="1181"/>
      <c r="BY17" s="1313"/>
      <c r="BZ17" s="1314"/>
      <c r="CA17" s="1185"/>
      <c r="CB17" s="1260"/>
      <c r="CC17" s="1163"/>
      <c r="CD17" s="1125" t="s">
        <v>83</v>
      </c>
      <c r="CE17" s="1110"/>
      <c r="CF17" s="1111"/>
      <c r="CG17" s="1185"/>
      <c r="CH17" s="1112"/>
      <c r="CI17" s="1125" t="s">
        <v>83</v>
      </c>
      <c r="CJ17" s="1184"/>
      <c r="CK17" s="1111"/>
      <c r="CL17" s="1185"/>
      <c r="CM17" s="1112"/>
      <c r="CN17" s="1125" t="s">
        <v>83</v>
      </c>
      <c r="CO17" s="1184"/>
      <c r="CP17" s="1111"/>
      <c r="CQ17" s="1185"/>
      <c r="CR17" s="1114"/>
      <c r="CS17" s="1125" t="s">
        <v>83</v>
      </c>
      <c r="CT17" s="1184"/>
      <c r="CU17" s="1111"/>
      <c r="CV17" s="1185"/>
      <c r="CW17" s="1112"/>
      <c r="CX17" s="1125" t="s">
        <v>83</v>
      </c>
      <c r="CY17" s="1184"/>
      <c r="CZ17" s="1111"/>
      <c r="DA17" s="1185"/>
      <c r="DB17" s="1114"/>
      <c r="DC17" s="1125" t="s">
        <v>83</v>
      </c>
      <c r="DD17" s="1184"/>
      <c r="DE17" s="1111"/>
      <c r="DF17" s="1185"/>
      <c r="DG17" s="1114"/>
      <c r="DH17" s="1125" t="s">
        <v>83</v>
      </c>
      <c r="DI17" s="1184"/>
      <c r="DJ17" s="1111"/>
      <c r="DK17" s="1185"/>
      <c r="DL17" s="1114"/>
      <c r="DM17" s="1125" t="s">
        <v>83</v>
      </c>
      <c r="DN17" s="1184"/>
      <c r="DO17" s="1111"/>
      <c r="DP17" s="1185"/>
      <c r="DQ17" s="1114"/>
      <c r="DR17" s="1125" t="s">
        <v>83</v>
      </c>
      <c r="DS17" s="1184"/>
      <c r="DT17" s="1111"/>
      <c r="DU17" s="1185"/>
      <c r="DV17" s="1128"/>
      <c r="DW17" s="1125" t="s">
        <v>83</v>
      </c>
      <c r="DX17" s="1110"/>
      <c r="DY17" s="1111"/>
      <c r="DZ17" s="1185"/>
      <c r="EA17" s="1114"/>
      <c r="EB17" s="1125" t="s">
        <v>83</v>
      </c>
      <c r="EC17" s="1110"/>
      <c r="ED17" s="1111"/>
      <c r="EE17" s="1185"/>
      <c r="EF17" s="1128"/>
      <c r="EG17" s="1125" t="s">
        <v>83</v>
      </c>
      <c r="EH17" s="1184"/>
      <c r="EI17" s="1111"/>
      <c r="EJ17" s="1185"/>
      <c r="EK17" s="1128"/>
      <c r="EL17" s="1125" t="s">
        <v>83</v>
      </c>
      <c r="EM17" s="1184"/>
      <c r="EN17" s="1111"/>
      <c r="EO17" s="1185"/>
      <c r="EP17" s="1128"/>
      <c r="EQ17" s="1125" t="s">
        <v>83</v>
      </c>
      <c r="ER17" s="1184"/>
      <c r="ES17" s="1111"/>
      <c r="ET17" s="1185"/>
      <c r="EU17" s="1128"/>
      <c r="EV17" s="1125" t="s">
        <v>83</v>
      </c>
      <c r="EW17" s="1184"/>
      <c r="EX17" s="1111"/>
      <c r="EY17" s="1185"/>
      <c r="EZ17" s="1220"/>
      <c r="FA17" s="1125" t="s">
        <v>83</v>
      </c>
      <c r="FB17" s="1184"/>
      <c r="FC17" s="1111"/>
      <c r="FD17" s="1185"/>
      <c r="FE17" s="1220"/>
      <c r="FF17" s="1125" t="s">
        <v>83</v>
      </c>
      <c r="FG17" s="1184"/>
      <c r="FH17" s="1111"/>
      <c r="FI17" s="1185"/>
      <c r="FJ17" s="1220"/>
      <c r="FK17" s="1220"/>
      <c r="FL17" s="1125" t="s">
        <v>83</v>
      </c>
      <c r="FM17" s="1184"/>
      <c r="FN17" s="1111"/>
      <c r="FO17" s="1185"/>
      <c r="FP17" s="38"/>
      <c r="FQ17" s="796"/>
    </row>
    <row r="18" spans="1:173" ht="15" customHeight="1">
      <c r="A18" s="1291"/>
      <c r="B18" s="1323"/>
      <c r="C18" s="1324"/>
      <c r="D18" s="1114"/>
      <c r="E18" s="1193" t="s">
        <v>85</v>
      </c>
      <c r="F18" s="1311"/>
      <c r="G18" s="1184"/>
      <c r="H18" s="1266"/>
      <c r="I18" s="1312"/>
      <c r="J18" s="1181"/>
      <c r="K18" s="1313"/>
      <c r="L18" s="1314"/>
      <c r="M18" s="1185"/>
      <c r="N18" s="1260"/>
      <c r="O18" s="1597"/>
      <c r="P18" s="1193" t="s">
        <v>85</v>
      </c>
      <c r="Q18" s="1311"/>
      <c r="R18" s="1184"/>
      <c r="S18" s="1266"/>
      <c r="T18" s="1312"/>
      <c r="U18" s="1181"/>
      <c r="V18" s="1313"/>
      <c r="W18" s="1314"/>
      <c r="X18" s="1185"/>
      <c r="Y18" s="1260"/>
      <c r="Z18" s="1067"/>
      <c r="AA18" s="1315" t="s">
        <v>85</v>
      </c>
      <c r="AB18" s="1311"/>
      <c r="AC18" s="1184"/>
      <c r="AD18" s="1266"/>
      <c r="AE18" s="1312"/>
      <c r="AF18" s="1181"/>
      <c r="AG18" s="1313"/>
      <c r="AH18" s="1314"/>
      <c r="AI18" s="1185"/>
      <c r="AJ18" s="1260"/>
      <c r="AK18" s="1114"/>
      <c r="AL18" s="1316" t="s">
        <v>85</v>
      </c>
      <c r="AM18" s="1311"/>
      <c r="AN18" s="1184"/>
      <c r="AO18" s="1266"/>
      <c r="AP18" s="1312"/>
      <c r="AQ18" s="1181"/>
      <c r="AR18" s="1313"/>
      <c r="AS18" s="1314"/>
      <c r="AT18" s="1185"/>
      <c r="AU18" s="1260"/>
      <c r="AV18" s="1067"/>
      <c r="AW18" s="1315" t="s">
        <v>85</v>
      </c>
      <c r="AX18" s="1311"/>
      <c r="AY18" s="1184"/>
      <c r="AZ18" s="1266"/>
      <c r="BA18" s="1312"/>
      <c r="BB18" s="1181"/>
      <c r="BC18" s="1313"/>
      <c r="BD18" s="1314"/>
      <c r="BE18" s="1185"/>
      <c r="BF18" s="1260"/>
      <c r="BG18" s="1114"/>
      <c r="BH18" s="1315" t="s">
        <v>85</v>
      </c>
      <c r="BI18" s="1311"/>
      <c r="BJ18" s="1184"/>
      <c r="BK18" s="1266"/>
      <c r="BL18" s="1312"/>
      <c r="BM18" s="1181"/>
      <c r="BN18" s="1313"/>
      <c r="BO18" s="1314"/>
      <c r="BP18" s="1185"/>
      <c r="BQ18" s="1260"/>
      <c r="BR18" s="1114"/>
      <c r="BS18" s="1315" t="s">
        <v>85</v>
      </c>
      <c r="BT18" s="1311"/>
      <c r="BU18" s="1184"/>
      <c r="BV18" s="1266"/>
      <c r="BW18" s="1312"/>
      <c r="BX18" s="1181"/>
      <c r="BY18" s="1313"/>
      <c r="BZ18" s="1314"/>
      <c r="CA18" s="1185"/>
      <c r="CB18" s="1260"/>
      <c r="CC18" s="1163"/>
      <c r="CD18" s="1193" t="s">
        <v>85</v>
      </c>
      <c r="CE18" s="1110"/>
      <c r="CF18" s="1111"/>
      <c r="CG18" s="1185"/>
      <c r="CH18" s="1112"/>
      <c r="CI18" s="1193" t="s">
        <v>85</v>
      </c>
      <c r="CJ18" s="1184"/>
      <c r="CK18" s="1111"/>
      <c r="CL18" s="1185"/>
      <c r="CM18" s="1112"/>
      <c r="CN18" s="1193" t="s">
        <v>85</v>
      </c>
      <c r="CO18" s="1184"/>
      <c r="CP18" s="1111"/>
      <c r="CQ18" s="1185"/>
      <c r="CR18" s="1114"/>
      <c r="CS18" s="1193" t="s">
        <v>85</v>
      </c>
      <c r="CT18" s="1184"/>
      <c r="CU18" s="1111"/>
      <c r="CV18" s="1185"/>
      <c r="CW18" s="1112"/>
      <c r="CX18" s="1193" t="s">
        <v>85</v>
      </c>
      <c r="CY18" s="1184"/>
      <c r="CZ18" s="1111"/>
      <c r="DA18" s="1185"/>
      <c r="DB18" s="1114"/>
      <c r="DC18" s="1193" t="s">
        <v>85</v>
      </c>
      <c r="DD18" s="1184"/>
      <c r="DE18" s="1111"/>
      <c r="DF18" s="1185"/>
      <c r="DG18" s="1114"/>
      <c r="DH18" s="1193" t="s">
        <v>85</v>
      </c>
      <c r="DI18" s="1184"/>
      <c r="DJ18" s="1111"/>
      <c r="DK18" s="1185"/>
      <c r="DL18" s="1114"/>
      <c r="DM18" s="1193" t="s">
        <v>85</v>
      </c>
      <c r="DN18" s="1184"/>
      <c r="DO18" s="1111"/>
      <c r="DP18" s="1185"/>
      <c r="DQ18" s="1114"/>
      <c r="DR18" s="1193" t="s">
        <v>85</v>
      </c>
      <c r="DS18" s="1184"/>
      <c r="DT18" s="1111"/>
      <c r="DU18" s="1185"/>
      <c r="DV18" s="1128"/>
      <c r="DW18" s="1193" t="s">
        <v>85</v>
      </c>
      <c r="DX18" s="1110"/>
      <c r="DY18" s="1111"/>
      <c r="DZ18" s="1185"/>
      <c r="EA18" s="1114"/>
      <c r="EB18" s="1193" t="s">
        <v>85</v>
      </c>
      <c r="EC18" s="1110"/>
      <c r="ED18" s="1111"/>
      <c r="EE18" s="1185"/>
      <c r="EF18" s="1128"/>
      <c r="EG18" s="1193" t="s">
        <v>85</v>
      </c>
      <c r="EH18" s="1184"/>
      <c r="EI18" s="1111"/>
      <c r="EJ18" s="1185"/>
      <c r="EK18" s="1128"/>
      <c r="EL18" s="1193" t="s">
        <v>85</v>
      </c>
      <c r="EM18" s="1184"/>
      <c r="EN18" s="1111"/>
      <c r="EO18" s="1185"/>
      <c r="EP18" s="1128"/>
      <c r="EQ18" s="1193" t="s">
        <v>85</v>
      </c>
      <c r="ER18" s="1184"/>
      <c r="ES18" s="1111"/>
      <c r="ET18" s="1185"/>
      <c r="EU18" s="1128"/>
      <c r="EV18" s="1193" t="s">
        <v>85</v>
      </c>
      <c r="EW18" s="1184"/>
      <c r="EX18" s="1111"/>
      <c r="EY18" s="1185"/>
      <c r="EZ18" s="1220"/>
      <c r="FA18" s="1193" t="s">
        <v>85</v>
      </c>
      <c r="FB18" s="1184"/>
      <c r="FC18" s="1111"/>
      <c r="FD18" s="1185"/>
      <c r="FE18" s="1220"/>
      <c r="FF18" s="1193" t="s">
        <v>85</v>
      </c>
      <c r="FG18" s="1184"/>
      <c r="FH18" s="1111"/>
      <c r="FI18" s="1185"/>
      <c r="FJ18" s="1220"/>
      <c r="FK18" s="1220"/>
      <c r="FL18" s="1193" t="s">
        <v>85</v>
      </c>
      <c r="FM18" s="1184"/>
      <c r="FN18" s="1111"/>
      <c r="FO18" s="1185"/>
      <c r="FP18" s="38"/>
      <c r="FQ18" s="796"/>
    </row>
    <row r="19" spans="1:173" ht="15" customHeight="1">
      <c r="A19" s="1291"/>
      <c r="B19" s="1325"/>
      <c r="C19" s="1326"/>
      <c r="D19" s="1114"/>
      <c r="E19" s="1125" t="s">
        <v>84</v>
      </c>
      <c r="F19" s="1311"/>
      <c r="G19" s="1184"/>
      <c r="H19" s="1266"/>
      <c r="I19" s="1312"/>
      <c r="J19" s="1181"/>
      <c r="K19" s="1313"/>
      <c r="L19" s="1314"/>
      <c r="M19" s="1185"/>
      <c r="N19" s="1260"/>
      <c r="O19" s="1597"/>
      <c r="P19" s="1125" t="s">
        <v>84</v>
      </c>
      <c r="Q19" s="1311"/>
      <c r="R19" s="1184"/>
      <c r="S19" s="1266"/>
      <c r="T19" s="1312"/>
      <c r="U19" s="1181"/>
      <c r="V19" s="1313"/>
      <c r="W19" s="1314"/>
      <c r="X19" s="1185"/>
      <c r="Y19" s="1260"/>
      <c r="Z19" s="1067"/>
      <c r="AA19" s="1317" t="s">
        <v>84</v>
      </c>
      <c r="AB19" s="1311"/>
      <c r="AC19" s="1184"/>
      <c r="AD19" s="1266"/>
      <c r="AE19" s="1312"/>
      <c r="AF19" s="1181"/>
      <c r="AG19" s="1313"/>
      <c r="AH19" s="1314"/>
      <c r="AI19" s="1185"/>
      <c r="AJ19" s="1260"/>
      <c r="AK19" s="1114"/>
      <c r="AL19" s="1318" t="s">
        <v>84</v>
      </c>
      <c r="AM19" s="1311"/>
      <c r="AN19" s="1184"/>
      <c r="AO19" s="1266"/>
      <c r="AP19" s="1312"/>
      <c r="AQ19" s="1181"/>
      <c r="AR19" s="1313"/>
      <c r="AS19" s="1314"/>
      <c r="AT19" s="1185"/>
      <c r="AU19" s="1260"/>
      <c r="AV19" s="1067"/>
      <c r="AW19" s="1317" t="s">
        <v>84</v>
      </c>
      <c r="AX19" s="1311"/>
      <c r="AY19" s="1184"/>
      <c r="AZ19" s="1266"/>
      <c r="BA19" s="1312"/>
      <c r="BB19" s="1181"/>
      <c r="BC19" s="1313"/>
      <c r="BD19" s="1314"/>
      <c r="BE19" s="1185"/>
      <c r="BF19" s="1260"/>
      <c r="BG19" s="1114"/>
      <c r="BH19" s="1317" t="s">
        <v>84</v>
      </c>
      <c r="BI19" s="1311"/>
      <c r="BJ19" s="1184"/>
      <c r="BK19" s="1266"/>
      <c r="BL19" s="1312"/>
      <c r="BM19" s="1181"/>
      <c r="BN19" s="1313"/>
      <c r="BO19" s="1314"/>
      <c r="BP19" s="1185"/>
      <c r="BQ19" s="1260"/>
      <c r="BR19" s="1114"/>
      <c r="BS19" s="1317" t="s">
        <v>84</v>
      </c>
      <c r="BT19" s="1311"/>
      <c r="BU19" s="1184"/>
      <c r="BV19" s="1266"/>
      <c r="BW19" s="1312"/>
      <c r="BX19" s="1181"/>
      <c r="BY19" s="1313"/>
      <c r="BZ19" s="1314"/>
      <c r="CA19" s="1185"/>
      <c r="CB19" s="1260"/>
      <c r="CC19" s="1163"/>
      <c r="CD19" s="1125" t="s">
        <v>84</v>
      </c>
      <c r="CE19" s="1110"/>
      <c r="CF19" s="1111"/>
      <c r="CG19" s="1185"/>
      <c r="CH19" s="1112"/>
      <c r="CI19" s="1125" t="s">
        <v>84</v>
      </c>
      <c r="CJ19" s="1184"/>
      <c r="CK19" s="1111"/>
      <c r="CL19" s="1185"/>
      <c r="CM19" s="1112"/>
      <c r="CN19" s="1125" t="s">
        <v>84</v>
      </c>
      <c r="CO19" s="1184"/>
      <c r="CP19" s="1111"/>
      <c r="CQ19" s="1185"/>
      <c r="CR19" s="1114"/>
      <c r="CS19" s="1125" t="s">
        <v>84</v>
      </c>
      <c r="CT19" s="1184"/>
      <c r="CU19" s="1111"/>
      <c r="CV19" s="1185"/>
      <c r="CW19" s="1112"/>
      <c r="CX19" s="1125" t="s">
        <v>84</v>
      </c>
      <c r="CY19" s="1184"/>
      <c r="CZ19" s="1111"/>
      <c r="DA19" s="1185"/>
      <c r="DB19" s="1114"/>
      <c r="DC19" s="1125" t="s">
        <v>84</v>
      </c>
      <c r="DD19" s="1184"/>
      <c r="DE19" s="1111"/>
      <c r="DF19" s="1185"/>
      <c r="DG19" s="1114"/>
      <c r="DH19" s="1125" t="s">
        <v>84</v>
      </c>
      <c r="DI19" s="1184"/>
      <c r="DJ19" s="1111"/>
      <c r="DK19" s="1185"/>
      <c r="DL19" s="1114"/>
      <c r="DM19" s="1125" t="s">
        <v>84</v>
      </c>
      <c r="DN19" s="1184"/>
      <c r="DO19" s="1111"/>
      <c r="DP19" s="1185"/>
      <c r="DQ19" s="1114"/>
      <c r="DR19" s="1125" t="s">
        <v>84</v>
      </c>
      <c r="DS19" s="1184"/>
      <c r="DT19" s="1111"/>
      <c r="DU19" s="1185"/>
      <c r="DV19" s="1128"/>
      <c r="DW19" s="1125" t="s">
        <v>84</v>
      </c>
      <c r="DX19" s="1110"/>
      <c r="DY19" s="1111"/>
      <c r="DZ19" s="1185"/>
      <c r="EA19" s="1114"/>
      <c r="EB19" s="1125" t="s">
        <v>84</v>
      </c>
      <c r="EC19" s="1110"/>
      <c r="ED19" s="1111"/>
      <c r="EE19" s="1185"/>
      <c r="EF19" s="1128"/>
      <c r="EG19" s="1125" t="s">
        <v>84</v>
      </c>
      <c r="EH19" s="1184"/>
      <c r="EI19" s="1111"/>
      <c r="EJ19" s="1185"/>
      <c r="EK19" s="1128"/>
      <c r="EL19" s="1125" t="s">
        <v>84</v>
      </c>
      <c r="EM19" s="1184"/>
      <c r="EN19" s="1111"/>
      <c r="EO19" s="1185"/>
      <c r="EP19" s="1128"/>
      <c r="EQ19" s="1125" t="s">
        <v>84</v>
      </c>
      <c r="ER19" s="1184"/>
      <c r="ES19" s="1111"/>
      <c r="ET19" s="1185"/>
      <c r="EU19" s="1128"/>
      <c r="EV19" s="1125" t="s">
        <v>84</v>
      </c>
      <c r="EW19" s="1184"/>
      <c r="EX19" s="1111"/>
      <c r="EY19" s="1185"/>
      <c r="EZ19" s="1220"/>
      <c r="FA19" s="1125" t="s">
        <v>84</v>
      </c>
      <c r="FB19" s="1184"/>
      <c r="FC19" s="1111"/>
      <c r="FD19" s="1185"/>
      <c r="FE19" s="1220"/>
      <c r="FF19" s="1125" t="s">
        <v>84</v>
      </c>
      <c r="FG19" s="1184"/>
      <c r="FH19" s="1111"/>
      <c r="FI19" s="1185"/>
      <c r="FJ19" s="1220"/>
      <c r="FK19" s="1220"/>
      <c r="FL19" s="1125" t="s">
        <v>84</v>
      </c>
      <c r="FM19" s="1184"/>
      <c r="FN19" s="1111"/>
      <c r="FO19" s="1185"/>
      <c r="FP19" s="38"/>
      <c r="FQ19" s="796"/>
    </row>
    <row r="20" spans="1:173" ht="15" customHeight="1">
      <c r="A20" s="1291"/>
      <c r="B20" s="1325"/>
      <c r="C20" s="1326"/>
      <c r="D20" s="1114"/>
      <c r="E20" s="1193" t="s">
        <v>86</v>
      </c>
      <c r="F20" s="1311"/>
      <c r="G20" s="1184"/>
      <c r="H20" s="1266"/>
      <c r="I20" s="1312"/>
      <c r="J20" s="1181"/>
      <c r="K20" s="1313"/>
      <c r="L20" s="1314"/>
      <c r="M20" s="1185"/>
      <c r="N20" s="1260"/>
      <c r="O20" s="1597"/>
      <c r="P20" s="1193" t="s">
        <v>86</v>
      </c>
      <c r="Q20" s="1311"/>
      <c r="R20" s="1184"/>
      <c r="S20" s="1266"/>
      <c r="T20" s="1312"/>
      <c r="U20" s="1181"/>
      <c r="V20" s="1313"/>
      <c r="W20" s="1314"/>
      <c r="X20" s="1185"/>
      <c r="Y20" s="1260"/>
      <c r="Z20" s="1067"/>
      <c r="AA20" s="1315" t="s">
        <v>86</v>
      </c>
      <c r="AB20" s="1311"/>
      <c r="AC20" s="1184"/>
      <c r="AD20" s="1266"/>
      <c r="AE20" s="1312"/>
      <c r="AF20" s="1181"/>
      <c r="AG20" s="1313"/>
      <c r="AH20" s="1314"/>
      <c r="AI20" s="1185"/>
      <c r="AJ20" s="1260"/>
      <c r="AK20" s="1114"/>
      <c r="AL20" s="1316" t="s">
        <v>86</v>
      </c>
      <c r="AM20" s="1311"/>
      <c r="AN20" s="1184"/>
      <c r="AO20" s="1266"/>
      <c r="AP20" s="1312"/>
      <c r="AQ20" s="1181"/>
      <c r="AR20" s="1313"/>
      <c r="AS20" s="1314"/>
      <c r="AT20" s="1185"/>
      <c r="AU20" s="1260"/>
      <c r="AV20" s="1067"/>
      <c r="AW20" s="1315" t="s">
        <v>86</v>
      </c>
      <c r="AX20" s="1311"/>
      <c r="AY20" s="1184"/>
      <c r="AZ20" s="1266"/>
      <c r="BA20" s="1312"/>
      <c r="BB20" s="1181"/>
      <c r="BC20" s="1313"/>
      <c r="BD20" s="1314"/>
      <c r="BE20" s="1185"/>
      <c r="BF20" s="1260"/>
      <c r="BG20" s="1114"/>
      <c r="BH20" s="1315" t="s">
        <v>86</v>
      </c>
      <c r="BI20" s="1311"/>
      <c r="BJ20" s="1184"/>
      <c r="BK20" s="1266"/>
      <c r="BL20" s="1312"/>
      <c r="BM20" s="1181"/>
      <c r="BN20" s="1313"/>
      <c r="BO20" s="1314"/>
      <c r="BP20" s="1185"/>
      <c r="BQ20" s="1260"/>
      <c r="BR20" s="1114"/>
      <c r="BS20" s="1315" t="s">
        <v>86</v>
      </c>
      <c r="BT20" s="1311"/>
      <c r="BU20" s="1184"/>
      <c r="BV20" s="1266"/>
      <c r="BW20" s="1312"/>
      <c r="BX20" s="1181"/>
      <c r="BY20" s="1313"/>
      <c r="BZ20" s="1314"/>
      <c r="CA20" s="1185"/>
      <c r="CB20" s="1260"/>
      <c r="CC20" s="1163"/>
      <c r="CD20" s="1193" t="s">
        <v>86</v>
      </c>
      <c r="CE20" s="1110"/>
      <c r="CF20" s="1111"/>
      <c r="CG20" s="1185"/>
      <c r="CH20" s="1112"/>
      <c r="CI20" s="1193" t="s">
        <v>86</v>
      </c>
      <c r="CJ20" s="1184"/>
      <c r="CK20" s="1111"/>
      <c r="CL20" s="1185"/>
      <c r="CM20" s="1112"/>
      <c r="CN20" s="1193" t="s">
        <v>86</v>
      </c>
      <c r="CO20" s="1184"/>
      <c r="CP20" s="1111"/>
      <c r="CQ20" s="1185"/>
      <c r="CR20" s="1114"/>
      <c r="CS20" s="1193" t="s">
        <v>86</v>
      </c>
      <c r="CT20" s="1184"/>
      <c r="CU20" s="1111"/>
      <c r="CV20" s="1185"/>
      <c r="CW20" s="1112"/>
      <c r="CX20" s="1193" t="s">
        <v>86</v>
      </c>
      <c r="CY20" s="1184"/>
      <c r="CZ20" s="1111"/>
      <c r="DA20" s="1185"/>
      <c r="DB20" s="1114"/>
      <c r="DC20" s="1193" t="s">
        <v>86</v>
      </c>
      <c r="DD20" s="1184"/>
      <c r="DE20" s="1111"/>
      <c r="DF20" s="1185"/>
      <c r="DG20" s="1114"/>
      <c r="DH20" s="1193" t="s">
        <v>86</v>
      </c>
      <c r="DI20" s="1184"/>
      <c r="DJ20" s="1111"/>
      <c r="DK20" s="1185"/>
      <c r="DL20" s="1114"/>
      <c r="DM20" s="1193" t="s">
        <v>86</v>
      </c>
      <c r="DN20" s="1184"/>
      <c r="DO20" s="1111"/>
      <c r="DP20" s="1185"/>
      <c r="DQ20" s="1114"/>
      <c r="DR20" s="1193" t="s">
        <v>86</v>
      </c>
      <c r="DS20" s="1184"/>
      <c r="DT20" s="1111"/>
      <c r="DU20" s="1185"/>
      <c r="DV20" s="1128"/>
      <c r="DW20" s="1193" t="s">
        <v>86</v>
      </c>
      <c r="DX20" s="1110"/>
      <c r="DY20" s="1111"/>
      <c r="DZ20" s="1185"/>
      <c r="EA20" s="1114"/>
      <c r="EB20" s="1193" t="s">
        <v>86</v>
      </c>
      <c r="EC20" s="1110"/>
      <c r="ED20" s="1111"/>
      <c r="EE20" s="1185"/>
      <c r="EF20" s="1128"/>
      <c r="EG20" s="1193" t="s">
        <v>86</v>
      </c>
      <c r="EH20" s="1184"/>
      <c r="EI20" s="1111"/>
      <c r="EJ20" s="1185"/>
      <c r="EK20" s="1128"/>
      <c r="EL20" s="1193" t="s">
        <v>86</v>
      </c>
      <c r="EM20" s="1184"/>
      <c r="EN20" s="1111"/>
      <c r="EO20" s="1185"/>
      <c r="EP20" s="1128"/>
      <c r="EQ20" s="1193" t="s">
        <v>86</v>
      </c>
      <c r="ER20" s="1184"/>
      <c r="ES20" s="1111"/>
      <c r="ET20" s="1185"/>
      <c r="EU20" s="1128"/>
      <c r="EV20" s="1193" t="s">
        <v>86</v>
      </c>
      <c r="EW20" s="1184"/>
      <c r="EX20" s="1111"/>
      <c r="EY20" s="1185"/>
      <c r="EZ20" s="1220"/>
      <c r="FA20" s="1193" t="s">
        <v>86</v>
      </c>
      <c r="FB20" s="1184"/>
      <c r="FC20" s="1111"/>
      <c r="FD20" s="1185"/>
      <c r="FE20" s="1220"/>
      <c r="FF20" s="1193" t="s">
        <v>86</v>
      </c>
      <c r="FG20" s="1184"/>
      <c r="FH20" s="1111"/>
      <c r="FI20" s="1185"/>
      <c r="FJ20" s="1220"/>
      <c r="FK20" s="1220"/>
      <c r="FL20" s="1193" t="s">
        <v>86</v>
      </c>
      <c r="FM20" s="1184"/>
      <c r="FN20" s="1111"/>
      <c r="FO20" s="1185"/>
      <c r="FP20" s="38"/>
      <c r="FQ20" s="796"/>
    </row>
    <row r="21" spans="1:173" ht="15" customHeight="1">
      <c r="A21" s="1291"/>
      <c r="B21" s="1327"/>
      <c r="C21" s="1324"/>
      <c r="D21" s="1114"/>
      <c r="E21" s="1125" t="s">
        <v>87</v>
      </c>
      <c r="F21" s="1311"/>
      <c r="G21" s="1184"/>
      <c r="H21" s="1266"/>
      <c r="I21" s="1312"/>
      <c r="J21" s="1181"/>
      <c r="K21" s="1313"/>
      <c r="L21" s="1314"/>
      <c r="M21" s="1185"/>
      <c r="N21" s="1260"/>
      <c r="O21" s="1597"/>
      <c r="P21" s="1125" t="s">
        <v>87</v>
      </c>
      <c r="Q21" s="1311"/>
      <c r="R21" s="1184"/>
      <c r="S21" s="1266"/>
      <c r="T21" s="1312"/>
      <c r="U21" s="1181"/>
      <c r="V21" s="1313"/>
      <c r="W21" s="1314"/>
      <c r="X21" s="1185"/>
      <c r="Y21" s="1260"/>
      <c r="Z21" s="1067"/>
      <c r="AA21" s="1317" t="s">
        <v>87</v>
      </c>
      <c r="AB21" s="1311"/>
      <c r="AC21" s="1184"/>
      <c r="AD21" s="1266"/>
      <c r="AE21" s="1312"/>
      <c r="AF21" s="1181"/>
      <c r="AG21" s="1313"/>
      <c r="AH21" s="1314"/>
      <c r="AI21" s="1185"/>
      <c r="AJ21" s="1260"/>
      <c r="AK21" s="1114"/>
      <c r="AL21" s="1318" t="s">
        <v>87</v>
      </c>
      <c r="AM21" s="1311"/>
      <c r="AN21" s="1184"/>
      <c r="AO21" s="1266"/>
      <c r="AP21" s="1312"/>
      <c r="AQ21" s="1181"/>
      <c r="AR21" s="1313"/>
      <c r="AS21" s="1314"/>
      <c r="AT21" s="1185"/>
      <c r="AU21" s="1260"/>
      <c r="AV21" s="1067"/>
      <c r="AW21" s="1317" t="s">
        <v>87</v>
      </c>
      <c r="AX21" s="1311"/>
      <c r="AY21" s="1184"/>
      <c r="AZ21" s="1266"/>
      <c r="BA21" s="1312"/>
      <c r="BB21" s="1181"/>
      <c r="BC21" s="1313"/>
      <c r="BD21" s="1314"/>
      <c r="BE21" s="1185"/>
      <c r="BF21" s="1260"/>
      <c r="BG21" s="1114"/>
      <c r="BH21" s="1317" t="s">
        <v>87</v>
      </c>
      <c r="BI21" s="1311"/>
      <c r="BJ21" s="1184"/>
      <c r="BK21" s="1266"/>
      <c r="BL21" s="1312"/>
      <c r="BM21" s="1181"/>
      <c r="BN21" s="1313"/>
      <c r="BO21" s="1314"/>
      <c r="BP21" s="1185"/>
      <c r="BQ21" s="1260"/>
      <c r="BR21" s="1114"/>
      <c r="BS21" s="1317" t="s">
        <v>87</v>
      </c>
      <c r="BT21" s="1311"/>
      <c r="BU21" s="1184"/>
      <c r="BV21" s="1266"/>
      <c r="BW21" s="1312"/>
      <c r="BX21" s="1181"/>
      <c r="BY21" s="1313"/>
      <c r="BZ21" s="1314"/>
      <c r="CA21" s="1185"/>
      <c r="CB21" s="1260"/>
      <c r="CC21" s="1163"/>
      <c r="CD21" s="1125" t="s">
        <v>87</v>
      </c>
      <c r="CE21" s="1110"/>
      <c r="CF21" s="1111"/>
      <c r="CG21" s="1185"/>
      <c r="CH21" s="1112"/>
      <c r="CI21" s="1125" t="s">
        <v>87</v>
      </c>
      <c r="CJ21" s="1184"/>
      <c r="CK21" s="1111"/>
      <c r="CL21" s="1185"/>
      <c r="CM21" s="1112"/>
      <c r="CN21" s="1125" t="s">
        <v>87</v>
      </c>
      <c r="CO21" s="1184"/>
      <c r="CP21" s="1111"/>
      <c r="CQ21" s="1185"/>
      <c r="CR21" s="1114"/>
      <c r="CS21" s="1125" t="s">
        <v>87</v>
      </c>
      <c r="CT21" s="1184"/>
      <c r="CU21" s="1111"/>
      <c r="CV21" s="1185"/>
      <c r="CW21" s="1112"/>
      <c r="CX21" s="1125" t="s">
        <v>87</v>
      </c>
      <c r="CY21" s="1184"/>
      <c r="CZ21" s="1111"/>
      <c r="DA21" s="1185"/>
      <c r="DB21" s="1114"/>
      <c r="DC21" s="1125" t="s">
        <v>87</v>
      </c>
      <c r="DD21" s="1184"/>
      <c r="DE21" s="1111"/>
      <c r="DF21" s="1185"/>
      <c r="DG21" s="1114"/>
      <c r="DH21" s="1125" t="s">
        <v>87</v>
      </c>
      <c r="DI21" s="1184"/>
      <c r="DJ21" s="1111"/>
      <c r="DK21" s="1185"/>
      <c r="DL21" s="1114"/>
      <c r="DM21" s="1125" t="s">
        <v>87</v>
      </c>
      <c r="DN21" s="1184"/>
      <c r="DO21" s="1111"/>
      <c r="DP21" s="1185"/>
      <c r="DQ21" s="1114"/>
      <c r="DR21" s="1125" t="s">
        <v>87</v>
      </c>
      <c r="DS21" s="1184"/>
      <c r="DT21" s="1111"/>
      <c r="DU21" s="1185"/>
      <c r="DV21" s="1128"/>
      <c r="DW21" s="1125" t="s">
        <v>87</v>
      </c>
      <c r="DX21" s="1110"/>
      <c r="DY21" s="1111"/>
      <c r="DZ21" s="1185"/>
      <c r="EA21" s="1114"/>
      <c r="EB21" s="1125" t="s">
        <v>87</v>
      </c>
      <c r="EC21" s="1110"/>
      <c r="ED21" s="1111"/>
      <c r="EE21" s="1185"/>
      <c r="EF21" s="1128"/>
      <c r="EG21" s="1125" t="s">
        <v>87</v>
      </c>
      <c r="EH21" s="1184"/>
      <c r="EI21" s="1111"/>
      <c r="EJ21" s="1185"/>
      <c r="EK21" s="1128"/>
      <c r="EL21" s="1125" t="s">
        <v>87</v>
      </c>
      <c r="EM21" s="1184"/>
      <c r="EN21" s="1111"/>
      <c r="EO21" s="1185"/>
      <c r="EP21" s="1128"/>
      <c r="EQ21" s="1125" t="s">
        <v>87</v>
      </c>
      <c r="ER21" s="1184"/>
      <c r="ES21" s="1111"/>
      <c r="ET21" s="1185"/>
      <c r="EU21" s="1128"/>
      <c r="EV21" s="1125" t="s">
        <v>87</v>
      </c>
      <c r="EW21" s="1184"/>
      <c r="EX21" s="1111"/>
      <c r="EY21" s="1185"/>
      <c r="EZ21" s="1220"/>
      <c r="FA21" s="1125" t="s">
        <v>87</v>
      </c>
      <c r="FB21" s="1184"/>
      <c r="FC21" s="1111"/>
      <c r="FD21" s="1185"/>
      <c r="FE21" s="1220"/>
      <c r="FF21" s="1125" t="s">
        <v>87</v>
      </c>
      <c r="FG21" s="1184"/>
      <c r="FH21" s="1111"/>
      <c r="FI21" s="1185"/>
      <c r="FJ21" s="1220"/>
      <c r="FK21" s="1220"/>
      <c r="FL21" s="1125" t="s">
        <v>87</v>
      </c>
      <c r="FM21" s="1184"/>
      <c r="FN21" s="1111"/>
      <c r="FO21" s="1185"/>
      <c r="FP21" s="38"/>
      <c r="FQ21" s="796"/>
    </row>
    <row r="22" spans="1:173" ht="15" customHeight="1">
      <c r="A22" s="1291"/>
      <c r="B22" s="1814" t="s">
        <v>359</v>
      </c>
      <c r="C22" s="1815"/>
      <c r="D22" s="1114"/>
      <c r="E22" s="1193" t="s">
        <v>101</v>
      </c>
      <c r="F22" s="1311"/>
      <c r="G22" s="1184"/>
      <c r="H22" s="1266"/>
      <c r="I22" s="1312"/>
      <c r="J22" s="1181"/>
      <c r="K22" s="1313"/>
      <c r="L22" s="1314"/>
      <c r="M22" s="1185"/>
      <c r="N22" s="1260"/>
      <c r="O22" s="1597"/>
      <c r="P22" s="1193" t="s">
        <v>101</v>
      </c>
      <c r="Q22" s="1311"/>
      <c r="R22" s="1184"/>
      <c r="S22" s="1266"/>
      <c r="T22" s="1312"/>
      <c r="U22" s="1181"/>
      <c r="V22" s="1313"/>
      <c r="W22" s="1314"/>
      <c r="X22" s="1185"/>
      <c r="Y22" s="1260"/>
      <c r="Z22" s="1067"/>
      <c r="AA22" s="1315" t="s">
        <v>101</v>
      </c>
      <c r="AB22" s="1311"/>
      <c r="AC22" s="1184"/>
      <c r="AD22" s="1266"/>
      <c r="AE22" s="1312"/>
      <c r="AF22" s="1181"/>
      <c r="AG22" s="1313"/>
      <c r="AH22" s="1314"/>
      <c r="AI22" s="1185"/>
      <c r="AJ22" s="1260"/>
      <c r="AK22" s="1114"/>
      <c r="AL22" s="1316" t="s">
        <v>101</v>
      </c>
      <c r="AM22" s="1311"/>
      <c r="AN22" s="1184"/>
      <c r="AO22" s="1266"/>
      <c r="AP22" s="1312"/>
      <c r="AQ22" s="1181"/>
      <c r="AR22" s="1313"/>
      <c r="AS22" s="1314"/>
      <c r="AT22" s="1185"/>
      <c r="AU22" s="1260"/>
      <c r="AV22" s="1067"/>
      <c r="AW22" s="1315" t="s">
        <v>101</v>
      </c>
      <c r="AX22" s="1311"/>
      <c r="AY22" s="1184"/>
      <c r="AZ22" s="1266"/>
      <c r="BA22" s="1312"/>
      <c r="BB22" s="1181"/>
      <c r="BC22" s="1313"/>
      <c r="BD22" s="1314"/>
      <c r="BE22" s="1185"/>
      <c r="BF22" s="1260"/>
      <c r="BG22" s="1114"/>
      <c r="BH22" s="1315" t="s">
        <v>101</v>
      </c>
      <c r="BI22" s="1311"/>
      <c r="BJ22" s="1184"/>
      <c r="BK22" s="1266"/>
      <c r="BL22" s="1312"/>
      <c r="BM22" s="1181"/>
      <c r="BN22" s="1313"/>
      <c r="BO22" s="1314"/>
      <c r="BP22" s="1185"/>
      <c r="BQ22" s="1260"/>
      <c r="BR22" s="1114"/>
      <c r="BS22" s="1315" t="s">
        <v>101</v>
      </c>
      <c r="BT22" s="1311"/>
      <c r="BU22" s="1184"/>
      <c r="BV22" s="1266"/>
      <c r="BW22" s="1312"/>
      <c r="BX22" s="1181"/>
      <c r="BY22" s="1313"/>
      <c r="BZ22" s="1314"/>
      <c r="CA22" s="1185"/>
      <c r="CB22" s="1260"/>
      <c r="CC22" s="1163"/>
      <c r="CD22" s="1193" t="s">
        <v>101</v>
      </c>
      <c r="CE22" s="1110"/>
      <c r="CF22" s="1111"/>
      <c r="CG22" s="1185"/>
      <c r="CH22" s="1112"/>
      <c r="CI22" s="1193" t="s">
        <v>101</v>
      </c>
      <c r="CJ22" s="1184"/>
      <c r="CK22" s="1111"/>
      <c r="CL22" s="1185"/>
      <c r="CM22" s="1112"/>
      <c r="CN22" s="1193" t="s">
        <v>101</v>
      </c>
      <c r="CO22" s="1184"/>
      <c r="CP22" s="1111"/>
      <c r="CQ22" s="1185"/>
      <c r="CR22" s="1114"/>
      <c r="CS22" s="1193" t="s">
        <v>101</v>
      </c>
      <c r="CT22" s="1184"/>
      <c r="CU22" s="1111"/>
      <c r="CV22" s="1185"/>
      <c r="CW22" s="1112"/>
      <c r="CX22" s="1193" t="s">
        <v>101</v>
      </c>
      <c r="CY22" s="1184"/>
      <c r="CZ22" s="1111"/>
      <c r="DA22" s="1185"/>
      <c r="DB22" s="1114"/>
      <c r="DC22" s="1193" t="s">
        <v>101</v>
      </c>
      <c r="DD22" s="1184"/>
      <c r="DE22" s="1111"/>
      <c r="DF22" s="1185"/>
      <c r="DG22" s="1114"/>
      <c r="DH22" s="1193" t="s">
        <v>101</v>
      </c>
      <c r="DI22" s="1184"/>
      <c r="DJ22" s="1111"/>
      <c r="DK22" s="1185"/>
      <c r="DL22" s="1114"/>
      <c r="DM22" s="1193" t="s">
        <v>101</v>
      </c>
      <c r="DN22" s="1184"/>
      <c r="DO22" s="1111"/>
      <c r="DP22" s="1185"/>
      <c r="DQ22" s="1114"/>
      <c r="DR22" s="1193" t="s">
        <v>101</v>
      </c>
      <c r="DS22" s="1184"/>
      <c r="DT22" s="1111"/>
      <c r="DU22" s="1185"/>
      <c r="DV22" s="1128"/>
      <c r="DW22" s="1193" t="s">
        <v>101</v>
      </c>
      <c r="DX22" s="1110"/>
      <c r="DY22" s="1111"/>
      <c r="DZ22" s="1185"/>
      <c r="EA22" s="1114"/>
      <c r="EB22" s="1193" t="s">
        <v>101</v>
      </c>
      <c r="EC22" s="1110"/>
      <c r="ED22" s="1111"/>
      <c r="EE22" s="1185"/>
      <c r="EF22" s="1128"/>
      <c r="EG22" s="1193" t="s">
        <v>101</v>
      </c>
      <c r="EH22" s="1184"/>
      <c r="EI22" s="1111"/>
      <c r="EJ22" s="1185"/>
      <c r="EK22" s="1128"/>
      <c r="EL22" s="1193" t="s">
        <v>101</v>
      </c>
      <c r="EM22" s="1184"/>
      <c r="EN22" s="1111"/>
      <c r="EO22" s="1185"/>
      <c r="EP22" s="1128"/>
      <c r="EQ22" s="1193" t="s">
        <v>101</v>
      </c>
      <c r="ER22" s="1184"/>
      <c r="ES22" s="1111"/>
      <c r="ET22" s="1185"/>
      <c r="EU22" s="1128"/>
      <c r="EV22" s="1193" t="s">
        <v>101</v>
      </c>
      <c r="EW22" s="1184"/>
      <c r="EX22" s="1111"/>
      <c r="EY22" s="1185"/>
      <c r="EZ22" s="1220"/>
      <c r="FA22" s="1193" t="s">
        <v>101</v>
      </c>
      <c r="FB22" s="1184"/>
      <c r="FC22" s="1111"/>
      <c r="FD22" s="1185"/>
      <c r="FE22" s="1220"/>
      <c r="FF22" s="1193" t="s">
        <v>101</v>
      </c>
      <c r="FG22" s="1184"/>
      <c r="FH22" s="1111"/>
      <c r="FI22" s="1185"/>
      <c r="FJ22" s="1220"/>
      <c r="FK22" s="1220"/>
      <c r="FL22" s="1193" t="s">
        <v>101</v>
      </c>
      <c r="FM22" s="1184"/>
      <c r="FN22" s="1111"/>
      <c r="FO22" s="1185"/>
      <c r="FP22" s="38"/>
      <c r="FQ22" s="796"/>
    </row>
    <row r="23" spans="1:173" ht="15" customHeight="1">
      <c r="A23" s="1291"/>
      <c r="B23" s="1814"/>
      <c r="C23" s="1815"/>
      <c r="D23" s="1114"/>
      <c r="E23" s="1125" t="s">
        <v>88</v>
      </c>
      <c r="F23" s="1311"/>
      <c r="G23" s="1184"/>
      <c r="H23" s="1266"/>
      <c r="I23" s="1312"/>
      <c r="J23" s="1181"/>
      <c r="K23" s="1313"/>
      <c r="L23" s="1314"/>
      <c r="M23" s="1185"/>
      <c r="N23" s="1260"/>
      <c r="O23" s="1597"/>
      <c r="P23" s="1125" t="s">
        <v>88</v>
      </c>
      <c r="Q23" s="1311"/>
      <c r="R23" s="1184"/>
      <c r="S23" s="1266"/>
      <c r="T23" s="1312"/>
      <c r="U23" s="1181"/>
      <c r="V23" s="1313"/>
      <c r="W23" s="1314"/>
      <c r="X23" s="1185"/>
      <c r="Y23" s="1260"/>
      <c r="Z23" s="1067"/>
      <c r="AA23" s="1317" t="s">
        <v>88</v>
      </c>
      <c r="AB23" s="1311"/>
      <c r="AC23" s="1184"/>
      <c r="AD23" s="1266"/>
      <c r="AE23" s="1312"/>
      <c r="AF23" s="1181"/>
      <c r="AG23" s="1313"/>
      <c r="AH23" s="1314"/>
      <c r="AI23" s="1185"/>
      <c r="AJ23" s="1260"/>
      <c r="AK23" s="1114"/>
      <c r="AL23" s="1318" t="s">
        <v>88</v>
      </c>
      <c r="AM23" s="1311"/>
      <c r="AN23" s="1184"/>
      <c r="AO23" s="1266"/>
      <c r="AP23" s="1312"/>
      <c r="AQ23" s="1181"/>
      <c r="AR23" s="1313"/>
      <c r="AS23" s="1314"/>
      <c r="AT23" s="1185"/>
      <c r="AU23" s="1260"/>
      <c r="AV23" s="1067"/>
      <c r="AW23" s="1317" t="s">
        <v>88</v>
      </c>
      <c r="AX23" s="1311"/>
      <c r="AY23" s="1184"/>
      <c r="AZ23" s="1266"/>
      <c r="BA23" s="1312"/>
      <c r="BB23" s="1181"/>
      <c r="BC23" s="1313"/>
      <c r="BD23" s="1314"/>
      <c r="BE23" s="1185"/>
      <c r="BF23" s="1260"/>
      <c r="BG23" s="1114"/>
      <c r="BH23" s="1317" t="s">
        <v>88</v>
      </c>
      <c r="BI23" s="1311"/>
      <c r="BJ23" s="1184"/>
      <c r="BK23" s="1266"/>
      <c r="BL23" s="1312"/>
      <c r="BM23" s="1181"/>
      <c r="BN23" s="1313"/>
      <c r="BO23" s="1314"/>
      <c r="BP23" s="1185"/>
      <c r="BQ23" s="1260"/>
      <c r="BR23" s="1114"/>
      <c r="BS23" s="1317" t="s">
        <v>88</v>
      </c>
      <c r="BT23" s="1311"/>
      <c r="BU23" s="1184"/>
      <c r="BV23" s="1266"/>
      <c r="BW23" s="1312"/>
      <c r="BX23" s="1181"/>
      <c r="BY23" s="1313"/>
      <c r="BZ23" s="1314"/>
      <c r="CA23" s="1185"/>
      <c r="CB23" s="1260"/>
      <c r="CC23" s="1163"/>
      <c r="CD23" s="1125" t="s">
        <v>88</v>
      </c>
      <c r="CE23" s="1110"/>
      <c r="CF23" s="1111"/>
      <c r="CG23" s="1185"/>
      <c r="CH23" s="1112"/>
      <c r="CI23" s="1125" t="s">
        <v>88</v>
      </c>
      <c r="CJ23" s="1184"/>
      <c r="CK23" s="1111"/>
      <c r="CL23" s="1185"/>
      <c r="CM23" s="1112"/>
      <c r="CN23" s="1125" t="s">
        <v>88</v>
      </c>
      <c r="CO23" s="1184"/>
      <c r="CP23" s="1111"/>
      <c r="CQ23" s="1185"/>
      <c r="CR23" s="1114"/>
      <c r="CS23" s="1125" t="s">
        <v>88</v>
      </c>
      <c r="CT23" s="1184"/>
      <c r="CU23" s="1111"/>
      <c r="CV23" s="1185"/>
      <c r="CW23" s="1112"/>
      <c r="CX23" s="1125" t="s">
        <v>88</v>
      </c>
      <c r="CY23" s="1184"/>
      <c r="CZ23" s="1111"/>
      <c r="DA23" s="1185"/>
      <c r="DB23" s="1114"/>
      <c r="DC23" s="1125" t="s">
        <v>88</v>
      </c>
      <c r="DD23" s="1184"/>
      <c r="DE23" s="1111"/>
      <c r="DF23" s="1185"/>
      <c r="DG23" s="1114"/>
      <c r="DH23" s="1125" t="s">
        <v>88</v>
      </c>
      <c r="DI23" s="1184"/>
      <c r="DJ23" s="1111"/>
      <c r="DK23" s="1185"/>
      <c r="DL23" s="1114"/>
      <c r="DM23" s="1125" t="s">
        <v>88</v>
      </c>
      <c r="DN23" s="1184"/>
      <c r="DO23" s="1111"/>
      <c r="DP23" s="1185"/>
      <c r="DQ23" s="1114"/>
      <c r="DR23" s="1125" t="s">
        <v>88</v>
      </c>
      <c r="DS23" s="1184"/>
      <c r="DT23" s="1111"/>
      <c r="DU23" s="1185"/>
      <c r="DV23" s="1128"/>
      <c r="DW23" s="1125" t="s">
        <v>88</v>
      </c>
      <c r="DX23" s="1110"/>
      <c r="DY23" s="1111"/>
      <c r="DZ23" s="1185"/>
      <c r="EA23" s="1114"/>
      <c r="EB23" s="1125" t="s">
        <v>88</v>
      </c>
      <c r="EC23" s="1110"/>
      <c r="ED23" s="1111"/>
      <c r="EE23" s="1185"/>
      <c r="EF23" s="1128"/>
      <c r="EG23" s="1125" t="s">
        <v>88</v>
      </c>
      <c r="EH23" s="1184"/>
      <c r="EI23" s="1111"/>
      <c r="EJ23" s="1185"/>
      <c r="EK23" s="1128"/>
      <c r="EL23" s="1125" t="s">
        <v>88</v>
      </c>
      <c r="EM23" s="1184"/>
      <c r="EN23" s="1111"/>
      <c r="EO23" s="1185"/>
      <c r="EP23" s="1128"/>
      <c r="EQ23" s="1125" t="s">
        <v>88</v>
      </c>
      <c r="ER23" s="1184"/>
      <c r="ES23" s="1111"/>
      <c r="ET23" s="1185"/>
      <c r="EU23" s="1128"/>
      <c r="EV23" s="1125" t="s">
        <v>88</v>
      </c>
      <c r="EW23" s="1184"/>
      <c r="EX23" s="1111"/>
      <c r="EY23" s="1185"/>
      <c r="EZ23" s="1220"/>
      <c r="FA23" s="1125" t="s">
        <v>88</v>
      </c>
      <c r="FB23" s="1184"/>
      <c r="FC23" s="1111"/>
      <c r="FD23" s="1185"/>
      <c r="FE23" s="1220"/>
      <c r="FF23" s="1125" t="s">
        <v>88</v>
      </c>
      <c r="FG23" s="1184"/>
      <c r="FH23" s="1111"/>
      <c r="FI23" s="1185"/>
      <c r="FJ23" s="1220"/>
      <c r="FK23" s="1220"/>
      <c r="FL23" s="1125" t="s">
        <v>88</v>
      </c>
      <c r="FM23" s="1184"/>
      <c r="FN23" s="1111"/>
      <c r="FO23" s="1185"/>
      <c r="FP23" s="38"/>
      <c r="FQ23" s="796"/>
    </row>
    <row r="24" spans="1:173" ht="15" customHeight="1" thickBot="1">
      <c r="A24" s="1291"/>
      <c r="B24" s="1816"/>
      <c r="C24" s="1817"/>
      <c r="D24" s="1114"/>
      <c r="E24" s="1193" t="s">
        <v>89</v>
      </c>
      <c r="F24" s="1311"/>
      <c r="G24" s="1184"/>
      <c r="H24" s="1266"/>
      <c r="I24" s="1312"/>
      <c r="J24" s="1181"/>
      <c r="K24" s="1313"/>
      <c r="L24" s="1314"/>
      <c r="M24" s="1185"/>
      <c r="N24" s="1260"/>
      <c r="O24" s="1597"/>
      <c r="P24" s="1193" t="s">
        <v>89</v>
      </c>
      <c r="Q24" s="1311"/>
      <c r="R24" s="1184"/>
      <c r="S24" s="1266"/>
      <c r="T24" s="1312"/>
      <c r="U24" s="1181"/>
      <c r="V24" s="1313"/>
      <c r="W24" s="1314"/>
      <c r="X24" s="1185"/>
      <c r="Y24" s="1260"/>
      <c r="Z24" s="1067"/>
      <c r="AA24" s="1315" t="s">
        <v>89</v>
      </c>
      <c r="AB24" s="1311"/>
      <c r="AC24" s="1184"/>
      <c r="AD24" s="1266"/>
      <c r="AE24" s="1312"/>
      <c r="AF24" s="1181"/>
      <c r="AG24" s="1313"/>
      <c r="AH24" s="1314"/>
      <c r="AI24" s="1185"/>
      <c r="AJ24" s="1260"/>
      <c r="AK24" s="1114"/>
      <c r="AL24" s="1316" t="s">
        <v>89</v>
      </c>
      <c r="AM24" s="1311"/>
      <c r="AN24" s="1184"/>
      <c r="AO24" s="1266"/>
      <c r="AP24" s="1312"/>
      <c r="AQ24" s="1181"/>
      <c r="AR24" s="1313"/>
      <c r="AS24" s="1314"/>
      <c r="AT24" s="1185"/>
      <c r="AU24" s="1260"/>
      <c r="AV24" s="1067"/>
      <c r="AW24" s="1315" t="s">
        <v>89</v>
      </c>
      <c r="AX24" s="1311"/>
      <c r="AY24" s="1184"/>
      <c r="AZ24" s="1266"/>
      <c r="BA24" s="1312"/>
      <c r="BB24" s="1181"/>
      <c r="BC24" s="1313"/>
      <c r="BD24" s="1314"/>
      <c r="BE24" s="1185"/>
      <c r="BF24" s="1260"/>
      <c r="BG24" s="1114"/>
      <c r="BH24" s="1315" t="s">
        <v>89</v>
      </c>
      <c r="BI24" s="1311"/>
      <c r="BJ24" s="1184"/>
      <c r="BK24" s="1266"/>
      <c r="BL24" s="1312"/>
      <c r="BM24" s="1181"/>
      <c r="BN24" s="1313"/>
      <c r="BO24" s="1314"/>
      <c r="BP24" s="1185"/>
      <c r="BQ24" s="1260"/>
      <c r="BR24" s="1114"/>
      <c r="BS24" s="1315" t="s">
        <v>89</v>
      </c>
      <c r="BT24" s="1311"/>
      <c r="BU24" s="1184"/>
      <c r="BV24" s="1266"/>
      <c r="BW24" s="1312"/>
      <c r="BX24" s="1181"/>
      <c r="BY24" s="1313"/>
      <c r="BZ24" s="1314"/>
      <c r="CA24" s="1185"/>
      <c r="CB24" s="1260"/>
      <c r="CC24" s="1163"/>
      <c r="CD24" s="1193" t="s">
        <v>89</v>
      </c>
      <c r="CE24" s="1110"/>
      <c r="CF24" s="1111"/>
      <c r="CG24" s="1185"/>
      <c r="CH24" s="1112"/>
      <c r="CI24" s="1193" t="s">
        <v>89</v>
      </c>
      <c r="CJ24" s="1184"/>
      <c r="CK24" s="1111"/>
      <c r="CL24" s="1185"/>
      <c r="CM24" s="1112"/>
      <c r="CN24" s="1193" t="s">
        <v>89</v>
      </c>
      <c r="CO24" s="1184"/>
      <c r="CP24" s="1111"/>
      <c r="CQ24" s="1185"/>
      <c r="CR24" s="1114"/>
      <c r="CS24" s="1193" t="s">
        <v>89</v>
      </c>
      <c r="CT24" s="1184"/>
      <c r="CU24" s="1111"/>
      <c r="CV24" s="1185"/>
      <c r="CW24" s="1112"/>
      <c r="CX24" s="1193" t="s">
        <v>89</v>
      </c>
      <c r="CY24" s="1184"/>
      <c r="CZ24" s="1111"/>
      <c r="DA24" s="1185"/>
      <c r="DB24" s="1114"/>
      <c r="DC24" s="1193" t="s">
        <v>89</v>
      </c>
      <c r="DD24" s="1184"/>
      <c r="DE24" s="1111"/>
      <c r="DF24" s="1185"/>
      <c r="DG24" s="1114"/>
      <c r="DH24" s="1193" t="s">
        <v>89</v>
      </c>
      <c r="DI24" s="1184"/>
      <c r="DJ24" s="1111"/>
      <c r="DK24" s="1185"/>
      <c r="DL24" s="1114"/>
      <c r="DM24" s="1193" t="s">
        <v>89</v>
      </c>
      <c r="DN24" s="1184"/>
      <c r="DO24" s="1111"/>
      <c r="DP24" s="1185"/>
      <c r="DQ24" s="1114"/>
      <c r="DR24" s="1193" t="s">
        <v>89</v>
      </c>
      <c r="DS24" s="1184"/>
      <c r="DT24" s="1111"/>
      <c r="DU24" s="1185"/>
      <c r="DV24" s="1128"/>
      <c r="DW24" s="1193" t="s">
        <v>89</v>
      </c>
      <c r="DX24" s="1110"/>
      <c r="DY24" s="1111"/>
      <c r="DZ24" s="1185"/>
      <c r="EA24" s="1114"/>
      <c r="EB24" s="1193" t="s">
        <v>89</v>
      </c>
      <c r="EC24" s="1110"/>
      <c r="ED24" s="1111"/>
      <c r="EE24" s="1185"/>
      <c r="EF24" s="1128"/>
      <c r="EG24" s="1193" t="s">
        <v>89</v>
      </c>
      <c r="EH24" s="1184"/>
      <c r="EI24" s="1111"/>
      <c r="EJ24" s="1185"/>
      <c r="EK24" s="1128"/>
      <c r="EL24" s="1193" t="s">
        <v>89</v>
      </c>
      <c r="EM24" s="1184"/>
      <c r="EN24" s="1111"/>
      <c r="EO24" s="1185"/>
      <c r="EP24" s="1128"/>
      <c r="EQ24" s="1193" t="s">
        <v>89</v>
      </c>
      <c r="ER24" s="1184"/>
      <c r="ES24" s="1111"/>
      <c r="ET24" s="1185"/>
      <c r="EU24" s="1128"/>
      <c r="EV24" s="1193" t="s">
        <v>89</v>
      </c>
      <c r="EW24" s="1184"/>
      <c r="EX24" s="1111"/>
      <c r="EY24" s="1185"/>
      <c r="EZ24" s="1220"/>
      <c r="FA24" s="1193" t="s">
        <v>89</v>
      </c>
      <c r="FB24" s="1184"/>
      <c r="FC24" s="1111"/>
      <c r="FD24" s="1185"/>
      <c r="FE24" s="1220"/>
      <c r="FF24" s="1193" t="s">
        <v>89</v>
      </c>
      <c r="FG24" s="1184"/>
      <c r="FH24" s="1111"/>
      <c r="FI24" s="1185"/>
      <c r="FJ24" s="1220"/>
      <c r="FK24" s="1220"/>
      <c r="FL24" s="1193" t="s">
        <v>89</v>
      </c>
      <c r="FM24" s="1184"/>
      <c r="FN24" s="1111"/>
      <c r="FO24" s="1185"/>
      <c r="FP24" s="38"/>
      <c r="FQ24" s="796"/>
    </row>
    <row r="25" spans="1:173" ht="15" customHeight="1">
      <c r="A25" s="1802" t="s">
        <v>359</v>
      </c>
      <c r="B25" s="1802"/>
      <c r="C25" s="1802"/>
      <c r="D25" s="1114"/>
      <c r="E25" s="1125" t="s">
        <v>90</v>
      </c>
      <c r="F25" s="1311"/>
      <c r="G25" s="1184"/>
      <c r="H25" s="1266"/>
      <c r="I25" s="1312"/>
      <c r="J25" s="1181"/>
      <c r="K25" s="1313"/>
      <c r="L25" s="1314"/>
      <c r="M25" s="1185"/>
      <c r="N25" s="1260"/>
      <c r="O25" s="1597"/>
      <c r="P25" s="1125" t="s">
        <v>90</v>
      </c>
      <c r="Q25" s="1311"/>
      <c r="R25" s="1184"/>
      <c r="S25" s="1266"/>
      <c r="T25" s="1312"/>
      <c r="U25" s="1181"/>
      <c r="V25" s="1313"/>
      <c r="W25" s="1314"/>
      <c r="X25" s="1185"/>
      <c r="Y25" s="1260"/>
      <c r="Z25" s="1067"/>
      <c r="AA25" s="1317" t="s">
        <v>90</v>
      </c>
      <c r="AB25" s="1311"/>
      <c r="AC25" s="1184"/>
      <c r="AD25" s="1266"/>
      <c r="AE25" s="1312"/>
      <c r="AF25" s="1181"/>
      <c r="AG25" s="1313"/>
      <c r="AH25" s="1314"/>
      <c r="AI25" s="1185"/>
      <c r="AJ25" s="1260"/>
      <c r="AK25" s="1114"/>
      <c r="AL25" s="1318" t="s">
        <v>90</v>
      </c>
      <c r="AM25" s="1311"/>
      <c r="AN25" s="1184"/>
      <c r="AO25" s="1266"/>
      <c r="AP25" s="1312"/>
      <c r="AQ25" s="1181"/>
      <c r="AR25" s="1313"/>
      <c r="AS25" s="1314"/>
      <c r="AT25" s="1185"/>
      <c r="AU25" s="1260"/>
      <c r="AV25" s="1067"/>
      <c r="AW25" s="1317" t="s">
        <v>90</v>
      </c>
      <c r="AX25" s="1311"/>
      <c r="AY25" s="1184"/>
      <c r="AZ25" s="1266"/>
      <c r="BA25" s="1312"/>
      <c r="BB25" s="1181"/>
      <c r="BC25" s="1313"/>
      <c r="BD25" s="1314"/>
      <c r="BE25" s="1185"/>
      <c r="BF25" s="1260"/>
      <c r="BG25" s="1114"/>
      <c r="BH25" s="1317" t="s">
        <v>90</v>
      </c>
      <c r="BI25" s="1311"/>
      <c r="BJ25" s="1184"/>
      <c r="BK25" s="1266"/>
      <c r="BL25" s="1312"/>
      <c r="BM25" s="1181"/>
      <c r="BN25" s="1313"/>
      <c r="BO25" s="1314"/>
      <c r="BP25" s="1185"/>
      <c r="BQ25" s="1260"/>
      <c r="BR25" s="1114"/>
      <c r="BS25" s="1317" t="s">
        <v>90</v>
      </c>
      <c r="BT25" s="1311"/>
      <c r="BU25" s="1184"/>
      <c r="BV25" s="1266"/>
      <c r="BW25" s="1312"/>
      <c r="BX25" s="1181"/>
      <c r="BY25" s="1313"/>
      <c r="BZ25" s="1314"/>
      <c r="CA25" s="1185"/>
      <c r="CB25" s="1260"/>
      <c r="CC25" s="1163"/>
      <c r="CD25" s="1125" t="s">
        <v>90</v>
      </c>
      <c r="CE25" s="1110"/>
      <c r="CF25" s="1111"/>
      <c r="CG25" s="1185"/>
      <c r="CH25" s="1112"/>
      <c r="CI25" s="1125" t="s">
        <v>90</v>
      </c>
      <c r="CJ25" s="1184"/>
      <c r="CK25" s="1111"/>
      <c r="CL25" s="1185"/>
      <c r="CM25" s="1112"/>
      <c r="CN25" s="1125" t="s">
        <v>90</v>
      </c>
      <c r="CO25" s="1184"/>
      <c r="CP25" s="1111"/>
      <c r="CQ25" s="1185"/>
      <c r="CR25" s="1114"/>
      <c r="CS25" s="1125" t="s">
        <v>90</v>
      </c>
      <c r="CT25" s="1184"/>
      <c r="CU25" s="1111"/>
      <c r="CV25" s="1185"/>
      <c r="CW25" s="1112"/>
      <c r="CX25" s="1125" t="s">
        <v>90</v>
      </c>
      <c r="CY25" s="1184"/>
      <c r="CZ25" s="1111"/>
      <c r="DA25" s="1185"/>
      <c r="DB25" s="1114"/>
      <c r="DC25" s="1125" t="s">
        <v>90</v>
      </c>
      <c r="DD25" s="1184"/>
      <c r="DE25" s="1111"/>
      <c r="DF25" s="1185"/>
      <c r="DG25" s="1114"/>
      <c r="DH25" s="1125" t="s">
        <v>90</v>
      </c>
      <c r="DI25" s="1184"/>
      <c r="DJ25" s="1111"/>
      <c r="DK25" s="1185"/>
      <c r="DL25" s="1114"/>
      <c r="DM25" s="1125" t="s">
        <v>90</v>
      </c>
      <c r="DN25" s="1184"/>
      <c r="DO25" s="1111"/>
      <c r="DP25" s="1185"/>
      <c r="DQ25" s="1114"/>
      <c r="DR25" s="1125" t="s">
        <v>90</v>
      </c>
      <c r="DS25" s="1184"/>
      <c r="DT25" s="1111"/>
      <c r="DU25" s="1185"/>
      <c r="DV25" s="1128"/>
      <c r="DW25" s="1125" t="s">
        <v>90</v>
      </c>
      <c r="DX25" s="1110"/>
      <c r="DY25" s="1111"/>
      <c r="DZ25" s="1185"/>
      <c r="EA25" s="1114"/>
      <c r="EB25" s="1125" t="s">
        <v>90</v>
      </c>
      <c r="EC25" s="1110"/>
      <c r="ED25" s="1111"/>
      <c r="EE25" s="1185"/>
      <c r="EF25" s="1128"/>
      <c r="EG25" s="1125" t="s">
        <v>90</v>
      </c>
      <c r="EH25" s="1184"/>
      <c r="EI25" s="1111"/>
      <c r="EJ25" s="1185"/>
      <c r="EK25" s="1128"/>
      <c r="EL25" s="1125" t="s">
        <v>90</v>
      </c>
      <c r="EM25" s="1184"/>
      <c r="EN25" s="1111"/>
      <c r="EO25" s="1185"/>
      <c r="EP25" s="1128"/>
      <c r="EQ25" s="1125" t="s">
        <v>90</v>
      </c>
      <c r="ER25" s="1184"/>
      <c r="ES25" s="1111"/>
      <c r="ET25" s="1185"/>
      <c r="EU25" s="1128"/>
      <c r="EV25" s="1125" t="s">
        <v>90</v>
      </c>
      <c r="EW25" s="1184"/>
      <c r="EX25" s="1111"/>
      <c r="EY25" s="1185"/>
      <c r="EZ25" s="1220"/>
      <c r="FA25" s="1125" t="s">
        <v>90</v>
      </c>
      <c r="FB25" s="1184"/>
      <c r="FC25" s="1111"/>
      <c r="FD25" s="1185"/>
      <c r="FE25" s="1220"/>
      <c r="FF25" s="1125" t="s">
        <v>90</v>
      </c>
      <c r="FG25" s="1184"/>
      <c r="FH25" s="1111"/>
      <c r="FI25" s="1185"/>
      <c r="FJ25" s="1220"/>
      <c r="FK25" s="1220"/>
      <c r="FL25" s="1125" t="s">
        <v>90</v>
      </c>
      <c r="FM25" s="1184"/>
      <c r="FN25" s="1111"/>
      <c r="FO25" s="1185"/>
      <c r="FP25" s="38"/>
      <c r="FQ25" s="796"/>
    </row>
    <row r="26" spans="1:173" ht="15" customHeight="1">
      <c r="A26" s="1802"/>
      <c r="B26" s="1802"/>
      <c r="C26" s="1802"/>
      <c r="D26" s="1114"/>
      <c r="E26" s="1193" t="s">
        <v>93</v>
      </c>
      <c r="F26" s="1311"/>
      <c r="G26" s="1184"/>
      <c r="H26" s="1266"/>
      <c r="I26" s="1312"/>
      <c r="J26" s="1181"/>
      <c r="K26" s="1313"/>
      <c r="L26" s="1314"/>
      <c r="M26" s="1185"/>
      <c r="N26" s="1260"/>
      <c r="O26" s="1597"/>
      <c r="P26" s="1193" t="s">
        <v>93</v>
      </c>
      <c r="Q26" s="1311"/>
      <c r="R26" s="1184"/>
      <c r="S26" s="1266"/>
      <c r="T26" s="1312"/>
      <c r="U26" s="1181"/>
      <c r="V26" s="1313"/>
      <c r="W26" s="1314"/>
      <c r="X26" s="1185"/>
      <c r="Y26" s="1260"/>
      <c r="Z26" s="1067"/>
      <c r="AA26" s="1315" t="s">
        <v>93</v>
      </c>
      <c r="AB26" s="1311"/>
      <c r="AC26" s="1184"/>
      <c r="AD26" s="1266"/>
      <c r="AE26" s="1312"/>
      <c r="AF26" s="1181"/>
      <c r="AG26" s="1313"/>
      <c r="AH26" s="1314"/>
      <c r="AI26" s="1185"/>
      <c r="AJ26" s="1260"/>
      <c r="AK26" s="1114"/>
      <c r="AL26" s="1316" t="s">
        <v>93</v>
      </c>
      <c r="AM26" s="1311"/>
      <c r="AN26" s="1184"/>
      <c r="AO26" s="1266"/>
      <c r="AP26" s="1312"/>
      <c r="AQ26" s="1181"/>
      <c r="AR26" s="1313"/>
      <c r="AS26" s="1314"/>
      <c r="AT26" s="1185"/>
      <c r="AU26" s="1260"/>
      <c r="AV26" s="1067"/>
      <c r="AW26" s="1315" t="s">
        <v>93</v>
      </c>
      <c r="AX26" s="1311"/>
      <c r="AY26" s="1184"/>
      <c r="AZ26" s="1266"/>
      <c r="BA26" s="1312"/>
      <c r="BB26" s="1181"/>
      <c r="BC26" s="1313"/>
      <c r="BD26" s="1314"/>
      <c r="BE26" s="1185"/>
      <c r="BF26" s="1260"/>
      <c r="BG26" s="1114"/>
      <c r="BH26" s="1315" t="s">
        <v>93</v>
      </c>
      <c r="BI26" s="1311"/>
      <c r="BJ26" s="1184"/>
      <c r="BK26" s="1266"/>
      <c r="BL26" s="1312"/>
      <c r="BM26" s="1181"/>
      <c r="BN26" s="1313"/>
      <c r="BO26" s="1314"/>
      <c r="BP26" s="1185"/>
      <c r="BQ26" s="1260"/>
      <c r="BR26" s="1114"/>
      <c r="BS26" s="1315" t="s">
        <v>93</v>
      </c>
      <c r="BT26" s="1311"/>
      <c r="BU26" s="1184"/>
      <c r="BV26" s="1266"/>
      <c r="BW26" s="1312"/>
      <c r="BX26" s="1181"/>
      <c r="BY26" s="1313"/>
      <c r="BZ26" s="1314"/>
      <c r="CA26" s="1185"/>
      <c r="CB26" s="1260"/>
      <c r="CC26" s="1163"/>
      <c r="CD26" s="1193" t="s">
        <v>93</v>
      </c>
      <c r="CE26" s="1110"/>
      <c r="CF26" s="1111"/>
      <c r="CG26" s="1185"/>
      <c r="CH26" s="1112"/>
      <c r="CI26" s="1193" t="s">
        <v>93</v>
      </c>
      <c r="CJ26" s="1184"/>
      <c r="CK26" s="1111"/>
      <c r="CL26" s="1185"/>
      <c r="CM26" s="1112"/>
      <c r="CN26" s="1193" t="s">
        <v>93</v>
      </c>
      <c r="CO26" s="1184"/>
      <c r="CP26" s="1111"/>
      <c r="CQ26" s="1185"/>
      <c r="CR26" s="1114"/>
      <c r="CS26" s="1193" t="s">
        <v>93</v>
      </c>
      <c r="CT26" s="1184"/>
      <c r="CU26" s="1111"/>
      <c r="CV26" s="1185"/>
      <c r="CW26" s="1112"/>
      <c r="CX26" s="1193" t="s">
        <v>93</v>
      </c>
      <c r="CY26" s="1184"/>
      <c r="CZ26" s="1111"/>
      <c r="DA26" s="1185"/>
      <c r="DB26" s="1114"/>
      <c r="DC26" s="1193" t="s">
        <v>93</v>
      </c>
      <c r="DD26" s="1184"/>
      <c r="DE26" s="1111"/>
      <c r="DF26" s="1185"/>
      <c r="DG26" s="1114"/>
      <c r="DH26" s="1193" t="s">
        <v>93</v>
      </c>
      <c r="DI26" s="1184"/>
      <c r="DJ26" s="1111"/>
      <c r="DK26" s="1185"/>
      <c r="DL26" s="1114"/>
      <c r="DM26" s="1193" t="s">
        <v>93</v>
      </c>
      <c r="DN26" s="1184"/>
      <c r="DO26" s="1111"/>
      <c r="DP26" s="1185"/>
      <c r="DQ26" s="1114"/>
      <c r="DR26" s="1193" t="s">
        <v>93</v>
      </c>
      <c r="DS26" s="1184"/>
      <c r="DT26" s="1111"/>
      <c r="DU26" s="1185"/>
      <c r="DV26" s="1128"/>
      <c r="DW26" s="1193" t="s">
        <v>93</v>
      </c>
      <c r="DX26" s="1110"/>
      <c r="DY26" s="1111"/>
      <c r="DZ26" s="1185"/>
      <c r="EA26" s="1114"/>
      <c r="EB26" s="1193" t="s">
        <v>93</v>
      </c>
      <c r="EC26" s="1110"/>
      <c r="ED26" s="1111"/>
      <c r="EE26" s="1185"/>
      <c r="EF26" s="1128"/>
      <c r="EG26" s="1193" t="s">
        <v>93</v>
      </c>
      <c r="EH26" s="1184"/>
      <c r="EI26" s="1111"/>
      <c r="EJ26" s="1185"/>
      <c r="EK26" s="1128"/>
      <c r="EL26" s="1193" t="s">
        <v>93</v>
      </c>
      <c r="EM26" s="1184"/>
      <c r="EN26" s="1111"/>
      <c r="EO26" s="1185"/>
      <c r="EP26" s="1128"/>
      <c r="EQ26" s="1193" t="s">
        <v>93</v>
      </c>
      <c r="ER26" s="1184"/>
      <c r="ES26" s="1111"/>
      <c r="ET26" s="1185"/>
      <c r="EU26" s="1128"/>
      <c r="EV26" s="1193" t="s">
        <v>93</v>
      </c>
      <c r="EW26" s="1184"/>
      <c r="EX26" s="1111"/>
      <c r="EY26" s="1185"/>
      <c r="EZ26" s="1220"/>
      <c r="FA26" s="1193" t="s">
        <v>93</v>
      </c>
      <c r="FB26" s="1184"/>
      <c r="FC26" s="1111"/>
      <c r="FD26" s="1185"/>
      <c r="FE26" s="1220"/>
      <c r="FF26" s="1193" t="s">
        <v>93</v>
      </c>
      <c r="FG26" s="1184"/>
      <c r="FH26" s="1111"/>
      <c r="FI26" s="1185"/>
      <c r="FJ26" s="1220"/>
      <c r="FK26" s="1220"/>
      <c r="FL26" s="1193" t="s">
        <v>93</v>
      </c>
      <c r="FM26" s="1184"/>
      <c r="FN26" s="1111"/>
      <c r="FO26" s="1185"/>
      <c r="FP26" s="38"/>
      <c r="FQ26" s="796"/>
    </row>
    <row r="27" spans="1:173" ht="15" customHeight="1">
      <c r="A27" s="1802"/>
      <c r="B27" s="1802"/>
      <c r="C27" s="1802"/>
      <c r="D27" s="1114"/>
      <c r="E27" s="1125" t="s">
        <v>91</v>
      </c>
      <c r="F27" s="1311"/>
      <c r="G27" s="1184"/>
      <c r="H27" s="1266"/>
      <c r="I27" s="1312"/>
      <c r="J27" s="1181"/>
      <c r="K27" s="1313"/>
      <c r="L27" s="1314"/>
      <c r="M27" s="1185"/>
      <c r="N27" s="1260"/>
      <c r="O27" s="1597"/>
      <c r="P27" s="1125" t="s">
        <v>91</v>
      </c>
      <c r="Q27" s="1311"/>
      <c r="R27" s="1184"/>
      <c r="S27" s="1266"/>
      <c r="T27" s="1312"/>
      <c r="U27" s="1181"/>
      <c r="V27" s="1313"/>
      <c r="W27" s="1314"/>
      <c r="X27" s="1185"/>
      <c r="Y27" s="1260"/>
      <c r="Z27" s="1067"/>
      <c r="AA27" s="1317" t="s">
        <v>91</v>
      </c>
      <c r="AB27" s="1311"/>
      <c r="AC27" s="1184"/>
      <c r="AD27" s="1266"/>
      <c r="AE27" s="1312"/>
      <c r="AF27" s="1181"/>
      <c r="AG27" s="1313"/>
      <c r="AH27" s="1314"/>
      <c r="AI27" s="1185"/>
      <c r="AJ27" s="1260"/>
      <c r="AK27" s="1114"/>
      <c r="AL27" s="1318" t="s">
        <v>91</v>
      </c>
      <c r="AM27" s="1311"/>
      <c r="AN27" s="1184"/>
      <c r="AO27" s="1266"/>
      <c r="AP27" s="1312"/>
      <c r="AQ27" s="1181"/>
      <c r="AR27" s="1313"/>
      <c r="AS27" s="1314"/>
      <c r="AT27" s="1185"/>
      <c r="AU27" s="1260"/>
      <c r="AV27" s="1067"/>
      <c r="AW27" s="1317" t="s">
        <v>91</v>
      </c>
      <c r="AX27" s="1311"/>
      <c r="AY27" s="1184"/>
      <c r="AZ27" s="1266"/>
      <c r="BA27" s="1312"/>
      <c r="BB27" s="1181"/>
      <c r="BC27" s="1313"/>
      <c r="BD27" s="1314"/>
      <c r="BE27" s="1185"/>
      <c r="BF27" s="1260"/>
      <c r="BG27" s="1114"/>
      <c r="BH27" s="1317" t="s">
        <v>91</v>
      </c>
      <c r="BI27" s="1311"/>
      <c r="BJ27" s="1184"/>
      <c r="BK27" s="1266"/>
      <c r="BL27" s="1312"/>
      <c r="BM27" s="1181"/>
      <c r="BN27" s="1313"/>
      <c r="BO27" s="1314"/>
      <c r="BP27" s="1185"/>
      <c r="BQ27" s="1260"/>
      <c r="BR27" s="1114"/>
      <c r="BS27" s="1317" t="s">
        <v>91</v>
      </c>
      <c r="BT27" s="1311"/>
      <c r="BU27" s="1184"/>
      <c r="BV27" s="1266"/>
      <c r="BW27" s="1312"/>
      <c r="BX27" s="1181"/>
      <c r="BY27" s="1313"/>
      <c r="BZ27" s="1314"/>
      <c r="CA27" s="1185"/>
      <c r="CB27" s="1260"/>
      <c r="CC27" s="1163"/>
      <c r="CD27" s="1125" t="s">
        <v>91</v>
      </c>
      <c r="CE27" s="1110"/>
      <c r="CF27" s="1111"/>
      <c r="CG27" s="1185"/>
      <c r="CH27" s="1112"/>
      <c r="CI27" s="1125" t="s">
        <v>91</v>
      </c>
      <c r="CJ27" s="1184"/>
      <c r="CK27" s="1111"/>
      <c r="CL27" s="1185"/>
      <c r="CM27" s="1112"/>
      <c r="CN27" s="1125" t="s">
        <v>91</v>
      </c>
      <c r="CO27" s="1110"/>
      <c r="CP27" s="1111"/>
      <c r="CQ27" s="1185"/>
      <c r="CR27" s="1114"/>
      <c r="CS27" s="1125" t="s">
        <v>91</v>
      </c>
      <c r="CT27" s="1184"/>
      <c r="CU27" s="1111"/>
      <c r="CV27" s="1185"/>
      <c r="CW27" s="1112"/>
      <c r="CX27" s="1125" t="s">
        <v>91</v>
      </c>
      <c r="CY27" s="1184"/>
      <c r="CZ27" s="1111"/>
      <c r="DA27" s="1185"/>
      <c r="DB27" s="1114"/>
      <c r="DC27" s="1125" t="s">
        <v>91</v>
      </c>
      <c r="DD27" s="1184"/>
      <c r="DE27" s="1111"/>
      <c r="DF27" s="1185"/>
      <c r="DG27" s="1114"/>
      <c r="DH27" s="1125" t="s">
        <v>91</v>
      </c>
      <c r="DI27" s="1184"/>
      <c r="DJ27" s="1111"/>
      <c r="DK27" s="1185"/>
      <c r="DL27" s="1114"/>
      <c r="DM27" s="1125" t="s">
        <v>91</v>
      </c>
      <c r="DN27" s="1184"/>
      <c r="DO27" s="1111"/>
      <c r="DP27" s="1185"/>
      <c r="DQ27" s="1114"/>
      <c r="DR27" s="1125" t="s">
        <v>91</v>
      </c>
      <c r="DS27" s="1184"/>
      <c r="DT27" s="1111"/>
      <c r="DU27" s="1185"/>
      <c r="DV27" s="1128"/>
      <c r="DW27" s="1125" t="s">
        <v>91</v>
      </c>
      <c r="DX27" s="1110"/>
      <c r="DY27" s="1111"/>
      <c r="DZ27" s="1185"/>
      <c r="EA27" s="1114"/>
      <c r="EB27" s="1125" t="s">
        <v>91</v>
      </c>
      <c r="EC27" s="1110"/>
      <c r="ED27" s="1111"/>
      <c r="EE27" s="1185"/>
      <c r="EF27" s="1128"/>
      <c r="EG27" s="1125" t="s">
        <v>91</v>
      </c>
      <c r="EH27" s="1184"/>
      <c r="EI27" s="1111"/>
      <c r="EJ27" s="1185"/>
      <c r="EK27" s="1128"/>
      <c r="EL27" s="1125" t="s">
        <v>91</v>
      </c>
      <c r="EM27" s="1184"/>
      <c r="EN27" s="1111"/>
      <c r="EO27" s="1185"/>
      <c r="EP27" s="1128"/>
      <c r="EQ27" s="1125" t="s">
        <v>91</v>
      </c>
      <c r="ER27" s="1184"/>
      <c r="ES27" s="1111"/>
      <c r="ET27" s="1185"/>
      <c r="EU27" s="1128"/>
      <c r="EV27" s="1125" t="s">
        <v>91</v>
      </c>
      <c r="EW27" s="1184"/>
      <c r="EX27" s="1111"/>
      <c r="EY27" s="1185"/>
      <c r="EZ27" s="1220"/>
      <c r="FA27" s="1125" t="s">
        <v>91</v>
      </c>
      <c r="FB27" s="1184"/>
      <c r="FC27" s="1111"/>
      <c r="FD27" s="1185"/>
      <c r="FE27" s="1220"/>
      <c r="FF27" s="1125" t="s">
        <v>91</v>
      </c>
      <c r="FG27" s="1184"/>
      <c r="FH27" s="1111"/>
      <c r="FI27" s="1185"/>
      <c r="FJ27" s="1220"/>
      <c r="FK27" s="1220"/>
      <c r="FL27" s="1125" t="s">
        <v>91</v>
      </c>
      <c r="FM27" s="1184"/>
      <c r="FN27" s="1111"/>
      <c r="FO27" s="1185"/>
      <c r="FP27" s="38"/>
      <c r="FQ27" s="796"/>
    </row>
    <row r="28" spans="1:173" ht="15" customHeight="1" thickBot="1">
      <c r="A28" s="1802"/>
      <c r="B28" s="1802"/>
      <c r="C28" s="1802"/>
      <c r="D28" s="1114"/>
      <c r="E28" s="1193" t="s">
        <v>92</v>
      </c>
      <c r="F28" s="1311"/>
      <c r="G28" s="1184"/>
      <c r="H28" s="1266"/>
      <c r="I28" s="1312"/>
      <c r="J28" s="1181"/>
      <c r="K28" s="1313"/>
      <c r="L28" s="1314"/>
      <c r="M28" s="1185"/>
      <c r="N28" s="1260"/>
      <c r="O28" s="1573"/>
      <c r="P28" s="1193" t="s">
        <v>92</v>
      </c>
      <c r="Q28" s="1311"/>
      <c r="R28" s="1184"/>
      <c r="S28" s="1266"/>
      <c r="T28" s="1312"/>
      <c r="U28" s="1181"/>
      <c r="V28" s="1313"/>
      <c r="W28" s="1314"/>
      <c r="X28" s="1185"/>
      <c r="Y28" s="1260"/>
      <c r="Z28" s="1067"/>
      <c r="AA28" s="1328" t="s">
        <v>92</v>
      </c>
      <c r="AB28" s="1311"/>
      <c r="AC28" s="1184"/>
      <c r="AD28" s="1266"/>
      <c r="AE28" s="1312"/>
      <c r="AF28" s="1181"/>
      <c r="AG28" s="1313"/>
      <c r="AH28" s="1314"/>
      <c r="AI28" s="1185"/>
      <c r="AJ28" s="1260"/>
      <c r="AK28" s="1114"/>
      <c r="AL28" s="1329" t="s">
        <v>92</v>
      </c>
      <c r="AM28" s="1311"/>
      <c r="AN28" s="1184"/>
      <c r="AO28" s="1266"/>
      <c r="AP28" s="1312"/>
      <c r="AQ28" s="1181"/>
      <c r="AR28" s="1313"/>
      <c r="AS28" s="1314"/>
      <c r="AT28" s="1185"/>
      <c r="AU28" s="1260"/>
      <c r="AV28" s="1067"/>
      <c r="AW28" s="1328" t="s">
        <v>92</v>
      </c>
      <c r="AX28" s="1311"/>
      <c r="AY28" s="1184"/>
      <c r="AZ28" s="1266"/>
      <c r="BA28" s="1312"/>
      <c r="BB28" s="1181"/>
      <c r="BC28" s="1313"/>
      <c r="BD28" s="1314"/>
      <c r="BE28" s="1185"/>
      <c r="BF28" s="1260"/>
      <c r="BG28" s="1114"/>
      <c r="BH28" s="1328" t="s">
        <v>92</v>
      </c>
      <c r="BI28" s="1311"/>
      <c r="BJ28" s="1184"/>
      <c r="BK28" s="1266"/>
      <c r="BL28" s="1312"/>
      <c r="BM28" s="1181"/>
      <c r="BN28" s="1313"/>
      <c r="BO28" s="1314"/>
      <c r="BP28" s="1185"/>
      <c r="BQ28" s="1260"/>
      <c r="BR28" s="1114"/>
      <c r="BS28" s="1328" t="s">
        <v>92</v>
      </c>
      <c r="BT28" s="1311"/>
      <c r="BU28" s="1184"/>
      <c r="BV28" s="1266"/>
      <c r="BW28" s="1312"/>
      <c r="BX28" s="1181"/>
      <c r="BY28" s="1313"/>
      <c r="BZ28" s="1314"/>
      <c r="CA28" s="1185"/>
      <c r="CB28" s="1260"/>
      <c r="CC28" s="1067"/>
      <c r="CD28" s="1193" t="s">
        <v>92</v>
      </c>
      <c r="CE28" s="1110"/>
      <c r="CF28" s="1111"/>
      <c r="CG28" s="1185"/>
      <c r="CH28" s="1112"/>
      <c r="CI28" s="1193" t="s">
        <v>92</v>
      </c>
      <c r="CJ28" s="1110"/>
      <c r="CK28" s="1111"/>
      <c r="CL28" s="1185"/>
      <c r="CM28" s="1112"/>
      <c r="CN28" s="1193" t="s">
        <v>92</v>
      </c>
      <c r="CO28" s="1110"/>
      <c r="CP28" s="1111"/>
      <c r="CQ28" s="1185"/>
      <c r="CR28" s="1114"/>
      <c r="CS28" s="1193" t="s">
        <v>92</v>
      </c>
      <c r="CT28" s="1110"/>
      <c r="CU28" s="1111"/>
      <c r="CV28" s="1185"/>
      <c r="CW28" s="1112"/>
      <c r="CX28" s="1193" t="s">
        <v>92</v>
      </c>
      <c r="CY28" s="1110"/>
      <c r="CZ28" s="1111"/>
      <c r="DA28" s="1185"/>
      <c r="DB28" s="1114"/>
      <c r="DC28" s="1193" t="s">
        <v>92</v>
      </c>
      <c r="DD28" s="1110"/>
      <c r="DE28" s="1111"/>
      <c r="DF28" s="1185"/>
      <c r="DG28" s="1114"/>
      <c r="DH28" s="1193" t="s">
        <v>92</v>
      </c>
      <c r="DI28" s="1110"/>
      <c r="DJ28" s="1111"/>
      <c r="DK28" s="1185"/>
      <c r="DL28" s="1114"/>
      <c r="DM28" s="1193" t="s">
        <v>92</v>
      </c>
      <c r="DN28" s="1110"/>
      <c r="DO28" s="1111"/>
      <c r="DP28" s="1185"/>
      <c r="DQ28" s="1114"/>
      <c r="DR28" s="1193" t="s">
        <v>92</v>
      </c>
      <c r="DS28" s="1110"/>
      <c r="DT28" s="1111"/>
      <c r="DU28" s="1185"/>
      <c r="DV28" s="1128"/>
      <c r="DW28" s="1193" t="s">
        <v>92</v>
      </c>
      <c r="DX28" s="1110"/>
      <c r="DY28" s="1111"/>
      <c r="DZ28" s="1185"/>
      <c r="EA28" s="1114"/>
      <c r="EB28" s="1193" t="s">
        <v>92</v>
      </c>
      <c r="EC28" s="1110"/>
      <c r="ED28" s="1111"/>
      <c r="EE28" s="1185"/>
      <c r="EF28" s="1128"/>
      <c r="EG28" s="1330" t="s">
        <v>92</v>
      </c>
      <c r="EH28" s="1331"/>
      <c r="EI28" s="1159"/>
      <c r="EJ28" s="1332"/>
      <c r="EK28" s="1128"/>
      <c r="EL28" s="1193" t="s">
        <v>92</v>
      </c>
      <c r="EM28" s="1110"/>
      <c r="EN28" s="1111"/>
      <c r="EO28" s="1185"/>
      <c r="EP28" s="1128"/>
      <c r="EQ28" s="1193" t="s">
        <v>92</v>
      </c>
      <c r="ER28" s="1110"/>
      <c r="ES28" s="1111"/>
      <c r="ET28" s="1185"/>
      <c r="EU28" s="1128"/>
      <c r="EV28" s="1193" t="s">
        <v>92</v>
      </c>
      <c r="EW28" s="1110"/>
      <c r="EX28" s="1111"/>
      <c r="EY28" s="1185"/>
      <c r="EZ28" s="1220"/>
      <c r="FA28" s="1193" t="s">
        <v>92</v>
      </c>
      <c r="FB28" s="1110"/>
      <c r="FC28" s="1111"/>
      <c r="FD28" s="1185"/>
      <c r="FE28" s="1220"/>
      <c r="FF28" s="1193" t="s">
        <v>92</v>
      </c>
      <c r="FG28" s="1110"/>
      <c r="FH28" s="1111"/>
      <c r="FI28" s="1185"/>
      <c r="FJ28" s="1220"/>
      <c r="FK28" s="1220"/>
      <c r="FL28" s="1193" t="s">
        <v>92</v>
      </c>
      <c r="FM28" s="1110"/>
      <c r="FN28" s="1111"/>
      <c r="FO28" s="1185"/>
      <c r="FP28" s="38"/>
      <c r="FQ28" s="796"/>
    </row>
    <row r="29" spans="1:173" ht="15" customHeight="1">
      <c r="A29" s="112"/>
      <c r="B29" s="432"/>
      <c r="C29" s="432"/>
      <c r="D29" s="38"/>
      <c r="E29" s="130"/>
      <c r="F29" s="38"/>
      <c r="G29" s="38"/>
      <c r="H29" s="38"/>
      <c r="I29" s="38"/>
      <c r="J29" s="38"/>
      <c r="K29" s="38"/>
      <c r="L29" s="38"/>
      <c r="M29" s="38"/>
      <c r="N29" s="38"/>
      <c r="O29" s="786"/>
      <c r="P29" s="130"/>
      <c r="Q29" s="38"/>
      <c r="R29" s="38"/>
      <c r="S29" s="38"/>
      <c r="T29" s="38"/>
      <c r="U29" s="38"/>
      <c r="V29" s="38"/>
      <c r="W29" s="38"/>
      <c r="X29" s="38"/>
      <c r="Y29" s="38"/>
      <c r="Z29" s="786"/>
      <c r="AA29" s="130"/>
      <c r="AB29" s="38"/>
      <c r="AC29" s="38"/>
      <c r="AD29" s="38"/>
      <c r="AE29" s="38"/>
      <c r="AF29" s="38"/>
      <c r="AG29" s="38"/>
      <c r="AH29" s="38"/>
      <c r="AI29" s="38"/>
      <c r="AJ29" s="38"/>
      <c r="AK29" s="38"/>
      <c r="AL29" s="130"/>
      <c r="AM29" s="38"/>
      <c r="AN29" s="38"/>
      <c r="AO29" s="38"/>
      <c r="AP29" s="38"/>
      <c r="AQ29" s="38"/>
      <c r="AR29" s="38"/>
      <c r="AS29" s="38"/>
      <c r="AT29" s="38"/>
      <c r="AU29" s="38"/>
      <c r="AV29" s="786"/>
      <c r="AW29" s="130"/>
      <c r="AX29" s="130"/>
      <c r="AY29" s="130"/>
      <c r="AZ29" s="130"/>
      <c r="BA29" s="130"/>
      <c r="BB29" s="130"/>
      <c r="BC29" s="38"/>
      <c r="BD29" s="38"/>
      <c r="BE29" s="38"/>
      <c r="BF29" s="38"/>
      <c r="BG29" s="38"/>
      <c r="BH29" s="130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130"/>
      <c r="BT29" s="38"/>
      <c r="BU29" s="38"/>
      <c r="BV29" s="38"/>
      <c r="BW29" s="38"/>
      <c r="BX29" s="38"/>
      <c r="BY29" s="38"/>
      <c r="BZ29" s="38"/>
      <c r="CA29" s="38"/>
      <c r="CB29" s="38"/>
      <c r="CC29" s="786"/>
      <c r="CD29" s="130"/>
      <c r="CE29" s="38"/>
      <c r="CF29" s="38"/>
      <c r="CG29" s="38"/>
      <c r="CH29" s="37"/>
      <c r="CI29" s="130"/>
      <c r="CJ29" s="38"/>
      <c r="CK29" s="38"/>
      <c r="CL29" s="38"/>
      <c r="CM29" s="37"/>
      <c r="CN29" s="130"/>
      <c r="CO29" s="38"/>
      <c r="CP29" s="38"/>
      <c r="CQ29" s="38"/>
      <c r="CR29" s="38"/>
      <c r="CS29" s="130"/>
      <c r="CT29" s="38"/>
      <c r="CU29" s="38"/>
      <c r="CV29" s="38"/>
      <c r="CW29" s="37"/>
      <c r="CX29" s="130"/>
      <c r="CY29" s="38"/>
      <c r="CZ29" s="38"/>
      <c r="DA29" s="38"/>
      <c r="DB29" s="38"/>
      <c r="DC29" s="130"/>
      <c r="DD29" s="38"/>
      <c r="DE29" s="38"/>
      <c r="DF29" s="38"/>
      <c r="DG29" s="38"/>
      <c r="DH29" s="130"/>
      <c r="DI29" s="38"/>
      <c r="DJ29" s="38"/>
      <c r="DK29" s="38"/>
      <c r="DL29" s="38"/>
      <c r="DM29" s="130"/>
      <c r="DN29" s="38"/>
      <c r="DO29" s="38"/>
      <c r="DP29" s="38"/>
      <c r="DQ29" s="38"/>
      <c r="DR29" s="130"/>
      <c r="DS29" s="38"/>
      <c r="DT29" s="38"/>
      <c r="DU29" s="38"/>
      <c r="DV29" s="31"/>
      <c r="DW29" s="130"/>
      <c r="DX29" s="38"/>
      <c r="DY29" s="38"/>
      <c r="DZ29" s="38"/>
      <c r="EA29" s="38"/>
      <c r="EB29" s="130"/>
      <c r="EC29" s="38"/>
      <c r="ED29" s="38"/>
      <c r="EE29" s="38"/>
      <c r="EF29" s="31"/>
      <c r="EG29" s="130"/>
      <c r="EH29" s="38"/>
      <c r="EI29" s="38"/>
      <c r="EJ29" s="38"/>
      <c r="EK29" s="31"/>
      <c r="EL29" s="130"/>
      <c r="EM29" s="38"/>
      <c r="EN29" s="38"/>
      <c r="EO29" s="38"/>
      <c r="EP29" s="31"/>
      <c r="EQ29" s="130"/>
      <c r="ER29" s="38"/>
      <c r="ES29" s="38"/>
      <c r="ET29" s="38"/>
      <c r="EU29" s="31"/>
      <c r="EV29" s="130"/>
      <c r="EW29" s="38"/>
      <c r="EX29" s="38"/>
      <c r="EY29" s="38"/>
      <c r="FA29" s="130"/>
      <c r="FB29" s="38"/>
      <c r="FC29" s="38"/>
      <c r="FD29" s="38"/>
      <c r="FF29" s="130"/>
      <c r="FG29" s="38"/>
      <c r="FH29" s="38"/>
      <c r="FI29" s="38"/>
      <c r="FL29" s="130"/>
      <c r="FM29" s="38"/>
      <c r="FN29" s="38"/>
      <c r="FO29" s="38"/>
      <c r="FP29" s="38"/>
      <c r="FQ29" s="796"/>
    </row>
    <row r="30" spans="1:173" ht="15" customHeight="1">
      <c r="A30" s="112"/>
      <c r="B30" s="432"/>
      <c r="C30" s="432"/>
      <c r="D30" s="38"/>
      <c r="E30" s="130"/>
      <c r="F30" s="38"/>
      <c r="G30" s="38"/>
      <c r="H30" s="38"/>
      <c r="I30" s="38"/>
      <c r="J30" s="38"/>
      <c r="K30" s="38"/>
      <c r="L30" s="38"/>
      <c r="M30" s="38"/>
      <c r="N30" s="38"/>
      <c r="O30" s="786"/>
      <c r="P30" s="130"/>
      <c r="Q30" s="38"/>
      <c r="R30" s="38"/>
      <c r="S30" s="38"/>
      <c r="T30" s="38"/>
      <c r="U30" s="38"/>
      <c r="V30" s="38"/>
      <c r="W30" s="38"/>
      <c r="X30" s="38"/>
      <c r="Y30" s="38"/>
      <c r="Z30" s="786"/>
      <c r="AA30" s="130"/>
      <c r="AB30" s="38"/>
      <c r="AC30" s="38"/>
      <c r="AD30" s="38"/>
      <c r="AE30" s="38"/>
      <c r="AF30" s="38"/>
      <c r="AG30" s="38"/>
      <c r="AH30" s="38"/>
      <c r="AI30" s="38"/>
      <c r="AJ30" s="38"/>
      <c r="AK30" s="38"/>
      <c r="AL30" s="130"/>
      <c r="AM30" s="38"/>
      <c r="AN30" s="38"/>
      <c r="AO30" s="38"/>
      <c r="AP30" s="38"/>
      <c r="AQ30" s="38"/>
      <c r="AR30" s="38"/>
      <c r="AS30" s="38"/>
      <c r="AT30" s="38"/>
      <c r="AU30" s="38"/>
      <c r="AV30" s="786"/>
      <c r="AW30" s="130"/>
      <c r="AX30" s="130"/>
      <c r="AY30" s="130"/>
      <c r="AZ30" s="130"/>
      <c r="BA30" s="130"/>
      <c r="BB30" s="130"/>
      <c r="BC30" s="38"/>
      <c r="BD30" s="38"/>
      <c r="BE30" s="38"/>
      <c r="BF30" s="38"/>
      <c r="BG30" s="38"/>
      <c r="BH30" s="130"/>
      <c r="BI30" s="38"/>
      <c r="BJ30" s="38"/>
      <c r="BK30" s="38"/>
      <c r="BL30" s="38"/>
      <c r="BM30" s="38"/>
      <c r="BN30" s="38"/>
      <c r="BO30" s="38"/>
      <c r="BP30" s="38"/>
      <c r="BQ30" s="38"/>
      <c r="BR30" s="38"/>
      <c r="BS30" s="130"/>
      <c r="BT30" s="38"/>
      <c r="BU30" s="38"/>
      <c r="BV30" s="38"/>
      <c r="BW30" s="38"/>
      <c r="BX30" s="38"/>
      <c r="BY30" s="38"/>
      <c r="BZ30" s="38"/>
      <c r="CA30" s="38"/>
      <c r="CB30" s="38"/>
      <c r="CC30" s="786"/>
      <c r="CD30" s="130"/>
      <c r="CE30" s="38"/>
      <c r="CF30" s="38"/>
      <c r="CG30" s="38"/>
      <c r="CH30" s="37"/>
      <c r="CI30" s="130"/>
      <c r="CJ30" s="38"/>
      <c r="CK30" s="38"/>
      <c r="CL30" s="38"/>
      <c r="CM30" s="37"/>
      <c r="CN30" s="130"/>
      <c r="CO30" s="38"/>
      <c r="CP30" s="38"/>
      <c r="CQ30" s="38"/>
      <c r="CR30" s="38"/>
      <c r="CS30" s="130"/>
      <c r="CT30" s="38"/>
      <c r="CU30" s="38"/>
      <c r="CV30" s="38"/>
      <c r="CW30" s="37"/>
      <c r="CX30" s="130"/>
      <c r="CY30" s="38"/>
      <c r="CZ30" s="38"/>
      <c r="DA30" s="38"/>
      <c r="DB30" s="38"/>
      <c r="DC30" s="130"/>
      <c r="DD30" s="38"/>
      <c r="DE30" s="38"/>
      <c r="DF30" s="38"/>
      <c r="DG30" s="38"/>
      <c r="DH30" s="130"/>
      <c r="DI30" s="38"/>
      <c r="DJ30" s="38"/>
      <c r="DK30" s="38"/>
      <c r="DL30" s="38"/>
      <c r="DM30" s="130"/>
      <c r="DN30" s="38"/>
      <c r="DO30" s="38"/>
      <c r="DP30" s="38"/>
      <c r="DQ30" s="38"/>
      <c r="DR30" s="130"/>
      <c r="DS30" s="38"/>
      <c r="DT30" s="38"/>
      <c r="DU30" s="38"/>
      <c r="DV30" s="31"/>
      <c r="DW30" s="130"/>
      <c r="DX30" s="38"/>
      <c r="DY30" s="38"/>
      <c r="DZ30" s="38"/>
      <c r="EA30" s="38"/>
      <c r="EB30" s="130"/>
      <c r="EC30" s="38"/>
      <c r="ED30" s="38"/>
      <c r="EE30" s="38"/>
      <c r="EF30" s="31"/>
      <c r="EG30" s="130"/>
      <c r="EH30" s="38"/>
      <c r="EI30" s="38"/>
      <c r="EJ30" s="38"/>
      <c r="EK30" s="31"/>
      <c r="EL30" s="130"/>
      <c r="EM30" s="38"/>
      <c r="EN30" s="38"/>
      <c r="EO30" s="38"/>
      <c r="EP30" s="31"/>
      <c r="EQ30" s="130"/>
      <c r="ER30" s="38"/>
      <c r="ES30" s="38"/>
      <c r="ET30" s="38"/>
      <c r="EU30" s="31"/>
      <c r="EV30" s="130"/>
      <c r="EW30" s="38"/>
      <c r="EX30" s="38"/>
      <c r="EY30" s="38"/>
      <c r="FA30" s="130"/>
      <c r="FB30" s="38"/>
      <c r="FC30" s="38"/>
      <c r="FD30" s="38"/>
      <c r="FF30" s="130"/>
      <c r="FG30" s="38"/>
      <c r="FH30" s="38"/>
      <c r="FI30" s="38"/>
      <c r="FL30" s="130"/>
      <c r="FM30" s="38"/>
      <c r="FN30" s="38"/>
      <c r="FO30" s="38"/>
      <c r="FP30" s="38"/>
      <c r="FQ30" s="796"/>
    </row>
    <row r="31" spans="1:173" ht="15" customHeight="1">
      <c r="A31" s="112"/>
      <c r="B31" s="432"/>
      <c r="C31" s="432"/>
      <c r="D31" s="38"/>
      <c r="E31" s="130"/>
      <c r="F31" s="38"/>
      <c r="G31" s="38"/>
      <c r="H31" s="38"/>
      <c r="I31" s="38"/>
      <c r="J31" s="38"/>
      <c r="K31" s="38"/>
      <c r="L31" s="38"/>
      <c r="M31" s="38"/>
      <c r="N31" s="38"/>
      <c r="O31" s="786"/>
      <c r="P31" s="130"/>
      <c r="Q31" s="38"/>
      <c r="R31" s="38"/>
      <c r="S31" s="38"/>
      <c r="T31" s="38"/>
      <c r="U31" s="38"/>
      <c r="V31" s="38"/>
      <c r="W31" s="38"/>
      <c r="X31" s="38"/>
      <c r="Y31" s="38"/>
      <c r="Z31" s="786"/>
      <c r="AA31" s="130"/>
      <c r="AB31" s="38"/>
      <c r="AC31" s="38"/>
      <c r="AD31" s="38"/>
      <c r="AE31" s="38"/>
      <c r="AF31" s="38"/>
      <c r="AG31" s="38"/>
      <c r="AH31" s="38"/>
      <c r="AI31" s="38"/>
      <c r="AJ31" s="38"/>
      <c r="AK31" s="38"/>
      <c r="AL31" s="130"/>
      <c r="AM31" s="38"/>
      <c r="AN31" s="38"/>
      <c r="AO31" s="38"/>
      <c r="AP31" s="38"/>
      <c r="AQ31" s="38"/>
      <c r="AR31" s="38"/>
      <c r="AS31" s="38"/>
      <c r="AT31" s="38"/>
      <c r="AU31" s="38"/>
      <c r="AV31" s="786"/>
      <c r="AW31" s="130"/>
      <c r="AX31" s="130"/>
      <c r="AY31" s="130"/>
      <c r="AZ31" s="130"/>
      <c r="BA31" s="130"/>
      <c r="BB31" s="130"/>
      <c r="BC31" s="38"/>
      <c r="BD31" s="38"/>
      <c r="BE31" s="38"/>
      <c r="BF31" s="38"/>
      <c r="BG31" s="38"/>
      <c r="BH31" s="130"/>
      <c r="BI31" s="38"/>
      <c r="BJ31" s="38"/>
      <c r="BK31" s="38"/>
      <c r="BL31" s="38"/>
      <c r="BM31" s="38"/>
      <c r="BN31" s="38"/>
      <c r="BO31" s="38"/>
      <c r="BP31" s="38"/>
      <c r="BQ31" s="38"/>
      <c r="BR31" s="38"/>
      <c r="BS31" s="130"/>
      <c r="BT31" s="38"/>
      <c r="BU31" s="38"/>
      <c r="BV31" s="38"/>
      <c r="BW31" s="38"/>
      <c r="BX31" s="38"/>
      <c r="BY31" s="38"/>
      <c r="BZ31" s="38"/>
      <c r="CA31" s="38"/>
      <c r="CB31" s="38"/>
      <c r="CC31" s="786"/>
      <c r="CD31" s="130"/>
      <c r="CE31" s="38"/>
      <c r="CF31" s="38"/>
      <c r="CG31" s="38"/>
      <c r="CH31" s="37"/>
      <c r="CI31" s="130"/>
      <c r="CJ31" s="38"/>
      <c r="CK31" s="38"/>
      <c r="CL31" s="38"/>
      <c r="CM31" s="37"/>
      <c r="CN31" s="130"/>
      <c r="CO31" s="38"/>
      <c r="CP31" s="38"/>
      <c r="CQ31" s="38"/>
      <c r="CR31" s="38"/>
      <c r="CS31" s="130"/>
      <c r="CT31" s="38"/>
      <c r="CU31" s="38"/>
      <c r="CV31" s="38"/>
      <c r="CW31" s="37"/>
      <c r="CX31" s="130"/>
      <c r="CY31" s="38"/>
      <c r="CZ31" s="38"/>
      <c r="DA31" s="38"/>
      <c r="DB31" s="38"/>
      <c r="DC31" s="130"/>
      <c r="DD31" s="38"/>
      <c r="DE31" s="38"/>
      <c r="DF31" s="38"/>
      <c r="DG31" s="38"/>
      <c r="DH31" s="130"/>
      <c r="DI31" s="38"/>
      <c r="DJ31" s="38"/>
      <c r="DK31" s="38"/>
      <c r="DL31" s="38"/>
      <c r="DM31" s="130"/>
      <c r="DN31" s="38"/>
      <c r="DO31" s="38"/>
      <c r="DP31" s="38"/>
      <c r="DQ31" s="38"/>
      <c r="DR31" s="130"/>
      <c r="DS31" s="38"/>
      <c r="DT31" s="38"/>
      <c r="DU31" s="38"/>
      <c r="DV31" s="31"/>
      <c r="DW31" s="130"/>
      <c r="DX31" s="38"/>
      <c r="DY31" s="38"/>
      <c r="DZ31" s="38"/>
      <c r="EA31" s="38"/>
      <c r="EB31" s="130"/>
      <c r="EC31" s="38"/>
      <c r="ED31" s="38"/>
      <c r="EE31" s="38"/>
      <c r="EF31" s="31"/>
      <c r="EG31" s="130"/>
      <c r="EH31" s="38"/>
      <c r="EI31" s="38"/>
      <c r="EJ31" s="38"/>
      <c r="EK31" s="31"/>
      <c r="EL31" s="130"/>
      <c r="EM31" s="38"/>
      <c r="EN31" s="38"/>
      <c r="EO31" s="38"/>
      <c r="EP31" s="31"/>
      <c r="EQ31" s="130"/>
      <c r="ER31" s="38"/>
      <c r="ES31" s="38"/>
      <c r="ET31" s="38"/>
      <c r="EU31" s="31"/>
      <c r="EV31" s="130"/>
      <c r="EW31" s="38"/>
      <c r="EX31" s="38"/>
      <c r="EY31" s="38"/>
      <c r="FA31" s="130"/>
      <c r="FB31" s="38"/>
      <c r="FC31" s="38"/>
      <c r="FD31" s="38"/>
      <c r="FF31" s="130"/>
      <c r="FG31" s="38"/>
      <c r="FH31" s="38"/>
      <c r="FI31" s="38"/>
      <c r="FL31" s="130"/>
      <c r="FM31" s="38"/>
      <c r="FN31" s="38"/>
      <c r="FO31" s="38"/>
      <c r="FP31" s="38"/>
      <c r="FQ31" s="796"/>
    </row>
    <row r="32" spans="1:173" ht="15" customHeight="1">
      <c r="A32" s="112"/>
      <c r="B32" s="432"/>
      <c r="C32" s="432"/>
      <c r="D32" s="38"/>
      <c r="E32" s="130"/>
      <c r="F32" s="38"/>
      <c r="G32" s="38"/>
      <c r="H32" s="38"/>
      <c r="I32" s="38"/>
      <c r="J32" s="38"/>
      <c r="K32" s="38"/>
      <c r="L32" s="38"/>
      <c r="M32" s="38"/>
      <c r="N32" s="38"/>
      <c r="O32" s="786"/>
      <c r="P32" s="130"/>
      <c r="Q32" s="38"/>
      <c r="R32" s="38"/>
      <c r="S32" s="38"/>
      <c r="T32" s="38"/>
      <c r="U32" s="38"/>
      <c r="V32" s="38"/>
      <c r="W32" s="38"/>
      <c r="X32" s="38"/>
      <c r="Y32" s="38"/>
      <c r="Z32" s="786"/>
      <c r="AA32" s="130"/>
      <c r="AB32" s="38"/>
      <c r="AC32" s="38"/>
      <c r="AD32" s="38"/>
      <c r="AE32" s="38"/>
      <c r="AF32" s="38"/>
      <c r="AG32" s="38"/>
      <c r="AH32" s="38"/>
      <c r="AI32" s="38"/>
      <c r="AJ32" s="38"/>
      <c r="AK32" s="38"/>
      <c r="AL32" s="130"/>
      <c r="AM32" s="38"/>
      <c r="AN32" s="38"/>
      <c r="AO32" s="38"/>
      <c r="AP32" s="38"/>
      <c r="AQ32" s="38"/>
      <c r="AR32" s="38"/>
      <c r="AS32" s="38"/>
      <c r="AT32" s="38"/>
      <c r="AU32" s="38"/>
      <c r="AV32" s="786"/>
      <c r="AW32" s="130"/>
      <c r="AX32" s="130"/>
      <c r="AY32" s="130"/>
      <c r="AZ32" s="130"/>
      <c r="BA32" s="130"/>
      <c r="BB32" s="130"/>
      <c r="BC32" s="38"/>
      <c r="BD32" s="38"/>
      <c r="BE32" s="38"/>
      <c r="BF32" s="38"/>
      <c r="BG32" s="38"/>
      <c r="BH32" s="130"/>
      <c r="BI32" s="38"/>
      <c r="BJ32" s="38"/>
      <c r="BK32" s="38"/>
      <c r="BL32" s="38"/>
      <c r="BM32" s="38"/>
      <c r="BN32" s="38"/>
      <c r="BO32" s="38"/>
      <c r="BP32" s="38"/>
      <c r="BQ32" s="38"/>
      <c r="BR32" s="38"/>
      <c r="BS32" s="130"/>
      <c r="BT32" s="38"/>
      <c r="BU32" s="38"/>
      <c r="BV32" s="38"/>
      <c r="BW32" s="38"/>
      <c r="BX32" s="38"/>
      <c r="BY32" s="38"/>
      <c r="BZ32" s="38"/>
      <c r="CA32" s="38"/>
      <c r="CB32" s="38"/>
      <c r="CC32" s="786"/>
      <c r="CD32" s="130"/>
      <c r="CE32" s="38"/>
      <c r="CF32" s="38"/>
      <c r="CG32" s="38"/>
      <c r="CH32" s="37"/>
      <c r="CI32" s="130"/>
      <c r="CJ32" s="38"/>
      <c r="CK32" s="38"/>
      <c r="CL32" s="38"/>
      <c r="CM32" s="37"/>
      <c r="CN32" s="130"/>
      <c r="CO32" s="38"/>
      <c r="CP32" s="38"/>
      <c r="CQ32" s="38"/>
      <c r="CR32" s="38"/>
      <c r="CS32" s="130"/>
      <c r="CT32" s="38"/>
      <c r="CU32" s="38"/>
      <c r="CV32" s="38"/>
      <c r="CW32" s="37"/>
      <c r="CX32" s="130"/>
      <c r="CY32" s="38"/>
      <c r="CZ32" s="38"/>
      <c r="DA32" s="38"/>
      <c r="DB32" s="38"/>
      <c r="DC32" s="130"/>
      <c r="DD32" s="38"/>
      <c r="DE32" s="38"/>
      <c r="DF32" s="38"/>
      <c r="DG32" s="38"/>
      <c r="DH32" s="130"/>
      <c r="DI32" s="38"/>
      <c r="DJ32" s="38"/>
      <c r="DK32" s="38"/>
      <c r="DL32" s="38"/>
      <c r="DM32" s="130"/>
      <c r="DN32" s="38"/>
      <c r="DO32" s="38"/>
      <c r="DP32" s="38"/>
      <c r="DQ32" s="38"/>
      <c r="DR32" s="130"/>
      <c r="DS32" s="38"/>
      <c r="DT32" s="38"/>
      <c r="DU32" s="38"/>
      <c r="DV32" s="31"/>
      <c r="DW32" s="130"/>
      <c r="DX32" s="38"/>
      <c r="DY32" s="38"/>
      <c r="DZ32" s="38"/>
      <c r="EA32" s="38"/>
      <c r="EB32" s="130"/>
      <c r="EC32" s="38"/>
      <c r="ED32" s="38"/>
      <c r="EE32" s="38"/>
      <c r="EF32" s="31"/>
      <c r="EG32" s="130"/>
      <c r="EH32" s="38"/>
      <c r="EI32" s="38"/>
      <c r="EJ32" s="38"/>
      <c r="EK32" s="31"/>
      <c r="EL32" s="130"/>
      <c r="EM32" s="38"/>
      <c r="EN32" s="38"/>
      <c r="EO32" s="38"/>
      <c r="EP32" s="31"/>
      <c r="EQ32" s="130"/>
      <c r="ER32" s="38"/>
      <c r="ES32" s="38"/>
      <c r="ET32" s="38"/>
      <c r="EU32" s="31"/>
      <c r="EV32" s="130"/>
      <c r="EW32" s="38"/>
      <c r="EX32" s="38"/>
      <c r="EY32" s="38"/>
      <c r="FA32" s="130"/>
      <c r="FB32" s="38"/>
      <c r="FC32" s="38"/>
      <c r="FD32" s="38"/>
      <c r="FF32" s="130"/>
      <c r="FG32" s="38"/>
      <c r="FH32" s="38"/>
      <c r="FI32" s="38"/>
      <c r="FL32" s="130"/>
      <c r="FM32" s="38"/>
      <c r="FN32" s="38"/>
      <c r="FO32" s="38"/>
      <c r="FP32" s="38"/>
      <c r="FQ32" s="796"/>
    </row>
    <row r="33" spans="1:173" ht="15" customHeight="1">
      <c r="A33" s="112"/>
      <c r="B33" s="432"/>
      <c r="C33" s="432"/>
      <c r="D33" s="38"/>
      <c r="E33" s="130"/>
      <c r="F33" s="38"/>
      <c r="G33" s="38"/>
      <c r="H33" s="38"/>
      <c r="I33" s="38"/>
      <c r="J33" s="38"/>
      <c r="K33" s="38"/>
      <c r="L33" s="38"/>
      <c r="M33" s="38"/>
      <c r="N33" s="38"/>
      <c r="O33" s="786"/>
      <c r="P33" s="130"/>
      <c r="Q33" s="38"/>
      <c r="R33" s="38"/>
      <c r="S33" s="38"/>
      <c r="T33" s="38"/>
      <c r="U33" s="38"/>
      <c r="V33" s="38"/>
      <c r="W33" s="38"/>
      <c r="X33" s="38"/>
      <c r="Y33" s="38"/>
      <c r="Z33" s="786"/>
      <c r="AA33" s="130"/>
      <c r="AB33" s="38"/>
      <c r="AC33" s="38"/>
      <c r="AD33" s="38"/>
      <c r="AE33" s="38"/>
      <c r="AF33" s="38"/>
      <c r="AG33" s="38"/>
      <c r="AH33" s="38"/>
      <c r="AI33" s="38"/>
      <c r="AJ33" s="38"/>
      <c r="AK33" s="38"/>
      <c r="AL33" s="130"/>
      <c r="AM33" s="38"/>
      <c r="AN33" s="38"/>
      <c r="AO33" s="38"/>
      <c r="AP33" s="38"/>
      <c r="AQ33" s="38"/>
      <c r="AR33" s="38"/>
      <c r="AS33" s="38"/>
      <c r="AT33" s="38"/>
      <c r="AU33" s="38"/>
      <c r="AV33" s="786"/>
      <c r="AW33" s="130"/>
      <c r="AX33" s="130"/>
      <c r="AY33" s="130"/>
      <c r="AZ33" s="130"/>
      <c r="BA33" s="130"/>
      <c r="BB33" s="130"/>
      <c r="BC33" s="38"/>
      <c r="BD33" s="38"/>
      <c r="BE33" s="38"/>
      <c r="BF33" s="38"/>
      <c r="BG33" s="38"/>
      <c r="BH33" s="130"/>
      <c r="BI33" s="38"/>
      <c r="BJ33" s="38"/>
      <c r="BK33" s="38"/>
      <c r="BL33" s="38"/>
      <c r="BM33" s="38"/>
      <c r="BN33" s="38"/>
      <c r="BO33" s="38"/>
      <c r="BP33" s="38"/>
      <c r="BQ33" s="38"/>
      <c r="BR33" s="38"/>
      <c r="BS33" s="130"/>
      <c r="BT33" s="38"/>
      <c r="BU33" s="38"/>
      <c r="BV33" s="38"/>
      <c r="BW33" s="38"/>
      <c r="BX33" s="38"/>
      <c r="BY33" s="38"/>
      <c r="BZ33" s="38"/>
      <c r="CA33" s="38"/>
      <c r="CB33" s="38"/>
      <c r="CC33" s="786"/>
      <c r="CD33" s="130"/>
      <c r="CE33" s="38"/>
      <c r="CF33" s="38"/>
      <c r="CG33" s="38"/>
      <c r="CH33" s="37"/>
      <c r="CI33" s="130"/>
      <c r="CJ33" s="38"/>
      <c r="CK33" s="38"/>
      <c r="CL33" s="38"/>
      <c r="CM33" s="37"/>
      <c r="CN33" s="130"/>
      <c r="CO33" s="38"/>
      <c r="CP33" s="38"/>
      <c r="CQ33" s="38"/>
      <c r="CR33" s="38"/>
      <c r="CS33" s="130"/>
      <c r="CT33" s="38"/>
      <c r="CU33" s="38"/>
      <c r="CV33" s="38"/>
      <c r="CW33" s="37"/>
      <c r="CX33" s="130"/>
      <c r="CY33" s="38"/>
      <c r="CZ33" s="38"/>
      <c r="DA33" s="38"/>
      <c r="DB33" s="38"/>
      <c r="DC33" s="130"/>
      <c r="DD33" s="38"/>
      <c r="DE33" s="38"/>
      <c r="DF33" s="38"/>
      <c r="DG33" s="38"/>
      <c r="DH33" s="130"/>
      <c r="DI33" s="38"/>
      <c r="DJ33" s="38"/>
      <c r="DK33" s="38"/>
      <c r="DL33" s="38"/>
      <c r="DM33" s="130"/>
      <c r="DN33" s="38"/>
      <c r="DO33" s="38"/>
      <c r="DP33" s="38"/>
      <c r="DQ33" s="38"/>
      <c r="DR33" s="130"/>
      <c r="DS33" s="38"/>
      <c r="DT33" s="38"/>
      <c r="DU33" s="38"/>
      <c r="DV33" s="31"/>
      <c r="DW33" s="130"/>
      <c r="DX33" s="38"/>
      <c r="DY33" s="38"/>
      <c r="DZ33" s="38"/>
      <c r="EA33" s="38"/>
      <c r="EB33" s="130"/>
      <c r="EC33" s="38"/>
      <c r="ED33" s="38"/>
      <c r="EE33" s="38"/>
      <c r="EF33" s="31"/>
      <c r="EG33" s="130"/>
      <c r="EH33" s="38"/>
      <c r="EI33" s="38"/>
      <c r="EJ33" s="38"/>
      <c r="EK33" s="31"/>
      <c r="EL33" s="130"/>
      <c r="EM33" s="38"/>
      <c r="EN33" s="38"/>
      <c r="EO33" s="38"/>
      <c r="EP33" s="31"/>
      <c r="EQ33" s="130"/>
      <c r="ER33" s="38"/>
      <c r="ES33" s="38"/>
      <c r="ET33" s="38"/>
      <c r="EU33" s="31"/>
      <c r="EV33" s="130"/>
      <c r="EW33" s="38"/>
      <c r="EX33" s="38"/>
      <c r="EY33" s="38"/>
      <c r="FA33" s="130"/>
      <c r="FB33" s="38"/>
      <c r="FC33" s="38"/>
      <c r="FD33" s="38"/>
      <c r="FF33" s="130"/>
      <c r="FG33" s="38"/>
      <c r="FH33" s="38"/>
      <c r="FI33" s="38"/>
      <c r="FL33" s="130"/>
      <c r="FM33" s="38"/>
      <c r="FN33" s="38"/>
      <c r="FO33" s="38"/>
      <c r="FP33" s="38"/>
      <c r="FQ33" s="796"/>
    </row>
    <row r="34" spans="1:173" ht="15" customHeight="1">
      <c r="A34" s="112"/>
      <c r="B34" s="432"/>
      <c r="C34" s="432"/>
      <c r="D34" s="38"/>
      <c r="E34" s="130"/>
      <c r="F34" s="38"/>
      <c r="G34" s="38"/>
      <c r="H34" s="38"/>
      <c r="I34" s="38"/>
      <c r="J34" s="38"/>
      <c r="K34" s="38"/>
      <c r="L34" s="38"/>
      <c r="M34" s="38"/>
      <c r="N34" s="38"/>
      <c r="O34" s="786"/>
      <c r="P34" s="130"/>
      <c r="Q34" s="38"/>
      <c r="R34" s="38"/>
      <c r="S34" s="38"/>
      <c r="T34" s="38"/>
      <c r="U34" s="38"/>
      <c r="V34" s="38"/>
      <c r="W34" s="38"/>
      <c r="X34" s="38"/>
      <c r="Y34" s="38"/>
      <c r="Z34" s="786"/>
      <c r="AA34" s="130"/>
      <c r="AB34" s="38"/>
      <c r="AC34" s="38"/>
      <c r="AD34" s="38"/>
      <c r="AE34" s="38"/>
      <c r="AF34" s="38"/>
      <c r="AG34" s="38"/>
      <c r="AH34" s="38"/>
      <c r="AI34" s="38"/>
      <c r="AJ34" s="38"/>
      <c r="AK34" s="38"/>
      <c r="AL34" s="130"/>
      <c r="AM34" s="38"/>
      <c r="AN34" s="38"/>
      <c r="AO34" s="38"/>
      <c r="AP34" s="38"/>
      <c r="AQ34" s="38"/>
      <c r="AR34" s="38"/>
      <c r="AS34" s="38"/>
      <c r="AT34" s="38"/>
      <c r="AU34" s="38"/>
      <c r="AV34" s="786"/>
      <c r="AW34" s="130"/>
      <c r="AX34" s="130"/>
      <c r="AY34" s="130"/>
      <c r="AZ34" s="130"/>
      <c r="BA34" s="130"/>
      <c r="BB34" s="130"/>
      <c r="BC34" s="38"/>
      <c r="BD34" s="38"/>
      <c r="BE34" s="38"/>
      <c r="BF34" s="38"/>
      <c r="BG34" s="38"/>
      <c r="BH34" s="130"/>
      <c r="BI34" s="38"/>
      <c r="BJ34" s="38"/>
      <c r="BK34" s="38"/>
      <c r="BL34" s="38"/>
      <c r="BM34" s="38"/>
      <c r="BN34" s="38"/>
      <c r="BO34" s="38"/>
      <c r="BP34" s="38"/>
      <c r="BQ34" s="38"/>
      <c r="BR34" s="38"/>
      <c r="BS34" s="130"/>
      <c r="BT34" s="38"/>
      <c r="BU34" s="38"/>
      <c r="BV34" s="38"/>
      <c r="BW34" s="38"/>
      <c r="BX34" s="38"/>
      <c r="BY34" s="38"/>
      <c r="BZ34" s="38"/>
      <c r="CA34" s="38"/>
      <c r="CB34" s="38"/>
      <c r="CC34" s="786"/>
      <c r="CD34" s="130"/>
      <c r="CE34" s="38"/>
      <c r="CF34" s="38"/>
      <c r="CG34" s="38"/>
      <c r="CH34" s="37"/>
      <c r="CI34" s="130"/>
      <c r="CJ34" s="38"/>
      <c r="CK34" s="38"/>
      <c r="CL34" s="38"/>
      <c r="CM34" s="37"/>
      <c r="CN34" s="130"/>
      <c r="CO34" s="38"/>
      <c r="CP34" s="38"/>
      <c r="CQ34" s="38"/>
      <c r="CR34" s="38"/>
      <c r="CS34" s="130"/>
      <c r="CT34" s="38"/>
      <c r="CU34" s="38"/>
      <c r="CV34" s="38"/>
      <c r="CW34" s="37"/>
      <c r="CX34" s="130"/>
      <c r="CY34" s="38"/>
      <c r="CZ34" s="38"/>
      <c r="DA34" s="38"/>
      <c r="DB34" s="38"/>
      <c r="DC34" s="130"/>
      <c r="DD34" s="38"/>
      <c r="DE34" s="38"/>
      <c r="DF34" s="38"/>
      <c r="DG34" s="38"/>
      <c r="DH34" s="130"/>
      <c r="DI34" s="38"/>
      <c r="DJ34" s="38"/>
      <c r="DK34" s="38"/>
      <c r="DL34" s="38"/>
      <c r="DM34" s="130"/>
      <c r="DN34" s="38"/>
      <c r="DO34" s="38"/>
      <c r="DP34" s="38"/>
      <c r="DQ34" s="38"/>
      <c r="DR34" s="130"/>
      <c r="DS34" s="38"/>
      <c r="DT34" s="38"/>
      <c r="DU34" s="38"/>
      <c r="DV34" s="31"/>
      <c r="DW34" s="130"/>
      <c r="DX34" s="38"/>
      <c r="DY34" s="38"/>
      <c r="DZ34" s="38"/>
      <c r="EA34" s="38"/>
      <c r="EB34" s="130"/>
      <c r="EC34" s="38"/>
      <c r="ED34" s="38"/>
      <c r="EE34" s="38"/>
      <c r="EF34" s="31"/>
      <c r="EG34" s="130"/>
      <c r="EH34" s="38"/>
      <c r="EI34" s="38"/>
      <c r="EJ34" s="38"/>
      <c r="EK34" s="31"/>
      <c r="EL34" s="130"/>
      <c r="EM34" s="38"/>
      <c r="EN34" s="38"/>
      <c r="EO34" s="38"/>
      <c r="EP34" s="31"/>
      <c r="EQ34" s="130"/>
      <c r="ER34" s="38"/>
      <c r="ES34" s="38"/>
      <c r="ET34" s="38"/>
      <c r="EU34" s="31"/>
      <c r="EV34" s="130"/>
      <c r="EW34" s="38"/>
      <c r="EX34" s="38"/>
      <c r="EY34" s="38"/>
      <c r="FA34" s="130"/>
      <c r="FB34" s="38"/>
      <c r="FC34" s="38"/>
      <c r="FD34" s="38"/>
      <c r="FF34" s="130"/>
      <c r="FG34" s="38"/>
      <c r="FH34" s="38"/>
      <c r="FI34" s="38"/>
      <c r="FL34" s="130"/>
      <c r="FM34" s="38"/>
      <c r="FN34" s="38"/>
      <c r="FO34" s="38"/>
      <c r="FP34" s="38"/>
      <c r="FQ34" s="796"/>
    </row>
    <row r="35" spans="1:173" ht="15" customHeight="1">
      <c r="A35" s="112"/>
      <c r="B35" s="432"/>
      <c r="C35" s="432"/>
      <c r="D35" s="38"/>
      <c r="E35" s="130"/>
      <c r="F35" s="38"/>
      <c r="G35" s="38"/>
      <c r="H35" s="38"/>
      <c r="I35" s="38"/>
      <c r="J35" s="38"/>
      <c r="K35" s="38"/>
      <c r="L35" s="38"/>
      <c r="M35" s="38"/>
      <c r="N35" s="38"/>
      <c r="O35" s="786"/>
      <c r="P35" s="130"/>
      <c r="Q35" s="38"/>
      <c r="R35" s="38"/>
      <c r="S35" s="38"/>
      <c r="T35" s="38"/>
      <c r="U35" s="38"/>
      <c r="V35" s="38"/>
      <c r="W35" s="38"/>
      <c r="X35" s="38"/>
      <c r="Y35" s="38"/>
      <c r="Z35" s="786"/>
      <c r="AA35" s="130"/>
      <c r="AB35" s="38"/>
      <c r="AC35" s="38"/>
      <c r="AD35" s="38"/>
      <c r="AE35" s="38"/>
      <c r="AF35" s="38"/>
      <c r="AG35" s="38"/>
      <c r="AH35" s="38"/>
      <c r="AI35" s="38"/>
      <c r="AJ35" s="38"/>
      <c r="AK35" s="38"/>
      <c r="AL35" s="130"/>
      <c r="AM35" s="38"/>
      <c r="AN35" s="38"/>
      <c r="AO35" s="38"/>
      <c r="AP35" s="38"/>
      <c r="AQ35" s="38"/>
      <c r="AR35" s="38"/>
      <c r="AS35" s="38"/>
      <c r="AT35" s="38"/>
      <c r="AU35" s="38"/>
      <c r="AV35" s="786"/>
      <c r="AW35" s="130"/>
      <c r="AX35" s="130"/>
      <c r="AY35" s="130"/>
      <c r="AZ35" s="130"/>
      <c r="BA35" s="130"/>
      <c r="BB35" s="130"/>
      <c r="BC35" s="38"/>
      <c r="BD35" s="38"/>
      <c r="BE35" s="38"/>
      <c r="BF35" s="38"/>
      <c r="BG35" s="38"/>
      <c r="BH35" s="130"/>
      <c r="BI35" s="38"/>
      <c r="BJ35" s="38"/>
      <c r="BK35" s="38"/>
      <c r="BL35" s="38"/>
      <c r="BM35" s="38"/>
      <c r="BN35" s="38"/>
      <c r="BO35" s="38"/>
      <c r="BP35" s="38"/>
      <c r="BQ35" s="38"/>
      <c r="BR35" s="38"/>
      <c r="BS35" s="130"/>
      <c r="BT35" s="38"/>
      <c r="BU35" s="38"/>
      <c r="BV35" s="38"/>
      <c r="BW35" s="38"/>
      <c r="BX35" s="38"/>
      <c r="BY35" s="38"/>
      <c r="BZ35" s="38"/>
      <c r="CA35" s="38"/>
      <c r="CB35" s="38"/>
      <c r="CC35" s="786"/>
      <c r="CD35" s="130"/>
      <c r="CE35" s="38"/>
      <c r="CF35" s="38"/>
      <c r="CG35" s="38"/>
      <c r="CH35" s="37"/>
      <c r="CI35" s="130"/>
      <c r="CJ35" s="38"/>
      <c r="CK35" s="38"/>
      <c r="CL35" s="38"/>
      <c r="CM35" s="37"/>
      <c r="CN35" s="130"/>
      <c r="CO35" s="38"/>
      <c r="CP35" s="38"/>
      <c r="CQ35" s="38"/>
      <c r="CR35" s="38"/>
      <c r="CS35" s="130"/>
      <c r="CT35" s="38"/>
      <c r="CU35" s="38"/>
      <c r="CV35" s="38"/>
      <c r="CW35" s="37"/>
      <c r="CX35" s="130"/>
      <c r="CY35" s="38"/>
      <c r="CZ35" s="38"/>
      <c r="DA35" s="38"/>
      <c r="DB35" s="38"/>
      <c r="DC35" s="130"/>
      <c r="DD35" s="38"/>
      <c r="DE35" s="38"/>
      <c r="DF35" s="38"/>
      <c r="DG35" s="38"/>
      <c r="DH35" s="130"/>
      <c r="DI35" s="38"/>
      <c r="DJ35" s="38"/>
      <c r="DK35" s="38"/>
      <c r="DL35" s="38"/>
      <c r="DM35" s="130"/>
      <c r="DN35" s="38"/>
      <c r="DO35" s="38"/>
      <c r="DP35" s="38"/>
      <c r="DQ35" s="38"/>
      <c r="DR35" s="130"/>
      <c r="DS35" s="38"/>
      <c r="DT35" s="38"/>
      <c r="DU35" s="38"/>
      <c r="DV35" s="31"/>
      <c r="DW35" s="130"/>
      <c r="DX35" s="38"/>
      <c r="DY35" s="38"/>
      <c r="DZ35" s="38"/>
      <c r="EA35" s="38"/>
      <c r="EB35" s="130"/>
      <c r="EC35" s="38"/>
      <c r="ED35" s="38"/>
      <c r="EE35" s="38"/>
      <c r="EF35" s="31"/>
      <c r="EG35" s="130"/>
      <c r="EH35" s="38"/>
      <c r="EI35" s="38"/>
      <c r="EJ35" s="38"/>
      <c r="EK35" s="31"/>
      <c r="EL35" s="130"/>
      <c r="EM35" s="38"/>
      <c r="EN35" s="38"/>
      <c r="EO35" s="38"/>
      <c r="EP35" s="31"/>
      <c r="EQ35" s="130"/>
      <c r="ER35" s="38"/>
      <c r="ES35" s="38"/>
      <c r="ET35" s="38"/>
      <c r="EU35" s="31"/>
      <c r="EV35" s="130"/>
      <c r="EW35" s="38"/>
      <c r="EX35" s="38"/>
      <c r="EY35" s="38"/>
      <c r="FA35" s="130"/>
      <c r="FB35" s="38"/>
      <c r="FC35" s="38"/>
      <c r="FD35" s="38"/>
      <c r="FF35" s="130"/>
      <c r="FG35" s="38"/>
      <c r="FH35" s="38"/>
      <c r="FI35" s="38"/>
      <c r="FL35" s="130"/>
      <c r="FM35" s="38"/>
      <c r="FN35" s="38"/>
      <c r="FO35" s="38"/>
      <c r="FP35" s="38"/>
      <c r="FQ35" s="796"/>
    </row>
    <row r="36" spans="1:173" ht="15" customHeight="1">
      <c r="A36" s="112"/>
      <c r="B36" s="432"/>
      <c r="C36" s="432"/>
      <c r="D36" s="38"/>
      <c r="E36" s="130"/>
      <c r="F36" s="38"/>
      <c r="G36" s="38"/>
      <c r="H36" s="38"/>
      <c r="I36" s="38"/>
      <c r="J36" s="38"/>
      <c r="K36" s="38"/>
      <c r="L36" s="38"/>
      <c r="M36" s="38"/>
      <c r="N36" s="38"/>
      <c r="O36" s="786"/>
      <c r="P36" s="130"/>
      <c r="Q36" s="38"/>
      <c r="R36" s="38"/>
      <c r="S36" s="38"/>
      <c r="T36" s="38"/>
      <c r="U36" s="38"/>
      <c r="V36" s="38"/>
      <c r="W36" s="38"/>
      <c r="X36" s="38"/>
      <c r="Y36" s="38"/>
      <c r="Z36" s="786"/>
      <c r="AA36" s="130"/>
      <c r="AB36" s="38"/>
      <c r="AC36" s="38"/>
      <c r="AD36" s="38"/>
      <c r="AE36" s="38"/>
      <c r="AF36" s="38"/>
      <c r="AG36" s="38"/>
      <c r="AH36" s="38"/>
      <c r="AI36" s="38"/>
      <c r="AJ36" s="38"/>
      <c r="AK36" s="38"/>
      <c r="AL36" s="130"/>
      <c r="AM36" s="38"/>
      <c r="AN36" s="38"/>
      <c r="AO36" s="38"/>
      <c r="AP36" s="38"/>
      <c r="AQ36" s="38"/>
      <c r="AR36" s="38"/>
      <c r="AS36" s="38"/>
      <c r="AT36" s="38"/>
      <c r="AU36" s="38"/>
      <c r="AV36" s="786"/>
      <c r="AW36" s="130"/>
      <c r="AX36" s="130"/>
      <c r="AY36" s="130"/>
      <c r="AZ36" s="130"/>
      <c r="BA36" s="130"/>
      <c r="BB36" s="130"/>
      <c r="BC36" s="38"/>
      <c r="BD36" s="38"/>
      <c r="BE36" s="38"/>
      <c r="BF36" s="38"/>
      <c r="BG36" s="38"/>
      <c r="BH36" s="130"/>
      <c r="BI36" s="38"/>
      <c r="BJ36" s="38"/>
      <c r="BK36" s="38"/>
      <c r="BL36" s="38"/>
      <c r="BM36" s="38"/>
      <c r="BN36" s="38"/>
      <c r="BO36" s="38"/>
      <c r="BP36" s="38"/>
      <c r="BQ36" s="38"/>
      <c r="BR36" s="38"/>
      <c r="BS36" s="130"/>
      <c r="BT36" s="38"/>
      <c r="BU36" s="38"/>
      <c r="BV36" s="38"/>
      <c r="BW36" s="38"/>
      <c r="BX36" s="38"/>
      <c r="BY36" s="38"/>
      <c r="BZ36" s="38"/>
      <c r="CA36" s="38"/>
      <c r="CB36" s="38"/>
      <c r="CC36" s="786"/>
      <c r="CD36" s="130"/>
      <c r="CE36" s="38"/>
      <c r="CF36" s="38"/>
      <c r="CG36" s="38"/>
      <c r="CH36" s="37"/>
      <c r="CI36" s="130"/>
      <c r="CJ36" s="38"/>
      <c r="CK36" s="38"/>
      <c r="CL36" s="38"/>
      <c r="CM36" s="37"/>
      <c r="CN36" s="130"/>
      <c r="CO36" s="38"/>
      <c r="CP36" s="38"/>
      <c r="CQ36" s="38"/>
      <c r="CR36" s="38"/>
      <c r="CS36" s="130"/>
      <c r="CT36" s="38"/>
      <c r="CU36" s="38"/>
      <c r="CV36" s="38"/>
      <c r="CW36" s="37"/>
      <c r="CX36" s="130"/>
      <c r="CY36" s="38"/>
      <c r="CZ36" s="38"/>
      <c r="DA36" s="38"/>
      <c r="DB36" s="38"/>
      <c r="DC36" s="130"/>
      <c r="DD36" s="38"/>
      <c r="DE36" s="38"/>
      <c r="DF36" s="38"/>
      <c r="DG36" s="38"/>
      <c r="DH36" s="130"/>
      <c r="DI36" s="38"/>
      <c r="DJ36" s="38"/>
      <c r="DK36" s="38"/>
      <c r="DL36" s="38"/>
      <c r="DM36" s="130"/>
      <c r="DN36" s="38"/>
      <c r="DO36" s="38"/>
      <c r="DP36" s="38"/>
      <c r="DQ36" s="38"/>
      <c r="DR36" s="130"/>
      <c r="DS36" s="38"/>
      <c r="DT36" s="38"/>
      <c r="DU36" s="38"/>
      <c r="DV36" s="31"/>
      <c r="DW36" s="130"/>
      <c r="DX36" s="38"/>
      <c r="DY36" s="38"/>
      <c r="DZ36" s="38"/>
      <c r="EA36" s="38"/>
      <c r="EB36" s="130"/>
      <c r="EC36" s="38"/>
      <c r="ED36" s="38"/>
      <c r="EE36" s="38"/>
      <c r="EF36" s="31"/>
      <c r="EG36" s="130"/>
      <c r="EH36" s="38"/>
      <c r="EI36" s="38"/>
      <c r="EJ36" s="38"/>
      <c r="EK36" s="31"/>
      <c r="EL36" s="130"/>
      <c r="EM36" s="38"/>
      <c r="EN36" s="38"/>
      <c r="EO36" s="38"/>
      <c r="EP36" s="31"/>
      <c r="EQ36" s="130"/>
      <c r="ER36" s="38"/>
      <c r="ES36" s="38"/>
      <c r="ET36" s="38"/>
      <c r="EU36" s="31"/>
      <c r="EV36" s="130"/>
      <c r="EW36" s="38"/>
      <c r="EX36" s="38"/>
      <c r="EY36" s="38"/>
      <c r="FA36" s="130"/>
      <c r="FB36" s="38"/>
      <c r="FC36" s="38"/>
      <c r="FD36" s="38"/>
      <c r="FF36" s="130"/>
      <c r="FG36" s="38"/>
      <c r="FH36" s="38"/>
      <c r="FI36" s="38"/>
      <c r="FL36" s="130"/>
      <c r="FM36" s="38"/>
      <c r="FN36" s="38"/>
      <c r="FO36" s="38"/>
      <c r="FP36" s="38"/>
      <c r="FQ36" s="796"/>
    </row>
    <row r="37" spans="1:173" ht="15" customHeight="1">
      <c r="A37" s="112"/>
      <c r="B37" s="432"/>
      <c r="C37" s="432"/>
      <c r="D37" s="38"/>
      <c r="E37" s="130"/>
      <c r="F37" s="38"/>
      <c r="G37" s="38"/>
      <c r="H37" s="38"/>
      <c r="I37" s="38"/>
      <c r="J37" s="38"/>
      <c r="K37" s="38"/>
      <c r="L37" s="38"/>
      <c r="M37" s="38"/>
      <c r="N37" s="38"/>
      <c r="O37" s="786"/>
      <c r="P37" s="130"/>
      <c r="Q37" s="38"/>
      <c r="R37" s="38"/>
      <c r="S37" s="38"/>
      <c r="T37" s="38"/>
      <c r="U37" s="38"/>
      <c r="V37" s="38"/>
      <c r="W37" s="38"/>
      <c r="X37" s="38"/>
      <c r="Y37" s="38"/>
      <c r="Z37" s="786"/>
      <c r="AA37" s="130"/>
      <c r="AB37" s="38"/>
      <c r="AC37" s="38"/>
      <c r="AD37" s="38"/>
      <c r="AE37" s="38"/>
      <c r="AF37" s="38"/>
      <c r="AG37" s="38"/>
      <c r="AH37" s="38"/>
      <c r="AI37" s="38"/>
      <c r="AJ37" s="38"/>
      <c r="AK37" s="38"/>
      <c r="AL37" s="130"/>
      <c r="AM37" s="38"/>
      <c r="AN37" s="38"/>
      <c r="AO37" s="38"/>
      <c r="AP37" s="38"/>
      <c r="AQ37" s="38"/>
      <c r="AR37" s="38"/>
      <c r="AS37" s="38"/>
      <c r="AT37" s="38"/>
      <c r="AU37" s="38"/>
      <c r="AV37" s="786"/>
      <c r="AW37" s="130"/>
      <c r="AX37" s="130"/>
      <c r="AY37" s="130"/>
      <c r="AZ37" s="130"/>
      <c r="BA37" s="130"/>
      <c r="BB37" s="130"/>
      <c r="BC37" s="38"/>
      <c r="BD37" s="38"/>
      <c r="BE37" s="38"/>
      <c r="BF37" s="38"/>
      <c r="BG37" s="38"/>
      <c r="BH37" s="130"/>
      <c r="BI37" s="38"/>
      <c r="BJ37" s="38"/>
      <c r="BK37" s="38"/>
      <c r="BL37" s="38"/>
      <c r="BM37" s="38"/>
      <c r="BN37" s="38"/>
      <c r="BO37" s="38"/>
      <c r="BP37" s="38"/>
      <c r="BQ37" s="38"/>
      <c r="BR37" s="38"/>
      <c r="BS37" s="130"/>
      <c r="BT37" s="38"/>
      <c r="BU37" s="38"/>
      <c r="BV37" s="38"/>
      <c r="BW37" s="38"/>
      <c r="BX37" s="38"/>
      <c r="BY37" s="38"/>
      <c r="BZ37" s="38"/>
      <c r="CA37" s="38"/>
      <c r="CB37" s="38"/>
      <c r="CC37" s="786"/>
      <c r="CD37" s="130"/>
      <c r="CE37" s="38"/>
      <c r="CF37" s="38"/>
      <c r="CG37" s="38"/>
      <c r="CH37" s="37"/>
      <c r="CI37" s="130"/>
      <c r="CJ37" s="38"/>
      <c r="CK37" s="38"/>
      <c r="CL37" s="38"/>
      <c r="CM37" s="37"/>
      <c r="CN37" s="130"/>
      <c r="CO37" s="38"/>
      <c r="CP37" s="38"/>
      <c r="CQ37" s="38"/>
      <c r="CR37" s="38"/>
      <c r="CS37" s="130"/>
      <c r="CT37" s="38"/>
      <c r="CU37" s="38"/>
      <c r="CV37" s="38"/>
      <c r="CW37" s="37"/>
      <c r="CX37" s="130"/>
      <c r="CY37" s="38"/>
      <c r="CZ37" s="38"/>
      <c r="DA37" s="38"/>
      <c r="DB37" s="38"/>
      <c r="DC37" s="130"/>
      <c r="DD37" s="38"/>
      <c r="DE37" s="38"/>
      <c r="DF37" s="38"/>
      <c r="DG37" s="38"/>
      <c r="DH37" s="130"/>
      <c r="DI37" s="38"/>
      <c r="DJ37" s="38"/>
      <c r="DK37" s="38"/>
      <c r="DL37" s="38"/>
      <c r="DM37" s="130"/>
      <c r="DN37" s="38"/>
      <c r="DO37" s="38"/>
      <c r="DP37" s="38"/>
      <c r="DQ37" s="38"/>
      <c r="DR37" s="130"/>
      <c r="DS37" s="38"/>
      <c r="DT37" s="38"/>
      <c r="DU37" s="38"/>
      <c r="DV37" s="31"/>
      <c r="DW37" s="130"/>
      <c r="DX37" s="38"/>
      <c r="DY37" s="38"/>
      <c r="DZ37" s="38"/>
      <c r="EA37" s="38"/>
      <c r="EB37" s="130"/>
      <c r="EC37" s="38"/>
      <c r="ED37" s="38"/>
      <c r="EE37" s="38"/>
      <c r="EF37" s="31"/>
      <c r="EG37" s="130"/>
      <c r="EH37" s="38"/>
      <c r="EI37" s="38"/>
      <c r="EJ37" s="38"/>
      <c r="EK37" s="31"/>
      <c r="EL37" s="130"/>
      <c r="EM37" s="38"/>
      <c r="EN37" s="38"/>
      <c r="EO37" s="38"/>
      <c r="EP37" s="31"/>
      <c r="EQ37" s="130"/>
      <c r="ER37" s="38"/>
      <c r="ES37" s="38"/>
      <c r="ET37" s="38"/>
      <c r="EU37" s="31"/>
      <c r="EV37" s="130"/>
      <c r="EW37" s="38"/>
      <c r="EX37" s="38"/>
      <c r="EY37" s="38"/>
      <c r="FA37" s="130"/>
      <c r="FB37" s="38"/>
      <c r="FC37" s="38"/>
      <c r="FD37" s="38"/>
      <c r="FF37" s="130"/>
      <c r="FG37" s="38"/>
      <c r="FH37" s="38"/>
      <c r="FI37" s="38"/>
      <c r="FL37" s="130"/>
      <c r="FM37" s="38"/>
      <c r="FN37" s="38"/>
      <c r="FO37" s="38"/>
      <c r="FP37" s="38"/>
      <c r="FQ37" s="796"/>
    </row>
    <row r="38" spans="1:173" ht="15" customHeight="1">
      <c r="A38" s="112"/>
      <c r="B38" s="432"/>
      <c r="C38" s="432"/>
      <c r="D38" s="38"/>
      <c r="E38" s="130"/>
      <c r="F38" s="38"/>
      <c r="G38" s="38"/>
      <c r="H38" s="38"/>
      <c r="I38" s="38"/>
      <c r="J38" s="38"/>
      <c r="K38" s="38"/>
      <c r="L38" s="38"/>
      <c r="M38" s="38"/>
      <c r="N38" s="38"/>
      <c r="O38" s="786"/>
      <c r="P38" s="130"/>
      <c r="Q38" s="38"/>
      <c r="R38" s="38"/>
      <c r="S38" s="38"/>
      <c r="T38" s="38"/>
      <c r="U38" s="38"/>
      <c r="V38" s="38"/>
      <c r="W38" s="38"/>
      <c r="X38" s="38"/>
      <c r="Y38" s="38"/>
      <c r="Z38" s="786"/>
      <c r="AA38" s="130"/>
      <c r="AB38" s="38"/>
      <c r="AC38" s="38"/>
      <c r="AD38" s="38"/>
      <c r="AE38" s="38"/>
      <c r="AF38" s="38"/>
      <c r="AG38" s="38"/>
      <c r="AH38" s="38"/>
      <c r="AI38" s="38"/>
      <c r="AJ38" s="38"/>
      <c r="AK38" s="38"/>
      <c r="AL38" s="130"/>
      <c r="AM38" s="38"/>
      <c r="AN38" s="38"/>
      <c r="AO38" s="38"/>
      <c r="AP38" s="38"/>
      <c r="AQ38" s="38"/>
      <c r="AR38" s="38"/>
      <c r="AS38" s="38"/>
      <c r="AT38" s="38"/>
      <c r="AU38" s="38"/>
      <c r="AV38" s="786"/>
      <c r="AW38" s="130"/>
      <c r="AX38" s="130"/>
      <c r="AY38" s="130"/>
      <c r="AZ38" s="130"/>
      <c r="BA38" s="130"/>
      <c r="BB38" s="130"/>
      <c r="BC38" s="38"/>
      <c r="BD38" s="38"/>
      <c r="BE38" s="38"/>
      <c r="BF38" s="38"/>
      <c r="BG38" s="38"/>
      <c r="BH38" s="130"/>
      <c r="BI38" s="38"/>
      <c r="BJ38" s="38"/>
      <c r="BK38" s="38"/>
      <c r="BL38" s="38"/>
      <c r="BM38" s="38"/>
      <c r="BN38" s="38"/>
      <c r="BO38" s="38"/>
      <c r="BP38" s="38"/>
      <c r="BQ38" s="38"/>
      <c r="BR38" s="38"/>
      <c r="BS38" s="130"/>
      <c r="BT38" s="38"/>
      <c r="BU38" s="38"/>
      <c r="BV38" s="38"/>
      <c r="BW38" s="38"/>
      <c r="BX38" s="38"/>
      <c r="BY38" s="38"/>
      <c r="BZ38" s="38"/>
      <c r="CA38" s="38"/>
      <c r="CB38" s="38"/>
      <c r="CC38" s="786"/>
      <c r="CD38" s="130"/>
      <c r="CE38" s="38"/>
      <c r="CF38" s="38"/>
      <c r="CG38" s="38"/>
      <c r="CH38" s="37"/>
      <c r="CI38" s="130"/>
      <c r="CJ38" s="38"/>
      <c r="CK38" s="38"/>
      <c r="CL38" s="38"/>
      <c r="CM38" s="37"/>
      <c r="CN38" s="130"/>
      <c r="CO38" s="38"/>
      <c r="CP38" s="38"/>
      <c r="CQ38" s="38"/>
      <c r="CR38" s="38"/>
      <c r="CS38" s="130"/>
      <c r="CT38" s="38"/>
      <c r="CU38" s="38"/>
      <c r="CV38" s="38"/>
      <c r="CW38" s="37"/>
      <c r="CX38" s="130"/>
      <c r="CY38" s="38"/>
      <c r="CZ38" s="38"/>
      <c r="DA38" s="38"/>
      <c r="DB38" s="38"/>
      <c r="DC38" s="130"/>
      <c r="DD38" s="38"/>
      <c r="DE38" s="38"/>
      <c r="DF38" s="38"/>
      <c r="DG38" s="38"/>
      <c r="DH38" s="130"/>
      <c r="DI38" s="38"/>
      <c r="DJ38" s="38"/>
      <c r="DK38" s="38"/>
      <c r="DL38" s="38"/>
      <c r="DM38" s="130"/>
      <c r="DN38" s="38"/>
      <c r="DO38" s="38"/>
      <c r="DP38" s="38"/>
      <c r="DQ38" s="38"/>
      <c r="DR38" s="130"/>
      <c r="DS38" s="38"/>
      <c r="DT38" s="38"/>
      <c r="DU38" s="38"/>
      <c r="DV38" s="31"/>
      <c r="DW38" s="130"/>
      <c r="DX38" s="38"/>
      <c r="DY38" s="38"/>
      <c r="DZ38" s="38"/>
      <c r="EA38" s="38"/>
      <c r="EB38" s="130"/>
      <c r="EC38" s="38"/>
      <c r="ED38" s="38"/>
      <c r="EE38" s="38"/>
      <c r="EF38" s="31"/>
      <c r="EG38" s="130"/>
      <c r="EH38" s="38"/>
      <c r="EI38" s="38"/>
      <c r="EJ38" s="38"/>
      <c r="EK38" s="31"/>
      <c r="EL38" s="130"/>
      <c r="EM38" s="38"/>
      <c r="EN38" s="38"/>
      <c r="EO38" s="38"/>
      <c r="EP38" s="31"/>
      <c r="EQ38" s="130"/>
      <c r="ER38" s="38"/>
      <c r="ES38" s="38"/>
      <c r="ET38" s="38"/>
      <c r="EU38" s="31"/>
      <c r="EV38" s="130"/>
      <c r="EW38" s="38"/>
      <c r="EX38" s="38"/>
      <c r="EY38" s="38"/>
      <c r="FA38" s="130"/>
      <c r="FB38" s="38"/>
      <c r="FC38" s="38"/>
      <c r="FD38" s="38"/>
      <c r="FF38" s="130"/>
      <c r="FG38" s="38"/>
      <c r="FH38" s="38"/>
      <c r="FI38" s="38"/>
      <c r="FL38" s="130"/>
      <c r="FM38" s="38"/>
      <c r="FN38" s="38"/>
      <c r="FO38" s="38"/>
      <c r="FP38" s="38"/>
      <c r="FQ38" s="796"/>
    </row>
    <row r="39" spans="1:173" ht="15" customHeight="1">
      <c r="A39" s="112"/>
      <c r="B39" s="432"/>
      <c r="C39" s="432"/>
      <c r="D39" s="38"/>
      <c r="E39" s="130"/>
      <c r="F39" s="38"/>
      <c r="G39" s="38"/>
      <c r="H39" s="38"/>
      <c r="I39" s="38"/>
      <c r="J39" s="38"/>
      <c r="K39" s="38"/>
      <c r="L39" s="38"/>
      <c r="M39" s="38"/>
      <c r="N39" s="38"/>
      <c r="O39" s="786"/>
      <c r="P39" s="130"/>
      <c r="Q39" s="38"/>
      <c r="R39" s="38"/>
      <c r="S39" s="38"/>
      <c r="T39" s="38"/>
      <c r="U39" s="38"/>
      <c r="V39" s="38"/>
      <c r="W39" s="38"/>
      <c r="X39" s="38"/>
      <c r="Y39" s="1844"/>
      <c r="Z39" s="1844"/>
      <c r="AA39" s="1844"/>
      <c r="AB39" s="1844"/>
      <c r="AC39" s="1844"/>
      <c r="AD39" s="1844"/>
      <c r="AE39" s="1844"/>
      <c r="AF39" s="1844"/>
      <c r="AG39" s="1844"/>
      <c r="AH39" s="1844"/>
      <c r="AI39" s="1844"/>
      <c r="AJ39" s="38"/>
      <c r="AK39" s="38"/>
      <c r="AL39" s="130"/>
      <c r="AM39" s="38"/>
      <c r="AN39" s="38"/>
      <c r="AO39" s="38"/>
      <c r="AP39" s="38"/>
      <c r="AQ39" s="38"/>
      <c r="AR39" s="38"/>
      <c r="AS39" s="38"/>
      <c r="AT39" s="38"/>
      <c r="AU39" s="38"/>
      <c r="AV39" s="786"/>
      <c r="AW39" s="130"/>
      <c r="AX39" s="130"/>
      <c r="AY39" s="130"/>
      <c r="AZ39" s="130"/>
      <c r="BA39" s="130"/>
      <c r="BB39" s="130"/>
      <c r="BC39" s="38"/>
      <c r="BD39" s="38"/>
      <c r="BE39" s="38"/>
      <c r="BF39" s="38"/>
      <c r="BG39" s="38"/>
      <c r="BH39" s="130"/>
      <c r="BI39" s="38"/>
      <c r="BJ39" s="38"/>
      <c r="BK39" s="38"/>
      <c r="BL39" s="38"/>
      <c r="BM39" s="38"/>
      <c r="BN39" s="38"/>
      <c r="BO39" s="38"/>
      <c r="BP39" s="38"/>
      <c r="BQ39" s="38"/>
      <c r="BR39" s="38"/>
      <c r="BS39" s="130"/>
      <c r="BT39" s="38"/>
      <c r="BU39" s="38"/>
      <c r="BV39" s="38"/>
      <c r="BW39" s="38"/>
      <c r="BX39" s="38"/>
      <c r="BY39" s="38"/>
      <c r="BZ39" s="38"/>
      <c r="CA39" s="38"/>
      <c r="CB39" s="38"/>
      <c r="CC39" s="786"/>
      <c r="CD39" s="130"/>
      <c r="CE39" s="38"/>
      <c r="CF39" s="38"/>
      <c r="CG39" s="38"/>
      <c r="CH39" s="37"/>
      <c r="CI39" s="130"/>
      <c r="CJ39" s="38"/>
      <c r="CK39" s="38"/>
      <c r="CL39" s="38"/>
      <c r="CM39" s="37"/>
      <c r="CN39" s="130"/>
      <c r="CO39" s="38"/>
      <c r="CP39" s="38"/>
      <c r="CQ39" s="38"/>
      <c r="CR39" s="38"/>
      <c r="CS39" s="130"/>
      <c r="CT39" s="38"/>
      <c r="CU39" s="38"/>
      <c r="CV39" s="38"/>
      <c r="CW39" s="37"/>
      <c r="CX39" s="130"/>
      <c r="CY39" s="38"/>
      <c r="CZ39" s="38"/>
      <c r="DA39" s="38"/>
      <c r="DB39" s="38"/>
      <c r="DC39" s="130"/>
      <c r="DD39" s="38"/>
      <c r="DE39" s="38"/>
      <c r="DF39" s="38"/>
      <c r="DG39" s="38"/>
      <c r="DH39" s="130"/>
      <c r="DI39" s="38"/>
      <c r="DJ39" s="38"/>
      <c r="DK39" s="38"/>
      <c r="DL39" s="38"/>
      <c r="DM39" s="130"/>
      <c r="DN39" s="38"/>
      <c r="DO39" s="38"/>
      <c r="DP39" s="38"/>
      <c r="DQ39" s="38"/>
      <c r="DR39" s="130"/>
      <c r="DS39" s="38"/>
      <c r="DT39" s="38"/>
      <c r="DU39" s="38"/>
      <c r="DV39" s="31"/>
      <c r="DW39" s="130"/>
      <c r="DX39" s="38"/>
      <c r="DY39" s="38"/>
      <c r="DZ39" s="38"/>
      <c r="EA39" s="38"/>
      <c r="EB39" s="130"/>
      <c r="EC39" s="38"/>
      <c r="ED39" s="38"/>
      <c r="EE39" s="38"/>
      <c r="EF39" s="31"/>
      <c r="EG39" s="130"/>
      <c r="EH39" s="38"/>
      <c r="EI39" s="38"/>
      <c r="EJ39" s="38"/>
      <c r="EK39" s="31"/>
      <c r="EL39" s="130"/>
      <c r="EM39" s="38"/>
      <c r="EN39" s="38"/>
      <c r="EO39" s="38"/>
      <c r="EP39" s="31"/>
      <c r="EQ39" s="130"/>
      <c r="ER39" s="38"/>
      <c r="ES39" s="38"/>
      <c r="ET39" s="38"/>
      <c r="EU39" s="31"/>
      <c r="EV39" s="130"/>
      <c r="EW39" s="38"/>
      <c r="EX39" s="38"/>
      <c r="EY39" s="38"/>
      <c r="FA39" s="130"/>
      <c r="FB39" s="38"/>
      <c r="FC39" s="38"/>
      <c r="FD39" s="38"/>
      <c r="FF39" s="130"/>
      <c r="FG39" s="38"/>
      <c r="FH39" s="38"/>
      <c r="FI39" s="38"/>
      <c r="FL39" s="130"/>
      <c r="FM39" s="38"/>
      <c r="FN39" s="38"/>
      <c r="FO39" s="38"/>
      <c r="FP39" s="38"/>
      <c r="FQ39" s="796"/>
    </row>
    <row r="40" spans="1:173" ht="15" customHeight="1">
      <c r="A40" s="112"/>
      <c r="B40" s="432"/>
      <c r="C40" s="432"/>
      <c r="D40" s="38"/>
      <c r="E40" s="130"/>
      <c r="F40" s="38"/>
      <c r="G40" s="38"/>
      <c r="H40" s="38"/>
      <c r="I40" s="38"/>
      <c r="J40" s="38"/>
      <c r="K40" s="38"/>
      <c r="L40" s="38"/>
      <c r="M40" s="38"/>
      <c r="N40" s="38"/>
      <c r="O40" s="786"/>
      <c r="P40" s="130"/>
      <c r="Q40" s="38"/>
      <c r="R40" s="38"/>
      <c r="S40" s="38"/>
      <c r="T40" s="38"/>
      <c r="U40" s="38"/>
      <c r="V40" s="38"/>
      <c r="W40" s="38"/>
      <c r="X40" s="38"/>
      <c r="Y40" s="38"/>
      <c r="Z40" s="786"/>
      <c r="AA40" s="130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130"/>
      <c r="AM40" s="38"/>
      <c r="AN40" s="38"/>
      <c r="AO40" s="38"/>
      <c r="AP40" s="38"/>
      <c r="AQ40" s="38"/>
      <c r="AR40" s="38"/>
      <c r="AS40" s="38"/>
      <c r="AT40" s="38"/>
      <c r="AU40" s="38"/>
      <c r="AV40" s="786"/>
      <c r="AW40" s="130"/>
      <c r="AX40" s="130"/>
      <c r="AY40" s="130"/>
      <c r="AZ40" s="130"/>
      <c r="BA40" s="130"/>
      <c r="BB40" s="130"/>
      <c r="BC40" s="38"/>
      <c r="BD40" s="38"/>
      <c r="BE40" s="38"/>
      <c r="BF40" s="38"/>
      <c r="BG40" s="38"/>
      <c r="BH40" s="130"/>
      <c r="BI40" s="38"/>
      <c r="BJ40" s="38"/>
      <c r="BK40" s="38"/>
      <c r="BL40" s="38"/>
      <c r="BM40" s="38"/>
      <c r="BN40" s="38"/>
      <c r="BO40" s="38"/>
      <c r="BP40" s="38"/>
      <c r="BQ40" s="38"/>
      <c r="BR40" s="38"/>
      <c r="BS40" s="130"/>
      <c r="BT40" s="38"/>
      <c r="BU40" s="38"/>
      <c r="BV40" s="38"/>
      <c r="BW40" s="38"/>
      <c r="BX40" s="38"/>
      <c r="BY40" s="38"/>
      <c r="BZ40" s="38"/>
      <c r="CA40" s="38"/>
      <c r="CB40" s="38"/>
      <c r="CC40" s="786"/>
      <c r="CD40" s="130"/>
      <c r="CE40" s="38"/>
      <c r="CF40" s="38"/>
      <c r="CG40" s="38"/>
      <c r="CH40" s="37"/>
      <c r="CI40" s="130"/>
      <c r="CJ40" s="38"/>
      <c r="CK40" s="38"/>
      <c r="CL40" s="38"/>
      <c r="CM40" s="37"/>
      <c r="CN40" s="130"/>
      <c r="CO40" s="38"/>
      <c r="CP40" s="38"/>
      <c r="CQ40" s="38"/>
      <c r="CR40" s="38"/>
      <c r="CS40" s="130"/>
      <c r="CT40" s="38"/>
      <c r="CU40" s="38"/>
      <c r="CV40" s="38"/>
      <c r="CW40" s="37"/>
      <c r="CX40" s="130"/>
      <c r="CY40" s="38"/>
      <c r="CZ40" s="38"/>
      <c r="DA40" s="38"/>
      <c r="DB40" s="38"/>
      <c r="DC40" s="130"/>
      <c r="DD40" s="38"/>
      <c r="DE40" s="38"/>
      <c r="DF40" s="38"/>
      <c r="DG40" s="38"/>
      <c r="DH40" s="130"/>
      <c r="DI40" s="38"/>
      <c r="DJ40" s="38"/>
      <c r="DK40" s="38"/>
      <c r="DL40" s="38"/>
      <c r="DM40" s="130"/>
      <c r="DN40" s="38"/>
      <c r="DO40" s="38"/>
      <c r="DP40" s="38"/>
      <c r="DQ40" s="38"/>
      <c r="DR40" s="130"/>
      <c r="DS40" s="38"/>
      <c r="DT40" s="38"/>
      <c r="DU40" s="38"/>
      <c r="DV40" s="31"/>
      <c r="DW40" s="130"/>
      <c r="DX40" s="38"/>
      <c r="DY40" s="38"/>
      <c r="DZ40" s="38"/>
      <c r="EA40" s="38"/>
      <c r="EB40" s="130"/>
      <c r="EC40" s="38"/>
      <c r="ED40" s="38"/>
      <c r="EE40" s="38"/>
      <c r="EF40" s="31"/>
      <c r="EG40" s="130"/>
      <c r="EH40" s="38"/>
      <c r="EI40" s="38"/>
      <c r="EJ40" s="38"/>
      <c r="EK40" s="31"/>
      <c r="EL40" s="130"/>
      <c r="EM40" s="38"/>
      <c r="EN40" s="38"/>
      <c r="EO40" s="38"/>
      <c r="EP40" s="31"/>
      <c r="EQ40" s="130"/>
      <c r="ER40" s="38"/>
      <c r="ES40" s="38"/>
      <c r="ET40" s="38"/>
      <c r="EU40" s="31"/>
      <c r="EV40" s="130"/>
      <c r="EW40" s="38"/>
      <c r="EX40" s="38"/>
      <c r="EY40" s="38"/>
      <c r="FA40" s="130"/>
      <c r="FB40" s="38"/>
      <c r="FC40" s="38"/>
      <c r="FD40" s="38"/>
      <c r="FF40" s="130"/>
      <c r="FG40" s="38"/>
      <c r="FH40" s="38"/>
      <c r="FI40" s="38"/>
      <c r="FL40" s="130"/>
      <c r="FM40" s="38"/>
      <c r="FN40" s="38"/>
      <c r="FO40" s="38"/>
      <c r="FP40" s="38"/>
      <c r="FQ40" s="796"/>
    </row>
    <row r="41" spans="1:173" ht="15" customHeight="1">
      <c r="A41" s="112"/>
      <c r="B41" s="432"/>
      <c r="C41" s="432"/>
      <c r="D41" s="38"/>
      <c r="E41" s="130"/>
      <c r="F41" s="38"/>
      <c r="G41" s="38"/>
      <c r="H41" s="38"/>
      <c r="I41" s="38"/>
      <c r="J41" s="38"/>
      <c r="K41" s="38"/>
      <c r="L41" s="38"/>
      <c r="M41" s="38"/>
      <c r="N41" s="38"/>
      <c r="O41" s="786"/>
      <c r="P41" s="130"/>
      <c r="Q41" s="38"/>
      <c r="R41" s="38"/>
      <c r="S41" s="38"/>
      <c r="T41" s="38"/>
      <c r="U41" s="38"/>
      <c r="V41" s="38"/>
      <c r="W41" s="38"/>
      <c r="X41" s="38"/>
      <c r="Y41" s="38"/>
      <c r="Z41" s="786"/>
      <c r="AA41" s="130"/>
      <c r="AB41" s="38"/>
      <c r="AC41" s="38"/>
      <c r="AD41" s="38"/>
      <c r="AE41" s="38"/>
      <c r="AF41" s="38"/>
      <c r="AG41" s="38"/>
      <c r="AH41" s="38"/>
      <c r="AI41" s="38"/>
      <c r="AJ41" s="38"/>
      <c r="AK41" s="38"/>
      <c r="AL41" s="130"/>
      <c r="AM41" s="38"/>
      <c r="AN41" s="38"/>
      <c r="AO41" s="38"/>
      <c r="AP41" s="38"/>
      <c r="AQ41" s="38"/>
      <c r="AR41" s="38"/>
      <c r="AS41" s="38"/>
      <c r="AT41" s="38"/>
      <c r="AU41" s="38"/>
      <c r="AV41" s="786"/>
      <c r="AW41" s="130"/>
      <c r="AX41" s="130"/>
      <c r="AY41" s="130"/>
      <c r="AZ41" s="130"/>
      <c r="BA41" s="130"/>
      <c r="BB41" s="130"/>
      <c r="BC41" s="38"/>
      <c r="BD41" s="38"/>
      <c r="BE41" s="38"/>
      <c r="BF41" s="38"/>
      <c r="BG41" s="38"/>
      <c r="BH41" s="130"/>
      <c r="BI41" s="38"/>
      <c r="BJ41" s="38"/>
      <c r="BK41" s="38"/>
      <c r="BL41" s="38"/>
      <c r="BM41" s="38"/>
      <c r="BN41" s="38"/>
      <c r="BO41" s="38"/>
      <c r="BP41" s="38"/>
      <c r="BQ41" s="38"/>
      <c r="BR41" s="38"/>
      <c r="BS41" s="130"/>
      <c r="BT41" s="38"/>
      <c r="BU41" s="38"/>
      <c r="BV41" s="38"/>
      <c r="BW41" s="38"/>
      <c r="BX41" s="38"/>
      <c r="BY41" s="38"/>
      <c r="BZ41" s="38"/>
      <c r="CA41" s="38"/>
      <c r="CB41" s="38"/>
      <c r="CC41" s="786"/>
      <c r="CD41" s="130"/>
      <c r="CE41" s="38"/>
      <c r="CF41" s="38"/>
      <c r="CG41" s="38"/>
      <c r="CH41" s="37"/>
      <c r="CI41" s="130"/>
      <c r="CJ41" s="38"/>
      <c r="CK41" s="38"/>
      <c r="CL41" s="38"/>
      <c r="CM41" s="37"/>
      <c r="CN41" s="130"/>
      <c r="CO41" s="38"/>
      <c r="CP41" s="38"/>
      <c r="CQ41" s="38"/>
      <c r="CR41" s="38"/>
      <c r="CS41" s="130"/>
      <c r="CT41" s="38"/>
      <c r="CU41" s="38"/>
      <c r="CV41" s="38"/>
      <c r="CW41" s="37"/>
      <c r="CX41" s="130"/>
      <c r="CY41" s="38"/>
      <c r="CZ41" s="38"/>
      <c r="DA41" s="38"/>
      <c r="DB41" s="38"/>
      <c r="DC41" s="130"/>
      <c r="DD41" s="38"/>
      <c r="DE41" s="38"/>
      <c r="DF41" s="38"/>
      <c r="DG41" s="38"/>
      <c r="DH41" s="130"/>
      <c r="DI41" s="38"/>
      <c r="DJ41" s="38"/>
      <c r="DK41" s="38"/>
      <c r="DL41" s="38"/>
      <c r="DM41" s="130"/>
      <c r="DN41" s="38"/>
      <c r="DO41" s="38"/>
      <c r="DP41" s="38"/>
      <c r="DQ41" s="38"/>
      <c r="DR41" s="130"/>
      <c r="DS41" s="38"/>
      <c r="DT41" s="38"/>
      <c r="DU41" s="38"/>
      <c r="DV41" s="31"/>
      <c r="DW41" s="130"/>
      <c r="DX41" s="38"/>
      <c r="DY41" s="38"/>
      <c r="DZ41" s="38"/>
      <c r="EA41" s="38"/>
      <c r="EB41" s="130"/>
      <c r="EC41" s="38"/>
      <c r="ED41" s="38"/>
      <c r="EE41" s="38"/>
      <c r="EF41" s="31"/>
      <c r="EG41" s="130"/>
      <c r="EH41" s="38"/>
      <c r="EI41" s="38"/>
      <c r="EJ41" s="38"/>
      <c r="EK41" s="31"/>
      <c r="EL41" s="130"/>
      <c r="EM41" s="38"/>
      <c r="EN41" s="38"/>
      <c r="EO41" s="38"/>
      <c r="EP41" s="31"/>
      <c r="EQ41" s="130"/>
      <c r="ER41" s="38"/>
      <c r="ES41" s="38"/>
      <c r="ET41" s="38"/>
      <c r="EU41" s="31"/>
      <c r="EV41" s="130"/>
      <c r="EW41" s="38"/>
      <c r="EX41" s="38"/>
      <c r="EY41" s="38"/>
      <c r="FA41" s="130"/>
      <c r="FB41" s="38"/>
      <c r="FC41" s="38"/>
      <c r="FD41" s="38"/>
      <c r="FF41" s="130"/>
      <c r="FG41" s="38"/>
      <c r="FH41" s="38"/>
      <c r="FI41" s="38"/>
      <c r="FL41" s="130"/>
      <c r="FM41" s="38"/>
      <c r="FN41" s="38"/>
      <c r="FO41" s="38"/>
      <c r="FP41" s="38"/>
      <c r="FQ41" s="796"/>
    </row>
    <row r="42" spans="1:173" ht="15" customHeight="1">
      <c r="A42" s="112"/>
      <c r="B42" s="432"/>
      <c r="C42" s="432"/>
      <c r="D42" s="38"/>
      <c r="E42" s="130"/>
      <c r="F42" s="38"/>
      <c r="G42" s="38"/>
      <c r="H42" s="38"/>
      <c r="I42" s="38"/>
      <c r="J42" s="38"/>
      <c r="K42" s="38"/>
      <c r="L42" s="38"/>
      <c r="M42" s="38"/>
      <c r="N42" s="38"/>
      <c r="O42" s="786"/>
      <c r="P42" s="130"/>
      <c r="Q42" s="38"/>
      <c r="R42" s="38"/>
      <c r="S42" s="38"/>
      <c r="T42" s="38"/>
      <c r="U42" s="38"/>
      <c r="V42" s="38"/>
      <c r="W42" s="38"/>
      <c r="X42" s="38"/>
      <c r="Y42" s="38"/>
      <c r="Z42" s="786"/>
      <c r="AA42" s="130"/>
      <c r="AB42" s="38"/>
      <c r="AC42" s="38"/>
      <c r="AD42" s="38"/>
      <c r="AE42" s="38"/>
      <c r="AF42" s="38"/>
      <c r="AG42" s="38"/>
      <c r="AH42" s="38"/>
      <c r="AI42" s="38"/>
      <c r="AJ42" s="38"/>
      <c r="AK42" s="38"/>
      <c r="AL42" s="130"/>
      <c r="AM42" s="38"/>
      <c r="AN42" s="38"/>
      <c r="AO42" s="38"/>
      <c r="AP42" s="38"/>
      <c r="AQ42" s="38"/>
      <c r="AR42" s="38"/>
      <c r="AS42" s="38"/>
      <c r="AT42" s="38"/>
      <c r="AU42" s="38"/>
      <c r="AV42" s="786"/>
      <c r="AW42" s="130"/>
      <c r="AX42" s="130"/>
      <c r="AY42" s="130"/>
      <c r="AZ42" s="130"/>
      <c r="BA42" s="130"/>
      <c r="BB42" s="130"/>
      <c r="BC42" s="38"/>
      <c r="BD42" s="38"/>
      <c r="BE42" s="38"/>
      <c r="BF42" s="38"/>
      <c r="BG42" s="38"/>
      <c r="BH42" s="130"/>
      <c r="BI42" s="38"/>
      <c r="BJ42" s="38"/>
      <c r="BK42" s="38"/>
      <c r="BL42" s="38"/>
      <c r="BM42" s="38"/>
      <c r="BN42" s="38"/>
      <c r="BO42" s="38"/>
      <c r="BP42" s="38"/>
      <c r="BQ42" s="38"/>
      <c r="BR42" s="38"/>
      <c r="BS42" s="130"/>
      <c r="BT42" s="38"/>
      <c r="BU42" s="38"/>
      <c r="BV42" s="38"/>
      <c r="BW42" s="38"/>
      <c r="BX42" s="38"/>
      <c r="BY42" s="38"/>
      <c r="BZ42" s="38"/>
      <c r="CA42" s="38"/>
      <c r="CB42" s="38"/>
      <c r="CC42" s="786"/>
      <c r="CD42" s="130"/>
      <c r="CE42" s="38"/>
      <c r="CF42" s="38"/>
      <c r="CG42" s="38"/>
      <c r="CH42" s="37"/>
      <c r="CI42" s="130"/>
      <c r="CJ42" s="38"/>
      <c r="CK42" s="38"/>
      <c r="CL42" s="38"/>
      <c r="CM42" s="37"/>
      <c r="CN42" s="130"/>
      <c r="CO42" s="38"/>
      <c r="CP42" s="38"/>
      <c r="CQ42" s="38"/>
      <c r="CR42" s="38"/>
      <c r="CS42" s="130"/>
      <c r="CT42" s="38"/>
      <c r="CU42" s="38"/>
      <c r="CV42" s="38"/>
      <c r="CW42" s="37"/>
      <c r="CX42" s="130"/>
      <c r="CY42" s="38"/>
      <c r="CZ42" s="38"/>
      <c r="DA42" s="38"/>
      <c r="DB42" s="38"/>
      <c r="DC42" s="130"/>
      <c r="DD42" s="38"/>
      <c r="DE42" s="38"/>
      <c r="DF42" s="38"/>
      <c r="DG42" s="38"/>
      <c r="DH42" s="130"/>
      <c r="DI42" s="38"/>
      <c r="DJ42" s="38"/>
      <c r="DK42" s="38"/>
      <c r="DL42" s="38"/>
      <c r="DM42" s="130"/>
      <c r="DN42" s="38"/>
      <c r="DO42" s="38"/>
      <c r="DP42" s="38"/>
      <c r="DQ42" s="38"/>
      <c r="DR42" s="130"/>
      <c r="DS42" s="38"/>
      <c r="DT42" s="38"/>
      <c r="DU42" s="38"/>
      <c r="DV42" s="31"/>
      <c r="DW42" s="130"/>
      <c r="DX42" s="38"/>
      <c r="DY42" s="38"/>
      <c r="DZ42" s="38"/>
      <c r="EA42" s="38"/>
      <c r="EB42" s="130"/>
      <c r="EC42" s="38"/>
      <c r="ED42" s="38"/>
      <c r="EE42" s="38"/>
      <c r="EF42" s="31"/>
      <c r="EG42" s="130"/>
      <c r="EH42" s="38"/>
      <c r="EI42" s="38"/>
      <c r="EJ42" s="38"/>
      <c r="EK42" s="31"/>
      <c r="EL42" s="130"/>
      <c r="EM42" s="38"/>
      <c r="EN42" s="38"/>
      <c r="EO42" s="38"/>
      <c r="EP42" s="31"/>
      <c r="EQ42" s="130"/>
      <c r="ER42" s="38"/>
      <c r="ES42" s="38"/>
      <c r="ET42" s="38"/>
      <c r="EU42" s="31"/>
      <c r="EV42" s="130"/>
      <c r="EW42" s="38"/>
      <c r="EX42" s="38"/>
      <c r="EY42" s="38"/>
      <c r="FA42" s="130"/>
      <c r="FB42" s="38"/>
      <c r="FC42" s="38"/>
      <c r="FD42" s="38"/>
      <c r="FF42" s="130"/>
      <c r="FG42" s="38"/>
      <c r="FH42" s="38"/>
      <c r="FI42" s="38"/>
      <c r="FL42" s="130"/>
      <c r="FM42" s="38"/>
      <c r="FN42" s="38"/>
      <c r="FO42" s="38"/>
      <c r="FP42" s="38"/>
      <c r="FQ42" s="796"/>
    </row>
    <row r="43" spans="1:173" ht="15" customHeight="1">
      <c r="A43" s="112"/>
      <c r="B43" s="432"/>
      <c r="C43" s="432"/>
      <c r="D43" s="38"/>
      <c r="E43" s="130"/>
      <c r="F43" s="38"/>
      <c r="G43" s="38"/>
      <c r="H43" s="38"/>
      <c r="I43" s="38"/>
      <c r="J43" s="38"/>
      <c r="K43" s="38"/>
      <c r="L43" s="38"/>
      <c r="M43" s="38"/>
      <c r="N43" s="38"/>
      <c r="O43" s="786"/>
      <c r="P43" s="130"/>
      <c r="Q43" s="38"/>
      <c r="R43" s="38"/>
      <c r="S43" s="38"/>
      <c r="T43" s="38"/>
      <c r="U43" s="38"/>
      <c r="V43" s="38"/>
      <c r="W43" s="38"/>
      <c r="X43" s="38"/>
      <c r="Y43" s="38"/>
      <c r="Z43" s="786"/>
      <c r="AA43" s="130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130"/>
      <c r="AM43" s="38"/>
      <c r="AN43" s="38"/>
      <c r="AO43" s="38"/>
      <c r="AP43" s="38"/>
      <c r="AQ43" s="38"/>
      <c r="AR43" s="38"/>
      <c r="AS43" s="38"/>
      <c r="AT43" s="38"/>
      <c r="AU43" s="38"/>
      <c r="AV43" s="786"/>
      <c r="AW43" s="130"/>
      <c r="AX43" s="130"/>
      <c r="AY43" s="130"/>
      <c r="AZ43" s="130"/>
      <c r="BA43" s="130"/>
      <c r="BB43" s="130"/>
      <c r="BC43" s="38"/>
      <c r="BD43" s="38"/>
      <c r="BE43" s="38"/>
      <c r="BF43" s="38"/>
      <c r="BG43" s="38"/>
      <c r="BH43" s="130"/>
      <c r="BI43" s="38"/>
      <c r="BJ43" s="38"/>
      <c r="BK43" s="38"/>
      <c r="BL43" s="38"/>
      <c r="BM43" s="38"/>
      <c r="BN43" s="38"/>
      <c r="BO43" s="38"/>
      <c r="BP43" s="38"/>
      <c r="BQ43" s="38"/>
      <c r="BR43" s="38"/>
      <c r="BS43" s="130"/>
      <c r="BT43" s="38"/>
      <c r="BU43" s="38"/>
      <c r="BV43" s="38"/>
      <c r="BW43" s="38"/>
      <c r="BX43" s="38"/>
      <c r="BY43" s="38"/>
      <c r="BZ43" s="38"/>
      <c r="CA43" s="38"/>
      <c r="CB43" s="38"/>
      <c r="CC43" s="786"/>
      <c r="CD43" s="130"/>
      <c r="CE43" s="38"/>
      <c r="CF43" s="38"/>
      <c r="CG43" s="38"/>
      <c r="CH43" s="37"/>
      <c r="CI43" s="130"/>
      <c r="CJ43" s="38"/>
      <c r="CK43" s="38"/>
      <c r="CL43" s="38"/>
      <c r="CM43" s="37"/>
      <c r="CN43" s="130"/>
      <c r="CO43" s="38"/>
      <c r="CP43" s="38"/>
      <c r="CQ43" s="38"/>
      <c r="CR43" s="38"/>
      <c r="CS43" s="130"/>
      <c r="CT43" s="38"/>
      <c r="CU43" s="38"/>
      <c r="CV43" s="38"/>
      <c r="CW43" s="37"/>
      <c r="CX43" s="130"/>
      <c r="CY43" s="38"/>
      <c r="CZ43" s="38"/>
      <c r="DA43" s="38"/>
      <c r="DB43" s="38"/>
      <c r="DC43" s="130"/>
      <c r="DD43" s="38"/>
      <c r="DE43" s="38"/>
      <c r="DF43" s="38"/>
      <c r="DG43" s="38"/>
      <c r="DH43" s="130"/>
      <c r="DI43" s="38"/>
      <c r="DJ43" s="38"/>
      <c r="DK43" s="38"/>
      <c r="DL43" s="38"/>
      <c r="DM43" s="130"/>
      <c r="DN43" s="38"/>
      <c r="DO43" s="38"/>
      <c r="DP43" s="38"/>
      <c r="DQ43" s="38"/>
      <c r="DR43" s="130"/>
      <c r="DS43" s="38"/>
      <c r="DT43" s="38"/>
      <c r="DU43" s="38"/>
      <c r="DV43" s="31"/>
      <c r="DW43" s="130"/>
      <c r="DX43" s="38"/>
      <c r="DY43" s="38"/>
      <c r="DZ43" s="38"/>
      <c r="EA43" s="38"/>
      <c r="EB43" s="130"/>
      <c r="EC43" s="38"/>
      <c r="ED43" s="38"/>
      <c r="EE43" s="38"/>
      <c r="EF43" s="31"/>
      <c r="EG43" s="130"/>
      <c r="EH43" s="38"/>
      <c r="EI43" s="38"/>
      <c r="EJ43" s="38"/>
      <c r="EK43" s="31"/>
      <c r="EL43" s="130"/>
      <c r="EM43" s="38"/>
      <c r="EN43" s="38"/>
      <c r="EO43" s="38"/>
      <c r="EP43" s="31"/>
      <c r="EQ43" s="130"/>
      <c r="ER43" s="38"/>
      <c r="ES43" s="38"/>
      <c r="ET43" s="38"/>
      <c r="EU43" s="31"/>
      <c r="EV43" s="130"/>
      <c r="EW43" s="38"/>
      <c r="EX43" s="38"/>
      <c r="EY43" s="38"/>
      <c r="FA43" s="130"/>
      <c r="FB43" s="38"/>
      <c r="FC43" s="38"/>
      <c r="FD43" s="38"/>
      <c r="FF43" s="130"/>
      <c r="FG43" s="38"/>
      <c r="FH43" s="38"/>
      <c r="FI43" s="38"/>
      <c r="FL43" s="130"/>
      <c r="FM43" s="38"/>
      <c r="FN43" s="38"/>
      <c r="FO43" s="38"/>
      <c r="FP43" s="38"/>
      <c r="FQ43" s="796"/>
    </row>
    <row r="44" spans="1:173" ht="15" customHeight="1">
      <c r="A44" s="112"/>
      <c r="B44" s="432"/>
      <c r="C44" s="432"/>
      <c r="D44" s="38"/>
      <c r="E44" s="130"/>
      <c r="F44" s="38"/>
      <c r="G44" s="38"/>
      <c r="H44" s="38"/>
      <c r="I44" s="38"/>
      <c r="J44" s="38"/>
      <c r="K44" s="38"/>
      <c r="L44" s="38"/>
      <c r="M44" s="38"/>
      <c r="N44" s="38"/>
      <c r="O44" s="786"/>
      <c r="P44" s="130"/>
      <c r="Q44" s="38"/>
      <c r="R44" s="38"/>
      <c r="S44" s="38"/>
      <c r="T44" s="38"/>
      <c r="U44" s="38"/>
      <c r="V44" s="38"/>
      <c r="W44" s="38"/>
      <c r="X44" s="38"/>
      <c r="Y44" s="38"/>
      <c r="Z44" s="786"/>
      <c r="AA44" s="130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130"/>
      <c r="AM44" s="38"/>
      <c r="AN44" s="38"/>
      <c r="AO44" s="38"/>
      <c r="AP44" s="38"/>
      <c r="AQ44" s="38"/>
      <c r="AR44" s="38"/>
      <c r="AS44" s="38"/>
      <c r="AT44" s="38"/>
      <c r="AU44" s="38"/>
      <c r="AV44" s="786"/>
      <c r="AW44" s="130"/>
      <c r="AX44" s="130"/>
      <c r="AY44" s="130"/>
      <c r="AZ44" s="130"/>
      <c r="BA44" s="130"/>
      <c r="BB44" s="130"/>
      <c r="BC44" s="38"/>
      <c r="BD44" s="38"/>
      <c r="BE44" s="38"/>
      <c r="BF44" s="38"/>
      <c r="BG44" s="38"/>
      <c r="BH44" s="130"/>
      <c r="BI44" s="38"/>
      <c r="BJ44" s="38"/>
      <c r="BK44" s="38"/>
      <c r="BL44" s="38"/>
      <c r="BM44" s="38"/>
      <c r="BN44" s="38"/>
      <c r="BO44" s="38"/>
      <c r="BP44" s="38"/>
      <c r="BQ44" s="38"/>
      <c r="BR44" s="38"/>
      <c r="BS44" s="130"/>
      <c r="BT44" s="38"/>
      <c r="BU44" s="38"/>
      <c r="BV44" s="38"/>
      <c r="BW44" s="38"/>
      <c r="BX44" s="38"/>
      <c r="BY44" s="38"/>
      <c r="BZ44" s="38"/>
      <c r="CA44" s="38"/>
      <c r="CB44" s="38"/>
      <c r="CC44" s="786"/>
      <c r="CD44" s="130"/>
      <c r="CE44" s="38"/>
      <c r="CF44" s="38"/>
      <c r="CG44" s="38"/>
      <c r="CH44" s="37"/>
      <c r="CI44" s="130"/>
      <c r="CJ44" s="38"/>
      <c r="CK44" s="38"/>
      <c r="CL44" s="38"/>
      <c r="CM44" s="37"/>
      <c r="CN44" s="130"/>
      <c r="CO44" s="38"/>
      <c r="CP44" s="38"/>
      <c r="CQ44" s="38"/>
      <c r="CR44" s="38"/>
      <c r="CS44" s="130"/>
      <c r="CT44" s="38"/>
      <c r="CU44" s="38"/>
      <c r="CV44" s="38"/>
      <c r="CW44" s="37"/>
      <c r="CX44" s="130"/>
      <c r="CY44" s="38"/>
      <c r="CZ44" s="38"/>
      <c r="DA44" s="38"/>
      <c r="DB44" s="38"/>
      <c r="DC44" s="130"/>
      <c r="DD44" s="38"/>
      <c r="DE44" s="38"/>
      <c r="DF44" s="38"/>
      <c r="DG44" s="38"/>
      <c r="DH44" s="130"/>
      <c r="DI44" s="38"/>
      <c r="DJ44" s="38"/>
      <c r="DK44" s="38"/>
      <c r="DL44" s="38"/>
      <c r="DM44" s="130"/>
      <c r="DN44" s="38"/>
      <c r="DO44" s="38"/>
      <c r="DP44" s="38"/>
      <c r="DQ44" s="38"/>
      <c r="DR44" s="130"/>
      <c r="DS44" s="38"/>
      <c r="DT44" s="38"/>
      <c r="DU44" s="38"/>
      <c r="DV44" s="31"/>
      <c r="DW44" s="130"/>
      <c r="DX44" s="38"/>
      <c r="DY44" s="38"/>
      <c r="DZ44" s="38"/>
      <c r="EA44" s="38"/>
      <c r="EB44" s="130"/>
      <c r="EC44" s="38"/>
      <c r="ED44" s="38"/>
      <c r="EE44" s="38"/>
      <c r="EF44" s="31"/>
      <c r="EG44" s="130"/>
      <c r="EH44" s="38"/>
      <c r="EI44" s="38"/>
      <c r="EJ44" s="38"/>
      <c r="EK44" s="31"/>
      <c r="EL44" s="130"/>
      <c r="EM44" s="38"/>
      <c r="EN44" s="38"/>
      <c r="EO44" s="38"/>
      <c r="EP44" s="31"/>
      <c r="EQ44" s="130"/>
      <c r="ER44" s="38"/>
      <c r="ES44" s="38"/>
      <c r="ET44" s="38"/>
      <c r="EU44" s="31"/>
      <c r="EV44" s="130"/>
      <c r="EW44" s="38"/>
      <c r="EX44" s="38"/>
      <c r="EY44" s="38"/>
      <c r="FA44" s="130"/>
      <c r="FB44" s="38"/>
      <c r="FC44" s="38"/>
      <c r="FD44" s="38"/>
      <c r="FF44" s="130"/>
      <c r="FG44" s="38"/>
      <c r="FH44" s="38"/>
      <c r="FI44" s="38"/>
      <c r="FL44" s="130"/>
      <c r="FM44" s="38"/>
      <c r="FN44" s="38"/>
      <c r="FO44" s="38"/>
      <c r="FP44" s="38"/>
      <c r="FQ44" s="796"/>
    </row>
    <row r="45" spans="1:173" ht="15" customHeight="1">
      <c r="A45" s="112"/>
      <c r="B45" s="432"/>
      <c r="C45" s="432"/>
      <c r="D45" s="38"/>
      <c r="E45" s="130"/>
      <c r="F45" s="38"/>
      <c r="G45" s="38"/>
      <c r="H45" s="38"/>
      <c r="I45" s="38"/>
      <c r="J45" s="38"/>
      <c r="K45" s="38"/>
      <c r="L45" s="38"/>
      <c r="M45" s="38"/>
      <c r="N45" s="38"/>
      <c r="O45" s="786"/>
      <c r="P45" s="130"/>
      <c r="Q45" s="38"/>
      <c r="R45" s="38"/>
      <c r="S45" s="38"/>
      <c r="T45" s="38"/>
      <c r="U45" s="38"/>
      <c r="V45" s="38"/>
      <c r="W45" s="38"/>
      <c r="X45" s="38"/>
      <c r="Y45" s="38"/>
      <c r="Z45" s="786"/>
      <c r="AA45" s="130"/>
      <c r="AB45" s="38"/>
      <c r="AC45" s="38"/>
      <c r="AD45" s="38"/>
      <c r="AE45" s="38"/>
      <c r="AF45" s="38"/>
      <c r="AG45" s="38"/>
      <c r="AH45" s="38"/>
      <c r="AI45" s="38"/>
      <c r="AJ45" s="38"/>
      <c r="AK45" s="38"/>
      <c r="AL45" s="130"/>
      <c r="AM45" s="38"/>
      <c r="AN45" s="38"/>
      <c r="AO45" s="38"/>
      <c r="AP45" s="38"/>
      <c r="AQ45" s="38"/>
      <c r="AR45" s="38"/>
      <c r="AS45" s="38"/>
      <c r="AT45" s="38"/>
      <c r="AU45" s="38"/>
      <c r="AV45" s="786"/>
      <c r="AW45" s="130"/>
      <c r="AX45" s="130"/>
      <c r="AY45" s="130"/>
      <c r="AZ45" s="130"/>
      <c r="BA45" s="130"/>
      <c r="BB45" s="130"/>
      <c r="BC45" s="38"/>
      <c r="BD45" s="38"/>
      <c r="BE45" s="38"/>
      <c r="BF45" s="38"/>
      <c r="BG45" s="38"/>
      <c r="BH45" s="130"/>
      <c r="BI45" s="38"/>
      <c r="BJ45" s="38"/>
      <c r="BK45" s="38"/>
      <c r="BL45" s="38"/>
      <c r="BM45" s="38"/>
      <c r="BN45" s="38"/>
      <c r="BO45" s="38"/>
      <c r="BP45" s="38"/>
      <c r="BQ45" s="38"/>
      <c r="BR45" s="38"/>
      <c r="BS45" s="130"/>
      <c r="BT45" s="38"/>
      <c r="BU45" s="38"/>
      <c r="BV45" s="38"/>
      <c r="BW45" s="38"/>
      <c r="BX45" s="38"/>
      <c r="BY45" s="38"/>
      <c r="BZ45" s="38"/>
      <c r="CA45" s="38"/>
      <c r="CB45" s="38"/>
      <c r="CC45" s="786"/>
      <c r="CD45" s="130"/>
      <c r="CE45" s="38"/>
      <c r="CF45" s="38"/>
      <c r="CG45" s="38"/>
      <c r="CH45" s="37"/>
      <c r="CI45" s="130"/>
      <c r="CJ45" s="38"/>
      <c r="CK45" s="38"/>
      <c r="CL45" s="38"/>
      <c r="CM45" s="37"/>
      <c r="CN45" s="130"/>
      <c r="CO45" s="38"/>
      <c r="CP45" s="38"/>
      <c r="CQ45" s="38"/>
      <c r="CR45" s="38"/>
      <c r="CS45" s="130"/>
      <c r="CT45" s="38"/>
      <c r="CU45" s="38"/>
      <c r="CV45" s="38"/>
      <c r="CW45" s="37"/>
      <c r="CX45" s="130"/>
      <c r="CY45" s="38"/>
      <c r="CZ45" s="38"/>
      <c r="DA45" s="38"/>
      <c r="DB45" s="38"/>
      <c r="DC45" s="130"/>
      <c r="DD45" s="38"/>
      <c r="DE45" s="38"/>
      <c r="DF45" s="38"/>
      <c r="DG45" s="38"/>
      <c r="DH45" s="130"/>
      <c r="DI45" s="38"/>
      <c r="DJ45" s="38"/>
      <c r="DK45" s="38"/>
      <c r="DL45" s="38"/>
      <c r="DM45" s="130"/>
      <c r="DN45" s="38"/>
      <c r="DO45" s="38"/>
      <c r="DP45" s="38"/>
      <c r="DQ45" s="38"/>
      <c r="DR45" s="130"/>
      <c r="DS45" s="38"/>
      <c r="DT45" s="38"/>
      <c r="DU45" s="38"/>
      <c r="DV45" s="31"/>
      <c r="DW45" s="130"/>
      <c r="DX45" s="38"/>
      <c r="DY45" s="38"/>
      <c r="DZ45" s="38"/>
      <c r="EA45" s="38"/>
      <c r="EB45" s="130"/>
      <c r="EC45" s="38"/>
      <c r="ED45" s="38"/>
      <c r="EE45" s="38"/>
      <c r="EF45" s="31"/>
      <c r="EG45" s="130"/>
      <c r="EH45" s="38"/>
      <c r="EI45" s="38"/>
      <c r="EJ45" s="38"/>
      <c r="EK45" s="31"/>
      <c r="EL45" s="130"/>
      <c r="EM45" s="38"/>
      <c r="EN45" s="38"/>
      <c r="EO45" s="38"/>
      <c r="EP45" s="31"/>
      <c r="EQ45" s="130"/>
      <c r="ER45" s="38"/>
      <c r="ES45" s="38"/>
      <c r="ET45" s="38"/>
      <c r="EU45" s="31"/>
      <c r="EV45" s="130"/>
      <c r="EW45" s="38"/>
      <c r="EX45" s="38"/>
      <c r="EY45" s="38"/>
      <c r="FA45" s="130"/>
      <c r="FB45" s="38"/>
      <c r="FC45" s="38"/>
      <c r="FD45" s="38"/>
      <c r="FF45" s="130"/>
      <c r="FG45" s="38"/>
      <c r="FH45" s="38"/>
      <c r="FI45" s="38"/>
      <c r="FL45" s="130"/>
      <c r="FM45" s="38"/>
      <c r="FN45" s="38"/>
      <c r="FO45" s="38"/>
      <c r="FP45" s="38"/>
      <c r="FQ45" s="796"/>
    </row>
    <row r="46" spans="1:173" ht="15" customHeight="1">
      <c r="A46" s="112"/>
      <c r="B46" s="432"/>
      <c r="C46" s="432"/>
      <c r="D46" s="38"/>
      <c r="E46" s="130"/>
      <c r="F46" s="38"/>
      <c r="G46" s="38"/>
      <c r="H46" s="38"/>
      <c r="I46" s="38"/>
      <c r="J46" s="38"/>
      <c r="K46" s="38"/>
      <c r="L46" s="38"/>
      <c r="M46" s="38"/>
      <c r="N46" s="38"/>
      <c r="O46" s="786"/>
      <c r="P46" s="130"/>
      <c r="Q46" s="38"/>
      <c r="R46" s="38"/>
      <c r="S46" s="38"/>
      <c r="T46" s="38"/>
      <c r="U46" s="38"/>
      <c r="V46" s="38"/>
      <c r="W46" s="38"/>
      <c r="X46" s="38"/>
      <c r="Y46" s="38"/>
      <c r="Z46" s="786"/>
      <c r="AA46" s="130"/>
      <c r="AB46" s="38"/>
      <c r="AC46" s="38"/>
      <c r="AD46" s="38"/>
      <c r="AE46" s="38"/>
      <c r="AF46" s="38"/>
      <c r="AG46" s="38"/>
      <c r="AH46" s="38"/>
      <c r="AI46" s="38"/>
      <c r="AJ46" s="38"/>
      <c r="AK46" s="38"/>
      <c r="AL46" s="130"/>
      <c r="AM46" s="38"/>
      <c r="AN46" s="38"/>
      <c r="AO46" s="38"/>
      <c r="AP46" s="38"/>
      <c r="AQ46" s="38"/>
      <c r="AR46" s="38"/>
      <c r="AS46" s="38"/>
      <c r="AT46" s="38"/>
      <c r="AU46" s="38"/>
      <c r="AV46" s="786"/>
      <c r="AW46" s="130"/>
      <c r="AX46" s="130"/>
      <c r="AY46" s="130"/>
      <c r="AZ46" s="130"/>
      <c r="BA46" s="130"/>
      <c r="BB46" s="130"/>
      <c r="BC46" s="38"/>
      <c r="BD46" s="38"/>
      <c r="BE46" s="38"/>
      <c r="BF46" s="38"/>
      <c r="BG46" s="38"/>
      <c r="BH46" s="130"/>
      <c r="BI46" s="38"/>
      <c r="BJ46" s="38"/>
      <c r="BK46" s="38"/>
      <c r="BL46" s="38"/>
      <c r="BM46" s="38"/>
      <c r="BN46" s="38"/>
      <c r="BO46" s="38"/>
      <c r="BP46" s="38"/>
      <c r="BQ46" s="38"/>
      <c r="BR46" s="38"/>
      <c r="BS46" s="130"/>
      <c r="BT46" s="38"/>
      <c r="BU46" s="38"/>
      <c r="BV46" s="38"/>
      <c r="BW46" s="38"/>
      <c r="BX46" s="38"/>
      <c r="BY46" s="38"/>
      <c r="BZ46" s="38"/>
      <c r="CA46" s="38"/>
      <c r="CB46" s="38"/>
      <c r="CC46" s="786"/>
      <c r="CD46" s="130"/>
      <c r="CE46" s="38"/>
      <c r="CF46" s="38"/>
      <c r="CG46" s="38"/>
      <c r="CH46" s="37"/>
      <c r="CI46" s="130"/>
      <c r="CJ46" s="38"/>
      <c r="CK46" s="38"/>
      <c r="CL46" s="38"/>
      <c r="CM46" s="37"/>
      <c r="CN46" s="130"/>
      <c r="CO46" s="38"/>
      <c r="CP46" s="38"/>
      <c r="CQ46" s="38"/>
      <c r="CR46" s="38"/>
      <c r="CS46" s="130"/>
      <c r="CT46" s="38"/>
      <c r="CU46" s="38"/>
      <c r="CV46" s="38"/>
      <c r="CW46" s="37"/>
      <c r="CX46" s="130"/>
      <c r="CY46" s="38"/>
      <c r="CZ46" s="38"/>
      <c r="DA46" s="38"/>
      <c r="DB46" s="38"/>
      <c r="DC46" s="130"/>
      <c r="DD46" s="38"/>
      <c r="DE46" s="38"/>
      <c r="DF46" s="38"/>
      <c r="DG46" s="38"/>
      <c r="DH46" s="130"/>
      <c r="DI46" s="38"/>
      <c r="DJ46" s="38"/>
      <c r="DK46" s="38"/>
      <c r="DL46" s="38"/>
      <c r="DM46" s="130"/>
      <c r="DN46" s="38"/>
      <c r="DO46" s="38"/>
      <c r="DP46" s="38"/>
      <c r="DQ46" s="38"/>
      <c r="DR46" s="130"/>
      <c r="DS46" s="38"/>
      <c r="DT46" s="38"/>
      <c r="DU46" s="38"/>
      <c r="DV46" s="31"/>
      <c r="DW46" s="130"/>
      <c r="DX46" s="38"/>
      <c r="DY46" s="38"/>
      <c r="DZ46" s="38"/>
      <c r="EA46" s="38"/>
      <c r="EB46" s="130"/>
      <c r="EC46" s="38"/>
      <c r="ED46" s="38"/>
      <c r="EE46" s="38"/>
      <c r="EF46" s="31"/>
      <c r="EG46" s="130"/>
      <c r="EH46" s="38"/>
      <c r="EI46" s="38"/>
      <c r="EJ46" s="38"/>
      <c r="EK46" s="31"/>
      <c r="EL46" s="130"/>
      <c r="EM46" s="38"/>
      <c r="EN46" s="38"/>
      <c r="EO46" s="38"/>
      <c r="EP46" s="31"/>
      <c r="EQ46" s="130"/>
      <c r="ER46" s="38"/>
      <c r="ES46" s="38"/>
      <c r="ET46" s="38"/>
      <c r="EU46" s="31"/>
      <c r="EV46" s="130"/>
      <c r="EW46" s="38"/>
      <c r="EX46" s="38"/>
      <c r="EY46" s="38"/>
      <c r="FA46" s="130"/>
      <c r="FB46" s="38"/>
      <c r="FC46" s="38"/>
      <c r="FD46" s="38"/>
      <c r="FF46" s="130"/>
      <c r="FG46" s="38"/>
      <c r="FH46" s="38"/>
      <c r="FI46" s="38"/>
      <c r="FL46" s="130"/>
      <c r="FM46" s="38"/>
      <c r="FN46" s="38"/>
      <c r="FO46" s="38"/>
      <c r="FP46" s="38"/>
      <c r="FQ46" s="796"/>
    </row>
    <row r="47" spans="1:173" ht="15" customHeight="1">
      <c r="A47" s="112"/>
      <c r="B47" s="432"/>
      <c r="C47" s="432"/>
      <c r="D47" s="38"/>
      <c r="E47" s="130"/>
      <c r="F47" s="38"/>
      <c r="G47" s="38"/>
      <c r="H47" s="38"/>
      <c r="I47" s="38"/>
      <c r="J47" s="38"/>
      <c r="K47" s="38"/>
      <c r="L47" s="38"/>
      <c r="M47" s="38"/>
      <c r="N47" s="38"/>
      <c r="O47" s="786"/>
      <c r="P47" s="130"/>
      <c r="Q47" s="38"/>
      <c r="R47" s="38"/>
      <c r="S47" s="38"/>
      <c r="T47" s="38"/>
      <c r="U47" s="38"/>
      <c r="V47" s="38"/>
      <c r="W47" s="38"/>
      <c r="X47" s="38"/>
      <c r="Y47" s="38"/>
      <c r="Z47" s="786"/>
      <c r="AA47" s="130"/>
      <c r="AB47" s="38"/>
      <c r="AC47" s="38"/>
      <c r="AD47" s="38"/>
      <c r="AE47" s="38"/>
      <c r="AF47" s="38"/>
      <c r="AG47" s="38"/>
      <c r="AH47" s="38"/>
      <c r="AI47" s="38"/>
      <c r="AJ47" s="38"/>
      <c r="AK47" s="38"/>
      <c r="AL47" s="130"/>
      <c r="AM47" s="38"/>
      <c r="AN47" s="38"/>
      <c r="AO47" s="38"/>
      <c r="AP47" s="38"/>
      <c r="AQ47" s="38"/>
      <c r="AR47" s="38"/>
      <c r="AS47" s="38"/>
      <c r="AT47" s="38"/>
      <c r="AU47" s="38"/>
      <c r="AV47" s="786"/>
      <c r="AW47" s="130"/>
      <c r="AX47" s="130"/>
      <c r="AY47" s="130"/>
      <c r="AZ47" s="130"/>
      <c r="BA47" s="130"/>
      <c r="BB47" s="130"/>
      <c r="BC47" s="38"/>
      <c r="BD47" s="38"/>
      <c r="BE47" s="38"/>
      <c r="BF47" s="38"/>
      <c r="BG47" s="38"/>
      <c r="BH47" s="130"/>
      <c r="BI47" s="38"/>
      <c r="BJ47" s="38"/>
      <c r="BK47" s="38"/>
      <c r="BL47" s="38"/>
      <c r="BM47" s="38"/>
      <c r="BN47" s="38"/>
      <c r="BO47" s="38"/>
      <c r="BP47" s="38"/>
      <c r="BQ47" s="38"/>
      <c r="BR47" s="38"/>
      <c r="BS47" s="130"/>
      <c r="BT47" s="38"/>
      <c r="BU47" s="38"/>
      <c r="BV47" s="38"/>
      <c r="BW47" s="38"/>
      <c r="BX47" s="38"/>
      <c r="BY47" s="38"/>
      <c r="BZ47" s="38"/>
      <c r="CA47" s="38"/>
      <c r="CB47" s="38"/>
      <c r="CC47" s="786"/>
      <c r="CD47" s="130"/>
      <c r="CE47" s="38"/>
      <c r="CF47" s="38"/>
      <c r="CG47" s="38"/>
      <c r="CH47" s="37"/>
      <c r="CI47" s="130"/>
      <c r="CJ47" s="38"/>
      <c r="CK47" s="38"/>
      <c r="CL47" s="38"/>
      <c r="CM47" s="37"/>
      <c r="CN47" s="130"/>
      <c r="CO47" s="38"/>
      <c r="CP47" s="38"/>
      <c r="CQ47" s="38"/>
      <c r="CR47" s="38"/>
      <c r="CS47" s="130"/>
      <c r="CT47" s="38"/>
      <c r="CU47" s="38"/>
      <c r="CV47" s="38"/>
      <c r="CW47" s="37"/>
      <c r="CX47" s="130"/>
      <c r="CY47" s="38"/>
      <c r="CZ47" s="38"/>
      <c r="DA47" s="38"/>
      <c r="DB47" s="38"/>
      <c r="DC47" s="130"/>
      <c r="DD47" s="38"/>
      <c r="DE47" s="38"/>
      <c r="DF47" s="38"/>
      <c r="DG47" s="38"/>
      <c r="DH47" s="130"/>
      <c r="DI47" s="38"/>
      <c r="DJ47" s="38"/>
      <c r="DK47" s="38"/>
      <c r="DL47" s="38"/>
      <c r="DM47" s="130"/>
      <c r="DN47" s="38"/>
      <c r="DO47" s="38"/>
      <c r="DP47" s="38"/>
      <c r="DQ47" s="38"/>
      <c r="DR47" s="130"/>
      <c r="DS47" s="38"/>
      <c r="DT47" s="38"/>
      <c r="DU47" s="38"/>
      <c r="DV47" s="31"/>
      <c r="DW47" s="130"/>
      <c r="DX47" s="38"/>
      <c r="DY47" s="38"/>
      <c r="DZ47" s="38"/>
      <c r="EA47" s="38"/>
      <c r="EB47" s="130"/>
      <c r="EC47" s="38"/>
      <c r="ED47" s="38"/>
      <c r="EE47" s="38"/>
      <c r="EF47" s="31"/>
      <c r="EG47" s="130"/>
      <c r="EH47" s="38"/>
      <c r="EI47" s="38"/>
      <c r="EJ47" s="38"/>
      <c r="EK47" s="31"/>
      <c r="EL47" s="130"/>
      <c r="EM47" s="38"/>
      <c r="EN47" s="38"/>
      <c r="EO47" s="38"/>
      <c r="EP47" s="31"/>
      <c r="EQ47" s="130"/>
      <c r="ER47" s="38"/>
      <c r="ES47" s="38"/>
      <c r="ET47" s="38"/>
      <c r="EU47" s="31"/>
      <c r="EV47" s="130"/>
      <c r="EW47" s="38"/>
      <c r="EX47" s="38"/>
      <c r="EY47" s="38"/>
      <c r="FA47" s="130"/>
      <c r="FB47" s="38"/>
      <c r="FC47" s="38"/>
      <c r="FD47" s="38"/>
      <c r="FF47" s="130"/>
      <c r="FG47" s="38"/>
      <c r="FH47" s="38"/>
      <c r="FI47" s="38"/>
      <c r="FL47" s="130"/>
      <c r="FM47" s="38"/>
      <c r="FN47" s="38"/>
      <c r="FO47" s="38"/>
      <c r="FP47" s="38"/>
      <c r="FQ47" s="796"/>
    </row>
    <row r="48" spans="1:173" ht="15" customHeight="1">
      <c r="A48" s="112"/>
      <c r="B48" s="432"/>
      <c r="C48" s="432"/>
      <c r="D48" s="38"/>
      <c r="E48" s="130"/>
      <c r="F48" s="38"/>
      <c r="G48" s="38"/>
      <c r="H48" s="38"/>
      <c r="I48" s="38"/>
      <c r="J48" s="38"/>
      <c r="K48" s="38"/>
      <c r="L48" s="38"/>
      <c r="M48" s="38"/>
      <c r="N48" s="38"/>
      <c r="O48" s="786"/>
      <c r="P48" s="130"/>
      <c r="Q48" s="38"/>
      <c r="R48" s="38"/>
      <c r="S48" s="38"/>
      <c r="T48" s="38"/>
      <c r="U48" s="38"/>
      <c r="V48" s="38"/>
      <c r="W48" s="38"/>
      <c r="X48" s="38"/>
      <c r="Y48" s="38"/>
      <c r="Z48" s="786"/>
      <c r="AA48" s="130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130"/>
      <c r="AM48" s="38"/>
      <c r="AN48" s="38"/>
      <c r="AO48" s="38"/>
      <c r="AP48" s="38"/>
      <c r="AQ48" s="38"/>
      <c r="AR48" s="38"/>
      <c r="AS48" s="38"/>
      <c r="AT48" s="38"/>
      <c r="AU48" s="38"/>
      <c r="AV48" s="786"/>
      <c r="AW48" s="130"/>
      <c r="AX48" s="130"/>
      <c r="AY48" s="130"/>
      <c r="AZ48" s="130"/>
      <c r="BA48" s="130"/>
      <c r="BB48" s="130"/>
      <c r="BC48" s="38"/>
      <c r="BD48" s="38"/>
      <c r="BE48" s="38"/>
      <c r="BF48" s="38"/>
      <c r="BG48" s="38"/>
      <c r="BH48" s="130"/>
      <c r="BI48" s="38"/>
      <c r="BJ48" s="38"/>
      <c r="BK48" s="38"/>
      <c r="BL48" s="38"/>
      <c r="BM48" s="38"/>
      <c r="BN48" s="38"/>
      <c r="BO48" s="38"/>
      <c r="BP48" s="38"/>
      <c r="BQ48" s="38"/>
      <c r="BR48" s="38"/>
      <c r="BS48" s="130"/>
      <c r="BT48" s="38"/>
      <c r="BU48" s="38"/>
      <c r="BV48" s="38"/>
      <c r="BW48" s="38"/>
      <c r="BX48" s="38"/>
      <c r="BY48" s="38"/>
      <c r="BZ48" s="38"/>
      <c r="CA48" s="38"/>
      <c r="CB48" s="38"/>
      <c r="CC48" s="786"/>
      <c r="CD48" s="130"/>
      <c r="CE48" s="38"/>
      <c r="CF48" s="38"/>
      <c r="CG48" s="38"/>
      <c r="CH48" s="37"/>
      <c r="CI48" s="130"/>
      <c r="CJ48" s="38"/>
      <c r="CK48" s="38"/>
      <c r="CL48" s="38"/>
      <c r="CM48" s="37"/>
      <c r="CN48" s="130"/>
      <c r="CO48" s="38"/>
      <c r="CP48" s="38"/>
      <c r="CQ48" s="38"/>
      <c r="CR48" s="38"/>
      <c r="CS48" s="130"/>
      <c r="CT48" s="38"/>
      <c r="CU48" s="38"/>
      <c r="CV48" s="38"/>
      <c r="CW48" s="37"/>
      <c r="CX48" s="130"/>
      <c r="CY48" s="38"/>
      <c r="CZ48" s="38"/>
      <c r="DA48" s="38"/>
      <c r="DB48" s="38"/>
      <c r="DC48" s="130"/>
      <c r="DD48" s="38"/>
      <c r="DE48" s="38"/>
      <c r="DF48" s="38"/>
      <c r="DG48" s="38"/>
      <c r="DH48" s="130"/>
      <c r="DI48" s="38"/>
      <c r="DJ48" s="38"/>
      <c r="DK48" s="38"/>
      <c r="DL48" s="38"/>
      <c r="DM48" s="130"/>
      <c r="DN48" s="38"/>
      <c r="DO48" s="38"/>
      <c r="DP48" s="38"/>
      <c r="DQ48" s="38"/>
      <c r="DR48" s="130"/>
      <c r="DS48" s="38"/>
      <c r="DT48" s="38"/>
      <c r="DU48" s="38"/>
      <c r="DV48" s="31"/>
      <c r="DW48" s="130"/>
      <c r="DX48" s="38"/>
      <c r="DY48" s="38"/>
      <c r="DZ48" s="38"/>
      <c r="EA48" s="38"/>
      <c r="EB48" s="130"/>
      <c r="EC48" s="38"/>
      <c r="ED48" s="38"/>
      <c r="EE48" s="38"/>
      <c r="EF48" s="31"/>
      <c r="EG48" s="130"/>
      <c r="EH48" s="38"/>
      <c r="EI48" s="38"/>
      <c r="EJ48" s="38"/>
      <c r="EK48" s="31"/>
      <c r="EL48" s="130"/>
      <c r="EM48" s="38"/>
      <c r="EN48" s="38"/>
      <c r="EO48" s="38"/>
      <c r="EP48" s="31"/>
      <c r="EQ48" s="130"/>
      <c r="ER48" s="38"/>
      <c r="ES48" s="38"/>
      <c r="ET48" s="38"/>
      <c r="EU48" s="31"/>
      <c r="EV48" s="130"/>
      <c r="EW48" s="38"/>
      <c r="EX48" s="38"/>
      <c r="EY48" s="38"/>
      <c r="FA48" s="130"/>
      <c r="FB48" s="38"/>
      <c r="FC48" s="38"/>
      <c r="FD48" s="38"/>
      <c r="FF48" s="130"/>
      <c r="FG48" s="38"/>
      <c r="FH48" s="38"/>
      <c r="FI48" s="38"/>
      <c r="FL48" s="130"/>
      <c r="FM48" s="38"/>
      <c r="FN48" s="38"/>
      <c r="FO48" s="38"/>
      <c r="FP48" s="38"/>
      <c r="FQ48" s="796"/>
    </row>
    <row r="49" spans="1:173" ht="15" customHeight="1">
      <c r="A49" s="112"/>
      <c r="B49" s="432"/>
      <c r="C49" s="432"/>
      <c r="D49" s="38"/>
      <c r="E49" s="130"/>
      <c r="F49" s="38"/>
      <c r="G49" s="38"/>
      <c r="H49" s="38"/>
      <c r="I49" s="38"/>
      <c r="J49" s="38"/>
      <c r="K49" s="38"/>
      <c r="L49" s="38"/>
      <c r="M49" s="38"/>
      <c r="N49" s="38"/>
      <c r="O49" s="786"/>
      <c r="P49" s="130"/>
      <c r="Q49" s="38"/>
      <c r="R49" s="38"/>
      <c r="S49" s="38"/>
      <c r="T49" s="38"/>
      <c r="U49" s="38"/>
      <c r="V49" s="38"/>
      <c r="W49" s="38"/>
      <c r="X49" s="38"/>
      <c r="Y49" s="38"/>
      <c r="Z49" s="786"/>
      <c r="AA49" s="130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130"/>
      <c r="AM49" s="38"/>
      <c r="AN49" s="38"/>
      <c r="AO49" s="38"/>
      <c r="AP49" s="38"/>
      <c r="AQ49" s="38"/>
      <c r="AR49" s="38"/>
      <c r="AS49" s="38"/>
      <c r="AT49" s="38"/>
      <c r="AU49" s="38"/>
      <c r="AV49" s="786"/>
      <c r="AW49" s="130"/>
      <c r="AX49" s="130"/>
      <c r="AY49" s="130"/>
      <c r="AZ49" s="130"/>
      <c r="BA49" s="130"/>
      <c r="BB49" s="130"/>
      <c r="BC49" s="38"/>
      <c r="BD49" s="38"/>
      <c r="BE49" s="38"/>
      <c r="BF49" s="38"/>
      <c r="BG49" s="38"/>
      <c r="BH49" s="130"/>
      <c r="BI49" s="38"/>
      <c r="BJ49" s="38"/>
      <c r="BK49" s="38"/>
      <c r="BL49" s="38"/>
      <c r="BM49" s="38"/>
      <c r="BN49" s="38"/>
      <c r="BO49" s="38"/>
      <c r="BP49" s="38"/>
      <c r="BQ49" s="38"/>
      <c r="BR49" s="38"/>
      <c r="BS49" s="130"/>
      <c r="BT49" s="38"/>
      <c r="BU49" s="38"/>
      <c r="BV49" s="38"/>
      <c r="BW49" s="38"/>
      <c r="BX49" s="38"/>
      <c r="BY49" s="38"/>
      <c r="BZ49" s="38"/>
      <c r="CA49" s="38"/>
      <c r="CB49" s="38"/>
      <c r="CC49" s="786"/>
      <c r="CD49" s="130"/>
      <c r="CE49" s="38"/>
      <c r="CF49" s="38"/>
      <c r="CG49" s="38"/>
      <c r="CH49" s="37"/>
      <c r="CI49" s="130"/>
      <c r="CJ49" s="38"/>
      <c r="CK49" s="38"/>
      <c r="CL49" s="38"/>
      <c r="CM49" s="37"/>
      <c r="CN49" s="130"/>
      <c r="CO49" s="38"/>
      <c r="CP49" s="38"/>
      <c r="CQ49" s="38"/>
      <c r="CR49" s="38"/>
      <c r="CS49" s="130"/>
      <c r="CT49" s="38"/>
      <c r="CU49" s="38"/>
      <c r="CV49" s="38"/>
      <c r="CW49" s="37"/>
      <c r="CX49" s="130"/>
      <c r="CY49" s="38"/>
      <c r="CZ49" s="38"/>
      <c r="DA49" s="38"/>
      <c r="DB49" s="38"/>
      <c r="DC49" s="130"/>
      <c r="DD49" s="38"/>
      <c r="DE49" s="38"/>
      <c r="DF49" s="38"/>
      <c r="DG49" s="38"/>
      <c r="DH49" s="130"/>
      <c r="DI49" s="38"/>
      <c r="DJ49" s="38"/>
      <c r="DK49" s="38"/>
      <c r="DL49" s="38"/>
      <c r="DM49" s="130"/>
      <c r="DN49" s="38"/>
      <c r="DO49" s="38"/>
      <c r="DP49" s="38"/>
      <c r="DQ49" s="38"/>
      <c r="DR49" s="130"/>
      <c r="DS49" s="38"/>
      <c r="DT49" s="38"/>
      <c r="DU49" s="38"/>
      <c r="DV49" s="31"/>
      <c r="DW49" s="130"/>
      <c r="DX49" s="38"/>
      <c r="DY49" s="38"/>
      <c r="DZ49" s="38"/>
      <c r="EA49" s="38"/>
      <c r="EB49" s="130"/>
      <c r="EC49" s="38"/>
      <c r="ED49" s="38"/>
      <c r="EE49" s="38"/>
      <c r="EF49" s="31"/>
      <c r="EG49" s="130"/>
      <c r="EH49" s="38"/>
      <c r="EI49" s="38"/>
      <c r="EJ49" s="38"/>
      <c r="EK49" s="31"/>
      <c r="EL49" s="130"/>
      <c r="EM49" s="38"/>
      <c r="EN49" s="38"/>
      <c r="EO49" s="38"/>
      <c r="EP49" s="31"/>
      <c r="EQ49" s="130"/>
      <c r="ER49" s="38"/>
      <c r="ES49" s="38"/>
      <c r="ET49" s="38"/>
      <c r="EU49" s="31"/>
      <c r="EV49" s="130"/>
      <c r="EW49" s="38"/>
      <c r="EX49" s="38"/>
      <c r="EY49" s="38"/>
      <c r="FA49" s="130"/>
      <c r="FB49" s="38"/>
      <c r="FC49" s="38"/>
      <c r="FD49" s="38"/>
      <c r="FF49" s="130"/>
      <c r="FG49" s="38"/>
      <c r="FH49" s="38"/>
      <c r="FI49" s="38"/>
      <c r="FL49" s="130"/>
      <c r="FM49" s="38"/>
      <c r="FN49" s="38"/>
      <c r="FO49" s="38"/>
      <c r="FP49" s="38"/>
      <c r="FQ49" s="796"/>
    </row>
    <row r="50" spans="1:173" ht="15" customHeight="1">
      <c r="A50" s="112"/>
      <c r="B50" s="432"/>
      <c r="C50" s="432"/>
      <c r="D50" s="38"/>
      <c r="E50" s="130"/>
      <c r="F50" s="38"/>
      <c r="G50" s="38"/>
      <c r="H50" s="38"/>
      <c r="I50" s="38"/>
      <c r="J50" s="38"/>
      <c r="K50" s="38"/>
      <c r="L50" s="38"/>
      <c r="M50" s="38"/>
      <c r="N50" s="38"/>
      <c r="O50" s="786"/>
      <c r="P50" s="130"/>
      <c r="Q50" s="38"/>
      <c r="R50" s="38"/>
      <c r="S50" s="38"/>
      <c r="T50" s="38"/>
      <c r="U50" s="38"/>
      <c r="V50" s="38"/>
      <c r="W50" s="38"/>
      <c r="X50" s="38"/>
      <c r="Y50" s="38"/>
      <c r="Z50" s="786"/>
      <c r="AA50" s="130"/>
      <c r="AB50" s="38"/>
      <c r="AC50" s="38"/>
      <c r="AD50" s="38"/>
      <c r="AE50" s="38"/>
      <c r="AF50" s="38"/>
      <c r="AG50" s="38"/>
      <c r="AH50" s="38"/>
      <c r="AI50" s="38"/>
      <c r="AJ50" s="38"/>
      <c r="AK50" s="38"/>
      <c r="AL50" s="130"/>
      <c r="AM50" s="38"/>
      <c r="AN50" s="38"/>
      <c r="AO50" s="38"/>
      <c r="AP50" s="38"/>
      <c r="AQ50" s="38"/>
      <c r="AR50" s="38"/>
      <c r="AS50" s="38"/>
      <c r="AT50" s="38"/>
      <c r="AU50" s="38"/>
      <c r="AV50" s="786"/>
      <c r="AW50" s="130"/>
      <c r="AX50" s="130"/>
      <c r="AY50" s="130"/>
      <c r="AZ50" s="130"/>
      <c r="BA50" s="130"/>
      <c r="BB50" s="130"/>
      <c r="BC50" s="38"/>
      <c r="BD50" s="38"/>
      <c r="BE50" s="38"/>
      <c r="BF50" s="38"/>
      <c r="BG50" s="38"/>
      <c r="BH50" s="130"/>
      <c r="BI50" s="38"/>
      <c r="BJ50" s="38"/>
      <c r="BK50" s="38"/>
      <c r="BL50" s="38"/>
      <c r="BM50" s="38"/>
      <c r="BN50" s="38"/>
      <c r="BO50" s="38"/>
      <c r="BP50" s="38"/>
      <c r="BQ50" s="38"/>
      <c r="BR50" s="38"/>
      <c r="BS50" s="130"/>
      <c r="BT50" s="38"/>
      <c r="BU50" s="38"/>
      <c r="BV50" s="38"/>
      <c r="BW50" s="38"/>
      <c r="BX50" s="38"/>
      <c r="BY50" s="38"/>
      <c r="BZ50" s="38"/>
      <c r="CA50" s="38"/>
      <c r="CB50" s="38"/>
      <c r="CC50" s="786"/>
      <c r="CD50" s="130"/>
      <c r="CE50" s="38"/>
      <c r="CF50" s="38"/>
      <c r="CG50" s="38"/>
      <c r="CH50" s="37"/>
      <c r="CI50" s="130"/>
      <c r="CJ50" s="38"/>
      <c r="CK50" s="38"/>
      <c r="CL50" s="38"/>
      <c r="CM50" s="37"/>
      <c r="CN50" s="130"/>
      <c r="CO50" s="38"/>
      <c r="CP50" s="38"/>
      <c r="CQ50" s="38"/>
      <c r="CR50" s="38"/>
      <c r="CS50" s="130"/>
      <c r="CT50" s="38"/>
      <c r="CU50" s="38"/>
      <c r="CV50" s="38"/>
      <c r="CW50" s="37"/>
      <c r="CX50" s="130"/>
      <c r="CY50" s="38"/>
      <c r="CZ50" s="38"/>
      <c r="DA50" s="38"/>
      <c r="DB50" s="38"/>
      <c r="DC50" s="130"/>
      <c r="DD50" s="38"/>
      <c r="DE50" s="38"/>
      <c r="DF50" s="38"/>
      <c r="DG50" s="38"/>
      <c r="DH50" s="130"/>
      <c r="DI50" s="38"/>
      <c r="DJ50" s="38"/>
      <c r="DK50" s="38"/>
      <c r="DL50" s="38"/>
      <c r="DM50" s="130"/>
      <c r="DN50" s="38"/>
      <c r="DO50" s="38"/>
      <c r="DP50" s="38"/>
      <c r="DQ50" s="38"/>
      <c r="DR50" s="130"/>
      <c r="DS50" s="38"/>
      <c r="DT50" s="38"/>
      <c r="DU50" s="38"/>
      <c r="DV50" s="31"/>
      <c r="DW50" s="130"/>
      <c r="DX50" s="38"/>
      <c r="DY50" s="38"/>
      <c r="DZ50" s="38"/>
      <c r="EA50" s="38"/>
      <c r="EB50" s="130"/>
      <c r="EC50" s="38"/>
      <c r="ED50" s="38"/>
      <c r="EE50" s="38"/>
      <c r="EF50" s="31"/>
      <c r="EG50" s="130"/>
      <c r="EH50" s="38"/>
      <c r="EI50" s="38"/>
      <c r="EJ50" s="38"/>
      <c r="EK50" s="31"/>
      <c r="EL50" s="130"/>
      <c r="EM50" s="38"/>
      <c r="EN50" s="38"/>
      <c r="EO50" s="38"/>
      <c r="EP50" s="31"/>
      <c r="EQ50" s="130"/>
      <c r="ER50" s="38"/>
      <c r="ES50" s="38"/>
      <c r="ET50" s="38"/>
      <c r="EU50" s="31"/>
      <c r="EV50" s="130"/>
      <c r="EW50" s="38"/>
      <c r="EX50" s="38"/>
      <c r="EY50" s="38"/>
      <c r="FA50" s="130"/>
      <c r="FB50" s="38"/>
      <c r="FC50" s="38"/>
      <c r="FD50" s="38"/>
      <c r="FF50" s="130"/>
      <c r="FG50" s="38"/>
      <c r="FH50" s="38"/>
      <c r="FI50" s="38"/>
      <c r="FL50" s="130"/>
      <c r="FM50" s="38"/>
      <c r="FN50" s="38"/>
      <c r="FO50" s="38"/>
      <c r="FP50" s="38"/>
      <c r="FQ50" s="796"/>
    </row>
    <row r="51" spans="1:173" ht="15" customHeight="1">
      <c r="A51" s="112"/>
      <c r="B51" s="432"/>
      <c r="C51" s="432"/>
      <c r="D51" s="38"/>
      <c r="E51" s="130"/>
      <c r="F51" s="38"/>
      <c r="G51" s="38"/>
      <c r="H51" s="38"/>
      <c r="I51" s="38"/>
      <c r="J51" s="38"/>
      <c r="K51" s="38"/>
      <c r="L51" s="38"/>
      <c r="M51" s="38"/>
      <c r="N51" s="38"/>
      <c r="O51" s="786"/>
      <c r="P51" s="130"/>
      <c r="Q51" s="38"/>
      <c r="R51" s="38"/>
      <c r="S51" s="38"/>
      <c r="T51" s="38"/>
      <c r="U51" s="38"/>
      <c r="V51" s="38"/>
      <c r="W51" s="38"/>
      <c r="X51" s="38"/>
      <c r="Y51" s="38"/>
      <c r="Z51" s="786"/>
      <c r="AA51" s="130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130"/>
      <c r="AM51" s="38"/>
      <c r="AN51" s="38"/>
      <c r="AO51" s="38"/>
      <c r="AP51" s="38"/>
      <c r="AQ51" s="38"/>
      <c r="AR51" s="38"/>
      <c r="AS51" s="38"/>
      <c r="AT51" s="38"/>
      <c r="AU51" s="38"/>
      <c r="AV51" s="786"/>
      <c r="AW51" s="130"/>
      <c r="AX51" s="130"/>
      <c r="AY51" s="130"/>
      <c r="AZ51" s="130"/>
      <c r="BA51" s="130"/>
      <c r="BB51" s="130"/>
      <c r="BC51" s="38"/>
      <c r="BD51" s="38"/>
      <c r="BE51" s="38"/>
      <c r="BF51" s="38"/>
      <c r="BG51" s="38"/>
      <c r="BH51" s="130"/>
      <c r="BI51" s="38"/>
      <c r="BJ51" s="38"/>
      <c r="BK51" s="38"/>
      <c r="BL51" s="38"/>
      <c r="BM51" s="38"/>
      <c r="BN51" s="38"/>
      <c r="BO51" s="38"/>
      <c r="BP51" s="38"/>
      <c r="BQ51" s="38"/>
      <c r="BR51" s="38"/>
      <c r="BS51" s="130"/>
      <c r="BT51" s="38"/>
      <c r="BU51" s="38"/>
      <c r="BV51" s="38"/>
      <c r="BW51" s="38"/>
      <c r="BX51" s="38"/>
      <c r="BY51" s="38"/>
      <c r="BZ51" s="38"/>
      <c r="CA51" s="38"/>
      <c r="CB51" s="38"/>
      <c r="CC51" s="786"/>
      <c r="CD51" s="130"/>
      <c r="CE51" s="38"/>
      <c r="CF51" s="38"/>
      <c r="CG51" s="38"/>
      <c r="CH51" s="37"/>
      <c r="CI51" s="130"/>
      <c r="CJ51" s="38"/>
      <c r="CK51" s="38"/>
      <c r="CL51" s="38"/>
      <c r="CM51" s="37"/>
      <c r="CN51" s="130"/>
      <c r="CO51" s="38"/>
      <c r="CP51" s="38"/>
      <c r="CQ51" s="38"/>
      <c r="CR51" s="38"/>
      <c r="CS51" s="130"/>
      <c r="CT51" s="38"/>
      <c r="CU51" s="38"/>
      <c r="CV51" s="38"/>
      <c r="CW51" s="37"/>
      <c r="CX51" s="130"/>
      <c r="CY51" s="38"/>
      <c r="CZ51" s="38"/>
      <c r="DA51" s="38"/>
      <c r="DB51" s="38"/>
      <c r="DC51" s="130"/>
      <c r="DD51" s="38"/>
      <c r="DE51" s="38"/>
      <c r="DF51" s="38"/>
      <c r="DG51" s="38"/>
      <c r="DH51" s="130"/>
      <c r="DI51" s="38"/>
      <c r="DJ51" s="38"/>
      <c r="DK51" s="38"/>
      <c r="DL51" s="38"/>
      <c r="DM51" s="130"/>
      <c r="DN51" s="38"/>
      <c r="DO51" s="38"/>
      <c r="DP51" s="38"/>
      <c r="DQ51" s="38"/>
      <c r="DR51" s="130"/>
      <c r="DS51" s="38"/>
      <c r="DT51" s="38"/>
      <c r="DU51" s="38"/>
      <c r="DV51" s="31"/>
      <c r="DW51" s="130"/>
      <c r="DX51" s="38"/>
      <c r="DY51" s="38"/>
      <c r="DZ51" s="38"/>
      <c r="EA51" s="38"/>
      <c r="EB51" s="130"/>
      <c r="EC51" s="38"/>
      <c r="ED51" s="38"/>
      <c r="EE51" s="38"/>
      <c r="EF51" s="31"/>
      <c r="EG51" s="130"/>
      <c r="EH51" s="38"/>
      <c r="EI51" s="38"/>
      <c r="EJ51" s="38"/>
      <c r="EK51" s="31"/>
      <c r="EL51" s="130"/>
      <c r="EM51" s="38"/>
      <c r="EN51" s="38"/>
      <c r="EO51" s="38"/>
      <c r="EP51" s="31"/>
      <c r="EQ51" s="130"/>
      <c r="ER51" s="38"/>
      <c r="ES51" s="38"/>
      <c r="ET51" s="38"/>
      <c r="EU51" s="31"/>
      <c r="EV51" s="130"/>
      <c r="EW51" s="38"/>
      <c r="EX51" s="38"/>
      <c r="EY51" s="38"/>
      <c r="FA51" s="130"/>
      <c r="FB51" s="38"/>
      <c r="FC51" s="38"/>
      <c r="FD51" s="38"/>
      <c r="FF51" s="130"/>
      <c r="FG51" s="38"/>
      <c r="FH51" s="38"/>
      <c r="FI51" s="38"/>
      <c r="FL51" s="130"/>
      <c r="FM51" s="38"/>
      <c r="FN51" s="38"/>
      <c r="FO51" s="38"/>
      <c r="FP51" s="38"/>
      <c r="FQ51" s="796"/>
    </row>
    <row r="52" spans="1:173" ht="15" customHeight="1">
      <c r="A52" s="112"/>
      <c r="B52" s="432"/>
      <c r="C52" s="432"/>
      <c r="D52" s="38"/>
      <c r="E52" s="130"/>
      <c r="F52" s="38"/>
      <c r="G52" s="38"/>
      <c r="H52" s="38"/>
      <c r="I52" s="38"/>
      <c r="J52" s="38"/>
      <c r="K52" s="38"/>
      <c r="L52" s="38"/>
      <c r="M52" s="38"/>
      <c r="N52" s="38"/>
      <c r="O52" s="786"/>
      <c r="P52" s="130"/>
      <c r="Q52" s="38"/>
      <c r="R52" s="38"/>
      <c r="S52" s="38"/>
      <c r="T52" s="38"/>
      <c r="U52" s="38"/>
      <c r="V52" s="38"/>
      <c r="W52" s="38"/>
      <c r="X52" s="38"/>
      <c r="Y52" s="38"/>
      <c r="Z52" s="786"/>
      <c r="AA52" s="130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130"/>
      <c r="AM52" s="38"/>
      <c r="AN52" s="38"/>
      <c r="AO52" s="38"/>
      <c r="AP52" s="38"/>
      <c r="AQ52" s="38"/>
      <c r="AR52" s="38"/>
      <c r="AS52" s="38"/>
      <c r="AT52" s="38"/>
      <c r="AU52" s="38"/>
      <c r="AV52" s="786"/>
      <c r="AW52" s="130"/>
      <c r="AX52" s="130"/>
      <c r="AY52" s="130"/>
      <c r="AZ52" s="130"/>
      <c r="BA52" s="130"/>
      <c r="BB52" s="130"/>
      <c r="BC52" s="38"/>
      <c r="BD52" s="38"/>
      <c r="BE52" s="38"/>
      <c r="BF52" s="38"/>
      <c r="BG52" s="38"/>
      <c r="BH52" s="130"/>
      <c r="BI52" s="38"/>
      <c r="BJ52" s="38"/>
      <c r="BK52" s="38"/>
      <c r="BL52" s="38"/>
      <c r="BM52" s="38"/>
      <c r="BN52" s="38"/>
      <c r="BO52" s="38"/>
      <c r="BP52" s="38"/>
      <c r="BQ52" s="38"/>
      <c r="BR52" s="38"/>
      <c r="BS52" s="130"/>
      <c r="BT52" s="38"/>
      <c r="BU52" s="38"/>
      <c r="BV52" s="38"/>
      <c r="BW52" s="38"/>
      <c r="BX52" s="38"/>
      <c r="BY52" s="38"/>
      <c r="BZ52" s="38"/>
      <c r="CA52" s="38"/>
      <c r="CB52" s="38"/>
      <c r="CC52" s="786"/>
      <c r="CD52" s="130"/>
      <c r="CE52" s="38"/>
      <c r="CF52" s="38"/>
      <c r="CG52" s="38"/>
      <c r="CH52" s="37"/>
      <c r="CI52" s="130"/>
      <c r="CJ52" s="38"/>
      <c r="CK52" s="38"/>
      <c r="CL52" s="38"/>
      <c r="CM52" s="37"/>
      <c r="CN52" s="130"/>
      <c r="CO52" s="38"/>
      <c r="CP52" s="38"/>
      <c r="CQ52" s="38"/>
      <c r="CR52" s="38"/>
      <c r="CS52" s="130"/>
      <c r="CT52" s="38"/>
      <c r="CU52" s="38"/>
      <c r="CV52" s="38"/>
      <c r="CW52" s="37"/>
      <c r="CX52" s="130"/>
      <c r="CY52" s="38"/>
      <c r="CZ52" s="38"/>
      <c r="DA52" s="38"/>
      <c r="DB52" s="38"/>
      <c r="DC52" s="130"/>
      <c r="DD52" s="38"/>
      <c r="DE52" s="38"/>
      <c r="DF52" s="38"/>
      <c r="DG52" s="38"/>
      <c r="DH52" s="130"/>
      <c r="DI52" s="38"/>
      <c r="DJ52" s="38"/>
      <c r="DK52" s="38"/>
      <c r="DL52" s="38"/>
      <c r="DM52" s="130"/>
      <c r="DN52" s="38"/>
      <c r="DO52" s="38"/>
      <c r="DP52" s="38"/>
      <c r="DQ52" s="38"/>
      <c r="DR52" s="130"/>
      <c r="DS52" s="38"/>
      <c r="DT52" s="38"/>
      <c r="DU52" s="38"/>
      <c r="DV52" s="31"/>
      <c r="DW52" s="130"/>
      <c r="DX52" s="38"/>
      <c r="DY52" s="38"/>
      <c r="DZ52" s="38"/>
      <c r="EA52" s="38"/>
      <c r="EB52" s="130"/>
      <c r="EC52" s="38"/>
      <c r="ED52" s="38"/>
      <c r="EE52" s="38"/>
      <c r="EF52" s="31"/>
      <c r="EG52" s="130"/>
      <c r="EH52" s="38"/>
      <c r="EI52" s="38"/>
      <c r="EJ52" s="38"/>
      <c r="EK52" s="31"/>
      <c r="EL52" s="130"/>
      <c r="EM52" s="38"/>
      <c r="EN52" s="38"/>
      <c r="EO52" s="38"/>
      <c r="EP52" s="31"/>
      <c r="EQ52" s="130"/>
      <c r="ER52" s="38"/>
      <c r="ES52" s="38"/>
      <c r="ET52" s="38"/>
      <c r="EU52" s="31"/>
      <c r="EV52" s="130"/>
      <c r="EW52" s="38"/>
      <c r="EX52" s="38"/>
      <c r="EY52" s="38"/>
      <c r="FA52" s="130"/>
      <c r="FB52" s="38"/>
      <c r="FC52" s="38"/>
      <c r="FD52" s="38"/>
      <c r="FF52" s="130"/>
      <c r="FG52" s="38"/>
      <c r="FH52" s="38"/>
      <c r="FI52" s="38"/>
      <c r="FL52" s="130"/>
      <c r="FM52" s="38"/>
      <c r="FN52" s="38"/>
      <c r="FO52" s="38"/>
      <c r="FP52" s="38"/>
      <c r="FQ52" s="796"/>
    </row>
    <row r="53" spans="1:173" ht="15" customHeight="1">
      <c r="A53" s="112"/>
      <c r="B53" s="432"/>
      <c r="C53" s="432"/>
      <c r="D53" s="38"/>
      <c r="E53" s="130"/>
      <c r="F53" s="38"/>
      <c r="G53" s="38"/>
      <c r="H53" s="38"/>
      <c r="I53" s="38"/>
      <c r="J53" s="38"/>
      <c r="K53" s="38"/>
      <c r="L53" s="38"/>
      <c r="M53" s="38"/>
      <c r="N53" s="38"/>
      <c r="O53" s="786"/>
      <c r="P53" s="130"/>
      <c r="Q53" s="38"/>
      <c r="R53" s="38"/>
      <c r="S53" s="38"/>
      <c r="T53" s="38"/>
      <c r="U53" s="38"/>
      <c r="V53" s="38"/>
      <c r="W53" s="38"/>
      <c r="X53" s="38"/>
      <c r="Y53" s="38"/>
      <c r="Z53" s="786"/>
      <c r="AA53" s="130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130"/>
      <c r="AM53" s="38"/>
      <c r="AN53" s="38"/>
      <c r="AO53" s="38"/>
      <c r="AP53" s="38"/>
      <c r="AQ53" s="38"/>
      <c r="AR53" s="38"/>
      <c r="AS53" s="38"/>
      <c r="AT53" s="38"/>
      <c r="AU53" s="38"/>
      <c r="AV53" s="786"/>
      <c r="AW53" s="130"/>
      <c r="AX53" s="130"/>
      <c r="AY53" s="130"/>
      <c r="AZ53" s="130"/>
      <c r="BA53" s="130"/>
      <c r="BB53" s="130"/>
      <c r="BC53" s="38"/>
      <c r="BD53" s="38"/>
      <c r="BE53" s="38"/>
      <c r="BF53" s="38"/>
      <c r="BG53" s="38"/>
      <c r="BH53" s="130"/>
      <c r="BI53" s="38"/>
      <c r="BJ53" s="38"/>
      <c r="BK53" s="38"/>
      <c r="BL53" s="38"/>
      <c r="BM53" s="38"/>
      <c r="BN53" s="38"/>
      <c r="BO53" s="38"/>
      <c r="BP53" s="38"/>
      <c r="BQ53" s="38"/>
      <c r="BR53" s="38"/>
      <c r="BS53" s="130"/>
      <c r="BT53" s="38"/>
      <c r="BU53" s="38"/>
      <c r="BV53" s="38"/>
      <c r="BW53" s="38"/>
      <c r="BX53" s="38"/>
      <c r="BY53" s="38"/>
      <c r="BZ53" s="38"/>
      <c r="CA53" s="38"/>
      <c r="CB53" s="38"/>
      <c r="CC53" s="786"/>
      <c r="CD53" s="130"/>
      <c r="CE53" s="38"/>
      <c r="CF53" s="38"/>
      <c r="CG53" s="38"/>
      <c r="CH53" s="37"/>
      <c r="CI53" s="130"/>
      <c r="CJ53" s="38"/>
      <c r="CK53" s="38"/>
      <c r="CL53" s="38"/>
      <c r="CM53" s="37"/>
      <c r="CN53" s="130"/>
      <c r="CO53" s="38"/>
      <c r="CP53" s="38"/>
      <c r="CQ53" s="38"/>
      <c r="CR53" s="38"/>
      <c r="CS53" s="130"/>
      <c r="CT53" s="38"/>
      <c r="CU53" s="38"/>
      <c r="CV53" s="38"/>
      <c r="CW53" s="37"/>
      <c r="CX53" s="130"/>
      <c r="CY53" s="38"/>
      <c r="CZ53" s="38"/>
      <c r="DA53" s="38"/>
      <c r="DB53" s="38"/>
      <c r="DC53" s="130"/>
      <c r="DD53" s="38"/>
      <c r="DE53" s="38"/>
      <c r="DF53" s="38"/>
      <c r="DG53" s="38"/>
      <c r="DH53" s="130"/>
      <c r="DI53" s="38"/>
      <c r="DJ53" s="38"/>
      <c r="DK53" s="38"/>
      <c r="DL53" s="38"/>
      <c r="DM53" s="130"/>
      <c r="DN53" s="38"/>
      <c r="DO53" s="38"/>
      <c r="DP53" s="38"/>
      <c r="DQ53" s="38"/>
      <c r="DR53" s="130"/>
      <c r="DS53" s="38"/>
      <c r="DT53" s="38"/>
      <c r="DU53" s="38"/>
      <c r="DV53" s="31"/>
      <c r="DW53" s="130"/>
      <c r="DX53" s="38"/>
      <c r="DY53" s="38"/>
      <c r="DZ53" s="38"/>
      <c r="EA53" s="38"/>
      <c r="EB53" s="130"/>
      <c r="EC53" s="38"/>
      <c r="ED53" s="38"/>
      <c r="EE53" s="38"/>
      <c r="EF53" s="31"/>
      <c r="EG53" s="130"/>
      <c r="EH53" s="38"/>
      <c r="EI53" s="38"/>
      <c r="EJ53" s="38"/>
      <c r="EK53" s="31"/>
      <c r="EL53" s="130"/>
      <c r="EM53" s="38"/>
      <c r="EN53" s="38"/>
      <c r="EO53" s="38"/>
      <c r="EP53" s="31"/>
      <c r="EQ53" s="130"/>
      <c r="ER53" s="38"/>
      <c r="ES53" s="38"/>
      <c r="ET53" s="38"/>
      <c r="EU53" s="31"/>
      <c r="EV53" s="130"/>
      <c r="EW53" s="38"/>
      <c r="EX53" s="38"/>
      <c r="EY53" s="38"/>
      <c r="FA53" s="130"/>
      <c r="FB53" s="38"/>
      <c r="FC53" s="38"/>
      <c r="FD53" s="38"/>
      <c r="FF53" s="130"/>
      <c r="FG53" s="38"/>
      <c r="FH53" s="38"/>
      <c r="FI53" s="38"/>
      <c r="FL53" s="130"/>
      <c r="FM53" s="38"/>
      <c r="FN53" s="38"/>
      <c r="FO53" s="38"/>
      <c r="FP53" s="38"/>
      <c r="FQ53" s="796"/>
    </row>
    <row r="54" spans="1:173" ht="15" customHeight="1">
      <c r="A54" s="112"/>
      <c r="B54" s="432"/>
      <c r="C54" s="432"/>
      <c r="D54" s="38"/>
      <c r="E54" s="130"/>
      <c r="F54" s="38"/>
      <c r="G54" s="38"/>
      <c r="H54" s="38"/>
      <c r="I54" s="38"/>
      <c r="J54" s="38"/>
      <c r="K54" s="38"/>
      <c r="L54" s="38"/>
      <c r="M54" s="38"/>
      <c r="N54" s="38"/>
      <c r="O54" s="786"/>
      <c r="P54" s="130"/>
      <c r="Q54" s="38"/>
      <c r="R54" s="38"/>
      <c r="S54" s="38"/>
      <c r="T54" s="38"/>
      <c r="U54" s="38"/>
      <c r="V54" s="38"/>
      <c r="W54" s="38"/>
      <c r="X54" s="38"/>
      <c r="Y54" s="38"/>
      <c r="Z54" s="786"/>
      <c r="AA54" s="130"/>
      <c r="AB54" s="38"/>
      <c r="AC54" s="38"/>
      <c r="AD54" s="38"/>
      <c r="AE54" s="38"/>
      <c r="AF54" s="38"/>
      <c r="AG54" s="38"/>
      <c r="AH54" s="38"/>
      <c r="AI54" s="38"/>
      <c r="AJ54" s="38"/>
      <c r="AK54" s="38"/>
      <c r="AL54" s="130"/>
      <c r="AM54" s="38"/>
      <c r="AN54" s="38"/>
      <c r="AO54" s="38"/>
      <c r="AP54" s="38"/>
      <c r="AQ54" s="38"/>
      <c r="AR54" s="38"/>
      <c r="AS54" s="38"/>
      <c r="AT54" s="38"/>
      <c r="AU54" s="38"/>
      <c r="AV54" s="786"/>
      <c r="AW54" s="130"/>
      <c r="AX54" s="130"/>
      <c r="AY54" s="130"/>
      <c r="AZ54" s="130"/>
      <c r="BA54" s="130"/>
      <c r="BB54" s="130"/>
      <c r="BC54" s="38"/>
      <c r="BD54" s="38"/>
      <c r="BE54" s="38"/>
      <c r="BF54" s="38"/>
      <c r="BG54" s="38"/>
      <c r="BH54" s="130"/>
      <c r="BI54" s="38"/>
      <c r="BJ54" s="38"/>
      <c r="BK54" s="38"/>
      <c r="BL54" s="38"/>
      <c r="BM54" s="38"/>
      <c r="BN54" s="38"/>
      <c r="BO54" s="38"/>
      <c r="BP54" s="38"/>
      <c r="BQ54" s="38"/>
      <c r="BR54" s="38"/>
      <c r="BS54" s="130"/>
      <c r="BT54" s="38"/>
      <c r="BU54" s="38"/>
      <c r="BV54" s="38"/>
      <c r="BW54" s="38"/>
      <c r="BX54" s="38"/>
      <c r="BY54" s="38"/>
      <c r="BZ54" s="38"/>
      <c r="CA54" s="38"/>
      <c r="CB54" s="38"/>
      <c r="CC54" s="786"/>
      <c r="CD54" s="130"/>
      <c r="CE54" s="38"/>
      <c r="CF54" s="38"/>
      <c r="CG54" s="38"/>
      <c r="CH54" s="37"/>
      <c r="CI54" s="130"/>
      <c r="CJ54" s="38"/>
      <c r="CK54" s="38"/>
      <c r="CL54" s="38"/>
      <c r="CM54" s="37"/>
      <c r="CN54" s="130"/>
      <c r="CO54" s="38"/>
      <c r="CP54" s="38"/>
      <c r="CQ54" s="38"/>
      <c r="CR54" s="38"/>
      <c r="CS54" s="130"/>
      <c r="CT54" s="38"/>
      <c r="CU54" s="38"/>
      <c r="CV54" s="38"/>
      <c r="CW54" s="37"/>
      <c r="CX54" s="130"/>
      <c r="CY54" s="38"/>
      <c r="CZ54" s="38"/>
      <c r="DA54" s="38"/>
      <c r="DB54" s="38"/>
      <c r="DC54" s="130"/>
      <c r="DD54" s="38"/>
      <c r="DE54" s="38"/>
      <c r="DF54" s="38"/>
      <c r="DG54" s="38"/>
      <c r="DH54" s="130"/>
      <c r="DI54" s="38"/>
      <c r="DJ54" s="38"/>
      <c r="DK54" s="38"/>
      <c r="DL54" s="38"/>
      <c r="DM54" s="130"/>
      <c r="DN54" s="38"/>
      <c r="DO54" s="38"/>
      <c r="DP54" s="38"/>
      <c r="DQ54" s="38"/>
      <c r="DR54" s="130"/>
      <c r="DS54" s="38"/>
      <c r="DT54" s="38"/>
      <c r="DU54" s="38"/>
      <c r="DV54" s="31"/>
      <c r="DW54" s="130"/>
      <c r="DX54" s="38"/>
      <c r="DY54" s="38"/>
      <c r="DZ54" s="38"/>
      <c r="EA54" s="38"/>
      <c r="EB54" s="130"/>
      <c r="EC54" s="38"/>
      <c r="ED54" s="38"/>
      <c r="EE54" s="38"/>
      <c r="EF54" s="31"/>
      <c r="EG54" s="130"/>
      <c r="EH54" s="38"/>
      <c r="EI54" s="38"/>
      <c r="EJ54" s="38"/>
      <c r="EK54" s="31"/>
      <c r="EL54" s="130"/>
      <c r="EM54" s="38"/>
      <c r="EN54" s="38"/>
      <c r="EO54" s="38"/>
      <c r="EP54" s="31"/>
      <c r="EQ54" s="130"/>
      <c r="ER54" s="38"/>
      <c r="ES54" s="38"/>
      <c r="ET54" s="38"/>
      <c r="EU54" s="31"/>
      <c r="EV54" s="130"/>
      <c r="EW54" s="38"/>
      <c r="EX54" s="38"/>
      <c r="EY54" s="38"/>
      <c r="FA54" s="130"/>
      <c r="FB54" s="38"/>
      <c r="FC54" s="38"/>
      <c r="FD54" s="38"/>
      <c r="FF54" s="130"/>
      <c r="FG54" s="38"/>
      <c r="FH54" s="38"/>
      <c r="FI54" s="38"/>
      <c r="FL54" s="130"/>
      <c r="FM54" s="38"/>
      <c r="FN54" s="38"/>
      <c r="FO54" s="38"/>
      <c r="FP54" s="38"/>
      <c r="FQ54" s="796"/>
    </row>
    <row r="55" spans="1:173" ht="15" customHeight="1">
      <c r="A55" s="112"/>
      <c r="B55" s="432"/>
      <c r="C55" s="432"/>
      <c r="D55" s="38"/>
      <c r="E55" s="130"/>
      <c r="F55" s="38"/>
      <c r="G55" s="38"/>
      <c r="H55" s="38"/>
      <c r="I55" s="38"/>
      <c r="J55" s="38"/>
      <c r="K55" s="38"/>
      <c r="L55" s="38"/>
      <c r="M55" s="38"/>
      <c r="N55" s="38"/>
      <c r="O55" s="786"/>
      <c r="P55" s="130"/>
      <c r="Q55" s="38"/>
      <c r="R55" s="38"/>
      <c r="S55" s="38"/>
      <c r="T55" s="38"/>
      <c r="U55" s="38"/>
      <c r="V55" s="38"/>
      <c r="W55" s="38"/>
      <c r="X55" s="38"/>
      <c r="Y55" s="38"/>
      <c r="Z55" s="786"/>
      <c r="AA55" s="130"/>
      <c r="AB55" s="38"/>
      <c r="AC55" s="38"/>
      <c r="AD55" s="38"/>
      <c r="AE55" s="38"/>
      <c r="AF55" s="38"/>
      <c r="AG55" s="38"/>
      <c r="AH55" s="38"/>
      <c r="AI55" s="38"/>
      <c r="AJ55" s="38"/>
      <c r="AK55" s="38"/>
      <c r="AL55" s="130"/>
      <c r="AM55" s="38"/>
      <c r="AN55" s="38"/>
      <c r="AO55" s="38"/>
      <c r="AP55" s="38"/>
      <c r="AQ55" s="38"/>
      <c r="AR55" s="38"/>
      <c r="AS55" s="38"/>
      <c r="AT55" s="38"/>
      <c r="AU55" s="38"/>
      <c r="AV55" s="786"/>
      <c r="AW55" s="130"/>
      <c r="AX55" s="130"/>
      <c r="AY55" s="130"/>
      <c r="AZ55" s="130"/>
      <c r="BA55" s="130"/>
      <c r="BB55" s="130"/>
      <c r="BC55" s="38"/>
      <c r="BD55" s="38"/>
      <c r="BE55" s="38"/>
      <c r="BF55" s="38"/>
      <c r="BG55" s="38"/>
      <c r="BH55" s="130"/>
      <c r="BI55" s="38"/>
      <c r="BJ55" s="38"/>
      <c r="BK55" s="38"/>
      <c r="BL55" s="38"/>
      <c r="BM55" s="38"/>
      <c r="BN55" s="38"/>
      <c r="BO55" s="38"/>
      <c r="BP55" s="38"/>
      <c r="BQ55" s="38"/>
      <c r="BR55" s="38"/>
      <c r="BS55" s="130"/>
      <c r="BT55" s="38"/>
      <c r="BU55" s="38"/>
      <c r="BV55" s="38"/>
      <c r="BW55" s="38"/>
      <c r="BX55" s="38"/>
      <c r="BY55" s="38"/>
      <c r="BZ55" s="38"/>
      <c r="CA55" s="38"/>
      <c r="CB55" s="38"/>
      <c r="CC55" s="786"/>
      <c r="CD55" s="130"/>
      <c r="CE55" s="38"/>
      <c r="CF55" s="38"/>
      <c r="CG55" s="38"/>
      <c r="CH55" s="37"/>
      <c r="CI55" s="130"/>
      <c r="CJ55" s="38"/>
      <c r="CK55" s="38"/>
      <c r="CL55" s="38"/>
      <c r="CM55" s="37"/>
      <c r="CN55" s="130"/>
      <c r="CO55" s="38"/>
      <c r="CP55" s="38"/>
      <c r="CQ55" s="38"/>
      <c r="CR55" s="38"/>
      <c r="CS55" s="130"/>
      <c r="CT55" s="38"/>
      <c r="CU55" s="38"/>
      <c r="CV55" s="38"/>
      <c r="CW55" s="37"/>
      <c r="CX55" s="130"/>
      <c r="CY55" s="38"/>
      <c r="CZ55" s="38"/>
      <c r="DA55" s="38"/>
      <c r="DB55" s="38"/>
      <c r="DC55" s="130"/>
      <c r="DD55" s="38"/>
      <c r="DE55" s="38"/>
      <c r="DF55" s="38"/>
      <c r="DG55" s="38"/>
      <c r="DH55" s="130"/>
      <c r="DI55" s="38"/>
      <c r="DJ55" s="38"/>
      <c r="DK55" s="38"/>
      <c r="DL55" s="38"/>
      <c r="DM55" s="130"/>
      <c r="DN55" s="38"/>
      <c r="DO55" s="38"/>
      <c r="DP55" s="38"/>
      <c r="DQ55" s="38"/>
      <c r="DR55" s="130"/>
      <c r="DS55" s="38"/>
      <c r="DT55" s="38"/>
      <c r="DU55" s="38"/>
      <c r="DV55" s="31"/>
      <c r="DW55" s="130"/>
      <c r="DX55" s="38"/>
      <c r="DY55" s="38"/>
      <c r="DZ55" s="38"/>
      <c r="EA55" s="38"/>
      <c r="EB55" s="130"/>
      <c r="EC55" s="38"/>
      <c r="ED55" s="38"/>
      <c r="EE55" s="38"/>
      <c r="EF55" s="31"/>
      <c r="EG55" s="130"/>
      <c r="EH55" s="38"/>
      <c r="EI55" s="38"/>
      <c r="EJ55" s="38"/>
      <c r="EK55" s="31"/>
      <c r="EL55" s="130"/>
      <c r="EM55" s="38"/>
      <c r="EN55" s="38"/>
      <c r="EO55" s="38"/>
      <c r="EP55" s="31"/>
      <c r="EQ55" s="130"/>
      <c r="ER55" s="38"/>
      <c r="ES55" s="38"/>
      <c r="ET55" s="38"/>
      <c r="EU55" s="31"/>
      <c r="EV55" s="130"/>
      <c r="EW55" s="38"/>
      <c r="EX55" s="38"/>
      <c r="EY55" s="38"/>
      <c r="FA55" s="130"/>
      <c r="FB55" s="38"/>
      <c r="FC55" s="38"/>
      <c r="FD55" s="38"/>
      <c r="FF55" s="130"/>
      <c r="FG55" s="38"/>
      <c r="FH55" s="38"/>
      <c r="FI55" s="38"/>
      <c r="FL55" s="130"/>
      <c r="FM55" s="38"/>
      <c r="FN55" s="38"/>
      <c r="FO55" s="38"/>
      <c r="FP55" s="38"/>
      <c r="FQ55" s="796"/>
    </row>
    <row r="56" spans="1:173" ht="15" customHeight="1">
      <c r="A56" s="112"/>
      <c r="B56" s="432"/>
      <c r="C56" s="432"/>
      <c r="D56" s="38"/>
      <c r="E56" s="130"/>
      <c r="F56" s="38"/>
      <c r="G56" s="38"/>
      <c r="H56" s="38"/>
      <c r="I56" s="38"/>
      <c r="J56" s="38"/>
      <c r="K56" s="38"/>
      <c r="L56" s="38"/>
      <c r="M56" s="38"/>
      <c r="N56" s="38"/>
      <c r="O56" s="786"/>
      <c r="P56" s="130"/>
      <c r="Q56" s="38"/>
      <c r="R56" s="38"/>
      <c r="S56" s="38"/>
      <c r="T56" s="38"/>
      <c r="U56" s="38"/>
      <c r="V56" s="38"/>
      <c r="W56" s="38"/>
      <c r="X56" s="38"/>
      <c r="Y56" s="38"/>
      <c r="Z56" s="786"/>
      <c r="AA56" s="130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130"/>
      <c r="AM56" s="38"/>
      <c r="AN56" s="38"/>
      <c r="AO56" s="38"/>
      <c r="AP56" s="38"/>
      <c r="AQ56" s="38"/>
      <c r="AR56" s="38"/>
      <c r="AS56" s="38"/>
      <c r="AT56" s="38"/>
      <c r="AU56" s="38"/>
      <c r="AV56" s="786"/>
      <c r="AW56" s="130"/>
      <c r="AX56" s="130"/>
      <c r="AY56" s="130"/>
      <c r="AZ56" s="130"/>
      <c r="BA56" s="130"/>
      <c r="BB56" s="130"/>
      <c r="BC56" s="38"/>
      <c r="BD56" s="38"/>
      <c r="BE56" s="38"/>
      <c r="BF56" s="38"/>
      <c r="BG56" s="38"/>
      <c r="BH56" s="130"/>
      <c r="BI56" s="38"/>
      <c r="BJ56" s="38"/>
      <c r="BK56" s="38"/>
      <c r="BL56" s="38"/>
      <c r="BM56" s="38"/>
      <c r="BN56" s="38"/>
      <c r="BO56" s="38"/>
      <c r="BP56" s="38"/>
      <c r="BQ56" s="38"/>
      <c r="BR56" s="38"/>
      <c r="BS56" s="130"/>
      <c r="BT56" s="38"/>
      <c r="BU56" s="38"/>
      <c r="BV56" s="38"/>
      <c r="BW56" s="38"/>
      <c r="BX56" s="38"/>
      <c r="BY56" s="38"/>
      <c r="BZ56" s="38"/>
      <c r="CA56" s="38"/>
      <c r="CB56" s="38"/>
      <c r="CC56" s="786"/>
      <c r="CD56" s="130"/>
      <c r="CE56" s="38"/>
      <c r="CF56" s="38"/>
      <c r="CG56" s="38"/>
      <c r="CH56" s="37"/>
      <c r="CI56" s="130"/>
      <c r="CJ56" s="38"/>
      <c r="CK56" s="38"/>
      <c r="CL56" s="38"/>
      <c r="CM56" s="37"/>
      <c r="CN56" s="130"/>
      <c r="CO56" s="38"/>
      <c r="CP56" s="38"/>
      <c r="CQ56" s="38"/>
      <c r="CR56" s="38"/>
      <c r="CS56" s="130"/>
      <c r="CT56" s="38"/>
      <c r="CU56" s="38"/>
      <c r="CV56" s="38"/>
      <c r="CW56" s="37"/>
      <c r="CX56" s="130"/>
      <c r="CY56" s="38"/>
      <c r="CZ56" s="38"/>
      <c r="DA56" s="38"/>
      <c r="DB56" s="38"/>
      <c r="DC56" s="130"/>
      <c r="DD56" s="38"/>
      <c r="DE56" s="38"/>
      <c r="DF56" s="38"/>
      <c r="DG56" s="38"/>
      <c r="DH56" s="130"/>
      <c r="DI56" s="38"/>
      <c r="DJ56" s="38"/>
      <c r="DK56" s="38"/>
      <c r="DL56" s="38"/>
      <c r="DM56" s="130"/>
      <c r="DN56" s="38"/>
      <c r="DO56" s="38"/>
      <c r="DP56" s="38"/>
      <c r="DQ56" s="38"/>
      <c r="DR56" s="130"/>
      <c r="DS56" s="38"/>
      <c r="DT56" s="38"/>
      <c r="DU56" s="38"/>
      <c r="DV56" s="31"/>
      <c r="DW56" s="130"/>
      <c r="DX56" s="38"/>
      <c r="DY56" s="38"/>
      <c r="DZ56" s="38"/>
      <c r="EA56" s="38"/>
      <c r="EB56" s="130"/>
      <c r="EC56" s="38"/>
      <c r="ED56" s="38"/>
      <c r="EE56" s="38"/>
      <c r="EF56" s="31"/>
      <c r="EG56" s="130"/>
      <c r="EH56" s="38"/>
      <c r="EI56" s="38"/>
      <c r="EJ56" s="38"/>
      <c r="EK56" s="31"/>
      <c r="EL56" s="130"/>
      <c r="EM56" s="38"/>
      <c r="EN56" s="38"/>
      <c r="EO56" s="38"/>
      <c r="EP56" s="31"/>
      <c r="EQ56" s="130"/>
      <c r="ER56" s="38"/>
      <c r="ES56" s="38"/>
      <c r="ET56" s="38"/>
      <c r="EU56" s="31"/>
      <c r="EV56" s="130"/>
      <c r="EW56" s="38"/>
      <c r="EX56" s="38"/>
      <c r="EY56" s="38"/>
      <c r="FA56" s="130"/>
      <c r="FB56" s="38"/>
      <c r="FC56" s="38"/>
      <c r="FD56" s="38"/>
      <c r="FF56" s="130"/>
      <c r="FG56" s="38"/>
      <c r="FH56" s="38"/>
      <c r="FI56" s="38"/>
      <c r="FL56" s="130"/>
      <c r="FM56" s="38"/>
      <c r="FN56" s="38"/>
      <c r="FO56" s="38"/>
      <c r="FP56" s="38"/>
      <c r="FQ56" s="796"/>
    </row>
    <row r="57" spans="1:173" ht="15" customHeight="1">
      <c r="A57" s="112"/>
      <c r="B57" s="432"/>
      <c r="C57" s="432"/>
      <c r="D57" s="38"/>
      <c r="E57" s="130"/>
      <c r="F57" s="38"/>
      <c r="G57" s="38"/>
      <c r="H57" s="38"/>
      <c r="I57" s="38"/>
      <c r="J57" s="38"/>
      <c r="K57" s="38"/>
      <c r="L57" s="38"/>
      <c r="M57" s="38"/>
      <c r="N57" s="38"/>
      <c r="O57" s="786"/>
      <c r="P57" s="130"/>
      <c r="Q57" s="38"/>
      <c r="R57" s="38"/>
      <c r="S57" s="38"/>
      <c r="T57" s="38"/>
      <c r="U57" s="38"/>
      <c r="V57" s="38"/>
      <c r="W57" s="38"/>
      <c r="X57" s="38"/>
      <c r="Y57" s="38"/>
      <c r="Z57" s="786"/>
      <c r="AA57" s="130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130"/>
      <c r="AM57" s="38"/>
      <c r="AN57" s="38"/>
      <c r="AO57" s="38"/>
      <c r="AP57" s="38"/>
      <c r="AQ57" s="38"/>
      <c r="AR57" s="38"/>
      <c r="AS57" s="38"/>
      <c r="AT57" s="38"/>
      <c r="AU57" s="38"/>
      <c r="AV57" s="786"/>
      <c r="AW57" s="130"/>
      <c r="AX57" s="130"/>
      <c r="AY57" s="130"/>
      <c r="AZ57" s="130"/>
      <c r="BA57" s="130"/>
      <c r="BB57" s="130"/>
      <c r="BC57" s="38"/>
      <c r="BD57" s="38"/>
      <c r="BE57" s="38"/>
      <c r="BF57" s="38"/>
      <c r="BG57" s="38"/>
      <c r="BH57" s="130"/>
      <c r="BI57" s="38"/>
      <c r="BJ57" s="38"/>
      <c r="BK57" s="38"/>
      <c r="BL57" s="38"/>
      <c r="BM57" s="38"/>
      <c r="BN57" s="38"/>
      <c r="BO57" s="38"/>
      <c r="BP57" s="38"/>
      <c r="BQ57" s="38"/>
      <c r="BR57" s="38"/>
      <c r="BS57" s="130"/>
      <c r="BT57" s="38"/>
      <c r="BU57" s="38"/>
      <c r="BV57" s="38"/>
      <c r="BW57" s="38"/>
      <c r="BX57" s="38"/>
      <c r="BY57" s="38"/>
      <c r="BZ57" s="38"/>
      <c r="CA57" s="38"/>
      <c r="CB57" s="38"/>
      <c r="CC57" s="786"/>
      <c r="CD57" s="130"/>
      <c r="CE57" s="38"/>
      <c r="CF57" s="38"/>
      <c r="CG57" s="38"/>
      <c r="CH57" s="37"/>
      <c r="CI57" s="130"/>
      <c r="CJ57" s="38"/>
      <c r="CK57" s="38"/>
      <c r="CL57" s="38"/>
      <c r="CM57" s="37"/>
      <c r="CN57" s="130"/>
      <c r="CO57" s="38"/>
      <c r="CP57" s="38"/>
      <c r="CQ57" s="38"/>
      <c r="CR57" s="38"/>
      <c r="CS57" s="130"/>
      <c r="CT57" s="38"/>
      <c r="CU57" s="38"/>
      <c r="CV57" s="38"/>
      <c r="CW57" s="37"/>
      <c r="CX57" s="130"/>
      <c r="CY57" s="38"/>
      <c r="CZ57" s="38"/>
      <c r="DA57" s="38"/>
      <c r="DB57" s="38"/>
      <c r="DC57" s="130"/>
      <c r="DD57" s="38"/>
      <c r="DE57" s="38"/>
      <c r="DF57" s="38"/>
      <c r="DG57" s="38"/>
      <c r="DH57" s="130"/>
      <c r="DI57" s="38"/>
      <c r="DJ57" s="38"/>
      <c r="DK57" s="38"/>
      <c r="DL57" s="38"/>
      <c r="DM57" s="130"/>
      <c r="DN57" s="38"/>
      <c r="DO57" s="38"/>
      <c r="DP57" s="38"/>
      <c r="DQ57" s="38"/>
      <c r="DR57" s="130"/>
      <c r="DS57" s="38"/>
      <c r="DT57" s="38"/>
      <c r="DU57" s="38"/>
      <c r="DV57" s="31"/>
      <c r="DW57" s="130"/>
      <c r="DX57" s="38"/>
      <c r="DY57" s="38"/>
      <c r="DZ57" s="38"/>
      <c r="EA57" s="38"/>
      <c r="EB57" s="130"/>
      <c r="EC57" s="38"/>
      <c r="ED57" s="38"/>
      <c r="EE57" s="38"/>
      <c r="EF57" s="31"/>
      <c r="EG57" s="130"/>
      <c r="EH57" s="38"/>
      <c r="EI57" s="38"/>
      <c r="EJ57" s="38"/>
      <c r="EK57" s="31"/>
      <c r="EL57" s="130"/>
      <c r="EM57" s="38"/>
      <c r="EN57" s="38"/>
      <c r="EO57" s="38"/>
      <c r="EP57" s="31"/>
      <c r="EQ57" s="130"/>
      <c r="ER57" s="38"/>
      <c r="ES57" s="38"/>
      <c r="ET57" s="38"/>
      <c r="EU57" s="31"/>
      <c r="EV57" s="130"/>
      <c r="EW57" s="38"/>
      <c r="EX57" s="38"/>
      <c r="EY57" s="38"/>
      <c r="FA57" s="130"/>
      <c r="FB57" s="38"/>
      <c r="FC57" s="38"/>
      <c r="FD57" s="38"/>
      <c r="FF57" s="130"/>
      <c r="FG57" s="38"/>
      <c r="FH57" s="38"/>
      <c r="FI57" s="38"/>
      <c r="FL57" s="130"/>
      <c r="FM57" s="38"/>
      <c r="FN57" s="38"/>
      <c r="FO57" s="38"/>
      <c r="FP57" s="38"/>
      <c r="FQ57" s="796"/>
    </row>
    <row r="58" spans="1:173" ht="15" customHeight="1">
      <c r="A58" s="112"/>
      <c r="B58" s="432"/>
      <c r="C58" s="432"/>
      <c r="D58" s="38"/>
      <c r="E58" s="130"/>
      <c r="F58" s="38"/>
      <c r="G58" s="38"/>
      <c r="H58" s="38"/>
      <c r="I58" s="38"/>
      <c r="J58" s="38"/>
      <c r="K58" s="38"/>
      <c r="L58" s="38"/>
      <c r="M58" s="38"/>
      <c r="N58" s="38"/>
      <c r="O58" s="786"/>
      <c r="P58" s="130"/>
      <c r="Q58" s="38"/>
      <c r="R58" s="38"/>
      <c r="S58" s="38"/>
      <c r="T58" s="38"/>
      <c r="U58" s="38"/>
      <c r="V58" s="38"/>
      <c r="W58" s="38"/>
      <c r="X58" s="38"/>
      <c r="Y58" s="38"/>
      <c r="Z58" s="786"/>
      <c r="AA58" s="130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130"/>
      <c r="AM58" s="38"/>
      <c r="AN58" s="38"/>
      <c r="AO58" s="38"/>
      <c r="AP58" s="38"/>
      <c r="AQ58" s="38"/>
      <c r="AR58" s="38"/>
      <c r="AS58" s="38"/>
      <c r="AT58" s="38"/>
      <c r="AU58" s="38"/>
      <c r="AV58" s="786"/>
      <c r="AW58" s="130"/>
      <c r="AX58" s="130"/>
      <c r="AY58" s="130"/>
      <c r="AZ58" s="130"/>
      <c r="BA58" s="130"/>
      <c r="BB58" s="130"/>
      <c r="BC58" s="38"/>
      <c r="BD58" s="38"/>
      <c r="BE58" s="38"/>
      <c r="BF58" s="38"/>
      <c r="BG58" s="38"/>
      <c r="BH58" s="130"/>
      <c r="BI58" s="38"/>
      <c r="BJ58" s="38"/>
      <c r="BK58" s="38"/>
      <c r="BL58" s="38"/>
      <c r="BM58" s="38"/>
      <c r="BN58" s="38"/>
      <c r="BO58" s="38"/>
      <c r="BP58" s="38"/>
      <c r="BQ58" s="38"/>
      <c r="BR58" s="38"/>
      <c r="BS58" s="130"/>
      <c r="BT58" s="38"/>
      <c r="BU58" s="38"/>
      <c r="BV58" s="38"/>
      <c r="BW58" s="38"/>
      <c r="BX58" s="38"/>
      <c r="BY58" s="38"/>
      <c r="BZ58" s="38"/>
      <c r="CA58" s="38"/>
      <c r="CB58" s="38"/>
      <c r="CC58" s="786"/>
      <c r="CD58" s="130"/>
      <c r="CE58" s="38"/>
      <c r="CF58" s="38"/>
      <c r="CG58" s="38"/>
      <c r="CH58" s="37"/>
      <c r="CI58" s="130"/>
      <c r="CJ58" s="38"/>
      <c r="CK58" s="38"/>
      <c r="CL58" s="38"/>
      <c r="CM58" s="37"/>
      <c r="CN58" s="130"/>
      <c r="CO58" s="38"/>
      <c r="CP58" s="38"/>
      <c r="CQ58" s="38"/>
      <c r="CR58" s="38"/>
      <c r="CS58" s="130"/>
      <c r="CT58" s="38"/>
      <c r="CU58" s="38"/>
      <c r="CV58" s="38"/>
      <c r="CW58" s="37"/>
      <c r="CX58" s="130"/>
      <c r="CY58" s="38"/>
      <c r="CZ58" s="38"/>
      <c r="DA58" s="38"/>
      <c r="DB58" s="38"/>
      <c r="DC58" s="130"/>
      <c r="DD58" s="38"/>
      <c r="DE58" s="38"/>
      <c r="DF58" s="38"/>
      <c r="DG58" s="38"/>
      <c r="DH58" s="130"/>
      <c r="DI58" s="38"/>
      <c r="DJ58" s="38"/>
      <c r="DK58" s="38"/>
      <c r="DL58" s="38"/>
      <c r="DM58" s="130"/>
      <c r="DN58" s="38"/>
      <c r="DO58" s="38"/>
      <c r="DP58" s="38"/>
      <c r="DQ58" s="38"/>
      <c r="DR58" s="130"/>
      <c r="DS58" s="38"/>
      <c r="DT58" s="38"/>
      <c r="DU58" s="38"/>
      <c r="DV58" s="31"/>
      <c r="DW58" s="130"/>
      <c r="DX58" s="38"/>
      <c r="DY58" s="38"/>
      <c r="DZ58" s="38"/>
      <c r="EA58" s="38"/>
      <c r="EB58" s="130"/>
      <c r="EC58" s="38"/>
      <c r="ED58" s="38"/>
      <c r="EE58" s="38"/>
      <c r="EF58" s="31"/>
      <c r="EG58" s="130"/>
      <c r="EH58" s="38"/>
      <c r="EI58" s="38"/>
      <c r="EJ58" s="38"/>
      <c r="EK58" s="31"/>
      <c r="EL58" s="130"/>
      <c r="EM58" s="38"/>
      <c r="EN58" s="38"/>
      <c r="EO58" s="38"/>
      <c r="EP58" s="31"/>
      <c r="EQ58" s="130"/>
      <c r="ER58" s="38"/>
      <c r="ES58" s="38"/>
      <c r="ET58" s="38"/>
      <c r="EU58" s="31"/>
      <c r="EV58" s="130"/>
      <c r="EW58" s="38"/>
      <c r="EX58" s="38"/>
      <c r="EY58" s="38"/>
      <c r="FA58" s="130"/>
      <c r="FB58" s="38"/>
      <c r="FC58" s="38"/>
      <c r="FD58" s="38"/>
      <c r="FF58" s="130"/>
      <c r="FG58" s="38"/>
      <c r="FH58" s="38"/>
      <c r="FI58" s="38"/>
      <c r="FL58" s="130"/>
      <c r="FM58" s="38"/>
      <c r="FN58" s="38"/>
      <c r="FO58" s="38"/>
      <c r="FP58" s="38"/>
      <c r="FQ58" s="796"/>
    </row>
    <row r="59" spans="1:173" ht="15" customHeight="1">
      <c r="A59" s="112"/>
      <c r="B59" s="432"/>
      <c r="C59" s="432"/>
      <c r="D59" s="38"/>
      <c r="E59" s="130"/>
      <c r="F59" s="38"/>
      <c r="G59" s="38"/>
      <c r="H59" s="38"/>
      <c r="I59" s="38"/>
      <c r="J59" s="38"/>
      <c r="K59" s="38"/>
      <c r="L59" s="38"/>
      <c r="M59" s="38"/>
      <c r="N59" s="38"/>
      <c r="O59" s="786"/>
      <c r="P59" s="130"/>
      <c r="Q59" s="38"/>
      <c r="R59" s="38"/>
      <c r="S59" s="38"/>
      <c r="T59" s="38"/>
      <c r="U59" s="38"/>
      <c r="V59" s="38"/>
      <c r="W59" s="38"/>
      <c r="X59" s="38"/>
      <c r="Y59" s="38"/>
      <c r="Z59" s="786"/>
      <c r="AA59" s="130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130"/>
      <c r="AM59" s="38"/>
      <c r="AN59" s="38"/>
      <c r="AO59" s="38"/>
      <c r="AP59" s="38"/>
      <c r="AQ59" s="38"/>
      <c r="AR59" s="38"/>
      <c r="AS59" s="38"/>
      <c r="AT59" s="38"/>
      <c r="AU59" s="38"/>
      <c r="AV59" s="786"/>
      <c r="AW59" s="130"/>
      <c r="AX59" s="130"/>
      <c r="AY59" s="130"/>
      <c r="AZ59" s="130"/>
      <c r="BA59" s="130"/>
      <c r="BB59" s="130"/>
      <c r="BC59" s="38"/>
      <c r="BD59" s="38"/>
      <c r="BE59" s="38"/>
      <c r="BF59" s="38"/>
      <c r="BG59" s="38"/>
      <c r="BH59" s="130"/>
      <c r="BI59" s="38"/>
      <c r="BJ59" s="38"/>
      <c r="BK59" s="38"/>
      <c r="BL59" s="38"/>
      <c r="BM59" s="38"/>
      <c r="BN59" s="38"/>
      <c r="BO59" s="38"/>
      <c r="BP59" s="38"/>
      <c r="BQ59" s="38"/>
      <c r="BR59" s="38"/>
      <c r="BS59" s="130"/>
      <c r="BT59" s="38"/>
      <c r="BU59" s="38"/>
      <c r="BV59" s="38"/>
      <c r="BW59" s="38"/>
      <c r="BX59" s="38"/>
      <c r="BY59" s="38"/>
      <c r="BZ59" s="38"/>
      <c r="CA59" s="38"/>
      <c r="CB59" s="38"/>
      <c r="CC59" s="786"/>
      <c r="CD59" s="130"/>
      <c r="CE59" s="38"/>
      <c r="CF59" s="38"/>
      <c r="CG59" s="38"/>
      <c r="CH59" s="37"/>
      <c r="CI59" s="130"/>
      <c r="CJ59" s="38"/>
      <c r="CK59" s="38"/>
      <c r="CL59" s="38"/>
      <c r="CM59" s="37"/>
      <c r="CN59" s="130"/>
      <c r="CO59" s="38"/>
      <c r="CP59" s="38"/>
      <c r="CQ59" s="38"/>
      <c r="CR59" s="38"/>
      <c r="CS59" s="130"/>
      <c r="CT59" s="38"/>
      <c r="CU59" s="38"/>
      <c r="CV59" s="38"/>
      <c r="CW59" s="37"/>
      <c r="CX59" s="130"/>
      <c r="CY59" s="38"/>
      <c r="CZ59" s="38"/>
      <c r="DA59" s="38"/>
      <c r="DB59" s="38"/>
      <c r="DC59" s="130"/>
      <c r="DD59" s="38"/>
      <c r="DE59" s="38"/>
      <c r="DF59" s="38"/>
      <c r="DG59" s="38"/>
      <c r="DH59" s="130"/>
      <c r="DI59" s="38"/>
      <c r="DJ59" s="38"/>
      <c r="DK59" s="38"/>
      <c r="DL59" s="38"/>
      <c r="DM59" s="130"/>
      <c r="DN59" s="38"/>
      <c r="DO59" s="38"/>
      <c r="DP59" s="38"/>
      <c r="DQ59" s="38"/>
      <c r="DR59" s="130"/>
      <c r="DS59" s="38"/>
      <c r="DT59" s="38"/>
      <c r="DU59" s="38"/>
      <c r="DV59" s="31"/>
      <c r="DW59" s="130"/>
      <c r="DX59" s="38"/>
      <c r="DY59" s="38"/>
      <c r="DZ59" s="38"/>
      <c r="EA59" s="38"/>
      <c r="EB59" s="130"/>
      <c r="EC59" s="38"/>
      <c r="ED59" s="38"/>
      <c r="EE59" s="38"/>
      <c r="EF59" s="31"/>
      <c r="EG59" s="130"/>
      <c r="EH59" s="38"/>
      <c r="EI59" s="38"/>
      <c r="EJ59" s="38"/>
      <c r="EK59" s="31"/>
      <c r="EL59" s="130"/>
      <c r="EM59" s="38"/>
      <c r="EN59" s="38"/>
      <c r="EO59" s="38"/>
      <c r="EP59" s="31"/>
      <c r="EQ59" s="130"/>
      <c r="ER59" s="38"/>
      <c r="ES59" s="38"/>
      <c r="ET59" s="38"/>
      <c r="EU59" s="31"/>
      <c r="EV59" s="130"/>
      <c r="EW59" s="38"/>
      <c r="EX59" s="38"/>
      <c r="EY59" s="38"/>
      <c r="FA59" s="130"/>
      <c r="FB59" s="38"/>
      <c r="FC59" s="38"/>
      <c r="FD59" s="38"/>
      <c r="FF59" s="130"/>
      <c r="FG59" s="38"/>
      <c r="FH59" s="38"/>
      <c r="FI59" s="38"/>
      <c r="FL59" s="130"/>
      <c r="FM59" s="38"/>
      <c r="FN59" s="38"/>
      <c r="FO59" s="38"/>
      <c r="FP59" s="38"/>
      <c r="FQ59" s="796"/>
    </row>
    <row r="60" spans="1:173" ht="15" customHeight="1">
      <c r="A60" s="112"/>
      <c r="B60" s="432"/>
      <c r="C60" s="432"/>
      <c r="D60" s="38"/>
      <c r="E60" s="130"/>
      <c r="F60" s="38"/>
      <c r="G60" s="38"/>
      <c r="H60" s="38"/>
      <c r="I60" s="38"/>
      <c r="J60" s="38"/>
      <c r="K60" s="38"/>
      <c r="L60" s="38"/>
      <c r="M60" s="38"/>
      <c r="N60" s="38"/>
      <c r="O60" s="786"/>
      <c r="P60" s="130"/>
      <c r="Q60" s="38"/>
      <c r="R60" s="38"/>
      <c r="S60" s="38"/>
      <c r="T60" s="38"/>
      <c r="U60" s="38"/>
      <c r="V60" s="38"/>
      <c r="W60" s="38"/>
      <c r="X60" s="38"/>
      <c r="Y60" s="38"/>
      <c r="Z60" s="786"/>
      <c r="AA60" s="130"/>
      <c r="AB60" s="38"/>
      <c r="AC60" s="38"/>
      <c r="AD60" s="38"/>
      <c r="AE60" s="38"/>
      <c r="AF60" s="38"/>
      <c r="AG60" s="38"/>
      <c r="AH60" s="38"/>
      <c r="AI60" s="38"/>
      <c r="AJ60" s="38"/>
      <c r="AK60" s="38"/>
      <c r="AL60" s="130"/>
      <c r="AM60" s="38"/>
      <c r="AN60" s="38"/>
      <c r="AO60" s="38"/>
      <c r="AP60" s="38"/>
      <c r="AQ60" s="38"/>
      <c r="AR60" s="38"/>
      <c r="AS60" s="38"/>
      <c r="AT60" s="38"/>
      <c r="AU60" s="38"/>
      <c r="AV60" s="786"/>
      <c r="AW60" s="130"/>
      <c r="AX60" s="130"/>
      <c r="AY60" s="130"/>
      <c r="AZ60" s="130"/>
      <c r="BA60" s="130"/>
      <c r="BB60" s="130"/>
      <c r="BC60" s="38"/>
      <c r="BD60" s="38"/>
      <c r="BE60" s="38"/>
      <c r="BF60" s="38"/>
      <c r="BG60" s="38"/>
      <c r="BH60" s="130"/>
      <c r="BI60" s="38"/>
      <c r="BJ60" s="38"/>
      <c r="BK60" s="38"/>
      <c r="BL60" s="38"/>
      <c r="BM60" s="38"/>
      <c r="BN60" s="38"/>
      <c r="BO60" s="38"/>
      <c r="BP60" s="38"/>
      <c r="BQ60" s="38"/>
      <c r="BR60" s="38"/>
      <c r="BS60" s="130"/>
      <c r="BT60" s="38"/>
      <c r="BU60" s="38"/>
      <c r="BV60" s="38"/>
      <c r="BW60" s="38"/>
      <c r="BX60" s="38"/>
      <c r="BY60" s="38"/>
      <c r="BZ60" s="38"/>
      <c r="CA60" s="38"/>
      <c r="CB60" s="38"/>
      <c r="CC60" s="786"/>
      <c r="CD60" s="130"/>
      <c r="CE60" s="38"/>
      <c r="CF60" s="38"/>
      <c r="CG60" s="38"/>
      <c r="CH60" s="37"/>
      <c r="CI60" s="130"/>
      <c r="CJ60" s="38"/>
      <c r="CK60" s="38"/>
      <c r="CL60" s="38"/>
      <c r="CM60" s="37"/>
      <c r="CN60" s="130"/>
      <c r="CO60" s="38"/>
      <c r="CP60" s="38"/>
      <c r="CQ60" s="38"/>
      <c r="CR60" s="38"/>
      <c r="CS60" s="130"/>
      <c r="CT60" s="38"/>
      <c r="CU60" s="38"/>
      <c r="CV60" s="38"/>
      <c r="CW60" s="37"/>
      <c r="CX60" s="130"/>
      <c r="CY60" s="38"/>
      <c r="CZ60" s="38"/>
      <c r="DA60" s="38"/>
      <c r="DB60" s="38"/>
      <c r="DC60" s="130"/>
      <c r="DD60" s="38"/>
      <c r="DE60" s="38"/>
      <c r="DF60" s="38"/>
      <c r="DG60" s="38"/>
      <c r="DH60" s="130"/>
      <c r="DI60" s="38"/>
      <c r="DJ60" s="38"/>
      <c r="DK60" s="38"/>
      <c r="DL60" s="38"/>
      <c r="DM60" s="130"/>
      <c r="DN60" s="38"/>
      <c r="DO60" s="38"/>
      <c r="DP60" s="38"/>
      <c r="DQ60" s="38"/>
      <c r="DR60" s="130"/>
      <c r="DS60" s="38"/>
      <c r="DT60" s="38"/>
      <c r="DU60" s="38"/>
      <c r="DV60" s="31"/>
      <c r="DW60" s="130"/>
      <c r="DX60" s="38"/>
      <c r="DY60" s="38"/>
      <c r="DZ60" s="38"/>
      <c r="EA60" s="38"/>
      <c r="EB60" s="130"/>
      <c r="EC60" s="38"/>
      <c r="ED60" s="38"/>
      <c r="EE60" s="38"/>
      <c r="EF60" s="31"/>
      <c r="EG60" s="130"/>
      <c r="EH60" s="38"/>
      <c r="EI60" s="38"/>
      <c r="EJ60" s="38"/>
      <c r="EK60" s="31"/>
      <c r="EL60" s="130"/>
      <c r="EM60" s="38"/>
      <c r="EN60" s="38"/>
      <c r="EO60" s="38"/>
      <c r="EP60" s="31"/>
      <c r="EQ60" s="130"/>
      <c r="ER60" s="38"/>
      <c r="ES60" s="38"/>
      <c r="ET60" s="38"/>
      <c r="EU60" s="31"/>
      <c r="EV60" s="130"/>
      <c r="EW60" s="38"/>
      <c r="EX60" s="38"/>
      <c r="EY60" s="38"/>
      <c r="FA60" s="130"/>
      <c r="FB60" s="38"/>
      <c r="FC60" s="38"/>
      <c r="FD60" s="38"/>
      <c r="FF60" s="130"/>
      <c r="FG60" s="38"/>
      <c r="FH60" s="38"/>
      <c r="FI60" s="38"/>
      <c r="FL60" s="130"/>
      <c r="FM60" s="38"/>
      <c r="FN60" s="38"/>
      <c r="FO60" s="38"/>
      <c r="FP60" s="38"/>
      <c r="FQ60" s="796"/>
    </row>
    <row r="61" spans="1:173" ht="15" customHeight="1">
      <c r="A61" s="112"/>
      <c r="B61" s="432"/>
      <c r="C61" s="432"/>
      <c r="D61" s="38"/>
      <c r="E61" s="130"/>
      <c r="F61" s="38"/>
      <c r="G61" s="38"/>
      <c r="H61" s="38"/>
      <c r="I61" s="38"/>
      <c r="J61" s="38"/>
      <c r="K61" s="38"/>
      <c r="L61" s="38"/>
      <c r="M61" s="38"/>
      <c r="N61" s="38"/>
      <c r="O61" s="786"/>
      <c r="P61" s="130"/>
      <c r="Q61" s="38"/>
      <c r="R61" s="38"/>
      <c r="S61" s="38"/>
      <c r="T61" s="38"/>
      <c r="U61" s="38"/>
      <c r="V61" s="38"/>
      <c r="W61" s="38"/>
      <c r="X61" s="38"/>
      <c r="Y61" s="38"/>
      <c r="Z61" s="786"/>
      <c r="AA61" s="130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130"/>
      <c r="AM61" s="38"/>
      <c r="AN61" s="38"/>
      <c r="AO61" s="38"/>
      <c r="AP61" s="38"/>
      <c r="AQ61" s="38"/>
      <c r="AR61" s="38"/>
      <c r="AS61" s="38"/>
      <c r="AT61" s="38"/>
      <c r="AU61" s="38"/>
      <c r="AV61" s="786"/>
      <c r="AW61" s="130"/>
      <c r="AX61" s="130"/>
      <c r="AY61" s="130"/>
      <c r="AZ61" s="130"/>
      <c r="BA61" s="130"/>
      <c r="BB61" s="130"/>
      <c r="BC61" s="38"/>
      <c r="BD61" s="38"/>
      <c r="BE61" s="38"/>
      <c r="BF61" s="38"/>
      <c r="BG61" s="38"/>
      <c r="BH61" s="130"/>
      <c r="BI61" s="38"/>
      <c r="BJ61" s="38"/>
      <c r="BK61" s="38"/>
      <c r="BL61" s="38"/>
      <c r="BM61" s="38"/>
      <c r="BN61" s="38"/>
      <c r="BO61" s="38"/>
      <c r="BP61" s="38"/>
      <c r="BQ61" s="38"/>
      <c r="BR61" s="38"/>
      <c r="BS61" s="130"/>
      <c r="BT61" s="38"/>
      <c r="BU61" s="38"/>
      <c r="BV61" s="38"/>
      <c r="BW61" s="38"/>
      <c r="BX61" s="38"/>
      <c r="BY61" s="38"/>
      <c r="BZ61" s="38"/>
      <c r="CA61" s="38"/>
      <c r="CB61" s="38"/>
      <c r="CC61" s="786"/>
      <c r="CD61" s="130"/>
      <c r="CE61" s="38"/>
      <c r="CF61" s="38"/>
      <c r="CG61" s="38"/>
      <c r="CH61" s="37"/>
      <c r="CI61" s="130"/>
      <c r="CJ61" s="38"/>
      <c r="CK61" s="38"/>
      <c r="CL61" s="38"/>
      <c r="CM61" s="37"/>
      <c r="CN61" s="130"/>
      <c r="CO61" s="38"/>
      <c r="CP61" s="38"/>
      <c r="CQ61" s="38"/>
      <c r="CR61" s="38"/>
      <c r="CS61" s="130"/>
      <c r="CT61" s="38"/>
      <c r="CU61" s="38"/>
      <c r="CV61" s="38"/>
      <c r="CW61" s="37"/>
      <c r="CX61" s="130"/>
      <c r="CY61" s="38"/>
      <c r="CZ61" s="38"/>
      <c r="DA61" s="38"/>
      <c r="DB61" s="38"/>
      <c r="DC61" s="130"/>
      <c r="DD61" s="38"/>
      <c r="DE61" s="38"/>
      <c r="DF61" s="38"/>
      <c r="DG61" s="38"/>
      <c r="DH61" s="130"/>
      <c r="DI61" s="38"/>
      <c r="DJ61" s="38"/>
      <c r="DK61" s="38"/>
      <c r="DL61" s="38"/>
      <c r="DM61" s="130"/>
      <c r="DN61" s="38"/>
      <c r="DO61" s="38"/>
      <c r="DP61" s="38"/>
      <c r="DQ61" s="38"/>
      <c r="DR61" s="130"/>
      <c r="DS61" s="38"/>
      <c r="DT61" s="38"/>
      <c r="DU61" s="38"/>
      <c r="DV61" s="31"/>
      <c r="DW61" s="130"/>
      <c r="DX61" s="38"/>
      <c r="DY61" s="38"/>
      <c r="DZ61" s="38"/>
      <c r="EA61" s="38"/>
      <c r="EB61" s="130"/>
      <c r="EC61" s="38"/>
      <c r="ED61" s="38"/>
      <c r="EE61" s="38"/>
      <c r="EF61" s="31"/>
      <c r="EG61" s="130"/>
      <c r="EH61" s="38"/>
      <c r="EI61" s="38"/>
      <c r="EJ61" s="38"/>
      <c r="EK61" s="31"/>
      <c r="EL61" s="130"/>
      <c r="EM61" s="38"/>
      <c r="EN61" s="38"/>
      <c r="EO61" s="38"/>
      <c r="EP61" s="31"/>
      <c r="EQ61" s="130"/>
      <c r="ER61" s="38"/>
      <c r="ES61" s="38"/>
      <c r="ET61" s="38"/>
      <c r="EU61" s="31"/>
      <c r="EV61" s="130"/>
      <c r="EW61" s="38"/>
      <c r="EX61" s="38"/>
      <c r="EY61" s="38"/>
      <c r="FA61" s="130"/>
      <c r="FB61" s="38"/>
      <c r="FC61" s="38"/>
      <c r="FD61" s="38"/>
      <c r="FF61" s="130"/>
      <c r="FG61" s="38"/>
      <c r="FH61" s="38"/>
      <c r="FI61" s="38"/>
      <c r="FL61" s="130"/>
      <c r="FM61" s="38"/>
      <c r="FN61" s="38"/>
      <c r="FO61" s="38"/>
      <c r="FP61" s="38"/>
      <c r="FQ61" s="796"/>
    </row>
    <row r="62" spans="1:173" ht="15" customHeight="1">
      <c r="A62" s="112"/>
      <c r="B62" s="432"/>
      <c r="C62" s="432"/>
      <c r="D62" s="38"/>
      <c r="E62" s="130"/>
      <c r="F62" s="38"/>
      <c r="G62" s="38"/>
      <c r="H62" s="38"/>
      <c r="I62" s="38"/>
      <c r="J62" s="38"/>
      <c r="K62" s="38"/>
      <c r="L62" s="38"/>
      <c r="M62" s="38"/>
      <c r="N62" s="38"/>
      <c r="O62" s="786"/>
      <c r="P62" s="130"/>
      <c r="Q62" s="38"/>
      <c r="R62" s="38"/>
      <c r="S62" s="38"/>
      <c r="T62" s="38"/>
      <c r="U62" s="38"/>
      <c r="V62" s="38"/>
      <c r="W62" s="38"/>
      <c r="X62" s="38"/>
      <c r="Y62" s="38"/>
      <c r="Z62" s="786"/>
      <c r="AA62" s="130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130"/>
      <c r="AM62" s="38"/>
      <c r="AN62" s="38"/>
      <c r="AO62" s="38"/>
      <c r="AP62" s="38"/>
      <c r="AQ62" s="38"/>
      <c r="AR62" s="38"/>
      <c r="AS62" s="38"/>
      <c r="AT62" s="38"/>
      <c r="AU62" s="38"/>
      <c r="AV62" s="786"/>
      <c r="AW62" s="130"/>
      <c r="AX62" s="130"/>
      <c r="AY62" s="130"/>
      <c r="AZ62" s="130"/>
      <c r="BA62" s="130"/>
      <c r="BB62" s="130"/>
      <c r="BC62" s="38"/>
      <c r="BD62" s="38"/>
      <c r="BE62" s="38"/>
      <c r="BF62" s="38"/>
      <c r="BG62" s="38"/>
      <c r="BH62" s="130"/>
      <c r="BI62" s="38"/>
      <c r="BJ62" s="38"/>
      <c r="BK62" s="38"/>
      <c r="BL62" s="38"/>
      <c r="BM62" s="38"/>
      <c r="BN62" s="38"/>
      <c r="BO62" s="38"/>
      <c r="BP62" s="38"/>
      <c r="BQ62" s="38"/>
      <c r="BR62" s="38"/>
      <c r="BS62" s="130"/>
      <c r="BT62" s="38"/>
      <c r="BU62" s="38"/>
      <c r="BV62" s="38"/>
      <c r="BW62" s="38"/>
      <c r="BX62" s="38"/>
      <c r="BY62" s="38"/>
      <c r="BZ62" s="38"/>
      <c r="CA62" s="38"/>
      <c r="CB62" s="38"/>
      <c r="CC62" s="786"/>
      <c r="CD62" s="130"/>
      <c r="CE62" s="38"/>
      <c r="CF62" s="38"/>
      <c r="CG62" s="38"/>
      <c r="CH62" s="37"/>
      <c r="CI62" s="130"/>
      <c r="CJ62" s="38"/>
      <c r="CK62" s="38"/>
      <c r="CL62" s="38"/>
      <c r="CM62" s="37"/>
      <c r="CN62" s="130"/>
      <c r="CO62" s="38"/>
      <c r="CP62" s="38"/>
      <c r="CQ62" s="38"/>
      <c r="CR62" s="38"/>
      <c r="CS62" s="130"/>
      <c r="CT62" s="38"/>
      <c r="CU62" s="38"/>
      <c r="CV62" s="38"/>
      <c r="CW62" s="37"/>
      <c r="CX62" s="130"/>
      <c r="CY62" s="38"/>
      <c r="CZ62" s="38"/>
      <c r="DA62" s="38"/>
      <c r="DB62" s="38"/>
      <c r="DC62" s="130"/>
      <c r="DD62" s="38"/>
      <c r="DE62" s="38"/>
      <c r="DF62" s="38"/>
      <c r="DG62" s="38"/>
      <c r="DH62" s="130"/>
      <c r="DI62" s="38"/>
      <c r="DJ62" s="38"/>
      <c r="DK62" s="38"/>
      <c r="DL62" s="38"/>
      <c r="DM62" s="130"/>
      <c r="DN62" s="38"/>
      <c r="DO62" s="38"/>
      <c r="DP62" s="38"/>
      <c r="DQ62" s="38"/>
      <c r="DR62" s="130"/>
      <c r="DS62" s="38"/>
      <c r="DT62" s="38"/>
      <c r="DU62" s="38"/>
      <c r="DV62" s="31"/>
      <c r="DW62" s="130"/>
      <c r="DX62" s="38"/>
      <c r="DY62" s="38"/>
      <c r="DZ62" s="38"/>
      <c r="EA62" s="38"/>
      <c r="EB62" s="130"/>
      <c r="EC62" s="38"/>
      <c r="ED62" s="38"/>
      <c r="EE62" s="38"/>
      <c r="EF62" s="31"/>
      <c r="EG62" s="130"/>
      <c r="EH62" s="38"/>
      <c r="EI62" s="38"/>
      <c r="EJ62" s="38"/>
      <c r="EK62" s="31"/>
      <c r="EL62" s="130"/>
      <c r="EM62" s="38"/>
      <c r="EN62" s="38"/>
      <c r="EO62" s="38"/>
      <c r="EP62" s="31"/>
      <c r="EQ62" s="130"/>
      <c r="ER62" s="38"/>
      <c r="ES62" s="38"/>
      <c r="ET62" s="38"/>
      <c r="EU62" s="31"/>
      <c r="EV62" s="130"/>
      <c r="EW62" s="38"/>
      <c r="EX62" s="38"/>
      <c r="EY62" s="38"/>
      <c r="FA62" s="130"/>
      <c r="FB62" s="38"/>
      <c r="FC62" s="38"/>
      <c r="FD62" s="38"/>
      <c r="FF62" s="130"/>
      <c r="FG62" s="38"/>
      <c r="FH62" s="38"/>
      <c r="FI62" s="38"/>
      <c r="FL62" s="130"/>
      <c r="FM62" s="38"/>
      <c r="FN62" s="38"/>
      <c r="FO62" s="38"/>
      <c r="FP62" s="38"/>
      <c r="FQ62" s="796"/>
    </row>
    <row r="63" spans="1:173" ht="15" customHeight="1">
      <c r="A63" s="112"/>
      <c r="B63" s="432"/>
      <c r="C63" s="432"/>
      <c r="D63" s="38"/>
      <c r="E63" s="130"/>
      <c r="F63" s="38"/>
      <c r="G63" s="38"/>
      <c r="H63" s="38"/>
      <c r="I63" s="38"/>
      <c r="J63" s="38"/>
      <c r="K63" s="38"/>
      <c r="L63" s="38"/>
      <c r="M63" s="38"/>
      <c r="N63" s="38"/>
      <c r="O63" s="786"/>
      <c r="P63" s="130"/>
      <c r="Q63" s="38"/>
      <c r="R63" s="38"/>
      <c r="S63" s="38"/>
      <c r="T63" s="38"/>
      <c r="U63" s="38"/>
      <c r="V63" s="38"/>
      <c r="W63" s="38"/>
      <c r="X63" s="38"/>
      <c r="Y63" s="38"/>
      <c r="Z63" s="786"/>
      <c r="AA63" s="130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130"/>
      <c r="AM63" s="38"/>
      <c r="AN63" s="38"/>
      <c r="AO63" s="38"/>
      <c r="AP63" s="38"/>
      <c r="AQ63" s="38"/>
      <c r="AR63" s="38"/>
      <c r="AS63" s="38"/>
      <c r="AT63" s="38"/>
      <c r="AU63" s="38"/>
      <c r="AV63" s="786"/>
      <c r="AW63" s="130"/>
      <c r="AX63" s="130"/>
      <c r="AY63" s="130"/>
      <c r="AZ63" s="130"/>
      <c r="BA63" s="130"/>
      <c r="BB63" s="130"/>
      <c r="BC63" s="38"/>
      <c r="BD63" s="38"/>
      <c r="BE63" s="38"/>
      <c r="BF63" s="38"/>
      <c r="BG63" s="38"/>
      <c r="BH63" s="130"/>
      <c r="BI63" s="38"/>
      <c r="BJ63" s="38"/>
      <c r="BK63" s="38"/>
      <c r="BL63" s="38"/>
      <c r="BM63" s="38"/>
      <c r="BN63" s="38"/>
      <c r="BO63" s="38"/>
      <c r="BP63" s="38"/>
      <c r="BQ63" s="38"/>
      <c r="BR63" s="38"/>
      <c r="BS63" s="130"/>
      <c r="BT63" s="38"/>
      <c r="BU63" s="38"/>
      <c r="BV63" s="38"/>
      <c r="BW63" s="38"/>
      <c r="BX63" s="38"/>
      <c r="BY63" s="38"/>
      <c r="BZ63" s="38"/>
      <c r="CA63" s="38"/>
      <c r="CB63" s="38"/>
      <c r="CC63" s="786"/>
      <c r="CD63" s="130"/>
      <c r="CE63" s="38"/>
      <c r="CF63" s="38"/>
      <c r="CG63" s="38"/>
      <c r="CH63" s="37"/>
      <c r="CI63" s="130"/>
      <c r="CJ63" s="38"/>
      <c r="CK63" s="38"/>
      <c r="CL63" s="38"/>
      <c r="CM63" s="37"/>
      <c r="CN63" s="130"/>
      <c r="CO63" s="38"/>
      <c r="CP63" s="38"/>
      <c r="CQ63" s="38"/>
      <c r="CR63" s="38"/>
      <c r="CS63" s="130"/>
      <c r="CT63" s="38"/>
      <c r="CU63" s="38"/>
      <c r="CV63" s="38"/>
      <c r="CW63" s="37"/>
      <c r="CX63" s="130"/>
      <c r="CY63" s="38"/>
      <c r="CZ63" s="38"/>
      <c r="DA63" s="38"/>
      <c r="DB63" s="38"/>
      <c r="DC63" s="130"/>
      <c r="DD63" s="38"/>
      <c r="DE63" s="38"/>
      <c r="DF63" s="38"/>
      <c r="DG63" s="38"/>
      <c r="DH63" s="130"/>
      <c r="DI63" s="38"/>
      <c r="DJ63" s="38"/>
      <c r="DK63" s="38"/>
      <c r="DL63" s="38"/>
      <c r="DM63" s="130"/>
      <c r="DN63" s="38"/>
      <c r="DO63" s="38"/>
      <c r="DP63" s="38"/>
      <c r="DQ63" s="38"/>
      <c r="DR63" s="130"/>
      <c r="DS63" s="38"/>
      <c r="DT63" s="38"/>
      <c r="DU63" s="38"/>
      <c r="DV63" s="31"/>
      <c r="DW63" s="130"/>
      <c r="DX63" s="38"/>
      <c r="DY63" s="38"/>
      <c r="DZ63" s="38"/>
      <c r="EA63" s="38"/>
      <c r="EB63" s="130"/>
      <c r="EC63" s="38"/>
      <c r="ED63" s="38"/>
      <c r="EE63" s="38"/>
      <c r="EF63" s="31"/>
      <c r="EG63" s="130"/>
      <c r="EH63" s="38"/>
      <c r="EI63" s="38"/>
      <c r="EJ63" s="38"/>
      <c r="EK63" s="31"/>
      <c r="EL63" s="130"/>
      <c r="EM63" s="38"/>
      <c r="EN63" s="38"/>
      <c r="EO63" s="38"/>
      <c r="EP63" s="31"/>
      <c r="EQ63" s="130"/>
      <c r="ER63" s="38"/>
      <c r="ES63" s="38"/>
      <c r="ET63" s="38"/>
      <c r="EU63" s="31"/>
      <c r="EV63" s="130"/>
      <c r="EW63" s="38"/>
      <c r="EX63" s="38"/>
      <c r="EY63" s="38"/>
      <c r="FA63" s="130"/>
      <c r="FB63" s="38"/>
      <c r="FC63" s="38"/>
      <c r="FD63" s="38"/>
      <c r="FF63" s="130"/>
      <c r="FG63" s="38"/>
      <c r="FH63" s="38"/>
      <c r="FI63" s="38"/>
      <c r="FL63" s="130"/>
      <c r="FM63" s="38"/>
      <c r="FN63" s="38"/>
      <c r="FO63" s="38"/>
      <c r="FP63" s="38"/>
      <c r="FQ63" s="796"/>
    </row>
    <row r="64" spans="1:173" ht="15" customHeight="1">
      <c r="A64" s="112"/>
      <c r="B64" s="432"/>
      <c r="C64" s="432"/>
      <c r="D64" s="38"/>
      <c r="E64" s="130"/>
      <c r="F64" s="38"/>
      <c r="G64" s="38"/>
      <c r="H64" s="38"/>
      <c r="I64" s="38"/>
      <c r="J64" s="38"/>
      <c r="K64" s="38"/>
      <c r="L64" s="38"/>
      <c r="M64" s="38"/>
      <c r="N64" s="38"/>
      <c r="O64" s="786"/>
      <c r="P64" s="130"/>
      <c r="Q64" s="38"/>
      <c r="R64" s="38"/>
      <c r="S64" s="38"/>
      <c r="T64" s="38"/>
      <c r="U64" s="38"/>
      <c r="V64" s="38"/>
      <c r="W64" s="38"/>
      <c r="X64" s="38"/>
      <c r="Y64" s="38"/>
      <c r="Z64" s="786"/>
      <c r="AA64" s="130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130"/>
      <c r="AM64" s="38"/>
      <c r="AN64" s="38"/>
      <c r="AO64" s="38"/>
      <c r="AP64" s="38"/>
      <c r="AQ64" s="38"/>
      <c r="AR64" s="38"/>
      <c r="AS64" s="38"/>
      <c r="AT64" s="38"/>
      <c r="AU64" s="38"/>
      <c r="AV64" s="786"/>
      <c r="AW64" s="130"/>
      <c r="AX64" s="130"/>
      <c r="AY64" s="130"/>
      <c r="AZ64" s="130"/>
      <c r="BA64" s="130"/>
      <c r="BB64" s="130"/>
      <c r="BC64" s="38"/>
      <c r="BD64" s="38"/>
      <c r="BE64" s="38"/>
      <c r="BF64" s="38"/>
      <c r="BG64" s="38"/>
      <c r="BH64" s="130"/>
      <c r="BI64" s="38"/>
      <c r="BJ64" s="38"/>
      <c r="BK64" s="38"/>
      <c r="BL64" s="38"/>
      <c r="BM64" s="38"/>
      <c r="BN64" s="38"/>
      <c r="BO64" s="38"/>
      <c r="BP64" s="38"/>
      <c r="BQ64" s="38"/>
      <c r="BR64" s="38"/>
      <c r="BS64" s="130"/>
      <c r="BT64" s="38"/>
      <c r="BU64" s="38"/>
      <c r="BV64" s="38"/>
      <c r="BW64" s="38"/>
      <c r="BX64" s="38"/>
      <c r="BY64" s="38"/>
      <c r="BZ64" s="38"/>
      <c r="CA64" s="38"/>
      <c r="CB64" s="38"/>
      <c r="CC64" s="786"/>
      <c r="CD64" s="130"/>
      <c r="CE64" s="38"/>
      <c r="CF64" s="38"/>
      <c r="CG64" s="38"/>
      <c r="CH64" s="37"/>
      <c r="CI64" s="130"/>
      <c r="CJ64" s="38"/>
      <c r="CK64" s="38"/>
      <c r="CL64" s="38"/>
      <c r="CM64" s="37"/>
      <c r="CN64" s="130"/>
      <c r="CO64" s="38"/>
      <c r="CP64" s="38"/>
      <c r="CQ64" s="38"/>
      <c r="CR64" s="38"/>
      <c r="CS64" s="130"/>
      <c r="CT64" s="38"/>
      <c r="CU64" s="38"/>
      <c r="CV64" s="38"/>
      <c r="CW64" s="37"/>
      <c r="CX64" s="130"/>
      <c r="CY64" s="38"/>
      <c r="CZ64" s="38"/>
      <c r="DA64" s="38"/>
      <c r="DB64" s="38"/>
      <c r="DC64" s="130"/>
      <c r="DD64" s="38"/>
      <c r="DE64" s="38"/>
      <c r="DF64" s="38"/>
      <c r="DG64" s="38"/>
      <c r="DH64" s="130"/>
      <c r="DI64" s="38"/>
      <c r="DJ64" s="38"/>
      <c r="DK64" s="38"/>
      <c r="DL64" s="38"/>
      <c r="DM64" s="130"/>
      <c r="DN64" s="38"/>
      <c r="DO64" s="38"/>
      <c r="DP64" s="38"/>
      <c r="DQ64" s="38"/>
      <c r="DR64" s="130"/>
      <c r="DS64" s="38"/>
      <c r="DT64" s="38"/>
      <c r="DU64" s="38"/>
      <c r="DV64" s="31"/>
      <c r="DW64" s="130"/>
      <c r="DX64" s="38"/>
      <c r="DY64" s="38"/>
      <c r="DZ64" s="38"/>
      <c r="EA64" s="38"/>
      <c r="EB64" s="130"/>
      <c r="EC64" s="38"/>
      <c r="ED64" s="38"/>
      <c r="EE64" s="38"/>
      <c r="EF64" s="31"/>
      <c r="EG64" s="130"/>
      <c r="EH64" s="38"/>
      <c r="EI64" s="38"/>
      <c r="EJ64" s="38"/>
      <c r="EK64" s="31"/>
      <c r="EL64" s="130"/>
      <c r="EM64" s="38"/>
      <c r="EN64" s="38"/>
      <c r="EO64" s="38"/>
      <c r="EP64" s="31"/>
      <c r="EQ64" s="130"/>
      <c r="ER64" s="38"/>
      <c r="ES64" s="38"/>
      <c r="ET64" s="38"/>
      <c r="EU64" s="31"/>
      <c r="EV64" s="130"/>
      <c r="EW64" s="38"/>
      <c r="EX64" s="38"/>
      <c r="EY64" s="38"/>
      <c r="FA64" s="130"/>
      <c r="FB64" s="38"/>
      <c r="FC64" s="38"/>
      <c r="FD64" s="38"/>
      <c r="FF64" s="130"/>
      <c r="FG64" s="38"/>
      <c r="FH64" s="38"/>
      <c r="FI64" s="38"/>
      <c r="FL64" s="130"/>
      <c r="FM64" s="38"/>
      <c r="FN64" s="38"/>
      <c r="FO64" s="38"/>
      <c r="FP64" s="38"/>
      <c r="FQ64" s="796"/>
    </row>
    <row r="65" spans="1:177" ht="15" customHeight="1">
      <c r="A65" s="112"/>
      <c r="B65" s="432"/>
      <c r="C65" s="432"/>
      <c r="D65" s="38"/>
      <c r="E65" s="130"/>
      <c r="F65" s="38"/>
      <c r="G65" s="38"/>
      <c r="H65" s="38"/>
      <c r="I65" s="38"/>
      <c r="J65" s="38"/>
      <c r="K65" s="38"/>
      <c r="L65" s="38"/>
      <c r="M65" s="38"/>
      <c r="N65" s="38"/>
      <c r="O65" s="786"/>
      <c r="P65" s="130"/>
      <c r="Q65" s="38"/>
      <c r="R65" s="38"/>
      <c r="S65" s="38"/>
      <c r="T65" s="38"/>
      <c r="U65" s="38"/>
      <c r="V65" s="38"/>
      <c r="W65" s="38"/>
      <c r="X65" s="38"/>
      <c r="Y65" s="38"/>
      <c r="Z65" s="786"/>
      <c r="AA65" s="130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130"/>
      <c r="AM65" s="38"/>
      <c r="AN65" s="38"/>
      <c r="AO65" s="38"/>
      <c r="AP65" s="38"/>
      <c r="AQ65" s="38"/>
      <c r="AR65" s="38"/>
      <c r="AS65" s="38"/>
      <c r="AT65" s="38"/>
      <c r="AU65" s="38"/>
      <c r="AV65" s="786"/>
      <c r="AW65" s="130"/>
      <c r="AX65" s="130"/>
      <c r="AY65" s="130"/>
      <c r="AZ65" s="130"/>
      <c r="BA65" s="130"/>
      <c r="BB65" s="130"/>
      <c r="BC65" s="38"/>
      <c r="BD65" s="38"/>
      <c r="BE65" s="38"/>
      <c r="BF65" s="38"/>
      <c r="BG65" s="38"/>
      <c r="BH65" s="130"/>
      <c r="BI65" s="38"/>
      <c r="BJ65" s="38"/>
      <c r="BK65" s="38"/>
      <c r="BL65" s="38"/>
      <c r="BM65" s="38"/>
      <c r="BN65" s="38"/>
      <c r="BO65" s="38"/>
      <c r="BP65" s="38"/>
      <c r="BQ65" s="38"/>
      <c r="BR65" s="38"/>
      <c r="BS65" s="130"/>
      <c r="BT65" s="38"/>
      <c r="BU65" s="38"/>
      <c r="BV65" s="38"/>
      <c r="BW65" s="38"/>
      <c r="BX65" s="38"/>
      <c r="BY65" s="38"/>
      <c r="BZ65" s="38"/>
      <c r="CA65" s="38"/>
      <c r="CB65" s="38"/>
      <c r="CC65" s="786"/>
      <c r="CD65" s="130"/>
      <c r="CE65" s="38"/>
      <c r="CF65" s="38"/>
      <c r="CG65" s="38"/>
      <c r="CH65" s="37"/>
      <c r="CI65" s="130"/>
      <c r="CJ65" s="38"/>
      <c r="CK65" s="38"/>
      <c r="CL65" s="38"/>
      <c r="CM65" s="37"/>
      <c r="CN65" s="130"/>
      <c r="CO65" s="38"/>
      <c r="CP65" s="38"/>
      <c r="CQ65" s="38"/>
      <c r="CR65" s="38"/>
      <c r="CS65" s="130"/>
      <c r="CT65" s="38"/>
      <c r="CU65" s="38"/>
      <c r="CV65" s="38"/>
      <c r="CW65" s="37"/>
      <c r="CX65" s="130"/>
      <c r="CY65" s="38"/>
      <c r="CZ65" s="38"/>
      <c r="DA65" s="38"/>
      <c r="DB65" s="38"/>
      <c r="DC65" s="130"/>
      <c r="DD65" s="38"/>
      <c r="DE65" s="38"/>
      <c r="DF65" s="38"/>
      <c r="DG65" s="38"/>
      <c r="DH65" s="130"/>
      <c r="DI65" s="38"/>
      <c r="DJ65" s="38"/>
      <c r="DK65" s="38"/>
      <c r="DL65" s="38"/>
      <c r="DM65" s="130"/>
      <c r="DN65" s="38"/>
      <c r="DO65" s="38"/>
      <c r="DP65" s="38"/>
      <c r="DQ65" s="38"/>
      <c r="DR65" s="130"/>
      <c r="DS65" s="38"/>
      <c r="DT65" s="38"/>
      <c r="DU65" s="38"/>
      <c r="DV65" s="31"/>
      <c r="DW65" s="130"/>
      <c r="DX65" s="38"/>
      <c r="DY65" s="38"/>
      <c r="DZ65" s="38"/>
      <c r="EA65" s="38"/>
      <c r="EB65" s="130"/>
      <c r="EC65" s="38"/>
      <c r="ED65" s="38"/>
      <c r="EE65" s="38"/>
      <c r="EF65" s="31"/>
      <c r="EG65" s="130"/>
      <c r="EH65" s="38"/>
      <c r="EI65" s="38"/>
      <c r="EJ65" s="38"/>
      <c r="EK65" s="31"/>
      <c r="EL65" s="130"/>
      <c r="EM65" s="38"/>
      <c r="EN65" s="38"/>
      <c r="EO65" s="38"/>
      <c r="EP65" s="31"/>
      <c r="EQ65" s="130"/>
      <c r="ER65" s="38"/>
      <c r="ES65" s="38"/>
      <c r="ET65" s="38"/>
      <c r="EU65" s="31"/>
      <c r="EV65" s="130"/>
      <c r="EW65" s="38"/>
      <c r="EX65" s="38"/>
      <c r="EY65" s="38"/>
      <c r="FA65" s="130"/>
      <c r="FB65" s="38"/>
      <c r="FC65" s="38"/>
      <c r="FD65" s="38"/>
      <c r="FF65" s="130"/>
      <c r="FG65" s="38"/>
      <c r="FH65" s="38"/>
      <c r="FI65" s="38"/>
      <c r="FL65" s="130"/>
      <c r="FM65" s="38"/>
      <c r="FN65" s="38"/>
      <c r="FO65" s="38"/>
      <c r="FP65" s="38"/>
      <c r="FQ65" s="796"/>
    </row>
    <row r="66" spans="1:177" ht="15" customHeight="1">
      <c r="A66" s="112"/>
      <c r="B66" s="432"/>
      <c r="C66" s="432"/>
      <c r="D66" s="38"/>
      <c r="E66" s="130"/>
      <c r="F66" s="38"/>
      <c r="G66" s="38"/>
      <c r="H66" s="38"/>
      <c r="I66" s="38"/>
      <c r="J66" s="38"/>
      <c r="K66" s="38"/>
      <c r="L66" s="38"/>
      <c r="M66" s="38"/>
      <c r="N66" s="38"/>
      <c r="O66" s="786"/>
      <c r="P66" s="130"/>
      <c r="Q66" s="38"/>
      <c r="R66" s="38"/>
      <c r="S66" s="38"/>
      <c r="T66" s="38"/>
      <c r="U66" s="38"/>
      <c r="V66" s="38"/>
      <c r="W66" s="38"/>
      <c r="X66" s="38"/>
      <c r="Y66" s="38"/>
      <c r="Z66" s="786"/>
      <c r="AA66" s="130"/>
      <c r="AB66" s="38"/>
      <c r="AC66" s="38"/>
      <c r="AD66" s="38"/>
      <c r="AE66" s="38"/>
      <c r="AF66" s="38"/>
      <c r="AG66" s="38"/>
      <c r="AH66" s="38"/>
      <c r="AI66" s="38"/>
      <c r="AJ66" s="38"/>
      <c r="AK66" s="38"/>
      <c r="AL66" s="130"/>
      <c r="AM66" s="38"/>
      <c r="AN66" s="38"/>
      <c r="AO66" s="38"/>
      <c r="AP66" s="38"/>
      <c r="AQ66" s="38"/>
      <c r="AR66" s="38"/>
      <c r="AS66" s="38"/>
      <c r="AT66" s="38"/>
      <c r="AU66" s="38"/>
      <c r="AV66" s="786"/>
      <c r="AW66" s="130"/>
      <c r="AX66" s="130"/>
      <c r="AY66" s="130"/>
      <c r="AZ66" s="130"/>
      <c r="BA66" s="130"/>
      <c r="BB66" s="130"/>
      <c r="BC66" s="38"/>
      <c r="BD66" s="38"/>
      <c r="BE66" s="38"/>
      <c r="BF66" s="38"/>
      <c r="BG66" s="38"/>
      <c r="BH66" s="130"/>
      <c r="BI66" s="38"/>
      <c r="BJ66" s="38"/>
      <c r="BK66" s="38"/>
      <c r="BL66" s="38"/>
      <c r="BM66" s="38"/>
      <c r="BN66" s="38"/>
      <c r="BO66" s="38"/>
      <c r="BP66" s="38"/>
      <c r="BQ66" s="38"/>
      <c r="BR66" s="38"/>
      <c r="BS66" s="130"/>
      <c r="BT66" s="38"/>
      <c r="BU66" s="38"/>
      <c r="BV66" s="38"/>
      <c r="BW66" s="38"/>
      <c r="BX66" s="38"/>
      <c r="BY66" s="38"/>
      <c r="BZ66" s="38"/>
      <c r="CA66" s="38"/>
      <c r="CB66" s="38"/>
      <c r="CC66" s="786"/>
      <c r="CD66" s="130"/>
      <c r="CE66" s="38"/>
      <c r="CF66" s="38"/>
      <c r="CG66" s="38"/>
      <c r="CH66" s="37"/>
      <c r="CI66" s="130"/>
      <c r="CJ66" s="38"/>
      <c r="CK66" s="38"/>
      <c r="CL66" s="38"/>
      <c r="CM66" s="37"/>
      <c r="CN66" s="130"/>
      <c r="CO66" s="38"/>
      <c r="CP66" s="38"/>
      <c r="CQ66" s="38"/>
      <c r="CR66" s="38"/>
      <c r="CS66" s="130"/>
      <c r="CT66" s="38"/>
      <c r="CU66" s="38"/>
      <c r="CV66" s="38"/>
      <c r="CW66" s="37"/>
      <c r="CX66" s="130"/>
      <c r="CY66" s="38"/>
      <c r="CZ66" s="38"/>
      <c r="DA66" s="38"/>
      <c r="DB66" s="38"/>
      <c r="DC66" s="130"/>
      <c r="DD66" s="38"/>
      <c r="DE66" s="38"/>
      <c r="DF66" s="38"/>
      <c r="DG66" s="38"/>
      <c r="DH66" s="130"/>
      <c r="DI66" s="38"/>
      <c r="DJ66" s="38"/>
      <c r="DK66" s="38"/>
      <c r="DL66" s="38"/>
      <c r="DM66" s="130"/>
      <c r="DN66" s="38"/>
      <c r="DO66" s="38"/>
      <c r="DP66" s="38"/>
      <c r="DQ66" s="38"/>
      <c r="DR66" s="130"/>
      <c r="DS66" s="38"/>
      <c r="DT66" s="38"/>
      <c r="DU66" s="38"/>
      <c r="DV66" s="31"/>
      <c r="DW66" s="130"/>
      <c r="DX66" s="38"/>
      <c r="DY66" s="38"/>
      <c r="DZ66" s="38"/>
      <c r="EA66" s="38"/>
      <c r="EB66" s="130"/>
      <c r="EC66" s="38"/>
      <c r="ED66" s="38"/>
      <c r="EE66" s="38"/>
      <c r="EF66" s="31"/>
      <c r="EG66" s="130"/>
      <c r="EH66" s="38"/>
      <c r="EI66" s="38"/>
      <c r="EJ66" s="38"/>
      <c r="EK66" s="31"/>
      <c r="EL66" s="130"/>
      <c r="EM66" s="38"/>
      <c r="EN66" s="38"/>
      <c r="EO66" s="38"/>
      <c r="EP66" s="31"/>
      <c r="EQ66" s="130"/>
      <c r="ER66" s="38"/>
      <c r="ES66" s="38"/>
      <c r="ET66" s="38"/>
      <c r="EU66" s="31"/>
      <c r="EV66" s="130"/>
      <c r="EW66" s="38"/>
      <c r="EX66" s="38"/>
      <c r="EY66" s="38"/>
      <c r="FA66" s="130"/>
      <c r="FB66" s="38"/>
      <c r="FC66" s="38"/>
      <c r="FD66" s="38"/>
      <c r="FF66" s="130"/>
      <c r="FG66" s="38"/>
      <c r="FH66" s="38"/>
      <c r="FI66" s="38"/>
      <c r="FL66" s="130"/>
      <c r="FM66" s="38"/>
      <c r="FN66" s="38"/>
      <c r="FO66" s="38"/>
      <c r="FP66" s="38"/>
      <c r="FQ66" s="796"/>
    </row>
    <row r="67" spans="1:177" ht="15" customHeight="1">
      <c r="A67" s="112"/>
      <c r="B67" s="432"/>
      <c r="C67" s="432"/>
      <c r="D67" s="38"/>
      <c r="E67" s="130"/>
      <c r="F67" s="38"/>
      <c r="G67" s="38"/>
      <c r="H67" s="38"/>
      <c r="I67" s="38"/>
      <c r="J67" s="38"/>
      <c r="K67" s="38"/>
      <c r="L67" s="38"/>
      <c r="M67" s="38"/>
      <c r="N67" s="38"/>
      <c r="O67" s="786"/>
      <c r="P67" s="130"/>
      <c r="Q67" s="38"/>
      <c r="R67" s="38"/>
      <c r="S67" s="38"/>
      <c r="T67" s="38"/>
      <c r="U67" s="38"/>
      <c r="V67" s="38"/>
      <c r="W67" s="38"/>
      <c r="X67" s="38"/>
      <c r="Y67" s="38"/>
      <c r="Z67" s="786"/>
      <c r="AA67" s="130"/>
      <c r="AB67" s="38"/>
      <c r="AC67" s="38"/>
      <c r="AD67" s="38"/>
      <c r="AE67" s="38"/>
      <c r="AF67" s="38"/>
      <c r="AG67" s="38"/>
      <c r="AH67" s="38"/>
      <c r="AI67" s="38"/>
      <c r="AJ67" s="38"/>
      <c r="AK67" s="38"/>
      <c r="AL67" s="130"/>
      <c r="AM67" s="38"/>
      <c r="AN67" s="38"/>
      <c r="AO67" s="38"/>
      <c r="AP67" s="38"/>
      <c r="AQ67" s="38"/>
      <c r="AR67" s="38"/>
      <c r="AS67" s="38"/>
      <c r="AT67" s="38"/>
      <c r="AU67" s="38"/>
      <c r="AV67" s="786"/>
      <c r="AW67" s="130"/>
      <c r="AX67" s="130"/>
      <c r="AY67" s="130"/>
      <c r="AZ67" s="130"/>
      <c r="BA67" s="130"/>
      <c r="BB67" s="130"/>
      <c r="BC67" s="38"/>
      <c r="BD67" s="38"/>
      <c r="BE67" s="38"/>
      <c r="BF67" s="38"/>
      <c r="BG67" s="38"/>
      <c r="BH67" s="130"/>
      <c r="BI67" s="38"/>
      <c r="BJ67" s="38"/>
      <c r="BK67" s="38"/>
      <c r="BL67" s="38"/>
      <c r="BM67" s="38"/>
      <c r="BN67" s="38"/>
      <c r="BO67" s="38"/>
      <c r="BP67" s="38"/>
      <c r="BQ67" s="38"/>
      <c r="BR67" s="38"/>
      <c r="BS67" s="130"/>
      <c r="BT67" s="38"/>
      <c r="BU67" s="38"/>
      <c r="BV67" s="38"/>
      <c r="BW67" s="38"/>
      <c r="BX67" s="38"/>
      <c r="BY67" s="38"/>
      <c r="BZ67" s="38"/>
      <c r="CA67" s="38"/>
      <c r="CB67" s="38"/>
      <c r="CC67" s="786"/>
      <c r="CD67" s="130"/>
      <c r="CE67" s="38"/>
      <c r="CF67" s="38"/>
      <c r="CG67" s="38"/>
      <c r="CH67" s="37"/>
      <c r="CI67" s="130"/>
      <c r="CJ67" s="38"/>
      <c r="CK67" s="38"/>
      <c r="CL67" s="38"/>
      <c r="CM67" s="37"/>
      <c r="CN67" s="130"/>
      <c r="CO67" s="38"/>
      <c r="CP67" s="38"/>
      <c r="CQ67" s="38"/>
      <c r="CR67" s="38"/>
      <c r="CS67" s="130"/>
      <c r="CT67" s="38"/>
      <c r="CU67" s="38"/>
      <c r="CV67" s="38"/>
      <c r="CW67" s="37"/>
      <c r="CX67" s="130"/>
      <c r="CY67" s="38"/>
      <c r="CZ67" s="38"/>
      <c r="DA67" s="38"/>
      <c r="DB67" s="38"/>
      <c r="DC67" s="130"/>
      <c r="DD67" s="38"/>
      <c r="DE67" s="38"/>
      <c r="DF67" s="38"/>
      <c r="DG67" s="38"/>
      <c r="DH67" s="130"/>
      <c r="DI67" s="38"/>
      <c r="DJ67" s="38"/>
      <c r="DK67" s="38"/>
      <c r="DL67" s="38"/>
      <c r="DM67" s="130"/>
      <c r="DN67" s="38"/>
      <c r="DO67" s="38"/>
      <c r="DP67" s="38"/>
      <c r="DQ67" s="38"/>
      <c r="DR67" s="130"/>
      <c r="DS67" s="38"/>
      <c r="DT67" s="38"/>
      <c r="DU67" s="38"/>
      <c r="DV67" s="31"/>
      <c r="DW67" s="130"/>
      <c r="DX67" s="38"/>
      <c r="DY67" s="38"/>
      <c r="DZ67" s="38"/>
      <c r="EA67" s="38"/>
      <c r="EB67" s="130"/>
      <c r="EC67" s="38"/>
      <c r="ED67" s="38"/>
      <c r="EE67" s="38"/>
      <c r="EF67" s="31"/>
      <c r="EG67" s="130"/>
      <c r="EH67" s="38"/>
      <c r="EI67" s="38"/>
      <c r="EJ67" s="38"/>
      <c r="EK67" s="31"/>
      <c r="EL67" s="130"/>
      <c r="EM67" s="38"/>
      <c r="EN67" s="38"/>
      <c r="EO67" s="38"/>
      <c r="EP67" s="31"/>
      <c r="EQ67" s="130"/>
      <c r="ER67" s="38"/>
      <c r="ES67" s="38"/>
      <c r="ET67" s="38"/>
      <c r="EU67" s="31"/>
      <c r="EV67" s="130"/>
      <c r="EW67" s="38"/>
      <c r="EX67" s="38"/>
      <c r="EY67" s="38"/>
      <c r="FA67" s="130"/>
      <c r="FB67" s="38"/>
      <c r="FC67" s="38"/>
      <c r="FD67" s="38"/>
      <c r="FF67" s="130"/>
      <c r="FG67" s="38"/>
      <c r="FH67" s="38"/>
      <c r="FI67" s="38"/>
      <c r="FL67" s="130"/>
      <c r="FM67" s="38"/>
      <c r="FN67" s="38"/>
      <c r="FO67" s="38"/>
      <c r="FP67" s="38"/>
      <c r="FQ67" s="796"/>
    </row>
    <row r="68" spans="1:177" ht="15" customHeight="1">
      <c r="A68" s="112"/>
      <c r="B68" s="432"/>
      <c r="C68" s="432"/>
      <c r="D68" s="38"/>
      <c r="E68" s="130"/>
      <c r="F68" s="38"/>
      <c r="G68" s="38"/>
      <c r="H68" s="38"/>
      <c r="I68" s="38"/>
      <c r="J68" s="38"/>
      <c r="K68" s="38"/>
      <c r="L68" s="38"/>
      <c r="M68" s="38"/>
      <c r="N68" s="38"/>
      <c r="O68" s="786"/>
      <c r="P68" s="130"/>
      <c r="Q68" s="38"/>
      <c r="R68" s="38"/>
      <c r="S68" s="38"/>
      <c r="T68" s="38"/>
      <c r="U68" s="38"/>
      <c r="V68" s="38"/>
      <c r="W68" s="38"/>
      <c r="X68" s="38"/>
      <c r="Y68" s="38"/>
      <c r="Z68" s="786"/>
      <c r="AA68" s="130"/>
      <c r="AB68" s="38"/>
      <c r="AC68" s="38"/>
      <c r="AD68" s="38"/>
      <c r="AE68" s="38"/>
      <c r="AF68" s="38"/>
      <c r="AG68" s="38"/>
      <c r="AH68" s="38"/>
      <c r="AI68" s="38"/>
      <c r="AJ68" s="38"/>
      <c r="AK68" s="38"/>
      <c r="AL68" s="130"/>
      <c r="AM68" s="38"/>
      <c r="AN68" s="38"/>
      <c r="AO68" s="38"/>
      <c r="AP68" s="38"/>
      <c r="AQ68" s="38"/>
      <c r="AR68" s="38"/>
      <c r="AS68" s="38"/>
      <c r="AT68" s="38"/>
      <c r="AU68" s="38"/>
      <c r="AV68" s="786"/>
      <c r="AW68" s="130"/>
      <c r="AX68" s="130"/>
      <c r="AY68" s="130"/>
      <c r="AZ68" s="130"/>
      <c r="BA68" s="130"/>
      <c r="BB68" s="130"/>
      <c r="BC68" s="38"/>
      <c r="BD68" s="38"/>
      <c r="BE68" s="38"/>
      <c r="BF68" s="38"/>
      <c r="BG68" s="38"/>
      <c r="BH68" s="130"/>
      <c r="BI68" s="38"/>
      <c r="BJ68" s="38"/>
      <c r="BK68" s="38"/>
      <c r="BL68" s="38"/>
      <c r="BM68" s="38"/>
      <c r="BN68" s="38"/>
      <c r="BO68" s="38"/>
      <c r="BP68" s="38"/>
      <c r="BQ68" s="38"/>
      <c r="BR68" s="38"/>
      <c r="BS68" s="130"/>
      <c r="BT68" s="38"/>
      <c r="BU68" s="38"/>
      <c r="BV68" s="38"/>
      <c r="BW68" s="38"/>
      <c r="BX68" s="38"/>
      <c r="BY68" s="38"/>
      <c r="BZ68" s="38"/>
      <c r="CA68" s="38"/>
      <c r="CB68" s="38"/>
      <c r="CC68" s="786"/>
      <c r="CD68" s="130"/>
      <c r="CE68" s="38"/>
      <c r="CF68" s="38"/>
      <c r="CG68" s="38"/>
      <c r="CH68" s="37"/>
      <c r="CI68" s="130"/>
      <c r="CJ68" s="38"/>
      <c r="CK68" s="38"/>
      <c r="CL68" s="38"/>
      <c r="CM68" s="37"/>
      <c r="CN68" s="130"/>
      <c r="CO68" s="38"/>
      <c r="CP68" s="38"/>
      <c r="CQ68" s="38"/>
      <c r="CR68" s="38"/>
      <c r="CS68" s="130"/>
      <c r="CT68" s="38"/>
      <c r="CU68" s="38"/>
      <c r="CV68" s="38"/>
      <c r="CW68" s="37"/>
      <c r="CX68" s="130"/>
      <c r="CY68" s="38"/>
      <c r="CZ68" s="38"/>
      <c r="DA68" s="38"/>
      <c r="DB68" s="38"/>
      <c r="DC68" s="130"/>
      <c r="DD68" s="38"/>
      <c r="DE68" s="38"/>
      <c r="DF68" s="38"/>
      <c r="DG68" s="38"/>
      <c r="DH68" s="130"/>
      <c r="DI68" s="38"/>
      <c r="DJ68" s="38"/>
      <c r="DK68" s="38"/>
      <c r="DL68" s="38"/>
      <c r="DM68" s="130"/>
      <c r="DN68" s="38"/>
      <c r="DO68" s="38"/>
      <c r="DP68" s="38"/>
      <c r="DQ68" s="38"/>
      <c r="DR68" s="130"/>
      <c r="DS68" s="38"/>
      <c r="DT68" s="38"/>
      <c r="DU68" s="38"/>
      <c r="DV68" s="31"/>
      <c r="DW68" s="130"/>
      <c r="DX68" s="38"/>
      <c r="DY68" s="38"/>
      <c r="DZ68" s="38"/>
      <c r="EA68" s="38"/>
      <c r="EB68" s="130"/>
      <c r="EC68" s="38"/>
      <c r="ED68" s="38"/>
      <c r="EE68" s="38"/>
      <c r="EF68" s="31"/>
      <c r="EG68" s="130"/>
      <c r="EH68" s="38"/>
      <c r="EI68" s="38"/>
      <c r="EJ68" s="38"/>
      <c r="EK68" s="31"/>
      <c r="EL68" s="130"/>
      <c r="EM68" s="38"/>
      <c r="EN68" s="38"/>
      <c r="EO68" s="38"/>
      <c r="EP68" s="31"/>
      <c r="EQ68" s="130"/>
      <c r="ER68" s="38"/>
      <c r="ES68" s="38"/>
      <c r="ET68" s="38"/>
      <c r="EU68" s="31"/>
      <c r="EV68" s="130"/>
      <c r="EW68" s="38"/>
      <c r="EX68" s="38"/>
      <c r="EY68" s="38"/>
      <c r="FA68" s="130"/>
      <c r="FB68" s="38"/>
      <c r="FC68" s="38"/>
      <c r="FD68" s="38"/>
      <c r="FF68" s="130"/>
      <c r="FG68" s="38"/>
      <c r="FH68" s="38"/>
      <c r="FI68" s="38"/>
      <c r="FL68" s="130"/>
      <c r="FM68" s="38"/>
      <c r="FN68" s="38"/>
      <c r="FO68" s="38"/>
      <c r="FP68" s="38"/>
      <c r="FQ68" s="796"/>
    </row>
    <row r="69" spans="1:177" ht="15" customHeight="1">
      <c r="A69" s="112"/>
      <c r="B69" s="432"/>
      <c r="C69" s="432"/>
      <c r="D69" s="38"/>
      <c r="E69" s="130"/>
      <c r="F69" s="38"/>
      <c r="G69" s="38"/>
      <c r="H69" s="38"/>
      <c r="I69" s="38"/>
      <c r="J69" s="38"/>
      <c r="K69" s="38"/>
      <c r="L69" s="38"/>
      <c r="M69" s="38"/>
      <c r="N69" s="38"/>
      <c r="O69" s="786"/>
      <c r="P69" s="130"/>
      <c r="Q69" s="38"/>
      <c r="R69" s="38"/>
      <c r="S69" s="38"/>
      <c r="T69" s="38"/>
      <c r="U69" s="38"/>
      <c r="V69" s="38"/>
      <c r="W69" s="38"/>
      <c r="X69" s="38"/>
      <c r="Y69" s="38"/>
      <c r="Z69" s="786"/>
      <c r="AA69" s="130"/>
      <c r="AB69" s="38"/>
      <c r="AC69" s="38"/>
      <c r="AD69" s="38"/>
      <c r="AE69" s="38"/>
      <c r="AF69" s="38"/>
      <c r="AG69" s="38"/>
      <c r="AH69" s="38"/>
      <c r="AI69" s="38"/>
      <c r="AJ69" s="38"/>
      <c r="AK69" s="38"/>
      <c r="AL69" s="130"/>
      <c r="AM69" s="38"/>
      <c r="AN69" s="38"/>
      <c r="AO69" s="38"/>
      <c r="AP69" s="38"/>
      <c r="AQ69" s="38"/>
      <c r="AR69" s="38"/>
      <c r="AS69" s="38"/>
      <c r="AT69" s="38"/>
      <c r="AU69" s="38"/>
      <c r="AV69" s="786"/>
      <c r="AW69" s="130"/>
      <c r="AX69" s="130"/>
      <c r="AY69" s="130"/>
      <c r="AZ69" s="130"/>
      <c r="BA69" s="130"/>
      <c r="BB69" s="130"/>
      <c r="BC69" s="38"/>
      <c r="BD69" s="38"/>
      <c r="BE69" s="38"/>
      <c r="BF69" s="38"/>
      <c r="BG69" s="38"/>
      <c r="BH69" s="130"/>
      <c r="BI69" s="38"/>
      <c r="BJ69" s="38"/>
      <c r="BK69" s="38"/>
      <c r="BL69" s="38"/>
      <c r="BM69" s="38"/>
      <c r="BN69" s="38"/>
      <c r="BO69" s="38"/>
      <c r="BP69" s="38"/>
      <c r="BQ69" s="38"/>
      <c r="BR69" s="38"/>
      <c r="BS69" s="130"/>
      <c r="BT69" s="38"/>
      <c r="BU69" s="38"/>
      <c r="BV69" s="38"/>
      <c r="BW69" s="38"/>
      <c r="BX69" s="38"/>
      <c r="BY69" s="38"/>
      <c r="BZ69" s="38"/>
      <c r="CA69" s="38"/>
      <c r="CB69" s="38"/>
      <c r="CC69" s="786"/>
      <c r="CD69" s="130"/>
      <c r="CE69" s="38"/>
      <c r="CF69" s="38"/>
      <c r="CG69" s="38"/>
      <c r="CH69" s="37"/>
      <c r="CI69" s="130"/>
      <c r="CJ69" s="38"/>
      <c r="CK69" s="38"/>
      <c r="CL69" s="38"/>
      <c r="CM69" s="37"/>
      <c r="CN69" s="130"/>
      <c r="CO69" s="38"/>
      <c r="CP69" s="38"/>
      <c r="CQ69" s="38"/>
      <c r="CR69" s="38"/>
      <c r="CS69" s="130"/>
      <c r="CT69" s="38"/>
      <c r="CU69" s="38"/>
      <c r="CV69" s="38"/>
      <c r="CW69" s="37"/>
      <c r="CX69" s="130"/>
      <c r="CY69" s="38"/>
      <c r="CZ69" s="38"/>
      <c r="DA69" s="38"/>
      <c r="DB69" s="38"/>
      <c r="DC69" s="130"/>
      <c r="DD69" s="38"/>
      <c r="DE69" s="38"/>
      <c r="DF69" s="38"/>
      <c r="DG69" s="38"/>
      <c r="DH69" s="130"/>
      <c r="DI69" s="38"/>
      <c r="DJ69" s="38"/>
      <c r="DK69" s="38"/>
      <c r="DL69" s="38"/>
      <c r="DM69" s="130"/>
      <c r="DN69" s="38"/>
      <c r="DO69" s="38"/>
      <c r="DP69" s="38"/>
      <c r="DQ69" s="38"/>
      <c r="DR69" s="130"/>
      <c r="DS69" s="38"/>
      <c r="DT69" s="38"/>
      <c r="DU69" s="38"/>
      <c r="DV69" s="31"/>
      <c r="DW69" s="130"/>
      <c r="DX69" s="38"/>
      <c r="DY69" s="38"/>
      <c r="DZ69" s="38"/>
      <c r="EA69" s="38"/>
      <c r="EB69" s="130"/>
      <c r="EC69" s="38"/>
      <c r="ED69" s="38"/>
      <c r="EE69" s="38"/>
      <c r="EF69" s="31"/>
      <c r="EG69" s="130"/>
      <c r="EH69" s="38"/>
      <c r="EI69" s="38"/>
      <c r="EJ69" s="38"/>
      <c r="EK69" s="31"/>
      <c r="EL69" s="130"/>
      <c r="EM69" s="38"/>
      <c r="EN69" s="38"/>
      <c r="EO69" s="38"/>
      <c r="EP69" s="31"/>
      <c r="EQ69" s="130"/>
      <c r="ER69" s="38"/>
      <c r="ES69" s="38"/>
      <c r="ET69" s="38"/>
      <c r="EU69" s="31"/>
      <c r="EV69" s="130"/>
      <c r="EW69" s="38"/>
      <c r="EX69" s="38"/>
      <c r="EY69" s="38"/>
      <c r="FA69" s="130"/>
      <c r="FB69" s="38"/>
      <c r="FC69" s="38"/>
      <c r="FD69" s="38"/>
      <c r="FF69" s="130"/>
      <c r="FG69" s="38"/>
      <c r="FH69" s="38"/>
      <c r="FI69" s="38"/>
      <c r="FL69" s="130"/>
      <c r="FM69" s="38"/>
      <c r="FN69" s="38"/>
      <c r="FO69" s="38"/>
      <c r="FP69" s="38"/>
      <c r="FQ69" s="796"/>
    </row>
    <row r="70" spans="1:177" ht="15" customHeight="1">
      <c r="A70" s="112"/>
      <c r="B70" s="432"/>
      <c r="C70" s="432"/>
      <c r="D70" s="38"/>
      <c r="E70" s="130"/>
      <c r="F70" s="38"/>
      <c r="G70" s="38"/>
      <c r="H70" s="38"/>
      <c r="I70" s="38"/>
      <c r="J70" s="38"/>
      <c r="K70" s="38"/>
      <c r="L70" s="38"/>
      <c r="M70" s="38"/>
      <c r="N70" s="38"/>
      <c r="O70" s="786"/>
      <c r="P70" s="130"/>
      <c r="Q70" s="38"/>
      <c r="R70" s="38"/>
      <c r="S70" s="38"/>
      <c r="T70" s="38"/>
      <c r="U70" s="38"/>
      <c r="V70" s="38"/>
      <c r="W70" s="38"/>
      <c r="X70" s="38"/>
      <c r="Y70" s="38"/>
      <c r="Z70" s="786"/>
      <c r="AA70" s="130"/>
      <c r="AB70" s="38"/>
      <c r="AC70" s="38"/>
      <c r="AD70" s="38"/>
      <c r="AE70" s="38"/>
      <c r="AF70" s="38"/>
      <c r="AG70" s="38"/>
      <c r="AH70" s="38"/>
      <c r="AI70" s="38"/>
      <c r="AJ70" s="38"/>
      <c r="AK70" s="38"/>
      <c r="AL70" s="130"/>
      <c r="AM70" s="38"/>
      <c r="AN70" s="38"/>
      <c r="AO70" s="38"/>
      <c r="AP70" s="38"/>
      <c r="AQ70" s="38"/>
      <c r="AR70" s="38"/>
      <c r="AS70" s="38"/>
      <c r="AT70" s="38"/>
      <c r="AU70" s="38"/>
      <c r="AV70" s="786"/>
      <c r="AW70" s="130"/>
      <c r="AX70" s="130"/>
      <c r="AY70" s="130"/>
      <c r="AZ70" s="130"/>
      <c r="BA70" s="130"/>
      <c r="BB70" s="130"/>
      <c r="BC70" s="38"/>
      <c r="BD70" s="38"/>
      <c r="BE70" s="38"/>
      <c r="BF70" s="38"/>
      <c r="BG70" s="38"/>
      <c r="BH70" s="130"/>
      <c r="BI70" s="38"/>
      <c r="BJ70" s="38"/>
      <c r="BK70" s="38"/>
      <c r="BL70" s="38"/>
      <c r="BM70" s="38"/>
      <c r="BN70" s="38"/>
      <c r="BO70" s="38"/>
      <c r="BP70" s="38"/>
      <c r="BQ70" s="38"/>
      <c r="BR70" s="38"/>
      <c r="BS70" s="130"/>
      <c r="BT70" s="38"/>
      <c r="BU70" s="38"/>
      <c r="BV70" s="38"/>
      <c r="BW70" s="38"/>
      <c r="BX70" s="38"/>
      <c r="BY70" s="38"/>
      <c r="BZ70" s="38"/>
      <c r="CA70" s="38"/>
      <c r="CB70" s="38"/>
      <c r="CC70" s="786"/>
      <c r="CD70" s="130"/>
      <c r="CE70" s="38"/>
      <c r="CF70" s="38"/>
      <c r="CG70" s="38"/>
      <c r="CH70" s="37"/>
      <c r="CI70" s="130"/>
      <c r="CJ70" s="38"/>
      <c r="CK70" s="38"/>
      <c r="CL70" s="38"/>
      <c r="CM70" s="37"/>
      <c r="CN70" s="130"/>
      <c r="CO70" s="38"/>
      <c r="CP70" s="38"/>
      <c r="CQ70" s="38"/>
      <c r="CR70" s="38"/>
      <c r="CS70" s="130"/>
      <c r="CT70" s="38"/>
      <c r="CU70" s="38"/>
      <c r="CV70" s="38"/>
      <c r="CW70" s="37"/>
      <c r="CX70" s="130"/>
      <c r="CY70" s="38"/>
      <c r="CZ70" s="38"/>
      <c r="DA70" s="38"/>
      <c r="DB70" s="38"/>
      <c r="DC70" s="130"/>
      <c r="DD70" s="38"/>
      <c r="DE70" s="38"/>
      <c r="DF70" s="38"/>
      <c r="DG70" s="38"/>
      <c r="DH70" s="130"/>
      <c r="DI70" s="38"/>
      <c r="DJ70" s="38"/>
      <c r="DK70" s="38"/>
      <c r="DL70" s="38"/>
      <c r="DM70" s="130"/>
      <c r="DN70" s="38"/>
      <c r="DO70" s="38"/>
      <c r="DP70" s="38"/>
      <c r="DQ70" s="38"/>
      <c r="DR70" s="130"/>
      <c r="DS70" s="38"/>
      <c r="DT70" s="38"/>
      <c r="DU70" s="38"/>
      <c r="DV70" s="31"/>
      <c r="DW70" s="130"/>
      <c r="DX70" s="38"/>
      <c r="DY70" s="38"/>
      <c r="DZ70" s="38"/>
      <c r="EA70" s="38"/>
      <c r="EB70" s="130"/>
      <c r="EC70" s="38"/>
      <c r="ED70" s="38"/>
      <c r="EE70" s="38"/>
      <c r="EF70" s="31"/>
      <c r="EG70" s="130"/>
      <c r="EH70" s="38"/>
      <c r="EI70" s="38"/>
      <c r="EJ70" s="38"/>
      <c r="EK70" s="31"/>
      <c r="EL70" s="130"/>
      <c r="EM70" s="38"/>
      <c r="EN70" s="38"/>
      <c r="EO70" s="38"/>
      <c r="EP70" s="31"/>
      <c r="EQ70" s="130"/>
      <c r="ER70" s="38"/>
      <c r="ES70" s="38"/>
      <c r="ET70" s="38"/>
      <c r="EU70" s="31"/>
      <c r="EV70" s="130"/>
      <c r="EW70" s="38"/>
      <c r="EX70" s="38"/>
      <c r="EY70" s="38"/>
      <c r="FA70" s="130"/>
      <c r="FB70" s="38"/>
      <c r="FC70" s="38"/>
      <c r="FD70" s="38"/>
      <c r="FF70" s="130"/>
      <c r="FG70" s="38"/>
      <c r="FH70" s="38"/>
      <c r="FI70" s="38"/>
      <c r="FL70" s="130"/>
      <c r="FM70" s="38"/>
      <c r="FN70" s="38"/>
      <c r="FO70" s="38"/>
      <c r="FP70" s="38"/>
      <c r="FQ70" s="796"/>
    </row>
    <row r="71" spans="1:177" ht="15" customHeight="1">
      <c r="FF71" s="333" t="s">
        <v>1585</v>
      </c>
    </row>
    <row r="72" spans="1:177" ht="15" customHeight="1">
      <c r="B72" s="399" t="s">
        <v>770</v>
      </c>
      <c r="C72" s="400" t="s">
        <v>0</v>
      </c>
      <c r="F72" s="333">
        <f>Transformadores!W55</f>
        <v>0</v>
      </c>
      <c r="AB72">
        <f>SUM(AB$7:AB$28,AC$7:AC$28,AD$7:AD$28,AE$7:AE$28,AF$7:AF$28,AG$7:AG$28,AH$7:AH$28,AI$7:AI$28,AJ$7:AJ$28)*(AA72)</f>
        <v>0</v>
      </c>
      <c r="AM72">
        <f t="shared" ref="AM72:AM79" si="0">SUM(AM$7:AM$28,AN$7:AN$28,AO$7:AO$28,AP$7:AP$28,AQ$7:AQ$28,AR$7:AR$28,AS$7:AS$28,AT$7:AT$28,AU$7:AU$28)*(AL72)</f>
        <v>0</v>
      </c>
      <c r="CE72">
        <f t="shared" ref="CE72:CE79" si="1">SUM(CE$7:CE$28,CF$7:CF$28,CG$7:CG$28)*(CD72)</f>
        <v>0</v>
      </c>
      <c r="CJ72">
        <f t="shared" ref="CJ72:CJ144" si="2">SUM(CJ$7:CJ$28,CK$7:CK$28,CL$7:CL$28)*(CI72)</f>
        <v>0</v>
      </c>
      <c r="CO72">
        <f t="shared" ref="CO72:CO144" si="3">SUM(CO$7:CO$28,CP$7:CP$28,CQ$7:CQ$28)*(CN72)</f>
        <v>0</v>
      </c>
      <c r="CT72">
        <f t="shared" ref="CT72:CT79" si="4">SUM(CT$7:CT$28,CU$7:CU$28,CV$7:CV$28)*(CS72)</f>
        <v>0</v>
      </c>
      <c r="CY72">
        <f t="shared" ref="CY72:CY144" si="5">SUM(CY$7:CY$28,CZ$7:CZ$28,DA$7:DA$28)*(CX72)</f>
        <v>0</v>
      </c>
      <c r="DD72">
        <f t="shared" ref="DD72:DD144" si="6">SUM(DD$7:DD$28,DE$7:DE$28,DF$7:DF$28)*(DC72)</f>
        <v>0</v>
      </c>
      <c r="DI72">
        <f t="shared" ref="DI72:DI144" si="7">SUM(DI$7:DI$28,DJ$7:DJ$28,DK$7:DK$28)*(DH72)</f>
        <v>0</v>
      </c>
      <c r="DN72">
        <f t="shared" ref="DN72:DN99" si="8">SUM(DN$7:DN$28,DO$7:DO$28,DP$7:DP$28)*(DM72)</f>
        <v>0</v>
      </c>
      <c r="DS72">
        <f t="shared" ref="DS72:DS79" si="9">SUM(DS$7:DS$28,DT$7:DT$28,DU$7:DU$28)*(DR72)</f>
        <v>0</v>
      </c>
      <c r="DX72">
        <f t="shared" ref="DX72:DX79" si="10">SUM(DX$7:DX$28,DY$7:DY$28,DZ$7:DZ$28)*(DW72)</f>
        <v>0</v>
      </c>
      <c r="EC72">
        <f t="shared" ref="EC72:EC99" si="11">SUM(EC$7:EC$28,ED$7:ED$28,EE$7:EE$28)*(EB72)</f>
        <v>0</v>
      </c>
      <c r="EH72">
        <f t="shared" ref="EH72:EH99" si="12">SUM(EH$7:EH$28,EI$7:EI$28,EJ$7:EJ$28)*(EG72)</f>
        <v>0</v>
      </c>
      <c r="EM72">
        <f t="shared" ref="EM72:EM79" si="13">SUM(EM$7:EM$28,EN$7:EN$28,EO$7:EO$28)*(EL72)</f>
        <v>0</v>
      </c>
      <c r="ER72">
        <f t="shared" ref="ER72:ER79" si="14">SUM(ER$7:ER$28,ES$7:ES$28,ET$7:ET$28)*(EQ72)</f>
        <v>0</v>
      </c>
      <c r="EW72">
        <f t="shared" ref="EW72:EW99" si="15">SUM(EW$7:EW$28,EX$7:EX$28,EY$7:EY$28)*(EV72)</f>
        <v>0</v>
      </c>
      <c r="FB72">
        <f t="shared" ref="FB72:FB99" si="16">SUM(FB$7:FB$28,FC$7:FC$28,FD$7:FD$28)*(FA72)</f>
        <v>0</v>
      </c>
      <c r="FF72" s="933">
        <f>SUM(FM7:FM28,FN7:FN28,FO7:FO28)</f>
        <v>0</v>
      </c>
      <c r="FG72">
        <f t="shared" ref="FG72:FG79" si="17">SUM(FG$7:FG$28,FH$7:FH$28,FI$7:FI$28)*(FF72)</f>
        <v>0</v>
      </c>
      <c r="FM72">
        <f t="shared" ref="FM72:FM79" si="18">SUM(FM$7:FM$28,FN$7:FN$28,FO$7:FO$28)*(FL72)</f>
        <v>0</v>
      </c>
      <c r="FQ72" s="420">
        <f>'EXTRAS (2)'!D5</f>
        <v>0</v>
      </c>
      <c r="FR72" s="420">
        <f>'EXTRAS (2)'!E5</f>
        <v>0</v>
      </c>
      <c r="FU72" s="420">
        <f>CE72+CG72+CF72+CJ72+CO72+CT72+CY72+DD72+DI72+DN72+DS72+DX72+EM72+ER72+EW72+FB72+FG72+FM72+FO72+F72+Q72+AB72+AM72+AX72+BI72+BT72+FQ72-FR72</f>
        <v>0</v>
      </c>
    </row>
    <row r="73" spans="1:177" ht="15" customHeight="1">
      <c r="B73" s="399" t="s">
        <v>771</v>
      </c>
      <c r="C73" s="400" t="s">
        <v>0</v>
      </c>
      <c r="F73" s="333">
        <f>Transformadores!W56</f>
        <v>0</v>
      </c>
      <c r="AB73">
        <f t="shared" ref="AB73:AB79" si="19">SUM(AB$7:AB$28,AC$7:AC$28,AD$7:AD$28,AE$7:AE$28,AF$7:AF$28,AG$7:AG$28,AH$7:AH$28,AI$7:AI$28,AJ$7:AJ$28)*(AA73)</f>
        <v>0</v>
      </c>
      <c r="AM73">
        <f t="shared" si="0"/>
        <v>0</v>
      </c>
      <c r="CE73">
        <f t="shared" si="1"/>
        <v>0</v>
      </c>
      <c r="CJ73">
        <f t="shared" si="2"/>
        <v>0</v>
      </c>
      <c r="CO73">
        <f t="shared" si="3"/>
        <v>0</v>
      </c>
      <c r="CT73">
        <f t="shared" si="4"/>
        <v>0</v>
      </c>
      <c r="CY73">
        <f t="shared" si="5"/>
        <v>0</v>
      </c>
      <c r="DD73">
        <f t="shared" si="6"/>
        <v>0</v>
      </c>
      <c r="DI73">
        <f t="shared" si="7"/>
        <v>0</v>
      </c>
      <c r="DN73">
        <f t="shared" si="8"/>
        <v>0</v>
      </c>
      <c r="DS73">
        <f t="shared" si="9"/>
        <v>0</v>
      </c>
      <c r="DX73">
        <f t="shared" si="10"/>
        <v>0</v>
      </c>
      <c r="EC73">
        <f t="shared" si="11"/>
        <v>0</v>
      </c>
      <c r="EH73">
        <f t="shared" si="12"/>
        <v>0</v>
      </c>
      <c r="EM73">
        <f t="shared" si="13"/>
        <v>0</v>
      </c>
      <c r="ER73">
        <f t="shared" si="14"/>
        <v>0</v>
      </c>
      <c r="EW73">
        <f t="shared" si="15"/>
        <v>0</v>
      </c>
      <c r="FB73">
        <f t="shared" si="16"/>
        <v>0</v>
      </c>
      <c r="FG73">
        <f t="shared" si="17"/>
        <v>0</v>
      </c>
      <c r="FM73">
        <f t="shared" si="18"/>
        <v>0</v>
      </c>
      <c r="FQ73" s="420">
        <f>'EXTRAS (2)'!D6</f>
        <v>0</v>
      </c>
      <c r="FR73" s="420">
        <f>'EXTRAS (2)'!E6</f>
        <v>0</v>
      </c>
      <c r="FU73" s="420">
        <f t="shared" ref="FU73:FU142" si="20">CE73+CG73+CF73+CJ73+CO73+CT73+CY73+DD73+DI73+DN73+DS73+DX73+EM73+ER73+EW73+FB73+FG73+FM73+FO73+F73+Q73+AB73+AM73+AX73+BI73+BT73+FQ73-FR73</f>
        <v>0</v>
      </c>
    </row>
    <row r="74" spans="1:177" ht="15.75" thickBot="1">
      <c r="B74" s="399" t="s">
        <v>772</v>
      </c>
      <c r="C74" s="400" t="s">
        <v>0</v>
      </c>
      <c r="F74" s="333">
        <f>Transformadores!W57</f>
        <v>0</v>
      </c>
      <c r="AB74">
        <f t="shared" si="19"/>
        <v>0</v>
      </c>
      <c r="AM74">
        <f t="shared" si="0"/>
        <v>0</v>
      </c>
      <c r="CE74">
        <f t="shared" si="1"/>
        <v>0</v>
      </c>
      <c r="CJ74">
        <f t="shared" si="2"/>
        <v>0</v>
      </c>
      <c r="CO74">
        <f t="shared" si="3"/>
        <v>0</v>
      </c>
      <c r="CT74">
        <f t="shared" si="4"/>
        <v>0</v>
      </c>
      <c r="CY74">
        <f t="shared" si="5"/>
        <v>0</v>
      </c>
      <c r="DD74">
        <f t="shared" si="6"/>
        <v>0</v>
      </c>
      <c r="DI74">
        <f t="shared" si="7"/>
        <v>0</v>
      </c>
      <c r="DN74">
        <f t="shared" si="8"/>
        <v>0</v>
      </c>
      <c r="DS74">
        <f t="shared" si="9"/>
        <v>0</v>
      </c>
      <c r="DX74">
        <f t="shared" si="10"/>
        <v>0</v>
      </c>
      <c r="EC74">
        <f t="shared" si="11"/>
        <v>0</v>
      </c>
      <c r="EH74">
        <f t="shared" si="12"/>
        <v>0</v>
      </c>
      <c r="EM74">
        <f t="shared" si="13"/>
        <v>0</v>
      </c>
      <c r="ER74">
        <f t="shared" si="14"/>
        <v>0</v>
      </c>
      <c r="EW74">
        <f t="shared" si="15"/>
        <v>0</v>
      </c>
      <c r="FB74">
        <f t="shared" si="16"/>
        <v>0</v>
      </c>
      <c r="FG74">
        <f t="shared" si="17"/>
        <v>0</v>
      </c>
      <c r="FM74">
        <f t="shared" si="18"/>
        <v>0</v>
      </c>
      <c r="FQ74" s="420">
        <f>'EXTRAS (2)'!D7</f>
        <v>0</v>
      </c>
      <c r="FR74" s="420">
        <f>'EXTRAS (2)'!E7</f>
        <v>0</v>
      </c>
      <c r="FU74" s="420">
        <f t="shared" si="20"/>
        <v>0</v>
      </c>
    </row>
    <row r="75" spans="1:177" ht="15.75" thickBot="1">
      <c r="B75" s="399" t="s">
        <v>1695</v>
      </c>
      <c r="C75" s="400" t="s">
        <v>0</v>
      </c>
      <c r="F75" s="333"/>
      <c r="CY75" s="1033">
        <f>Transformadores!L58</f>
        <v>0</v>
      </c>
      <c r="FQ75" s="420">
        <f>'EXTRAS (2)'!D8</f>
        <v>0</v>
      </c>
      <c r="FR75" s="420">
        <f>'EXTRAS (2)'!E8</f>
        <v>0</v>
      </c>
      <c r="FU75" s="420">
        <f t="shared" si="20"/>
        <v>0</v>
      </c>
    </row>
    <row r="76" spans="1:177">
      <c r="B76" s="399" t="s">
        <v>773</v>
      </c>
      <c r="C76" s="400" t="s">
        <v>0</v>
      </c>
      <c r="F76" s="333">
        <f>Transformadores!W60</f>
        <v>0</v>
      </c>
      <c r="AB76">
        <f t="shared" si="19"/>
        <v>0</v>
      </c>
      <c r="AM76">
        <f t="shared" si="0"/>
        <v>0</v>
      </c>
      <c r="CE76">
        <f t="shared" si="1"/>
        <v>0</v>
      </c>
      <c r="CJ76">
        <f t="shared" si="2"/>
        <v>0</v>
      </c>
      <c r="CO76">
        <f t="shared" si="3"/>
        <v>0</v>
      </c>
      <c r="CT76">
        <f t="shared" si="4"/>
        <v>0</v>
      </c>
      <c r="CY76">
        <f t="shared" si="5"/>
        <v>0</v>
      </c>
      <c r="DD76">
        <f t="shared" si="6"/>
        <v>0</v>
      </c>
      <c r="DI76">
        <f t="shared" si="7"/>
        <v>0</v>
      </c>
      <c r="DN76">
        <f t="shared" si="8"/>
        <v>0</v>
      </c>
      <c r="DS76">
        <f t="shared" si="9"/>
        <v>0</v>
      </c>
      <c r="DX76">
        <f t="shared" si="10"/>
        <v>0</v>
      </c>
      <c r="EC76">
        <f t="shared" si="11"/>
        <v>0</v>
      </c>
      <c r="EH76">
        <f t="shared" si="12"/>
        <v>0</v>
      </c>
      <c r="EM76">
        <f t="shared" si="13"/>
        <v>0</v>
      </c>
      <c r="ER76">
        <f t="shared" si="14"/>
        <v>0</v>
      </c>
      <c r="EW76">
        <f t="shared" si="15"/>
        <v>0</v>
      </c>
      <c r="FB76">
        <f t="shared" si="16"/>
        <v>0</v>
      </c>
      <c r="FG76">
        <f t="shared" si="17"/>
        <v>0</v>
      </c>
      <c r="FM76">
        <f t="shared" si="18"/>
        <v>0</v>
      </c>
      <c r="FQ76" s="420">
        <f>'EXTRAS (2)'!D9</f>
        <v>0</v>
      </c>
      <c r="FR76" s="420">
        <f>'EXTRAS (2)'!E9</f>
        <v>0</v>
      </c>
      <c r="FU76" s="420">
        <f t="shared" si="20"/>
        <v>0</v>
      </c>
    </row>
    <row r="77" spans="1:177">
      <c r="B77" s="399" t="s">
        <v>774</v>
      </c>
      <c r="C77" s="400" t="s">
        <v>0</v>
      </c>
      <c r="F77" s="333">
        <f>Transformadores!W59</f>
        <v>0</v>
      </c>
      <c r="AB77">
        <f t="shared" si="19"/>
        <v>0</v>
      </c>
      <c r="AM77">
        <f t="shared" si="0"/>
        <v>0</v>
      </c>
      <c r="CE77">
        <f t="shared" si="1"/>
        <v>0</v>
      </c>
      <c r="CJ77">
        <f t="shared" si="2"/>
        <v>0</v>
      </c>
      <c r="CO77">
        <f t="shared" si="3"/>
        <v>0</v>
      </c>
      <c r="CT77">
        <f t="shared" si="4"/>
        <v>0</v>
      </c>
      <c r="CY77">
        <f t="shared" si="5"/>
        <v>0</v>
      </c>
      <c r="DD77">
        <f t="shared" si="6"/>
        <v>0</v>
      </c>
      <c r="DI77">
        <f t="shared" si="7"/>
        <v>0</v>
      </c>
      <c r="DN77">
        <f t="shared" si="8"/>
        <v>0</v>
      </c>
      <c r="DS77">
        <f t="shared" si="9"/>
        <v>0</v>
      </c>
      <c r="DX77">
        <f t="shared" si="10"/>
        <v>0</v>
      </c>
      <c r="EC77">
        <f t="shared" si="11"/>
        <v>0</v>
      </c>
      <c r="EH77">
        <f t="shared" si="12"/>
        <v>0</v>
      </c>
      <c r="EM77">
        <f t="shared" si="13"/>
        <v>0</v>
      </c>
      <c r="ER77">
        <f t="shared" si="14"/>
        <v>0</v>
      </c>
      <c r="EW77">
        <f t="shared" si="15"/>
        <v>0</v>
      </c>
      <c r="FB77">
        <f t="shared" si="16"/>
        <v>0</v>
      </c>
      <c r="FG77">
        <f t="shared" si="17"/>
        <v>0</v>
      </c>
      <c r="FM77">
        <f t="shared" si="18"/>
        <v>0</v>
      </c>
      <c r="FQ77" s="420">
        <f>'EXTRAS (2)'!D10</f>
        <v>0</v>
      </c>
      <c r="FR77" s="420">
        <f>'EXTRAS (2)'!E10</f>
        <v>0</v>
      </c>
      <c r="FU77" s="420">
        <f t="shared" si="20"/>
        <v>0</v>
      </c>
    </row>
    <row r="78" spans="1:177">
      <c r="B78" s="399" t="s">
        <v>775</v>
      </c>
      <c r="C78" s="400" t="s">
        <v>0</v>
      </c>
      <c r="AB78">
        <f t="shared" si="19"/>
        <v>0</v>
      </c>
      <c r="AM78">
        <f t="shared" si="0"/>
        <v>0</v>
      </c>
      <c r="CE78">
        <f t="shared" si="1"/>
        <v>0</v>
      </c>
      <c r="CJ78">
        <f t="shared" si="2"/>
        <v>0</v>
      </c>
      <c r="CO78">
        <f t="shared" si="3"/>
        <v>0</v>
      </c>
      <c r="CT78">
        <f t="shared" si="4"/>
        <v>0</v>
      </c>
      <c r="CY78">
        <f t="shared" si="5"/>
        <v>0</v>
      </c>
      <c r="DD78">
        <f t="shared" si="6"/>
        <v>0</v>
      </c>
      <c r="DI78">
        <f t="shared" si="7"/>
        <v>0</v>
      </c>
      <c r="DN78">
        <f t="shared" si="8"/>
        <v>0</v>
      </c>
      <c r="DS78">
        <f t="shared" si="9"/>
        <v>0</v>
      </c>
      <c r="DX78">
        <f t="shared" si="10"/>
        <v>0</v>
      </c>
      <c r="EC78">
        <f t="shared" si="11"/>
        <v>0</v>
      </c>
      <c r="EH78">
        <f t="shared" si="12"/>
        <v>0</v>
      </c>
      <c r="EM78">
        <f t="shared" si="13"/>
        <v>0</v>
      </c>
      <c r="ER78">
        <f t="shared" si="14"/>
        <v>0</v>
      </c>
      <c r="EW78">
        <f t="shared" si="15"/>
        <v>0</v>
      </c>
      <c r="FB78">
        <f t="shared" si="16"/>
        <v>0</v>
      </c>
      <c r="FG78">
        <f t="shared" si="17"/>
        <v>0</v>
      </c>
      <c r="FM78">
        <f t="shared" si="18"/>
        <v>0</v>
      </c>
      <c r="FQ78" s="420">
        <f>'EXTRAS (2)'!D11</f>
        <v>0</v>
      </c>
      <c r="FR78" s="420">
        <f>'EXTRAS (2)'!E11</f>
        <v>0</v>
      </c>
      <c r="FU78" s="420">
        <f t="shared" si="20"/>
        <v>0</v>
      </c>
    </row>
    <row r="79" spans="1:177">
      <c r="B79" s="399" t="s">
        <v>776</v>
      </c>
      <c r="C79" s="400" t="s">
        <v>0</v>
      </c>
      <c r="AB79">
        <f t="shared" si="19"/>
        <v>0</v>
      </c>
      <c r="AM79">
        <f t="shared" si="0"/>
        <v>0</v>
      </c>
      <c r="CE79">
        <f t="shared" si="1"/>
        <v>0</v>
      </c>
      <c r="CJ79">
        <f t="shared" si="2"/>
        <v>0</v>
      </c>
      <c r="CO79">
        <f t="shared" si="3"/>
        <v>0</v>
      </c>
      <c r="CT79">
        <f t="shared" si="4"/>
        <v>0</v>
      </c>
      <c r="CY79">
        <f t="shared" si="5"/>
        <v>0</v>
      </c>
      <c r="DD79">
        <f t="shared" si="6"/>
        <v>0</v>
      </c>
      <c r="DI79">
        <f t="shared" si="7"/>
        <v>0</v>
      </c>
      <c r="DN79">
        <f t="shared" si="8"/>
        <v>0</v>
      </c>
      <c r="DS79">
        <f t="shared" si="9"/>
        <v>0</v>
      </c>
      <c r="DX79">
        <f t="shared" si="10"/>
        <v>0</v>
      </c>
      <c r="EC79">
        <f t="shared" si="11"/>
        <v>0</v>
      </c>
      <c r="EH79">
        <f t="shared" si="12"/>
        <v>0</v>
      </c>
      <c r="EM79">
        <f t="shared" si="13"/>
        <v>0</v>
      </c>
      <c r="ER79">
        <f t="shared" si="14"/>
        <v>0</v>
      </c>
      <c r="EW79">
        <f t="shared" si="15"/>
        <v>0</v>
      </c>
      <c r="FB79">
        <f t="shared" si="16"/>
        <v>0</v>
      </c>
      <c r="FG79">
        <f t="shared" si="17"/>
        <v>0</v>
      </c>
      <c r="FM79">
        <f t="shared" si="18"/>
        <v>0</v>
      </c>
      <c r="FQ79" s="420">
        <f>'EXTRAS (2)'!D12</f>
        <v>0</v>
      </c>
      <c r="FR79" s="420">
        <f>'EXTRAS (2)'!E12</f>
        <v>0</v>
      </c>
      <c r="FU79" s="420">
        <f t="shared" si="20"/>
        <v>0</v>
      </c>
    </row>
    <row r="80" spans="1:177">
      <c r="B80" s="167" t="s">
        <v>1030</v>
      </c>
      <c r="C80" s="400" t="s">
        <v>0</v>
      </c>
      <c r="E80" t="s">
        <v>1017</v>
      </c>
      <c r="F80">
        <f>SUM(F7:G28,I7:J28,L7:M28)*(1)</f>
        <v>0</v>
      </c>
      <c r="P80" t="s">
        <v>1017</v>
      </c>
      <c r="Q80">
        <f>SUM(Q7:R28,T7:U28,W7:X28)*(1)</f>
        <v>0</v>
      </c>
      <c r="AA80" t="s">
        <v>1017</v>
      </c>
      <c r="AB80">
        <f>SUM(AB7:AC28,AE7:AF28,AH7:AI28)*(1)</f>
        <v>0</v>
      </c>
      <c r="AL80" t="s">
        <v>1017</v>
      </c>
      <c r="AM80">
        <f>SUM(AM7:AN28,AP7:AQ28,AS7:AT28)*(1)</f>
        <v>0</v>
      </c>
      <c r="AW80" t="s">
        <v>1017</v>
      </c>
      <c r="AX80">
        <f>SUM(AX7:AY28,BA7:BB28,BD7:BE28)*(1)</f>
        <v>0</v>
      </c>
      <c r="BC80" s="161"/>
      <c r="BH80" t="s">
        <v>1018</v>
      </c>
      <c r="BI80">
        <f>SUM(BI7:BJ28,BL7:BM28,BO7:BP28)*(1)</f>
        <v>0</v>
      </c>
      <c r="BS80" t="s">
        <v>1018</v>
      </c>
      <c r="BT80">
        <f>SUM(BT7:BU28,BW7:BX28,BZ7:CA28)*(1)</f>
        <v>0</v>
      </c>
      <c r="CJ80">
        <f t="shared" si="2"/>
        <v>0</v>
      </c>
      <c r="CO80">
        <f t="shared" si="3"/>
        <v>0</v>
      </c>
      <c r="CS80" t="s">
        <v>1017</v>
      </c>
      <c r="CT80">
        <f>SUM(CT7:CT28,CU7:CU28)*(2)</f>
        <v>0</v>
      </c>
      <c r="CX80" t="s">
        <v>1017</v>
      </c>
      <c r="CY80">
        <f>SUM(CY7:CY28,CZ7:CZ28)*(2)</f>
        <v>0</v>
      </c>
      <c r="DC80" t="s">
        <v>1017</v>
      </c>
      <c r="DD80">
        <f>SUM(DD7:DD28,DE7:DE28)*(1)</f>
        <v>0</v>
      </c>
      <c r="DH80" t="s">
        <v>1017</v>
      </c>
      <c r="DI80">
        <f>SUM(DI7:DI28,DJ7:DJ28)*(2)</f>
        <v>0</v>
      </c>
      <c r="DM80" t="s">
        <v>1017</v>
      </c>
      <c r="DN80">
        <f>SUM(DN7:DN28,DO7:DO28)*(2)</f>
        <v>0</v>
      </c>
      <c r="DW80" t="s">
        <v>1018</v>
      </c>
      <c r="DX80">
        <f>SUM(DX7:DX28,DY7:DY28)*(2)</f>
        <v>0</v>
      </c>
      <c r="EC80">
        <f t="shared" si="11"/>
        <v>0</v>
      </c>
      <c r="EH80">
        <f t="shared" si="12"/>
        <v>0</v>
      </c>
      <c r="EL80" t="s">
        <v>1018</v>
      </c>
      <c r="EM80">
        <f>SUM(EM7:EM28,EN7:EN28)*(2)</f>
        <v>0</v>
      </c>
      <c r="EQ80" t="s">
        <v>1018</v>
      </c>
      <c r="ER80">
        <f>SUM(ER7:ER28,ES7:ES28)*(2)</f>
        <v>0</v>
      </c>
      <c r="EW80">
        <f t="shared" si="15"/>
        <v>0</v>
      </c>
      <c r="FB80">
        <f t="shared" si="16"/>
        <v>0</v>
      </c>
      <c r="FF80" t="s">
        <v>1018</v>
      </c>
      <c r="FG80">
        <f>SUM(FG7:FG28,FH7:FH28)*(2)</f>
        <v>0</v>
      </c>
      <c r="FL80" t="s">
        <v>1018</v>
      </c>
      <c r="FM80">
        <f>SUM(FM7:FM28,FN7:FN28)*(2)</f>
        <v>0</v>
      </c>
      <c r="FQ80" s="420">
        <f>'EXTRAS (2)'!D13</f>
        <v>0</v>
      </c>
      <c r="FR80" s="420">
        <f>'EXTRAS (2)'!E13</f>
        <v>0</v>
      </c>
      <c r="FU80" s="420">
        <f t="shared" si="20"/>
        <v>0</v>
      </c>
    </row>
    <row r="81" spans="2:177">
      <c r="B81" s="167" t="s">
        <v>1031</v>
      </c>
      <c r="C81" s="400" t="s">
        <v>0</v>
      </c>
      <c r="E81" t="s">
        <v>1017</v>
      </c>
      <c r="F81">
        <f>SUM(H7:H28,K7:K28,N7:N28)*(1)</f>
        <v>0</v>
      </c>
      <c r="P81" t="s">
        <v>1017</v>
      </c>
      <c r="Q81">
        <f>SUM(S7:S28,V7:V28,Y7:Y28)*(1)</f>
        <v>0</v>
      </c>
      <c r="AA81" t="s">
        <v>1017</v>
      </c>
      <c r="AB81">
        <f>SUM(AD7:AD28,AG7:AG28,AJ7:AJ28)*(1)</f>
        <v>0</v>
      </c>
      <c r="AL81" t="s">
        <v>1017</v>
      </c>
      <c r="AM81">
        <f>SUM(AO7:AO28,AR7:AR28,AU7:AU28)*(1)</f>
        <v>0</v>
      </c>
      <c r="AW81" t="s">
        <v>1017</v>
      </c>
      <c r="AX81">
        <f>SUM(AZ7:AZ28,BC7:BC28,BF7:BF28)*(1)</f>
        <v>0</v>
      </c>
      <c r="BC81" s="161"/>
      <c r="BH81" t="s">
        <v>1018</v>
      </c>
      <c r="BI81">
        <f>SUM(BK7:BK28,BN7:BN28,BQ7:BQ28)*(1)</f>
        <v>0</v>
      </c>
      <c r="BS81" t="s">
        <v>1018</v>
      </c>
      <c r="BT81">
        <f>SUM(BV7:BV28,BY7:BY28,CB7:CB28)*(1)</f>
        <v>0</v>
      </c>
      <c r="CJ81">
        <f t="shared" si="2"/>
        <v>0</v>
      </c>
      <c r="CO81">
        <f t="shared" si="3"/>
        <v>0</v>
      </c>
      <c r="CS81" t="s">
        <v>1017</v>
      </c>
      <c r="CT81">
        <f>SUM(CV7:CV28)*(2)</f>
        <v>0</v>
      </c>
      <c r="CX81" t="s">
        <v>1017</v>
      </c>
      <c r="CY81">
        <f>SUM(DA7:DA28)*(2)</f>
        <v>0</v>
      </c>
      <c r="DC81" t="s">
        <v>1017</v>
      </c>
      <c r="DD81">
        <f>SUM(DF7:DF28)*(1)</f>
        <v>0</v>
      </c>
      <c r="DH81" t="s">
        <v>1017</v>
      </c>
      <c r="DI81">
        <f>SUM(DK7:DK28)*(2)</f>
        <v>0</v>
      </c>
      <c r="DM81" t="s">
        <v>1017</v>
      </c>
      <c r="DN81">
        <f>SUM(DP7:DP28)*(2)</f>
        <v>0</v>
      </c>
      <c r="DW81" t="s">
        <v>1018</v>
      </c>
      <c r="DX81">
        <f>SUM(DZ7:DZ28)*(2)</f>
        <v>0</v>
      </c>
      <c r="EC81">
        <f t="shared" si="11"/>
        <v>0</v>
      </c>
      <c r="EH81">
        <f t="shared" si="12"/>
        <v>0</v>
      </c>
      <c r="EL81" t="s">
        <v>1018</v>
      </c>
      <c r="EM81">
        <f>SUM(EO7:EO28)*(2)</f>
        <v>0</v>
      </c>
      <c r="EQ81" t="s">
        <v>1018</v>
      </c>
      <c r="ER81">
        <f>SUM(ET7:ET28)*(2)</f>
        <v>0</v>
      </c>
      <c r="EW81">
        <f t="shared" si="15"/>
        <v>0</v>
      </c>
      <c r="FB81">
        <f t="shared" si="16"/>
        <v>0</v>
      </c>
      <c r="FF81" t="s">
        <v>1018</v>
      </c>
      <c r="FG81">
        <f>SUM(FI7:FI28)*(2)</f>
        <v>0</v>
      </c>
      <c r="FL81" t="s">
        <v>1018</v>
      </c>
      <c r="FM81">
        <f>SUM(FO7:FO28)*(2)</f>
        <v>0</v>
      </c>
      <c r="FQ81" s="420">
        <f>'EXTRAS (2)'!D14</f>
        <v>0</v>
      </c>
      <c r="FR81" s="420">
        <f>'EXTRAS (2)'!E14</f>
        <v>0</v>
      </c>
      <c r="FU81" s="420">
        <f t="shared" si="20"/>
        <v>0</v>
      </c>
    </row>
    <row r="82" spans="2:177">
      <c r="B82" s="399" t="s">
        <v>1000</v>
      </c>
      <c r="C82" s="400" t="s">
        <v>0</v>
      </c>
      <c r="E82">
        <v>3</v>
      </c>
      <c r="F82">
        <f>SUM(F$7:F$28,M$7:M$28,N$7:N$28,G$7:G$28,H$7:H$28,I$7:I$28,J$7:J$28,K$7:K$28,L$7:L$28)*(E82)</f>
        <v>0</v>
      </c>
      <c r="P82">
        <v>3</v>
      </c>
      <c r="Q82">
        <f>SUM(Q$7:Q$28,X$7:X$28,Y$7:Y$28,R$7:R$28,S$7:S$28,T$7:T$28,U$7:U$28,V$7:V$28,W$7:W$28)*(P82)</f>
        <v>0</v>
      </c>
      <c r="AB82">
        <f t="shared" ref="AB82:AB99" si="21">SUM(AB$7:AB$28,AC$7:AC$28,AD$7:AD$28,AE$7:AE$28,AF$7:AF$28,AG$7:AG$28,AH$7:AH$28,AI$7:AI$28,AJ$7:AJ$28)*(AA82)</f>
        <v>0</v>
      </c>
      <c r="AM82">
        <f t="shared" ref="AM82:AM99" si="22">SUM(AM$7:AM$28,AN$7:AN$28,AO$7:AO$28,AP$7:AP$28,AQ$7:AQ$28,AR$7:AR$28,AS$7:AS$28,AT$7:AT$28,AU$7:AU$28)*(AL82)</f>
        <v>0</v>
      </c>
      <c r="AW82" t="s">
        <v>1017</v>
      </c>
      <c r="AX82">
        <f>SUM(AX$7:AX$28,AY$7:AY$28,AZ$7:AZ$28,BA$7:BA$28,BB$7:BB$28,BC$7:BC$28,BD$7:BD$28,BE$7:BE$28,BF$7:BF$28)*(3)</f>
        <v>0</v>
      </c>
      <c r="BC82" s="161"/>
      <c r="BH82">
        <v>1</v>
      </c>
      <c r="BI82">
        <f>SUM(BI$7:BI$28,BP$7:BP$28,BQ$7:BQ$28,BJ$7:BJ$28,BK7:BK$28,BL$7:BL$28,BM$7:BM$28,BN$7:BN$28)*(BH82)</f>
        <v>0</v>
      </c>
      <c r="BS82">
        <v>1</v>
      </c>
      <c r="BT82">
        <f>SUM(BT$7:BT$28,CA$7:CA$28,CB$7:CB$28,BU$7:BU$28,BV7:BV$28,BW$7:BW$28,BX$7:BX$28,BY$7:BY$28)*(BS82)</f>
        <v>0</v>
      </c>
      <c r="CD82">
        <v>4</v>
      </c>
      <c r="CE82">
        <f t="shared" ref="CE82:CE99" si="23">SUM(CE$7:CE$28,CF$7:CF$28,CG$7:CG$28)*(CD82)</f>
        <v>0</v>
      </c>
      <c r="CF82" s="420">
        <f>CF342*(4)</f>
        <v>0</v>
      </c>
      <c r="CI82">
        <v>4</v>
      </c>
      <c r="CJ82">
        <f t="shared" si="2"/>
        <v>0</v>
      </c>
      <c r="CN82">
        <v>4</v>
      </c>
      <c r="CO82">
        <f t="shared" si="3"/>
        <v>0</v>
      </c>
      <c r="CS82">
        <v>4</v>
      </c>
      <c r="CT82">
        <f>SUM(CT$7:CT$28,CU$7:CU$28,CV$7:CV$28)*(CS82)</f>
        <v>0</v>
      </c>
      <c r="CY82">
        <f t="shared" si="5"/>
        <v>0</v>
      </c>
      <c r="DD82">
        <f t="shared" si="6"/>
        <v>0</v>
      </c>
      <c r="DH82">
        <v>1</v>
      </c>
      <c r="DI82">
        <f t="shared" si="7"/>
        <v>0</v>
      </c>
      <c r="DM82">
        <v>2</v>
      </c>
      <c r="DN82">
        <f t="shared" si="8"/>
        <v>0</v>
      </c>
      <c r="DR82">
        <v>3</v>
      </c>
      <c r="DS82">
        <f t="shared" ref="DS82:DS99" si="24">SUM(DS$7:DS$28,DT$7:DT$28,DU$7:DU$28)*(DR82)</f>
        <v>0</v>
      </c>
      <c r="DX82">
        <f t="shared" ref="DX82:DX99" si="25">SUM(DX$7:DX$28,DY$7:DY$28,DZ$7:DZ$28)*(DW82)</f>
        <v>0</v>
      </c>
      <c r="EC82">
        <f t="shared" si="11"/>
        <v>0</v>
      </c>
      <c r="EH82">
        <f t="shared" si="12"/>
        <v>0</v>
      </c>
      <c r="EM82">
        <f t="shared" ref="EM82:EM99" si="26">SUM(EM$7:EM$28,EN$7:EN$28,EO$7:EO$28)*(EL82)</f>
        <v>0</v>
      </c>
      <c r="ER82">
        <f t="shared" ref="ER82:ER99" si="27">SUM(ER$7:ER$28,ES$7:ES$28,ET$7:ET$28)*(EQ82)</f>
        <v>0</v>
      </c>
      <c r="EV82" s="897">
        <v>3</v>
      </c>
      <c r="EW82" s="897">
        <f t="shared" si="15"/>
        <v>0</v>
      </c>
      <c r="EX82" s="897"/>
      <c r="EY82" s="897"/>
      <c r="EZ82" s="897"/>
      <c r="FA82" s="897">
        <v>4</v>
      </c>
      <c r="FB82" s="897">
        <f t="shared" si="16"/>
        <v>0</v>
      </c>
      <c r="FC82" s="897"/>
      <c r="FG82">
        <f t="shared" ref="FG82:FG124" si="28">SUM(FG$7:FG$28,FH$7:FH$28,FI$7:FI$28)*(FF82)</f>
        <v>0</v>
      </c>
      <c r="FM82">
        <f t="shared" ref="FM82:FM99" si="29">SUM(FM$7:FM$28,FN$7:FN$28,FO$7:FO$28)*(FL82)</f>
        <v>0</v>
      </c>
      <c r="FQ82" s="420">
        <f>'EXTRAS (2)'!D15</f>
        <v>0</v>
      </c>
      <c r="FR82" s="420">
        <f>'EXTRAS (2)'!E15</f>
        <v>0</v>
      </c>
      <c r="FU82" s="420">
        <f t="shared" si="20"/>
        <v>0</v>
      </c>
    </row>
    <row r="83" spans="2:177">
      <c r="B83" s="399" t="s">
        <v>777</v>
      </c>
      <c r="C83" s="400" t="s">
        <v>386</v>
      </c>
      <c r="Q83">
        <f t="shared" ref="Q83:Q96" si="30">SUM(Q$7:Q$28,X$7:X$28,Y$7:Y$28)*(P83)</f>
        <v>0</v>
      </c>
      <c r="AA83">
        <v>3</v>
      </c>
      <c r="AB83">
        <f t="shared" si="21"/>
        <v>0</v>
      </c>
      <c r="AL83">
        <v>3</v>
      </c>
      <c r="AM83">
        <f t="shared" si="22"/>
        <v>0</v>
      </c>
      <c r="BC83" s="161"/>
      <c r="BH83">
        <v>3</v>
      </c>
      <c r="BI83">
        <f>SUM(BI$7:BI$28,BP$7:BP$28,BQ$7:BQ$28,BJ$7:BJ$28,BK7:BK$28,BL$7:BL$28,BM$7:BM$28,BN$7:BN$28)*(BH83)</f>
        <v>0</v>
      </c>
      <c r="BS83">
        <v>3</v>
      </c>
      <c r="BT83">
        <f>SUM(BT$7:BT$28,CA$7:CA$28,CB$7:CB$28,BU$7:BU$28,BV7:BV$28,BW$7:BW$28,BX$7:BX$28,BY$7:BY$28)*(BS83)</f>
        <v>0</v>
      </c>
      <c r="CE83">
        <f t="shared" si="23"/>
        <v>0</v>
      </c>
      <c r="CG83">
        <f>C10+C11*6</f>
        <v>0</v>
      </c>
      <c r="CJ83">
        <f t="shared" si="2"/>
        <v>0</v>
      </c>
      <c r="CO83">
        <f t="shared" si="3"/>
        <v>0</v>
      </c>
      <c r="CY83">
        <f t="shared" si="5"/>
        <v>0</v>
      </c>
      <c r="DD83">
        <f t="shared" si="6"/>
        <v>0</v>
      </c>
      <c r="DI83">
        <f t="shared" si="7"/>
        <v>0</v>
      </c>
      <c r="DN83">
        <f t="shared" si="8"/>
        <v>0</v>
      </c>
      <c r="DS83">
        <f t="shared" si="24"/>
        <v>0</v>
      </c>
      <c r="DX83">
        <f t="shared" si="25"/>
        <v>0</v>
      </c>
      <c r="EC83">
        <f t="shared" si="11"/>
        <v>0</v>
      </c>
      <c r="EH83">
        <f t="shared" si="12"/>
        <v>0</v>
      </c>
      <c r="EM83">
        <f t="shared" si="26"/>
        <v>0</v>
      </c>
      <c r="ER83">
        <f t="shared" si="27"/>
        <v>0</v>
      </c>
      <c r="EV83">
        <v>3</v>
      </c>
      <c r="EW83">
        <f t="shared" si="15"/>
        <v>0</v>
      </c>
      <c r="FB83">
        <f t="shared" si="16"/>
        <v>0</v>
      </c>
      <c r="FG83">
        <f t="shared" si="28"/>
        <v>0</v>
      </c>
      <c r="FM83">
        <f t="shared" si="29"/>
        <v>0</v>
      </c>
      <c r="FQ83" s="420">
        <f>'EXTRAS (2)'!D16</f>
        <v>0</v>
      </c>
      <c r="FR83" s="420">
        <f>'EXTRAS (2)'!E16</f>
        <v>0</v>
      </c>
      <c r="FU83" s="420">
        <f t="shared" si="20"/>
        <v>0</v>
      </c>
    </row>
    <row r="84" spans="2:177">
      <c r="B84" s="399" t="s">
        <v>1082</v>
      </c>
      <c r="C84" s="400" t="s">
        <v>0</v>
      </c>
      <c r="F84">
        <f>Transformadores!W61</f>
        <v>0</v>
      </c>
      <c r="Q84">
        <f t="shared" si="30"/>
        <v>0</v>
      </c>
      <c r="AB84">
        <f t="shared" si="21"/>
        <v>0</v>
      </c>
      <c r="AM84">
        <f t="shared" si="22"/>
        <v>0</v>
      </c>
      <c r="BC84" s="161"/>
      <c r="BI84">
        <f>SUM(BI$7:BI$28,BP$7:BP$28,BQ$7:BQ$28,BJ$7:BJ$28,BK8:BK$28,BL$7:BL$28,BM$7:BM$28,BN$7:BN$28)*(BH84)</f>
        <v>0</v>
      </c>
      <c r="BT84">
        <f>SUM(BT$7:BT$28,CA$7:CA$28,CB$7:CB$28,BU$7:BU$28,BV8:BV$28,BW$7:BW$28,BX$7:BX$28,BY$7:BY$28)*(BS84)</f>
        <v>0</v>
      </c>
      <c r="CE84">
        <f t="shared" si="23"/>
        <v>0</v>
      </c>
      <c r="CJ84">
        <f t="shared" si="2"/>
        <v>0</v>
      </c>
      <c r="CO84">
        <f t="shared" si="3"/>
        <v>0</v>
      </c>
      <c r="CY84">
        <f t="shared" si="5"/>
        <v>0</v>
      </c>
      <c r="DD84">
        <f t="shared" si="6"/>
        <v>0</v>
      </c>
      <c r="DI84">
        <f t="shared" si="7"/>
        <v>0</v>
      </c>
      <c r="DN84">
        <f t="shared" si="8"/>
        <v>0</v>
      </c>
      <c r="DS84">
        <f t="shared" si="24"/>
        <v>0</v>
      </c>
      <c r="DX84">
        <f t="shared" si="25"/>
        <v>0</v>
      </c>
      <c r="EC84">
        <f t="shared" si="11"/>
        <v>0</v>
      </c>
      <c r="EH84">
        <f t="shared" si="12"/>
        <v>0</v>
      </c>
      <c r="EM84">
        <f t="shared" si="26"/>
        <v>0</v>
      </c>
      <c r="ER84">
        <f t="shared" si="27"/>
        <v>0</v>
      </c>
      <c r="EW84">
        <f t="shared" si="15"/>
        <v>0</v>
      </c>
      <c r="FB84">
        <f t="shared" si="16"/>
        <v>0</v>
      </c>
      <c r="FG84">
        <f t="shared" si="28"/>
        <v>0</v>
      </c>
      <c r="FM84">
        <f t="shared" si="29"/>
        <v>0</v>
      </c>
      <c r="FQ84" s="420">
        <f>'EXTRAS (2)'!D17</f>
        <v>0</v>
      </c>
      <c r="FR84" s="420">
        <f>'EXTRAS (2)'!E17</f>
        <v>0</v>
      </c>
      <c r="FU84" s="420">
        <f t="shared" si="20"/>
        <v>0</v>
      </c>
    </row>
    <row r="85" spans="2:177">
      <c r="B85" s="399" t="s">
        <v>1083</v>
      </c>
      <c r="C85" s="400" t="s">
        <v>0</v>
      </c>
      <c r="Q85">
        <f t="shared" si="30"/>
        <v>0</v>
      </c>
      <c r="AB85">
        <f t="shared" si="21"/>
        <v>0</v>
      </c>
      <c r="AM85">
        <f t="shared" si="22"/>
        <v>0</v>
      </c>
      <c r="BC85" s="161"/>
      <c r="BI85">
        <f>SUM(BI$7:BI$28,BP$7:BP$28,BQ$7:BQ$28,BJ$7:BJ$28,BK9:BK$28,BL$7:BL$28,BM$7:BM$28,BN$7:BN$28)*(BH85)</f>
        <v>0</v>
      </c>
      <c r="BT85">
        <f>SUM(BT$7:BT$28,CA$7:CA$28,CB$7:CB$28,BU$7:BU$28,BV9:BV$28,BW$7:BW$28,BX$7:BX$28,BY$7:BY$28)*(BS85)</f>
        <v>0</v>
      </c>
      <c r="CE85">
        <f t="shared" si="23"/>
        <v>0</v>
      </c>
      <c r="CJ85">
        <f t="shared" si="2"/>
        <v>0</v>
      </c>
      <c r="CO85">
        <f t="shared" si="3"/>
        <v>0</v>
      </c>
      <c r="CY85">
        <f t="shared" si="5"/>
        <v>0</v>
      </c>
      <c r="DD85">
        <f t="shared" si="6"/>
        <v>0</v>
      </c>
      <c r="DI85">
        <f t="shared" si="7"/>
        <v>0</v>
      </c>
      <c r="DN85">
        <f t="shared" si="8"/>
        <v>0</v>
      </c>
      <c r="DS85">
        <f t="shared" si="24"/>
        <v>0</v>
      </c>
      <c r="DX85">
        <f t="shared" si="25"/>
        <v>0</v>
      </c>
      <c r="EC85">
        <f t="shared" si="11"/>
        <v>0</v>
      </c>
      <c r="EH85">
        <f t="shared" si="12"/>
        <v>0</v>
      </c>
      <c r="EM85">
        <f t="shared" si="26"/>
        <v>0</v>
      </c>
      <c r="ER85">
        <f t="shared" si="27"/>
        <v>0</v>
      </c>
      <c r="EW85">
        <f t="shared" si="15"/>
        <v>0</v>
      </c>
      <c r="FB85">
        <f t="shared" si="16"/>
        <v>0</v>
      </c>
      <c r="FG85">
        <f t="shared" si="28"/>
        <v>0</v>
      </c>
      <c r="FM85">
        <f t="shared" si="29"/>
        <v>0</v>
      </c>
      <c r="FQ85" s="420">
        <f>'EXTRAS (2)'!D18</f>
        <v>0</v>
      </c>
      <c r="FR85" s="420">
        <f>'EXTRAS (2)'!E18</f>
        <v>0</v>
      </c>
      <c r="FU85" s="420">
        <f t="shared" si="20"/>
        <v>0</v>
      </c>
    </row>
    <row r="86" spans="2:177">
      <c r="B86" s="399" t="s">
        <v>778</v>
      </c>
      <c r="C86" s="400" t="s">
        <v>0</v>
      </c>
      <c r="Q86">
        <f t="shared" si="30"/>
        <v>0</v>
      </c>
      <c r="AB86">
        <f t="shared" si="21"/>
        <v>0</v>
      </c>
      <c r="AM86">
        <f t="shared" si="22"/>
        <v>0</v>
      </c>
      <c r="BI86">
        <f>SUM(BI$7:BI$28,BP$7:BP$28,BQ$7:BQ$28,BJ$7:BJ$28,BK10:BK$28,BL$7:BL$28,BM$7:BM$28,BN$7:BN$28)*(BH86)</f>
        <v>0</v>
      </c>
      <c r="BT86">
        <f>SUM(BT$7:BT$28,CA$7:CA$28,CB$7:CB$28,BU$7:BU$28,BV10:BV$28,BW$7:BW$28,BX$7:BX$28,BY$7:BY$28)*(BS86)</f>
        <v>0</v>
      </c>
      <c r="CE86">
        <f t="shared" si="23"/>
        <v>0</v>
      </c>
      <c r="CJ86">
        <f t="shared" si="2"/>
        <v>0</v>
      </c>
      <c r="CO86">
        <f t="shared" si="3"/>
        <v>0</v>
      </c>
      <c r="CY86">
        <f t="shared" si="5"/>
        <v>0</v>
      </c>
      <c r="DD86">
        <f t="shared" si="6"/>
        <v>0</v>
      </c>
      <c r="DI86">
        <f t="shared" si="7"/>
        <v>0</v>
      </c>
      <c r="DN86">
        <f t="shared" si="8"/>
        <v>0</v>
      </c>
      <c r="DS86">
        <f t="shared" si="24"/>
        <v>0</v>
      </c>
      <c r="DX86">
        <f t="shared" si="25"/>
        <v>0</v>
      </c>
      <c r="EC86">
        <f t="shared" si="11"/>
        <v>0</v>
      </c>
      <c r="EH86">
        <f t="shared" si="12"/>
        <v>0</v>
      </c>
      <c r="EM86">
        <f t="shared" si="26"/>
        <v>0</v>
      </c>
      <c r="ER86">
        <f t="shared" si="27"/>
        <v>0</v>
      </c>
      <c r="EW86">
        <f t="shared" si="15"/>
        <v>0</v>
      </c>
      <c r="FB86">
        <f t="shared" si="16"/>
        <v>0</v>
      </c>
      <c r="FG86">
        <f t="shared" si="28"/>
        <v>0</v>
      </c>
      <c r="FM86">
        <f t="shared" si="29"/>
        <v>0</v>
      </c>
      <c r="FQ86" s="420">
        <f>'EXTRAS (2)'!D19</f>
        <v>0</v>
      </c>
      <c r="FR86" s="420">
        <f>'EXTRAS (2)'!E19</f>
        <v>0</v>
      </c>
      <c r="FU86" s="420">
        <f t="shared" si="20"/>
        <v>0</v>
      </c>
    </row>
    <row r="87" spans="2:177">
      <c r="B87" s="399" t="s">
        <v>779</v>
      </c>
      <c r="C87" s="400" t="s">
        <v>0</v>
      </c>
      <c r="Q87">
        <f t="shared" si="30"/>
        <v>0</v>
      </c>
      <c r="AB87">
        <f t="shared" si="21"/>
        <v>0</v>
      </c>
      <c r="AM87">
        <f t="shared" si="22"/>
        <v>0</v>
      </c>
      <c r="BI87">
        <f>SUM(BI$7:BI$28,BP$7:BP$28,BQ$7:BQ$28,BJ$7:BJ$28,BK11:BK$28,BL$7:BL$28,BM$7:BM$28,BN$7:BN$28)*(BH87)</f>
        <v>0</v>
      </c>
      <c r="BT87">
        <f>SUM(BT$7:BT$28,CA$7:CA$28,CB$7:CB$28,BU$7:BU$28,BV11:BV$28,BW$7:BW$28,BX$7:BX$28,BY$7:BY$28)*(BS87)</f>
        <v>0</v>
      </c>
      <c r="CE87">
        <f t="shared" si="23"/>
        <v>0</v>
      </c>
      <c r="CJ87">
        <f t="shared" si="2"/>
        <v>0</v>
      </c>
      <c r="CO87">
        <f t="shared" si="3"/>
        <v>0</v>
      </c>
      <c r="CY87">
        <f t="shared" si="5"/>
        <v>0</v>
      </c>
      <c r="DD87">
        <f t="shared" si="6"/>
        <v>0</v>
      </c>
      <c r="DI87">
        <f t="shared" si="7"/>
        <v>0</v>
      </c>
      <c r="DN87">
        <f t="shared" si="8"/>
        <v>0</v>
      </c>
      <c r="DS87">
        <f t="shared" si="24"/>
        <v>0</v>
      </c>
      <c r="DX87">
        <f t="shared" si="25"/>
        <v>0</v>
      </c>
      <c r="EC87">
        <f t="shared" si="11"/>
        <v>0</v>
      </c>
      <c r="EH87">
        <f t="shared" si="12"/>
        <v>0</v>
      </c>
      <c r="EM87">
        <f t="shared" si="26"/>
        <v>0</v>
      </c>
      <c r="ER87">
        <f t="shared" si="27"/>
        <v>0</v>
      </c>
      <c r="EW87">
        <f t="shared" si="15"/>
        <v>0</v>
      </c>
      <c r="FB87">
        <f t="shared" si="16"/>
        <v>0</v>
      </c>
      <c r="FG87">
        <f t="shared" si="28"/>
        <v>0</v>
      </c>
      <c r="FM87">
        <f t="shared" si="29"/>
        <v>0</v>
      </c>
      <c r="FQ87" s="420">
        <f>'EXTRAS (2)'!D20</f>
        <v>0</v>
      </c>
      <c r="FR87" s="420">
        <f>'EXTRAS (2)'!E20</f>
        <v>0</v>
      </c>
      <c r="FU87" s="420">
        <f t="shared" si="20"/>
        <v>0</v>
      </c>
    </row>
    <row r="88" spans="2:177">
      <c r="B88" s="399" t="s">
        <v>780</v>
      </c>
      <c r="C88" s="400" t="s">
        <v>0</v>
      </c>
      <c r="Q88">
        <f t="shared" si="30"/>
        <v>0</v>
      </c>
      <c r="AB88">
        <f t="shared" si="21"/>
        <v>0</v>
      </c>
      <c r="AM88">
        <f t="shared" si="22"/>
        <v>0</v>
      </c>
      <c r="BI88">
        <f>SUM(BI$7:BI$28,BP$7:BP$28,BQ$7:BQ$28,BJ$7:BJ$28,BK12:BK$28,BL$7:BL$28,BM$7:BM$28,BN$7:BN$28)*(BH88)</f>
        <v>0</v>
      </c>
      <c r="BT88">
        <f>SUM(BT$7:BT$28,CA$7:CA$28,CB$7:CB$28,BU$7:BU$28,BV12:BV$28,BW$7:BW$28,BX$7:BX$28,BY$7:BY$28)*(BS88)</f>
        <v>0</v>
      </c>
      <c r="CE88">
        <f t="shared" si="23"/>
        <v>0</v>
      </c>
      <c r="CJ88">
        <f t="shared" si="2"/>
        <v>0</v>
      </c>
      <c r="CO88">
        <f t="shared" si="3"/>
        <v>0</v>
      </c>
      <c r="CY88">
        <f t="shared" si="5"/>
        <v>0</v>
      </c>
      <c r="DD88">
        <f t="shared" si="6"/>
        <v>0</v>
      </c>
      <c r="DI88">
        <f t="shared" si="7"/>
        <v>0</v>
      </c>
      <c r="DN88">
        <f t="shared" si="8"/>
        <v>0</v>
      </c>
      <c r="DS88">
        <f t="shared" si="24"/>
        <v>0</v>
      </c>
      <c r="DX88">
        <f t="shared" si="25"/>
        <v>0</v>
      </c>
      <c r="EC88">
        <f t="shared" si="11"/>
        <v>0</v>
      </c>
      <c r="EH88">
        <f t="shared" si="12"/>
        <v>0</v>
      </c>
      <c r="EM88">
        <f t="shared" si="26"/>
        <v>0</v>
      </c>
      <c r="ER88">
        <f t="shared" si="27"/>
        <v>0</v>
      </c>
      <c r="EW88">
        <f t="shared" si="15"/>
        <v>0</v>
      </c>
      <c r="FB88">
        <f t="shared" si="16"/>
        <v>0</v>
      </c>
      <c r="FG88">
        <f t="shared" si="28"/>
        <v>0</v>
      </c>
      <c r="FM88">
        <f t="shared" si="29"/>
        <v>0</v>
      </c>
      <c r="FQ88" s="420">
        <f>'EXTRAS (2)'!D21</f>
        <v>0</v>
      </c>
      <c r="FR88" s="420">
        <f>'EXTRAS (2)'!E21</f>
        <v>0</v>
      </c>
      <c r="FU88" s="420">
        <f t="shared" si="20"/>
        <v>0</v>
      </c>
    </row>
    <row r="89" spans="2:177">
      <c r="B89" s="399" t="s">
        <v>781</v>
      </c>
      <c r="C89" s="400" t="s">
        <v>0</v>
      </c>
      <c r="Q89">
        <f t="shared" si="30"/>
        <v>0</v>
      </c>
      <c r="AB89">
        <f t="shared" si="21"/>
        <v>0</v>
      </c>
      <c r="AM89">
        <f t="shared" si="22"/>
        <v>0</v>
      </c>
      <c r="BI89">
        <f>SUM(BI$7:BI$28,BP$7:BP$28,BQ$7:BQ$28,BJ$7:BJ$28,BK13:BK$28,BL$7:BL$28,BM$7:BM$28,BN$7:BN$28)*(BH89)</f>
        <v>0</v>
      </c>
      <c r="BT89">
        <f>SUM(BT$7:BT$28,CA$7:CA$28,CB$7:CB$28,BU$7:BU$28,BV13:BV$28,BW$7:BW$28,BX$7:BX$28,BY$7:BY$28)*(BS89)</f>
        <v>0</v>
      </c>
      <c r="CE89">
        <f t="shared" si="23"/>
        <v>0</v>
      </c>
      <c r="CJ89">
        <f t="shared" si="2"/>
        <v>0</v>
      </c>
      <c r="CO89">
        <f t="shared" si="3"/>
        <v>0</v>
      </c>
      <c r="CY89">
        <f t="shared" si="5"/>
        <v>0</v>
      </c>
      <c r="DD89">
        <f t="shared" si="6"/>
        <v>0</v>
      </c>
      <c r="DI89">
        <f t="shared" si="7"/>
        <v>0</v>
      </c>
      <c r="DN89">
        <f t="shared" si="8"/>
        <v>0</v>
      </c>
      <c r="DS89">
        <f t="shared" si="24"/>
        <v>0</v>
      </c>
      <c r="DX89">
        <f t="shared" si="25"/>
        <v>0</v>
      </c>
      <c r="EC89">
        <f t="shared" si="11"/>
        <v>0</v>
      </c>
      <c r="EH89">
        <f t="shared" si="12"/>
        <v>0</v>
      </c>
      <c r="EM89">
        <f t="shared" si="26"/>
        <v>0</v>
      </c>
      <c r="ER89">
        <f t="shared" si="27"/>
        <v>0</v>
      </c>
      <c r="EW89">
        <f t="shared" si="15"/>
        <v>0</v>
      </c>
      <c r="FB89">
        <f t="shared" si="16"/>
        <v>0</v>
      </c>
      <c r="FG89">
        <f t="shared" si="28"/>
        <v>0</v>
      </c>
      <c r="FM89">
        <f t="shared" si="29"/>
        <v>0</v>
      </c>
      <c r="FQ89" s="420">
        <f>'EXTRAS (2)'!D22</f>
        <v>0</v>
      </c>
      <c r="FR89" s="420">
        <f>'EXTRAS (2)'!E22</f>
        <v>0</v>
      </c>
      <c r="FU89" s="420">
        <f t="shared" si="20"/>
        <v>0</v>
      </c>
    </row>
    <row r="90" spans="2:177">
      <c r="B90" s="399" t="s">
        <v>782</v>
      </c>
      <c r="C90" s="400" t="s">
        <v>0</v>
      </c>
      <c r="Q90">
        <f t="shared" si="30"/>
        <v>0</v>
      </c>
      <c r="AB90">
        <f t="shared" si="21"/>
        <v>0</v>
      </c>
      <c r="AM90">
        <f t="shared" si="22"/>
        <v>0</v>
      </c>
      <c r="BI90">
        <f>SUM(BI$7:BI$28,BP$7:BP$28,BQ$7:BQ$28,BJ$7:BJ$28,BK14:BK$28,BL$7:BL$28,BM$7:BM$28,BN$7:BN$28)*(BH90)</f>
        <v>0</v>
      </c>
      <c r="BT90">
        <f>SUM(BT$7:BT$28,CA$7:CA$28,CB$7:CB$28,BU$7:BU$28,BV14:BV$28,BW$7:BW$28,BX$7:BX$28,BY$7:BY$28)*(BS90)</f>
        <v>0</v>
      </c>
      <c r="CE90">
        <f t="shared" si="23"/>
        <v>0</v>
      </c>
      <c r="CJ90">
        <f t="shared" si="2"/>
        <v>0</v>
      </c>
      <c r="CO90">
        <f t="shared" si="3"/>
        <v>0</v>
      </c>
      <c r="CY90">
        <f t="shared" si="5"/>
        <v>0</v>
      </c>
      <c r="DD90">
        <f t="shared" si="6"/>
        <v>0</v>
      </c>
      <c r="DI90">
        <f t="shared" si="7"/>
        <v>0</v>
      </c>
      <c r="DN90">
        <f t="shared" si="8"/>
        <v>0</v>
      </c>
      <c r="DS90">
        <f t="shared" si="24"/>
        <v>0</v>
      </c>
      <c r="DX90">
        <f t="shared" si="25"/>
        <v>0</v>
      </c>
      <c r="EC90">
        <f t="shared" si="11"/>
        <v>0</v>
      </c>
      <c r="EH90">
        <f t="shared" si="12"/>
        <v>0</v>
      </c>
      <c r="EM90">
        <f t="shared" si="26"/>
        <v>0</v>
      </c>
      <c r="ER90">
        <f t="shared" si="27"/>
        <v>0</v>
      </c>
      <c r="EW90">
        <f t="shared" si="15"/>
        <v>0</v>
      </c>
      <c r="FB90">
        <f t="shared" si="16"/>
        <v>0</v>
      </c>
      <c r="FG90">
        <f t="shared" si="28"/>
        <v>0</v>
      </c>
      <c r="FM90">
        <f t="shared" si="29"/>
        <v>0</v>
      </c>
      <c r="FQ90" s="420">
        <f>'EXTRAS (2)'!D23</f>
        <v>0</v>
      </c>
      <c r="FR90" s="420">
        <f>'EXTRAS (2)'!E23</f>
        <v>0</v>
      </c>
      <c r="FU90" s="420">
        <f t="shared" si="20"/>
        <v>0</v>
      </c>
    </row>
    <row r="91" spans="2:177">
      <c r="B91" s="399" t="s">
        <v>783</v>
      </c>
      <c r="C91" s="400" t="s">
        <v>0</v>
      </c>
      <c r="Q91">
        <f t="shared" si="30"/>
        <v>0</v>
      </c>
      <c r="AB91">
        <f t="shared" si="21"/>
        <v>0</v>
      </c>
      <c r="AM91">
        <f t="shared" si="22"/>
        <v>0</v>
      </c>
      <c r="BI91">
        <f>SUM(BI$7:BI$28,BP$7:BP$28,BQ$7:BQ$28,BJ$7:BJ$28,BK15:BK$28,BL$7:BL$28,BM$7:BM$28,BN$7:BN$28)*(BH91)</f>
        <v>0</v>
      </c>
      <c r="BT91">
        <f>SUM(BT$7:BT$28,CA$7:CA$28,CB$7:CB$28,BU$7:BU$28,BV15:BV$28,BW$7:BW$28,BX$7:BX$28,BY$7:BY$28)*(BS91)</f>
        <v>0</v>
      </c>
      <c r="CE91">
        <f t="shared" si="23"/>
        <v>0</v>
      </c>
      <c r="CJ91">
        <f t="shared" si="2"/>
        <v>0</v>
      </c>
      <c r="CO91">
        <f t="shared" si="3"/>
        <v>0</v>
      </c>
      <c r="CY91">
        <f t="shared" si="5"/>
        <v>0</v>
      </c>
      <c r="DD91">
        <f t="shared" si="6"/>
        <v>0</v>
      </c>
      <c r="DI91">
        <f t="shared" si="7"/>
        <v>0</v>
      </c>
      <c r="DN91">
        <f t="shared" si="8"/>
        <v>0</v>
      </c>
      <c r="DS91">
        <f t="shared" si="24"/>
        <v>0</v>
      </c>
      <c r="DX91">
        <f t="shared" si="25"/>
        <v>0</v>
      </c>
      <c r="EC91">
        <f t="shared" si="11"/>
        <v>0</v>
      </c>
      <c r="EH91">
        <f t="shared" si="12"/>
        <v>0</v>
      </c>
      <c r="EM91">
        <f t="shared" si="26"/>
        <v>0</v>
      </c>
      <c r="ER91">
        <f t="shared" si="27"/>
        <v>0</v>
      </c>
      <c r="EW91">
        <f t="shared" si="15"/>
        <v>0</v>
      </c>
      <c r="FB91">
        <f t="shared" si="16"/>
        <v>0</v>
      </c>
      <c r="FG91">
        <f t="shared" si="28"/>
        <v>0</v>
      </c>
      <c r="FM91">
        <f t="shared" si="29"/>
        <v>0</v>
      </c>
      <c r="FQ91" s="420">
        <f>'EXTRAS (2)'!D24</f>
        <v>0</v>
      </c>
      <c r="FR91" s="420">
        <f>'EXTRAS (2)'!E24</f>
        <v>0</v>
      </c>
      <c r="FU91" s="420">
        <f t="shared" si="20"/>
        <v>0</v>
      </c>
    </row>
    <row r="92" spans="2:177">
      <c r="B92" s="399" t="s">
        <v>784</v>
      </c>
      <c r="C92" s="400" t="s">
        <v>0</v>
      </c>
      <c r="Q92">
        <f t="shared" si="30"/>
        <v>0</v>
      </c>
      <c r="AB92">
        <f t="shared" si="21"/>
        <v>0</v>
      </c>
      <c r="AM92">
        <f t="shared" si="22"/>
        <v>0</v>
      </c>
      <c r="BI92">
        <f>SUM(BI$7:BI$28,BP$7:BP$28,BQ$7:BQ$28,BJ$7:BJ$28,BK16:BK$28,BL$7:BL$28,BM$7:BM$28,BN$7:BN$28)*(BH92)</f>
        <v>0</v>
      </c>
      <c r="BT92">
        <f>SUM(BT$7:BT$28,CA$7:CA$28,CB$7:CB$28,BU$7:BU$28,BV16:BV$28,BW$7:BW$28,BX$7:BX$28,BY$7:BY$28)*(BS92)</f>
        <v>0</v>
      </c>
      <c r="CE92">
        <f t="shared" si="23"/>
        <v>0</v>
      </c>
      <c r="CJ92">
        <f t="shared" si="2"/>
        <v>0</v>
      </c>
      <c r="CO92">
        <f t="shared" si="3"/>
        <v>0</v>
      </c>
      <c r="CY92">
        <f t="shared" si="5"/>
        <v>0</v>
      </c>
      <c r="DD92">
        <f t="shared" si="6"/>
        <v>0</v>
      </c>
      <c r="DI92">
        <f t="shared" si="7"/>
        <v>0</v>
      </c>
      <c r="DN92">
        <f t="shared" si="8"/>
        <v>0</v>
      </c>
      <c r="DS92">
        <f t="shared" si="24"/>
        <v>0</v>
      </c>
      <c r="DX92">
        <f t="shared" si="25"/>
        <v>0</v>
      </c>
      <c r="EC92">
        <f t="shared" si="11"/>
        <v>0</v>
      </c>
      <c r="EH92">
        <f t="shared" si="12"/>
        <v>0</v>
      </c>
      <c r="EM92">
        <f t="shared" si="26"/>
        <v>0</v>
      </c>
      <c r="ER92">
        <f t="shared" si="27"/>
        <v>0</v>
      </c>
      <c r="EW92">
        <f t="shared" si="15"/>
        <v>0</v>
      </c>
      <c r="FB92">
        <f t="shared" si="16"/>
        <v>0</v>
      </c>
      <c r="FG92">
        <f t="shared" si="28"/>
        <v>0</v>
      </c>
      <c r="FM92">
        <f t="shared" si="29"/>
        <v>0</v>
      </c>
      <c r="FQ92" s="420">
        <f>'EXTRAS (2)'!D25</f>
        <v>0</v>
      </c>
      <c r="FR92" s="420">
        <f>'EXTRAS (2)'!E25</f>
        <v>0</v>
      </c>
      <c r="FU92" s="420">
        <f t="shared" si="20"/>
        <v>0</v>
      </c>
    </row>
    <row r="93" spans="2:177">
      <c r="B93" s="399" t="s">
        <v>785</v>
      </c>
      <c r="C93" s="400" t="s">
        <v>0</v>
      </c>
      <c r="Q93">
        <f t="shared" si="30"/>
        <v>0</v>
      </c>
      <c r="AB93">
        <f t="shared" si="21"/>
        <v>0</v>
      </c>
      <c r="AM93">
        <f t="shared" si="22"/>
        <v>0</v>
      </c>
      <c r="BI93">
        <f>SUM(BI$7:BI$28,BP$7:BP$28,BQ$7:BQ$28,BJ$7:BJ$28,BK17:BK$28,BL$7:BL$28,BM$7:BM$28,BN$7:BN$28)*(BH93)</f>
        <v>0</v>
      </c>
      <c r="BT93">
        <f>SUM(BT$7:BT$28,CA$7:CA$28,CB$7:CB$28,BU$7:BU$28,BV17:BV$28,BW$7:BW$28,BX$7:BX$28,BY$7:BY$28)*(BS93)</f>
        <v>0</v>
      </c>
      <c r="CE93">
        <f t="shared" si="23"/>
        <v>0</v>
      </c>
      <c r="CJ93">
        <f t="shared" si="2"/>
        <v>0</v>
      </c>
      <c r="CO93">
        <f t="shared" si="3"/>
        <v>0</v>
      </c>
      <c r="CY93">
        <f t="shared" si="5"/>
        <v>0</v>
      </c>
      <c r="DD93">
        <f t="shared" si="6"/>
        <v>0</v>
      </c>
      <c r="DI93">
        <f t="shared" si="7"/>
        <v>0</v>
      </c>
      <c r="DN93">
        <f t="shared" si="8"/>
        <v>0</v>
      </c>
      <c r="DS93">
        <f t="shared" si="24"/>
        <v>0</v>
      </c>
      <c r="DX93">
        <f t="shared" si="25"/>
        <v>0</v>
      </c>
      <c r="EC93">
        <f t="shared" si="11"/>
        <v>0</v>
      </c>
      <c r="EH93">
        <f t="shared" si="12"/>
        <v>0</v>
      </c>
      <c r="EM93">
        <f t="shared" si="26"/>
        <v>0</v>
      </c>
      <c r="ER93">
        <f t="shared" si="27"/>
        <v>0</v>
      </c>
      <c r="EW93">
        <f t="shared" si="15"/>
        <v>0</v>
      </c>
      <c r="FB93">
        <f t="shared" si="16"/>
        <v>0</v>
      </c>
      <c r="FG93">
        <f t="shared" si="28"/>
        <v>0</v>
      </c>
      <c r="FM93">
        <f t="shared" si="29"/>
        <v>0</v>
      </c>
      <c r="FQ93" s="420">
        <f>'EXTRAS (2)'!D26</f>
        <v>0</v>
      </c>
      <c r="FR93" s="420">
        <f>'EXTRAS (2)'!E26</f>
        <v>0</v>
      </c>
      <c r="FU93" s="420">
        <f t="shared" si="20"/>
        <v>0</v>
      </c>
    </row>
    <row r="94" spans="2:177">
      <c r="B94" s="399" t="s">
        <v>786</v>
      </c>
      <c r="C94" s="400" t="s">
        <v>0</v>
      </c>
      <c r="Q94">
        <f t="shared" si="30"/>
        <v>0</v>
      </c>
      <c r="AB94">
        <f t="shared" si="21"/>
        <v>0</v>
      </c>
      <c r="AM94">
        <f t="shared" si="22"/>
        <v>0</v>
      </c>
      <c r="BI94">
        <f>SUM(BI$7:BI$28,BP$7:BP$28,BQ$7:BQ$28,BJ$7:BJ$28,BK18:BK$28,BL$7:BL$28,BM$7:BM$28,BN$7:BN$28)*(BH94)</f>
        <v>0</v>
      </c>
      <c r="BT94">
        <f>SUM(BT$7:BT$28,CA$7:CA$28,CB$7:CB$28,BU$7:BU$28,BV18:BV$28,BW$7:BW$28,BX$7:BX$28,BY$7:BY$28)*(BS94)</f>
        <v>0</v>
      </c>
      <c r="CE94">
        <f t="shared" si="23"/>
        <v>0</v>
      </c>
      <c r="CJ94">
        <f t="shared" si="2"/>
        <v>0</v>
      </c>
      <c r="CO94">
        <f t="shared" si="3"/>
        <v>0</v>
      </c>
      <c r="CY94">
        <f t="shared" si="5"/>
        <v>0</v>
      </c>
      <c r="DD94">
        <f t="shared" si="6"/>
        <v>0</v>
      </c>
      <c r="DI94">
        <f t="shared" si="7"/>
        <v>0</v>
      </c>
      <c r="DN94">
        <f t="shared" si="8"/>
        <v>0</v>
      </c>
      <c r="DS94">
        <f t="shared" si="24"/>
        <v>0</v>
      </c>
      <c r="DX94">
        <f t="shared" si="25"/>
        <v>0</v>
      </c>
      <c r="EC94">
        <f t="shared" si="11"/>
        <v>0</v>
      </c>
      <c r="EH94">
        <f t="shared" si="12"/>
        <v>0</v>
      </c>
      <c r="EM94">
        <f t="shared" si="26"/>
        <v>0</v>
      </c>
      <c r="ER94">
        <f t="shared" si="27"/>
        <v>0</v>
      </c>
      <c r="EW94">
        <f t="shared" si="15"/>
        <v>0</v>
      </c>
      <c r="FB94">
        <f t="shared" si="16"/>
        <v>0</v>
      </c>
      <c r="FG94">
        <f t="shared" si="28"/>
        <v>0</v>
      </c>
      <c r="FM94">
        <f t="shared" si="29"/>
        <v>0</v>
      </c>
      <c r="FQ94" s="420">
        <f>'EXTRAS (2)'!D27</f>
        <v>0</v>
      </c>
      <c r="FR94" s="420">
        <f>'EXTRAS (2)'!E27</f>
        <v>0</v>
      </c>
      <c r="FU94" s="420">
        <f t="shared" si="20"/>
        <v>0</v>
      </c>
    </row>
    <row r="95" spans="2:177">
      <c r="B95" s="399" t="s">
        <v>787</v>
      </c>
      <c r="C95" s="400" t="s">
        <v>0</v>
      </c>
      <c r="Q95">
        <f t="shared" si="30"/>
        <v>0</v>
      </c>
      <c r="AB95">
        <f t="shared" si="21"/>
        <v>0</v>
      </c>
      <c r="AM95">
        <f t="shared" si="22"/>
        <v>0</v>
      </c>
      <c r="BI95">
        <f>SUM(BI$7:BI$28,BP$7:BP$28,BQ$7:BQ$28,BJ$7:BJ$28,BK19:BK$28,BL$7:BL$28,BM$7:BM$28,BN$7:BN$28)*(BH95)</f>
        <v>0</v>
      </c>
      <c r="BT95">
        <f>SUM(BT$7:BT$28,CA$7:CA$28,CB$7:CB$28,BU$7:BU$28,BV19:BV$28,BW$7:BW$28,BX$7:BX$28,BY$7:BY$28)*(BS95)</f>
        <v>0</v>
      </c>
      <c r="CE95">
        <f t="shared" si="23"/>
        <v>0</v>
      </c>
      <c r="CJ95">
        <f t="shared" si="2"/>
        <v>0</v>
      </c>
      <c r="CO95">
        <f t="shared" si="3"/>
        <v>0</v>
      </c>
      <c r="CY95">
        <f t="shared" si="5"/>
        <v>0</v>
      </c>
      <c r="DD95">
        <f t="shared" si="6"/>
        <v>0</v>
      </c>
      <c r="DI95">
        <f t="shared" si="7"/>
        <v>0</v>
      </c>
      <c r="DN95">
        <f t="shared" si="8"/>
        <v>0</v>
      </c>
      <c r="DS95">
        <f t="shared" si="24"/>
        <v>0</v>
      </c>
      <c r="DX95">
        <f t="shared" si="25"/>
        <v>0</v>
      </c>
      <c r="EC95">
        <f t="shared" si="11"/>
        <v>0</v>
      </c>
      <c r="EH95">
        <f t="shared" si="12"/>
        <v>0</v>
      </c>
      <c r="EM95">
        <f t="shared" si="26"/>
        <v>0</v>
      </c>
      <c r="ER95">
        <f t="shared" si="27"/>
        <v>0</v>
      </c>
      <c r="EW95">
        <f t="shared" si="15"/>
        <v>0</v>
      </c>
      <c r="FB95">
        <f t="shared" si="16"/>
        <v>0</v>
      </c>
      <c r="FG95">
        <f t="shared" si="28"/>
        <v>0</v>
      </c>
      <c r="FM95">
        <f t="shared" si="29"/>
        <v>0</v>
      </c>
      <c r="FQ95" s="420">
        <f>'EXTRAS (2)'!D28</f>
        <v>0</v>
      </c>
      <c r="FR95" s="420">
        <f>'EXTRAS (2)'!E28</f>
        <v>0</v>
      </c>
      <c r="FU95" s="420">
        <f t="shared" si="20"/>
        <v>0</v>
      </c>
    </row>
    <row r="96" spans="2:177">
      <c r="B96" s="399" t="s">
        <v>788</v>
      </c>
      <c r="C96" s="400" t="s">
        <v>0</v>
      </c>
      <c r="Q96">
        <f t="shared" si="30"/>
        <v>0</v>
      </c>
      <c r="AB96">
        <f t="shared" si="21"/>
        <v>0</v>
      </c>
      <c r="AM96">
        <f t="shared" si="22"/>
        <v>0</v>
      </c>
      <c r="BI96">
        <f>SUM(BI$7:BI$28,BP$7:BP$28,BQ$7:BQ$28,BJ$7:BJ$28,BK20:BK$28,BL$7:BL$28,BM$7:BM$28,BN$7:BN$28)*(BH96)</f>
        <v>0</v>
      </c>
      <c r="BT96">
        <f>SUM(BT$7:BT$28,CA$7:CA$28,CB$7:CB$28,BU$7:BU$28,BV20:BV$28,BW$7:BW$28,BX$7:BX$28,BY$7:BY$28)*(BS96)</f>
        <v>0</v>
      </c>
      <c r="CD96" s="406"/>
      <c r="CE96">
        <f t="shared" si="23"/>
        <v>0</v>
      </c>
      <c r="CJ96">
        <f t="shared" si="2"/>
        <v>0</v>
      </c>
      <c r="CO96">
        <f t="shared" si="3"/>
        <v>0</v>
      </c>
      <c r="CY96">
        <f t="shared" si="5"/>
        <v>0</v>
      </c>
      <c r="DD96">
        <f t="shared" si="6"/>
        <v>0</v>
      </c>
      <c r="DI96">
        <f t="shared" si="7"/>
        <v>0</v>
      </c>
      <c r="DN96">
        <f t="shared" si="8"/>
        <v>0</v>
      </c>
      <c r="DS96">
        <f t="shared" si="24"/>
        <v>0</v>
      </c>
      <c r="DX96">
        <f t="shared" si="25"/>
        <v>0</v>
      </c>
      <c r="EC96">
        <f t="shared" si="11"/>
        <v>0</v>
      </c>
      <c r="EH96">
        <f t="shared" si="12"/>
        <v>0</v>
      </c>
      <c r="EM96">
        <f t="shared" si="26"/>
        <v>0</v>
      </c>
      <c r="ER96">
        <f t="shared" si="27"/>
        <v>0</v>
      </c>
      <c r="EW96">
        <f t="shared" si="15"/>
        <v>0</v>
      </c>
      <c r="FB96">
        <f t="shared" si="16"/>
        <v>0</v>
      </c>
      <c r="FG96">
        <f t="shared" si="28"/>
        <v>0</v>
      </c>
      <c r="FM96">
        <f t="shared" si="29"/>
        <v>0</v>
      </c>
      <c r="FQ96" s="420">
        <f>'EXTRAS (2)'!D29</f>
        <v>0</v>
      </c>
      <c r="FR96" s="420">
        <f>'EXTRAS (2)'!E29</f>
        <v>0</v>
      </c>
      <c r="FU96" s="420">
        <f t="shared" si="20"/>
        <v>0</v>
      </c>
    </row>
    <row r="97" spans="1:177">
      <c r="B97" s="399" t="s">
        <v>1009</v>
      </c>
      <c r="C97" s="400" t="s">
        <v>0</v>
      </c>
      <c r="E97">
        <v>3</v>
      </c>
      <c r="F97">
        <f>SUM(F$7:F$28,M$7:M$28,N$7:N$28,G$7:G$28,H$7:H$28,I$7:I$28,J$7:J$28,K$7:K$28,L$7:L$28)*(E97)</f>
        <v>0</v>
      </c>
      <c r="P97">
        <v>3</v>
      </c>
      <c r="Q97">
        <f>SUM(Q$7:Q$28,X$7:X$28,Y$7:Y$28,R$7:R$28,S$7:S$28,T$7:T$28,U$7:U$28,V$7:V$28,W$7:W$28)*(P97)</f>
        <v>0</v>
      </c>
      <c r="AA97">
        <v>2</v>
      </c>
      <c r="AB97">
        <f t="shared" si="21"/>
        <v>0</v>
      </c>
      <c r="AL97">
        <v>2</v>
      </c>
      <c r="AM97">
        <f t="shared" si="22"/>
        <v>0</v>
      </c>
      <c r="BI97">
        <f>SUM(BI$7:BI$28,BP$7:BP$28,BQ$7:BQ$28,BJ$7:BJ$28,BK21:BK$28,BL$7:BL$28,BM$7:BM$28,BN$7:BN$28)*(BH97)</f>
        <v>0</v>
      </c>
      <c r="BT97">
        <f>SUM(BT$7:BT$28,CA$7:CA$28,CB$7:CB$28,BU$7:BU$28,BV21:BV$28,BW$7:BW$28,BX$7:BX$28,BY$7:BY$28)*(BS97)</f>
        <v>0</v>
      </c>
      <c r="CD97" s="406"/>
      <c r="CE97">
        <f t="shared" si="23"/>
        <v>0</v>
      </c>
      <c r="CJ97">
        <f t="shared" si="2"/>
        <v>0</v>
      </c>
      <c r="CO97">
        <f t="shared" si="3"/>
        <v>0</v>
      </c>
      <c r="CX97">
        <v>3</v>
      </c>
      <c r="CY97">
        <f t="shared" si="5"/>
        <v>0</v>
      </c>
      <c r="DC97">
        <v>2</v>
      </c>
      <c r="DD97">
        <f t="shared" si="6"/>
        <v>0</v>
      </c>
      <c r="DH97">
        <v>4</v>
      </c>
      <c r="DI97">
        <f t="shared" si="7"/>
        <v>0</v>
      </c>
      <c r="DM97">
        <v>2</v>
      </c>
      <c r="DN97">
        <f t="shared" si="8"/>
        <v>0</v>
      </c>
      <c r="DS97">
        <f t="shared" si="24"/>
        <v>0</v>
      </c>
      <c r="DX97">
        <f t="shared" si="25"/>
        <v>0</v>
      </c>
      <c r="EC97">
        <f t="shared" si="11"/>
        <v>0</v>
      </c>
      <c r="EH97">
        <f t="shared" si="12"/>
        <v>0</v>
      </c>
      <c r="EL97">
        <v>2</v>
      </c>
      <c r="EM97">
        <f t="shared" si="26"/>
        <v>0</v>
      </c>
      <c r="EQ97">
        <v>2</v>
      </c>
      <c r="ER97">
        <f t="shared" si="27"/>
        <v>0</v>
      </c>
      <c r="EW97">
        <f t="shared" si="15"/>
        <v>0</v>
      </c>
      <c r="FB97">
        <f t="shared" si="16"/>
        <v>0</v>
      </c>
      <c r="FF97">
        <v>2</v>
      </c>
      <c r="FG97">
        <f t="shared" si="28"/>
        <v>0</v>
      </c>
      <c r="FL97">
        <v>2</v>
      </c>
      <c r="FM97">
        <f t="shared" si="29"/>
        <v>0</v>
      </c>
      <c r="FQ97" s="420">
        <f>'EXTRAS (2)'!D30</f>
        <v>0</v>
      </c>
      <c r="FR97" s="420">
        <f>'EXTRAS (2)'!E30</f>
        <v>0</v>
      </c>
      <c r="FU97" s="420">
        <f t="shared" si="20"/>
        <v>0</v>
      </c>
    </row>
    <row r="98" spans="1:177">
      <c r="B98" s="399" t="s">
        <v>789</v>
      </c>
      <c r="C98" s="400" t="s">
        <v>0</v>
      </c>
      <c r="Q98">
        <f>SUM(Q$7:Q$28,X$7:X$28,Y$7:Y$28)*(P98)</f>
        <v>0</v>
      </c>
      <c r="AB98">
        <f t="shared" si="21"/>
        <v>0</v>
      </c>
      <c r="AM98">
        <f t="shared" si="22"/>
        <v>0</v>
      </c>
      <c r="BI98">
        <f>SUM(BI$7:BI$28,BP$7:BP$28,BQ$7:BQ$28,BJ$7:BJ$28,BK22:BK$28,BL$7:BL$28,BM$7:BM$28,BN$7:BN$28)*(BH98)</f>
        <v>0</v>
      </c>
      <c r="BT98">
        <f>SUM(BT$7:BT$28,CA$7:CA$28,CB$7:CB$28,BU$7:BU$28,BV22:BV$28,BW$7:BW$28,BX$7:BX$28,BY$7:BY$28)*(BS98)</f>
        <v>0</v>
      </c>
      <c r="CD98" s="406"/>
      <c r="CE98">
        <f t="shared" si="23"/>
        <v>0</v>
      </c>
      <c r="CJ98">
        <f t="shared" si="2"/>
        <v>0</v>
      </c>
      <c r="CO98">
        <f t="shared" si="3"/>
        <v>0</v>
      </c>
      <c r="CY98">
        <f t="shared" si="5"/>
        <v>0</v>
      </c>
      <c r="DD98">
        <f t="shared" si="6"/>
        <v>0</v>
      </c>
      <c r="DI98">
        <f t="shared" si="7"/>
        <v>0</v>
      </c>
      <c r="DN98">
        <f t="shared" si="8"/>
        <v>0</v>
      </c>
      <c r="DS98">
        <f t="shared" si="24"/>
        <v>0</v>
      </c>
      <c r="DX98">
        <f t="shared" si="25"/>
        <v>0</v>
      </c>
      <c r="EC98">
        <f t="shared" si="11"/>
        <v>0</v>
      </c>
      <c r="EH98">
        <f t="shared" si="12"/>
        <v>0</v>
      </c>
      <c r="EM98">
        <f t="shared" si="26"/>
        <v>0</v>
      </c>
      <c r="ER98">
        <f t="shared" si="27"/>
        <v>0</v>
      </c>
      <c r="EW98">
        <f t="shared" si="15"/>
        <v>0</v>
      </c>
      <c r="FB98">
        <f t="shared" si="16"/>
        <v>0</v>
      </c>
      <c r="FG98">
        <f t="shared" si="28"/>
        <v>0</v>
      </c>
      <c r="FM98">
        <f t="shared" si="29"/>
        <v>0</v>
      </c>
      <c r="FQ98" s="420">
        <f>'EXTRAS (2)'!D31</f>
        <v>0</v>
      </c>
      <c r="FR98" s="420">
        <f>'EXTRAS (2)'!E31</f>
        <v>0</v>
      </c>
      <c r="FU98" s="420">
        <f t="shared" si="20"/>
        <v>0</v>
      </c>
    </row>
    <row r="99" spans="1:177">
      <c r="B99" s="399" t="s">
        <v>790</v>
      </c>
      <c r="C99" s="400" t="s">
        <v>0</v>
      </c>
      <c r="Q99">
        <f>SUM(Q$7:Q$28,X$7:X$28,Y$7:Y$28)*(P99)</f>
        <v>0</v>
      </c>
      <c r="AB99">
        <f t="shared" si="21"/>
        <v>0</v>
      </c>
      <c r="AM99">
        <f t="shared" si="22"/>
        <v>0</v>
      </c>
      <c r="BI99">
        <f>SUM(BI$7:BI$28,BP$7:BP$28,BQ$7:BQ$28,BJ$7:BJ$28,BK23:BK$28,BL$7:BL$28,BM$7:BM$28,BN$7:BN$28)*(BH99)</f>
        <v>0</v>
      </c>
      <c r="BT99">
        <f>SUM(BT$7:BT$28,CA$7:CA$28,CB$7:CB$28,BU$7:BU$28,BV23:BV$28,BW$7:BW$28,BX$7:BX$28,BY$7:BY$28)*(BS99)</f>
        <v>0</v>
      </c>
      <c r="CD99" s="406"/>
      <c r="CE99">
        <f t="shared" si="23"/>
        <v>0</v>
      </c>
      <c r="CJ99">
        <f t="shared" si="2"/>
        <v>0</v>
      </c>
      <c r="CO99">
        <f t="shared" si="3"/>
        <v>0</v>
      </c>
      <c r="CY99">
        <f t="shared" si="5"/>
        <v>0</v>
      </c>
      <c r="DD99">
        <f t="shared" si="6"/>
        <v>0</v>
      </c>
      <c r="DI99">
        <f t="shared" si="7"/>
        <v>0</v>
      </c>
      <c r="DN99">
        <f t="shared" si="8"/>
        <v>0</v>
      </c>
      <c r="DS99">
        <f t="shared" si="24"/>
        <v>0</v>
      </c>
      <c r="DX99">
        <f t="shared" si="25"/>
        <v>0</v>
      </c>
      <c r="EC99">
        <f t="shared" si="11"/>
        <v>0</v>
      </c>
      <c r="EH99">
        <f t="shared" si="12"/>
        <v>0</v>
      </c>
      <c r="EM99">
        <f t="shared" si="26"/>
        <v>0</v>
      </c>
      <c r="ER99">
        <f t="shared" si="27"/>
        <v>0</v>
      </c>
      <c r="EW99">
        <f t="shared" si="15"/>
        <v>0</v>
      </c>
      <c r="FB99">
        <f t="shared" si="16"/>
        <v>0</v>
      </c>
      <c r="FG99">
        <f t="shared" si="28"/>
        <v>0</v>
      </c>
      <c r="FM99">
        <f t="shared" si="29"/>
        <v>0</v>
      </c>
      <c r="FQ99" s="420">
        <f>'EXTRAS (2)'!D32</f>
        <v>0</v>
      </c>
      <c r="FR99" s="420">
        <f>'EXTRAS (2)'!E32</f>
        <v>0</v>
      </c>
      <c r="FU99" s="420">
        <f t="shared" si="20"/>
        <v>0</v>
      </c>
    </row>
    <row r="100" spans="1:177" s="411" customFormat="1">
      <c r="A100" s="412"/>
      <c r="B100" s="409" t="s">
        <v>2</v>
      </c>
      <c r="C100" s="400" t="s">
        <v>0</v>
      </c>
      <c r="D100" s="186"/>
      <c r="E100" s="411">
        <v>4</v>
      </c>
      <c r="F100">
        <f>SUM(F$7:F$17,M$7:M$17,N$7:N$17,G$7:G$17,H$7:H$17,J$7:J$17,L$7:L$17)*(E100)</f>
        <v>0</v>
      </c>
      <c r="G100" s="410"/>
      <c r="H100" s="410"/>
      <c r="I100" s="410"/>
      <c r="J100" s="410"/>
      <c r="K100" s="410"/>
      <c r="L100" s="410"/>
      <c r="P100" s="411">
        <v>3</v>
      </c>
      <c r="Q100">
        <f>SUM(Q$7:Q$17,X$7:X$17,Y$7:Y$17,R$7:R$17,S$7:S$17,U$7:U$17,W$7:W$17)*(P100)</f>
        <v>0</v>
      </c>
      <c r="R100" s="410"/>
      <c r="S100" s="410"/>
      <c r="T100" s="410"/>
      <c r="U100" s="410"/>
      <c r="V100" s="410"/>
      <c r="W100" s="410"/>
      <c r="Z100" s="186"/>
      <c r="AA100" s="411">
        <v>4</v>
      </c>
      <c r="AB100">
        <f>SUM(AB$7:AB$17,AC$7:AC$17,AD$7:AD$17,AE$7:AE$17,AF$7:AF$17,AG$7:AG$17,AH$7:AH$17,AI$7:AI$17,AJ$7:AJ$17)*(AA100)</f>
        <v>0</v>
      </c>
      <c r="AK100" s="186"/>
      <c r="AL100" s="411">
        <v>3</v>
      </c>
      <c r="AM100">
        <f>SUM(AM$7:AM$17,AN$7:AN$17,AO$7:AO$17,AP$7:AP$17,AQ$7:AQ$17,AR$7:AR$17,AS$7:AS$17,AT$7:AT$17,AU$7:AU$17)*(AL100)</f>
        <v>0</v>
      </c>
      <c r="AV100" s="186"/>
      <c r="AW100" s="411">
        <v>7</v>
      </c>
      <c r="AX100" s="411">
        <f>SUM(AX7:AX28,AY7:AY28,AZ7:AZ28,BA7:BA28,BB7:BB28,BC7:BC28,BD7:BD28,BE7:BE28,BF7:BF28)*(AW100)</f>
        <v>0</v>
      </c>
      <c r="BC100" s="161"/>
      <c r="BD100"/>
      <c r="BG100" s="186"/>
      <c r="BH100" s="411">
        <v>3</v>
      </c>
      <c r="BI100">
        <f>SUM(BI$7:BI$28,BP$7:BP$28,BQ$7:BQ$28,BJ$7:BJ$28,BK24:BK$28,BL$7:BL$28,BM$7:BM$28,BN$7:BN$28)*(BH100)</f>
        <v>0</v>
      </c>
      <c r="BJ100"/>
      <c r="BK100"/>
      <c r="BL100"/>
      <c r="BM100"/>
      <c r="BN100"/>
      <c r="BO100"/>
      <c r="BS100" s="411">
        <v>3</v>
      </c>
      <c r="BT100">
        <f>SUM(BT$7:BT$28,CA$7:CA$28,CB$7:CB$28,BU$7:BU$28,BV24:BV$28,BW$7:BW$28,BX$7:BX$28,BY$7:BY$28)*(BS100)</f>
        <v>0</v>
      </c>
      <c r="BU100"/>
      <c r="BV100"/>
      <c r="BW100"/>
      <c r="BX100"/>
      <c r="BY100"/>
      <c r="BZ100"/>
      <c r="CD100" s="410" t="s">
        <v>1008</v>
      </c>
      <c r="CE100" s="410">
        <f>SUM(CE$7:CE$17,CF$7:CF$17,CG$7:CG$17)*(CD100)</f>
        <v>0</v>
      </c>
      <c r="CI100" s="411">
        <v>2</v>
      </c>
      <c r="CJ100" s="410">
        <f>SUM(CJ$7:CJ$17,CK$7:CK$17,CL$7:CL$17)*(CI100)</f>
        <v>0</v>
      </c>
      <c r="CN100" s="411">
        <v>3</v>
      </c>
      <c r="CO100" s="410">
        <f>SUM(CO$7:CO$17,CP$7:CP$17,CQ$7:CQ$17)*(CN100)</f>
        <v>0</v>
      </c>
      <c r="CS100" s="411">
        <v>4</v>
      </c>
      <c r="CT100" s="410">
        <f>SUM(CT$7:CT$17,CU$7:CU$17,CV$7:CV$17)*(CS100)</f>
        <v>0</v>
      </c>
      <c r="CX100" s="411">
        <v>3</v>
      </c>
      <c r="CY100" s="410">
        <f>SUM(CY$7:CY$17,CZ$7:CZ$17,DA$7:DA$17)*(CX100)</f>
        <v>0</v>
      </c>
      <c r="DC100" s="411">
        <v>3</v>
      </c>
      <c r="DD100" s="410">
        <f>SUM(DD$7:DD$17,DE$7:DE$17,DF$7:DF$17)*(DC100)</f>
        <v>0</v>
      </c>
      <c r="DH100" s="411">
        <v>6</v>
      </c>
      <c r="DI100" s="410">
        <f>SUM(DI$7:DI$17,DJ$7:DJ$17,DK$7:DK$17)*(DH100)</f>
        <v>0</v>
      </c>
      <c r="DL100" s="186"/>
      <c r="DM100" s="411">
        <v>2</v>
      </c>
      <c r="DN100" s="410">
        <f>SUM(DN$7:DN$17,DO$7:DO$17,DP$7:DP$17)*(DM100)</f>
        <v>0</v>
      </c>
      <c r="DR100" s="411" t="s">
        <v>1017</v>
      </c>
      <c r="DS100">
        <f>SUM(DS7:DS17,DT7:DT17,DU7:DU17)*(9)+SUM(DS18:DS28,DT18:DT28,DU18:DU28)*(3)</f>
        <v>0</v>
      </c>
      <c r="DW100" s="411" t="s">
        <v>1018</v>
      </c>
      <c r="DX100">
        <f>SUM(DX7:DX17,DY7:DY17,DZ7:DZ17)*(8)+SUM(DX18:DX28,DY18:DY28,DZ18:DZ28)*(7)</f>
        <v>0</v>
      </c>
      <c r="EC100" s="410">
        <f>SUM(EC$7:EC$17,ED$7:ED$17,EE$7:EE$17)*(EB100)</f>
        <v>0</v>
      </c>
      <c r="EH100" s="410">
        <f>SUM(EH$7:EH$17,EI$7:EI$17,EJ$7:EJ$17)*(EG100)</f>
        <v>0</v>
      </c>
      <c r="EL100" s="411">
        <v>5</v>
      </c>
      <c r="EM100">
        <f>SUM(EM$7:EM$17,EN$7:EN$17,EO$7:EO$17)*(EL100)+SUM(EM$18:EM$28,EN$18:EN$28,EO$18:EO$28)*(2)</f>
        <v>0</v>
      </c>
      <c r="EQ100" s="411">
        <v>5</v>
      </c>
      <c r="ER100">
        <f>SUM(ER$7:ER$17,ES$7:ES$17,ET$7:ET$17)*(EQ100)+SUM(ER$18:ER$28,ES$18:ES$28,ET$18:ET$28)*(4)</f>
        <v>0</v>
      </c>
      <c r="EV100" s="411">
        <v>8</v>
      </c>
      <c r="EW100">
        <f>SUM(EW$7:EW$17,EX$7:EX$17,EY$7:EY$17)*(EV100)+SUM(EW$18:EW$28,EX$18:EX$28,EY$18:EY$28)*(2)</f>
        <v>0</v>
      </c>
      <c r="FA100" s="411">
        <v>7</v>
      </c>
      <c r="FB100">
        <f>SUM(FB$7:FB$17,FC$7:FC$17,FD$7:FD$17)*(FA100)+SUM(FB$18:FB$28,FC$18:FC$28,FD$18:FD$28)*(2)</f>
        <v>0</v>
      </c>
      <c r="FF100" s="411">
        <v>5</v>
      </c>
      <c r="FG100">
        <f t="shared" si="28"/>
        <v>0</v>
      </c>
      <c r="FL100" s="411">
        <v>8</v>
      </c>
      <c r="FM100">
        <f>SUM(FM$7:FM$17,FN$7:FN$17,FO$7:FO$17)*(FL100)+SUM(FM$18:FM$28,FN$18:FN$28,FO$18:FO$28)*(2)</f>
        <v>0</v>
      </c>
      <c r="FP100" s="186"/>
      <c r="FQ100" s="420">
        <f>'EXTRAS (2)'!D33</f>
        <v>0</v>
      </c>
      <c r="FR100" s="420">
        <f>'EXTRAS (2)'!E33</f>
        <v>0</v>
      </c>
      <c r="FS100" s="797"/>
      <c r="FT100" s="797"/>
      <c r="FU100" s="420">
        <f t="shared" si="20"/>
        <v>0</v>
      </c>
    </row>
    <row r="101" spans="1:177">
      <c r="B101" s="399" t="s">
        <v>791</v>
      </c>
      <c r="C101" s="400" t="s">
        <v>0</v>
      </c>
      <c r="Q101">
        <f t="shared" ref="Q101:Q124" si="31">SUM(Q$7:Q$28,X$7:X$28,Y$7:Y$28)*(P101)</f>
        <v>0</v>
      </c>
      <c r="AB101">
        <f t="shared" ref="AB101:AB149" si="32">SUM(AB$7:AB$28,AC$7:AC$28,AD$7:AD$28,AE$7:AE$28,AF$7:AF$28,AG$7:AG$28,AH$7:AH$28,AI$7:AI$28,AJ$7:AJ$28)*(AA101)</f>
        <v>0</v>
      </c>
      <c r="AM101">
        <f t="shared" ref="AM101:AM172" si="33">SUM(AM$7:AM$28,AN$7:AN$28,AO$7:AO$28,AP$7:AP$28,AQ$7:AQ$28,AR$7:AR$28,AS$7:AS$28,AT$7:AT$28,AU$7:AU$28)*(AL101)</f>
        <v>0</v>
      </c>
      <c r="BI101">
        <f>SUM(BI$7:BI$28,BP$7:BP$28,BQ$7:BQ$28,BJ$7:BJ$28,BK25:BK$28,BL$7:BL$28,BM$7:BM$28,BN$7:BN$28)*(BH101)</f>
        <v>0</v>
      </c>
      <c r="BT101">
        <f>SUM(BT$7:BT$28,CA$7:CA$28,CB$7:CB$28,BU$7:BU$28,BV25:BV$28,BW$7:BW$28,BX$7:BX$28,BY$7:BY$28)*(BS101)</f>
        <v>0</v>
      </c>
      <c r="CD101" s="406"/>
      <c r="CE101">
        <f t="shared" ref="CE101:CE124" si="34">SUM(CE$7:CE$28,CF$7:CF$28,CG$7:CG$28)*(CD101)</f>
        <v>0</v>
      </c>
      <c r="CJ101">
        <f t="shared" si="2"/>
        <v>0</v>
      </c>
      <c r="CO101">
        <f t="shared" si="3"/>
        <v>0</v>
      </c>
      <c r="CY101">
        <f t="shared" si="5"/>
        <v>0</v>
      </c>
      <c r="DD101">
        <f t="shared" si="6"/>
        <v>0</v>
      </c>
      <c r="DI101">
        <f t="shared" si="7"/>
        <v>0</v>
      </c>
      <c r="DN101">
        <f t="shared" ref="DN101:DN192" si="35">SUM(DN$7:DN$28,DO$7:DO$28,DP$7:DP$28)*(DM101)</f>
        <v>0</v>
      </c>
      <c r="DS101">
        <f t="shared" ref="DS101:DS124" si="36">SUM(DS$7:DS$28,DT$7:DT$28,DU$7:DU$28)*(DR101)</f>
        <v>0</v>
      </c>
      <c r="DX101">
        <f t="shared" ref="DX101:DX124" si="37">SUM(DX$7:DX$28,DY$7:DY$28,DZ$7:DZ$28)*(DW101)</f>
        <v>0</v>
      </c>
      <c r="EC101">
        <f t="shared" ref="EC101:EC124" si="38">SUM(EC$7:EC$28,ED$7:ED$28,EE$7:EE$28)*(EB101)</f>
        <v>0</v>
      </c>
      <c r="EH101">
        <f t="shared" ref="EH101:EH124" si="39">SUM(EH$7:EH$28,EI$7:EI$28,EJ$7:EJ$28)*(EG101)</f>
        <v>0</v>
      </c>
      <c r="EM101">
        <f t="shared" ref="EM101:EM124" si="40">SUM(EM$7:EM$28,EN$7:EN$28,EO$7:EO$28)*(EL101)</f>
        <v>0</v>
      </c>
      <c r="ER101">
        <f t="shared" ref="ER101:ER124" si="41">SUM(ER$7:ER$28,ES$7:ES$28,ET$7:ET$28)*(EQ101)</f>
        <v>0</v>
      </c>
      <c r="EW101">
        <f t="shared" ref="EW101:EW124" si="42">SUM(EW$7:EW$28,EX$7:EX$28,EY$7:EY$28)*(EV101)</f>
        <v>0</v>
      </c>
      <c r="FB101">
        <f t="shared" ref="FB101:FB150" si="43">SUM(FB$7:FB$28,FC$7:FC$28,FD$7:FD$28)*(FA101)</f>
        <v>0</v>
      </c>
      <c r="FG101">
        <f t="shared" si="28"/>
        <v>0</v>
      </c>
      <c r="FM101">
        <f t="shared" ref="FM101:FM124" si="44">SUM(FM$7:FM$28,FN$7:FN$28,FO$7:FO$28)*(FL101)</f>
        <v>0</v>
      </c>
      <c r="FQ101" s="420">
        <f>'EXTRAS (2)'!D34</f>
        <v>0</v>
      </c>
      <c r="FR101" s="420">
        <f>'EXTRAS (2)'!E34</f>
        <v>0</v>
      </c>
      <c r="FU101" s="420">
        <f t="shared" si="20"/>
        <v>0</v>
      </c>
    </row>
    <row r="102" spans="1:177">
      <c r="B102" s="399" t="s">
        <v>1007</v>
      </c>
      <c r="C102" s="400" t="s">
        <v>0</v>
      </c>
      <c r="Q102">
        <f t="shared" si="31"/>
        <v>0</v>
      </c>
      <c r="AB102">
        <f t="shared" si="32"/>
        <v>0</v>
      </c>
      <c r="AM102">
        <f t="shared" si="33"/>
        <v>0</v>
      </c>
      <c r="BI102">
        <f>SUM(BI$7:BI$28,BP$7:BP$28,BQ$7:BQ$28,BJ$7:BJ$28,BK26:BK$28,BL$7:BL$28,BM$7:BM$28,BN$7:BN$28)*(BH102)</f>
        <v>0</v>
      </c>
      <c r="BT102">
        <f>SUM(BT$7:BT$28,CA$7:CA$28,CB$7:CB$28,BU$7:BU$28,BV26:BV$28,BW$7:BW$28,BX$7:BX$28,BY$7:BY$28)*(BS102)</f>
        <v>0</v>
      </c>
      <c r="CD102" s="406"/>
      <c r="CE102">
        <f t="shared" si="34"/>
        <v>0</v>
      </c>
      <c r="CJ102">
        <f t="shared" si="2"/>
        <v>0</v>
      </c>
      <c r="CN102">
        <v>1</v>
      </c>
      <c r="CO102">
        <f t="shared" si="3"/>
        <v>0</v>
      </c>
      <c r="CS102">
        <v>1</v>
      </c>
      <c r="CT102">
        <f>SUM(CT$7:CT$28,CU$7:CU$28,CV$7:CV$28)*(CS102)</f>
        <v>0</v>
      </c>
      <c r="CY102">
        <f t="shared" si="5"/>
        <v>0</v>
      </c>
      <c r="DD102">
        <f t="shared" si="6"/>
        <v>0</v>
      </c>
      <c r="DI102">
        <f t="shared" si="7"/>
        <v>0</v>
      </c>
      <c r="DN102">
        <f t="shared" si="35"/>
        <v>0</v>
      </c>
      <c r="DS102">
        <f t="shared" si="36"/>
        <v>0</v>
      </c>
      <c r="DX102">
        <f t="shared" si="37"/>
        <v>0</v>
      </c>
      <c r="EC102">
        <f t="shared" si="38"/>
        <v>0</v>
      </c>
      <c r="EH102">
        <f t="shared" si="39"/>
        <v>0</v>
      </c>
      <c r="EM102">
        <f t="shared" si="40"/>
        <v>0</v>
      </c>
      <c r="ER102">
        <f t="shared" si="41"/>
        <v>0</v>
      </c>
      <c r="EW102">
        <f t="shared" si="42"/>
        <v>0</v>
      </c>
      <c r="FA102">
        <v>1</v>
      </c>
      <c r="FB102">
        <f t="shared" si="43"/>
        <v>0</v>
      </c>
      <c r="FG102">
        <f t="shared" si="28"/>
        <v>0</v>
      </c>
      <c r="FM102">
        <f t="shared" si="44"/>
        <v>0</v>
      </c>
      <c r="FQ102" s="420">
        <f>'EXTRAS (2)'!D35</f>
        <v>0</v>
      </c>
      <c r="FR102" s="420">
        <f>'EXTRAS (2)'!E35</f>
        <v>0</v>
      </c>
      <c r="FU102" s="420">
        <f t="shared" si="20"/>
        <v>0</v>
      </c>
    </row>
    <row r="103" spans="1:177">
      <c r="B103" s="399" t="s">
        <v>792</v>
      </c>
      <c r="C103" s="400" t="s">
        <v>0</v>
      </c>
      <c r="Q103">
        <f t="shared" si="31"/>
        <v>0</v>
      </c>
      <c r="AB103">
        <f t="shared" si="32"/>
        <v>0</v>
      </c>
      <c r="AM103">
        <f t="shared" si="33"/>
        <v>0</v>
      </c>
      <c r="BI103">
        <f>SUM(BI$7:BI$28,BP$7:BP$28,BQ$7:BQ$28,BJ$7:BJ$28,BK27:BK$28,BL$7:BL$28,BM$7:BM$28,BN$7:BN$28)*(BH103)</f>
        <v>0</v>
      </c>
      <c r="BT103">
        <f>SUM(BT$7:BT$28,CA$7:CA$28,CB$7:CB$28,BU$7:BU$28,BV27:BV$28,BW$7:BW$28,BX$7:BX$28,BY$7:BY$28)*(BS103)</f>
        <v>0</v>
      </c>
      <c r="CD103" s="406"/>
      <c r="CE103">
        <f t="shared" si="34"/>
        <v>0</v>
      </c>
      <c r="CJ103">
        <f t="shared" si="2"/>
        <v>0</v>
      </c>
      <c r="CO103">
        <f t="shared" si="3"/>
        <v>0</v>
      </c>
      <c r="CY103">
        <f t="shared" si="5"/>
        <v>0</v>
      </c>
      <c r="DD103">
        <f t="shared" si="6"/>
        <v>0</v>
      </c>
      <c r="DI103">
        <f t="shared" si="7"/>
        <v>0</v>
      </c>
      <c r="DN103">
        <f t="shared" si="35"/>
        <v>0</v>
      </c>
      <c r="DS103">
        <f t="shared" si="36"/>
        <v>0</v>
      </c>
      <c r="DX103">
        <f t="shared" si="37"/>
        <v>0</v>
      </c>
      <c r="EC103">
        <f t="shared" si="38"/>
        <v>0</v>
      </c>
      <c r="EH103">
        <f t="shared" si="39"/>
        <v>0</v>
      </c>
      <c r="EM103">
        <f t="shared" si="40"/>
        <v>0</v>
      </c>
      <c r="ER103">
        <f t="shared" si="41"/>
        <v>0</v>
      </c>
      <c r="EW103">
        <f t="shared" si="42"/>
        <v>0</v>
      </c>
      <c r="FB103">
        <f t="shared" si="43"/>
        <v>0</v>
      </c>
      <c r="FG103">
        <f t="shared" si="28"/>
        <v>0</v>
      </c>
      <c r="FM103">
        <f t="shared" si="44"/>
        <v>0</v>
      </c>
      <c r="FQ103" s="420">
        <f>'EXTRAS (2)'!D36</f>
        <v>0</v>
      </c>
      <c r="FR103" s="420">
        <f>'EXTRAS (2)'!E36</f>
        <v>0</v>
      </c>
      <c r="FU103" s="420">
        <f t="shared" si="20"/>
        <v>0</v>
      </c>
    </row>
    <row r="104" spans="1:177">
      <c r="B104" s="399" t="s">
        <v>793</v>
      </c>
      <c r="C104" s="400" t="s">
        <v>0</v>
      </c>
      <c r="Q104">
        <f t="shared" si="31"/>
        <v>0</v>
      </c>
      <c r="AB104">
        <f t="shared" si="32"/>
        <v>0</v>
      </c>
      <c r="AM104">
        <f t="shared" si="33"/>
        <v>0</v>
      </c>
      <c r="BI104">
        <f>SUM(BI$7:BI$28,BP$7:BP$28,BQ$7:BQ$28,BJ$7:BJ$28,BK28:BK$28,BL$7:BL$28,BM$7:BM$28,BN$7:BN$28)*(BH104)</f>
        <v>0</v>
      </c>
      <c r="BT104">
        <f>SUM(BT$7:BT$28,CA$7:CA$28,CB$7:CB$28,BU$7:BU$28,BV28:BV$28,BW$7:BW$28,BX$7:BX$28,BY$7:BY$28)*(BS104)</f>
        <v>0</v>
      </c>
      <c r="CD104" s="406"/>
      <c r="CE104">
        <f t="shared" si="34"/>
        <v>0</v>
      </c>
      <c r="CJ104">
        <f t="shared" si="2"/>
        <v>0</v>
      </c>
      <c r="CO104">
        <f t="shared" si="3"/>
        <v>0</v>
      </c>
      <c r="CY104">
        <f t="shared" si="5"/>
        <v>0</v>
      </c>
      <c r="DD104">
        <f t="shared" si="6"/>
        <v>0</v>
      </c>
      <c r="DI104">
        <f t="shared" si="7"/>
        <v>0</v>
      </c>
      <c r="DN104">
        <f t="shared" si="35"/>
        <v>0</v>
      </c>
      <c r="DS104">
        <f t="shared" si="36"/>
        <v>0</v>
      </c>
      <c r="DX104">
        <f t="shared" si="37"/>
        <v>0</v>
      </c>
      <c r="EC104">
        <f t="shared" si="38"/>
        <v>0</v>
      </c>
      <c r="EH104">
        <f t="shared" si="39"/>
        <v>0</v>
      </c>
      <c r="EM104">
        <f t="shared" si="40"/>
        <v>0</v>
      </c>
      <c r="ER104">
        <f t="shared" si="41"/>
        <v>0</v>
      </c>
      <c r="EW104">
        <f t="shared" si="42"/>
        <v>0</v>
      </c>
      <c r="FB104">
        <f t="shared" si="43"/>
        <v>0</v>
      </c>
      <c r="FG104">
        <f t="shared" si="28"/>
        <v>0</v>
      </c>
      <c r="FM104">
        <f t="shared" si="44"/>
        <v>0</v>
      </c>
      <c r="FQ104" s="420">
        <f>'EXTRAS (2)'!D37</f>
        <v>0</v>
      </c>
      <c r="FR104" s="420">
        <f>'EXTRAS (2)'!E37</f>
        <v>0</v>
      </c>
      <c r="FU104" s="420">
        <f t="shared" si="20"/>
        <v>0</v>
      </c>
    </row>
    <row r="105" spans="1:177">
      <c r="B105" s="399" t="s">
        <v>794</v>
      </c>
      <c r="C105" s="400" t="s">
        <v>0</v>
      </c>
      <c r="Q105">
        <f t="shared" si="31"/>
        <v>0</v>
      </c>
      <c r="AB105">
        <f t="shared" si="32"/>
        <v>0</v>
      </c>
      <c r="AM105">
        <f t="shared" si="33"/>
        <v>0</v>
      </c>
      <c r="BI105">
        <f>SUM(BI$7:BI$28,BP$7:BP$28,BQ$7:BQ$28,BJ$7:BJ$28,BK$28:BK29,BL$7:BL$28,BM$7:BM$28,BN$7:BN$28)*(BH105)</f>
        <v>0</v>
      </c>
      <c r="BT105">
        <f>SUM(BT$7:BT$28,CA$7:CA$28,CB$7:CB$28,BU$7:BU$28,BV$28:BV29,BW$7:BW$28,BX$7:BX$28,BY$7:BY$28)*(BS105)</f>
        <v>0</v>
      </c>
      <c r="CD105" s="406"/>
      <c r="CE105">
        <f t="shared" si="34"/>
        <v>0</v>
      </c>
      <c r="CJ105">
        <f t="shared" si="2"/>
        <v>0</v>
      </c>
      <c r="CO105">
        <f t="shared" si="3"/>
        <v>0</v>
      </c>
      <c r="CY105">
        <f t="shared" si="5"/>
        <v>0</v>
      </c>
      <c r="DD105">
        <f t="shared" si="6"/>
        <v>0</v>
      </c>
      <c r="DI105">
        <f t="shared" si="7"/>
        <v>0</v>
      </c>
      <c r="DN105">
        <f t="shared" si="35"/>
        <v>0</v>
      </c>
      <c r="DS105">
        <f t="shared" si="36"/>
        <v>0</v>
      </c>
      <c r="DX105">
        <f t="shared" si="37"/>
        <v>0</v>
      </c>
      <c r="EC105">
        <f t="shared" si="38"/>
        <v>0</v>
      </c>
      <c r="EH105">
        <f t="shared" si="39"/>
        <v>0</v>
      </c>
      <c r="EM105">
        <f t="shared" si="40"/>
        <v>0</v>
      </c>
      <c r="ER105">
        <f t="shared" si="41"/>
        <v>0</v>
      </c>
      <c r="EW105">
        <f t="shared" si="42"/>
        <v>0</v>
      </c>
      <c r="FB105">
        <f t="shared" si="43"/>
        <v>0</v>
      </c>
      <c r="FG105">
        <f t="shared" si="28"/>
        <v>0</v>
      </c>
      <c r="FM105">
        <f t="shared" si="44"/>
        <v>0</v>
      </c>
      <c r="FQ105" s="420">
        <f>'EXTRAS (2)'!D38</f>
        <v>0</v>
      </c>
      <c r="FR105" s="420">
        <f>'EXTRAS (2)'!E38</f>
        <v>0</v>
      </c>
      <c r="FU105" s="420">
        <f t="shared" si="20"/>
        <v>0</v>
      </c>
    </row>
    <row r="106" spans="1:177">
      <c r="B106" s="399" t="s">
        <v>795</v>
      </c>
      <c r="C106" s="400" t="s">
        <v>0</v>
      </c>
      <c r="Q106">
        <f t="shared" si="31"/>
        <v>0</v>
      </c>
      <c r="AB106">
        <f t="shared" si="32"/>
        <v>0</v>
      </c>
      <c r="AM106">
        <f t="shared" si="33"/>
        <v>0</v>
      </c>
      <c r="BI106">
        <f>SUM(BI$7:BI$28,BP$7:BP$28,BQ$7:BQ$28,BJ$7:BJ$28,BK$28:BK30,BL$7:BL$28,BM$7:BM$28,BN$7:BN$28)*(BH106)</f>
        <v>0</v>
      </c>
      <c r="BT106">
        <f>SUM(BT$7:BT$28,CA$7:CA$28,CB$7:CB$28,BU$7:BU$28,BV$28:BV30,BW$7:BW$28,BX$7:BX$28,BY$7:BY$28)*(BS106)</f>
        <v>0</v>
      </c>
      <c r="CD106" s="406"/>
      <c r="CE106">
        <f t="shared" si="34"/>
        <v>0</v>
      </c>
      <c r="CJ106">
        <f t="shared" si="2"/>
        <v>0</v>
      </c>
      <c r="CO106">
        <f t="shared" si="3"/>
        <v>0</v>
      </c>
      <c r="CY106">
        <f t="shared" si="5"/>
        <v>0</v>
      </c>
      <c r="DD106">
        <f t="shared" si="6"/>
        <v>0</v>
      </c>
      <c r="DI106">
        <f t="shared" si="7"/>
        <v>0</v>
      </c>
      <c r="DN106">
        <f t="shared" si="35"/>
        <v>0</v>
      </c>
      <c r="DS106">
        <f t="shared" si="36"/>
        <v>0</v>
      </c>
      <c r="DX106">
        <f t="shared" si="37"/>
        <v>0</v>
      </c>
      <c r="EC106">
        <f t="shared" si="38"/>
        <v>0</v>
      </c>
      <c r="EH106">
        <f t="shared" si="39"/>
        <v>0</v>
      </c>
      <c r="EM106">
        <f t="shared" si="40"/>
        <v>0</v>
      </c>
      <c r="ER106">
        <f t="shared" si="41"/>
        <v>0</v>
      </c>
      <c r="EW106">
        <f t="shared" si="42"/>
        <v>0</v>
      </c>
      <c r="FB106">
        <f t="shared" si="43"/>
        <v>0</v>
      </c>
      <c r="FG106">
        <f t="shared" si="28"/>
        <v>0</v>
      </c>
      <c r="FM106">
        <f t="shared" si="44"/>
        <v>0</v>
      </c>
      <c r="FQ106" s="420">
        <f>'EXTRAS (2)'!D39</f>
        <v>0</v>
      </c>
      <c r="FR106" s="420">
        <f>'EXTRAS (2)'!E39</f>
        <v>0</v>
      </c>
      <c r="FU106" s="420">
        <f t="shared" si="20"/>
        <v>0</v>
      </c>
    </row>
    <row r="107" spans="1:177">
      <c r="B107" s="399" t="s">
        <v>796</v>
      </c>
      <c r="C107" s="400" t="s">
        <v>0</v>
      </c>
      <c r="Q107">
        <f t="shared" si="31"/>
        <v>0</v>
      </c>
      <c r="AB107">
        <f t="shared" si="32"/>
        <v>0</v>
      </c>
      <c r="AM107">
        <f t="shared" si="33"/>
        <v>0</v>
      </c>
      <c r="BI107">
        <f>SUM(BI$7:BI$28,BP$7:BP$28,BQ$7:BQ$28,BJ$7:BJ$28,BK$28:BK31,BL$7:BL$28,BM$7:BM$28,BN$7:BN$28)*(BH107)</f>
        <v>0</v>
      </c>
      <c r="BT107">
        <f>SUM(BT$7:BT$28,CA$7:CA$28,CB$7:CB$28,BU$7:BU$28,BV$28:BV31,BW$7:BW$28,BX$7:BX$28,BY$7:BY$28)*(BS107)</f>
        <v>0</v>
      </c>
      <c r="CD107" s="406"/>
      <c r="CE107">
        <f t="shared" si="34"/>
        <v>0</v>
      </c>
      <c r="CJ107">
        <f t="shared" si="2"/>
        <v>0</v>
      </c>
      <c r="CO107">
        <f t="shared" si="3"/>
        <v>0</v>
      </c>
      <c r="CY107">
        <f t="shared" si="5"/>
        <v>0</v>
      </c>
      <c r="DD107">
        <f t="shared" si="6"/>
        <v>0</v>
      </c>
      <c r="DI107">
        <f t="shared" si="7"/>
        <v>0</v>
      </c>
      <c r="DN107">
        <f t="shared" si="35"/>
        <v>0</v>
      </c>
      <c r="DS107">
        <f t="shared" si="36"/>
        <v>0</v>
      </c>
      <c r="DX107">
        <f t="shared" si="37"/>
        <v>0</v>
      </c>
      <c r="EC107">
        <f t="shared" si="38"/>
        <v>0</v>
      </c>
      <c r="EH107">
        <f t="shared" si="39"/>
        <v>0</v>
      </c>
      <c r="EM107">
        <f t="shared" si="40"/>
        <v>0</v>
      </c>
      <c r="ER107">
        <f t="shared" si="41"/>
        <v>0</v>
      </c>
      <c r="EW107">
        <f t="shared" si="42"/>
        <v>0</v>
      </c>
      <c r="FB107">
        <f t="shared" si="43"/>
        <v>0</v>
      </c>
      <c r="FG107">
        <f t="shared" si="28"/>
        <v>0</v>
      </c>
      <c r="FM107">
        <f t="shared" si="44"/>
        <v>0</v>
      </c>
      <c r="FQ107" s="420">
        <f>'EXTRAS (2)'!D40</f>
        <v>0</v>
      </c>
      <c r="FR107" s="420">
        <f>'EXTRAS (2)'!E40</f>
        <v>0</v>
      </c>
      <c r="FU107" s="420">
        <f t="shared" si="20"/>
        <v>0</v>
      </c>
    </row>
    <row r="108" spans="1:177">
      <c r="B108" s="399" t="s">
        <v>797</v>
      </c>
      <c r="C108" s="400" t="s">
        <v>0</v>
      </c>
      <c r="Q108">
        <f t="shared" si="31"/>
        <v>0</v>
      </c>
      <c r="AB108">
        <f t="shared" si="32"/>
        <v>0</v>
      </c>
      <c r="AM108">
        <f t="shared" si="33"/>
        <v>0</v>
      </c>
      <c r="BI108">
        <f>SUM(BI$7:BI$28,BP$7:BP$28,BQ$7:BQ$28,BJ$7:BJ$28,BK$28:BK32,BL$7:BL$28,BM$7:BM$28,BN$7:BN$28)*(BH108)</f>
        <v>0</v>
      </c>
      <c r="BT108">
        <f>SUM(BT$7:BT$28,CA$7:CA$28,CB$7:CB$28,BU$7:BU$28,BV$28:BV32,BW$7:BW$28,BX$7:BX$28,BY$7:BY$28)*(BS108)</f>
        <v>0</v>
      </c>
      <c r="CD108" s="406"/>
      <c r="CE108">
        <f t="shared" si="34"/>
        <v>0</v>
      </c>
      <c r="CJ108">
        <f t="shared" si="2"/>
        <v>0</v>
      </c>
      <c r="CO108">
        <f t="shared" si="3"/>
        <v>0</v>
      </c>
      <c r="CY108">
        <f t="shared" si="5"/>
        <v>0</v>
      </c>
      <c r="DD108">
        <f t="shared" si="6"/>
        <v>0</v>
      </c>
      <c r="DI108">
        <f t="shared" si="7"/>
        <v>0</v>
      </c>
      <c r="DN108">
        <f t="shared" si="35"/>
        <v>0</v>
      </c>
      <c r="DS108">
        <f t="shared" si="36"/>
        <v>0</v>
      </c>
      <c r="DX108">
        <f t="shared" si="37"/>
        <v>0</v>
      </c>
      <c r="EC108">
        <f t="shared" si="38"/>
        <v>0</v>
      </c>
      <c r="EH108">
        <f t="shared" si="39"/>
        <v>0</v>
      </c>
      <c r="EM108">
        <f t="shared" si="40"/>
        <v>0</v>
      </c>
      <c r="ER108">
        <f t="shared" si="41"/>
        <v>0</v>
      </c>
      <c r="EW108">
        <f t="shared" si="42"/>
        <v>0</v>
      </c>
      <c r="FB108">
        <f t="shared" si="43"/>
        <v>0</v>
      </c>
      <c r="FG108">
        <f t="shared" si="28"/>
        <v>0</v>
      </c>
      <c r="FM108">
        <f t="shared" si="44"/>
        <v>0</v>
      </c>
      <c r="FQ108" s="420">
        <f>'EXTRAS (2)'!D41</f>
        <v>0</v>
      </c>
      <c r="FR108" s="420">
        <f>'EXTRAS (2)'!E41</f>
        <v>0</v>
      </c>
      <c r="FU108" s="420">
        <f t="shared" si="20"/>
        <v>0</v>
      </c>
    </row>
    <row r="109" spans="1:177">
      <c r="B109" s="399" t="s">
        <v>798</v>
      </c>
      <c r="C109" s="400" t="s">
        <v>0</v>
      </c>
      <c r="Q109">
        <f t="shared" si="31"/>
        <v>0</v>
      </c>
      <c r="AB109">
        <f t="shared" si="32"/>
        <v>0</v>
      </c>
      <c r="AM109">
        <f t="shared" si="33"/>
        <v>0</v>
      </c>
      <c r="BI109">
        <f>SUM(BI$7:BI$28,BP$7:BP$28,BQ$7:BQ$28,BJ$7:BJ$28,BK$28:BK33,BL$7:BL$28,BM$7:BM$28,BN$7:BN$28)*(BH109)</f>
        <v>0</v>
      </c>
      <c r="BT109">
        <f>SUM(BT$7:BT$28,CA$7:CA$28,CB$7:CB$28,BU$7:BU$28,BV$28:BV33,BW$7:BW$28,BX$7:BX$28,BY$7:BY$28)*(BS109)</f>
        <v>0</v>
      </c>
      <c r="CD109" s="406"/>
      <c r="CE109">
        <f t="shared" si="34"/>
        <v>0</v>
      </c>
      <c r="CJ109">
        <f t="shared" si="2"/>
        <v>0</v>
      </c>
      <c r="CO109">
        <f t="shared" si="3"/>
        <v>0</v>
      </c>
      <c r="CY109">
        <f t="shared" si="5"/>
        <v>0</v>
      </c>
      <c r="DD109">
        <f t="shared" si="6"/>
        <v>0</v>
      </c>
      <c r="DI109">
        <f t="shared" si="7"/>
        <v>0</v>
      </c>
      <c r="DN109">
        <f t="shared" si="35"/>
        <v>0</v>
      </c>
      <c r="DS109">
        <f t="shared" si="36"/>
        <v>0</v>
      </c>
      <c r="DX109">
        <f t="shared" si="37"/>
        <v>0</v>
      </c>
      <c r="EC109">
        <f t="shared" si="38"/>
        <v>0</v>
      </c>
      <c r="EH109">
        <f t="shared" si="39"/>
        <v>0</v>
      </c>
      <c r="EM109">
        <f t="shared" si="40"/>
        <v>0</v>
      </c>
      <c r="ER109">
        <f t="shared" si="41"/>
        <v>0</v>
      </c>
      <c r="EW109">
        <f t="shared" si="42"/>
        <v>0</v>
      </c>
      <c r="FB109">
        <f t="shared" si="43"/>
        <v>0</v>
      </c>
      <c r="FG109">
        <f t="shared" si="28"/>
        <v>0</v>
      </c>
      <c r="FM109">
        <f t="shared" si="44"/>
        <v>0</v>
      </c>
      <c r="FQ109" s="420">
        <f>'EXTRAS (2)'!D42</f>
        <v>0</v>
      </c>
      <c r="FR109" s="420">
        <f>'EXTRAS (2)'!E42</f>
        <v>0</v>
      </c>
      <c r="FU109" s="420">
        <f t="shared" si="20"/>
        <v>0</v>
      </c>
    </row>
    <row r="110" spans="1:177">
      <c r="B110" s="399" t="s">
        <v>799</v>
      </c>
      <c r="C110" s="400" t="s">
        <v>0</v>
      </c>
      <c r="Q110">
        <f t="shared" si="31"/>
        <v>0</v>
      </c>
      <c r="AB110">
        <f t="shared" si="32"/>
        <v>0</v>
      </c>
      <c r="AM110">
        <f t="shared" si="33"/>
        <v>0</v>
      </c>
      <c r="BI110">
        <f>SUM(BI$7:BI$28,BP$7:BP$28,BQ$7:BQ$28,BJ$7:BJ$28,BK$28:BK34,BL$7:BL$28,BM$7:BM$28,BN$7:BN$28)*(BH110)</f>
        <v>0</v>
      </c>
      <c r="BT110">
        <f>SUM(BT$7:BT$28,CA$7:CA$28,CB$7:CB$28,BU$7:BU$28,BV$28:BV34,BW$7:BW$28,BX$7:BX$28,BY$7:BY$28)*(BS110)</f>
        <v>0</v>
      </c>
      <c r="CD110" s="406"/>
      <c r="CE110">
        <f t="shared" si="34"/>
        <v>0</v>
      </c>
      <c r="CJ110">
        <f t="shared" si="2"/>
        <v>0</v>
      </c>
      <c r="CO110">
        <f t="shared" si="3"/>
        <v>0</v>
      </c>
      <c r="CY110">
        <f t="shared" si="5"/>
        <v>0</v>
      </c>
      <c r="DD110">
        <f t="shared" si="6"/>
        <v>0</v>
      </c>
      <c r="DI110">
        <f t="shared" si="7"/>
        <v>0</v>
      </c>
      <c r="DN110">
        <f t="shared" si="35"/>
        <v>0</v>
      </c>
      <c r="DS110">
        <f t="shared" si="36"/>
        <v>0</v>
      </c>
      <c r="DX110">
        <f t="shared" si="37"/>
        <v>0</v>
      </c>
      <c r="EC110">
        <f t="shared" si="38"/>
        <v>0</v>
      </c>
      <c r="EH110">
        <f t="shared" si="39"/>
        <v>0</v>
      </c>
      <c r="EM110">
        <f t="shared" si="40"/>
        <v>0</v>
      </c>
      <c r="ER110">
        <f t="shared" si="41"/>
        <v>0</v>
      </c>
      <c r="EW110">
        <f t="shared" si="42"/>
        <v>0</v>
      </c>
      <c r="FB110">
        <f t="shared" si="43"/>
        <v>0</v>
      </c>
      <c r="FG110">
        <f t="shared" si="28"/>
        <v>0</v>
      </c>
      <c r="FM110">
        <f t="shared" si="44"/>
        <v>0</v>
      </c>
      <c r="FQ110" s="420">
        <f>'EXTRAS (2)'!D43</f>
        <v>0</v>
      </c>
      <c r="FR110" s="420">
        <f>'EXTRAS (2)'!E43</f>
        <v>0</v>
      </c>
      <c r="FU110" s="420">
        <f t="shared" si="20"/>
        <v>0</v>
      </c>
    </row>
    <row r="111" spans="1:177">
      <c r="B111" s="399" t="s">
        <v>800</v>
      </c>
      <c r="C111" s="400" t="s">
        <v>0</v>
      </c>
      <c r="Q111">
        <f t="shared" si="31"/>
        <v>0</v>
      </c>
      <c r="AB111">
        <f t="shared" si="32"/>
        <v>0</v>
      </c>
      <c r="AM111">
        <f t="shared" si="33"/>
        <v>0</v>
      </c>
      <c r="BI111">
        <f>SUM(BI$7:BI$28,BP$7:BP$28,BQ$7:BQ$28,BJ$7:BJ$28,BK$28:BK35,BL$7:BL$28,BM$7:BM$28,BN$7:BN$28)*(BH111)</f>
        <v>0</v>
      </c>
      <c r="BT111">
        <f>SUM(BT$7:BT$28,CA$7:CA$28,CB$7:CB$28,BU$7:BU$28,BV$28:BV35,BW$7:BW$28,BX$7:BX$28,BY$7:BY$28)*(BS111)</f>
        <v>0</v>
      </c>
      <c r="CD111" s="406"/>
      <c r="CE111">
        <f t="shared" si="34"/>
        <v>0</v>
      </c>
      <c r="CJ111">
        <f t="shared" si="2"/>
        <v>0</v>
      </c>
      <c r="CO111">
        <f t="shared" si="3"/>
        <v>0</v>
      </c>
      <c r="CY111">
        <f t="shared" si="5"/>
        <v>0</v>
      </c>
      <c r="DD111">
        <f t="shared" si="6"/>
        <v>0</v>
      </c>
      <c r="DI111">
        <f t="shared" si="7"/>
        <v>0</v>
      </c>
      <c r="DN111">
        <f t="shared" si="35"/>
        <v>0</v>
      </c>
      <c r="DS111">
        <f t="shared" si="36"/>
        <v>0</v>
      </c>
      <c r="DX111">
        <f t="shared" si="37"/>
        <v>0</v>
      </c>
      <c r="EC111">
        <f t="shared" si="38"/>
        <v>0</v>
      </c>
      <c r="EH111">
        <f t="shared" si="39"/>
        <v>0</v>
      </c>
      <c r="EM111">
        <f t="shared" si="40"/>
        <v>0</v>
      </c>
      <c r="ER111">
        <f t="shared" si="41"/>
        <v>0</v>
      </c>
      <c r="EW111">
        <f t="shared" si="42"/>
        <v>0</v>
      </c>
      <c r="FB111">
        <f t="shared" si="43"/>
        <v>0</v>
      </c>
      <c r="FG111">
        <f t="shared" si="28"/>
        <v>0</v>
      </c>
      <c r="FM111">
        <f t="shared" si="44"/>
        <v>0</v>
      </c>
      <c r="FQ111" s="420">
        <f>'EXTRAS (2)'!D44</f>
        <v>0</v>
      </c>
      <c r="FR111" s="420">
        <f>'EXTRAS (2)'!E44</f>
        <v>0</v>
      </c>
      <c r="FU111" s="420">
        <f t="shared" si="20"/>
        <v>0</v>
      </c>
    </row>
    <row r="112" spans="1:177">
      <c r="B112" s="215" t="s">
        <v>464</v>
      </c>
      <c r="C112" s="400" t="s">
        <v>0</v>
      </c>
      <c r="Q112">
        <f t="shared" si="31"/>
        <v>0</v>
      </c>
      <c r="AB112">
        <f t="shared" si="32"/>
        <v>0</v>
      </c>
      <c r="AM112">
        <f t="shared" si="33"/>
        <v>0</v>
      </c>
      <c r="BI112">
        <f>SUM(BI$7:BI$28,BP$7:BP$28,BQ$7:BQ$28,BJ$7:BJ$28,BK$28:BK36,BL$7:BL$28,BM$7:BM$28,BN$7:BN$28)*(BH112)</f>
        <v>0</v>
      </c>
      <c r="BT112">
        <f>SUM(BT$7:BT$28,CA$7:CA$28,CB$7:CB$28,BU$7:BU$28,BV$28:BV36,BW$7:BW$28,BX$7:BX$28,BY$7:BY$28)*(BS112)</f>
        <v>0</v>
      </c>
      <c r="CD112" s="406"/>
      <c r="CE112">
        <f t="shared" si="34"/>
        <v>0</v>
      </c>
      <c r="CJ112">
        <f t="shared" si="2"/>
        <v>0</v>
      </c>
      <c r="CO112">
        <f t="shared" si="3"/>
        <v>0</v>
      </c>
      <c r="CY112">
        <f t="shared" si="5"/>
        <v>0</v>
      </c>
      <c r="DD112">
        <f t="shared" si="6"/>
        <v>0</v>
      </c>
      <c r="DI112">
        <f t="shared" si="7"/>
        <v>0</v>
      </c>
      <c r="DN112">
        <f t="shared" si="35"/>
        <v>0</v>
      </c>
      <c r="DS112">
        <f t="shared" si="36"/>
        <v>0</v>
      </c>
      <c r="DX112">
        <f t="shared" si="37"/>
        <v>0</v>
      </c>
      <c r="EC112">
        <f t="shared" si="38"/>
        <v>0</v>
      </c>
      <c r="EH112">
        <f t="shared" si="39"/>
        <v>0</v>
      </c>
      <c r="EM112">
        <f t="shared" si="40"/>
        <v>0</v>
      </c>
      <c r="ER112">
        <f t="shared" si="41"/>
        <v>0</v>
      </c>
      <c r="EW112">
        <f t="shared" si="42"/>
        <v>0</v>
      </c>
      <c r="FB112">
        <f t="shared" si="43"/>
        <v>0</v>
      </c>
      <c r="FG112">
        <f t="shared" si="28"/>
        <v>0</v>
      </c>
      <c r="FM112">
        <f t="shared" si="44"/>
        <v>0</v>
      </c>
      <c r="FQ112" s="420">
        <f>'EXTRAS (2)'!D45</f>
        <v>0</v>
      </c>
      <c r="FR112" s="420">
        <f>'EXTRAS (2)'!E45</f>
        <v>0</v>
      </c>
      <c r="FU112" s="420">
        <f t="shared" si="20"/>
        <v>0</v>
      </c>
    </row>
    <row r="113" spans="2:177">
      <c r="B113" s="215" t="s">
        <v>440</v>
      </c>
      <c r="C113" s="400" t="s">
        <v>0</v>
      </c>
      <c r="Q113">
        <f t="shared" si="31"/>
        <v>0</v>
      </c>
      <c r="AB113">
        <f t="shared" si="32"/>
        <v>0</v>
      </c>
      <c r="AM113">
        <f t="shared" si="33"/>
        <v>0</v>
      </c>
      <c r="BI113">
        <f>SUM(BI$7:BI$28,BP$7:BP$28,BQ$7:BQ$28,BJ$7:BJ$28,BK$28:BK37,BL$7:BL$28,BM$7:BM$28,BN$7:BN$28)*(BH113)</f>
        <v>0</v>
      </c>
      <c r="BT113">
        <f>SUM(BT$7:BT$28,CA$7:CA$28,CB$7:CB$28,BU$7:BU$28,BV$28:BV37,BW$7:BW$28,BX$7:BX$28,BY$7:BY$28)*(BS113)</f>
        <v>0</v>
      </c>
      <c r="CD113" s="406"/>
      <c r="CE113">
        <f t="shared" si="34"/>
        <v>0</v>
      </c>
      <c r="CJ113">
        <f t="shared" si="2"/>
        <v>0</v>
      </c>
      <c r="CO113">
        <f t="shared" si="3"/>
        <v>0</v>
      </c>
      <c r="CY113">
        <f t="shared" si="5"/>
        <v>0</v>
      </c>
      <c r="DD113">
        <f t="shared" si="6"/>
        <v>0</v>
      </c>
      <c r="DI113">
        <f t="shared" si="7"/>
        <v>0</v>
      </c>
      <c r="DN113">
        <f t="shared" si="35"/>
        <v>0</v>
      </c>
      <c r="DS113">
        <f t="shared" si="36"/>
        <v>0</v>
      </c>
      <c r="DX113">
        <f t="shared" si="37"/>
        <v>0</v>
      </c>
      <c r="EC113">
        <f t="shared" si="38"/>
        <v>0</v>
      </c>
      <c r="EH113">
        <f t="shared" si="39"/>
        <v>0</v>
      </c>
      <c r="EM113">
        <f t="shared" si="40"/>
        <v>0</v>
      </c>
      <c r="ER113">
        <f t="shared" si="41"/>
        <v>0</v>
      </c>
      <c r="EW113">
        <f t="shared" si="42"/>
        <v>0</v>
      </c>
      <c r="FB113">
        <f t="shared" si="43"/>
        <v>0</v>
      </c>
      <c r="FG113">
        <f t="shared" si="28"/>
        <v>0</v>
      </c>
      <c r="FM113">
        <f t="shared" si="44"/>
        <v>0</v>
      </c>
      <c r="FQ113" s="420">
        <f>'EXTRAS (2)'!D46</f>
        <v>0</v>
      </c>
      <c r="FR113" s="420">
        <f>'EXTRAS (2)'!E46</f>
        <v>0</v>
      </c>
      <c r="FU113" s="420">
        <f t="shared" si="20"/>
        <v>0</v>
      </c>
    </row>
    <row r="114" spans="2:177">
      <c r="B114" s="399" t="s">
        <v>801</v>
      </c>
      <c r="C114" s="400" t="s">
        <v>0</v>
      </c>
      <c r="Q114">
        <f t="shared" si="31"/>
        <v>0</v>
      </c>
      <c r="AB114">
        <f t="shared" si="32"/>
        <v>0</v>
      </c>
      <c r="AM114">
        <f t="shared" si="33"/>
        <v>0</v>
      </c>
      <c r="BI114">
        <f>SUM(BI$7:BI$28,BP$7:BP$28,BQ$7:BQ$28,BJ$7:BJ$28,BK$28:BK38,BL$7:BL$28,BM$7:BM$28,BN$7:BN$28)*(BH114)</f>
        <v>0</v>
      </c>
      <c r="BT114">
        <f>SUM(BT$7:BT$28,CA$7:CA$28,CB$7:CB$28,BU$7:BU$28,BV$28:BV38,BW$7:BW$28,BX$7:BX$28,BY$7:BY$28)*(BS114)</f>
        <v>0</v>
      </c>
      <c r="CD114" s="406"/>
      <c r="CE114">
        <f t="shared" si="34"/>
        <v>0</v>
      </c>
      <c r="CJ114">
        <f t="shared" si="2"/>
        <v>0</v>
      </c>
      <c r="CO114">
        <f t="shared" si="3"/>
        <v>0</v>
      </c>
      <c r="CY114">
        <f t="shared" si="5"/>
        <v>0</v>
      </c>
      <c r="DD114">
        <f t="shared" si="6"/>
        <v>0</v>
      </c>
      <c r="DI114">
        <f t="shared" si="7"/>
        <v>0</v>
      </c>
      <c r="DN114">
        <f t="shared" si="35"/>
        <v>0</v>
      </c>
      <c r="DS114">
        <f t="shared" si="36"/>
        <v>0</v>
      </c>
      <c r="DX114">
        <f t="shared" si="37"/>
        <v>0</v>
      </c>
      <c r="EC114">
        <f t="shared" si="38"/>
        <v>0</v>
      </c>
      <c r="EH114">
        <f t="shared" si="39"/>
        <v>0</v>
      </c>
      <c r="EM114">
        <f t="shared" si="40"/>
        <v>0</v>
      </c>
      <c r="ER114">
        <f t="shared" si="41"/>
        <v>0</v>
      </c>
      <c r="EW114">
        <f t="shared" si="42"/>
        <v>0</v>
      </c>
      <c r="FB114">
        <f t="shared" si="43"/>
        <v>0</v>
      </c>
      <c r="FG114">
        <f t="shared" si="28"/>
        <v>0</v>
      </c>
      <c r="FM114">
        <f t="shared" si="44"/>
        <v>0</v>
      </c>
      <c r="FQ114" s="420">
        <f>'EXTRAS (2)'!D47</f>
        <v>0</v>
      </c>
      <c r="FR114" s="420">
        <f>'EXTRAS (2)'!E47</f>
        <v>0</v>
      </c>
      <c r="FU114" s="420">
        <f t="shared" si="20"/>
        <v>0</v>
      </c>
    </row>
    <row r="115" spans="2:177">
      <c r="B115" s="399" t="s">
        <v>802</v>
      </c>
      <c r="C115" s="400" t="s">
        <v>0</v>
      </c>
      <c r="Q115">
        <f t="shared" si="31"/>
        <v>0</v>
      </c>
      <c r="AB115">
        <f t="shared" si="32"/>
        <v>0</v>
      </c>
      <c r="AM115">
        <f t="shared" si="33"/>
        <v>0</v>
      </c>
      <c r="BI115">
        <f>SUM(BI$7:BI$28,BP$7:BP$28,BQ$7:BQ$28,BJ$7:BJ$28,BK$28:BK39,BL$7:BL$28,BM$7:BM$28,BN$7:BN$28)*(BH115)</f>
        <v>0</v>
      </c>
      <c r="BT115">
        <f>SUM(BT$7:BT$28,CA$7:CA$28,CB$7:CB$28,BU$7:BU$28,BV$28:BV39,BW$7:BW$28,BX$7:BX$28,BY$7:BY$28)*(BS115)</f>
        <v>0</v>
      </c>
      <c r="CD115" s="406"/>
      <c r="CE115">
        <f t="shared" si="34"/>
        <v>0</v>
      </c>
      <c r="CJ115">
        <f t="shared" si="2"/>
        <v>0</v>
      </c>
      <c r="CO115">
        <f t="shared" si="3"/>
        <v>0</v>
      </c>
      <c r="CY115">
        <f t="shared" si="5"/>
        <v>0</v>
      </c>
      <c r="DD115">
        <f t="shared" si="6"/>
        <v>0</v>
      </c>
      <c r="DI115">
        <f t="shared" si="7"/>
        <v>0</v>
      </c>
      <c r="DN115">
        <f t="shared" si="35"/>
        <v>0</v>
      </c>
      <c r="DS115">
        <f t="shared" si="36"/>
        <v>0</v>
      </c>
      <c r="DX115">
        <f t="shared" si="37"/>
        <v>0</v>
      </c>
      <c r="EC115">
        <f t="shared" si="38"/>
        <v>0</v>
      </c>
      <c r="EH115">
        <f t="shared" si="39"/>
        <v>0</v>
      </c>
      <c r="EM115">
        <f t="shared" si="40"/>
        <v>0</v>
      </c>
      <c r="ER115">
        <f t="shared" si="41"/>
        <v>0</v>
      </c>
      <c r="EW115">
        <f t="shared" si="42"/>
        <v>0</v>
      </c>
      <c r="FB115">
        <f t="shared" si="43"/>
        <v>0</v>
      </c>
      <c r="FG115">
        <f t="shared" si="28"/>
        <v>0</v>
      </c>
      <c r="FM115">
        <f t="shared" si="44"/>
        <v>0</v>
      </c>
      <c r="FQ115" s="420">
        <f>'EXTRAS (2)'!D48</f>
        <v>0</v>
      </c>
      <c r="FR115" s="420">
        <f>'EXTRAS (2)'!E48</f>
        <v>0</v>
      </c>
      <c r="FU115" s="420">
        <f t="shared" si="20"/>
        <v>0</v>
      </c>
    </row>
    <row r="116" spans="2:177">
      <c r="B116" s="399" t="s">
        <v>803</v>
      </c>
      <c r="C116" s="400" t="s">
        <v>0</v>
      </c>
      <c r="Q116">
        <f t="shared" si="31"/>
        <v>0</v>
      </c>
      <c r="AB116">
        <f t="shared" si="32"/>
        <v>0</v>
      </c>
      <c r="AM116">
        <f t="shared" si="33"/>
        <v>0</v>
      </c>
      <c r="BI116">
        <f>SUM(BI$7:BI$28,BP$7:BP$28,BQ$7:BQ$28,BJ$7:BJ$28,BK$28:BK40,BL$7:BL$28,BM$7:BM$28,BN$7:BN$28)*(BH116)</f>
        <v>0</v>
      </c>
      <c r="BT116">
        <f>SUM(BT$7:BT$28,CA$7:CA$28,CB$7:CB$28,BU$7:BU$28,BV$28:BV40,BW$7:BW$28,BX$7:BX$28,BY$7:BY$28)*(BS116)</f>
        <v>0</v>
      </c>
      <c r="CD116" s="406"/>
      <c r="CE116">
        <f t="shared" si="34"/>
        <v>0</v>
      </c>
      <c r="CJ116">
        <f t="shared" si="2"/>
        <v>0</v>
      </c>
      <c r="CO116">
        <f t="shared" si="3"/>
        <v>0</v>
      </c>
      <c r="CY116">
        <f t="shared" si="5"/>
        <v>0</v>
      </c>
      <c r="DD116">
        <f t="shared" si="6"/>
        <v>0</v>
      </c>
      <c r="DI116">
        <f t="shared" si="7"/>
        <v>0</v>
      </c>
      <c r="DN116">
        <f t="shared" si="35"/>
        <v>0</v>
      </c>
      <c r="DS116">
        <f t="shared" si="36"/>
        <v>0</v>
      </c>
      <c r="DX116">
        <f t="shared" si="37"/>
        <v>0</v>
      </c>
      <c r="EC116">
        <f t="shared" si="38"/>
        <v>0</v>
      </c>
      <c r="EH116">
        <f t="shared" si="39"/>
        <v>0</v>
      </c>
      <c r="EM116">
        <f t="shared" si="40"/>
        <v>0</v>
      </c>
      <c r="ER116">
        <f t="shared" si="41"/>
        <v>0</v>
      </c>
      <c r="EW116">
        <f t="shared" si="42"/>
        <v>0</v>
      </c>
      <c r="FB116">
        <f t="shared" si="43"/>
        <v>0</v>
      </c>
      <c r="FG116">
        <f t="shared" si="28"/>
        <v>0</v>
      </c>
      <c r="FM116">
        <f t="shared" si="44"/>
        <v>0</v>
      </c>
      <c r="FQ116" s="420">
        <f>'EXTRAS (2)'!D49</f>
        <v>0</v>
      </c>
      <c r="FR116" s="420">
        <f>'EXTRAS (2)'!E49</f>
        <v>0</v>
      </c>
      <c r="FU116" s="420">
        <f t="shared" si="20"/>
        <v>0</v>
      </c>
    </row>
    <row r="117" spans="2:177">
      <c r="B117" s="399" t="s">
        <v>804</v>
      </c>
      <c r="C117" s="400" t="s">
        <v>0</v>
      </c>
      <c r="Q117">
        <f t="shared" si="31"/>
        <v>0</v>
      </c>
      <c r="AB117">
        <f t="shared" si="32"/>
        <v>0</v>
      </c>
      <c r="AM117">
        <f t="shared" si="33"/>
        <v>0</v>
      </c>
      <c r="BI117">
        <f>SUM(BI$7:BI$28,BP$7:BP$28,BQ$7:BQ$28,BJ$7:BJ$28,BK$28:BK41,BL$7:BL$28,BM$7:BM$28,BN$7:BN$28)*(BH117)</f>
        <v>0</v>
      </c>
      <c r="BT117">
        <f>SUM(BT$7:BT$28,CA$7:CA$28,CB$7:CB$28,BU$7:BU$28,BV$28:BV41,BW$7:BW$28,BX$7:BX$28,BY$7:BY$28)*(BS117)</f>
        <v>0</v>
      </c>
      <c r="CD117" s="406"/>
      <c r="CE117">
        <f t="shared" si="34"/>
        <v>0</v>
      </c>
      <c r="CJ117">
        <f t="shared" si="2"/>
        <v>0</v>
      </c>
      <c r="CO117">
        <f t="shared" si="3"/>
        <v>0</v>
      </c>
      <c r="CY117">
        <f t="shared" si="5"/>
        <v>0</v>
      </c>
      <c r="DD117">
        <f t="shared" si="6"/>
        <v>0</v>
      </c>
      <c r="DI117">
        <f t="shared" si="7"/>
        <v>0</v>
      </c>
      <c r="DN117">
        <f t="shared" si="35"/>
        <v>0</v>
      </c>
      <c r="DS117">
        <f t="shared" si="36"/>
        <v>0</v>
      </c>
      <c r="DX117">
        <f t="shared" si="37"/>
        <v>0</v>
      </c>
      <c r="EC117">
        <f t="shared" si="38"/>
        <v>0</v>
      </c>
      <c r="EH117">
        <f t="shared" si="39"/>
        <v>0</v>
      </c>
      <c r="EM117">
        <f t="shared" si="40"/>
        <v>0</v>
      </c>
      <c r="ER117">
        <f t="shared" si="41"/>
        <v>0</v>
      </c>
      <c r="EW117">
        <f t="shared" si="42"/>
        <v>0</v>
      </c>
      <c r="FB117">
        <f t="shared" si="43"/>
        <v>0</v>
      </c>
      <c r="FG117">
        <f t="shared" si="28"/>
        <v>0</v>
      </c>
      <c r="FM117">
        <f t="shared" si="44"/>
        <v>0</v>
      </c>
      <c r="FQ117" s="420">
        <f>'EXTRAS (2)'!D50</f>
        <v>0</v>
      </c>
      <c r="FR117" s="420">
        <f>'EXTRAS (2)'!E50</f>
        <v>0</v>
      </c>
      <c r="FU117" s="420">
        <f t="shared" si="20"/>
        <v>0</v>
      </c>
    </row>
    <row r="118" spans="2:177">
      <c r="B118" s="399" t="s">
        <v>805</v>
      </c>
      <c r="C118" s="400" t="s">
        <v>0</v>
      </c>
      <c r="Q118">
        <f t="shared" si="31"/>
        <v>0</v>
      </c>
      <c r="AB118">
        <f t="shared" si="32"/>
        <v>0</v>
      </c>
      <c r="AM118">
        <f t="shared" si="33"/>
        <v>0</v>
      </c>
      <c r="BI118">
        <f>SUM(BI$7:BI$28,BP$7:BP$28,BQ$7:BQ$28,BJ$7:BJ$28,BK$28:BK42,BL$7:BL$28,BM$7:BM$28,BN$7:BN$28)*(BH118)</f>
        <v>0</v>
      </c>
      <c r="BT118">
        <f>SUM(BT$7:BT$28,CA$7:CA$28,CB$7:CB$28,BU$7:BU$28,BV$28:BV42,BW$7:BW$28,BX$7:BX$28,BY$7:BY$28)*(BS118)</f>
        <v>0</v>
      </c>
      <c r="CD118" s="406"/>
      <c r="CE118">
        <f t="shared" si="34"/>
        <v>0</v>
      </c>
      <c r="CJ118">
        <f t="shared" si="2"/>
        <v>0</v>
      </c>
      <c r="CO118">
        <f t="shared" si="3"/>
        <v>0</v>
      </c>
      <c r="CY118">
        <f t="shared" si="5"/>
        <v>0</v>
      </c>
      <c r="DD118">
        <f t="shared" si="6"/>
        <v>0</v>
      </c>
      <c r="DI118">
        <f t="shared" si="7"/>
        <v>0</v>
      </c>
      <c r="DN118">
        <f t="shared" si="35"/>
        <v>0</v>
      </c>
      <c r="DS118">
        <f t="shared" si="36"/>
        <v>0</v>
      </c>
      <c r="DX118">
        <f t="shared" si="37"/>
        <v>0</v>
      </c>
      <c r="EC118">
        <f t="shared" si="38"/>
        <v>0</v>
      </c>
      <c r="EH118">
        <f t="shared" si="39"/>
        <v>0</v>
      </c>
      <c r="EM118">
        <f t="shared" si="40"/>
        <v>0</v>
      </c>
      <c r="ER118">
        <f t="shared" si="41"/>
        <v>0</v>
      </c>
      <c r="EW118">
        <f t="shared" si="42"/>
        <v>0</v>
      </c>
      <c r="FB118">
        <f t="shared" si="43"/>
        <v>0</v>
      </c>
      <c r="FG118">
        <f t="shared" si="28"/>
        <v>0</v>
      </c>
      <c r="FM118">
        <f t="shared" si="44"/>
        <v>0</v>
      </c>
      <c r="FQ118" s="420">
        <f>'EXTRAS (2)'!D51</f>
        <v>0</v>
      </c>
      <c r="FR118" s="420">
        <f>'EXTRAS (2)'!E51</f>
        <v>0</v>
      </c>
      <c r="FU118" s="420">
        <f t="shared" si="20"/>
        <v>0</v>
      </c>
    </row>
    <row r="119" spans="2:177">
      <c r="B119" s="399" t="s">
        <v>806</v>
      </c>
      <c r="C119" s="400" t="s">
        <v>0</v>
      </c>
      <c r="Q119">
        <f t="shared" si="31"/>
        <v>0</v>
      </c>
      <c r="AB119">
        <f t="shared" si="32"/>
        <v>0</v>
      </c>
      <c r="AM119">
        <f t="shared" si="33"/>
        <v>0</v>
      </c>
      <c r="BI119">
        <f>SUM(BI$7:BI$28,BP$7:BP$28,BQ$7:BQ$28,BJ$7:BJ$28,BK$28:BK43,BL$7:BL$28,BM$7:BM$28,BN$7:BN$28)*(BH119)</f>
        <v>0</v>
      </c>
      <c r="BT119">
        <f>SUM(BT$7:BT$28,CA$7:CA$28,CB$7:CB$28,BU$7:BU$28,BV$28:BV43,BW$7:BW$28,BX$7:BX$28,BY$7:BY$28)*(BS119)</f>
        <v>0</v>
      </c>
      <c r="CD119" s="406"/>
      <c r="CE119">
        <f t="shared" si="34"/>
        <v>0</v>
      </c>
      <c r="CJ119">
        <f t="shared" si="2"/>
        <v>0</v>
      </c>
      <c r="CO119">
        <f t="shared" si="3"/>
        <v>0</v>
      </c>
      <c r="CY119">
        <f t="shared" si="5"/>
        <v>0</v>
      </c>
      <c r="DD119">
        <f t="shared" si="6"/>
        <v>0</v>
      </c>
      <c r="DI119">
        <f t="shared" si="7"/>
        <v>0</v>
      </c>
      <c r="DN119">
        <f t="shared" si="35"/>
        <v>0</v>
      </c>
      <c r="DS119">
        <f t="shared" si="36"/>
        <v>0</v>
      </c>
      <c r="DX119">
        <f t="shared" si="37"/>
        <v>0</v>
      </c>
      <c r="EC119">
        <f t="shared" si="38"/>
        <v>0</v>
      </c>
      <c r="EH119">
        <f t="shared" si="39"/>
        <v>0</v>
      </c>
      <c r="EM119">
        <f t="shared" si="40"/>
        <v>0</v>
      </c>
      <c r="ER119">
        <f t="shared" si="41"/>
        <v>0</v>
      </c>
      <c r="EW119">
        <f t="shared" si="42"/>
        <v>0</v>
      </c>
      <c r="FB119">
        <f t="shared" si="43"/>
        <v>0</v>
      </c>
      <c r="FG119">
        <f t="shared" si="28"/>
        <v>0</v>
      </c>
      <c r="FM119">
        <f t="shared" si="44"/>
        <v>0</v>
      </c>
      <c r="FQ119" s="420">
        <f>'EXTRAS (2)'!D52</f>
        <v>0</v>
      </c>
      <c r="FR119" s="420">
        <f>'EXTRAS (2)'!E52</f>
        <v>0</v>
      </c>
      <c r="FU119" s="420">
        <f t="shared" si="20"/>
        <v>0</v>
      </c>
    </row>
    <row r="120" spans="2:177">
      <c r="B120" s="399" t="s">
        <v>807</v>
      </c>
      <c r="C120" s="400" t="s">
        <v>0</v>
      </c>
      <c r="Q120">
        <f t="shared" si="31"/>
        <v>0</v>
      </c>
      <c r="AB120">
        <f t="shared" si="32"/>
        <v>0</v>
      </c>
      <c r="AM120">
        <f t="shared" si="33"/>
        <v>0</v>
      </c>
      <c r="BI120">
        <f>SUM(BI$7:BI$28,BP$7:BP$28,BQ$7:BQ$28,BJ$7:BJ$28,BK$28:BK44,BL$7:BL$28,BM$7:BM$28,BN$7:BN$28)*(BH120)</f>
        <v>0</v>
      </c>
      <c r="BT120">
        <f>SUM(BT$7:BT$28,CA$7:CA$28,CB$7:CB$28,BU$7:BU$28,BV$28:BV44,BW$7:BW$28,BX$7:BX$28,BY$7:BY$28)*(BS120)</f>
        <v>0</v>
      </c>
      <c r="CD120" s="406"/>
      <c r="CE120">
        <f t="shared" si="34"/>
        <v>0</v>
      </c>
      <c r="CJ120">
        <f t="shared" si="2"/>
        <v>0</v>
      </c>
      <c r="CO120">
        <f t="shared" si="3"/>
        <v>0</v>
      </c>
      <c r="CY120">
        <f t="shared" si="5"/>
        <v>0</v>
      </c>
      <c r="DD120">
        <f t="shared" si="6"/>
        <v>0</v>
      </c>
      <c r="DI120">
        <f t="shared" si="7"/>
        <v>0</v>
      </c>
      <c r="DN120">
        <f t="shared" si="35"/>
        <v>0</v>
      </c>
      <c r="DS120">
        <f t="shared" si="36"/>
        <v>0</v>
      </c>
      <c r="DX120">
        <f t="shared" si="37"/>
        <v>0</v>
      </c>
      <c r="EC120">
        <f t="shared" si="38"/>
        <v>0</v>
      </c>
      <c r="EH120">
        <f t="shared" si="39"/>
        <v>0</v>
      </c>
      <c r="EM120">
        <f t="shared" si="40"/>
        <v>0</v>
      </c>
      <c r="ER120">
        <f t="shared" si="41"/>
        <v>0</v>
      </c>
      <c r="EW120">
        <f t="shared" si="42"/>
        <v>0</v>
      </c>
      <c r="FB120">
        <f t="shared" si="43"/>
        <v>0</v>
      </c>
      <c r="FG120">
        <f t="shared" si="28"/>
        <v>0</v>
      </c>
      <c r="FM120">
        <f t="shared" si="44"/>
        <v>0</v>
      </c>
      <c r="FQ120" s="420">
        <f>'EXTRAS (2)'!D53</f>
        <v>0</v>
      </c>
      <c r="FR120" s="420">
        <f>'EXTRAS (2)'!E53</f>
        <v>0</v>
      </c>
      <c r="FU120" s="420">
        <f t="shared" si="20"/>
        <v>0</v>
      </c>
    </row>
    <row r="121" spans="2:177">
      <c r="B121" s="399" t="s">
        <v>808</v>
      </c>
      <c r="C121" s="400" t="s">
        <v>0</v>
      </c>
      <c r="Q121">
        <f t="shared" si="31"/>
        <v>0</v>
      </c>
      <c r="AB121">
        <f t="shared" si="32"/>
        <v>0</v>
      </c>
      <c r="AM121">
        <f t="shared" si="33"/>
        <v>0</v>
      </c>
      <c r="BI121">
        <f>SUM(BI$7:BI$28,BP$7:BP$28,BQ$7:BQ$28,BJ$7:BJ$28,BK$28:BK45,BL$7:BL$28,BM$7:BM$28,BN$7:BN$28)*(BH121)</f>
        <v>0</v>
      </c>
      <c r="BT121">
        <f>SUM(BT$7:BT$28,CA$7:CA$28,CB$7:CB$28,BU$7:BU$28,BV$28:BV45,BW$7:BW$28,BX$7:BX$28,BY$7:BY$28)*(BS121)</f>
        <v>0</v>
      </c>
      <c r="CD121" s="406"/>
      <c r="CE121">
        <f t="shared" si="34"/>
        <v>0</v>
      </c>
      <c r="CJ121">
        <f t="shared" si="2"/>
        <v>0</v>
      </c>
      <c r="CO121">
        <f t="shared" si="3"/>
        <v>0</v>
      </c>
      <c r="CY121">
        <f t="shared" si="5"/>
        <v>0</v>
      </c>
      <c r="DD121">
        <f t="shared" si="6"/>
        <v>0</v>
      </c>
      <c r="DI121">
        <f t="shared" si="7"/>
        <v>0</v>
      </c>
      <c r="DN121">
        <f t="shared" si="35"/>
        <v>0</v>
      </c>
      <c r="DS121">
        <f t="shared" si="36"/>
        <v>0</v>
      </c>
      <c r="DX121">
        <f t="shared" si="37"/>
        <v>0</v>
      </c>
      <c r="EC121">
        <f t="shared" si="38"/>
        <v>0</v>
      </c>
      <c r="EH121">
        <f t="shared" si="39"/>
        <v>0</v>
      </c>
      <c r="EM121">
        <f t="shared" si="40"/>
        <v>0</v>
      </c>
      <c r="ER121">
        <f t="shared" si="41"/>
        <v>0</v>
      </c>
      <c r="EW121">
        <f t="shared" si="42"/>
        <v>0</v>
      </c>
      <c r="FB121">
        <f t="shared" si="43"/>
        <v>0</v>
      </c>
      <c r="FG121">
        <f t="shared" si="28"/>
        <v>0</v>
      </c>
      <c r="FM121">
        <f t="shared" si="44"/>
        <v>0</v>
      </c>
      <c r="FQ121" s="420">
        <f>'EXTRAS (2)'!D54</f>
        <v>0</v>
      </c>
      <c r="FR121" s="420">
        <f>'EXTRAS (2)'!E54</f>
        <v>0</v>
      </c>
      <c r="FU121" s="420">
        <f t="shared" si="20"/>
        <v>0</v>
      </c>
    </row>
    <row r="122" spans="2:177">
      <c r="B122" s="399" t="s">
        <v>810</v>
      </c>
      <c r="C122" s="400" t="s">
        <v>386</v>
      </c>
      <c r="Q122">
        <f t="shared" si="31"/>
        <v>0</v>
      </c>
      <c r="AB122">
        <f t="shared" si="32"/>
        <v>0</v>
      </c>
      <c r="AM122">
        <f t="shared" si="33"/>
        <v>0</v>
      </c>
      <c r="BI122">
        <f>SUM(BI$7:BI$28,BP$7:BP$28,BQ$7:BQ$28,BJ$7:BJ$28,BK$28:BK46,BL$7:BL$28,BM$7:BM$28,BN$7:BN$28)*(BH122)</f>
        <v>0</v>
      </c>
      <c r="BT122">
        <f>SUM(BT$7:BT$28,CA$7:CA$28,CB$7:CB$28,BU$7:BU$28,BV$28:BV46,BW$7:BW$28,BX$7:BX$28,BY$7:BY$28)*(BS122)</f>
        <v>0</v>
      </c>
      <c r="CD122" s="406"/>
      <c r="CE122" s="779">
        <f t="shared" si="34"/>
        <v>0</v>
      </c>
      <c r="CJ122">
        <f t="shared" si="2"/>
        <v>0</v>
      </c>
      <c r="CO122">
        <f t="shared" si="3"/>
        <v>0</v>
      </c>
      <c r="CY122">
        <f t="shared" si="5"/>
        <v>0</v>
      </c>
      <c r="DD122">
        <f t="shared" si="6"/>
        <v>0</v>
      </c>
      <c r="DI122">
        <f t="shared" si="7"/>
        <v>0</v>
      </c>
      <c r="DN122">
        <f t="shared" si="35"/>
        <v>0</v>
      </c>
      <c r="DS122">
        <f t="shared" si="36"/>
        <v>0</v>
      </c>
      <c r="DX122">
        <f t="shared" si="37"/>
        <v>0</v>
      </c>
      <c r="EC122">
        <f t="shared" si="38"/>
        <v>0</v>
      </c>
      <c r="EH122">
        <f t="shared" si="39"/>
        <v>0</v>
      </c>
      <c r="EM122">
        <f t="shared" si="40"/>
        <v>0</v>
      </c>
      <c r="ER122">
        <f t="shared" si="41"/>
        <v>0</v>
      </c>
      <c r="EW122">
        <f t="shared" si="42"/>
        <v>0</v>
      </c>
      <c r="FB122">
        <f t="shared" si="43"/>
        <v>0</v>
      </c>
      <c r="FG122">
        <f t="shared" si="28"/>
        <v>0</v>
      </c>
      <c r="FM122">
        <f t="shared" si="44"/>
        <v>0</v>
      </c>
      <c r="FQ122" s="420">
        <f>'EXTRAS (2)'!D55</f>
        <v>0</v>
      </c>
      <c r="FR122" s="420">
        <f>'EXTRAS (2)'!E55</f>
        <v>0</v>
      </c>
      <c r="FU122" s="420">
        <f t="shared" si="20"/>
        <v>0</v>
      </c>
    </row>
    <row r="123" spans="2:177">
      <c r="B123" s="399" t="s">
        <v>811</v>
      </c>
      <c r="C123" s="400" t="s">
        <v>386</v>
      </c>
      <c r="Q123">
        <f t="shared" si="31"/>
        <v>0</v>
      </c>
      <c r="AB123">
        <f t="shared" si="32"/>
        <v>0</v>
      </c>
      <c r="AM123">
        <f t="shared" si="33"/>
        <v>0</v>
      </c>
      <c r="BI123">
        <f>SUM(BI$7:BI$28,BP$7:BP$28,BQ$7:BQ$28,BJ$7:BJ$28,BK$28:BK47,BL$7:BL$28,BM$7:BM$28,BN$7:BN$28)*(BH123)</f>
        <v>0</v>
      </c>
      <c r="BT123">
        <f>SUM(BT$7:BT$28,CA$7:CA$28,CB$7:CB$28,BU$7:BU$28,BV$28:BV47,BW$7:BW$28,BX$7:BX$28,BY$7:BY$28)*(BS123)</f>
        <v>0</v>
      </c>
      <c r="CD123" s="406"/>
      <c r="CE123">
        <f t="shared" si="34"/>
        <v>0</v>
      </c>
      <c r="CJ123">
        <f t="shared" si="2"/>
        <v>0</v>
      </c>
      <c r="CO123">
        <f t="shared" si="3"/>
        <v>0</v>
      </c>
      <c r="CY123">
        <f t="shared" si="5"/>
        <v>0</v>
      </c>
      <c r="DD123">
        <f t="shared" si="6"/>
        <v>0</v>
      </c>
      <c r="DI123">
        <f t="shared" si="7"/>
        <v>0</v>
      </c>
      <c r="DN123">
        <f t="shared" si="35"/>
        <v>0</v>
      </c>
      <c r="DS123">
        <f t="shared" si="36"/>
        <v>0</v>
      </c>
      <c r="DX123">
        <f t="shared" si="37"/>
        <v>0</v>
      </c>
      <c r="EC123">
        <f t="shared" si="38"/>
        <v>0</v>
      </c>
      <c r="EH123">
        <f t="shared" si="39"/>
        <v>0</v>
      </c>
      <c r="EM123">
        <f t="shared" si="40"/>
        <v>0</v>
      </c>
      <c r="ER123">
        <f t="shared" si="41"/>
        <v>0</v>
      </c>
      <c r="EW123">
        <f t="shared" si="42"/>
        <v>0</v>
      </c>
      <c r="FB123">
        <f t="shared" si="43"/>
        <v>0</v>
      </c>
      <c r="FG123">
        <f t="shared" si="28"/>
        <v>0</v>
      </c>
      <c r="FM123">
        <f t="shared" si="44"/>
        <v>0</v>
      </c>
      <c r="FQ123" s="420">
        <f>'EXTRAS (2)'!D56</f>
        <v>0</v>
      </c>
      <c r="FR123" s="420">
        <f>'EXTRAS (2)'!E56</f>
        <v>0</v>
      </c>
      <c r="FU123" s="420">
        <f t="shared" si="20"/>
        <v>0</v>
      </c>
    </row>
    <row r="124" spans="2:177">
      <c r="B124" s="399" t="s">
        <v>809</v>
      </c>
      <c r="C124" s="400" t="s">
        <v>386</v>
      </c>
      <c r="Q124">
        <f t="shared" si="31"/>
        <v>0</v>
      </c>
      <c r="AB124">
        <f t="shared" si="32"/>
        <v>0</v>
      </c>
      <c r="AM124">
        <f t="shared" si="33"/>
        <v>0</v>
      </c>
      <c r="BI124">
        <f>SUM(BI$7:BI$28,BP$7:BP$28,BQ$7:BQ$28,BJ$7:BJ$28,BK$28:BK48,BL$7:BL$28,BM$7:BM$28,BN$7:BN$28)*(BH124)</f>
        <v>0</v>
      </c>
      <c r="BT124">
        <f>SUM(BT$7:BT$28,CA$7:CA$28,CB$7:CB$28,BU$7:BU$28,BV$28:BV48,BW$7:BW$28,BX$7:BX$28,BY$7:BY$28)*(BS124)</f>
        <v>0</v>
      </c>
      <c r="CD124" s="406"/>
      <c r="CE124">
        <f t="shared" si="34"/>
        <v>0</v>
      </c>
      <c r="CJ124">
        <f t="shared" si="2"/>
        <v>0</v>
      </c>
      <c r="CO124">
        <f t="shared" si="3"/>
        <v>0</v>
      </c>
      <c r="CY124">
        <f t="shared" si="5"/>
        <v>0</v>
      </c>
      <c r="DD124">
        <f t="shared" si="6"/>
        <v>0</v>
      </c>
      <c r="DI124">
        <f t="shared" si="7"/>
        <v>0</v>
      </c>
      <c r="DN124">
        <f t="shared" si="35"/>
        <v>0</v>
      </c>
      <c r="DS124">
        <f t="shared" si="36"/>
        <v>0</v>
      </c>
      <c r="DX124">
        <f t="shared" si="37"/>
        <v>0</v>
      </c>
      <c r="EC124">
        <f t="shared" si="38"/>
        <v>0</v>
      </c>
      <c r="EH124">
        <f t="shared" si="39"/>
        <v>0</v>
      </c>
      <c r="EM124">
        <f t="shared" si="40"/>
        <v>0</v>
      </c>
      <c r="ER124">
        <f t="shared" si="41"/>
        <v>0</v>
      </c>
      <c r="EW124">
        <f t="shared" si="42"/>
        <v>0</v>
      </c>
      <c r="FB124">
        <f t="shared" si="43"/>
        <v>0</v>
      </c>
      <c r="FG124">
        <f t="shared" si="28"/>
        <v>0</v>
      </c>
      <c r="FM124">
        <f t="shared" si="44"/>
        <v>0</v>
      </c>
      <c r="FQ124" s="420">
        <f>'EXTRAS (2)'!D57</f>
        <v>0</v>
      </c>
      <c r="FR124" s="420">
        <f>'EXTRAS (2)'!E57</f>
        <v>0</v>
      </c>
      <c r="FU124" s="420">
        <f t="shared" si="20"/>
        <v>0</v>
      </c>
    </row>
    <row r="125" spans="2:177">
      <c r="B125" s="404" t="s">
        <v>1716</v>
      </c>
      <c r="C125" s="400" t="s">
        <v>168</v>
      </c>
      <c r="F125" s="333">
        <f>Transformadores!W66</f>
        <v>0</v>
      </c>
      <c r="CD125" s="406"/>
      <c r="FQ125" s="420">
        <f>'EXTRAS (2)'!D58</f>
        <v>0</v>
      </c>
      <c r="FR125" s="420">
        <f>'EXTRAS (2)'!E58</f>
        <v>0</v>
      </c>
    </row>
    <row r="126" spans="2:177">
      <c r="B126" s="404" t="s">
        <v>1717</v>
      </c>
      <c r="C126" s="400" t="s">
        <v>168</v>
      </c>
      <c r="F126" s="333">
        <f>Transformadores!W67</f>
        <v>0</v>
      </c>
      <c r="CD126" s="406"/>
      <c r="FQ126" s="420">
        <f>'EXTRAS (2)'!D59</f>
        <v>0</v>
      </c>
      <c r="FR126" s="420">
        <f>'EXTRAS (2)'!E59</f>
        <v>0</v>
      </c>
    </row>
    <row r="127" spans="2:177">
      <c r="B127" s="404" t="s">
        <v>1718</v>
      </c>
      <c r="C127" s="400" t="s">
        <v>168</v>
      </c>
      <c r="F127" s="333">
        <f>Transformadores!W68</f>
        <v>0</v>
      </c>
      <c r="CD127" s="406"/>
      <c r="FQ127" s="420">
        <f>'EXTRAS (2)'!D60</f>
        <v>0</v>
      </c>
      <c r="FR127" s="420">
        <f>'EXTRAS (2)'!E60</f>
        <v>0</v>
      </c>
    </row>
    <row r="128" spans="2:177">
      <c r="B128" s="404" t="s">
        <v>1719</v>
      </c>
      <c r="C128" s="400" t="s">
        <v>168</v>
      </c>
      <c r="F128" s="333">
        <f>Transformadores!W70</f>
        <v>0</v>
      </c>
      <c r="CD128" s="406"/>
      <c r="FQ128" s="420">
        <f>'EXTRAS (2)'!D61</f>
        <v>0</v>
      </c>
      <c r="FR128" s="420">
        <f>'EXTRAS (2)'!E61</f>
        <v>0</v>
      </c>
    </row>
    <row r="129" spans="1:177">
      <c r="B129" s="404" t="s">
        <v>1383</v>
      </c>
      <c r="C129" s="400" t="s">
        <v>168</v>
      </c>
      <c r="F129" s="333">
        <f>Transformadores!W69</f>
        <v>0</v>
      </c>
      <c r="AB129">
        <f t="shared" si="32"/>
        <v>0</v>
      </c>
      <c r="AM129">
        <f t="shared" si="33"/>
        <v>0</v>
      </c>
      <c r="BI129">
        <f>SUM(BI$7:BI$28,BP$7:BP$28,BQ$7:BQ$28,BJ$7:BJ$28,BK$28:BK49,BL$7:BL$28,BM$7:BM$28,BN$7:BN$28)*(BH129)</f>
        <v>0</v>
      </c>
      <c r="BT129">
        <f>SUM(BT$7:BT$28,CA$7:CA$28,CB$7:CB$28,BU$7:BU$28,BV$28:BV49,BW$7:BW$28,BX$7:BX$28,BY$7:BY$28)*(BS129)</f>
        <v>0</v>
      </c>
      <c r="CD129" s="406"/>
      <c r="FB129">
        <f t="shared" si="43"/>
        <v>0</v>
      </c>
      <c r="FQ129" s="420">
        <f>'EXTRAS (2)'!D62</f>
        <v>0</v>
      </c>
      <c r="FR129" s="420">
        <f>'EXTRAS (2)'!E62</f>
        <v>0</v>
      </c>
      <c r="FU129" s="420">
        <f t="shared" si="20"/>
        <v>0</v>
      </c>
    </row>
    <row r="130" spans="1:177">
      <c r="B130" s="399" t="s">
        <v>1381</v>
      </c>
      <c r="C130" s="400" t="s">
        <v>168</v>
      </c>
      <c r="F130" s="333">
        <f>Transformadores!W71</f>
        <v>0</v>
      </c>
      <c r="AB130">
        <f t="shared" si="32"/>
        <v>0</v>
      </c>
      <c r="AM130">
        <f t="shared" si="33"/>
        <v>0</v>
      </c>
      <c r="BI130">
        <f>SUM(BI$7:BI$28,BP$7:BP$28,BQ$7:BQ$28,BJ$7:BJ$28,BK$28:BK50,BL$7:BL$28,BM$7:BM$28,BN$7:BN$28)*(BH130)</f>
        <v>0</v>
      </c>
      <c r="BT130">
        <f>SUM(BT$7:BT$28,CA$7:CA$28,CB$7:CB$28,BU$7:BU$28,BV$28:BV50,BW$7:BW$28,BX$7:BX$28,BY$7:BY$28)*(BS130)</f>
        <v>0</v>
      </c>
      <c r="CD130" s="406"/>
      <c r="FB130">
        <f t="shared" si="43"/>
        <v>0</v>
      </c>
      <c r="FQ130" s="420">
        <f>'EXTRAS (2)'!D63</f>
        <v>0</v>
      </c>
      <c r="FR130" s="420">
        <f>'EXTRAS (2)'!E63</f>
        <v>0</v>
      </c>
      <c r="FU130" s="420">
        <f t="shared" si="20"/>
        <v>0</v>
      </c>
    </row>
    <row r="131" spans="1:177">
      <c r="B131" s="399" t="s">
        <v>812</v>
      </c>
      <c r="C131" s="400" t="s">
        <v>0</v>
      </c>
      <c r="Q131">
        <f t="shared" ref="Q131:Q137" si="45">SUM(Q$7:Q$28,X$7:X$28,Y$7:Y$28)*(P131)</f>
        <v>0</v>
      </c>
      <c r="AB131">
        <f t="shared" si="32"/>
        <v>0</v>
      </c>
      <c r="AM131">
        <f t="shared" si="33"/>
        <v>0</v>
      </c>
      <c r="BI131">
        <f>SUM(BI$7:BI$28,BP$7:BP$28,BQ$7:BQ$28,BJ$7:BJ$28,BK$28:BK51,BL$7:BL$28,BM$7:BM$28,BN$7:BN$28)*(BH131)</f>
        <v>0</v>
      </c>
      <c r="BT131">
        <f>SUM(BT$7:BT$28,CA$7:CA$28,CB$7:CB$28,BU$7:BU$28,BV$28:BV51,BW$7:BW$28,BX$7:BX$28,BY$7:BY$28)*(BS131)</f>
        <v>0</v>
      </c>
      <c r="CE131">
        <f>SUM(CE$7:CE$28,CF$7:CF$28,CG$7:CG$28)*(CD131)</f>
        <v>0</v>
      </c>
      <c r="CJ131">
        <f t="shared" si="2"/>
        <v>0</v>
      </c>
      <c r="CO131">
        <f t="shared" si="3"/>
        <v>0</v>
      </c>
      <c r="CY131">
        <f t="shared" si="5"/>
        <v>0</v>
      </c>
      <c r="DD131">
        <f t="shared" si="6"/>
        <v>0</v>
      </c>
      <c r="DI131">
        <f t="shared" si="7"/>
        <v>0</v>
      </c>
      <c r="DN131">
        <f t="shared" si="35"/>
        <v>0</v>
      </c>
      <c r="DS131">
        <f t="shared" ref="DS131:DS136" si="46">SUM(DS$7:DS$28,DT$7:DT$28,DU$7:DU$28)*(DR131)</f>
        <v>0</v>
      </c>
      <c r="DX131">
        <f t="shared" ref="DX131:DX144" si="47">SUM(DX$7:DX$28,DY$7:DY$28,DZ$7:DZ$28)*(DW131)</f>
        <v>0</v>
      </c>
      <c r="EC131">
        <f t="shared" ref="EC131:EC136" si="48">SUM(EC$7:EC$28,ED$7:ED$28,EE$7:EE$28)*(EB131)</f>
        <v>0</v>
      </c>
      <c r="EH131">
        <f t="shared" ref="EH131:EH136" si="49">SUM(EH$7:EH$28,EI$7:EI$28,EJ$7:EJ$28)*(EG131)</f>
        <v>0</v>
      </c>
      <c r="EM131">
        <f t="shared" ref="EM131:EM136" si="50">SUM(EM$7:EM$28,EN$7:EN$28,EO$7:EO$28)*(EL131)</f>
        <v>0</v>
      </c>
      <c r="ER131">
        <f t="shared" ref="ER131:ER136" si="51">SUM(ER$7:ER$28,ES$7:ES$28,ET$7:ET$28)*(EQ131)</f>
        <v>0</v>
      </c>
      <c r="EW131">
        <f t="shared" ref="EW131:EW136" si="52">SUM(EW$7:EW$28,EX$7:EX$28,EY$7:EY$28)*(EV131)</f>
        <v>0</v>
      </c>
      <c r="FB131">
        <f t="shared" si="43"/>
        <v>0</v>
      </c>
      <c r="FG131">
        <f t="shared" ref="FG131:FG145" si="53">SUM(FG$7:FG$28,FH$7:FH$28,FI$7:FI$28)*(FF131)</f>
        <v>0</v>
      </c>
      <c r="FM131">
        <f t="shared" ref="FM131:FM150" si="54">SUM(FM$7:FM$28,FN$7:FN$28,FO$7:FO$28)*(FL131)</f>
        <v>0</v>
      </c>
      <c r="FQ131" s="420">
        <f>'EXTRAS (2)'!D64</f>
        <v>0</v>
      </c>
      <c r="FR131" s="420">
        <f>'EXTRAS (2)'!E64</f>
        <v>0</v>
      </c>
      <c r="FU131" s="420">
        <f t="shared" si="20"/>
        <v>0</v>
      </c>
    </row>
    <row r="132" spans="1:177">
      <c r="B132" s="399" t="s">
        <v>813</v>
      </c>
      <c r="C132" s="400" t="s">
        <v>0</v>
      </c>
      <c r="Q132">
        <f t="shared" si="45"/>
        <v>0</v>
      </c>
      <c r="AB132">
        <f t="shared" si="32"/>
        <v>0</v>
      </c>
      <c r="AM132">
        <f t="shared" si="33"/>
        <v>0</v>
      </c>
      <c r="BI132">
        <f>SUM(BI$7:BI$28,BP$7:BP$28,BQ$7:BQ$28,BJ$7:BJ$28,BK$28:BK52,BL$7:BL$28,BM$7:BM$28,BN$7:BN$28)*(BH132)</f>
        <v>0</v>
      </c>
      <c r="BT132">
        <f>SUM(BT$7:BT$28,CA$7:CA$28,CB$7:CB$28,BU$7:BU$28,BV$28:BV52,BW$7:BW$28,BX$7:BX$28,BY$7:BY$28)*(BS132)</f>
        <v>0</v>
      </c>
      <c r="CE132">
        <f>SUM(CE$7:CE$28,CF$7:CF$28,CG$7:CG$28)*(CD132)</f>
        <v>0</v>
      </c>
      <c r="CJ132">
        <f t="shared" si="2"/>
        <v>0</v>
      </c>
      <c r="CO132">
        <f t="shared" si="3"/>
        <v>0</v>
      </c>
      <c r="CY132">
        <f t="shared" si="5"/>
        <v>0</v>
      </c>
      <c r="DD132">
        <f t="shared" si="6"/>
        <v>0</v>
      </c>
      <c r="DI132">
        <f t="shared" si="7"/>
        <v>0</v>
      </c>
      <c r="DN132">
        <f t="shared" si="35"/>
        <v>0</v>
      </c>
      <c r="DS132">
        <f t="shared" si="46"/>
        <v>0</v>
      </c>
      <c r="DX132">
        <f t="shared" si="47"/>
        <v>0</v>
      </c>
      <c r="EC132">
        <f t="shared" si="48"/>
        <v>0</v>
      </c>
      <c r="EH132">
        <f t="shared" si="49"/>
        <v>0</v>
      </c>
      <c r="EM132">
        <f t="shared" si="50"/>
        <v>0</v>
      </c>
      <c r="ER132">
        <f t="shared" si="51"/>
        <v>0</v>
      </c>
      <c r="EW132">
        <f t="shared" si="52"/>
        <v>0</v>
      </c>
      <c r="FB132">
        <f t="shared" si="43"/>
        <v>0</v>
      </c>
      <c r="FG132">
        <f t="shared" si="53"/>
        <v>0</v>
      </c>
      <c r="FM132">
        <f t="shared" si="54"/>
        <v>0</v>
      </c>
      <c r="FQ132" s="420">
        <f>'EXTRAS (2)'!D65</f>
        <v>0</v>
      </c>
      <c r="FR132" s="420">
        <f>'EXTRAS (2)'!E65</f>
        <v>0</v>
      </c>
      <c r="FU132" s="420">
        <f t="shared" si="20"/>
        <v>0</v>
      </c>
    </row>
    <row r="133" spans="1:177">
      <c r="B133" s="399" t="s">
        <v>814</v>
      </c>
      <c r="C133" s="400" t="s">
        <v>0</v>
      </c>
      <c r="Q133">
        <f t="shared" si="45"/>
        <v>0</v>
      </c>
      <c r="AB133">
        <f t="shared" si="32"/>
        <v>0</v>
      </c>
      <c r="AM133">
        <f t="shared" si="33"/>
        <v>0</v>
      </c>
      <c r="BI133">
        <f>SUM(BI$7:BI$28,BP$7:BP$28,BQ$7:BQ$28,BJ$7:BJ$28,BK$28:BK53,BL$7:BL$28,BM$7:BM$28,BN$7:BN$28)*(BH133)</f>
        <v>0</v>
      </c>
      <c r="BT133">
        <f>SUM(BT$7:BT$28,CA$7:CA$28,CB$7:CB$28,BU$7:BU$28,BV$28:BV53,BW$7:BW$28,BX$7:BX$28,BY$7:BY$28)*(BS133)</f>
        <v>0</v>
      </c>
      <c r="CE133">
        <f>SUM(CE$7:CE$28,CF$7:CF$28,CG$7:CG$28)*(CD133)</f>
        <v>0</v>
      </c>
      <c r="CJ133">
        <f t="shared" si="2"/>
        <v>0</v>
      </c>
      <c r="CO133">
        <f t="shared" si="3"/>
        <v>0</v>
      </c>
      <c r="CY133">
        <f t="shared" si="5"/>
        <v>0</v>
      </c>
      <c r="DD133">
        <f t="shared" si="6"/>
        <v>0</v>
      </c>
      <c r="DI133">
        <f t="shared" si="7"/>
        <v>0</v>
      </c>
      <c r="DN133">
        <f t="shared" si="35"/>
        <v>0</v>
      </c>
      <c r="DS133">
        <f t="shared" si="46"/>
        <v>0</v>
      </c>
      <c r="DX133">
        <f t="shared" si="47"/>
        <v>0</v>
      </c>
      <c r="EC133">
        <f t="shared" si="48"/>
        <v>0</v>
      </c>
      <c r="EH133">
        <f t="shared" si="49"/>
        <v>0</v>
      </c>
      <c r="EM133">
        <f t="shared" si="50"/>
        <v>0</v>
      </c>
      <c r="ER133">
        <f t="shared" si="51"/>
        <v>0</v>
      </c>
      <c r="EW133">
        <f t="shared" si="52"/>
        <v>0</v>
      </c>
      <c r="FB133">
        <f t="shared" si="43"/>
        <v>0</v>
      </c>
      <c r="FG133">
        <f t="shared" si="53"/>
        <v>0</v>
      </c>
      <c r="FM133">
        <f t="shared" si="54"/>
        <v>0</v>
      </c>
      <c r="FQ133" s="420">
        <f>'EXTRAS (2)'!D66</f>
        <v>0</v>
      </c>
      <c r="FR133" s="420">
        <f>'EXTRAS (2)'!E66</f>
        <v>0</v>
      </c>
      <c r="FU133" s="420">
        <f t="shared" si="20"/>
        <v>0</v>
      </c>
    </row>
    <row r="134" spans="1:177">
      <c r="B134" s="399" t="s">
        <v>1050</v>
      </c>
      <c r="C134" s="400" t="s">
        <v>168</v>
      </c>
      <c r="Q134">
        <f t="shared" si="45"/>
        <v>0</v>
      </c>
      <c r="AB134">
        <f t="shared" si="32"/>
        <v>0</v>
      </c>
      <c r="AM134">
        <f t="shared" si="33"/>
        <v>0</v>
      </c>
      <c r="BI134">
        <f>SUM(BI$7:BI$28,BP$7:BP$28,BQ$7:BQ$28,BJ$7:BJ$28,BK$28:BK54,BL$7:BL$28,BM$7:BM$28,BN$7:BN$28)*(BH134)</f>
        <v>0</v>
      </c>
      <c r="BT134">
        <f>SUM(BT$7:BT$28,CA$7:CA$28,CB$7:CB$28,BU$7:BU$28,BV$28:BV54,BW$7:BW$28,BX$7:BX$28,BY$7:BY$28)*(BS134)</f>
        <v>0</v>
      </c>
      <c r="CD134" t="s">
        <v>1018</v>
      </c>
      <c r="CE134" s="420">
        <f>(C7*3)+(C7*3)*(3%)+SUM(C15)*(1.2)</f>
        <v>0</v>
      </c>
      <c r="CF134">
        <f>C12</f>
        <v>0</v>
      </c>
      <c r="CJ134">
        <f t="shared" si="2"/>
        <v>0</v>
      </c>
      <c r="CO134">
        <f t="shared" si="3"/>
        <v>0</v>
      </c>
      <c r="CY134">
        <f t="shared" si="5"/>
        <v>0</v>
      </c>
      <c r="DD134">
        <f t="shared" si="6"/>
        <v>0</v>
      </c>
      <c r="DI134">
        <f t="shared" si="7"/>
        <v>0</v>
      </c>
      <c r="DN134">
        <f t="shared" si="35"/>
        <v>0</v>
      </c>
      <c r="DS134">
        <f t="shared" si="46"/>
        <v>0</v>
      </c>
      <c r="DX134">
        <f t="shared" si="47"/>
        <v>0</v>
      </c>
      <c r="EC134">
        <f t="shared" si="48"/>
        <v>0</v>
      </c>
      <c r="EH134">
        <f t="shared" si="49"/>
        <v>0</v>
      </c>
      <c r="EM134">
        <f t="shared" si="50"/>
        <v>0</v>
      </c>
      <c r="ER134">
        <f t="shared" si="51"/>
        <v>0</v>
      </c>
      <c r="EW134">
        <f t="shared" si="52"/>
        <v>0</v>
      </c>
      <c r="FB134">
        <f t="shared" si="43"/>
        <v>0</v>
      </c>
      <c r="FG134">
        <f t="shared" si="53"/>
        <v>0</v>
      </c>
      <c r="FM134">
        <f t="shared" si="54"/>
        <v>0</v>
      </c>
      <c r="FQ134" s="420">
        <f>'EXTRAS (2)'!D67</f>
        <v>0</v>
      </c>
      <c r="FR134" s="420">
        <f>'EXTRAS (2)'!E67</f>
        <v>0</v>
      </c>
      <c r="FU134" s="420">
        <f t="shared" si="20"/>
        <v>0</v>
      </c>
    </row>
    <row r="135" spans="1:177">
      <c r="B135" s="399" t="s">
        <v>1051</v>
      </c>
      <c r="C135" s="400" t="s">
        <v>168</v>
      </c>
      <c r="Q135">
        <f t="shared" si="45"/>
        <v>0</v>
      </c>
      <c r="AB135">
        <f t="shared" si="32"/>
        <v>0</v>
      </c>
      <c r="AM135">
        <f t="shared" si="33"/>
        <v>0</v>
      </c>
      <c r="BI135">
        <f>SUM(BI$7:BI$28,BP$7:BP$28,BQ$7:BQ$28,BJ$7:BJ$28,BK$28:BK55,BL$7:BL$28,BM$7:BM$28,BN$7:BN$28)*(BH135)</f>
        <v>0</v>
      </c>
      <c r="BT135">
        <f>SUM(BT$7:BT$28,CA$7:CA$28,CB$7:CB$28,BU$7:BU$28,BV$28:BV55,BW$7:BW$28,BX$7:BX$28,BY$7:BY$28)*(BS135)</f>
        <v>0</v>
      </c>
      <c r="CD135" t="s">
        <v>1018</v>
      </c>
      <c r="CE135" s="420">
        <f>(C8*3)+(C8*3)*(3%)+SUM(C16)*(1.2)</f>
        <v>0</v>
      </c>
      <c r="CF135">
        <f>C13</f>
        <v>0</v>
      </c>
      <c r="CJ135">
        <f>SUM(CJ$7:CJ$28,CK$7:CK$28,CL$7:CL$28)*(CI135)</f>
        <v>0</v>
      </c>
      <c r="CO135">
        <f>SUM(CO$7:CO$28,CP$7:CP$28,CQ$7:CQ$28)*(CN135)</f>
        <v>0</v>
      </c>
      <c r="CY135">
        <f>SUM(CY$7:CY$28,CZ$7:CZ$28,DA$7:DA$28)*(CX135)</f>
        <v>0</v>
      </c>
      <c r="DD135">
        <f>SUM(DD$7:DD$28,DE$7:DE$28,DF$7:DF$28)*(DC135)</f>
        <v>0</v>
      </c>
      <c r="DI135">
        <f>SUM(DI$7:DI$28,DJ$7:DJ$28,DK$7:DK$28)*(DH135)</f>
        <v>0</v>
      </c>
      <c r="DN135">
        <f>SUM(DN$7:DN$28,DO$7:DO$28,DP$7:DP$28)*(DM135)</f>
        <v>0</v>
      </c>
      <c r="DS135">
        <f t="shared" si="46"/>
        <v>0</v>
      </c>
      <c r="DX135">
        <f t="shared" si="47"/>
        <v>0</v>
      </c>
      <c r="EC135">
        <f t="shared" si="48"/>
        <v>0</v>
      </c>
      <c r="EH135">
        <f t="shared" si="49"/>
        <v>0</v>
      </c>
      <c r="EM135">
        <f t="shared" si="50"/>
        <v>0</v>
      </c>
      <c r="ER135">
        <f t="shared" si="51"/>
        <v>0</v>
      </c>
      <c r="EW135">
        <f t="shared" si="52"/>
        <v>0</v>
      </c>
      <c r="FB135">
        <f t="shared" si="43"/>
        <v>0</v>
      </c>
      <c r="FG135">
        <f t="shared" si="53"/>
        <v>0</v>
      </c>
      <c r="FM135">
        <f t="shared" si="54"/>
        <v>0</v>
      </c>
      <c r="FQ135" s="420">
        <f>'EXTRAS (2)'!D68</f>
        <v>0</v>
      </c>
      <c r="FR135" s="420">
        <f>'EXTRAS (2)'!E68</f>
        <v>0</v>
      </c>
      <c r="FU135" s="420">
        <f t="shared" si="20"/>
        <v>0</v>
      </c>
    </row>
    <row r="136" spans="1:177">
      <c r="B136" s="399" t="s">
        <v>1052</v>
      </c>
      <c r="C136" s="400" t="s">
        <v>168</v>
      </c>
      <c r="Q136">
        <f t="shared" si="45"/>
        <v>0</v>
      </c>
      <c r="AB136">
        <f t="shared" si="32"/>
        <v>0</v>
      </c>
      <c r="AM136">
        <f t="shared" si="33"/>
        <v>0</v>
      </c>
      <c r="BI136">
        <f>SUM(BI$7:BI$28,BP$7:BP$28,BQ$7:BQ$28,BJ$7:BJ$28,BK$28:BK56,BL$7:BL$28,BM$7:BM$28,BN$7:BN$28)*(BH136)</f>
        <v>0</v>
      </c>
      <c r="BT136">
        <f>SUM(BT$7:BT$28,CA$7:CA$28,CB$7:CB$28,BU$7:BU$28,BV$28:BV56,BW$7:BW$28,BX$7:BX$28,BY$7:BY$28)*(BS136)</f>
        <v>0</v>
      </c>
      <c r="CD136" t="s">
        <v>1018</v>
      </c>
      <c r="CE136" s="420">
        <f>(C9*3)+(C9*3)*(3%)+SUM(C17)*(1.2)</f>
        <v>0</v>
      </c>
      <c r="CF136">
        <f>C14</f>
        <v>0</v>
      </c>
      <c r="CJ136">
        <f>SUM(CJ$7:CJ$28,CK$7:CK$28,CL$7:CL$28)*(CI136)</f>
        <v>0</v>
      </c>
      <c r="CO136">
        <f>SUM(CO$7:CO$28,CP$7:CP$28,CQ$7:CQ$28)*(CN136)</f>
        <v>0</v>
      </c>
      <c r="CY136">
        <f>SUM(CY$7:CY$28,CZ$7:CZ$28,DA$7:DA$28)*(CX136)</f>
        <v>0</v>
      </c>
      <c r="DD136">
        <f>SUM(DD$7:DD$28,DE$7:DE$28,DF$7:DF$28)*(DC136)</f>
        <v>0</v>
      </c>
      <c r="DI136">
        <f>SUM(DI$7:DI$28,DJ$7:DJ$28,DK$7:DK$28)*(DH136)</f>
        <v>0</v>
      </c>
      <c r="DN136">
        <f>SUM(DN$7:DN$28,DO$7:DO$28,DP$7:DP$28)*(DM136)</f>
        <v>0</v>
      </c>
      <c r="DS136">
        <f t="shared" si="46"/>
        <v>0</v>
      </c>
      <c r="DX136">
        <f t="shared" si="47"/>
        <v>0</v>
      </c>
      <c r="EC136">
        <f t="shared" si="48"/>
        <v>0</v>
      </c>
      <c r="EH136">
        <f t="shared" si="49"/>
        <v>0</v>
      </c>
      <c r="EM136">
        <f t="shared" si="50"/>
        <v>0</v>
      </c>
      <c r="ER136">
        <f t="shared" si="51"/>
        <v>0</v>
      </c>
      <c r="EW136">
        <f t="shared" si="52"/>
        <v>0</v>
      </c>
      <c r="FB136">
        <f t="shared" si="43"/>
        <v>0</v>
      </c>
      <c r="FG136">
        <f t="shared" si="53"/>
        <v>0</v>
      </c>
      <c r="FM136">
        <f t="shared" si="54"/>
        <v>0</v>
      </c>
      <c r="FQ136" s="420">
        <f>'EXTRAS (2)'!D69</f>
        <v>0</v>
      </c>
      <c r="FR136" s="420">
        <f>'EXTRAS (2)'!E69</f>
        <v>0</v>
      </c>
      <c r="FU136" s="420">
        <f t="shared" si="20"/>
        <v>0</v>
      </c>
    </row>
    <row r="137" spans="1:177">
      <c r="B137" s="399" t="s">
        <v>815</v>
      </c>
      <c r="C137" s="400" t="s">
        <v>386</v>
      </c>
      <c r="Q137">
        <f t="shared" si="45"/>
        <v>0</v>
      </c>
      <c r="AB137">
        <f t="shared" si="32"/>
        <v>0</v>
      </c>
      <c r="AM137">
        <f t="shared" si="33"/>
        <v>0</v>
      </c>
      <c r="BI137">
        <f>SUM(BI$7:BI$28,BP$7:BP$28,BQ$7:BQ$28,BJ$7:BJ$28,BK$28:BK57,BL$7:BL$28,BM$7:BM$28,BN$7:BN$28)*(BH137)</f>
        <v>0</v>
      </c>
      <c r="BT137">
        <f>SUM(BT$7:BT$28,CA$7:CA$28,CB$7:CB$28,BU$7:BU$28,BV$28:BV57,BW$7:BW$28,BX$7:BX$28,BY$7:BY$28)*(BS137)</f>
        <v>0</v>
      </c>
      <c r="CE137">
        <f t="shared" ref="CE137:CE145" si="55">SUM(CE$7:CE$28,CF$7:CF$28,CG$7:CG$28)*(CD137)</f>
        <v>0</v>
      </c>
      <c r="CJ137">
        <f t="shared" si="2"/>
        <v>0</v>
      </c>
      <c r="CO137">
        <f t="shared" si="3"/>
        <v>0</v>
      </c>
      <c r="CY137">
        <f t="shared" si="5"/>
        <v>0</v>
      </c>
      <c r="DD137">
        <f t="shared" si="6"/>
        <v>0</v>
      </c>
      <c r="DI137">
        <f t="shared" si="7"/>
        <v>0</v>
      </c>
      <c r="DN137">
        <f t="shared" si="35"/>
        <v>0</v>
      </c>
      <c r="DS137">
        <f t="shared" ref="DS137:DS145" si="56">SUM(DS$7:DS$28,DT$7:DT$28,DU$7:DU$28)*(DR137)</f>
        <v>0</v>
      </c>
      <c r="DX137">
        <f t="shared" si="47"/>
        <v>0</v>
      </c>
      <c r="EC137">
        <f t="shared" ref="EC137:EC145" si="57">SUM(EC$7:EC$28,ED$7:ED$28,EE$7:EE$28)*(EB137)</f>
        <v>0</v>
      </c>
      <c r="EH137">
        <f t="shared" ref="EH137:EH145" si="58">SUM(EH$7:EH$28,EI$7:EI$28,EJ$7:EJ$28)*(EG137)</f>
        <v>0</v>
      </c>
      <c r="EM137">
        <f t="shared" ref="EM137:EM145" si="59">SUM(EM$7:EM$28,EN$7:EN$28,EO$7:EO$28)*(EL137)</f>
        <v>0</v>
      </c>
      <c r="ER137">
        <f t="shared" ref="ER137:ER144" si="60">SUM(ER$7:ER$28,ES$7:ES$28,ET$7:ET$28)*(EQ137)</f>
        <v>0</v>
      </c>
      <c r="EW137">
        <f t="shared" ref="EW137:EW145" si="61">SUM(EW$7:EW$28,EX$7:EX$28,EY$7:EY$28)*(EV137)</f>
        <v>0</v>
      </c>
      <c r="FB137">
        <f t="shared" si="43"/>
        <v>0</v>
      </c>
      <c r="FG137">
        <f t="shared" si="53"/>
        <v>0</v>
      </c>
      <c r="FM137">
        <f t="shared" si="54"/>
        <v>0</v>
      </c>
      <c r="FQ137" s="420">
        <f>'EXTRAS (2)'!D70</f>
        <v>0</v>
      </c>
      <c r="FR137" s="420">
        <f>'EXTRAS (2)'!E70</f>
        <v>0</v>
      </c>
      <c r="FU137" s="420">
        <f t="shared" si="20"/>
        <v>0</v>
      </c>
    </row>
    <row r="138" spans="1:177">
      <c r="A138">
        <v>1</v>
      </c>
      <c r="B138" s="399" t="s">
        <v>816</v>
      </c>
      <c r="C138" s="400" t="s">
        <v>4</v>
      </c>
      <c r="AB138" s="992"/>
      <c r="AM138">
        <f t="shared" si="33"/>
        <v>0</v>
      </c>
      <c r="BI138">
        <f>SUM(BI$7:BI$28,BP$7:BP$28,BQ$7:BQ$28,BJ$7:BJ$28,BK$28:BK58,BL$7:BL$28,BM$7:BM$28,BN$7:BN$28)*(BH138)</f>
        <v>0</v>
      </c>
      <c r="BT138">
        <f>SUM(BT$7:BT$28,CA$7:CA$28,CB$7:CB$28,BU$7:BU$28,BV$28:BV58,BW$7:BW$28,BX$7:BX$28,BY$7:BY$28)*(BS138)</f>
        <v>0</v>
      </c>
      <c r="CE138">
        <f t="shared" si="55"/>
        <v>0</v>
      </c>
      <c r="CF138">
        <f>(C7+C8)+(C7+C8)*(3%)</f>
        <v>0</v>
      </c>
      <c r="CG138" s="333">
        <f>C10*14</f>
        <v>0</v>
      </c>
      <c r="CJ138">
        <f t="shared" si="2"/>
        <v>0</v>
      </c>
      <c r="CO138">
        <f t="shared" si="3"/>
        <v>0</v>
      </c>
      <c r="CY138">
        <f t="shared" si="5"/>
        <v>0</v>
      </c>
      <c r="DD138">
        <f t="shared" si="6"/>
        <v>0</v>
      </c>
      <c r="DI138">
        <f t="shared" si="7"/>
        <v>0</v>
      </c>
      <c r="DN138">
        <f t="shared" si="35"/>
        <v>0</v>
      </c>
      <c r="DS138">
        <f t="shared" si="56"/>
        <v>0</v>
      </c>
      <c r="DX138">
        <f t="shared" si="47"/>
        <v>0</v>
      </c>
      <c r="EC138">
        <f t="shared" si="57"/>
        <v>0</v>
      </c>
      <c r="EH138">
        <f t="shared" si="58"/>
        <v>0</v>
      </c>
      <c r="EM138">
        <f t="shared" si="59"/>
        <v>0</v>
      </c>
      <c r="ER138">
        <f t="shared" si="60"/>
        <v>0</v>
      </c>
      <c r="EV138" s="853"/>
      <c r="EW138" s="853"/>
      <c r="FB138">
        <f t="shared" si="43"/>
        <v>0</v>
      </c>
      <c r="FQ138" s="420">
        <f>'EXTRAS (2)'!D71</f>
        <v>0</v>
      </c>
      <c r="FR138" s="420">
        <f>'EXTRAS (2)'!E71</f>
        <v>0</v>
      </c>
      <c r="FU138" s="420">
        <f t="shared" si="20"/>
        <v>0</v>
      </c>
    </row>
    <row r="139" spans="1:177">
      <c r="B139" s="399" t="s">
        <v>1737</v>
      </c>
      <c r="C139" s="400" t="s">
        <v>168</v>
      </c>
      <c r="E139">
        <v>20</v>
      </c>
      <c r="F139">
        <f>SUM(F7:N28)*(E139)+Transformadores!W65</f>
        <v>0</v>
      </c>
      <c r="P139">
        <v>20</v>
      </c>
      <c r="Q139">
        <f>SUM(Q7:Y28)*(P139)</f>
        <v>0</v>
      </c>
      <c r="AB139" s="992"/>
      <c r="CG139" s="333"/>
      <c r="CS139">
        <v>40</v>
      </c>
      <c r="CT139">
        <f>SUM(CT$7:CT$28,CU$7:CU$28,CV$7:CV$28)*(CS139)</f>
        <v>0</v>
      </c>
      <c r="EV139" s="853"/>
      <c r="EW139" s="853"/>
      <c r="FQ139" s="420">
        <f>'EXTRAS (2)'!D72</f>
        <v>0</v>
      </c>
      <c r="FR139" s="420">
        <f>'EXTRAS (2)'!E72</f>
        <v>0</v>
      </c>
      <c r="FU139" s="420">
        <f t="shared" si="20"/>
        <v>0</v>
      </c>
    </row>
    <row r="140" spans="1:177">
      <c r="A140">
        <v>2</v>
      </c>
      <c r="B140" s="399" t="s">
        <v>1168</v>
      </c>
      <c r="C140" s="400" t="s">
        <v>4</v>
      </c>
      <c r="Q140">
        <f t="shared" ref="Q140:Q145" si="62">SUM(Q$7:Q$28,X$7:X$28,Y$7:Y$28)*(P140)</f>
        <v>0</v>
      </c>
      <c r="AB140">
        <f t="shared" si="32"/>
        <v>0</v>
      </c>
      <c r="AM140">
        <f t="shared" si="33"/>
        <v>0</v>
      </c>
      <c r="BI140">
        <f>SUM(BI$7:BI$28,BP$7:BP$28,BQ$7:BQ$28,BJ$7:BJ$28,BK$28:BK59,BL$7:BL$28,BM$7:BM$28,BN$7:BN$28)*(BH140)</f>
        <v>0</v>
      </c>
      <c r="BT140">
        <f>SUM(BT$7:BT$28,CA$7:CA$28,CB$7:CB$28,BU$7:BU$28,BV$28:BV59,BW$7:BW$28,BX$7:BX$28,BY$7:BY$28)*(BS140)</f>
        <v>0</v>
      </c>
      <c r="CE140">
        <f t="shared" si="55"/>
        <v>0</v>
      </c>
      <c r="CF140">
        <f>(C9)+(C9)*(3%)</f>
        <v>0</v>
      </c>
      <c r="CG140" s="333">
        <f>C11*14</f>
        <v>0</v>
      </c>
      <c r="CJ140">
        <f t="shared" si="2"/>
        <v>0</v>
      </c>
      <c r="CO140">
        <f t="shared" si="3"/>
        <v>0</v>
      </c>
      <c r="CY140">
        <f t="shared" si="5"/>
        <v>0</v>
      </c>
      <c r="DD140">
        <f t="shared" si="6"/>
        <v>0</v>
      </c>
      <c r="DI140">
        <f t="shared" si="7"/>
        <v>0</v>
      </c>
      <c r="DN140">
        <f t="shared" si="35"/>
        <v>0</v>
      </c>
      <c r="DS140">
        <f t="shared" si="56"/>
        <v>0</v>
      </c>
      <c r="DX140">
        <f t="shared" si="47"/>
        <v>0</v>
      </c>
      <c r="EC140">
        <f t="shared" si="57"/>
        <v>0</v>
      </c>
      <c r="EH140">
        <f t="shared" si="58"/>
        <v>0</v>
      </c>
      <c r="EM140">
        <f t="shared" si="59"/>
        <v>0</v>
      </c>
      <c r="ER140">
        <f t="shared" si="60"/>
        <v>0</v>
      </c>
      <c r="EW140">
        <f t="shared" si="61"/>
        <v>0</v>
      </c>
      <c r="FB140">
        <f t="shared" si="43"/>
        <v>0</v>
      </c>
      <c r="FG140">
        <f t="shared" si="53"/>
        <v>0</v>
      </c>
      <c r="FM140">
        <f t="shared" si="54"/>
        <v>0</v>
      </c>
      <c r="FQ140" s="420">
        <f>'EXTRAS (2)'!D73</f>
        <v>0</v>
      </c>
      <c r="FR140" s="420">
        <f>'EXTRAS (2)'!E73</f>
        <v>0</v>
      </c>
      <c r="FU140" s="420">
        <f t="shared" si="20"/>
        <v>0</v>
      </c>
    </row>
    <row r="141" spans="1:177">
      <c r="A141">
        <v>3</v>
      </c>
      <c r="B141" s="399" t="s">
        <v>3</v>
      </c>
      <c r="C141" s="400" t="s">
        <v>0</v>
      </c>
      <c r="Q141">
        <f t="shared" si="62"/>
        <v>0</v>
      </c>
      <c r="AB141">
        <f t="shared" si="32"/>
        <v>0</v>
      </c>
      <c r="AM141">
        <f t="shared" si="33"/>
        <v>0</v>
      </c>
      <c r="BI141">
        <f>SUM(BI$7:BI$28,BP$7:BP$28,BQ$7:BQ$28,BJ$7:BJ$28,BK$28:BK60,BL$7:BL$28,BM$7:BM$28,BN$7:BN$28)*(BH141)</f>
        <v>0</v>
      </c>
      <c r="BT141">
        <f>SUM(BT$7:BT$28,CA$7:CA$28,CB$7:CB$28,BU$7:BU$28,BV$28:BV60,BW$7:BW$28,BX$7:BX$28,BY$7:BY$28)*(BS141)</f>
        <v>0</v>
      </c>
      <c r="CE141">
        <f t="shared" si="55"/>
        <v>0</v>
      </c>
      <c r="CJ141">
        <f t="shared" si="2"/>
        <v>0</v>
      </c>
      <c r="CO141">
        <f t="shared" si="3"/>
        <v>0</v>
      </c>
      <c r="CY141">
        <f t="shared" si="5"/>
        <v>0</v>
      </c>
      <c r="DD141">
        <f t="shared" si="6"/>
        <v>0</v>
      </c>
      <c r="DI141">
        <f t="shared" si="7"/>
        <v>0</v>
      </c>
      <c r="DN141">
        <f t="shared" si="35"/>
        <v>0</v>
      </c>
      <c r="DS141">
        <f t="shared" si="56"/>
        <v>0</v>
      </c>
      <c r="DX141">
        <f t="shared" si="47"/>
        <v>0</v>
      </c>
      <c r="EC141">
        <f t="shared" si="57"/>
        <v>0</v>
      </c>
      <c r="EH141">
        <f t="shared" si="58"/>
        <v>0</v>
      </c>
      <c r="EM141">
        <f t="shared" si="59"/>
        <v>0</v>
      </c>
      <c r="ER141">
        <f t="shared" si="60"/>
        <v>0</v>
      </c>
      <c r="EW141">
        <f t="shared" si="61"/>
        <v>0</v>
      </c>
      <c r="FB141">
        <f t="shared" si="43"/>
        <v>0</v>
      </c>
      <c r="FG141">
        <f t="shared" si="53"/>
        <v>0</v>
      </c>
      <c r="FM141">
        <f t="shared" si="54"/>
        <v>0</v>
      </c>
      <c r="FQ141" s="420">
        <f>'EXTRAS (2)'!D74</f>
        <v>0</v>
      </c>
      <c r="FR141" s="420">
        <f>'EXTRAS (2)'!E74</f>
        <v>0</v>
      </c>
      <c r="FU141" s="420">
        <f t="shared" si="20"/>
        <v>0</v>
      </c>
    </row>
    <row r="142" spans="1:177">
      <c r="A142">
        <v>4</v>
      </c>
      <c r="B142" s="399" t="s">
        <v>817</v>
      </c>
      <c r="C142" s="400" t="s">
        <v>0</v>
      </c>
      <c r="Q142">
        <f t="shared" si="62"/>
        <v>0</v>
      </c>
      <c r="AB142">
        <f t="shared" si="32"/>
        <v>0</v>
      </c>
      <c r="AM142">
        <f t="shared" si="33"/>
        <v>0</v>
      </c>
      <c r="BI142">
        <f>SUM(BI$7:BI$28,BP$7:BP$28,BQ$7:BQ$28,BJ$7:BJ$28,BK$28:BK61,BL$7:BL$28,BM$7:BM$28,BN$7:BN$28)*(BH142)</f>
        <v>0</v>
      </c>
      <c r="BT142">
        <f>SUM(BT$7:BT$28,CA$7:CA$28,CB$7:CB$28,BU$7:BU$28,BV$28:BV61,BW$7:BW$28,BX$7:BX$28,BY$7:BY$28)*(BS142)</f>
        <v>0</v>
      </c>
      <c r="CE142">
        <f t="shared" si="55"/>
        <v>0</v>
      </c>
      <c r="CJ142">
        <f t="shared" si="2"/>
        <v>0</v>
      </c>
      <c r="CO142">
        <f t="shared" si="3"/>
        <v>0</v>
      </c>
      <c r="CY142">
        <f t="shared" si="5"/>
        <v>0</v>
      </c>
      <c r="DD142">
        <f t="shared" si="6"/>
        <v>0</v>
      </c>
      <c r="DI142">
        <f t="shared" si="7"/>
        <v>0</v>
      </c>
      <c r="DN142">
        <f t="shared" si="35"/>
        <v>0</v>
      </c>
      <c r="DS142">
        <f t="shared" si="56"/>
        <v>0</v>
      </c>
      <c r="DX142">
        <f t="shared" si="47"/>
        <v>0</v>
      </c>
      <c r="EC142">
        <f t="shared" si="57"/>
        <v>0</v>
      </c>
      <c r="EH142">
        <f t="shared" si="58"/>
        <v>0</v>
      </c>
      <c r="EM142">
        <f t="shared" si="59"/>
        <v>0</v>
      </c>
      <c r="ER142">
        <f t="shared" si="60"/>
        <v>0</v>
      </c>
      <c r="EW142">
        <f t="shared" si="61"/>
        <v>0</v>
      </c>
      <c r="FB142">
        <f t="shared" si="43"/>
        <v>0</v>
      </c>
      <c r="FG142">
        <f t="shared" si="53"/>
        <v>0</v>
      </c>
      <c r="FM142">
        <f t="shared" si="54"/>
        <v>0</v>
      </c>
      <c r="FQ142" s="420">
        <f>'EXTRAS (2)'!D75</f>
        <v>0</v>
      </c>
      <c r="FR142" s="420">
        <f>'EXTRAS (2)'!E75</f>
        <v>0</v>
      </c>
      <c r="FU142" s="420">
        <f t="shared" si="20"/>
        <v>0</v>
      </c>
    </row>
    <row r="143" spans="1:177">
      <c r="A143">
        <v>5</v>
      </c>
      <c r="B143" s="399" t="s">
        <v>818</v>
      </c>
      <c r="C143" s="400" t="s">
        <v>0</v>
      </c>
      <c r="Q143">
        <f t="shared" si="62"/>
        <v>0</v>
      </c>
      <c r="AB143">
        <f t="shared" si="32"/>
        <v>0</v>
      </c>
      <c r="AM143">
        <f t="shared" si="33"/>
        <v>0</v>
      </c>
      <c r="BI143">
        <f>SUM(BI$7:BI$28,BP$7:BP$28,BQ$7:BQ$28,BJ$7:BJ$28,BK$28:BK62,BL$7:BL$28,BM$7:BM$28,BN$7:BN$28)*(BH143)</f>
        <v>0</v>
      </c>
      <c r="BT143">
        <f>SUM(BT$7:BT$28,CA$7:CA$28,CB$7:CB$28,BU$7:BU$28,BV$28:BV62,BW$7:BW$28,BX$7:BX$28,BY$7:BY$28)*(BS143)</f>
        <v>0</v>
      </c>
      <c r="CE143">
        <f t="shared" si="55"/>
        <v>0</v>
      </c>
      <c r="CJ143">
        <f t="shared" si="2"/>
        <v>0</v>
      </c>
      <c r="CO143">
        <f t="shared" si="3"/>
        <v>0</v>
      </c>
      <c r="CY143">
        <f t="shared" si="5"/>
        <v>0</v>
      </c>
      <c r="DD143">
        <f t="shared" si="6"/>
        <v>0</v>
      </c>
      <c r="DI143">
        <f t="shared" si="7"/>
        <v>0</v>
      </c>
      <c r="DN143">
        <f t="shared" si="35"/>
        <v>0</v>
      </c>
      <c r="DS143">
        <f t="shared" si="56"/>
        <v>0</v>
      </c>
      <c r="DX143">
        <f t="shared" si="47"/>
        <v>0</v>
      </c>
      <c r="EC143">
        <f t="shared" si="57"/>
        <v>0</v>
      </c>
      <c r="EH143">
        <f t="shared" si="58"/>
        <v>0</v>
      </c>
      <c r="EM143">
        <f t="shared" si="59"/>
        <v>0</v>
      </c>
      <c r="ER143">
        <f t="shared" si="60"/>
        <v>0</v>
      </c>
      <c r="EW143">
        <f t="shared" si="61"/>
        <v>0</v>
      </c>
      <c r="FB143">
        <f t="shared" si="43"/>
        <v>0</v>
      </c>
      <c r="FG143">
        <f t="shared" si="53"/>
        <v>0</v>
      </c>
      <c r="FM143">
        <f t="shared" si="54"/>
        <v>0</v>
      </c>
      <c r="FQ143" s="420">
        <f>'EXTRAS (2)'!D76</f>
        <v>0</v>
      </c>
      <c r="FR143" s="420">
        <f>'EXTRAS (2)'!E76</f>
        <v>0</v>
      </c>
      <c r="FU143" s="420">
        <f t="shared" ref="FU143:FU207" si="63">CE143+CG143+CF143+CJ143+CO143+CT143+CY143+DD143+DI143+DN143+DS143+DX143+EM143+ER143+EW143+FB143+FG143+FM143+FO143+F143+Q143+AB143+AM143+AX143+BI143+BT143+FQ143-FR143</f>
        <v>0</v>
      </c>
    </row>
    <row r="144" spans="1:177">
      <c r="A144">
        <v>6</v>
      </c>
      <c r="B144" s="399" t="s">
        <v>819</v>
      </c>
      <c r="C144" s="400" t="s">
        <v>0</v>
      </c>
      <c r="Q144">
        <f t="shared" si="62"/>
        <v>0</v>
      </c>
      <c r="AB144">
        <f t="shared" si="32"/>
        <v>0</v>
      </c>
      <c r="AM144">
        <f t="shared" si="33"/>
        <v>0</v>
      </c>
      <c r="BI144">
        <f>SUM(BI$7:BI$28,BP$7:BP$28,BQ$7:BQ$28,BJ$7:BJ$28,BK$28:BK63,BL$7:BL$28,BM$7:BM$28,BN$7:BN$28)*(BH144)</f>
        <v>0</v>
      </c>
      <c r="BT144">
        <f>SUM(BT$7:BT$28,CA$7:CA$28,CB$7:CB$28,BU$7:BU$28,BV$28:BV63,BW$7:BW$28,BX$7:BX$28,BY$7:BY$28)*(BS144)</f>
        <v>0</v>
      </c>
      <c r="CE144">
        <f t="shared" si="55"/>
        <v>0</v>
      </c>
      <c r="CJ144">
        <f t="shared" si="2"/>
        <v>0</v>
      </c>
      <c r="CO144">
        <f t="shared" si="3"/>
        <v>0</v>
      </c>
      <c r="CY144">
        <f t="shared" si="5"/>
        <v>0</v>
      </c>
      <c r="DD144">
        <f t="shared" si="6"/>
        <v>0</v>
      </c>
      <c r="DI144">
        <f t="shared" si="7"/>
        <v>0</v>
      </c>
      <c r="DN144">
        <f t="shared" si="35"/>
        <v>0</v>
      </c>
      <c r="DS144">
        <f t="shared" si="56"/>
        <v>0</v>
      </c>
      <c r="DX144">
        <f t="shared" si="47"/>
        <v>0</v>
      </c>
      <c r="EC144">
        <f t="shared" si="57"/>
        <v>0</v>
      </c>
      <c r="EH144">
        <f t="shared" si="58"/>
        <v>0</v>
      </c>
      <c r="EM144">
        <f t="shared" si="59"/>
        <v>0</v>
      </c>
      <c r="ER144">
        <f t="shared" si="60"/>
        <v>0</v>
      </c>
      <c r="EW144">
        <f t="shared" si="61"/>
        <v>0</v>
      </c>
      <c r="FB144">
        <f t="shared" si="43"/>
        <v>0</v>
      </c>
      <c r="FG144">
        <f t="shared" si="53"/>
        <v>0</v>
      </c>
      <c r="FM144">
        <f t="shared" si="54"/>
        <v>0</v>
      </c>
      <c r="FQ144" s="420">
        <f>'EXTRAS (2)'!D77</f>
        <v>0</v>
      </c>
      <c r="FR144" s="420">
        <f>'EXTRAS (2)'!E77</f>
        <v>0</v>
      </c>
      <c r="FU144" s="420">
        <f t="shared" si="63"/>
        <v>0</v>
      </c>
    </row>
    <row r="145" spans="1:177">
      <c r="A145">
        <v>7</v>
      </c>
      <c r="B145" s="399" t="s">
        <v>820</v>
      </c>
      <c r="C145" s="400" t="s">
        <v>0</v>
      </c>
      <c r="Q145">
        <f t="shared" si="62"/>
        <v>0</v>
      </c>
      <c r="AB145">
        <f t="shared" si="32"/>
        <v>0</v>
      </c>
      <c r="AM145">
        <f t="shared" si="33"/>
        <v>0</v>
      </c>
      <c r="BH145">
        <v>6</v>
      </c>
      <c r="BI145">
        <f>SUM(BI$7:BI$28,BP$7:BP$28,BQ$7:BQ$28,BJ$7:BJ$28,BK$28:BK64,BL$7:BL$28,BM$7:BM$28,BN$7:BN$28)*(BH145)</f>
        <v>0</v>
      </c>
      <c r="BS145">
        <v>6</v>
      </c>
      <c r="BT145">
        <f>SUM(BT$7:BT$28,CA$7:CA$28,CB$7:CB$28,BU$7:BU$28,BV$28:BV64,BW$7:BW$28,BX$7:BX$28,BY$7:BY$28)*(BS145)</f>
        <v>0</v>
      </c>
      <c r="CE145">
        <f t="shared" si="55"/>
        <v>0</v>
      </c>
      <c r="CJ145">
        <f>SUM(CJ$7:CJ$28,CK$7:CK$28,CL$7:CL$28)*(CI145)</f>
        <v>0</v>
      </c>
      <c r="CO145">
        <f>SUM(CO$7:CO$28,CP$7:CP$28,CQ$7:CQ$28)*(CN145)</f>
        <v>0</v>
      </c>
      <c r="CY145">
        <f>SUM(CY$7:CY$28,CZ$7:CZ$28,DA$7:DA$28)*(CX145)</f>
        <v>0</v>
      </c>
      <c r="DD145">
        <f>SUM(DD$7:DD$28,DE$7:DE$28,DF$7:DF$28)*(DC145)</f>
        <v>0</v>
      </c>
      <c r="DI145">
        <f>SUM(DI$7:DI$28,DJ$7:DJ$28,DK$7:DK$28)*(DH145)</f>
        <v>0</v>
      </c>
      <c r="DN145">
        <f t="shared" si="35"/>
        <v>0</v>
      </c>
      <c r="DR145">
        <v>12</v>
      </c>
      <c r="DS145">
        <f t="shared" si="56"/>
        <v>0</v>
      </c>
      <c r="DW145">
        <v>12</v>
      </c>
      <c r="DX145">
        <f>SUM(DX$7:DX$28,DY$7:DY$28,DZ$7:DZ$28)*(DW145)</f>
        <v>0</v>
      </c>
      <c r="EC145">
        <f t="shared" si="57"/>
        <v>0</v>
      </c>
      <c r="EH145">
        <f t="shared" si="58"/>
        <v>0</v>
      </c>
      <c r="EL145">
        <v>12</v>
      </c>
      <c r="EM145">
        <f t="shared" si="59"/>
        <v>0</v>
      </c>
      <c r="EV145">
        <v>9</v>
      </c>
      <c r="EW145">
        <f t="shared" si="61"/>
        <v>0</v>
      </c>
      <c r="FA145">
        <v>9</v>
      </c>
      <c r="FB145">
        <f t="shared" si="43"/>
        <v>0</v>
      </c>
      <c r="FF145">
        <v>9</v>
      </c>
      <c r="FG145">
        <f t="shared" si="53"/>
        <v>0</v>
      </c>
      <c r="FL145">
        <v>9</v>
      </c>
      <c r="FM145">
        <f t="shared" si="54"/>
        <v>0</v>
      </c>
      <c r="FQ145" s="420">
        <f>'EXTRAS (2)'!D78</f>
        <v>0</v>
      </c>
      <c r="FR145" s="420">
        <f>'EXTRAS (2)'!E78</f>
        <v>0</v>
      </c>
      <c r="FU145" s="420">
        <f t="shared" si="63"/>
        <v>0</v>
      </c>
    </row>
    <row r="146" spans="1:177">
      <c r="B146" s="399" t="s">
        <v>1713</v>
      </c>
      <c r="C146" s="400" t="s">
        <v>168</v>
      </c>
      <c r="E146" t="s">
        <v>1715</v>
      </c>
      <c r="F146" s="333">
        <f>Transformadores!W62</f>
        <v>0</v>
      </c>
      <c r="FQ146" s="420">
        <f>'EXTRAS (2)'!D79</f>
        <v>0</v>
      </c>
      <c r="FR146" s="420">
        <f>'EXTRAS (2)'!E79</f>
        <v>0</v>
      </c>
    </row>
    <row r="147" spans="1:177">
      <c r="B147" s="399" t="s">
        <v>1714</v>
      </c>
      <c r="C147" s="400" t="s">
        <v>168</v>
      </c>
      <c r="E147" t="s">
        <v>1715</v>
      </c>
      <c r="F147" s="333">
        <f>Transformadores!W63</f>
        <v>0</v>
      </c>
      <c r="FQ147" s="420">
        <f>'EXTRAS (2)'!D80</f>
        <v>0</v>
      </c>
      <c r="FR147" s="420">
        <f>'EXTRAS (2)'!E80</f>
        <v>0</v>
      </c>
    </row>
    <row r="148" spans="1:177">
      <c r="B148" s="399" t="s">
        <v>1691</v>
      </c>
      <c r="C148" s="400" t="s">
        <v>0</v>
      </c>
      <c r="F148" s="333">
        <f>Transformadores!W72</f>
        <v>0</v>
      </c>
      <c r="FQ148" s="420">
        <f>'EXTRAS (2)'!D81</f>
        <v>0</v>
      </c>
      <c r="FR148" s="420">
        <f>'EXTRAS (2)'!E81</f>
        <v>0</v>
      </c>
    </row>
    <row r="149" spans="1:177">
      <c r="A149">
        <v>8</v>
      </c>
      <c r="B149" s="399" t="s">
        <v>1040</v>
      </c>
      <c r="C149" s="400" t="s">
        <v>0</v>
      </c>
      <c r="AB149">
        <f t="shared" si="32"/>
        <v>0</v>
      </c>
      <c r="AM149">
        <f t="shared" si="33"/>
        <v>0</v>
      </c>
      <c r="BS149">
        <v>3</v>
      </c>
      <c r="BT149">
        <f>SUM(BT7:BT28,BW7:BW28,BZ7:BZ28)*BS149</f>
        <v>0</v>
      </c>
      <c r="DR149" t="s">
        <v>1017</v>
      </c>
      <c r="DS149">
        <f>SUM(DS7:DS28)*(3)</f>
        <v>0</v>
      </c>
      <c r="DW149" t="s">
        <v>1017</v>
      </c>
      <c r="DX149">
        <f>SUM(DX7:DX28)*(3)</f>
        <v>0</v>
      </c>
      <c r="EL149" t="s">
        <v>1017</v>
      </c>
      <c r="EM149">
        <f>SUM(EM7:EM28)*(3)</f>
        <v>0</v>
      </c>
      <c r="EV149" t="s">
        <v>1017</v>
      </c>
      <c r="EW149">
        <f>SUM(EW7:EW28)*(3)</f>
        <v>0</v>
      </c>
      <c r="FA149" t="s">
        <v>1017</v>
      </c>
      <c r="FB149">
        <f>SUM(FB7:FB28)*(3)</f>
        <v>0</v>
      </c>
      <c r="FF149" t="s">
        <v>1017</v>
      </c>
      <c r="FG149">
        <f>SUM(FG7:FG28)*(3)</f>
        <v>0</v>
      </c>
      <c r="FL149" t="s">
        <v>1017</v>
      </c>
      <c r="FM149">
        <f>SUM(FM7:FM28)*(3)</f>
        <v>0</v>
      </c>
      <c r="FQ149" s="420">
        <f>'EXTRAS (2)'!D82</f>
        <v>0</v>
      </c>
      <c r="FR149" s="420">
        <f>'EXTRAS (2)'!E82</f>
        <v>0</v>
      </c>
      <c r="FU149" s="420">
        <f t="shared" si="63"/>
        <v>0</v>
      </c>
    </row>
    <row r="150" spans="1:177">
      <c r="A150">
        <v>9</v>
      </c>
      <c r="B150" s="399" t="s">
        <v>8</v>
      </c>
      <c r="C150" s="400" t="s">
        <v>0</v>
      </c>
      <c r="E150" s="6">
        <v>3</v>
      </c>
      <c r="F150">
        <f>SUM(F$7:F$28,M$7:M$28,N$7:N$28,G$7:G$28,H$7:H$28,I$7:I$28,J$7:J$28,K$7:K$28,L$7:L$28)*(E150)</f>
        <v>0</v>
      </c>
      <c r="Q150">
        <f>SUM(Q$7:Q$28,X$7:X$28,Y$7:Y$28)*(P150)</f>
        <v>0</v>
      </c>
      <c r="AA150">
        <v>3</v>
      </c>
      <c r="AB150">
        <f>SUM(AB$7:AB$28,AC$7:AC$28,AD$7:AD$28,AE$7:AE$28,AF$7:AF$28,AG$7:AG$28,AH$7:AH$28,AI$7:AI$28,AJ$7:AJ$28)*(AA150)</f>
        <v>0</v>
      </c>
      <c r="AM150">
        <f t="shared" si="33"/>
        <v>0</v>
      </c>
      <c r="BH150">
        <v>3</v>
      </c>
      <c r="BI150">
        <f>SUM(BI$7:BI$28,BP$7:BP$28,BQ$7:BQ$28)*(BH150)</f>
        <v>0</v>
      </c>
      <c r="BS150">
        <v>3</v>
      </c>
      <c r="BT150">
        <f>SUM(BT$7:BT$28,CA$7:CA$28,CB$7:CB$28,BU$7:BU$28,BV$28:BV66,BW$7:BW$28,BX$7:BX$28,BY$7:BY$28)*(BS150)</f>
        <v>0</v>
      </c>
      <c r="CE150">
        <f>SUM(CE$7:CE$28,CF$7:CF$28,CG$7:CG$28)*(CD150)</f>
        <v>0</v>
      </c>
      <c r="CJ150">
        <f>SUM(CJ$7:CJ$28,CK$7:CK$28,CL$7:CL$28)*(CI150)</f>
        <v>0</v>
      </c>
      <c r="CO150">
        <f>SUM(CO$7:CO$28,CP$7:CP$28,CQ$7:CQ$28)*(CN150)</f>
        <v>0</v>
      </c>
      <c r="CY150">
        <f>SUM(CY$7:CY$28,CZ$7:CZ$28,DA$7:DA$28)*(CX150)</f>
        <v>0</v>
      </c>
      <c r="DD150">
        <f>SUM(DD$7:DD$28,DE$7:DE$28,DF$7:DF$28)*(DC150)</f>
        <v>0</v>
      </c>
      <c r="DI150">
        <f>SUM(DI$7:DI$28,DJ$7:DJ$28,DK$7:DK$28)*(DH150)</f>
        <v>0</v>
      </c>
      <c r="DN150">
        <f>SUM(DN$7:DN$28,DO$7:DO$28,DP$7:DP$28)*(DM150)</f>
        <v>0</v>
      </c>
      <c r="DR150">
        <v>3</v>
      </c>
      <c r="DS150">
        <f>SUM(DS$7:DS$28,DT$7:DT$28,DU$7:DU$28)*(DR150)</f>
        <v>0</v>
      </c>
      <c r="DW150">
        <v>3</v>
      </c>
      <c r="EC150">
        <f>SUM(EC$7:EC$28,ED$7:ED$28,EE$7:EE$28)*(EB150)</f>
        <v>0</v>
      </c>
      <c r="EH150">
        <f>SUM(EH$7:EH$28,EI$7:EI$28,EJ$7:EJ$28)*(EG150)</f>
        <v>0</v>
      </c>
      <c r="EL150">
        <v>3</v>
      </c>
      <c r="EM150">
        <f>SUM(EM$7:EM$28,EN$7:EN$28,EO$7:EO$28)*(EL150)</f>
        <v>0</v>
      </c>
      <c r="EV150">
        <v>3</v>
      </c>
      <c r="EW150">
        <f>SUM(EW$7:EW$28,EX$7:EX$28,EY$7:EY$28)*(EV150)</f>
        <v>0</v>
      </c>
      <c r="FA150">
        <v>3</v>
      </c>
      <c r="FB150">
        <f t="shared" si="43"/>
        <v>0</v>
      </c>
      <c r="FF150">
        <v>3</v>
      </c>
      <c r="FG150">
        <f>SUM(FG$7:FG$28,FH$7:FH$28,FI$7:FI$28)*(FF150)</f>
        <v>0</v>
      </c>
      <c r="FL150">
        <v>3</v>
      </c>
      <c r="FM150">
        <f t="shared" si="54"/>
        <v>0</v>
      </c>
      <c r="FQ150" s="420">
        <f>'EXTRAS (2)'!D83</f>
        <v>0</v>
      </c>
      <c r="FR150" s="420">
        <f>'EXTRAS (2)'!E83</f>
        <v>0</v>
      </c>
      <c r="FU150" s="420">
        <f t="shared" si="63"/>
        <v>0</v>
      </c>
    </row>
    <row r="151" spans="1:177">
      <c r="A151">
        <v>10</v>
      </c>
      <c r="B151" s="399" t="s">
        <v>1041</v>
      </c>
      <c r="C151" s="400" t="s">
        <v>0</v>
      </c>
      <c r="AB151">
        <f t="shared" ref="AB151:AB194" si="64">SUM(AB$7:AB$28,AC$7:AC$28,AD$7:AD$28,AE$7:AE$28,AF$7:AF$28,AG$7:AG$28,AH$7:AH$28,AI$7:AI$28,AJ$7:AJ$28)*(AA151)</f>
        <v>0</v>
      </c>
      <c r="AM151">
        <f t="shared" si="33"/>
        <v>0</v>
      </c>
      <c r="EQ151" t="s">
        <v>1018</v>
      </c>
      <c r="ER151">
        <f>SUM(ER7:ER28)*(6)</f>
        <v>0</v>
      </c>
      <c r="FQ151" s="420">
        <f>'EXTRAS (2)'!D84</f>
        <v>0</v>
      </c>
      <c r="FR151" s="420">
        <f>'EXTRAS (2)'!E84</f>
        <v>0</v>
      </c>
      <c r="FU151" s="420">
        <f t="shared" si="63"/>
        <v>0</v>
      </c>
    </row>
    <row r="152" spans="1:177">
      <c r="A152">
        <v>11</v>
      </c>
      <c r="B152" s="399" t="s">
        <v>1042</v>
      </c>
      <c r="C152" s="400" t="s">
        <v>0</v>
      </c>
      <c r="AB152">
        <f t="shared" si="64"/>
        <v>0</v>
      </c>
      <c r="AM152">
        <f t="shared" si="33"/>
        <v>0</v>
      </c>
      <c r="BS152">
        <v>3</v>
      </c>
      <c r="BT152">
        <f>SUM(BU7:BU28,BX7:BX28,CA7:CA28)*BS152</f>
        <v>0</v>
      </c>
      <c r="DR152" t="s">
        <v>1018</v>
      </c>
      <c r="DS152">
        <f>SUM(DT7:DT28)*(3)</f>
        <v>0</v>
      </c>
      <c r="DW152" t="s">
        <v>1018</v>
      </c>
      <c r="DX152">
        <f>SUM(DY7:DY28)*(3)</f>
        <v>0</v>
      </c>
      <c r="EL152" t="s">
        <v>1018</v>
      </c>
      <c r="EM152">
        <f>SUM(EN7:EN28)*(6)</f>
        <v>0</v>
      </c>
      <c r="EV152" t="s">
        <v>1018</v>
      </c>
      <c r="EW152">
        <f>SUM(EX7:EX28)*(3)</f>
        <v>0</v>
      </c>
      <c r="FA152" t="s">
        <v>1018</v>
      </c>
      <c r="FB152">
        <f>SUM(FC7:FC28)*(3)</f>
        <v>0</v>
      </c>
      <c r="FF152" t="s">
        <v>1018</v>
      </c>
      <c r="FG152">
        <f>SUM(FH7:FH28)*(3)</f>
        <v>0</v>
      </c>
      <c r="FL152" t="s">
        <v>1018</v>
      </c>
      <c r="FM152">
        <f>SUM(FN7:FN28)*(3)</f>
        <v>0</v>
      </c>
      <c r="FQ152" s="420">
        <f>'EXTRAS (2)'!D85</f>
        <v>0</v>
      </c>
      <c r="FR152" s="420">
        <f>'EXTRAS (2)'!E85</f>
        <v>0</v>
      </c>
      <c r="FU152" s="420">
        <f t="shared" si="63"/>
        <v>0</v>
      </c>
    </row>
    <row r="153" spans="1:177">
      <c r="A153">
        <v>12</v>
      </c>
      <c r="B153" s="399" t="s">
        <v>1043</v>
      </c>
      <c r="C153" s="400" t="s">
        <v>0</v>
      </c>
      <c r="AB153">
        <f t="shared" si="64"/>
        <v>0</v>
      </c>
      <c r="AM153">
        <f t="shared" si="33"/>
        <v>0</v>
      </c>
      <c r="BS153">
        <v>3</v>
      </c>
      <c r="BT153">
        <f>SUM(BV7:BV28,BY7:BY28,CB7:CB28)*BS153</f>
        <v>0</v>
      </c>
      <c r="DR153" t="s">
        <v>1018</v>
      </c>
      <c r="DS153">
        <f>SUM(DU7:DU28)*(3)</f>
        <v>0</v>
      </c>
      <c r="DW153" t="s">
        <v>1018</v>
      </c>
      <c r="DX153">
        <f>SUM(DZ7:DZ28)*(3)</f>
        <v>0</v>
      </c>
      <c r="EL153" t="s">
        <v>1018</v>
      </c>
      <c r="EM153">
        <f>SUM(EO7:EO28)*(3)</f>
        <v>0</v>
      </c>
      <c r="EV153" t="s">
        <v>1018</v>
      </c>
      <c r="EW153">
        <f>SUM(EY7:EY28)*(3)</f>
        <v>0</v>
      </c>
      <c r="FA153" t="s">
        <v>1018</v>
      </c>
      <c r="FB153">
        <f>SUM(FD7:FD28)*(3)</f>
        <v>0</v>
      </c>
      <c r="FF153" t="s">
        <v>1018</v>
      </c>
      <c r="FG153">
        <f>SUM(FI7:FI28)*(3)</f>
        <v>0</v>
      </c>
      <c r="FL153" t="s">
        <v>1018</v>
      </c>
      <c r="FM153">
        <f>SUM(FO7:FO28)*(3)</f>
        <v>0</v>
      </c>
      <c r="FQ153" s="420">
        <f>'EXTRAS (2)'!D86</f>
        <v>0</v>
      </c>
      <c r="FR153" s="420">
        <f>'EXTRAS (2)'!E86</f>
        <v>0</v>
      </c>
      <c r="FU153" s="420">
        <f t="shared" si="63"/>
        <v>0</v>
      </c>
    </row>
    <row r="154" spans="1:177">
      <c r="A154">
        <v>13</v>
      </c>
      <c r="B154" s="399" t="s">
        <v>1044</v>
      </c>
      <c r="C154" s="400" t="s">
        <v>0</v>
      </c>
      <c r="AB154">
        <f t="shared" si="64"/>
        <v>0</v>
      </c>
      <c r="AM154">
        <f t="shared" si="33"/>
        <v>0</v>
      </c>
      <c r="FQ154" s="420">
        <f>'EXTRAS (2)'!D87</f>
        <v>0</v>
      </c>
      <c r="FR154" s="420">
        <f>'EXTRAS (2)'!E87</f>
        <v>0</v>
      </c>
      <c r="FU154" s="420">
        <f t="shared" si="63"/>
        <v>0</v>
      </c>
    </row>
    <row r="155" spans="1:177">
      <c r="A155">
        <v>14</v>
      </c>
      <c r="B155" s="399" t="s">
        <v>1045</v>
      </c>
      <c r="C155" s="400" t="s">
        <v>0</v>
      </c>
      <c r="AB155">
        <f t="shared" si="64"/>
        <v>0</v>
      </c>
      <c r="AM155">
        <f t="shared" si="33"/>
        <v>0</v>
      </c>
      <c r="FQ155" s="420">
        <f>'EXTRAS (2)'!D88</f>
        <v>0</v>
      </c>
      <c r="FR155" s="420">
        <f>'EXTRAS (2)'!E88</f>
        <v>0</v>
      </c>
      <c r="FU155" s="420">
        <f t="shared" si="63"/>
        <v>0</v>
      </c>
    </row>
    <row r="156" spans="1:177">
      <c r="A156">
        <v>15</v>
      </c>
      <c r="B156" s="399" t="s">
        <v>1046</v>
      </c>
      <c r="C156" s="400" t="s">
        <v>0</v>
      </c>
      <c r="AB156">
        <f t="shared" si="64"/>
        <v>0</v>
      </c>
      <c r="AM156">
        <f t="shared" si="33"/>
        <v>0</v>
      </c>
      <c r="ER156">
        <f>SUM(ES7:ES28)*(6)</f>
        <v>0</v>
      </c>
      <c r="FQ156" s="420">
        <f>'EXTRAS (2)'!D89</f>
        <v>0</v>
      </c>
      <c r="FR156" s="420">
        <f>'EXTRAS (2)'!E89</f>
        <v>0</v>
      </c>
      <c r="FU156" s="420">
        <f t="shared" si="63"/>
        <v>0</v>
      </c>
    </row>
    <row r="157" spans="1:177">
      <c r="A157">
        <v>16</v>
      </c>
      <c r="B157" s="399" t="s">
        <v>1047</v>
      </c>
      <c r="C157" s="400" t="s">
        <v>0</v>
      </c>
      <c r="AB157">
        <f t="shared" si="64"/>
        <v>0</v>
      </c>
      <c r="AM157">
        <f t="shared" si="33"/>
        <v>0</v>
      </c>
      <c r="ER157">
        <f>SUM(ET7:ET28)*(6)</f>
        <v>0</v>
      </c>
      <c r="FQ157" s="420">
        <f>'EXTRAS (2)'!D90</f>
        <v>0</v>
      </c>
      <c r="FR157" s="420">
        <f>'EXTRAS (2)'!E90</f>
        <v>0</v>
      </c>
      <c r="FU157" s="420">
        <f t="shared" si="63"/>
        <v>0</v>
      </c>
    </row>
    <row r="158" spans="1:177">
      <c r="A158">
        <v>17</v>
      </c>
      <c r="B158" s="399" t="s">
        <v>1048</v>
      </c>
      <c r="C158" s="400" t="s">
        <v>0</v>
      </c>
      <c r="AB158">
        <f t="shared" si="64"/>
        <v>0</v>
      </c>
      <c r="AM158">
        <f t="shared" si="33"/>
        <v>0</v>
      </c>
      <c r="FQ158" s="420">
        <f>'EXTRAS (2)'!D91</f>
        <v>0</v>
      </c>
      <c r="FR158" s="420">
        <f>'EXTRAS (2)'!E91</f>
        <v>0</v>
      </c>
      <c r="FU158" s="420">
        <f t="shared" si="63"/>
        <v>0</v>
      </c>
    </row>
    <row r="159" spans="1:177">
      <c r="A159">
        <v>18</v>
      </c>
      <c r="B159" s="399" t="s">
        <v>1049</v>
      </c>
      <c r="C159" s="400" t="s">
        <v>0</v>
      </c>
      <c r="AB159">
        <f t="shared" si="64"/>
        <v>0</v>
      </c>
      <c r="AM159">
        <f t="shared" si="33"/>
        <v>0</v>
      </c>
      <c r="FQ159" s="420">
        <f>'EXTRAS (2)'!D92</f>
        <v>0</v>
      </c>
      <c r="FR159" s="420">
        <f>'EXTRAS (2)'!E92</f>
        <v>0</v>
      </c>
      <c r="FU159" s="420">
        <f t="shared" si="63"/>
        <v>0</v>
      </c>
    </row>
    <row r="160" spans="1:177">
      <c r="A160">
        <v>19</v>
      </c>
      <c r="B160" s="415" t="s">
        <v>461</v>
      </c>
      <c r="C160" s="400" t="s">
        <v>0</v>
      </c>
      <c r="AB160">
        <f t="shared" si="64"/>
        <v>0</v>
      </c>
      <c r="AM160">
        <f t="shared" si="33"/>
        <v>0</v>
      </c>
      <c r="EQ160">
        <v>6</v>
      </c>
      <c r="ER160">
        <f t="shared" ref="ER160:ER174" si="65">SUM(ER$7:ER$28,ES$7:ES$28,ET$7:ET$28)*(EQ160)</f>
        <v>0</v>
      </c>
      <c r="FQ160" s="420">
        <f>'EXTRAS (2)'!D93</f>
        <v>0</v>
      </c>
      <c r="FR160" s="420">
        <f>'EXTRAS (2)'!E93</f>
        <v>0</v>
      </c>
      <c r="FU160" s="420">
        <f t="shared" si="63"/>
        <v>0</v>
      </c>
    </row>
    <row r="161" spans="1:177">
      <c r="A161">
        <v>20</v>
      </c>
      <c r="B161" s="399" t="s">
        <v>821</v>
      </c>
      <c r="C161" s="400" t="s">
        <v>0</v>
      </c>
      <c r="F161">
        <f t="shared" ref="F161:F174" si="66">SUM(F$7:F$28,M$7:M$28,N$7:N$28)*(E161)</f>
        <v>0</v>
      </c>
      <c r="Q161">
        <f t="shared" ref="Q161:Q174" si="67">SUM(Q$7:Q$28,X$7:X$28,Y$7:Y$28)*(P161)</f>
        <v>0</v>
      </c>
      <c r="AB161">
        <f t="shared" si="64"/>
        <v>0</v>
      </c>
      <c r="AM161">
        <f t="shared" si="33"/>
        <v>0</v>
      </c>
      <c r="CE161">
        <f t="shared" ref="CE161:CE174" si="68">SUM(CE$7:CE$28,CF$7:CF$28,CG$7:CG$28)*(CD161)</f>
        <v>0</v>
      </c>
      <c r="CJ161">
        <f t="shared" ref="CJ161:CJ174" si="69">SUM(CJ$7:CJ$28,CK$7:CK$28,CL$7:CL$28)*(CI161)</f>
        <v>0</v>
      </c>
      <c r="CO161">
        <f t="shared" ref="CO161:CO174" si="70">SUM(CO$7:CO$28,CP$7:CP$28,CQ$7:CQ$28)*(CN161)</f>
        <v>0</v>
      </c>
      <c r="CY161">
        <f t="shared" ref="CY161:CY174" si="71">SUM(CY$7:CY$28,CZ$7:CZ$28,DA$7:DA$28)*(CX161)</f>
        <v>0</v>
      </c>
      <c r="DD161">
        <f t="shared" ref="DD161:DD174" si="72">SUM(DD$7:DD$28,DE$7:DE$28,DF$7:DF$28)*(DC161)</f>
        <v>0</v>
      </c>
      <c r="DI161">
        <f t="shared" ref="DI161:DI174" si="73">SUM(DI$7:DI$28,DJ$7:DJ$28,DK$7:DK$28)*(DH161)</f>
        <v>0</v>
      </c>
      <c r="DN161">
        <f t="shared" si="35"/>
        <v>0</v>
      </c>
      <c r="DS161">
        <f t="shared" ref="DS161:DS174" si="74">SUM(DS$7:DS$28,DT$7:DT$28,DU$7:DU$28)*(DR161)</f>
        <v>0</v>
      </c>
      <c r="EC161">
        <f t="shared" ref="EC161:EC174" si="75">SUM(EC$7:EC$28,ED$7:ED$28,EE$7:EE$28)*(EB161)</f>
        <v>0</v>
      </c>
      <c r="EH161">
        <f t="shared" ref="EH161:EH174" si="76">SUM(EH$7:EH$28,EI$7:EI$28,EJ$7:EJ$28)*(EG161)</f>
        <v>0</v>
      </c>
      <c r="EM161">
        <f t="shared" ref="EM161:EM174" si="77">SUM(EM$7:EM$28,EN$7:EN$28,EO$7:EO$28)*(EL161)</f>
        <v>0</v>
      </c>
      <c r="ER161">
        <f t="shared" si="65"/>
        <v>0</v>
      </c>
      <c r="EW161">
        <f t="shared" ref="EW161:EW174" si="78">SUM(EW$7:EW$28,EX$7:EX$28,EY$7:EY$28)*(EV161)</f>
        <v>0</v>
      </c>
      <c r="FB161">
        <f t="shared" ref="FB161:FB194" si="79">SUM(FB$7:FB$28,FC$7:FC$28,FD$7:FD$28)*(FA161)</f>
        <v>0</v>
      </c>
      <c r="FG161">
        <f t="shared" ref="FG161:FG194" si="80">SUM(FG$7:FG$28,FH$7:FH$28,FI$7:FI$28)*(FF161)</f>
        <v>0</v>
      </c>
      <c r="FM161">
        <f t="shared" ref="FM161:FM194" si="81">SUM(FM$7:FM$28,FN$7:FN$28,FO$7:FO$28)*(FL161)</f>
        <v>0</v>
      </c>
      <c r="FQ161" s="420">
        <f>'EXTRAS (2)'!D94</f>
        <v>0</v>
      </c>
      <c r="FR161" s="420">
        <f>'EXTRAS (2)'!E94</f>
        <v>0</v>
      </c>
      <c r="FU161" s="420">
        <f t="shared" si="63"/>
        <v>0</v>
      </c>
    </row>
    <row r="162" spans="1:177">
      <c r="A162">
        <v>21</v>
      </c>
      <c r="B162" s="399" t="s">
        <v>822</v>
      </c>
      <c r="C162" s="400" t="s">
        <v>0</v>
      </c>
      <c r="F162">
        <f t="shared" si="66"/>
        <v>0</v>
      </c>
      <c r="Q162">
        <f t="shared" si="67"/>
        <v>0</v>
      </c>
      <c r="AB162">
        <f t="shared" si="64"/>
        <v>0</v>
      </c>
      <c r="AM162">
        <f t="shared" si="33"/>
        <v>0</v>
      </c>
      <c r="CE162">
        <f t="shared" si="68"/>
        <v>0</v>
      </c>
      <c r="CJ162">
        <f t="shared" si="69"/>
        <v>0</v>
      </c>
      <c r="CO162">
        <f t="shared" si="70"/>
        <v>0</v>
      </c>
      <c r="CY162">
        <f t="shared" si="71"/>
        <v>0</v>
      </c>
      <c r="DD162">
        <f t="shared" si="72"/>
        <v>0</v>
      </c>
      <c r="DI162">
        <f t="shared" si="73"/>
        <v>0</v>
      </c>
      <c r="DN162">
        <f t="shared" si="35"/>
        <v>0</v>
      </c>
      <c r="DS162">
        <f t="shared" si="74"/>
        <v>0</v>
      </c>
      <c r="EC162">
        <f t="shared" si="75"/>
        <v>0</v>
      </c>
      <c r="EH162">
        <f t="shared" si="76"/>
        <v>0</v>
      </c>
      <c r="EM162">
        <f t="shared" si="77"/>
        <v>0</v>
      </c>
      <c r="ER162">
        <f t="shared" si="65"/>
        <v>0</v>
      </c>
      <c r="EW162">
        <f t="shared" si="78"/>
        <v>0</v>
      </c>
      <c r="FB162">
        <f t="shared" si="79"/>
        <v>0</v>
      </c>
      <c r="FG162">
        <f t="shared" si="80"/>
        <v>0</v>
      </c>
      <c r="FM162">
        <f t="shared" si="81"/>
        <v>0</v>
      </c>
      <c r="FQ162" s="420">
        <f>'EXTRAS (2)'!D95</f>
        <v>0</v>
      </c>
      <c r="FR162" s="420">
        <f>'EXTRAS (2)'!E95</f>
        <v>0</v>
      </c>
      <c r="FU162" s="420">
        <f t="shared" si="63"/>
        <v>0</v>
      </c>
    </row>
    <row r="163" spans="1:177">
      <c r="A163">
        <v>22</v>
      </c>
      <c r="B163" s="399" t="s">
        <v>823</v>
      </c>
      <c r="C163" s="400" t="s">
        <v>0</v>
      </c>
      <c r="F163">
        <f t="shared" si="66"/>
        <v>0</v>
      </c>
      <c r="Q163">
        <f t="shared" si="67"/>
        <v>0</v>
      </c>
      <c r="AB163">
        <f t="shared" si="64"/>
        <v>0</v>
      </c>
      <c r="AM163">
        <f t="shared" si="33"/>
        <v>0</v>
      </c>
      <c r="CE163">
        <f t="shared" si="68"/>
        <v>0</v>
      </c>
      <c r="CJ163">
        <f t="shared" si="69"/>
        <v>0</v>
      </c>
      <c r="CO163">
        <f t="shared" si="70"/>
        <v>0</v>
      </c>
      <c r="CY163">
        <f t="shared" si="71"/>
        <v>0</v>
      </c>
      <c r="DD163">
        <f t="shared" si="72"/>
        <v>0</v>
      </c>
      <c r="DI163">
        <f t="shared" si="73"/>
        <v>0</v>
      </c>
      <c r="DN163">
        <f t="shared" si="35"/>
        <v>0</v>
      </c>
      <c r="DS163">
        <f t="shared" si="74"/>
        <v>0</v>
      </c>
      <c r="EC163">
        <f t="shared" si="75"/>
        <v>0</v>
      </c>
      <c r="EH163">
        <f t="shared" si="76"/>
        <v>0</v>
      </c>
      <c r="EM163">
        <f t="shared" si="77"/>
        <v>0</v>
      </c>
      <c r="ER163">
        <f t="shared" si="65"/>
        <v>0</v>
      </c>
      <c r="EW163">
        <f t="shared" si="78"/>
        <v>0</v>
      </c>
      <c r="FB163">
        <f t="shared" si="79"/>
        <v>0</v>
      </c>
      <c r="FG163">
        <f t="shared" si="80"/>
        <v>0</v>
      </c>
      <c r="FM163">
        <f t="shared" si="81"/>
        <v>0</v>
      </c>
      <c r="FQ163" s="420">
        <f>'EXTRAS (2)'!D96</f>
        <v>0</v>
      </c>
      <c r="FR163" s="420">
        <f>'EXTRAS (2)'!E96</f>
        <v>0</v>
      </c>
      <c r="FU163" s="420">
        <f t="shared" si="63"/>
        <v>0</v>
      </c>
    </row>
    <row r="164" spans="1:177">
      <c r="A164">
        <v>23</v>
      </c>
      <c r="B164" s="399" t="s">
        <v>824</v>
      </c>
      <c r="C164" s="400" t="s">
        <v>0</v>
      </c>
      <c r="F164">
        <f t="shared" si="66"/>
        <v>0</v>
      </c>
      <c r="Q164">
        <f t="shared" si="67"/>
        <v>0</v>
      </c>
      <c r="AB164">
        <f t="shared" si="64"/>
        <v>0</v>
      </c>
      <c r="AM164">
        <f t="shared" si="33"/>
        <v>0</v>
      </c>
      <c r="CE164">
        <f t="shared" si="68"/>
        <v>0</v>
      </c>
      <c r="CJ164">
        <f t="shared" si="69"/>
        <v>0</v>
      </c>
      <c r="CO164">
        <f t="shared" si="70"/>
        <v>0</v>
      </c>
      <c r="CY164">
        <f t="shared" si="71"/>
        <v>0</v>
      </c>
      <c r="DD164">
        <f t="shared" si="72"/>
        <v>0</v>
      </c>
      <c r="DI164">
        <f t="shared" si="73"/>
        <v>0</v>
      </c>
      <c r="DN164">
        <f t="shared" si="35"/>
        <v>0</v>
      </c>
      <c r="DS164">
        <f t="shared" si="74"/>
        <v>0</v>
      </c>
      <c r="EC164">
        <f t="shared" si="75"/>
        <v>0</v>
      </c>
      <c r="EH164">
        <f t="shared" si="76"/>
        <v>0</v>
      </c>
      <c r="EM164">
        <f t="shared" si="77"/>
        <v>0</v>
      </c>
      <c r="ER164">
        <f t="shared" si="65"/>
        <v>0</v>
      </c>
      <c r="EW164">
        <f t="shared" si="78"/>
        <v>0</v>
      </c>
      <c r="FB164">
        <f t="shared" si="79"/>
        <v>0</v>
      </c>
      <c r="FG164">
        <f t="shared" si="80"/>
        <v>0</v>
      </c>
      <c r="FM164">
        <f t="shared" si="81"/>
        <v>0</v>
      </c>
      <c r="FQ164" s="420">
        <f>'EXTRAS (2)'!D97</f>
        <v>0</v>
      </c>
      <c r="FR164" s="420">
        <f>'EXTRAS (2)'!E97</f>
        <v>0</v>
      </c>
      <c r="FU164" s="420">
        <f t="shared" si="63"/>
        <v>0</v>
      </c>
    </row>
    <row r="165" spans="1:177">
      <c r="A165">
        <v>24</v>
      </c>
      <c r="B165" s="399" t="s">
        <v>5</v>
      </c>
      <c r="C165" s="400" t="s">
        <v>0</v>
      </c>
      <c r="F165">
        <f t="shared" si="66"/>
        <v>0</v>
      </c>
      <c r="Q165">
        <f t="shared" si="67"/>
        <v>0</v>
      </c>
      <c r="AB165">
        <f t="shared" si="64"/>
        <v>0</v>
      </c>
      <c r="AM165">
        <f t="shared" si="33"/>
        <v>0</v>
      </c>
      <c r="CE165">
        <f t="shared" si="68"/>
        <v>0</v>
      </c>
      <c r="CJ165">
        <f t="shared" si="69"/>
        <v>0</v>
      </c>
      <c r="CO165">
        <f t="shared" si="70"/>
        <v>0</v>
      </c>
      <c r="CY165">
        <f t="shared" si="71"/>
        <v>0</v>
      </c>
      <c r="DD165">
        <f t="shared" si="72"/>
        <v>0</v>
      </c>
      <c r="DI165">
        <f t="shared" si="73"/>
        <v>0</v>
      </c>
      <c r="DN165">
        <f t="shared" si="35"/>
        <v>0</v>
      </c>
      <c r="DS165">
        <f t="shared" si="74"/>
        <v>0</v>
      </c>
      <c r="EC165">
        <f t="shared" si="75"/>
        <v>0</v>
      </c>
      <c r="EH165">
        <f t="shared" si="76"/>
        <v>0</v>
      </c>
      <c r="EM165">
        <f t="shared" si="77"/>
        <v>0</v>
      </c>
      <c r="ER165">
        <f t="shared" si="65"/>
        <v>0</v>
      </c>
      <c r="EV165">
        <v>3</v>
      </c>
      <c r="EW165">
        <f t="shared" si="78"/>
        <v>0</v>
      </c>
      <c r="FA165">
        <v>3</v>
      </c>
      <c r="FB165">
        <f t="shared" si="79"/>
        <v>0</v>
      </c>
      <c r="FF165">
        <v>3</v>
      </c>
      <c r="FG165">
        <f t="shared" si="80"/>
        <v>0</v>
      </c>
      <c r="FL165">
        <v>3</v>
      </c>
      <c r="FM165">
        <f t="shared" si="81"/>
        <v>0</v>
      </c>
      <c r="FQ165" s="420">
        <f>'EXTRAS (2)'!D98</f>
        <v>0</v>
      </c>
      <c r="FR165" s="420">
        <f>'EXTRAS (2)'!E98</f>
        <v>0</v>
      </c>
      <c r="FU165" s="420">
        <f t="shared" si="63"/>
        <v>0</v>
      </c>
    </row>
    <row r="166" spans="1:177">
      <c r="A166">
        <v>25</v>
      </c>
      <c r="B166" s="399" t="s">
        <v>825</v>
      </c>
      <c r="C166" s="400" t="s">
        <v>0</v>
      </c>
      <c r="F166">
        <f t="shared" si="66"/>
        <v>0</v>
      </c>
      <c r="Q166">
        <f t="shared" si="67"/>
        <v>0</v>
      </c>
      <c r="AB166">
        <f t="shared" si="64"/>
        <v>0</v>
      </c>
      <c r="AM166">
        <f t="shared" si="33"/>
        <v>0</v>
      </c>
      <c r="CE166">
        <f t="shared" si="68"/>
        <v>0</v>
      </c>
      <c r="CJ166">
        <f t="shared" si="69"/>
        <v>0</v>
      </c>
      <c r="CO166">
        <f t="shared" si="70"/>
        <v>0</v>
      </c>
      <c r="CY166">
        <f t="shared" si="71"/>
        <v>0</v>
      </c>
      <c r="DD166">
        <f t="shared" si="72"/>
        <v>0</v>
      </c>
      <c r="DI166">
        <f t="shared" si="73"/>
        <v>0</v>
      </c>
      <c r="DN166">
        <f t="shared" si="35"/>
        <v>0</v>
      </c>
      <c r="DS166">
        <f t="shared" si="74"/>
        <v>0</v>
      </c>
      <c r="EC166">
        <f t="shared" si="75"/>
        <v>0</v>
      </c>
      <c r="EH166">
        <f t="shared" si="76"/>
        <v>0</v>
      </c>
      <c r="EM166">
        <f t="shared" si="77"/>
        <v>0</v>
      </c>
      <c r="ER166">
        <f t="shared" si="65"/>
        <v>0</v>
      </c>
      <c r="EW166">
        <f t="shared" si="78"/>
        <v>0</v>
      </c>
      <c r="FB166">
        <f t="shared" si="79"/>
        <v>0</v>
      </c>
      <c r="FG166">
        <f t="shared" si="80"/>
        <v>0</v>
      </c>
      <c r="FM166">
        <f t="shared" si="81"/>
        <v>0</v>
      </c>
      <c r="FQ166" s="420">
        <f>'EXTRAS (2)'!D99</f>
        <v>0</v>
      </c>
      <c r="FR166" s="420">
        <f>'EXTRAS (2)'!E99</f>
        <v>0</v>
      </c>
      <c r="FU166" s="420">
        <f t="shared" si="63"/>
        <v>0</v>
      </c>
    </row>
    <row r="167" spans="1:177">
      <c r="A167">
        <v>26</v>
      </c>
      <c r="B167" s="399" t="s">
        <v>826</v>
      </c>
      <c r="C167" s="400" t="s">
        <v>0</v>
      </c>
      <c r="F167">
        <f t="shared" si="66"/>
        <v>0</v>
      </c>
      <c r="Q167">
        <f t="shared" si="67"/>
        <v>0</v>
      </c>
      <c r="AB167">
        <f t="shared" si="64"/>
        <v>0</v>
      </c>
      <c r="AM167">
        <f t="shared" si="33"/>
        <v>0</v>
      </c>
      <c r="CE167">
        <f t="shared" si="68"/>
        <v>0</v>
      </c>
      <c r="CJ167">
        <f t="shared" si="69"/>
        <v>0</v>
      </c>
      <c r="CO167">
        <f t="shared" si="70"/>
        <v>0</v>
      </c>
      <c r="CY167">
        <f t="shared" si="71"/>
        <v>0</v>
      </c>
      <c r="DD167">
        <f t="shared" si="72"/>
        <v>0</v>
      </c>
      <c r="DI167">
        <f t="shared" si="73"/>
        <v>0</v>
      </c>
      <c r="DN167">
        <f t="shared" si="35"/>
        <v>0</v>
      </c>
      <c r="DS167">
        <f t="shared" si="74"/>
        <v>0</v>
      </c>
      <c r="EC167">
        <f t="shared" si="75"/>
        <v>0</v>
      </c>
      <c r="EH167">
        <f t="shared" si="76"/>
        <v>0</v>
      </c>
      <c r="EM167">
        <f t="shared" si="77"/>
        <v>0</v>
      </c>
      <c r="ER167">
        <f t="shared" si="65"/>
        <v>0</v>
      </c>
      <c r="EW167">
        <f t="shared" si="78"/>
        <v>0</v>
      </c>
      <c r="FB167">
        <f t="shared" si="79"/>
        <v>0</v>
      </c>
      <c r="FG167">
        <f t="shared" si="80"/>
        <v>0</v>
      </c>
      <c r="FM167">
        <f t="shared" si="81"/>
        <v>0</v>
      </c>
      <c r="FQ167" s="420">
        <f>'EXTRAS (2)'!D100</f>
        <v>0</v>
      </c>
      <c r="FR167" s="420">
        <f>'EXTRAS (2)'!E100</f>
        <v>0</v>
      </c>
      <c r="FU167" s="420">
        <f t="shared" si="63"/>
        <v>0</v>
      </c>
    </row>
    <row r="168" spans="1:177">
      <c r="A168">
        <v>27</v>
      </c>
      <c r="B168" s="399" t="s">
        <v>827</v>
      </c>
      <c r="C168" s="400" t="s">
        <v>0</v>
      </c>
      <c r="F168">
        <f t="shared" si="66"/>
        <v>0</v>
      </c>
      <c r="Q168">
        <f t="shared" si="67"/>
        <v>0</v>
      </c>
      <c r="AB168">
        <f t="shared" si="64"/>
        <v>0</v>
      </c>
      <c r="AM168">
        <f t="shared" si="33"/>
        <v>0</v>
      </c>
      <c r="CE168">
        <f t="shared" si="68"/>
        <v>0</v>
      </c>
      <c r="CJ168">
        <f t="shared" si="69"/>
        <v>0</v>
      </c>
      <c r="CO168">
        <f t="shared" si="70"/>
        <v>0</v>
      </c>
      <c r="CY168">
        <f t="shared" si="71"/>
        <v>0</v>
      </c>
      <c r="DD168">
        <f t="shared" si="72"/>
        <v>0</v>
      </c>
      <c r="DI168">
        <f t="shared" si="73"/>
        <v>0</v>
      </c>
      <c r="DN168">
        <f t="shared" si="35"/>
        <v>0</v>
      </c>
      <c r="DS168">
        <f t="shared" si="74"/>
        <v>0</v>
      </c>
      <c r="EC168">
        <f t="shared" si="75"/>
        <v>0</v>
      </c>
      <c r="EH168">
        <f t="shared" si="76"/>
        <v>0</v>
      </c>
      <c r="EM168">
        <f t="shared" si="77"/>
        <v>0</v>
      </c>
      <c r="ER168">
        <f t="shared" si="65"/>
        <v>0</v>
      </c>
      <c r="EW168">
        <f t="shared" si="78"/>
        <v>0</v>
      </c>
      <c r="FB168">
        <f t="shared" si="79"/>
        <v>0</v>
      </c>
      <c r="FG168">
        <f t="shared" si="80"/>
        <v>0</v>
      </c>
      <c r="FM168">
        <f t="shared" si="81"/>
        <v>0</v>
      </c>
      <c r="FQ168" s="420">
        <f>'EXTRAS (2)'!D101</f>
        <v>0</v>
      </c>
      <c r="FR168" s="420">
        <f>'EXTRAS (2)'!E101</f>
        <v>0</v>
      </c>
      <c r="FU168" s="420">
        <f t="shared" si="63"/>
        <v>0</v>
      </c>
    </row>
    <row r="169" spans="1:177">
      <c r="A169">
        <v>28</v>
      </c>
      <c r="B169" s="399" t="s">
        <v>828</v>
      </c>
      <c r="C169" s="400" t="s">
        <v>0</v>
      </c>
      <c r="F169">
        <f t="shared" si="66"/>
        <v>0</v>
      </c>
      <c r="Q169">
        <f t="shared" si="67"/>
        <v>0</v>
      </c>
      <c r="AB169">
        <f t="shared" si="64"/>
        <v>0</v>
      </c>
      <c r="AM169">
        <f t="shared" si="33"/>
        <v>0</v>
      </c>
      <c r="CE169">
        <f t="shared" si="68"/>
        <v>0</v>
      </c>
      <c r="CJ169">
        <f t="shared" si="69"/>
        <v>0</v>
      </c>
      <c r="CO169">
        <f t="shared" si="70"/>
        <v>0</v>
      </c>
      <c r="CY169">
        <f t="shared" si="71"/>
        <v>0</v>
      </c>
      <c r="DD169">
        <f t="shared" si="72"/>
        <v>0</v>
      </c>
      <c r="DI169">
        <f t="shared" si="73"/>
        <v>0</v>
      </c>
      <c r="DN169">
        <f t="shared" si="35"/>
        <v>0</v>
      </c>
      <c r="DS169">
        <f t="shared" si="74"/>
        <v>0</v>
      </c>
      <c r="EC169">
        <f t="shared" si="75"/>
        <v>0</v>
      </c>
      <c r="EH169">
        <f t="shared" si="76"/>
        <v>0</v>
      </c>
      <c r="EM169">
        <f t="shared" si="77"/>
        <v>0</v>
      </c>
      <c r="ER169">
        <f t="shared" si="65"/>
        <v>0</v>
      </c>
      <c r="EW169">
        <f t="shared" si="78"/>
        <v>0</v>
      </c>
      <c r="FB169">
        <f t="shared" si="79"/>
        <v>0</v>
      </c>
      <c r="FG169">
        <f t="shared" si="80"/>
        <v>0</v>
      </c>
      <c r="FM169">
        <f t="shared" si="81"/>
        <v>0</v>
      </c>
      <c r="FQ169" s="420">
        <f>'EXTRAS (2)'!D102</f>
        <v>0</v>
      </c>
      <c r="FR169" s="420">
        <f>'EXTRAS (2)'!E102</f>
        <v>0</v>
      </c>
      <c r="FU169" s="420">
        <f t="shared" si="63"/>
        <v>0</v>
      </c>
    </row>
    <row r="170" spans="1:177">
      <c r="A170">
        <v>29</v>
      </c>
      <c r="B170" s="399" t="s">
        <v>829</v>
      </c>
      <c r="C170" s="400" t="s">
        <v>0</v>
      </c>
      <c r="F170">
        <f t="shared" si="66"/>
        <v>0</v>
      </c>
      <c r="Q170">
        <f t="shared" si="67"/>
        <v>0</v>
      </c>
      <c r="AB170">
        <f t="shared" si="64"/>
        <v>0</v>
      </c>
      <c r="AM170">
        <f t="shared" si="33"/>
        <v>0</v>
      </c>
      <c r="CE170">
        <f t="shared" si="68"/>
        <v>0</v>
      </c>
      <c r="CJ170">
        <f t="shared" si="69"/>
        <v>0</v>
      </c>
      <c r="CO170">
        <f t="shared" si="70"/>
        <v>0</v>
      </c>
      <c r="CY170">
        <f t="shared" si="71"/>
        <v>0</v>
      </c>
      <c r="DD170">
        <f t="shared" si="72"/>
        <v>0</v>
      </c>
      <c r="DI170">
        <f t="shared" si="73"/>
        <v>0</v>
      </c>
      <c r="DN170">
        <f t="shared" si="35"/>
        <v>0</v>
      </c>
      <c r="DS170">
        <f t="shared" si="74"/>
        <v>0</v>
      </c>
      <c r="EC170">
        <f t="shared" si="75"/>
        <v>0</v>
      </c>
      <c r="EH170">
        <f t="shared" si="76"/>
        <v>0</v>
      </c>
      <c r="EM170">
        <f t="shared" si="77"/>
        <v>0</v>
      </c>
      <c r="ER170">
        <f t="shared" si="65"/>
        <v>0</v>
      </c>
      <c r="EW170">
        <f t="shared" si="78"/>
        <v>0</v>
      </c>
      <c r="FB170">
        <f t="shared" si="79"/>
        <v>0</v>
      </c>
      <c r="FG170">
        <f t="shared" si="80"/>
        <v>0</v>
      </c>
      <c r="FM170">
        <f t="shared" si="81"/>
        <v>0</v>
      </c>
      <c r="FQ170" s="420">
        <f>'EXTRAS (2)'!D103</f>
        <v>0</v>
      </c>
      <c r="FR170" s="420">
        <f>'EXTRAS (2)'!E103</f>
        <v>0</v>
      </c>
      <c r="FU170" s="420">
        <f t="shared" si="63"/>
        <v>0</v>
      </c>
    </row>
    <row r="171" spans="1:177">
      <c r="A171">
        <v>30</v>
      </c>
      <c r="B171" s="399" t="s">
        <v>830</v>
      </c>
      <c r="C171" s="400" t="s">
        <v>0</v>
      </c>
      <c r="F171">
        <f t="shared" si="66"/>
        <v>0</v>
      </c>
      <c r="Q171">
        <f t="shared" si="67"/>
        <v>0</v>
      </c>
      <c r="AB171">
        <f t="shared" si="64"/>
        <v>0</v>
      </c>
      <c r="AM171">
        <f t="shared" si="33"/>
        <v>0</v>
      </c>
      <c r="CE171">
        <f t="shared" si="68"/>
        <v>0</v>
      </c>
      <c r="CJ171">
        <f t="shared" si="69"/>
        <v>0</v>
      </c>
      <c r="CO171">
        <f t="shared" si="70"/>
        <v>0</v>
      </c>
      <c r="CY171">
        <f t="shared" si="71"/>
        <v>0</v>
      </c>
      <c r="DD171">
        <f t="shared" si="72"/>
        <v>0</v>
      </c>
      <c r="DI171">
        <f t="shared" si="73"/>
        <v>0</v>
      </c>
      <c r="DN171">
        <f t="shared" si="35"/>
        <v>0</v>
      </c>
      <c r="DS171">
        <f t="shared" si="74"/>
        <v>0</v>
      </c>
      <c r="EC171">
        <f t="shared" si="75"/>
        <v>0</v>
      </c>
      <c r="EH171">
        <f t="shared" si="76"/>
        <v>0</v>
      </c>
      <c r="EM171">
        <f t="shared" si="77"/>
        <v>0</v>
      </c>
      <c r="ER171">
        <f t="shared" si="65"/>
        <v>0</v>
      </c>
      <c r="EW171">
        <f t="shared" si="78"/>
        <v>0</v>
      </c>
      <c r="FB171">
        <f t="shared" si="79"/>
        <v>0</v>
      </c>
      <c r="FG171">
        <f t="shared" si="80"/>
        <v>0</v>
      </c>
      <c r="FM171">
        <f t="shared" si="81"/>
        <v>0</v>
      </c>
      <c r="FQ171" s="420">
        <f>'EXTRAS (2)'!D104</f>
        <v>0</v>
      </c>
      <c r="FR171" s="420">
        <f>'EXTRAS (2)'!E104</f>
        <v>0</v>
      </c>
      <c r="FU171" s="420">
        <f t="shared" si="63"/>
        <v>0</v>
      </c>
    </row>
    <row r="172" spans="1:177">
      <c r="A172">
        <v>31</v>
      </c>
      <c r="B172" s="399" t="s">
        <v>831</v>
      </c>
      <c r="C172" s="400" t="s">
        <v>0</v>
      </c>
      <c r="F172">
        <f t="shared" si="66"/>
        <v>0</v>
      </c>
      <c r="Q172">
        <f t="shared" si="67"/>
        <v>0</v>
      </c>
      <c r="AB172">
        <f t="shared" si="64"/>
        <v>0</v>
      </c>
      <c r="AM172">
        <f t="shared" si="33"/>
        <v>0</v>
      </c>
      <c r="CE172">
        <f t="shared" si="68"/>
        <v>0</v>
      </c>
      <c r="CJ172">
        <f t="shared" si="69"/>
        <v>0</v>
      </c>
      <c r="CO172">
        <f t="shared" si="70"/>
        <v>0</v>
      </c>
      <c r="CY172">
        <f t="shared" si="71"/>
        <v>0</v>
      </c>
      <c r="DD172">
        <f t="shared" si="72"/>
        <v>0</v>
      </c>
      <c r="DI172">
        <f t="shared" si="73"/>
        <v>0</v>
      </c>
      <c r="DN172">
        <f t="shared" si="35"/>
        <v>0</v>
      </c>
      <c r="DS172">
        <f t="shared" si="74"/>
        <v>0</v>
      </c>
      <c r="EC172">
        <f t="shared" si="75"/>
        <v>0</v>
      </c>
      <c r="EH172">
        <f t="shared" si="76"/>
        <v>0</v>
      </c>
      <c r="EM172">
        <f t="shared" si="77"/>
        <v>0</v>
      </c>
      <c r="ER172">
        <f t="shared" si="65"/>
        <v>0</v>
      </c>
      <c r="EW172">
        <f t="shared" si="78"/>
        <v>0</v>
      </c>
      <c r="FB172">
        <f t="shared" si="79"/>
        <v>0</v>
      </c>
      <c r="FG172">
        <f t="shared" si="80"/>
        <v>0</v>
      </c>
      <c r="FM172">
        <f t="shared" si="81"/>
        <v>0</v>
      </c>
      <c r="FQ172" s="420">
        <f>'EXTRAS (2)'!D105</f>
        <v>0</v>
      </c>
      <c r="FR172" s="420">
        <f>'EXTRAS (2)'!E105</f>
        <v>0</v>
      </c>
      <c r="FU172" s="420">
        <f t="shared" si="63"/>
        <v>0</v>
      </c>
    </row>
    <row r="173" spans="1:177">
      <c r="A173">
        <v>32</v>
      </c>
      <c r="B173" s="399" t="s">
        <v>832</v>
      </c>
      <c r="C173" s="400" t="s">
        <v>0</v>
      </c>
      <c r="F173">
        <f t="shared" si="66"/>
        <v>0</v>
      </c>
      <c r="Q173">
        <f t="shared" si="67"/>
        <v>0</v>
      </c>
      <c r="AB173">
        <f t="shared" si="64"/>
        <v>0</v>
      </c>
      <c r="AM173">
        <f t="shared" ref="AM173:AM194" si="82">SUM(AM$7:AM$28,AN$7:AN$28,AO$7:AO$28,AP$7:AP$28,AQ$7:AQ$28,AR$7:AR$28,AS$7:AS$28,AT$7:AT$28,AU$7:AU$28)*(AL173)</f>
        <v>0</v>
      </c>
      <c r="CE173">
        <f t="shared" si="68"/>
        <v>0</v>
      </c>
      <c r="CJ173">
        <f t="shared" si="69"/>
        <v>0</v>
      </c>
      <c r="CO173">
        <f t="shared" si="70"/>
        <v>0</v>
      </c>
      <c r="CY173">
        <f t="shared" si="71"/>
        <v>0</v>
      </c>
      <c r="DD173">
        <f t="shared" si="72"/>
        <v>0</v>
      </c>
      <c r="DI173">
        <f t="shared" si="73"/>
        <v>0</v>
      </c>
      <c r="DN173">
        <f t="shared" si="35"/>
        <v>0</v>
      </c>
      <c r="DS173">
        <f t="shared" si="74"/>
        <v>0</v>
      </c>
      <c r="EC173">
        <f t="shared" si="75"/>
        <v>0</v>
      </c>
      <c r="EH173">
        <f t="shared" si="76"/>
        <v>0</v>
      </c>
      <c r="EM173">
        <f t="shared" si="77"/>
        <v>0</v>
      </c>
      <c r="ER173">
        <f t="shared" si="65"/>
        <v>0</v>
      </c>
      <c r="EW173">
        <f t="shared" si="78"/>
        <v>0</v>
      </c>
      <c r="FB173">
        <f t="shared" si="79"/>
        <v>0</v>
      </c>
      <c r="FG173">
        <f t="shared" si="80"/>
        <v>0</v>
      </c>
      <c r="FM173">
        <f t="shared" si="81"/>
        <v>0</v>
      </c>
      <c r="FQ173" s="420">
        <f>'EXTRAS (2)'!D106</f>
        <v>0</v>
      </c>
      <c r="FR173" s="420">
        <f>'EXTRAS (2)'!E106</f>
        <v>0</v>
      </c>
      <c r="FU173" s="420">
        <f t="shared" si="63"/>
        <v>0</v>
      </c>
    </row>
    <row r="174" spans="1:177">
      <c r="A174">
        <v>33</v>
      </c>
      <c r="B174" s="399" t="s">
        <v>833</v>
      </c>
      <c r="C174" s="400" t="s">
        <v>0</v>
      </c>
      <c r="F174">
        <f t="shared" si="66"/>
        <v>0</v>
      </c>
      <c r="Q174">
        <f t="shared" si="67"/>
        <v>0</v>
      </c>
      <c r="AB174">
        <f t="shared" si="64"/>
        <v>0</v>
      </c>
      <c r="AM174">
        <f t="shared" si="82"/>
        <v>0</v>
      </c>
      <c r="CE174">
        <f t="shared" si="68"/>
        <v>0</v>
      </c>
      <c r="CJ174">
        <f t="shared" si="69"/>
        <v>0</v>
      </c>
      <c r="CO174">
        <f t="shared" si="70"/>
        <v>0</v>
      </c>
      <c r="CY174">
        <f t="shared" si="71"/>
        <v>0</v>
      </c>
      <c r="DD174">
        <f t="shared" si="72"/>
        <v>0</v>
      </c>
      <c r="DI174">
        <f t="shared" si="73"/>
        <v>0</v>
      </c>
      <c r="DN174">
        <f t="shared" si="35"/>
        <v>0</v>
      </c>
      <c r="DS174">
        <f t="shared" si="74"/>
        <v>0</v>
      </c>
      <c r="EC174">
        <f t="shared" si="75"/>
        <v>0</v>
      </c>
      <c r="EH174">
        <f t="shared" si="76"/>
        <v>0</v>
      </c>
      <c r="EM174">
        <f t="shared" si="77"/>
        <v>0</v>
      </c>
      <c r="ER174">
        <f t="shared" si="65"/>
        <v>0</v>
      </c>
      <c r="EW174">
        <f t="shared" si="78"/>
        <v>0</v>
      </c>
      <c r="FB174">
        <f t="shared" si="79"/>
        <v>0</v>
      </c>
      <c r="FG174">
        <f t="shared" si="80"/>
        <v>0</v>
      </c>
      <c r="FM174">
        <f t="shared" si="81"/>
        <v>0</v>
      </c>
      <c r="FQ174" s="420">
        <f>'EXTRAS (2)'!D107</f>
        <v>0</v>
      </c>
      <c r="FR174" s="420">
        <f>'EXTRAS (2)'!E107</f>
        <v>0</v>
      </c>
      <c r="FU174" s="420">
        <f t="shared" si="63"/>
        <v>0</v>
      </c>
    </row>
    <row r="175" spans="1:177">
      <c r="A175">
        <v>34</v>
      </c>
      <c r="B175" s="399" t="s">
        <v>1086</v>
      </c>
      <c r="C175" s="400" t="s">
        <v>386</v>
      </c>
      <c r="AB175">
        <f t="shared" si="64"/>
        <v>0</v>
      </c>
      <c r="AM175">
        <f t="shared" si="82"/>
        <v>0</v>
      </c>
      <c r="FB175">
        <f t="shared" si="79"/>
        <v>0</v>
      </c>
      <c r="FG175">
        <f t="shared" si="80"/>
        <v>0</v>
      </c>
      <c r="FM175">
        <f t="shared" si="81"/>
        <v>0</v>
      </c>
      <c r="FQ175" s="420">
        <f>'EXTRAS (2)'!D108</f>
        <v>0</v>
      </c>
      <c r="FR175" s="420">
        <f>'EXTRAS (2)'!E108</f>
        <v>0</v>
      </c>
      <c r="FU175" s="420">
        <f t="shared" si="63"/>
        <v>0</v>
      </c>
    </row>
    <row r="176" spans="1:177">
      <c r="A176">
        <v>35</v>
      </c>
      <c r="B176" s="399" t="s">
        <v>1087</v>
      </c>
      <c r="C176" s="400" t="s">
        <v>386</v>
      </c>
      <c r="AB176">
        <f t="shared" si="64"/>
        <v>0</v>
      </c>
      <c r="AM176">
        <f t="shared" si="82"/>
        <v>0</v>
      </c>
      <c r="FB176">
        <f t="shared" si="79"/>
        <v>0</v>
      </c>
      <c r="FG176">
        <f t="shared" si="80"/>
        <v>0</v>
      </c>
      <c r="FM176">
        <f t="shared" si="81"/>
        <v>0</v>
      </c>
      <c r="FQ176" s="420">
        <f>'EXTRAS (2)'!D109</f>
        <v>0</v>
      </c>
      <c r="FR176" s="420">
        <f>'EXTRAS (2)'!E109</f>
        <v>0</v>
      </c>
      <c r="FU176" s="420">
        <f t="shared" si="63"/>
        <v>0</v>
      </c>
    </row>
    <row r="177" spans="1:177">
      <c r="A177">
        <v>36</v>
      </c>
      <c r="B177" s="399" t="s">
        <v>1088</v>
      </c>
      <c r="C177" s="400" t="s">
        <v>386</v>
      </c>
      <c r="AB177">
        <f t="shared" si="64"/>
        <v>0</v>
      </c>
      <c r="AM177">
        <f t="shared" si="82"/>
        <v>0</v>
      </c>
      <c r="FB177">
        <f t="shared" si="79"/>
        <v>0</v>
      </c>
      <c r="FG177">
        <f t="shared" si="80"/>
        <v>0</v>
      </c>
      <c r="FM177">
        <f t="shared" si="81"/>
        <v>0</v>
      </c>
      <c r="FQ177" s="420">
        <f>'EXTRAS (2)'!D110</f>
        <v>0</v>
      </c>
      <c r="FR177" s="420">
        <f>'EXTRAS (2)'!E110</f>
        <v>0</v>
      </c>
      <c r="FU177" s="420">
        <f t="shared" si="63"/>
        <v>0</v>
      </c>
    </row>
    <row r="178" spans="1:177">
      <c r="B178" s="399" t="s">
        <v>1571</v>
      </c>
      <c r="C178" s="400" t="s">
        <v>386</v>
      </c>
      <c r="FQ178" s="420">
        <f>'EXTRAS (2)'!D111</f>
        <v>0</v>
      </c>
      <c r="FR178" s="420">
        <f>'EXTRAS (2)'!E111</f>
        <v>0</v>
      </c>
      <c r="FU178" s="420">
        <f t="shared" si="63"/>
        <v>0</v>
      </c>
    </row>
    <row r="179" spans="1:177">
      <c r="A179">
        <v>37</v>
      </c>
      <c r="B179" s="399" t="s">
        <v>834</v>
      </c>
      <c r="C179" s="400" t="s">
        <v>0</v>
      </c>
      <c r="Q179">
        <f>SUM(Q$7:Q$28,X$7:X$28,Y$7:Y$28)*(P179)</f>
        <v>0</v>
      </c>
      <c r="AB179">
        <f t="shared" si="64"/>
        <v>0</v>
      </c>
      <c r="AM179">
        <f t="shared" si="82"/>
        <v>0</v>
      </c>
      <c r="CE179">
        <f t="shared" ref="CE179:CE194" si="83">SUM(CE$7:CE$28,CF$7:CF$28,CG$7:CG$28)*(CD179)</f>
        <v>0</v>
      </c>
      <c r="CJ179">
        <f t="shared" ref="CJ179:CJ194" si="84">SUM(CJ$7:CJ$28,CK$7:CK$28,CL$7:CL$28)*(CI179)</f>
        <v>0</v>
      </c>
      <c r="CO179">
        <f t="shared" ref="CO179:CO194" si="85">SUM(CO$7:CO$28,CP$7:CP$28,CQ$7:CQ$28)*(CN179)</f>
        <v>0</v>
      </c>
      <c r="CY179">
        <f t="shared" ref="CY179:CY194" si="86">SUM(CY$7:CY$28,CZ$7:CZ$28,DA$7:DA$28)*(CX179)</f>
        <v>0</v>
      </c>
      <c r="DD179">
        <f t="shared" ref="DD179:DD194" si="87">SUM(DD$7:DD$28,DE$7:DE$28,DF$7:DF$28)*(DC179)</f>
        <v>0</v>
      </c>
      <c r="DI179">
        <f t="shared" ref="DI179:DI194" si="88">SUM(DI$7:DI$28,DJ$7:DJ$28,DK$7:DK$28)*(DH179)</f>
        <v>0</v>
      </c>
      <c r="DN179">
        <f t="shared" si="35"/>
        <v>0</v>
      </c>
      <c r="DS179">
        <f t="shared" ref="DS179:DS194" si="89">SUM(DS$7:DS$28,DT$7:DT$28,DU$7:DU$28)*(DR179)</f>
        <v>0</v>
      </c>
      <c r="EC179">
        <f t="shared" ref="EC179:EC194" si="90">SUM(EC$7:EC$28,ED$7:ED$28,EE$7:EE$28)*(EB179)</f>
        <v>0</v>
      </c>
      <c r="EH179">
        <f t="shared" ref="EH179:EH194" si="91">SUM(EH$7:EH$28,EI$7:EI$28,EJ$7:EJ$28)*(EG179)</f>
        <v>0</v>
      </c>
      <c r="EM179">
        <f t="shared" ref="EM179:EM194" si="92">SUM(EM$7:EM$28,EN$7:EN$28,EO$7:EO$28)*(EL179)</f>
        <v>0</v>
      </c>
      <c r="ER179">
        <f t="shared" ref="ER179:ER194" si="93">SUM(ER$7:ER$28,ES$7:ES$28,ET$7:ET$28)*(EQ179)</f>
        <v>0</v>
      </c>
      <c r="EW179">
        <f t="shared" ref="EW179:EW194" si="94">SUM(EW$7:EW$28,EX$7:EX$28,EY$7:EY$28)*(EV179)</f>
        <v>0</v>
      </c>
      <c r="FB179">
        <f t="shared" si="79"/>
        <v>0</v>
      </c>
      <c r="FG179">
        <f t="shared" si="80"/>
        <v>0</v>
      </c>
      <c r="FM179">
        <f t="shared" si="81"/>
        <v>0</v>
      </c>
      <c r="FQ179" s="420">
        <f>'EXTRAS (2)'!D112</f>
        <v>0</v>
      </c>
      <c r="FR179" s="420">
        <f>'EXTRAS (2)'!E112</f>
        <v>0</v>
      </c>
      <c r="FU179" s="420">
        <f t="shared" si="63"/>
        <v>0</v>
      </c>
    </row>
    <row r="180" spans="1:177">
      <c r="A180">
        <v>38</v>
      </c>
      <c r="B180" s="399" t="s">
        <v>835</v>
      </c>
      <c r="C180" s="400" t="s">
        <v>0</v>
      </c>
      <c r="Q180">
        <f>SUM(Q$7:Q$28,X$7:X$28,Y$7:Y$28)*(P180)</f>
        <v>0</v>
      </c>
      <c r="AB180">
        <f t="shared" si="64"/>
        <v>0</v>
      </c>
      <c r="AM180">
        <f t="shared" si="82"/>
        <v>0</v>
      </c>
      <c r="CE180">
        <f t="shared" si="83"/>
        <v>0</v>
      </c>
      <c r="CJ180">
        <f t="shared" si="84"/>
        <v>0</v>
      </c>
      <c r="CO180">
        <f t="shared" si="85"/>
        <v>0</v>
      </c>
      <c r="CY180">
        <f t="shared" si="86"/>
        <v>0</v>
      </c>
      <c r="DD180">
        <f t="shared" si="87"/>
        <v>0</v>
      </c>
      <c r="DI180">
        <f t="shared" si="88"/>
        <v>0</v>
      </c>
      <c r="DN180">
        <f t="shared" si="35"/>
        <v>0</v>
      </c>
      <c r="DS180">
        <f t="shared" si="89"/>
        <v>0</v>
      </c>
      <c r="EC180">
        <f t="shared" si="90"/>
        <v>0</v>
      </c>
      <c r="EH180">
        <f t="shared" si="91"/>
        <v>0</v>
      </c>
      <c r="EM180">
        <f t="shared" si="92"/>
        <v>0</v>
      </c>
      <c r="ER180">
        <f t="shared" si="93"/>
        <v>0</v>
      </c>
      <c r="EW180">
        <f t="shared" si="94"/>
        <v>0</v>
      </c>
      <c r="FB180">
        <f t="shared" si="79"/>
        <v>0</v>
      </c>
      <c r="FG180">
        <f t="shared" si="80"/>
        <v>0</v>
      </c>
      <c r="FM180">
        <f t="shared" si="81"/>
        <v>0</v>
      </c>
      <c r="FQ180" s="420">
        <f>'EXTRAS (2)'!D113</f>
        <v>0</v>
      </c>
      <c r="FR180" s="420">
        <f>'EXTRAS (2)'!E113</f>
        <v>0</v>
      </c>
      <c r="FU180" s="420">
        <f t="shared" si="63"/>
        <v>0</v>
      </c>
    </row>
    <row r="181" spans="1:177">
      <c r="A181">
        <v>39</v>
      </c>
      <c r="B181" s="399" t="s">
        <v>836</v>
      </c>
      <c r="C181" s="400" t="s">
        <v>0</v>
      </c>
      <c r="Q181">
        <f>SUM(Q$7:Q$28,X$7:X$28,Y$7:Y$28)*(P181)</f>
        <v>0</v>
      </c>
      <c r="AB181">
        <f t="shared" si="64"/>
        <v>0</v>
      </c>
      <c r="AM181">
        <f t="shared" si="82"/>
        <v>0</v>
      </c>
      <c r="CE181">
        <f t="shared" si="83"/>
        <v>0</v>
      </c>
      <c r="CJ181">
        <f t="shared" si="84"/>
        <v>0</v>
      </c>
      <c r="CO181">
        <f t="shared" si="85"/>
        <v>0</v>
      </c>
      <c r="CY181">
        <f t="shared" si="86"/>
        <v>0</v>
      </c>
      <c r="DD181">
        <f t="shared" si="87"/>
        <v>0</v>
      </c>
      <c r="DI181">
        <f t="shared" si="88"/>
        <v>0</v>
      </c>
      <c r="DN181">
        <f t="shared" si="35"/>
        <v>0</v>
      </c>
      <c r="DS181">
        <f t="shared" si="89"/>
        <v>0</v>
      </c>
      <c r="EC181">
        <f t="shared" si="90"/>
        <v>0</v>
      </c>
      <c r="EH181">
        <f t="shared" si="91"/>
        <v>0</v>
      </c>
      <c r="EM181">
        <f t="shared" si="92"/>
        <v>0</v>
      </c>
      <c r="ER181">
        <f t="shared" si="93"/>
        <v>0</v>
      </c>
      <c r="EW181">
        <f t="shared" si="94"/>
        <v>0</v>
      </c>
      <c r="FB181">
        <f t="shared" si="79"/>
        <v>0</v>
      </c>
      <c r="FG181">
        <f t="shared" si="80"/>
        <v>0</v>
      </c>
      <c r="FM181">
        <f t="shared" si="81"/>
        <v>0</v>
      </c>
      <c r="FQ181" s="420">
        <f>'EXTRAS (2)'!D114</f>
        <v>0</v>
      </c>
      <c r="FR181" s="420">
        <f>'EXTRAS (2)'!E114</f>
        <v>0</v>
      </c>
      <c r="FU181" s="420">
        <f t="shared" si="63"/>
        <v>0</v>
      </c>
    </row>
    <row r="182" spans="1:177">
      <c r="A182">
        <v>40</v>
      </c>
      <c r="B182" s="399" t="s">
        <v>837</v>
      </c>
      <c r="C182" s="400" t="s">
        <v>0</v>
      </c>
      <c r="Q182">
        <f>SUM(Q$7:Q$28,X$7:X$28,Y$7:Y$28)*(P182)</f>
        <v>0</v>
      </c>
      <c r="AB182">
        <f t="shared" si="64"/>
        <v>0</v>
      </c>
      <c r="AM182">
        <f t="shared" si="82"/>
        <v>0</v>
      </c>
      <c r="CE182">
        <f t="shared" si="83"/>
        <v>0</v>
      </c>
      <c r="CJ182">
        <f t="shared" si="84"/>
        <v>0</v>
      </c>
      <c r="CO182">
        <f t="shared" si="85"/>
        <v>0</v>
      </c>
      <c r="CY182">
        <f t="shared" si="86"/>
        <v>0</v>
      </c>
      <c r="DD182">
        <f t="shared" si="87"/>
        <v>0</v>
      </c>
      <c r="DI182">
        <f t="shared" si="88"/>
        <v>0</v>
      </c>
      <c r="DN182">
        <f t="shared" si="35"/>
        <v>0</v>
      </c>
      <c r="DS182">
        <f t="shared" si="89"/>
        <v>0</v>
      </c>
      <c r="EC182">
        <f t="shared" si="90"/>
        <v>0</v>
      </c>
      <c r="EH182">
        <f t="shared" si="91"/>
        <v>0</v>
      </c>
      <c r="EM182">
        <f t="shared" si="92"/>
        <v>0</v>
      </c>
      <c r="ER182">
        <f t="shared" si="93"/>
        <v>0</v>
      </c>
      <c r="EW182">
        <f t="shared" si="94"/>
        <v>0</v>
      </c>
      <c r="FB182">
        <f t="shared" si="79"/>
        <v>0</v>
      </c>
      <c r="FG182">
        <f t="shared" si="80"/>
        <v>0</v>
      </c>
      <c r="FM182">
        <f t="shared" si="81"/>
        <v>0</v>
      </c>
      <c r="FQ182" s="420">
        <f>'EXTRAS (2)'!D115</f>
        <v>0</v>
      </c>
      <c r="FR182" s="420">
        <f>'EXTRAS (2)'!E115</f>
        <v>0</v>
      </c>
      <c r="FU182" s="420">
        <f t="shared" si="63"/>
        <v>0</v>
      </c>
    </row>
    <row r="183" spans="1:177">
      <c r="A183">
        <v>41</v>
      </c>
      <c r="B183" s="399" t="s">
        <v>838</v>
      </c>
      <c r="C183" s="400" t="s">
        <v>0</v>
      </c>
      <c r="Q183">
        <f>SUM(Q$7:Q$28,X$7:X$28,Y$7:Y$28)*(P183)</f>
        <v>0</v>
      </c>
      <c r="AB183">
        <f t="shared" si="64"/>
        <v>0</v>
      </c>
      <c r="AM183">
        <f t="shared" si="82"/>
        <v>0</v>
      </c>
      <c r="CE183">
        <f t="shared" si="83"/>
        <v>0</v>
      </c>
      <c r="CJ183">
        <f t="shared" si="84"/>
        <v>0</v>
      </c>
      <c r="CO183">
        <f t="shared" si="85"/>
        <v>0</v>
      </c>
      <c r="CY183">
        <f t="shared" si="86"/>
        <v>0</v>
      </c>
      <c r="DD183">
        <f t="shared" si="87"/>
        <v>0</v>
      </c>
      <c r="DI183">
        <f t="shared" si="88"/>
        <v>0</v>
      </c>
      <c r="DN183">
        <f t="shared" si="35"/>
        <v>0</v>
      </c>
      <c r="DS183">
        <f t="shared" si="89"/>
        <v>0</v>
      </c>
      <c r="EC183">
        <f t="shared" si="90"/>
        <v>0</v>
      </c>
      <c r="EH183">
        <f t="shared" si="91"/>
        <v>0</v>
      </c>
      <c r="EM183">
        <f t="shared" si="92"/>
        <v>0</v>
      </c>
      <c r="ER183">
        <f t="shared" si="93"/>
        <v>0</v>
      </c>
      <c r="EW183">
        <f t="shared" si="94"/>
        <v>0</v>
      </c>
      <c r="FB183">
        <f t="shared" si="79"/>
        <v>0</v>
      </c>
      <c r="FG183">
        <f t="shared" si="80"/>
        <v>0</v>
      </c>
      <c r="FM183">
        <f t="shared" si="81"/>
        <v>0</v>
      </c>
      <c r="FQ183" s="420">
        <f>'EXTRAS (2)'!D116</f>
        <v>0</v>
      </c>
      <c r="FR183" s="420">
        <f>'EXTRAS (2)'!E116</f>
        <v>0</v>
      </c>
      <c r="FU183" s="420">
        <f t="shared" si="63"/>
        <v>0</v>
      </c>
    </row>
    <row r="184" spans="1:177">
      <c r="A184">
        <v>42</v>
      </c>
      <c r="B184" s="399" t="s">
        <v>1039</v>
      </c>
      <c r="C184" s="400" t="s">
        <v>0</v>
      </c>
      <c r="E184">
        <v>3</v>
      </c>
      <c r="F184">
        <f>SUM(F$7:F$28,M$7:M$28,N$7:N$28,G$7:G$28,H$7:H$28,I$7:I$28,J$7:J$28,K$7:K$28,L$7:L$28)*(E184)</f>
        <v>0</v>
      </c>
      <c r="P184">
        <v>3</v>
      </c>
      <c r="Q184">
        <f>SUM(Q$7:Q$28,X$7:X$28,Y$7:Y$28,R$7:R$28,S$7:S$28,T$7:T$28,U$7:U$28,V$7:V$28,W$7:W$28)*(P184)</f>
        <v>0</v>
      </c>
      <c r="AA184">
        <v>3</v>
      </c>
      <c r="AB184">
        <f t="shared" si="64"/>
        <v>0</v>
      </c>
      <c r="AL184">
        <v>3</v>
      </c>
      <c r="AM184">
        <f t="shared" si="82"/>
        <v>0</v>
      </c>
      <c r="AW184">
        <v>3</v>
      </c>
      <c r="AX184">
        <f>SUM(AX7:AX28,AY7:AY28,AZ7:AZ28,BA7:BA28,BB7:BB28,BC7:BC28,BD7:BD28,BE7:BE28,BF7:BF28)*(AW184)</f>
        <v>0</v>
      </c>
      <c r="BC184" s="161"/>
      <c r="BH184">
        <v>3</v>
      </c>
      <c r="BI184">
        <f>SUM(BI$7:BI$28,BP$7:BP$28,BQ$7:BQ$28,BJ$7:BJ$28,BK$28:BK98,BL$7:BL$28,BM$7:BM$28,BN$7:BN$28)*(BH184)</f>
        <v>0</v>
      </c>
      <c r="BS184">
        <v>3</v>
      </c>
      <c r="BT184">
        <f>SUM(BT$7:BT$28,CA$7:CA$28,CB$7:CB$28,BU$7:BU$28,BV$28:BV98,BW$7:BW$28,BX$7:BX$28,BY$7:BY$28)*(BS184)</f>
        <v>0</v>
      </c>
      <c r="CE184">
        <f t="shared" si="83"/>
        <v>0</v>
      </c>
      <c r="CF184">
        <f>SUM(C12:C14)*(6)+SUM(C15:C17)*(6)</f>
        <v>0</v>
      </c>
      <c r="CJ184">
        <f t="shared" si="84"/>
        <v>0</v>
      </c>
      <c r="CO184">
        <f t="shared" si="85"/>
        <v>0</v>
      </c>
      <c r="CY184">
        <f t="shared" si="86"/>
        <v>0</v>
      </c>
      <c r="DD184">
        <f t="shared" si="87"/>
        <v>0</v>
      </c>
      <c r="DH184">
        <v>3</v>
      </c>
      <c r="DI184">
        <f t="shared" si="88"/>
        <v>0</v>
      </c>
      <c r="DM184">
        <v>3</v>
      </c>
      <c r="DN184">
        <f t="shared" si="35"/>
        <v>0</v>
      </c>
      <c r="DR184">
        <v>3</v>
      </c>
      <c r="DS184">
        <f t="shared" si="89"/>
        <v>0</v>
      </c>
      <c r="DW184">
        <v>3</v>
      </c>
      <c r="DX184">
        <f>SUM(DX$7:DX$28,DY$7:DY$28,DZ$7:DZ$28)*(DW184)</f>
        <v>0</v>
      </c>
      <c r="EC184">
        <f t="shared" si="90"/>
        <v>0</v>
      </c>
      <c r="EH184">
        <f t="shared" si="91"/>
        <v>0</v>
      </c>
      <c r="EM184">
        <f t="shared" si="92"/>
        <v>0</v>
      </c>
      <c r="ER184">
        <f t="shared" si="93"/>
        <v>0</v>
      </c>
      <c r="EW184">
        <f t="shared" si="94"/>
        <v>0</v>
      </c>
      <c r="FB184">
        <f t="shared" si="79"/>
        <v>0</v>
      </c>
      <c r="FF184">
        <v>3</v>
      </c>
      <c r="FG184">
        <f t="shared" si="80"/>
        <v>0</v>
      </c>
      <c r="FL184">
        <v>3</v>
      </c>
      <c r="FM184">
        <f t="shared" si="81"/>
        <v>0</v>
      </c>
      <c r="FQ184" s="420">
        <f>'EXTRAS (2)'!D117</f>
        <v>0</v>
      </c>
      <c r="FR184" s="420">
        <f>'EXTRAS (2)'!E117</f>
        <v>0</v>
      </c>
      <c r="FU184" s="420">
        <f t="shared" si="63"/>
        <v>0</v>
      </c>
    </row>
    <row r="185" spans="1:177">
      <c r="A185">
        <v>43</v>
      </c>
      <c r="B185" s="399" t="s">
        <v>839</v>
      </c>
      <c r="C185" s="400" t="s">
        <v>0</v>
      </c>
      <c r="Q185">
        <f t="shared" ref="Q185:Q192" si="95">SUM(Q$7:Q$28,X$7:X$28,Y$7:Y$28)*(P185)</f>
        <v>0</v>
      </c>
      <c r="AB185">
        <f t="shared" si="64"/>
        <v>0</v>
      </c>
      <c r="AM185">
        <f t="shared" si="82"/>
        <v>0</v>
      </c>
      <c r="CE185">
        <f t="shared" si="83"/>
        <v>0</v>
      </c>
      <c r="CJ185">
        <f t="shared" si="84"/>
        <v>0</v>
      </c>
      <c r="CO185">
        <f t="shared" si="85"/>
        <v>0</v>
      </c>
      <c r="CY185">
        <f t="shared" si="86"/>
        <v>0</v>
      </c>
      <c r="DD185">
        <f t="shared" si="87"/>
        <v>0</v>
      </c>
      <c r="DI185">
        <f t="shared" si="88"/>
        <v>0</v>
      </c>
      <c r="DN185">
        <f t="shared" si="35"/>
        <v>0</v>
      </c>
      <c r="DS185">
        <f t="shared" si="89"/>
        <v>0</v>
      </c>
      <c r="EC185">
        <f t="shared" si="90"/>
        <v>0</v>
      </c>
      <c r="EH185">
        <f t="shared" si="91"/>
        <v>0</v>
      </c>
      <c r="EM185">
        <f t="shared" si="92"/>
        <v>0</v>
      </c>
      <c r="ER185">
        <f t="shared" si="93"/>
        <v>0</v>
      </c>
      <c r="EW185">
        <f t="shared" si="94"/>
        <v>0</v>
      </c>
      <c r="FB185">
        <f t="shared" si="79"/>
        <v>0</v>
      </c>
      <c r="FG185">
        <f t="shared" si="80"/>
        <v>0</v>
      </c>
      <c r="FM185">
        <f t="shared" si="81"/>
        <v>0</v>
      </c>
      <c r="FQ185" s="420">
        <f>'EXTRAS (2)'!D118</f>
        <v>0</v>
      </c>
      <c r="FR185" s="420">
        <f>'EXTRAS (2)'!E118</f>
        <v>0</v>
      </c>
      <c r="FU185" s="420">
        <f t="shared" si="63"/>
        <v>0</v>
      </c>
    </row>
    <row r="186" spans="1:177">
      <c r="A186">
        <v>44</v>
      </c>
      <c r="B186" s="399" t="s">
        <v>840</v>
      </c>
      <c r="C186" s="400" t="s">
        <v>0</v>
      </c>
      <c r="Q186">
        <f t="shared" si="95"/>
        <v>0</v>
      </c>
      <c r="AB186">
        <f t="shared" si="64"/>
        <v>0</v>
      </c>
      <c r="AM186">
        <f t="shared" si="82"/>
        <v>0</v>
      </c>
      <c r="CE186">
        <f t="shared" si="83"/>
        <v>0</v>
      </c>
      <c r="CJ186">
        <f t="shared" si="84"/>
        <v>0</v>
      </c>
      <c r="CO186">
        <f t="shared" si="85"/>
        <v>0</v>
      </c>
      <c r="CY186">
        <f t="shared" si="86"/>
        <v>0</v>
      </c>
      <c r="DD186">
        <f t="shared" si="87"/>
        <v>0</v>
      </c>
      <c r="DI186">
        <f t="shared" si="88"/>
        <v>0</v>
      </c>
      <c r="DN186">
        <f t="shared" si="35"/>
        <v>0</v>
      </c>
      <c r="DS186">
        <f t="shared" si="89"/>
        <v>0</v>
      </c>
      <c r="EC186">
        <f t="shared" si="90"/>
        <v>0</v>
      </c>
      <c r="EH186">
        <f t="shared" si="91"/>
        <v>0</v>
      </c>
      <c r="EM186">
        <f t="shared" si="92"/>
        <v>0</v>
      </c>
      <c r="ER186">
        <f t="shared" si="93"/>
        <v>0</v>
      </c>
      <c r="EW186">
        <f t="shared" si="94"/>
        <v>0</v>
      </c>
      <c r="FB186">
        <f t="shared" si="79"/>
        <v>0</v>
      </c>
      <c r="FG186">
        <f t="shared" si="80"/>
        <v>0</v>
      </c>
      <c r="FM186">
        <f t="shared" si="81"/>
        <v>0</v>
      </c>
      <c r="FQ186" s="420">
        <f>'EXTRAS (2)'!D119</f>
        <v>0</v>
      </c>
      <c r="FR186" s="420">
        <f>'EXTRAS (2)'!E119</f>
        <v>0</v>
      </c>
      <c r="FU186" s="420">
        <f t="shared" si="63"/>
        <v>0</v>
      </c>
    </row>
    <row r="187" spans="1:177">
      <c r="A187">
        <v>45</v>
      </c>
      <c r="B187" s="399" t="s">
        <v>841</v>
      </c>
      <c r="C187" s="400" t="s">
        <v>0</v>
      </c>
      <c r="Q187">
        <f t="shared" si="95"/>
        <v>0</v>
      </c>
      <c r="AB187">
        <f t="shared" si="64"/>
        <v>0</v>
      </c>
      <c r="AM187">
        <f t="shared" si="82"/>
        <v>0</v>
      </c>
      <c r="CE187">
        <f t="shared" si="83"/>
        <v>0</v>
      </c>
      <c r="CJ187">
        <f t="shared" si="84"/>
        <v>0</v>
      </c>
      <c r="CO187">
        <f t="shared" si="85"/>
        <v>0</v>
      </c>
      <c r="CY187">
        <f t="shared" si="86"/>
        <v>0</v>
      </c>
      <c r="DD187">
        <f t="shared" si="87"/>
        <v>0</v>
      </c>
      <c r="DI187">
        <f t="shared" si="88"/>
        <v>0</v>
      </c>
      <c r="DN187">
        <f t="shared" si="35"/>
        <v>0</v>
      </c>
      <c r="DS187">
        <f t="shared" si="89"/>
        <v>0</v>
      </c>
      <c r="EC187">
        <f t="shared" si="90"/>
        <v>0</v>
      </c>
      <c r="EH187">
        <f t="shared" si="91"/>
        <v>0</v>
      </c>
      <c r="EM187">
        <f t="shared" si="92"/>
        <v>0</v>
      </c>
      <c r="ER187">
        <f t="shared" si="93"/>
        <v>0</v>
      </c>
      <c r="EW187">
        <f t="shared" si="94"/>
        <v>0</v>
      </c>
      <c r="FB187">
        <f t="shared" si="79"/>
        <v>0</v>
      </c>
      <c r="FG187">
        <f t="shared" si="80"/>
        <v>0</v>
      </c>
      <c r="FM187">
        <f t="shared" si="81"/>
        <v>0</v>
      </c>
      <c r="FQ187" s="420">
        <f>'EXTRAS (2)'!D120</f>
        <v>0</v>
      </c>
      <c r="FR187" s="420">
        <f>'EXTRAS (2)'!E120</f>
        <v>0</v>
      </c>
      <c r="FU187" s="420">
        <f t="shared" si="63"/>
        <v>0</v>
      </c>
    </row>
    <row r="188" spans="1:177">
      <c r="A188">
        <v>46</v>
      </c>
      <c r="B188" s="399" t="s">
        <v>842</v>
      </c>
      <c r="C188" s="400" t="s">
        <v>0</v>
      </c>
      <c r="Q188">
        <f t="shared" si="95"/>
        <v>0</v>
      </c>
      <c r="AB188">
        <f t="shared" si="64"/>
        <v>0</v>
      </c>
      <c r="AM188">
        <f t="shared" si="82"/>
        <v>0</v>
      </c>
      <c r="CE188">
        <f t="shared" si="83"/>
        <v>0</v>
      </c>
      <c r="CJ188">
        <f t="shared" si="84"/>
        <v>0</v>
      </c>
      <c r="CO188">
        <f t="shared" si="85"/>
        <v>0</v>
      </c>
      <c r="CY188">
        <f t="shared" si="86"/>
        <v>0</v>
      </c>
      <c r="DD188">
        <f t="shared" si="87"/>
        <v>0</v>
      </c>
      <c r="DI188">
        <f t="shared" si="88"/>
        <v>0</v>
      </c>
      <c r="DN188">
        <f t="shared" si="35"/>
        <v>0</v>
      </c>
      <c r="DS188">
        <f t="shared" si="89"/>
        <v>0</v>
      </c>
      <c r="EC188">
        <f t="shared" si="90"/>
        <v>0</v>
      </c>
      <c r="EH188">
        <f t="shared" si="91"/>
        <v>0</v>
      </c>
      <c r="EM188">
        <f t="shared" si="92"/>
        <v>0</v>
      </c>
      <c r="ER188">
        <f t="shared" si="93"/>
        <v>0</v>
      </c>
      <c r="EW188">
        <f t="shared" si="94"/>
        <v>0</v>
      </c>
      <c r="FB188">
        <f t="shared" si="79"/>
        <v>0</v>
      </c>
      <c r="FG188">
        <f t="shared" si="80"/>
        <v>0</v>
      </c>
      <c r="FM188">
        <f t="shared" si="81"/>
        <v>0</v>
      </c>
      <c r="FQ188" s="420">
        <f>'EXTRAS (2)'!D121</f>
        <v>0</v>
      </c>
      <c r="FR188" s="420">
        <f>'EXTRAS (2)'!E121</f>
        <v>0</v>
      </c>
      <c r="FU188" s="420">
        <f t="shared" si="63"/>
        <v>0</v>
      </c>
    </row>
    <row r="189" spans="1:177">
      <c r="A189">
        <v>47</v>
      </c>
      <c r="B189" s="401" t="s">
        <v>843</v>
      </c>
      <c r="C189" s="400" t="s">
        <v>0</v>
      </c>
      <c r="Q189">
        <f t="shared" si="95"/>
        <v>0</v>
      </c>
      <c r="AB189">
        <f t="shared" si="64"/>
        <v>0</v>
      </c>
      <c r="AM189">
        <f t="shared" si="82"/>
        <v>0</v>
      </c>
      <c r="CE189">
        <f t="shared" si="83"/>
        <v>0</v>
      </c>
      <c r="CJ189">
        <f t="shared" si="84"/>
        <v>0</v>
      </c>
      <c r="CO189">
        <f t="shared" si="85"/>
        <v>0</v>
      </c>
      <c r="CY189">
        <f t="shared" si="86"/>
        <v>0</v>
      </c>
      <c r="DD189">
        <f t="shared" si="87"/>
        <v>0</v>
      </c>
      <c r="DI189">
        <f t="shared" si="88"/>
        <v>0</v>
      </c>
      <c r="DN189">
        <f t="shared" si="35"/>
        <v>0</v>
      </c>
      <c r="DS189">
        <f t="shared" si="89"/>
        <v>0</v>
      </c>
      <c r="EC189">
        <f t="shared" si="90"/>
        <v>0</v>
      </c>
      <c r="EH189">
        <f t="shared" si="91"/>
        <v>0</v>
      </c>
      <c r="EM189">
        <f t="shared" si="92"/>
        <v>0</v>
      </c>
      <c r="ER189">
        <f t="shared" si="93"/>
        <v>0</v>
      </c>
      <c r="EW189">
        <f t="shared" si="94"/>
        <v>0</v>
      </c>
      <c r="FB189">
        <f t="shared" si="79"/>
        <v>0</v>
      </c>
      <c r="FG189">
        <f t="shared" si="80"/>
        <v>0</v>
      </c>
      <c r="FM189">
        <f t="shared" si="81"/>
        <v>0</v>
      </c>
      <c r="FQ189" s="420">
        <f>'EXTRAS (2)'!D122</f>
        <v>0</v>
      </c>
      <c r="FR189" s="420">
        <f>'EXTRAS (2)'!E122</f>
        <v>0</v>
      </c>
      <c r="FU189" s="420">
        <f t="shared" si="63"/>
        <v>0</v>
      </c>
    </row>
    <row r="190" spans="1:177">
      <c r="A190">
        <v>48</v>
      </c>
      <c r="B190" s="401" t="s">
        <v>844</v>
      </c>
      <c r="C190" s="400" t="s">
        <v>0</v>
      </c>
      <c r="Q190">
        <f t="shared" si="95"/>
        <v>0</v>
      </c>
      <c r="AB190">
        <f t="shared" si="64"/>
        <v>0</v>
      </c>
      <c r="AM190">
        <f t="shared" si="82"/>
        <v>0</v>
      </c>
      <c r="BH190">
        <v>3</v>
      </c>
      <c r="BI190">
        <f>SUM(BI$7:BI$28,BP$7:BP$28,BQ$7:BQ$28,BJ$7:BJ$28,BK$28:BK104,BL$7:BL$28,BM$7:BM$28,BN$7:BN$28)*(BH190)</f>
        <v>0</v>
      </c>
      <c r="BS190">
        <v>3</v>
      </c>
      <c r="BT190">
        <f>SUM(BT$7:BT$28,CA$7:CA$28,CB$7:CB$28,BU$7:BU$28,BV$28:BV104,BW$7:BW$28,BX$7:BX$28,BY$7:BY$28)*(BS190)</f>
        <v>0</v>
      </c>
      <c r="CE190">
        <f t="shared" si="83"/>
        <v>0</v>
      </c>
      <c r="CJ190">
        <f t="shared" si="84"/>
        <v>0</v>
      </c>
      <c r="CO190">
        <f t="shared" si="85"/>
        <v>0</v>
      </c>
      <c r="CY190">
        <f t="shared" si="86"/>
        <v>0</v>
      </c>
      <c r="DD190">
        <f t="shared" si="87"/>
        <v>0</v>
      </c>
      <c r="DI190">
        <f t="shared" si="88"/>
        <v>0</v>
      </c>
      <c r="DN190">
        <f t="shared" si="35"/>
        <v>0</v>
      </c>
      <c r="DR190">
        <v>3</v>
      </c>
      <c r="DS190">
        <f t="shared" si="89"/>
        <v>0</v>
      </c>
      <c r="DW190">
        <v>3</v>
      </c>
      <c r="DX190">
        <f>SUM(DX$7:DX$28,DY$7:DY$28,DZ$7:DZ$28)*(DW190)</f>
        <v>0</v>
      </c>
      <c r="EC190">
        <f t="shared" si="90"/>
        <v>0</v>
      </c>
      <c r="EH190">
        <f t="shared" si="91"/>
        <v>0</v>
      </c>
      <c r="EL190">
        <v>3</v>
      </c>
      <c r="EM190">
        <f t="shared" si="92"/>
        <v>0</v>
      </c>
      <c r="ER190">
        <f t="shared" si="93"/>
        <v>0</v>
      </c>
      <c r="EV190">
        <v>3</v>
      </c>
      <c r="EW190">
        <f t="shared" si="94"/>
        <v>0</v>
      </c>
      <c r="FA190">
        <v>3</v>
      </c>
      <c r="FB190">
        <f t="shared" si="79"/>
        <v>0</v>
      </c>
      <c r="FF190">
        <v>3</v>
      </c>
      <c r="FG190">
        <f t="shared" si="80"/>
        <v>0</v>
      </c>
      <c r="FM190">
        <f t="shared" si="81"/>
        <v>0</v>
      </c>
      <c r="FQ190" s="420">
        <f>'EXTRAS (2)'!D123</f>
        <v>0</v>
      </c>
      <c r="FR190" s="420">
        <f>'EXTRAS (2)'!E123</f>
        <v>0</v>
      </c>
      <c r="FU190" s="420">
        <f t="shared" si="63"/>
        <v>0</v>
      </c>
    </row>
    <row r="191" spans="1:177">
      <c r="A191">
        <v>49</v>
      </c>
      <c r="B191" s="399" t="s">
        <v>845</v>
      </c>
      <c r="C191" s="400" t="s">
        <v>0</v>
      </c>
      <c r="Q191">
        <f t="shared" si="95"/>
        <v>0</v>
      </c>
      <c r="AB191">
        <f t="shared" si="64"/>
        <v>0</v>
      </c>
      <c r="AM191">
        <f t="shared" si="82"/>
        <v>0</v>
      </c>
      <c r="CE191">
        <f t="shared" si="83"/>
        <v>0</v>
      </c>
      <c r="CJ191">
        <f t="shared" si="84"/>
        <v>0</v>
      </c>
      <c r="CO191">
        <f t="shared" si="85"/>
        <v>0</v>
      </c>
      <c r="CY191">
        <f t="shared" si="86"/>
        <v>0</v>
      </c>
      <c r="DD191">
        <f t="shared" si="87"/>
        <v>0</v>
      </c>
      <c r="DI191">
        <f t="shared" si="88"/>
        <v>0</v>
      </c>
      <c r="DN191">
        <f t="shared" si="35"/>
        <v>0</v>
      </c>
      <c r="DS191">
        <f t="shared" si="89"/>
        <v>0</v>
      </c>
      <c r="EC191">
        <f t="shared" si="90"/>
        <v>0</v>
      </c>
      <c r="EH191">
        <f t="shared" si="91"/>
        <v>0</v>
      </c>
      <c r="EM191">
        <f t="shared" si="92"/>
        <v>0</v>
      </c>
      <c r="ER191">
        <f t="shared" si="93"/>
        <v>0</v>
      </c>
      <c r="EW191">
        <f t="shared" si="94"/>
        <v>0</v>
      </c>
      <c r="FB191">
        <f t="shared" si="79"/>
        <v>0</v>
      </c>
      <c r="FG191">
        <f t="shared" si="80"/>
        <v>0</v>
      </c>
      <c r="FM191">
        <f t="shared" si="81"/>
        <v>0</v>
      </c>
      <c r="FQ191" s="420">
        <f>'EXTRAS (2)'!D124</f>
        <v>0</v>
      </c>
      <c r="FR191" s="420">
        <f>'EXTRAS (2)'!E124</f>
        <v>0</v>
      </c>
      <c r="FU191" s="420">
        <f t="shared" si="63"/>
        <v>0</v>
      </c>
    </row>
    <row r="192" spans="1:177">
      <c r="A192">
        <v>50</v>
      </c>
      <c r="B192" s="399" t="s">
        <v>1016</v>
      </c>
      <c r="C192" s="400" t="s">
        <v>0</v>
      </c>
      <c r="Q192">
        <f t="shared" si="95"/>
        <v>0</v>
      </c>
      <c r="AB192">
        <f t="shared" si="64"/>
        <v>0</v>
      </c>
      <c r="AM192">
        <f t="shared" si="82"/>
        <v>0</v>
      </c>
      <c r="CE192">
        <f t="shared" si="83"/>
        <v>0</v>
      </c>
      <c r="CJ192">
        <f t="shared" si="84"/>
        <v>0</v>
      </c>
      <c r="CO192">
        <f t="shared" si="85"/>
        <v>0</v>
      </c>
      <c r="CY192">
        <f t="shared" si="86"/>
        <v>0</v>
      </c>
      <c r="DD192">
        <f t="shared" si="87"/>
        <v>0</v>
      </c>
      <c r="DI192">
        <f t="shared" si="88"/>
        <v>0</v>
      </c>
      <c r="DN192">
        <f t="shared" si="35"/>
        <v>0</v>
      </c>
      <c r="DS192">
        <f t="shared" si="89"/>
        <v>0</v>
      </c>
      <c r="EC192">
        <f t="shared" si="90"/>
        <v>0</v>
      </c>
      <c r="EH192">
        <f t="shared" si="91"/>
        <v>0</v>
      </c>
      <c r="EM192">
        <f t="shared" si="92"/>
        <v>0</v>
      </c>
      <c r="EQ192">
        <v>3</v>
      </c>
      <c r="ER192">
        <f t="shared" si="93"/>
        <v>0</v>
      </c>
      <c r="EW192">
        <f t="shared" si="94"/>
        <v>0</v>
      </c>
      <c r="FB192">
        <f t="shared" si="79"/>
        <v>0</v>
      </c>
      <c r="FG192">
        <f t="shared" si="80"/>
        <v>0</v>
      </c>
      <c r="FM192">
        <f t="shared" si="81"/>
        <v>0</v>
      </c>
      <c r="FQ192" s="420">
        <f>'EXTRAS (2)'!D125</f>
        <v>0</v>
      </c>
      <c r="FR192" s="420">
        <f>'EXTRAS (2)'!E125</f>
        <v>0</v>
      </c>
      <c r="FU192" s="420">
        <f t="shared" si="63"/>
        <v>0</v>
      </c>
    </row>
    <row r="193" spans="1:177">
      <c r="A193">
        <v>51</v>
      </c>
      <c r="B193" s="399" t="s">
        <v>846</v>
      </c>
      <c r="C193" s="400" t="s">
        <v>0</v>
      </c>
      <c r="Q193">
        <f>SUM(Q$7:Q$28,X$7:X$28,Y$7:Y$28)*(P193)</f>
        <v>0</v>
      </c>
      <c r="AB193">
        <f t="shared" si="64"/>
        <v>0</v>
      </c>
      <c r="AM193">
        <f t="shared" si="82"/>
        <v>0</v>
      </c>
      <c r="CE193">
        <f t="shared" si="83"/>
        <v>0</v>
      </c>
      <c r="CJ193">
        <f t="shared" si="84"/>
        <v>0</v>
      </c>
      <c r="CO193">
        <f t="shared" si="85"/>
        <v>0</v>
      </c>
      <c r="CY193">
        <f t="shared" si="86"/>
        <v>0</v>
      </c>
      <c r="DD193">
        <f t="shared" si="87"/>
        <v>0</v>
      </c>
      <c r="DI193">
        <f t="shared" si="88"/>
        <v>0</v>
      </c>
      <c r="DN193">
        <f>SUM(DN$7:DN$28,DO$7:DO$28,DP$7:DP$28)*(DM193)</f>
        <v>0</v>
      </c>
      <c r="DS193">
        <f t="shared" si="89"/>
        <v>0</v>
      </c>
      <c r="EC193">
        <f t="shared" si="90"/>
        <v>0</v>
      </c>
      <c r="EH193">
        <f t="shared" si="91"/>
        <v>0</v>
      </c>
      <c r="EM193">
        <f t="shared" si="92"/>
        <v>0</v>
      </c>
      <c r="ER193">
        <f t="shared" si="93"/>
        <v>0</v>
      </c>
      <c r="EW193">
        <f t="shared" si="94"/>
        <v>0</v>
      </c>
      <c r="FB193">
        <f t="shared" si="79"/>
        <v>0</v>
      </c>
      <c r="FG193">
        <f t="shared" si="80"/>
        <v>0</v>
      </c>
      <c r="FM193">
        <f t="shared" si="81"/>
        <v>0</v>
      </c>
      <c r="FQ193" s="420">
        <f>'EXTRAS (2)'!D126</f>
        <v>0</v>
      </c>
      <c r="FR193" s="420">
        <f>'EXTRAS (2)'!E126</f>
        <v>0</v>
      </c>
      <c r="FU193" s="420">
        <f t="shared" si="63"/>
        <v>0</v>
      </c>
    </row>
    <row r="194" spans="1:177">
      <c r="A194">
        <v>52</v>
      </c>
      <c r="B194" s="399" t="s">
        <v>847</v>
      </c>
      <c r="C194" s="400" t="s">
        <v>0</v>
      </c>
      <c r="Q194">
        <f>SUM(Q$7:Q$28,X$7:X$28,Y$7:Y$28)*(P194)</f>
        <v>0</v>
      </c>
      <c r="AB194">
        <f t="shared" si="64"/>
        <v>0</v>
      </c>
      <c r="AM194">
        <f t="shared" si="82"/>
        <v>0</v>
      </c>
      <c r="CE194">
        <f t="shared" si="83"/>
        <v>0</v>
      </c>
      <c r="CJ194">
        <f t="shared" si="84"/>
        <v>0</v>
      </c>
      <c r="CO194">
        <f t="shared" si="85"/>
        <v>0</v>
      </c>
      <c r="CY194">
        <f t="shared" si="86"/>
        <v>0</v>
      </c>
      <c r="DD194">
        <f t="shared" si="87"/>
        <v>0</v>
      </c>
      <c r="DI194">
        <f t="shared" si="88"/>
        <v>0</v>
      </c>
      <c r="DN194">
        <f>SUM(DN$7:DN$28,DO$7:DO$28,DP$7:DP$28)*(DM194)</f>
        <v>0</v>
      </c>
      <c r="DS194">
        <f t="shared" si="89"/>
        <v>0</v>
      </c>
      <c r="EC194">
        <f t="shared" si="90"/>
        <v>0</v>
      </c>
      <c r="EH194">
        <f t="shared" si="91"/>
        <v>0</v>
      </c>
      <c r="EM194">
        <f t="shared" si="92"/>
        <v>0</v>
      </c>
      <c r="ER194">
        <f t="shared" si="93"/>
        <v>0</v>
      </c>
      <c r="EW194">
        <f t="shared" si="94"/>
        <v>0</v>
      </c>
      <c r="FB194">
        <f t="shared" si="79"/>
        <v>0</v>
      </c>
      <c r="FG194">
        <f t="shared" si="80"/>
        <v>0</v>
      </c>
      <c r="FM194">
        <f t="shared" si="81"/>
        <v>0</v>
      </c>
      <c r="FQ194" s="420">
        <f>'EXTRAS (2)'!D127</f>
        <v>0</v>
      </c>
      <c r="FR194" s="420">
        <f>'EXTRAS (2)'!E127</f>
        <v>0</v>
      </c>
      <c r="FU194" s="420">
        <f t="shared" si="63"/>
        <v>0</v>
      </c>
    </row>
    <row r="195" spans="1:177" s="418" customFormat="1">
      <c r="A195">
        <v>53</v>
      </c>
      <c r="B195" s="417" t="s">
        <v>117</v>
      </c>
      <c r="C195" s="400" t="s">
        <v>0</v>
      </c>
      <c r="D195" s="419"/>
      <c r="E195" s="418" t="s">
        <v>1018</v>
      </c>
      <c r="F195" s="418">
        <f>SUM(F18:N18,F22:N22)*(1)</f>
        <v>0</v>
      </c>
      <c r="P195" s="418" t="s">
        <v>1018</v>
      </c>
      <c r="Q195" s="418">
        <f>SUM(Q18:Y18,Q22:Y22)*(1)</f>
        <v>0</v>
      </c>
      <c r="Z195" s="419"/>
      <c r="AA195" s="418" t="s">
        <v>1018</v>
      </c>
      <c r="AB195" s="418">
        <f>SUM(AB18:AJ18,AB22:AJ22)*(2)</f>
        <v>0</v>
      </c>
      <c r="AK195" s="419"/>
      <c r="AL195" s="418" t="s">
        <v>1018</v>
      </c>
      <c r="AM195" s="418">
        <f>SUM(AM18:AU18,AM22:AU22)*(2)</f>
        <v>0</v>
      </c>
      <c r="AV195" s="419"/>
      <c r="AW195" s="418" t="s">
        <v>1018</v>
      </c>
      <c r="AX195" s="418">
        <f>SUM(AX18:BF18,AX22:BF22)*(1)</f>
        <v>0</v>
      </c>
      <c r="BG195" s="419"/>
      <c r="CD195" s="418" t="s">
        <v>1018</v>
      </c>
      <c r="CE195" s="418">
        <f>SUM(CE18:CG18,CE22:CG22)*(2)</f>
        <v>0</v>
      </c>
      <c r="CI195" s="418" t="s">
        <v>1018</v>
      </c>
      <c r="CJ195" s="418">
        <f>SUM(CJ18:CL18,CJ22:CL22)*(2)</f>
        <v>0</v>
      </c>
      <c r="CN195" s="418" t="s">
        <v>1018</v>
      </c>
      <c r="CO195" s="418">
        <f>SUM(CO18:CQ18,CO22:CQ22)*(3)</f>
        <v>0</v>
      </c>
      <c r="CS195" s="418" t="s">
        <v>1018</v>
      </c>
      <c r="CT195" s="418">
        <f>SUM(CT18:CV18,CT22:CV22)*(2)</f>
        <v>0</v>
      </c>
      <c r="CX195" s="418" t="s">
        <v>1018</v>
      </c>
      <c r="CY195" s="418">
        <f>SUM(CY18:DA18,CY22:DA22)*(1)</f>
        <v>0</v>
      </c>
      <c r="DC195" s="418" t="s">
        <v>1018</v>
      </c>
      <c r="DD195" s="418">
        <f>SUM(DD18:DF18,DD22:DF22)*(3)</f>
        <v>0</v>
      </c>
      <c r="DH195" s="418" t="s">
        <v>1018</v>
      </c>
      <c r="DI195" s="418">
        <f>SUM(DI18:DK18,DI22:DK22)*(3)</f>
        <v>0</v>
      </c>
      <c r="DL195" s="419"/>
      <c r="DM195" s="418" t="s">
        <v>1018</v>
      </c>
      <c r="DN195" s="418">
        <f>SUM(DN19:DP19,DN22:DP22)*(4)</f>
        <v>0</v>
      </c>
      <c r="DR195" s="418" t="s">
        <v>1018</v>
      </c>
      <c r="DS195" s="418">
        <f>SUM(DS18:DU18,DS22:DU22)*(2)</f>
        <v>0</v>
      </c>
      <c r="DW195" s="418" t="s">
        <v>1018</v>
      </c>
      <c r="DX195" s="418">
        <f>SUM(DX18:DZ18,DX22:DZ22)*(2)</f>
        <v>0</v>
      </c>
      <c r="EL195" s="418" t="s">
        <v>1018</v>
      </c>
      <c r="EM195" s="418">
        <f>SUM(EM18:EO18,EM22:EO22)*(3)</f>
        <v>0</v>
      </c>
      <c r="EQ195" s="418" t="s">
        <v>1018</v>
      </c>
      <c r="ER195" s="418">
        <f>SUM(ER18:ET18,ER22:ET22)*(4)</f>
        <v>0</v>
      </c>
      <c r="EV195" s="418" t="s">
        <v>1018</v>
      </c>
      <c r="EW195" s="418">
        <f>SUM(EW18:EY18,EW22:EY22)*(2)</f>
        <v>0</v>
      </c>
      <c r="FA195" s="418" t="s">
        <v>1018</v>
      </c>
      <c r="FB195" s="418">
        <f>SUM(FB18:FD18,FB22:FD22)*(3)</f>
        <v>0</v>
      </c>
      <c r="FF195" s="418" t="s">
        <v>1018</v>
      </c>
      <c r="FG195" s="418">
        <f>SUM(FG18:FI18,FG22:FI22)*(3)</f>
        <v>0</v>
      </c>
      <c r="FL195" s="418" t="s">
        <v>1018</v>
      </c>
      <c r="FM195" s="418">
        <f>SUM(FM18:FO18,FM22:FO22)*(3)</f>
        <v>0</v>
      </c>
      <c r="FP195" s="419"/>
      <c r="FQ195" s="420">
        <f>'EXTRAS (2)'!D128</f>
        <v>0</v>
      </c>
      <c r="FR195" s="420">
        <f>'EXTRAS (2)'!E128</f>
        <v>0</v>
      </c>
      <c r="FS195" s="798"/>
      <c r="FT195" s="798"/>
      <c r="FU195" s="420">
        <f t="shared" si="63"/>
        <v>0</v>
      </c>
    </row>
    <row r="196" spans="1:177" s="418" customFormat="1">
      <c r="A196">
        <v>54</v>
      </c>
      <c r="B196" s="417" t="s">
        <v>118</v>
      </c>
      <c r="C196" s="400" t="s">
        <v>0</v>
      </c>
      <c r="D196" s="419"/>
      <c r="E196" s="418" t="s">
        <v>1018</v>
      </c>
      <c r="F196" s="418">
        <f>SUM(F18:N18,F22:N22)*(2)</f>
        <v>0</v>
      </c>
      <c r="P196" s="418" t="s">
        <v>1018</v>
      </c>
      <c r="Q196" s="418">
        <f>SUM(Q18:Y18,Q22:Y22)*(2)</f>
        <v>0</v>
      </c>
      <c r="Z196" s="419"/>
      <c r="AA196" s="418" t="s">
        <v>1018</v>
      </c>
      <c r="AB196" s="418">
        <f>SUM(AB18:AJ18,AB22:AJ22)*(2)</f>
        <v>0</v>
      </c>
      <c r="AK196" s="419"/>
      <c r="AL196" s="418" t="s">
        <v>1018</v>
      </c>
      <c r="AM196" s="418">
        <f>SUM(AM18:AU18,AM22:AU22)*(2)</f>
        <v>0</v>
      </c>
      <c r="AV196" s="419"/>
      <c r="BG196" s="419"/>
      <c r="CS196" s="418" t="s">
        <v>1018</v>
      </c>
      <c r="CT196" s="418">
        <f>SUM(CT18:CV18,CT22:CV22)*(1)</f>
        <v>0</v>
      </c>
      <c r="CX196" s="418" t="s">
        <v>1018</v>
      </c>
      <c r="CY196" s="418">
        <f>SUM(CY18:DA18,CY22:DA22)*(2)</f>
        <v>0</v>
      </c>
      <c r="DH196" s="418" t="s">
        <v>1018</v>
      </c>
      <c r="DI196" s="418">
        <f>SUM(DI18:DK18,DI22:DK22)*(2)</f>
        <v>0</v>
      </c>
      <c r="DL196" s="419"/>
      <c r="DR196" s="418" t="s">
        <v>1018</v>
      </c>
      <c r="DS196" s="418">
        <f>SUM(DS18:DU18,DS22:DU22)*(3)</f>
        <v>0</v>
      </c>
      <c r="DW196" s="418" t="s">
        <v>1018</v>
      </c>
      <c r="DX196" s="418">
        <f>SUM(DX18:DZ18,DX22:DZ22)*(3)</f>
        <v>0</v>
      </c>
      <c r="EL196" s="418" t="s">
        <v>1018</v>
      </c>
      <c r="EM196" s="418">
        <f>SUM(EM18:EO18,EM22:EO22)*(3)</f>
        <v>0</v>
      </c>
      <c r="EQ196" s="418" t="s">
        <v>1018</v>
      </c>
      <c r="ER196" s="418">
        <f>SUM(ER18:ET18,ER22:ET22)*(1)</f>
        <v>0</v>
      </c>
      <c r="EV196" s="418" t="s">
        <v>1018</v>
      </c>
      <c r="EW196" s="418">
        <f>SUM(EW18:EY18,EW22:EY22)*(3)</f>
        <v>0</v>
      </c>
      <c r="FA196" s="418" t="s">
        <v>1018</v>
      </c>
      <c r="FB196" s="418">
        <f>SUM(FB18:FD18,FB22:FD22)*(1)</f>
        <v>0</v>
      </c>
      <c r="FF196" s="418" t="s">
        <v>1018</v>
      </c>
      <c r="FG196" s="418">
        <f>SUM(FG18:FI18,FG22:FI22)*(2)</f>
        <v>0</v>
      </c>
      <c r="FL196" s="418" t="s">
        <v>1018</v>
      </c>
      <c r="FM196" s="418">
        <f>SUM(FM18:FO18,FM22:FO22)*(2)</f>
        <v>0</v>
      </c>
      <c r="FP196" s="419"/>
      <c r="FQ196" s="420">
        <f>'EXTRAS (2)'!D129</f>
        <v>0</v>
      </c>
      <c r="FR196" s="420">
        <f>'EXTRAS (2)'!E129</f>
        <v>0</v>
      </c>
      <c r="FS196" s="798"/>
      <c r="FT196" s="798"/>
      <c r="FU196" s="420">
        <f t="shared" si="63"/>
        <v>0</v>
      </c>
    </row>
    <row r="197" spans="1:177" s="418" customFormat="1">
      <c r="A197">
        <v>55</v>
      </c>
      <c r="B197" s="417" t="s">
        <v>119</v>
      </c>
      <c r="C197" s="400" t="s">
        <v>0</v>
      </c>
      <c r="D197" s="419"/>
      <c r="E197" s="418" t="s">
        <v>1018</v>
      </c>
      <c r="F197" s="418">
        <f>SUM(F19:N19,F23:N23,F26:N26)*(1)</f>
        <v>0</v>
      </c>
      <c r="P197" s="418" t="s">
        <v>1018</v>
      </c>
      <c r="Q197" s="418">
        <f>SUM(Q19:Y19,Q23:Y23,Q26:Y26)*(1)</f>
        <v>0</v>
      </c>
      <c r="Z197" s="419"/>
      <c r="AA197" s="418" t="s">
        <v>1018</v>
      </c>
      <c r="AB197" s="418">
        <f>SUM(AB18:AJ18,AB22:AJ22)*(1)</f>
        <v>0</v>
      </c>
      <c r="AK197" s="419"/>
      <c r="AL197" s="418" t="s">
        <v>1018</v>
      </c>
      <c r="AM197" s="418">
        <f>SUM(AM18:AU18,AM22:AU22)*(1)</f>
        <v>0</v>
      </c>
      <c r="AV197" s="419"/>
      <c r="BG197" s="419"/>
      <c r="BH197" s="418" t="s">
        <v>1018</v>
      </c>
      <c r="BI197" s="418">
        <f>SUM(BI18:BQ18,BI22:BQ22)*(2)</f>
        <v>0</v>
      </c>
      <c r="BS197" s="418" t="s">
        <v>1018</v>
      </c>
      <c r="BT197" s="418">
        <f>SUM(BT18:CB18,BT22:CB22)*(2)</f>
        <v>0</v>
      </c>
      <c r="CD197" s="418" t="s">
        <v>1018</v>
      </c>
      <c r="CE197" s="418">
        <f>SUM(CE19:CG19,CE23:CG23,CE26:CG26)*(1)</f>
        <v>0</v>
      </c>
      <c r="CI197" s="418" t="s">
        <v>1018</v>
      </c>
      <c r="CJ197" s="418">
        <f>SUM(CJ19:CL19,CJ23:CL23,CJ26:CL26)*(1)</f>
        <v>0</v>
      </c>
      <c r="CN197" s="418" t="s">
        <v>1018</v>
      </c>
      <c r="CO197" s="418">
        <f>SUM(CO19:CQ19,CO23:CQ23,CO26:CQ26)*(1)</f>
        <v>0</v>
      </c>
      <c r="CS197" s="418" t="s">
        <v>1018</v>
      </c>
      <c r="CT197" s="418">
        <f>SUM(CT19:CV19,CT23:CV23,CT26:CV26)*(1)</f>
        <v>0</v>
      </c>
      <c r="CX197" s="418" t="s">
        <v>1018</v>
      </c>
      <c r="CY197" s="418">
        <f>SUM(CY19:DA19,CY23:DA23)*(1)</f>
        <v>0</v>
      </c>
      <c r="DC197" s="418" t="s">
        <v>1018</v>
      </c>
      <c r="DD197" s="418">
        <f>SUM(DD19:DF19,DD23:DF23)*(1)</f>
        <v>0</v>
      </c>
      <c r="DH197" s="418" t="s">
        <v>1018</v>
      </c>
      <c r="DI197" s="418">
        <f>SUM(DI18:DK18,DI22:DK22)*(1)+SUM(DI19:DK19,DI23:DK23,DI26:DK26)*(1)</f>
        <v>0</v>
      </c>
      <c r="DL197" s="419"/>
      <c r="DM197" s="418" t="s">
        <v>1018</v>
      </c>
      <c r="DN197" s="418">
        <f>SUM(DN19:DP19,DN23:DP23)*(1)</f>
        <v>0</v>
      </c>
      <c r="DR197" s="418" t="s">
        <v>1018</v>
      </c>
      <c r="DS197" s="418">
        <f>SUM(DS18:DU18,DS19:DU19,DS22:DU22,DS23:DU23,DS26:DU26)*(1)</f>
        <v>0</v>
      </c>
      <c r="DW197" s="418" t="s">
        <v>1018</v>
      </c>
      <c r="DX197" s="418">
        <f>SUM(DX18:DZ18,DX19:DZ19,DX22:DZ22,DX23:DZ23,DX26:DZ26)*(1)</f>
        <v>0</v>
      </c>
      <c r="EL197" s="418" t="s">
        <v>1018</v>
      </c>
      <c r="EM197" s="418">
        <f>SUM(EM19:EO19,EM23:EO23,EM26:EO26)*(1)</f>
        <v>0</v>
      </c>
      <c r="EQ197" s="418" t="s">
        <v>1018</v>
      </c>
      <c r="ER197" s="418">
        <f>SUM(ER18:ET18,ER22:ET22,ER19:ET19,ER23:ET23,ER26:ET26)*(1)</f>
        <v>0</v>
      </c>
      <c r="EV197" s="418" t="s">
        <v>1018</v>
      </c>
      <c r="EW197" s="418">
        <f>SUM(EW18:EY18,EW22:EY22,EW19:EY19,EW23:EY23,EW26:EY26)*(1)</f>
        <v>0</v>
      </c>
      <c r="FA197" s="418" t="s">
        <v>1018</v>
      </c>
      <c r="FB197" s="418">
        <f>SUM(FB18:FD18,FB22:FD22,FB19:FD19,FB23:FD23,FB26:FD26)*(1)</f>
        <v>0</v>
      </c>
      <c r="FF197" s="418" t="s">
        <v>1018</v>
      </c>
      <c r="FG197" s="418">
        <f>SUM(FG18:FI18,FG22:FI22)*(1)+SUM(FG19:FI19,FG23:FI23,FG26:FI26)*(2)</f>
        <v>0</v>
      </c>
      <c r="FL197" s="418" t="s">
        <v>1018</v>
      </c>
      <c r="FM197" s="418">
        <f>SUM(FM18:FO18,FM22:FO22)*(1)+SUM(FM19:FO19,FM23:FO23,FM26:FO26)*(2)</f>
        <v>0</v>
      </c>
      <c r="FP197" s="419"/>
      <c r="FQ197" s="420">
        <f>'EXTRAS (2)'!D130</f>
        <v>0</v>
      </c>
      <c r="FR197" s="420">
        <f>'EXTRAS (2)'!E130</f>
        <v>0</v>
      </c>
      <c r="FS197" s="798"/>
      <c r="FT197" s="798"/>
      <c r="FU197" s="420">
        <f t="shared" si="63"/>
        <v>0</v>
      </c>
    </row>
    <row r="198" spans="1:177" s="418" customFormat="1">
      <c r="A198">
        <v>56</v>
      </c>
      <c r="B198" s="417" t="s">
        <v>120</v>
      </c>
      <c r="C198" s="400" t="s">
        <v>0</v>
      </c>
      <c r="D198" s="419"/>
      <c r="E198" s="418" t="s">
        <v>1018</v>
      </c>
      <c r="F198" s="418">
        <f>SUM(F19:N19,F23:N23,F26:N26,F20:N20,F24:N24,F27:N27)*(1)</f>
        <v>0</v>
      </c>
      <c r="P198" s="418" t="s">
        <v>1018</v>
      </c>
      <c r="Q198" s="418">
        <f>SUM(Q19:Y19,Q23:Y23,Q26:Y26,Q20:Y20,Q24:Y24,Q27:Y27)*(1)</f>
        <v>0</v>
      </c>
      <c r="Z198" s="419"/>
      <c r="AK198" s="419"/>
      <c r="AV198" s="419"/>
      <c r="AW198" s="418" t="s">
        <v>1018</v>
      </c>
      <c r="AX198" s="418">
        <f>SUM(AX19:BF19,AX23:BF23,AX26:BF26)*1</f>
        <v>0</v>
      </c>
      <c r="BG198" s="419"/>
      <c r="CD198" s="418" t="s">
        <v>1018</v>
      </c>
      <c r="CE198" s="418">
        <f>SUM(CE19:CG19,CE23:CG23,CE26:CG26)*(1)</f>
        <v>0</v>
      </c>
      <c r="CI198" s="418" t="s">
        <v>1018</v>
      </c>
      <c r="CJ198" s="418">
        <f>SUM(CJ19:CL19,CJ23:CL23,CJ26:CL26)*(1)</f>
        <v>0</v>
      </c>
      <c r="CN198" s="418" t="s">
        <v>1018</v>
      </c>
      <c r="CO198" s="418">
        <f>SUM(CO19:CQ19,CO23:CQ23,CO26:CQ26)*(2)</f>
        <v>0</v>
      </c>
      <c r="CS198" s="418" t="s">
        <v>1018</v>
      </c>
      <c r="CT198" s="418">
        <f>SUM(CT19:CV19,CT23:CV23,CT26:CV26)*(1)</f>
        <v>0</v>
      </c>
      <c r="DC198" s="418" t="s">
        <v>1018</v>
      </c>
      <c r="DD198" s="418">
        <f>SUM(DD19:DF19,DD23:DF23)*(2)</f>
        <v>0</v>
      </c>
      <c r="DH198" s="418" t="s">
        <v>1018</v>
      </c>
      <c r="DI198" s="418">
        <f>SUM(DI19:DK19,DI23:DK23,DI26:DK26)*(2)</f>
        <v>0</v>
      </c>
      <c r="DL198" s="419"/>
      <c r="DM198" s="418" t="s">
        <v>1018</v>
      </c>
      <c r="DN198" s="418">
        <f>SUM(DN19:DP19,DN23:DP23)*(3)</f>
        <v>0</v>
      </c>
      <c r="DR198" s="418" t="s">
        <v>1018</v>
      </c>
      <c r="DS198" s="418">
        <f>SUM(DS18:DU18,DS19:DU19,DS22:DU22,DS23:DU23,DS26:DU26)*(1)</f>
        <v>0</v>
      </c>
      <c r="DW198" s="418" t="s">
        <v>1018</v>
      </c>
      <c r="DX198" s="418">
        <f>SUM(DX18:DZ18,DX19:DZ19,DX22:DZ22,DX23:DZ23,DX26:DZ26)*(1)</f>
        <v>0</v>
      </c>
      <c r="EL198" s="418" t="s">
        <v>1018</v>
      </c>
      <c r="EM198" s="418">
        <f>SUM(EM19:EO19,EM23:EO23,EM26:EO26)*(2)</f>
        <v>0</v>
      </c>
      <c r="EQ198" s="418" t="s">
        <v>1018</v>
      </c>
      <c r="ER198" s="418">
        <f>SUM(ER19:ET19,ER23:ET23,ER26:ET26)*(3)</f>
        <v>0</v>
      </c>
      <c r="EV198" s="418" t="s">
        <v>1018</v>
      </c>
      <c r="EW198" s="418">
        <f>SUM(EW18:EY18,EW22:EY22,EW19:EY19,EW23:EY23,EW26:EY26)*(1)</f>
        <v>0</v>
      </c>
      <c r="FA198" s="418" t="s">
        <v>1018</v>
      </c>
      <c r="FB198" s="418">
        <f>SUM(FB18:FD18,FB22:FD22)*(1)+SUM(FB19:FD19,FB23:FD23,FB26:FD26)*(2)</f>
        <v>0</v>
      </c>
      <c r="FF198" s="418" t="s">
        <v>1018</v>
      </c>
      <c r="FG198" s="418">
        <f>SUM(FG19:FI19,FG23:FI23,FG26:FI26)*(2)</f>
        <v>0</v>
      </c>
      <c r="FL198" s="418" t="s">
        <v>1018</v>
      </c>
      <c r="FM198" s="418">
        <f>SUM(FM19:FO19,FM23:FO23,FM26:FO26)*(2)</f>
        <v>0</v>
      </c>
      <c r="FP198" s="419"/>
      <c r="FQ198" s="420">
        <f>'EXTRAS (2)'!D131</f>
        <v>0</v>
      </c>
      <c r="FR198" s="420">
        <f>'EXTRAS (2)'!E131</f>
        <v>0</v>
      </c>
      <c r="FS198" s="798"/>
      <c r="FT198" s="798"/>
      <c r="FU198" s="420">
        <f t="shared" si="63"/>
        <v>0</v>
      </c>
    </row>
    <row r="199" spans="1:177" s="418" customFormat="1">
      <c r="A199">
        <v>57</v>
      </c>
      <c r="B199" s="417" t="s">
        <v>121</v>
      </c>
      <c r="C199" s="400" t="s">
        <v>0</v>
      </c>
      <c r="D199" s="419"/>
      <c r="E199" s="418" t="s">
        <v>1018</v>
      </c>
      <c r="F199" s="418">
        <f>SUM(F19:N19,F23:N23,F26:N26,F20:N20,F24:N24,F27:N27)*(1)</f>
        <v>0</v>
      </c>
      <c r="P199" s="418" t="s">
        <v>1018</v>
      </c>
      <c r="Q199" s="418">
        <f>SUM(Q19:Y19,Q23:Y23,Q26:Y26,Q20:Y20,Q24:Y24,Q27:Y27)*(1)</f>
        <v>0</v>
      </c>
      <c r="Z199" s="419"/>
      <c r="AA199" s="418" t="s">
        <v>1018</v>
      </c>
      <c r="AB199" s="418">
        <f>SUM(AB20:AJ20,AB24:AJ24,AB27:AJ27)*(2)</f>
        <v>0</v>
      </c>
      <c r="AK199" s="419"/>
      <c r="AL199" s="418" t="s">
        <v>1018</v>
      </c>
      <c r="AM199" s="418">
        <f>SUM(AM20:AU20,AM24:AU24,AM27:AU27)*(2)</f>
        <v>0</v>
      </c>
      <c r="AV199" s="419"/>
      <c r="BG199" s="419"/>
      <c r="CD199" s="418" t="s">
        <v>1018</v>
      </c>
      <c r="CE199" s="418">
        <f>SUM(CE20:CG20,CE24:CG24,CE27:CG27)*(1)</f>
        <v>0</v>
      </c>
      <c r="CI199" s="418" t="s">
        <v>1018</v>
      </c>
      <c r="CJ199" s="418">
        <f>SUM(CJ20:CL20,CJ24:CL24,CJ27:CL27)*(1)</f>
        <v>0</v>
      </c>
      <c r="CN199" s="418" t="s">
        <v>1018</v>
      </c>
      <c r="CO199" s="418">
        <f>SUM(CO20:CQ20,CO24:CQ24,CO27:CQ27)*(1)</f>
        <v>0</v>
      </c>
      <c r="CS199" s="418" t="s">
        <v>1018</v>
      </c>
      <c r="CT199" s="418">
        <f>SUM(CT19:CV19,CT20:CV20,CT23:CV23,CT24:CV24,CT26:CV26,CT27:CV27)*(1)</f>
        <v>0</v>
      </c>
      <c r="CX199" s="418" t="s">
        <v>1018</v>
      </c>
      <c r="CY199" s="418">
        <f>SUM(CY19:DA19,CY23:DA23,CY26:DA26)*(2)+SUM(CY20:DA20,CY24:DA24,CY27:DA27)*(1)</f>
        <v>0</v>
      </c>
      <c r="DC199" s="418" t="s">
        <v>1018</v>
      </c>
      <c r="DD199" s="418">
        <f>SUM(DD20:DF20,DD24:DF24,DD27:DF27)*(1)</f>
        <v>0</v>
      </c>
      <c r="DH199" s="418" t="s">
        <v>1018</v>
      </c>
      <c r="DI199" s="418">
        <f>SUM(DI20:DK20,DI24:DK24,DI27:DK27)*(1)+SUM(DI19:DK19,DI23:DK23,DI26:DK26)*(2)</f>
        <v>0</v>
      </c>
      <c r="DL199" s="419"/>
      <c r="DM199" s="418" t="s">
        <v>1018</v>
      </c>
      <c r="DN199" s="418">
        <f>SUM(DN20:DP20,DN24:DP24,DN27:DP27)*(1)</f>
        <v>0</v>
      </c>
      <c r="DR199" s="418" t="s">
        <v>1018</v>
      </c>
      <c r="DS199" s="418">
        <f>SUM(DS20:DU20,DS24:DU24,DS27:DU27)*(1)+SUM(DS19:DU19,DS23:DU23,DS26:DU26)*(3)</f>
        <v>0</v>
      </c>
      <c r="DW199" s="418" t="s">
        <v>1018</v>
      </c>
      <c r="DX199" s="418">
        <f>SUM(DX20:DZ20,DX24:DZ24,DX27:DZ27)*(1)+SUM(DX19:DZ19,DX23:DZ23,DX26:DZ26)*(3)</f>
        <v>0</v>
      </c>
      <c r="EL199" s="418" t="s">
        <v>1018</v>
      </c>
      <c r="EM199" s="418">
        <f>SUM(EM19:EO19,EM23:EO23,EM26:EO26)*(2)+SUM(EM20:EO20,EM24:EO24,EM27:EO27)*(1)</f>
        <v>0</v>
      </c>
      <c r="EQ199" s="418" t="s">
        <v>1018</v>
      </c>
      <c r="ER199" s="418">
        <f>SUM(ER19:ET19,ER23:ET23,ER20:ET20,ER24:ET24,ER26:ET26,ER27:ET27)*(1)</f>
        <v>0</v>
      </c>
      <c r="EV199" s="418" t="s">
        <v>1018</v>
      </c>
      <c r="EW199" s="418">
        <f>SUM(EW19:EY19,EW23:EY23,EW26:EY26)*(3)+SUM(EW20:EY20,EW24:EY24,EW27:EY27)*(1)</f>
        <v>0</v>
      </c>
      <c r="FA199" s="418" t="s">
        <v>1018</v>
      </c>
      <c r="FB199" s="418">
        <f>SUM(FB19:FD19,FB23:FD23,FB26:FD26,FB20:FD20,FB24:FD24,FB27:FD27)*(1)</f>
        <v>0</v>
      </c>
      <c r="FF199" s="418" t="s">
        <v>1018</v>
      </c>
      <c r="FG199" s="418">
        <f>SUM(FG19:FI19,FG23:FI23,FG26:FI26,FG20:FI20,FG24:FI24,FG27:FI27)*(1)</f>
        <v>0</v>
      </c>
      <c r="FL199" s="418" t="s">
        <v>1018</v>
      </c>
      <c r="FM199" s="418">
        <f>SUM(FM19:FO19,FM23:FO23,FM26:FO26,FM20:FO20,FM24:FO24,FM27:FO27)*(1)</f>
        <v>0</v>
      </c>
      <c r="FP199" s="419"/>
      <c r="FQ199" s="420">
        <f>'EXTRAS (2)'!D132</f>
        <v>0</v>
      </c>
      <c r="FR199" s="420">
        <f>'EXTRAS (2)'!E132</f>
        <v>0</v>
      </c>
      <c r="FS199" s="798"/>
      <c r="FT199" s="798"/>
      <c r="FU199" s="420">
        <f t="shared" si="63"/>
        <v>0</v>
      </c>
    </row>
    <row r="200" spans="1:177" s="418" customFormat="1">
      <c r="A200">
        <v>58</v>
      </c>
      <c r="B200" s="417" t="s">
        <v>122</v>
      </c>
      <c r="C200" s="400" t="s">
        <v>0</v>
      </c>
      <c r="D200" s="419"/>
      <c r="E200" s="418" t="s">
        <v>1018</v>
      </c>
      <c r="F200" s="418">
        <f>SUM(F20:N20,F24:N24,F27:N27)*(1)</f>
        <v>0</v>
      </c>
      <c r="P200" s="418" t="s">
        <v>1018</v>
      </c>
      <c r="Q200" s="418">
        <f>SUM(Q20:Y20,Q24:Y24,Q27:Y27)*(1)</f>
        <v>0</v>
      </c>
      <c r="Z200" s="419"/>
      <c r="AA200" s="418" t="s">
        <v>1018</v>
      </c>
      <c r="AB200" s="418">
        <f>SUM(AB19:AJ19,AB23:AJ23,AB26:AJ26)*(1)</f>
        <v>0</v>
      </c>
      <c r="AK200" s="419"/>
      <c r="AL200" s="418" t="s">
        <v>1018</v>
      </c>
      <c r="AM200" s="418">
        <f>SUM(AM19:AU19,AM23:AU23,AM26:AU26)*(1)</f>
        <v>0</v>
      </c>
      <c r="AV200" s="419"/>
      <c r="BG200" s="419"/>
      <c r="BH200" s="418" t="s">
        <v>1018</v>
      </c>
      <c r="BI200" s="418">
        <f>SUM(BI19:BQ19,BI23:BQ23,BI26:BQ26)*(1)</f>
        <v>0</v>
      </c>
      <c r="BS200" s="418" t="s">
        <v>1018</v>
      </c>
      <c r="BT200" s="418">
        <f>SUM(BT19:CB19,BT23:CB23,BT26:CB26)*(1)</f>
        <v>0</v>
      </c>
      <c r="CD200" s="418" t="s">
        <v>1018</v>
      </c>
      <c r="CE200" s="418">
        <f>SUM(CE20:CG20,CE24:CG24,CE27:CG27)*(1)</f>
        <v>0</v>
      </c>
      <c r="CI200" s="418" t="s">
        <v>1018</v>
      </c>
      <c r="CJ200" s="418">
        <f>SUM(CJ20:CL20,CJ24:CL24,CJ27:CL27)*(1)</f>
        <v>0</v>
      </c>
      <c r="CN200" s="418" t="s">
        <v>1018</v>
      </c>
      <c r="CO200" s="418">
        <f>SUM(CO20:CQ20,CO24:CQ24,CO27:CQ27)*(2)</f>
        <v>0</v>
      </c>
      <c r="CS200" s="418" t="s">
        <v>1018</v>
      </c>
      <c r="CT200" s="418">
        <f>SUM(CT20:CV20,CT24:CV24,CT27:CV27)*(2)</f>
        <v>0</v>
      </c>
      <c r="CX200" s="418" t="s">
        <v>1018</v>
      </c>
      <c r="CY200" s="418">
        <f>SUM(CY20:DA20,CY24:DA24,CY27:DA27)*(1)</f>
        <v>0</v>
      </c>
      <c r="DC200" s="418" t="s">
        <v>1018</v>
      </c>
      <c r="DD200" s="418">
        <f>SUM(DD20:DF20,DD24:DF24,DD27:DF27)*(2)</f>
        <v>0</v>
      </c>
      <c r="DH200" s="418" t="s">
        <v>1018</v>
      </c>
      <c r="DI200" s="418">
        <f>SUM(DI20:DK20,DI24:DK24,DI27:DK27)*(2)+SUM(DI19:DK19,DI23:DK23,DI26:DK26)*(1)</f>
        <v>0</v>
      </c>
      <c r="DL200" s="419"/>
      <c r="DM200" s="418" t="s">
        <v>1018</v>
      </c>
      <c r="DN200" s="418">
        <f>SUM(DN20:DP20,DN24:DP24,DN27:DP27)*(3)</f>
        <v>0</v>
      </c>
      <c r="DR200" s="418" t="s">
        <v>1018</v>
      </c>
      <c r="DS200" s="418">
        <f>SUM(DS19:DU19,DS23:DU23,DS26:DU26)*(1)+SUM(DS20:DU20,DS24:DU24,DS27:DU27)*(2)</f>
        <v>0</v>
      </c>
      <c r="DW200" s="418" t="s">
        <v>1018</v>
      </c>
      <c r="DX200" s="418">
        <f>SUM(DX19:DZ19,DX23:DZ23,DX26:DZ26)*(1)+SUM(DX20:DZ20,DX24:DZ24,DX27:DZ27)*(2)</f>
        <v>0</v>
      </c>
      <c r="EL200" s="418" t="s">
        <v>1018</v>
      </c>
      <c r="EM200" s="418">
        <f>SUM(EM20:EO20,EM24:EO24,EM27:EO27)*(3)</f>
        <v>0</v>
      </c>
      <c r="EQ200" s="418" t="s">
        <v>1018</v>
      </c>
      <c r="ER200" s="418">
        <f>SUM(ER19:ET19,ER23:ET23,ER26:ET26)*(1)+SUM(ER20:ET20,ER24:ET24,ER27:ET27)*(3)</f>
        <v>0</v>
      </c>
      <c r="EV200" s="418" t="s">
        <v>1018</v>
      </c>
      <c r="EW200" s="418">
        <f>SUM(EW19:EY19,EW23:EY23,EW26:EY26)*(1)+SUM(EW20:EY20,EW24:EY24,EW27:EY27)*(2)</f>
        <v>0</v>
      </c>
      <c r="FA200" s="418" t="s">
        <v>1018</v>
      </c>
      <c r="FB200" s="418">
        <f>SUM(FB19:FD19,FB23:FD23,FB26:FD26)*(1)+SUM(FB20:FD20,FB24:FD24,FB27:FD27)*(2)</f>
        <v>0</v>
      </c>
      <c r="FF200" s="418" t="s">
        <v>1018</v>
      </c>
      <c r="FG200" s="418">
        <f>SUM(FG19:FI19,FG23:FI23,FG26:FI26)*(1)+SUM(FG20:FI20,FG24:FI24,FG27:FI27)*(3)</f>
        <v>0</v>
      </c>
      <c r="FL200" s="418" t="s">
        <v>1018</v>
      </c>
      <c r="FM200" s="418">
        <f>SUM(FM19:FO19,FM23:FO23,FM26:FO26)*(1)+SUM(FM20:FO20,FM24:FO24,FM27:FO27)*(3)</f>
        <v>0</v>
      </c>
      <c r="FP200" s="419"/>
      <c r="FQ200" s="420">
        <f>'EXTRAS (2)'!D133</f>
        <v>0</v>
      </c>
      <c r="FR200" s="420">
        <f>'EXTRAS (2)'!E133</f>
        <v>0</v>
      </c>
      <c r="FS200" s="798"/>
      <c r="FT200" s="798"/>
      <c r="FU200" s="420">
        <f t="shared" si="63"/>
        <v>0</v>
      </c>
    </row>
    <row r="201" spans="1:177" s="418" customFormat="1">
      <c r="A201">
        <v>59</v>
      </c>
      <c r="B201" s="417" t="s">
        <v>123</v>
      </c>
      <c r="C201" s="400" t="s">
        <v>0</v>
      </c>
      <c r="D201" s="419"/>
      <c r="E201" s="418" t="s">
        <v>1018</v>
      </c>
      <c r="F201" s="418">
        <f>SUM(F20:N20,F24:N24,F27:N27)*(1)</f>
        <v>0</v>
      </c>
      <c r="P201" s="418" t="s">
        <v>1018</v>
      </c>
      <c r="Q201" s="418">
        <f>SUM(Q20:Y20,Q24:Y24,Q27:Y27)*(1)</f>
        <v>0</v>
      </c>
      <c r="Z201" s="419"/>
      <c r="AA201" s="418" t="s">
        <v>1018</v>
      </c>
      <c r="AB201" s="418">
        <f>SUM(AB20:AJ20,AB24:AJ24,AB27:AJ27)*(2)</f>
        <v>0</v>
      </c>
      <c r="AK201" s="419"/>
      <c r="AL201" s="418" t="s">
        <v>1018</v>
      </c>
      <c r="AM201" s="418">
        <f>SUM(AM20:AU20,AM24:AU24,AM27:AU27)*(2)</f>
        <v>0</v>
      </c>
      <c r="AV201" s="419"/>
      <c r="BG201" s="419"/>
      <c r="CX201" s="418" t="s">
        <v>1018</v>
      </c>
      <c r="CY201" s="418">
        <f>SUM(CY20:DA20,CY24:DA24,CY27:DA27)*(1)</f>
        <v>0</v>
      </c>
      <c r="DH201" s="418" t="s">
        <v>1018</v>
      </c>
      <c r="DI201" s="418">
        <f>SUM(DI20:DK20,DI24:DK24,DI27:DK27)*(2)</f>
        <v>0</v>
      </c>
      <c r="DL201" s="419"/>
      <c r="DR201" s="418" t="s">
        <v>1018</v>
      </c>
      <c r="DS201" s="418">
        <f>SUM(DS19:DU19,DS23:DU23,DS26:DU26)*(1)+SUM(DS20:DU20,DS24:DU24,DS27:DU27)*(2)</f>
        <v>0</v>
      </c>
      <c r="DW201" s="418" t="s">
        <v>1018</v>
      </c>
      <c r="DX201" s="418">
        <f>SUM(DX19:DZ19,DX23:DZ23,DX26:DZ26)*(1)+SUM(DX20:DZ20,DX24:DZ24,DX27:DZ27)*(2)</f>
        <v>0</v>
      </c>
      <c r="EL201" s="418" t="s">
        <v>1018</v>
      </c>
      <c r="EM201" s="418">
        <f>SUM(EM20:EO20,EM24:EO24,EM27:EO27)*(1)</f>
        <v>0</v>
      </c>
      <c r="EQ201" s="418" t="s">
        <v>1018</v>
      </c>
      <c r="ER201" s="418">
        <f>SUM(ER20:ET20,ER24:ET24,ER27:ET27)*(1)</f>
        <v>0</v>
      </c>
      <c r="EV201" s="418" t="s">
        <v>1018</v>
      </c>
      <c r="EW201" s="418">
        <f>SUM(EW19:EY19,EW23:EY23,EW26:EY26)*(1)+SUM(EW20:EY20,EW24:EY24,EW27:EY27)*(2)</f>
        <v>0</v>
      </c>
      <c r="FA201" s="418" t="s">
        <v>1018</v>
      </c>
      <c r="FB201" s="418">
        <f>SUM(FB19:FD19,FB23:FD23,FB26:FD26,FB20:FD20,FB24:FD24,FB27:FD27)*(1)</f>
        <v>0</v>
      </c>
      <c r="FF201" s="418" t="s">
        <v>1018</v>
      </c>
      <c r="FG201" s="418">
        <f>SUM(FG20:FI20,FG24:FI24,FG27:FI27)*(1)</f>
        <v>0</v>
      </c>
      <c r="FL201" s="418" t="s">
        <v>1018</v>
      </c>
      <c r="FM201" s="418">
        <f>SUM(FM20:FO20,FM24:FO24,FM27:FO27)*(1)</f>
        <v>0</v>
      </c>
      <c r="FP201" s="419"/>
      <c r="FQ201" s="420">
        <f>'EXTRAS (2)'!D134</f>
        <v>0</v>
      </c>
      <c r="FR201" s="420">
        <f>'EXTRAS (2)'!E134</f>
        <v>0</v>
      </c>
      <c r="FS201" s="798"/>
      <c r="FT201" s="798"/>
      <c r="FU201" s="420">
        <f t="shared" si="63"/>
        <v>0</v>
      </c>
    </row>
    <row r="202" spans="1:177" s="418" customFormat="1">
      <c r="A202">
        <v>60</v>
      </c>
      <c r="B202" s="417" t="s">
        <v>124</v>
      </c>
      <c r="C202" s="400" t="s">
        <v>0</v>
      </c>
      <c r="D202" s="419"/>
      <c r="Z202" s="419"/>
      <c r="AK202" s="419"/>
      <c r="AV202" s="419"/>
      <c r="BG202" s="419"/>
      <c r="BH202" s="418" t="s">
        <v>1018</v>
      </c>
      <c r="BI202" s="418">
        <f>SUM(BI20:BQ20,BI24:BQ24,BI27:BQ27)*(2)</f>
        <v>0</v>
      </c>
      <c r="BS202" s="418" t="s">
        <v>1018</v>
      </c>
      <c r="BT202" s="418">
        <f>SUM(BT20:CB20,BT24:CB24,BT27:CB27)*(2)</f>
        <v>0</v>
      </c>
      <c r="DL202" s="419"/>
      <c r="DR202" s="418" t="s">
        <v>1018</v>
      </c>
      <c r="DS202" s="418">
        <f>SUM(DS20:DU20,DS24:DU24,DS27:DU27)*(1)</f>
        <v>0</v>
      </c>
      <c r="DW202" s="418" t="s">
        <v>1018</v>
      </c>
      <c r="DX202" s="418">
        <f>SUM(DX20:DZ20,DX24:DZ24,DX27:DZ27)*(1)</f>
        <v>0</v>
      </c>
      <c r="EQ202" s="418" t="s">
        <v>1018</v>
      </c>
      <c r="ER202" s="418">
        <f>SUM(ER20:ET20,ER24:ET24,ER27:ET27)*(1)</f>
        <v>0</v>
      </c>
      <c r="EV202" s="418" t="s">
        <v>1018</v>
      </c>
      <c r="EW202" s="418">
        <f>SUM(EW20:EY20,EW24:EY24,EW27:EY27)*(1)</f>
        <v>0</v>
      </c>
      <c r="FA202" s="418" t="s">
        <v>1018</v>
      </c>
      <c r="FB202" s="418">
        <f>SUM(FB20:FD20,FB24:FD24,FB27:FD27)*(1)</f>
        <v>0</v>
      </c>
      <c r="FF202" s="418" t="s">
        <v>1018</v>
      </c>
      <c r="FG202" s="418">
        <f>SUM(FG20:FI20,FG24:FI24,FG27:FI27)*(1)</f>
        <v>0</v>
      </c>
      <c r="FL202" s="418" t="s">
        <v>1018</v>
      </c>
      <c r="FM202" s="418">
        <f>SUM(FM20:FO20,FM24:FO24,FM27:FO27)*(1)</f>
        <v>0</v>
      </c>
      <c r="FP202" s="419"/>
      <c r="FQ202" s="420">
        <f>'EXTRAS (2)'!D135</f>
        <v>0</v>
      </c>
      <c r="FR202" s="420">
        <f>'EXTRAS (2)'!E135</f>
        <v>0</v>
      </c>
      <c r="FS202" s="798"/>
      <c r="FT202" s="798"/>
      <c r="FU202" s="420">
        <f t="shared" si="63"/>
        <v>0</v>
      </c>
    </row>
    <row r="203" spans="1:177" s="418" customFormat="1">
      <c r="A203">
        <v>61</v>
      </c>
      <c r="B203" s="417" t="s">
        <v>125</v>
      </c>
      <c r="C203" s="400" t="s">
        <v>0</v>
      </c>
      <c r="D203" s="419"/>
      <c r="E203" s="418" t="s">
        <v>1018</v>
      </c>
      <c r="F203" s="418">
        <f>SUM(F21:N21,F25:N25,F28:N28)*(1)</f>
        <v>0</v>
      </c>
      <c r="P203" s="418" t="s">
        <v>1018</v>
      </c>
      <c r="Q203" s="418">
        <f>SUM(Q21:Y21,Q25:Y25,Q28:Y28)*(1)</f>
        <v>0</v>
      </c>
      <c r="Z203" s="419"/>
      <c r="AA203" s="418" t="s">
        <v>1018</v>
      </c>
      <c r="AB203" s="418">
        <f>SUM(AB20:AJ20,AB24:AJ24,AB27:AJ27,AB21:AJ21,AB25:AJ25,AB28:AJ28)*(1)</f>
        <v>0</v>
      </c>
      <c r="AK203" s="419"/>
      <c r="AL203" s="418" t="s">
        <v>1018</v>
      </c>
      <c r="AM203" s="418">
        <f>SUM(AM20:AU20,AM24:AU24,AM27:AU27,AM21:AU21,AM25:AU25,AM28:AU28)*(1)</f>
        <v>0</v>
      </c>
      <c r="AV203" s="419"/>
      <c r="BG203" s="419"/>
      <c r="CD203" s="418" t="s">
        <v>1018</v>
      </c>
      <c r="CE203" s="418">
        <f>SUM(CE21:CG21,CE25:CG25,CE28:CG28)*(1)</f>
        <v>0</v>
      </c>
      <c r="CI203" s="418" t="s">
        <v>1018</v>
      </c>
      <c r="CJ203" s="418">
        <f>SUM(CJ21:CL21,CJ25:CL25,CJ28:CL28)*(1)</f>
        <v>0</v>
      </c>
      <c r="CN203" s="418" t="s">
        <v>1018</v>
      </c>
      <c r="CO203" s="418">
        <f>SUM(CO21:CQ21,CO25:CQ25,CO28:CQ28)*(1)</f>
        <v>0</v>
      </c>
      <c r="CS203" s="418" t="s">
        <v>1018</v>
      </c>
      <c r="CT203" s="418">
        <f>SUM(CT21:CV21,CT25:CV25,CT28:CV28)*(1)</f>
        <v>0</v>
      </c>
      <c r="CX203" s="418" t="s">
        <v>1018</v>
      </c>
      <c r="CY203" s="418">
        <f>SUM(CY21:DA21,CY25:DA25,CY28:DA28)*(1)</f>
        <v>0</v>
      </c>
      <c r="DC203" s="418" t="s">
        <v>1018</v>
      </c>
      <c r="DD203" s="418">
        <f>SUM(DD21:DF21,DD25:DF25,DD28:DF28)*(1)</f>
        <v>0</v>
      </c>
      <c r="DH203" s="418" t="s">
        <v>1018</v>
      </c>
      <c r="DI203" s="418">
        <f>SUM(DI21:DK21,DI25:DK25,DI28:DK28)*(1)</f>
        <v>0</v>
      </c>
      <c r="DL203" s="419"/>
      <c r="DM203" s="418" t="s">
        <v>1018</v>
      </c>
      <c r="DN203" s="418">
        <f>SUM(DN21:DP21,DN25:DP25,DN28:DP28)*(1)</f>
        <v>0</v>
      </c>
      <c r="DR203" s="418" t="s">
        <v>1018</v>
      </c>
      <c r="DS203" s="418">
        <f>SUM(DS20:DU20,DS24:DU24,DS27:DU27,DS21:DU21,DS25:DU25,DS28:DU28)*(1)</f>
        <v>0</v>
      </c>
      <c r="DW203" s="418" t="s">
        <v>1018</v>
      </c>
      <c r="DX203" s="418">
        <f>SUM(DX20:DZ20,DX24:DZ24,DX27:DZ27,DX21:DZ21,DX25:DZ25,DX28:DZ28)*(1)</f>
        <v>0</v>
      </c>
      <c r="EL203" s="418" t="s">
        <v>1018</v>
      </c>
      <c r="EM203" s="418">
        <f>SUM(EM21:EO21,EM25:EO25,EM28:EO28)*(1)</f>
        <v>0</v>
      </c>
      <c r="EQ203" s="418" t="s">
        <v>1018</v>
      </c>
      <c r="ER203" s="418">
        <f>SUM(ER21:ET21,ER25:ET25,ER28:ET28)*(1)</f>
        <v>0</v>
      </c>
      <c r="EV203" s="418" t="s">
        <v>1018</v>
      </c>
      <c r="EW203" s="418">
        <f>SUM(EW20:EY20,EW24:EY24,EW27:EY27,EW21:EY21,EW25:EY25,EW28:EY28)*(1)</f>
        <v>0</v>
      </c>
      <c r="FA203" s="418" t="s">
        <v>1018</v>
      </c>
      <c r="FB203" s="418">
        <f>SUM(FB20:FD20,FB24:FD24,FB27:FD27,FB21:FD21,FB25:FD25,FB28:FD28)*(1)</f>
        <v>0</v>
      </c>
      <c r="FF203" s="418" t="s">
        <v>1018</v>
      </c>
      <c r="FG203" s="418">
        <f>SUM(FG21:FI21,FG25:FI25,FG28:FI28)*(2)</f>
        <v>0</v>
      </c>
      <c r="FL203" s="418" t="s">
        <v>1018</v>
      </c>
      <c r="FM203" s="418">
        <f>SUM(FM21:FO21,FM25:FO25,FM28:FO28)*(2)</f>
        <v>0</v>
      </c>
      <c r="FP203" s="419"/>
      <c r="FQ203" s="420">
        <f>'EXTRAS (2)'!D136</f>
        <v>0</v>
      </c>
      <c r="FR203" s="420">
        <f>'EXTRAS (2)'!E136</f>
        <v>0</v>
      </c>
      <c r="FS203" s="798"/>
      <c r="FT203" s="798"/>
      <c r="FU203" s="420">
        <f t="shared" si="63"/>
        <v>0</v>
      </c>
    </row>
    <row r="204" spans="1:177" s="418" customFormat="1">
      <c r="A204">
        <v>62</v>
      </c>
      <c r="B204" s="417" t="s">
        <v>126</v>
      </c>
      <c r="C204" s="400" t="s">
        <v>0</v>
      </c>
      <c r="D204" s="419"/>
      <c r="E204" s="418" t="s">
        <v>1018</v>
      </c>
      <c r="F204" s="418">
        <f>SUM(F21:N21,F25:N25,F28:N28)*(1)</f>
        <v>0</v>
      </c>
      <c r="P204" s="418" t="s">
        <v>1018</v>
      </c>
      <c r="Q204" s="418">
        <f>SUM(Q21:Y21,Q25:Y25,Q28:Y28)*(1)</f>
        <v>0</v>
      </c>
      <c r="Z204" s="419"/>
      <c r="AK204" s="419"/>
      <c r="AV204" s="419"/>
      <c r="AW204" s="418" t="s">
        <v>1018</v>
      </c>
      <c r="AX204" s="418">
        <f>SUM(AX21:BF21,AX25:BF25,AX28:BF28)*1</f>
        <v>0</v>
      </c>
      <c r="BG204" s="419"/>
      <c r="CD204" s="418" t="s">
        <v>1018</v>
      </c>
      <c r="CE204" s="418">
        <f>SUM(CE21:CG21,CE25:CG25,CE28:CG28)*(1)</f>
        <v>0</v>
      </c>
      <c r="CI204" s="418" t="s">
        <v>1018</v>
      </c>
      <c r="CJ204" s="418">
        <f>SUM(CJ21:CL21,CJ25:CL25,CJ28:CL28)*(1)</f>
        <v>0</v>
      </c>
      <c r="CN204" s="418" t="s">
        <v>1018</v>
      </c>
      <c r="CO204" s="418">
        <f>SUM(CO21:CQ21,CO25:CQ25,CO28:CQ28)*(2)</f>
        <v>0</v>
      </c>
      <c r="CS204" s="418" t="s">
        <v>1018</v>
      </c>
      <c r="CT204" s="418">
        <f>SUM(CT21:CV21,CT25:CV25,CT28:CV28)*(2)</f>
        <v>0</v>
      </c>
      <c r="CX204" s="418" t="s">
        <v>1018</v>
      </c>
      <c r="CY204" s="418">
        <f>SUM(CY21:DA21,CY25:DA25,CY28:DA28)*(1)</f>
        <v>0</v>
      </c>
      <c r="DC204" s="418" t="s">
        <v>1018</v>
      </c>
      <c r="DD204" s="418">
        <f>SUM(DD21:DF21,DD25:DF25,DD28:DF28)*(2)</f>
        <v>0</v>
      </c>
      <c r="DH204" s="418" t="s">
        <v>1018</v>
      </c>
      <c r="DI204" s="418">
        <f>SUM(DI21:DK21,DI25:DK25,DI28:DK28)*(2)</f>
        <v>0</v>
      </c>
      <c r="DL204" s="419"/>
      <c r="DM204" s="418" t="s">
        <v>1018</v>
      </c>
      <c r="DN204" s="418">
        <f>SUM(DN21:DP21,DN25:DP25,DN28:DP28)*(3)</f>
        <v>0</v>
      </c>
      <c r="DR204" s="418" t="s">
        <v>1018</v>
      </c>
      <c r="DS204" s="418">
        <f>SUM(DS21:DU21,DS25:DU25,DS28:DU28)*(2)</f>
        <v>0</v>
      </c>
      <c r="DW204" s="418" t="s">
        <v>1018</v>
      </c>
      <c r="DX204" s="418">
        <f>SUM(DX21:DZ21,DX25:DZ25,DX28:DZ28)*(2)</f>
        <v>0</v>
      </c>
      <c r="EL204" s="418" t="s">
        <v>1018</v>
      </c>
      <c r="EM204" s="418">
        <f>SUM(EM21:EO21,EM25:EO25,EM28:EO28)*(3)</f>
        <v>0</v>
      </c>
      <c r="EQ204" s="418" t="s">
        <v>1018</v>
      </c>
      <c r="ER204" s="418">
        <f>SUM(ER21:ET21,ER25:ET25,ER28:ET28)*(3)</f>
        <v>0</v>
      </c>
      <c r="EV204" s="418" t="s">
        <v>1018</v>
      </c>
      <c r="EW204" s="418">
        <f>SUM(EW21:EY21,EW25:EY25,EW28:EY28)*(2)</f>
        <v>0</v>
      </c>
      <c r="FA204" s="418" t="s">
        <v>1018</v>
      </c>
      <c r="FB204" s="418">
        <f>SUM(FB21:FD21,FB25:FD25,FB28:FD28)*(2)</f>
        <v>0</v>
      </c>
      <c r="FF204" s="418" t="s">
        <v>1018</v>
      </c>
      <c r="FG204" s="418">
        <f>SUM(FG21:FI21,FG25:FI25,FG28:FI28)*(2)</f>
        <v>0</v>
      </c>
      <c r="FL204" s="418" t="s">
        <v>1018</v>
      </c>
      <c r="FM204" s="418">
        <f>SUM(FM21:FO21,FM25:FO25,FM28:FO28)*(2)</f>
        <v>0</v>
      </c>
      <c r="FP204" s="419"/>
      <c r="FQ204" s="420">
        <f>'EXTRAS (2)'!D137</f>
        <v>0</v>
      </c>
      <c r="FR204" s="420">
        <f>'EXTRAS (2)'!E137</f>
        <v>0</v>
      </c>
      <c r="FS204" s="798"/>
      <c r="FT204" s="798"/>
      <c r="FU204" s="420">
        <f t="shared" si="63"/>
        <v>0</v>
      </c>
    </row>
    <row r="205" spans="1:177" s="418" customFormat="1">
      <c r="A205">
        <v>63</v>
      </c>
      <c r="B205" s="417" t="s">
        <v>127</v>
      </c>
      <c r="C205" s="400" t="s">
        <v>0</v>
      </c>
      <c r="D205" s="419"/>
      <c r="E205" s="418" t="s">
        <v>1018</v>
      </c>
      <c r="F205" s="418">
        <f>SUM(F21:N21,F25:N25,F28:N28)*(1)</f>
        <v>0</v>
      </c>
      <c r="P205" s="418" t="s">
        <v>1018</v>
      </c>
      <c r="Q205" s="418">
        <f>SUM(Q21:Y21,Q25:Y25,Q28:Y28)*(1)</f>
        <v>0</v>
      </c>
      <c r="Z205" s="419"/>
      <c r="AA205" s="418" t="s">
        <v>1018</v>
      </c>
      <c r="AB205" s="418">
        <f>SUM(AB21:AJ21,AB25:AJ25,AB28:AJ28)*(2)</f>
        <v>0</v>
      </c>
      <c r="AK205" s="419"/>
      <c r="AL205" s="418" t="s">
        <v>1018</v>
      </c>
      <c r="AM205" s="418">
        <f>SUM(AM21:AU21,AM25:AU25,AM28:AU28)*(2)</f>
        <v>0</v>
      </c>
      <c r="AV205" s="419"/>
      <c r="BG205" s="419"/>
      <c r="CX205" s="418" t="s">
        <v>1018</v>
      </c>
      <c r="CY205" s="418">
        <f>SUM(CY21:DA21,CY25:DA25,CY28:DA28)*(1)</f>
        <v>0</v>
      </c>
      <c r="DH205" s="418" t="s">
        <v>1018</v>
      </c>
      <c r="DI205" s="418">
        <f>SUM(DI21:DK21,DI25:DK25,DI28:DK28)*(2)</f>
        <v>0</v>
      </c>
      <c r="DL205" s="419"/>
      <c r="DR205" s="418" t="s">
        <v>1018</v>
      </c>
      <c r="DS205" s="418">
        <f>SUM(DS21:DU21,DS25:DU25,DS28:DU28)*(2)</f>
        <v>0</v>
      </c>
      <c r="DW205" s="418" t="s">
        <v>1018</v>
      </c>
      <c r="DX205" s="418">
        <f>SUM(DX21:DZ21,DX25:DZ25,DX28:DZ28)*(2)</f>
        <v>0</v>
      </c>
      <c r="EL205" s="418" t="s">
        <v>1018</v>
      </c>
      <c r="EM205" s="418">
        <f>SUM(EM21:EO21,EM25:EO25,EM28:EO28)*(1)</f>
        <v>0</v>
      </c>
      <c r="EQ205" s="418" t="s">
        <v>1018</v>
      </c>
      <c r="ER205" s="418">
        <f>SUM(ER21:ET21,ER25:ET25,ER28:ET28)*(1)</f>
        <v>0</v>
      </c>
      <c r="EV205" s="418" t="s">
        <v>1018</v>
      </c>
      <c r="EW205" s="418">
        <f>SUM(EW21:EY21,EW25:EY25,EW28:EY28)*(2)</f>
        <v>0</v>
      </c>
      <c r="FA205" s="418" t="s">
        <v>1018</v>
      </c>
      <c r="FB205" s="418">
        <f>SUM(FB21:FD21,FB25:FD25,FB28:FD28)*(1)</f>
        <v>0</v>
      </c>
      <c r="FF205" s="418" t="s">
        <v>1018</v>
      </c>
      <c r="FG205" s="418">
        <f>SUM(FG21:FI21,FG25:FI25,FG28:FI28)*(1)</f>
        <v>0</v>
      </c>
      <c r="FL205" s="418" t="s">
        <v>1018</v>
      </c>
      <c r="FM205" s="418">
        <f>SUM(FM21:FO21,FM25:FO25,FM28:FO28)*(1)</f>
        <v>0</v>
      </c>
      <c r="FP205" s="419"/>
      <c r="FQ205" s="420">
        <f>'EXTRAS (2)'!D138</f>
        <v>0</v>
      </c>
      <c r="FR205" s="420">
        <f>'EXTRAS (2)'!E138</f>
        <v>0</v>
      </c>
      <c r="FS205" s="798"/>
      <c r="FT205" s="798"/>
      <c r="FU205" s="420">
        <f t="shared" si="63"/>
        <v>0</v>
      </c>
    </row>
    <row r="206" spans="1:177" s="418" customFormat="1">
      <c r="A206">
        <v>64</v>
      </c>
      <c r="B206" s="417" t="s">
        <v>211</v>
      </c>
      <c r="C206" s="400" t="s">
        <v>0</v>
      </c>
      <c r="D206" s="419"/>
      <c r="Z206" s="419"/>
      <c r="AA206" s="418" t="s">
        <v>1018</v>
      </c>
      <c r="AB206" s="418">
        <f>SUM(AB21:AJ21,AB25:AJ25,AB28:AJ28)*(1)</f>
        <v>0</v>
      </c>
      <c r="AK206" s="419"/>
      <c r="AL206" s="418" t="s">
        <v>1018</v>
      </c>
      <c r="AM206" s="418">
        <f>SUM(AM21:AU21,AM25:AU25,AM28:AU28)*(1)</f>
        <v>0</v>
      </c>
      <c r="AV206" s="419"/>
      <c r="BG206" s="419"/>
      <c r="BH206" s="418" t="s">
        <v>1018</v>
      </c>
      <c r="BI206" s="418">
        <f>SUM(BI21:BQ21,BI25:BQ25,BI28:BQ28)*(2)</f>
        <v>0</v>
      </c>
      <c r="BS206" s="418" t="s">
        <v>1018</v>
      </c>
      <c r="BT206" s="418">
        <f>SUM(BT21:CB21,BT25:CB25,BT28:CB28)*(2)</f>
        <v>0</v>
      </c>
      <c r="DH206" s="418" t="s">
        <v>1018</v>
      </c>
      <c r="DI206" s="418">
        <f>SUM(DI21:DK21,DI25:DK25,DI28:DK28)*(1)</f>
        <v>0</v>
      </c>
      <c r="DL206" s="419"/>
      <c r="DR206" s="418" t="s">
        <v>1018</v>
      </c>
      <c r="DS206" s="418">
        <f>SUM(DS21:DU21,DS25:DU25,DS28:DU28)*(1)</f>
        <v>0</v>
      </c>
      <c r="DW206" s="418" t="s">
        <v>1018</v>
      </c>
      <c r="DX206" s="418">
        <f>SUM(DX21:DZ21,DX25:DZ25,DX28:DZ28)*(1)</f>
        <v>0</v>
      </c>
      <c r="EQ206" s="418" t="s">
        <v>1018</v>
      </c>
      <c r="ER206" s="418">
        <f>SUM(ER21:ET21,ER25:ET25,ER28:ET28)*(1)</f>
        <v>0</v>
      </c>
      <c r="EV206" s="418" t="s">
        <v>1018</v>
      </c>
      <c r="EW206" s="418">
        <f>SUM(EW21:EY21,EW25:EY25,EW28:EY28)*(1)</f>
        <v>0</v>
      </c>
      <c r="FA206" s="418" t="s">
        <v>1018</v>
      </c>
      <c r="FB206" s="418">
        <f>SUM(FB21:FD21,FB25:FD25,FB28:FD28)*(1)</f>
        <v>0</v>
      </c>
      <c r="FF206" s="418" t="s">
        <v>1018</v>
      </c>
      <c r="FG206" s="418">
        <f>SUM(FG21:FI21,FG25:FI25,FG28:FI28)*(1)</f>
        <v>0</v>
      </c>
      <c r="FL206" s="418" t="s">
        <v>1018</v>
      </c>
      <c r="FM206" s="418">
        <f>SUM(FM21:FO21,FM25:FO25,FM28:FO28)*(1)</f>
        <v>0</v>
      </c>
      <c r="FP206" s="419"/>
      <c r="FQ206" s="420">
        <f>'EXTRAS (2)'!D139</f>
        <v>0</v>
      </c>
      <c r="FR206" s="420">
        <f>'EXTRAS (2)'!E139</f>
        <v>0</v>
      </c>
      <c r="FS206" s="798"/>
      <c r="FT206" s="798"/>
      <c r="FU206" s="420">
        <f t="shared" si="63"/>
        <v>0</v>
      </c>
    </row>
    <row r="207" spans="1:177" s="333" customFormat="1">
      <c r="A207">
        <v>65</v>
      </c>
      <c r="B207" s="407" t="s">
        <v>1020</v>
      </c>
      <c r="C207" s="400" t="s">
        <v>0</v>
      </c>
      <c r="D207"/>
      <c r="Z207"/>
      <c r="AK207"/>
      <c r="AV207"/>
      <c r="BG207"/>
      <c r="DL207"/>
      <c r="DR207" s="418" t="s">
        <v>1018</v>
      </c>
      <c r="DS207" s="333">
        <f>SUM(DS21:DU21,DS25:DU25,DS28:DU28)*(1)</f>
        <v>0</v>
      </c>
      <c r="DW207" s="418" t="s">
        <v>1018</v>
      </c>
      <c r="DX207" s="333">
        <f>SUM(DX21:DZ21,DX25:DZ25,DX28:DZ28)*(1)</f>
        <v>0</v>
      </c>
      <c r="EV207" s="418" t="s">
        <v>1018</v>
      </c>
      <c r="EW207" s="333">
        <f>SUM(EW21:EY21,EW25:EY25,EW28:EY28)*(1)</f>
        <v>0</v>
      </c>
      <c r="FA207" s="418" t="s">
        <v>1018</v>
      </c>
      <c r="FB207" s="333">
        <f>SUM(FB21:FD21,FB25:FD25,FB28:FD28)*(1)</f>
        <v>0</v>
      </c>
      <c r="FP207"/>
      <c r="FQ207" s="420">
        <f>'EXTRAS (2)'!D140</f>
        <v>0</v>
      </c>
      <c r="FR207" s="420">
        <f>'EXTRAS (2)'!E140</f>
        <v>0</v>
      </c>
      <c r="FS207" s="799"/>
      <c r="FT207" s="799"/>
      <c r="FU207" s="420">
        <f t="shared" si="63"/>
        <v>0</v>
      </c>
    </row>
    <row r="208" spans="1:177" s="333" customFormat="1">
      <c r="A208"/>
      <c r="B208" s="417" t="s">
        <v>1255</v>
      </c>
      <c r="C208" s="400" t="s">
        <v>0</v>
      </c>
      <c r="D208"/>
      <c r="Z208"/>
      <c r="AK208"/>
      <c r="AV208"/>
      <c r="BG208"/>
      <c r="DL208"/>
      <c r="DR208" s="418"/>
      <c r="DW208" s="418"/>
      <c r="EV208" s="418"/>
      <c r="FA208" s="418"/>
      <c r="FP208"/>
      <c r="FQ208" s="420">
        <f>'EXTRAS (2)'!D141</f>
        <v>0</v>
      </c>
      <c r="FR208" s="420">
        <f>'EXTRAS (2)'!E141</f>
        <v>0</v>
      </c>
      <c r="FS208" s="799"/>
      <c r="FT208" s="799"/>
      <c r="FU208" s="420">
        <f t="shared" ref="FU208:FU271" si="96">CE208+CG208+CF208+CJ208+CO208+CT208+CY208+DD208+DI208+DN208+DS208+DX208+EM208+ER208+EW208+FB208+FG208+FM208+FO208+F208+Q208+AB208+AM208+AX208+BI208+BT208+FQ208-FR208</f>
        <v>0</v>
      </c>
    </row>
    <row r="209" spans="1:177" s="333" customFormat="1">
      <c r="A209"/>
      <c r="B209" s="417" t="s">
        <v>1256</v>
      </c>
      <c r="C209" s="400" t="s">
        <v>0</v>
      </c>
      <c r="D209"/>
      <c r="Z209"/>
      <c r="AK209"/>
      <c r="AV209"/>
      <c r="BG209"/>
      <c r="DL209"/>
      <c r="DR209" s="418"/>
      <c r="DW209" s="418"/>
      <c r="EV209" s="418"/>
      <c r="FA209" s="418"/>
      <c r="FP209"/>
      <c r="FQ209" s="420">
        <f>'EXTRAS (2)'!D142</f>
        <v>0</v>
      </c>
      <c r="FR209" s="420">
        <f>'EXTRAS (2)'!E142</f>
        <v>0</v>
      </c>
      <c r="FS209" s="799"/>
      <c r="FT209" s="799"/>
      <c r="FU209" s="420">
        <f t="shared" si="96"/>
        <v>0</v>
      </c>
    </row>
    <row r="210" spans="1:177" s="333" customFormat="1">
      <c r="A210"/>
      <c r="B210" s="417" t="s">
        <v>1257</v>
      </c>
      <c r="C210" s="400" t="s">
        <v>0</v>
      </c>
      <c r="D210"/>
      <c r="Z210"/>
      <c r="AK210"/>
      <c r="AV210"/>
      <c r="BG210"/>
      <c r="DL210"/>
      <c r="DR210" s="418"/>
      <c r="DW210" s="418"/>
      <c r="EV210" s="418"/>
      <c r="FA210" s="418"/>
      <c r="FP210"/>
      <c r="FQ210" s="420">
        <f>'EXTRAS (2)'!D143</f>
        <v>0</v>
      </c>
      <c r="FR210" s="420">
        <f>'EXTRAS (2)'!E143</f>
        <v>0</v>
      </c>
      <c r="FS210" s="799"/>
      <c r="FT210" s="799"/>
      <c r="FU210" s="420">
        <f t="shared" si="96"/>
        <v>0</v>
      </c>
    </row>
    <row r="211" spans="1:177" s="333" customFormat="1">
      <c r="A211"/>
      <c r="B211" s="417" t="s">
        <v>1258</v>
      </c>
      <c r="C211" s="400" t="s">
        <v>0</v>
      </c>
      <c r="D211"/>
      <c r="Z211"/>
      <c r="AK211"/>
      <c r="AV211"/>
      <c r="BG211"/>
      <c r="DL211"/>
      <c r="DR211" s="418"/>
      <c r="DW211" s="418"/>
      <c r="EV211" s="418"/>
      <c r="FA211" s="418"/>
      <c r="FP211"/>
      <c r="FQ211" s="420">
        <f>'EXTRAS (2)'!D144</f>
        <v>0</v>
      </c>
      <c r="FR211" s="420">
        <f>'EXTRAS (2)'!E144</f>
        <v>0</v>
      </c>
      <c r="FS211" s="799"/>
      <c r="FT211" s="799"/>
      <c r="FU211" s="420">
        <f t="shared" si="96"/>
        <v>0</v>
      </c>
    </row>
    <row r="212" spans="1:177" s="333" customFormat="1">
      <c r="A212"/>
      <c r="B212" s="417" t="s">
        <v>1259</v>
      </c>
      <c r="C212" s="400" t="s">
        <v>0</v>
      </c>
      <c r="D212"/>
      <c r="Z212"/>
      <c r="AK212"/>
      <c r="AV212"/>
      <c r="BG212"/>
      <c r="DL212"/>
      <c r="DR212" s="418"/>
      <c r="DW212" s="418"/>
      <c r="EV212" s="418"/>
      <c r="FA212" s="418"/>
      <c r="FP212"/>
      <c r="FQ212" s="420">
        <f>'EXTRAS (2)'!D145</f>
        <v>0</v>
      </c>
      <c r="FR212" s="420">
        <f>'EXTRAS (2)'!E145</f>
        <v>0</v>
      </c>
      <c r="FS212" s="799"/>
      <c r="FT212" s="799"/>
      <c r="FU212" s="420">
        <f t="shared" si="96"/>
        <v>0</v>
      </c>
    </row>
    <row r="213" spans="1:177" s="333" customFormat="1">
      <c r="A213"/>
      <c r="B213" s="417" t="s">
        <v>1260</v>
      </c>
      <c r="C213" s="400" t="s">
        <v>0</v>
      </c>
      <c r="D213"/>
      <c r="Z213"/>
      <c r="AK213"/>
      <c r="AV213"/>
      <c r="BG213"/>
      <c r="DL213"/>
      <c r="DR213" s="418"/>
      <c r="DW213" s="418"/>
      <c r="EV213" s="418"/>
      <c r="FA213" s="418"/>
      <c r="FP213"/>
      <c r="FQ213" s="420">
        <f>'EXTRAS (2)'!D146</f>
        <v>0</v>
      </c>
      <c r="FR213" s="420">
        <f>'EXTRAS (2)'!E146</f>
        <v>0</v>
      </c>
      <c r="FS213" s="799"/>
      <c r="FT213" s="799"/>
      <c r="FU213" s="420">
        <f t="shared" si="96"/>
        <v>0</v>
      </c>
    </row>
    <row r="214" spans="1:177" s="333" customFormat="1">
      <c r="A214"/>
      <c r="B214" s="417" t="s">
        <v>1261</v>
      </c>
      <c r="C214" s="400" t="s">
        <v>0</v>
      </c>
      <c r="D214"/>
      <c r="Z214"/>
      <c r="AK214"/>
      <c r="AV214"/>
      <c r="BG214"/>
      <c r="DL214"/>
      <c r="DR214" s="418"/>
      <c r="DW214" s="418"/>
      <c r="EV214" s="418"/>
      <c r="FA214" s="418"/>
      <c r="FP214"/>
      <c r="FQ214" s="420">
        <f>'EXTRAS (2)'!D147</f>
        <v>0</v>
      </c>
      <c r="FR214" s="420">
        <f>'EXTRAS (2)'!E147</f>
        <v>0</v>
      </c>
      <c r="FS214" s="799"/>
      <c r="FT214" s="799"/>
      <c r="FU214" s="420">
        <f t="shared" si="96"/>
        <v>0</v>
      </c>
    </row>
    <row r="215" spans="1:177" s="333" customFormat="1">
      <c r="A215"/>
      <c r="B215" s="417" t="s">
        <v>1262</v>
      </c>
      <c r="C215" s="400" t="s">
        <v>0</v>
      </c>
      <c r="D215"/>
      <c r="Z215"/>
      <c r="AK215"/>
      <c r="AV215"/>
      <c r="BG215"/>
      <c r="DL215"/>
      <c r="DR215" s="418"/>
      <c r="DW215" s="418"/>
      <c r="EV215" s="418"/>
      <c r="FA215" s="418"/>
      <c r="FP215"/>
      <c r="FQ215" s="420">
        <f>'EXTRAS (2)'!D148</f>
        <v>0</v>
      </c>
      <c r="FR215" s="420">
        <f>'EXTRAS (2)'!E148</f>
        <v>0</v>
      </c>
      <c r="FS215" s="799"/>
      <c r="FT215" s="799"/>
      <c r="FU215" s="420">
        <f t="shared" si="96"/>
        <v>0</v>
      </c>
    </row>
    <row r="216" spans="1:177" s="333" customFormat="1">
      <c r="A216"/>
      <c r="B216" s="417" t="s">
        <v>1263</v>
      </c>
      <c r="C216" s="400" t="s">
        <v>0</v>
      </c>
      <c r="D216"/>
      <c r="Z216"/>
      <c r="AK216"/>
      <c r="AV216"/>
      <c r="BG216"/>
      <c r="DL216"/>
      <c r="DR216" s="418"/>
      <c r="DW216" s="418"/>
      <c r="EV216" s="418"/>
      <c r="FA216" s="418"/>
      <c r="FP216"/>
      <c r="FQ216" s="420">
        <f>'EXTRAS (2)'!D149</f>
        <v>0</v>
      </c>
      <c r="FR216" s="420">
        <f>'EXTRAS (2)'!E149</f>
        <v>0</v>
      </c>
      <c r="FS216" s="799"/>
      <c r="FT216" s="799"/>
      <c r="FU216" s="420">
        <f t="shared" si="96"/>
        <v>0</v>
      </c>
    </row>
    <row r="217" spans="1:177" s="333" customFormat="1">
      <c r="A217"/>
      <c r="B217" s="407" t="s">
        <v>1590</v>
      </c>
      <c r="C217" s="400" t="s">
        <v>0</v>
      </c>
      <c r="D217"/>
      <c r="Z217"/>
      <c r="AK217"/>
      <c r="AV217"/>
      <c r="BG217"/>
      <c r="DL217"/>
      <c r="DR217" s="418"/>
      <c r="DW217" s="418"/>
      <c r="EV217" s="418"/>
      <c r="FA217" s="418"/>
      <c r="FP217"/>
      <c r="FQ217" s="420">
        <f>'EXTRAS (2)'!D150</f>
        <v>0</v>
      </c>
      <c r="FR217" s="420">
        <f>'EXTRAS (2)'!E150</f>
        <v>0</v>
      </c>
      <c r="FS217" s="799"/>
      <c r="FT217" s="799"/>
      <c r="FU217" s="420">
        <f t="shared" si="96"/>
        <v>0</v>
      </c>
    </row>
    <row r="218" spans="1:177" s="333" customFormat="1">
      <c r="A218"/>
      <c r="B218" s="407" t="s">
        <v>1591</v>
      </c>
      <c r="C218" s="456" t="s">
        <v>574</v>
      </c>
      <c r="D218"/>
      <c r="Z218"/>
      <c r="AK218"/>
      <c r="AV218"/>
      <c r="BG218"/>
      <c r="DL218"/>
      <c r="DR218" s="418"/>
      <c r="DW218" s="418"/>
      <c r="EV218" s="418"/>
      <c r="FA218" s="418"/>
      <c r="FP218"/>
      <c r="FQ218" s="420">
        <f>'EXTRAS (2)'!D151</f>
        <v>0</v>
      </c>
      <c r="FR218" s="420">
        <f>'EXTRAS (2)'!E151</f>
        <v>0</v>
      </c>
      <c r="FS218" s="799"/>
      <c r="FT218" s="799"/>
      <c r="FU218" s="420">
        <f t="shared" si="96"/>
        <v>0</v>
      </c>
    </row>
    <row r="219" spans="1:177" s="333" customFormat="1">
      <c r="A219"/>
      <c r="B219" s="417" t="s">
        <v>1592</v>
      </c>
      <c r="C219" s="400" t="s">
        <v>0</v>
      </c>
      <c r="D219"/>
      <c r="Z219"/>
      <c r="AK219"/>
      <c r="AV219"/>
      <c r="BG219"/>
      <c r="DL219"/>
      <c r="DR219" s="418"/>
      <c r="DW219" s="418"/>
      <c r="EV219" s="418"/>
      <c r="FA219" s="418"/>
      <c r="FP219"/>
      <c r="FQ219" s="420">
        <f>'EXTRAS (2)'!D152</f>
        <v>0</v>
      </c>
      <c r="FR219" s="420">
        <f>'EXTRAS (2)'!E152</f>
        <v>0</v>
      </c>
      <c r="FS219" s="799"/>
      <c r="FT219" s="799"/>
      <c r="FU219" s="420">
        <f t="shared" si="96"/>
        <v>0</v>
      </c>
    </row>
    <row r="220" spans="1:177" s="333" customFormat="1">
      <c r="A220"/>
      <c r="B220" s="417" t="s">
        <v>1593</v>
      </c>
      <c r="C220" s="400" t="s">
        <v>0</v>
      </c>
      <c r="D220"/>
      <c r="Z220"/>
      <c r="AK220"/>
      <c r="AV220"/>
      <c r="BG220"/>
      <c r="DL220"/>
      <c r="DR220" s="418"/>
      <c r="DW220" s="418"/>
      <c r="EV220" s="418"/>
      <c r="FA220" s="418"/>
      <c r="FP220"/>
      <c r="FQ220" s="420">
        <f>'EXTRAS (2)'!D153</f>
        <v>0</v>
      </c>
      <c r="FR220" s="420">
        <f>'EXTRAS (2)'!E153</f>
        <v>0</v>
      </c>
      <c r="FS220" s="799"/>
      <c r="FT220" s="799"/>
      <c r="FU220" s="420">
        <f t="shared" si="96"/>
        <v>0</v>
      </c>
    </row>
    <row r="221" spans="1:177" s="333" customFormat="1">
      <c r="A221"/>
      <c r="B221" s="417" t="s">
        <v>1594</v>
      </c>
      <c r="C221" s="400" t="s">
        <v>0</v>
      </c>
      <c r="D221"/>
      <c r="Z221"/>
      <c r="AK221"/>
      <c r="AV221"/>
      <c r="BG221"/>
      <c r="DL221"/>
      <c r="DR221" s="418"/>
      <c r="DW221" s="418"/>
      <c r="EV221" s="418"/>
      <c r="FA221" s="418"/>
      <c r="FP221"/>
      <c r="FQ221" s="420">
        <f>'EXTRAS (2)'!D154</f>
        <v>0</v>
      </c>
      <c r="FR221" s="420">
        <f>'EXTRAS (2)'!E154</f>
        <v>0</v>
      </c>
      <c r="FS221" s="799"/>
      <c r="FT221" s="799"/>
      <c r="FU221" s="420">
        <f t="shared" si="96"/>
        <v>0</v>
      </c>
    </row>
    <row r="222" spans="1:177" s="333" customFormat="1">
      <c r="A222"/>
      <c r="B222" s="417" t="s">
        <v>1595</v>
      </c>
      <c r="C222" s="400" t="s">
        <v>0</v>
      </c>
      <c r="D222"/>
      <c r="Z222"/>
      <c r="AK222"/>
      <c r="AV222"/>
      <c r="BG222"/>
      <c r="DL222"/>
      <c r="DR222" s="418"/>
      <c r="DW222" s="418"/>
      <c r="EV222" s="418"/>
      <c r="FA222" s="418"/>
      <c r="FP222"/>
      <c r="FQ222" s="420">
        <f>'EXTRAS (2)'!D155</f>
        <v>0</v>
      </c>
      <c r="FR222" s="420">
        <f>'EXTRAS (2)'!E155</f>
        <v>0</v>
      </c>
      <c r="FS222" s="799"/>
      <c r="FT222" s="799"/>
      <c r="FU222" s="420">
        <f t="shared" si="96"/>
        <v>0</v>
      </c>
    </row>
    <row r="223" spans="1:177" s="333" customFormat="1">
      <c r="A223"/>
      <c r="B223" s="417" t="s">
        <v>1596</v>
      </c>
      <c r="C223" s="400" t="s">
        <v>0</v>
      </c>
      <c r="D223"/>
      <c r="Z223"/>
      <c r="AK223"/>
      <c r="AV223"/>
      <c r="BG223"/>
      <c r="DL223"/>
      <c r="DR223" s="418"/>
      <c r="DW223" s="418"/>
      <c r="EV223" s="418"/>
      <c r="FA223" s="418"/>
      <c r="FP223"/>
      <c r="FQ223" s="420">
        <f>'EXTRAS (2)'!D156</f>
        <v>0</v>
      </c>
      <c r="FR223" s="420">
        <f>'EXTRAS (2)'!E156</f>
        <v>0</v>
      </c>
      <c r="FS223" s="799"/>
      <c r="FT223" s="799"/>
      <c r="FU223" s="420">
        <f t="shared" si="96"/>
        <v>0</v>
      </c>
    </row>
    <row r="224" spans="1:177" s="333" customFormat="1">
      <c r="A224"/>
      <c r="B224" s="417" t="s">
        <v>1597</v>
      </c>
      <c r="C224" s="400" t="s">
        <v>0</v>
      </c>
      <c r="D224"/>
      <c r="Z224"/>
      <c r="AK224"/>
      <c r="AV224"/>
      <c r="BG224"/>
      <c r="DL224"/>
      <c r="DR224" s="418"/>
      <c r="DW224" s="418"/>
      <c r="EV224" s="418"/>
      <c r="FA224" s="418"/>
      <c r="FP224"/>
      <c r="FQ224" s="420">
        <f>'EXTRAS (2)'!D157</f>
        <v>0</v>
      </c>
      <c r="FR224" s="420">
        <f>'EXTRAS (2)'!E157</f>
        <v>0</v>
      </c>
      <c r="FS224" s="799"/>
      <c r="FT224" s="799"/>
      <c r="FU224" s="420">
        <f t="shared" si="96"/>
        <v>0</v>
      </c>
    </row>
    <row r="225" spans="1:177" s="333" customFormat="1">
      <c r="A225"/>
      <c r="B225" s="417" t="s">
        <v>1598</v>
      </c>
      <c r="C225" s="400" t="s">
        <v>0</v>
      </c>
      <c r="D225"/>
      <c r="Z225"/>
      <c r="AK225"/>
      <c r="AV225"/>
      <c r="BG225"/>
      <c r="DL225"/>
      <c r="DR225" s="418"/>
      <c r="DW225" s="418"/>
      <c r="EV225" s="418"/>
      <c r="FA225" s="418"/>
      <c r="FP225"/>
      <c r="FQ225" s="420">
        <f>'EXTRAS (2)'!D158</f>
        <v>0</v>
      </c>
      <c r="FR225" s="420">
        <f>'EXTRAS (2)'!E158</f>
        <v>0</v>
      </c>
      <c r="FS225" s="799"/>
      <c r="FT225" s="799"/>
      <c r="FU225" s="420">
        <f t="shared" si="96"/>
        <v>0</v>
      </c>
    </row>
    <row r="226" spans="1:177" s="333" customFormat="1">
      <c r="A226"/>
      <c r="B226" s="417" t="s">
        <v>1599</v>
      </c>
      <c r="C226" s="400" t="s">
        <v>0</v>
      </c>
      <c r="D226"/>
      <c r="Z226"/>
      <c r="AK226"/>
      <c r="AV226"/>
      <c r="BG226"/>
      <c r="DL226"/>
      <c r="DR226" s="418"/>
      <c r="DW226" s="418"/>
      <c r="EV226" s="418"/>
      <c r="FA226" s="418"/>
      <c r="FP226"/>
      <c r="FQ226" s="420">
        <f>'EXTRAS (2)'!D159</f>
        <v>0</v>
      </c>
      <c r="FR226" s="420">
        <f>'EXTRAS (2)'!E159</f>
        <v>0</v>
      </c>
      <c r="FS226" s="799"/>
      <c r="FT226" s="799"/>
      <c r="FU226" s="420">
        <f t="shared" si="96"/>
        <v>0</v>
      </c>
    </row>
    <row r="227" spans="1:177" s="333" customFormat="1">
      <c r="A227"/>
      <c r="B227" s="407" t="s">
        <v>1600</v>
      </c>
      <c r="C227" s="400" t="s">
        <v>0</v>
      </c>
      <c r="D227"/>
      <c r="Z227"/>
      <c r="AK227"/>
      <c r="AV227"/>
      <c r="BG227"/>
      <c r="DL227"/>
      <c r="DR227" s="418"/>
      <c r="DW227" s="418"/>
      <c r="EV227" s="418"/>
      <c r="FA227" s="418"/>
      <c r="FP227"/>
      <c r="FQ227" s="420">
        <f>'EXTRAS (2)'!D160</f>
        <v>0</v>
      </c>
      <c r="FR227" s="420">
        <f>'EXTRAS (2)'!E160</f>
        <v>0</v>
      </c>
      <c r="FS227" s="799"/>
      <c r="FT227" s="799"/>
      <c r="FU227" s="420">
        <f t="shared" si="96"/>
        <v>0</v>
      </c>
    </row>
    <row r="228" spans="1:177" s="333" customFormat="1">
      <c r="A228"/>
      <c r="B228" s="407" t="s">
        <v>1601</v>
      </c>
      <c r="C228" s="400" t="s">
        <v>0</v>
      </c>
      <c r="D228"/>
      <c r="Z228"/>
      <c r="AK228"/>
      <c r="AV228"/>
      <c r="BG228"/>
      <c r="DL228"/>
      <c r="DR228" s="418"/>
      <c r="DW228" s="418"/>
      <c r="EV228" s="418"/>
      <c r="FA228" s="418"/>
      <c r="FP228"/>
      <c r="FQ228" s="420">
        <f>'EXTRAS (2)'!D161</f>
        <v>0</v>
      </c>
      <c r="FR228" s="420">
        <f>'EXTRAS (2)'!E161</f>
        <v>0</v>
      </c>
      <c r="FS228" s="799"/>
      <c r="FT228" s="799"/>
      <c r="FU228" s="420">
        <f t="shared" si="96"/>
        <v>0</v>
      </c>
    </row>
    <row r="229" spans="1:177" s="333" customFormat="1">
      <c r="A229"/>
      <c r="B229" s="985" t="s">
        <v>1603</v>
      </c>
      <c r="C229" s="400" t="s">
        <v>0</v>
      </c>
      <c r="D229"/>
      <c r="Z229"/>
      <c r="AK229"/>
      <c r="AV229"/>
      <c r="BG229"/>
      <c r="DL229"/>
      <c r="DR229" s="418"/>
      <c r="DW229" s="418"/>
      <c r="EV229" s="418"/>
      <c r="FA229" s="418"/>
      <c r="FP229"/>
      <c r="FQ229" s="420">
        <f>'EXTRAS (2)'!D162</f>
        <v>0</v>
      </c>
      <c r="FR229" s="420">
        <f>'EXTRAS (2)'!E162</f>
        <v>0</v>
      </c>
      <c r="FS229" s="799"/>
      <c r="FT229" s="799"/>
      <c r="FU229" s="420">
        <f t="shared" si="96"/>
        <v>0</v>
      </c>
    </row>
    <row r="230" spans="1:177" s="333" customFormat="1">
      <c r="A230" s="990"/>
      <c r="B230" s="991" t="s">
        <v>1644</v>
      </c>
      <c r="C230" s="989" t="s">
        <v>0</v>
      </c>
      <c r="D230"/>
      <c r="Z230"/>
      <c r="AK230"/>
      <c r="AV230"/>
      <c r="BG230"/>
      <c r="DL230"/>
      <c r="DR230" s="418"/>
      <c r="DW230" s="418"/>
      <c r="EV230" s="418"/>
      <c r="FA230" s="418"/>
      <c r="FP230"/>
      <c r="FQ230" s="420">
        <f>'EXTRAS (2)'!D163</f>
        <v>0</v>
      </c>
      <c r="FR230" s="420">
        <f>'EXTRAS (2)'!E163</f>
        <v>0</v>
      </c>
      <c r="FS230" s="799"/>
      <c r="FT230" s="799"/>
      <c r="FU230" s="420">
        <f t="shared" si="96"/>
        <v>0</v>
      </c>
    </row>
    <row r="231" spans="1:177" s="333" customFormat="1">
      <c r="A231" s="990"/>
      <c r="B231" s="991" t="s">
        <v>1645</v>
      </c>
      <c r="C231" s="989" t="s">
        <v>0</v>
      </c>
      <c r="D231"/>
      <c r="Z231"/>
      <c r="AK231"/>
      <c r="AV231"/>
      <c r="BG231"/>
      <c r="DL231"/>
      <c r="DR231" s="418"/>
      <c r="DW231" s="418"/>
      <c r="EV231" s="418"/>
      <c r="FA231" s="418"/>
      <c r="FP231"/>
      <c r="FQ231" s="420">
        <f>'EXTRAS (2)'!D164</f>
        <v>0</v>
      </c>
      <c r="FR231" s="420">
        <f>'EXTRAS (2)'!E164</f>
        <v>0</v>
      </c>
      <c r="FS231" s="799"/>
      <c r="FT231" s="799"/>
      <c r="FU231" s="420">
        <f t="shared" si="96"/>
        <v>0</v>
      </c>
    </row>
    <row r="232" spans="1:177" s="333" customFormat="1">
      <c r="A232" s="990"/>
      <c r="B232" s="991" t="s">
        <v>1646</v>
      </c>
      <c r="C232" s="989" t="s">
        <v>0</v>
      </c>
      <c r="D232"/>
      <c r="Z232"/>
      <c r="AK232"/>
      <c r="AV232"/>
      <c r="BG232"/>
      <c r="DL232"/>
      <c r="DR232" s="418"/>
      <c r="DW232" s="418"/>
      <c r="EV232" s="418"/>
      <c r="FA232" s="418"/>
      <c r="FP232"/>
      <c r="FQ232" s="420">
        <f>'EXTRAS (2)'!D165</f>
        <v>0</v>
      </c>
      <c r="FR232" s="420">
        <f>'EXTRAS (2)'!E165</f>
        <v>0</v>
      </c>
      <c r="FS232" s="799"/>
      <c r="FT232" s="799"/>
      <c r="FU232" s="420">
        <f t="shared" si="96"/>
        <v>0</v>
      </c>
    </row>
    <row r="233" spans="1:177" s="333" customFormat="1">
      <c r="A233" s="990"/>
      <c r="B233" s="991" t="s">
        <v>1647</v>
      </c>
      <c r="C233" s="989" t="s">
        <v>0</v>
      </c>
      <c r="D233"/>
      <c r="Z233"/>
      <c r="AK233"/>
      <c r="AV233"/>
      <c r="BG233"/>
      <c r="DL233"/>
      <c r="DR233" s="418"/>
      <c r="DW233" s="418"/>
      <c r="EV233" s="418"/>
      <c r="FA233" s="418"/>
      <c r="FP233"/>
      <c r="FQ233" s="420">
        <f>'EXTRAS (2)'!D166</f>
        <v>0</v>
      </c>
      <c r="FR233" s="420">
        <f>'EXTRAS (2)'!E166</f>
        <v>0</v>
      </c>
      <c r="FS233" s="799"/>
      <c r="FT233" s="799"/>
      <c r="FU233" s="420">
        <f t="shared" si="96"/>
        <v>0</v>
      </c>
    </row>
    <row r="234" spans="1:177" s="333" customFormat="1">
      <c r="A234" s="990"/>
      <c r="B234" s="991" t="s">
        <v>1648</v>
      </c>
      <c r="C234" s="989" t="s">
        <v>0</v>
      </c>
      <c r="D234"/>
      <c r="Z234"/>
      <c r="AK234"/>
      <c r="AV234"/>
      <c r="BG234"/>
      <c r="DL234"/>
      <c r="DR234" s="418"/>
      <c r="DW234" s="418"/>
      <c r="EV234" s="418"/>
      <c r="FA234" s="418"/>
      <c r="FP234"/>
      <c r="FQ234" s="420">
        <f>'EXTRAS (2)'!D167</f>
        <v>0</v>
      </c>
      <c r="FR234" s="420">
        <f>'EXTRAS (2)'!E167</f>
        <v>0</v>
      </c>
      <c r="FS234" s="799"/>
      <c r="FT234" s="799"/>
      <c r="FU234" s="420">
        <f t="shared" si="96"/>
        <v>0</v>
      </c>
    </row>
    <row r="235" spans="1:177" s="333" customFormat="1">
      <c r="A235" s="990"/>
      <c r="B235" s="991" t="s">
        <v>1649</v>
      </c>
      <c r="C235" s="989" t="s">
        <v>0</v>
      </c>
      <c r="D235"/>
      <c r="Z235"/>
      <c r="AK235"/>
      <c r="AV235"/>
      <c r="BG235"/>
      <c r="DL235"/>
      <c r="DR235" s="418"/>
      <c r="DW235" s="418"/>
      <c r="EV235" s="418"/>
      <c r="FA235" s="418"/>
      <c r="FP235"/>
      <c r="FQ235" s="420">
        <f>'EXTRAS (2)'!D168</f>
        <v>0</v>
      </c>
      <c r="FR235" s="420">
        <f>'EXTRAS (2)'!E168</f>
        <v>0</v>
      </c>
      <c r="FS235" s="799"/>
      <c r="FT235" s="799"/>
      <c r="FU235" s="420">
        <f t="shared" si="96"/>
        <v>0</v>
      </c>
    </row>
    <row r="236" spans="1:177" s="333" customFormat="1">
      <c r="A236" s="990"/>
      <c r="B236" s="991" t="s">
        <v>1650</v>
      </c>
      <c r="C236" s="989" t="s">
        <v>0</v>
      </c>
      <c r="D236"/>
      <c r="Z236"/>
      <c r="AK236"/>
      <c r="AV236"/>
      <c r="BG236"/>
      <c r="DL236"/>
      <c r="DR236" s="418"/>
      <c r="DW236" s="418"/>
      <c r="EV236" s="418"/>
      <c r="FA236" s="418"/>
      <c r="FP236"/>
      <c r="FQ236" s="420">
        <f>'EXTRAS (2)'!D169</f>
        <v>0</v>
      </c>
      <c r="FR236" s="420">
        <f>'EXTRAS (2)'!E169</f>
        <v>0</v>
      </c>
      <c r="FS236" s="799"/>
      <c r="FT236" s="799"/>
      <c r="FU236" s="420">
        <f t="shared" si="96"/>
        <v>0</v>
      </c>
    </row>
    <row r="237" spans="1:177" s="333" customFormat="1">
      <c r="A237" s="990"/>
      <c r="B237" s="991" t="s">
        <v>1670</v>
      </c>
      <c r="C237" s="989" t="s">
        <v>0</v>
      </c>
      <c r="D237"/>
      <c r="Z237"/>
      <c r="AK237"/>
      <c r="AV237"/>
      <c r="BG237"/>
      <c r="DL237"/>
      <c r="DR237" s="418"/>
      <c r="DW237" s="418"/>
      <c r="EV237" s="418"/>
      <c r="FA237" s="418"/>
      <c r="FP237"/>
      <c r="FQ237" s="420">
        <f>'EXTRAS (2)'!D170</f>
        <v>0</v>
      </c>
      <c r="FR237" s="420">
        <f>'EXTRAS (2)'!E170</f>
        <v>0</v>
      </c>
      <c r="FS237" s="799"/>
      <c r="FT237" s="799"/>
      <c r="FU237" s="420">
        <f t="shared" si="96"/>
        <v>0</v>
      </c>
    </row>
    <row r="238" spans="1:177" s="333" customFormat="1">
      <c r="A238" s="990"/>
      <c r="B238" s="991" t="s">
        <v>1652</v>
      </c>
      <c r="C238" s="989" t="s">
        <v>0</v>
      </c>
      <c r="D238"/>
      <c r="Z238"/>
      <c r="AK238"/>
      <c r="AV238"/>
      <c r="BG238"/>
      <c r="DL238"/>
      <c r="DR238" s="418"/>
      <c r="DW238" s="418"/>
      <c r="EV238" s="418"/>
      <c r="FA238" s="418"/>
      <c r="FP238"/>
      <c r="FQ238" s="420">
        <f>'EXTRAS (2)'!D171</f>
        <v>0</v>
      </c>
      <c r="FR238" s="420">
        <f>'EXTRAS (2)'!E171</f>
        <v>0</v>
      </c>
      <c r="FS238" s="799"/>
      <c r="FT238" s="799"/>
      <c r="FU238" s="420">
        <f t="shared" si="96"/>
        <v>0</v>
      </c>
    </row>
    <row r="239" spans="1:177" s="333" customFormat="1">
      <c r="A239" s="990"/>
      <c r="B239" s="991" t="s">
        <v>1654</v>
      </c>
      <c r="C239" s="989" t="s">
        <v>0</v>
      </c>
      <c r="D239"/>
      <c r="Z239"/>
      <c r="AK239"/>
      <c r="AV239"/>
      <c r="BG239"/>
      <c r="DL239"/>
      <c r="DR239" s="418"/>
      <c r="DW239" s="418"/>
      <c r="EV239" s="418"/>
      <c r="FA239" s="418"/>
      <c r="FP239"/>
      <c r="FQ239" s="420">
        <f>'EXTRAS (2)'!D172</f>
        <v>0</v>
      </c>
      <c r="FR239" s="420">
        <f>'EXTRAS (2)'!E172</f>
        <v>0</v>
      </c>
      <c r="FS239" s="799"/>
      <c r="FT239" s="799"/>
      <c r="FU239" s="420">
        <f t="shared" si="96"/>
        <v>0</v>
      </c>
    </row>
    <row r="240" spans="1:177" s="333" customFormat="1">
      <c r="A240" s="991"/>
      <c r="B240" s="991" t="s">
        <v>1653</v>
      </c>
      <c r="C240" s="400" t="s">
        <v>0</v>
      </c>
      <c r="D240"/>
      <c r="Z240"/>
      <c r="AK240"/>
      <c r="AV240"/>
      <c r="BG240"/>
      <c r="DL240"/>
      <c r="DR240" s="418"/>
      <c r="DW240" s="418"/>
      <c r="EV240" s="418"/>
      <c r="FA240" s="418"/>
      <c r="FP240"/>
      <c r="FQ240" s="420">
        <f>'EXTRAS (2)'!D173</f>
        <v>0</v>
      </c>
      <c r="FR240" s="420">
        <f>'EXTRAS (2)'!E173</f>
        <v>0</v>
      </c>
      <c r="FS240" s="799"/>
      <c r="FT240" s="799"/>
      <c r="FU240" s="420">
        <f t="shared" si="96"/>
        <v>0</v>
      </c>
    </row>
    <row r="241" spans="1:177" s="333" customFormat="1">
      <c r="A241" s="991"/>
      <c r="B241" s="991" t="s">
        <v>1655</v>
      </c>
      <c r="C241" s="400" t="s">
        <v>0</v>
      </c>
      <c r="D241"/>
      <c r="Z241"/>
      <c r="AK241"/>
      <c r="AV241"/>
      <c r="BG241"/>
      <c r="DL241"/>
      <c r="DR241" s="418"/>
      <c r="DW241" s="418"/>
      <c r="EV241" s="418"/>
      <c r="FA241" s="418"/>
      <c r="FP241"/>
      <c r="FQ241" s="420">
        <f>'EXTRAS (2)'!D174</f>
        <v>0</v>
      </c>
      <c r="FR241" s="420">
        <f>'EXTRAS (2)'!E174</f>
        <v>0</v>
      </c>
      <c r="FS241" s="799"/>
      <c r="FT241" s="799"/>
      <c r="FU241" s="420">
        <f t="shared" si="96"/>
        <v>0</v>
      </c>
    </row>
    <row r="242" spans="1:177" s="333" customFormat="1">
      <c r="A242" s="991"/>
      <c r="B242" s="991" t="s">
        <v>1657</v>
      </c>
      <c r="C242" s="400" t="s">
        <v>0</v>
      </c>
      <c r="D242"/>
      <c r="Z242"/>
      <c r="AK242"/>
      <c r="AV242"/>
      <c r="BG242"/>
      <c r="DL242"/>
      <c r="DR242" s="418"/>
      <c r="DW242" s="418"/>
      <c r="EV242" s="418"/>
      <c r="FA242" s="418"/>
      <c r="FP242"/>
      <c r="FQ242" s="420">
        <f>'EXTRAS (2)'!D175</f>
        <v>0</v>
      </c>
      <c r="FR242" s="420">
        <f>'EXTRAS (2)'!E175</f>
        <v>0</v>
      </c>
      <c r="FS242" s="799"/>
      <c r="FT242" s="799"/>
      <c r="FU242" s="420">
        <f t="shared" si="96"/>
        <v>0</v>
      </c>
    </row>
    <row r="243" spans="1:177" s="333" customFormat="1">
      <c r="A243" s="991"/>
      <c r="B243" s="991" t="s">
        <v>1656</v>
      </c>
      <c r="C243" s="400" t="s">
        <v>0</v>
      </c>
      <c r="D243"/>
      <c r="Z243"/>
      <c r="AK243"/>
      <c r="AV243"/>
      <c r="BG243"/>
      <c r="DL243"/>
      <c r="DR243" s="418"/>
      <c r="DW243" s="418"/>
      <c r="EV243" s="418"/>
      <c r="FA243" s="418"/>
      <c r="FP243"/>
      <c r="FQ243" s="420">
        <f>'EXTRAS (2)'!D176</f>
        <v>0</v>
      </c>
      <c r="FR243" s="420">
        <f>'EXTRAS (2)'!E176</f>
        <v>0</v>
      </c>
      <c r="FS243" s="799"/>
      <c r="FT243" s="799"/>
      <c r="FU243" s="420">
        <f t="shared" si="96"/>
        <v>0</v>
      </c>
    </row>
    <row r="244" spans="1:177" s="333" customFormat="1">
      <c r="A244" s="991"/>
      <c r="B244" s="991" t="s">
        <v>1658</v>
      </c>
      <c r="C244" s="400" t="s">
        <v>0</v>
      </c>
      <c r="D244"/>
      <c r="Z244"/>
      <c r="AK244"/>
      <c r="AV244"/>
      <c r="BG244"/>
      <c r="DL244"/>
      <c r="DR244" s="418"/>
      <c r="DW244" s="418"/>
      <c r="EV244" s="418"/>
      <c r="FA244" s="418"/>
      <c r="FP244"/>
      <c r="FQ244" s="420">
        <f>'EXTRAS (2)'!D177</f>
        <v>0</v>
      </c>
      <c r="FR244" s="420">
        <f>'EXTRAS (2)'!E177</f>
        <v>0</v>
      </c>
      <c r="FS244" s="799"/>
      <c r="FT244" s="799"/>
      <c r="FU244" s="420">
        <f t="shared" si="96"/>
        <v>0</v>
      </c>
    </row>
    <row r="245" spans="1:177" s="333" customFormat="1">
      <c r="A245" s="991"/>
      <c r="B245" s="991" t="s">
        <v>1659</v>
      </c>
      <c r="C245" s="400" t="s">
        <v>0</v>
      </c>
      <c r="D245"/>
      <c r="Z245"/>
      <c r="AK245"/>
      <c r="AV245"/>
      <c r="BG245"/>
      <c r="DL245"/>
      <c r="DR245" s="418"/>
      <c r="DW245" s="418"/>
      <c r="EV245" s="418"/>
      <c r="FA245" s="418"/>
      <c r="FP245"/>
      <c r="FQ245" s="420">
        <f>'EXTRAS (2)'!D178</f>
        <v>0</v>
      </c>
      <c r="FR245" s="420">
        <f>'EXTRAS (2)'!E178</f>
        <v>0</v>
      </c>
      <c r="FS245" s="799"/>
      <c r="FT245" s="799"/>
      <c r="FU245" s="420">
        <f t="shared" si="96"/>
        <v>0</v>
      </c>
    </row>
    <row r="246" spans="1:177" s="333" customFormat="1">
      <c r="A246" s="991"/>
      <c r="B246" s="991" t="s">
        <v>1660</v>
      </c>
      <c r="C246" s="400" t="s">
        <v>0</v>
      </c>
      <c r="D246"/>
      <c r="Z246"/>
      <c r="AK246"/>
      <c r="AV246"/>
      <c r="BG246"/>
      <c r="DL246"/>
      <c r="DR246" s="418"/>
      <c r="DW246" s="418"/>
      <c r="EV246" s="418"/>
      <c r="FA246" s="418"/>
      <c r="FP246"/>
      <c r="FQ246" s="420">
        <f>'EXTRAS (2)'!D179</f>
        <v>0</v>
      </c>
      <c r="FR246" s="420">
        <f>'EXTRAS (2)'!E179</f>
        <v>0</v>
      </c>
      <c r="FS246" s="799"/>
      <c r="FT246" s="799"/>
      <c r="FU246" s="420">
        <f t="shared" si="96"/>
        <v>0</v>
      </c>
    </row>
    <row r="247" spans="1:177" s="333" customFormat="1">
      <c r="A247" s="991"/>
      <c r="B247" s="991" t="s">
        <v>1661</v>
      </c>
      <c r="C247" s="400" t="s">
        <v>0</v>
      </c>
      <c r="D247"/>
      <c r="Z247"/>
      <c r="AK247"/>
      <c r="AV247"/>
      <c r="BG247"/>
      <c r="DL247"/>
      <c r="DR247" s="418"/>
      <c r="DW247" s="418"/>
      <c r="EV247" s="418"/>
      <c r="FA247" s="418"/>
      <c r="FP247"/>
      <c r="FQ247" s="420">
        <f>'EXTRAS (2)'!D180</f>
        <v>0</v>
      </c>
      <c r="FR247" s="420">
        <f>'EXTRAS (2)'!E180</f>
        <v>0</v>
      </c>
      <c r="FS247" s="799"/>
      <c r="FT247" s="799"/>
      <c r="FU247" s="420">
        <f t="shared" si="96"/>
        <v>0</v>
      </c>
    </row>
    <row r="248" spans="1:177" s="333" customFormat="1">
      <c r="A248" s="991"/>
      <c r="B248" s="991" t="s">
        <v>1662</v>
      </c>
      <c r="C248" s="400" t="s">
        <v>0</v>
      </c>
      <c r="D248"/>
      <c r="Z248"/>
      <c r="AK248"/>
      <c r="AV248"/>
      <c r="BG248"/>
      <c r="DL248"/>
      <c r="DR248" s="418"/>
      <c r="DW248" s="418"/>
      <c r="EV248" s="418"/>
      <c r="FA248" s="418"/>
      <c r="FP248"/>
      <c r="FQ248" s="420">
        <f>'EXTRAS (2)'!D181</f>
        <v>0</v>
      </c>
      <c r="FR248" s="420">
        <f>'EXTRAS (2)'!E181</f>
        <v>0</v>
      </c>
      <c r="FS248" s="799"/>
      <c r="FT248" s="799"/>
      <c r="FU248" s="420">
        <f t="shared" si="96"/>
        <v>0</v>
      </c>
    </row>
    <row r="249" spans="1:177" s="333" customFormat="1">
      <c r="A249" s="991">
        <v>627995</v>
      </c>
      <c r="B249" s="991" t="s">
        <v>1638</v>
      </c>
      <c r="C249" s="400" t="s">
        <v>0</v>
      </c>
      <c r="D249"/>
      <c r="Z249"/>
      <c r="AK249"/>
      <c r="AV249"/>
      <c r="BG249"/>
      <c r="DL249"/>
      <c r="DR249" s="418"/>
      <c r="DW249" s="418"/>
      <c r="EV249" s="418"/>
      <c r="FA249" s="418"/>
      <c r="FP249"/>
      <c r="FQ249" s="420">
        <f>'EXTRAS (2)'!D182</f>
        <v>0</v>
      </c>
      <c r="FR249" s="420">
        <f>'EXTRAS (2)'!E182</f>
        <v>0</v>
      </c>
      <c r="FS249" s="799"/>
      <c r="FT249" s="799"/>
      <c r="FU249" s="420">
        <f t="shared" si="96"/>
        <v>0</v>
      </c>
    </row>
    <row r="250" spans="1:177" s="333" customFormat="1">
      <c r="A250" s="991">
        <v>627996</v>
      </c>
      <c r="B250" s="991" t="s">
        <v>1639</v>
      </c>
      <c r="C250" s="400" t="s">
        <v>0</v>
      </c>
      <c r="D250"/>
      <c r="Z250"/>
      <c r="AK250"/>
      <c r="AV250"/>
      <c r="BG250"/>
      <c r="DL250"/>
      <c r="DR250" s="418"/>
      <c r="DW250" s="418"/>
      <c r="EV250" s="418"/>
      <c r="FA250" s="418"/>
      <c r="FP250"/>
      <c r="FQ250" s="420">
        <f>'EXTRAS (2)'!D183</f>
        <v>0</v>
      </c>
      <c r="FR250" s="420">
        <f>'EXTRAS (2)'!E183</f>
        <v>0</v>
      </c>
      <c r="FS250" s="799"/>
      <c r="FT250" s="799"/>
      <c r="FU250" s="420">
        <f t="shared" si="96"/>
        <v>0</v>
      </c>
    </row>
    <row r="251" spans="1:177" s="333" customFormat="1">
      <c r="A251" s="991">
        <v>627997</v>
      </c>
      <c r="B251" s="991" t="s">
        <v>1640</v>
      </c>
      <c r="C251" s="400" t="s">
        <v>0</v>
      </c>
      <c r="D251"/>
      <c r="Z251"/>
      <c r="AK251"/>
      <c r="AV251"/>
      <c r="BG251"/>
      <c r="DL251"/>
      <c r="DR251" s="418"/>
      <c r="DW251" s="418"/>
      <c r="EV251" s="418"/>
      <c r="FA251" s="418"/>
      <c r="FP251"/>
      <c r="FQ251" s="420">
        <f>'EXTRAS (2)'!D184</f>
        <v>0</v>
      </c>
      <c r="FR251" s="420">
        <f>'EXTRAS (2)'!E184</f>
        <v>0</v>
      </c>
      <c r="FS251" s="799"/>
      <c r="FT251" s="799"/>
      <c r="FU251" s="420">
        <f t="shared" si="96"/>
        <v>0</v>
      </c>
    </row>
    <row r="252" spans="1:177" s="333" customFormat="1">
      <c r="A252" s="991">
        <v>627998</v>
      </c>
      <c r="B252" s="991" t="s">
        <v>1641</v>
      </c>
      <c r="C252" s="400" t="s">
        <v>0</v>
      </c>
      <c r="D252"/>
      <c r="Z252"/>
      <c r="AK252"/>
      <c r="AV252"/>
      <c r="BG252"/>
      <c r="DL252"/>
      <c r="DR252" s="418"/>
      <c r="DW252" s="418"/>
      <c r="EV252" s="418"/>
      <c r="FA252" s="418"/>
      <c r="FP252"/>
      <c r="FQ252" s="420">
        <f>'EXTRAS (2)'!D185</f>
        <v>0</v>
      </c>
      <c r="FR252" s="420">
        <f>'EXTRAS (2)'!E185</f>
        <v>0</v>
      </c>
      <c r="FS252" s="799"/>
      <c r="FT252" s="799"/>
      <c r="FU252" s="420">
        <f t="shared" si="96"/>
        <v>0</v>
      </c>
    </row>
    <row r="253" spans="1:177" s="333" customFormat="1">
      <c r="A253" s="991">
        <v>627999</v>
      </c>
      <c r="B253" s="991" t="s">
        <v>1642</v>
      </c>
      <c r="C253" s="400" t="s">
        <v>0</v>
      </c>
      <c r="D253"/>
      <c r="Z253"/>
      <c r="AK253"/>
      <c r="AV253"/>
      <c r="BG253"/>
      <c r="DL253"/>
      <c r="DR253" s="418"/>
      <c r="DW253" s="418"/>
      <c r="EV253" s="418"/>
      <c r="FA253" s="418"/>
      <c r="FP253"/>
      <c r="FQ253" s="420">
        <f>'EXTRAS (2)'!D186</f>
        <v>0</v>
      </c>
      <c r="FR253" s="420">
        <f>'EXTRAS (2)'!E186</f>
        <v>0</v>
      </c>
      <c r="FS253" s="799"/>
      <c r="FT253" s="799"/>
      <c r="FU253" s="420">
        <f t="shared" si="96"/>
        <v>0</v>
      </c>
    </row>
    <row r="254" spans="1:177" s="333" customFormat="1">
      <c r="A254">
        <v>66</v>
      </c>
      <c r="B254" s="986" t="s">
        <v>381</v>
      </c>
      <c r="C254" s="456" t="s">
        <v>1094</v>
      </c>
      <c r="D254"/>
      <c r="Z254"/>
      <c r="AK254"/>
      <c r="AV254"/>
      <c r="BG254"/>
      <c r="CD254" s="333" t="s">
        <v>1085</v>
      </c>
      <c r="CE254" s="333">
        <f>SUM(CE9:CG10,CE13:CG14,CE16:CG17,CE20:CG21,CE24:CG25,CE27:CG28)</f>
        <v>0</v>
      </c>
      <c r="CI254" s="333" t="s">
        <v>1085</v>
      </c>
      <c r="CJ254" s="333">
        <f>SUM(CJ9:CL10,CJ13:CL14,CJ16:CL17,CJ20:CL21,CJ24:CL25,CJ27:CL28)</f>
        <v>0</v>
      </c>
      <c r="CN254" s="333" t="s">
        <v>1085</v>
      </c>
      <c r="CO254" s="333">
        <f>SUM(CO9:CQ10,CO13:CQ14,CO16:CQ17,CO20:CQ21,CO24:CQ25,CO27:CQ28)</f>
        <v>0</v>
      </c>
      <c r="CS254" s="333" t="s">
        <v>1085</v>
      </c>
      <c r="CT254" s="333">
        <f>SUM(CT9:CV10,CT13:CV14,CT16:CV17,CT20:CV21,CT24:CV25,CT27:CV28)</f>
        <v>0</v>
      </c>
      <c r="CX254" s="333" t="s">
        <v>1085</v>
      </c>
      <c r="CY254" s="333">
        <f>SUM(CY9:DA10,CY13:DA14,CY16:DA17,CY20:DA21,CY24:DA25,CY27:DA28)</f>
        <v>0</v>
      </c>
      <c r="DC254" s="333" t="s">
        <v>1085</v>
      </c>
      <c r="DD254" s="333">
        <f>SUM(DD9:DF10,DD13:DF14,DD16:DF17,DD20:DF21,DD24:DF25,DD27:DF28)</f>
        <v>0</v>
      </c>
      <c r="DH254" s="333" t="s">
        <v>1085</v>
      </c>
      <c r="DI254" s="333">
        <f>SUM(DI9:DK10,DI13:DK14,DI16:DK17,DI20:DK21,DI24:DK25,DI27:DK28)</f>
        <v>0</v>
      </c>
      <c r="DL254"/>
      <c r="DM254" s="333" t="s">
        <v>1085</v>
      </c>
      <c r="DN254" s="333">
        <f>SUM(DN9:DP10,DN13:DP14,DN16:DP17,DN20:DP21,DN24:DP25,DN27:DP28)</f>
        <v>0</v>
      </c>
      <c r="DR254" s="333" t="s">
        <v>1085</v>
      </c>
      <c r="DS254" s="333">
        <f>SUM(DS9:DU10,DS13:DU14,DS16:DU17,DS20:DU21,DS24:DU25,DS27:DU28)</f>
        <v>0</v>
      </c>
      <c r="DW254" s="333" t="s">
        <v>1085</v>
      </c>
      <c r="DX254" s="333">
        <f>SUM(DX9:DZ10,DX13:DZ14,DX16:DZ17,DX20:DZ21,DX24:DZ25,DX27:DZ28)</f>
        <v>0</v>
      </c>
      <c r="EL254" s="333" t="s">
        <v>1085</v>
      </c>
      <c r="EM254" s="333">
        <f>SUM(EM9:EO10,EM13:EO14,EM16:EO17,EM20:EO21,EM24:EO25,EM27:EO28)</f>
        <v>0</v>
      </c>
      <c r="EQ254" s="333" t="s">
        <v>1085</v>
      </c>
      <c r="ER254" s="333">
        <f>SUM(ER9:ET10,ER13:ET14,ER16:ET17,ER20:ET21,ER24:ET25,ER27:ET28)</f>
        <v>0</v>
      </c>
      <c r="EV254" s="333" t="s">
        <v>1085</v>
      </c>
      <c r="EW254" s="333">
        <f>SUM(EW9:EY10,EW13:EY14,EW16:EY17,EW20:EY21,EW24:EY25,EW27:EY28)</f>
        <v>0</v>
      </c>
      <c r="FA254" s="333" t="s">
        <v>1085</v>
      </c>
      <c r="FB254" s="333">
        <f>SUM(FB9:FD10,FB13:FD14,FB16:FD17,FB20:FD21,FB24:FD25,FB27:FD28)</f>
        <v>0</v>
      </c>
      <c r="FF254" s="333" t="s">
        <v>1085</v>
      </c>
      <c r="FG254" s="333">
        <f>SUM(FG9:FI10,FG13:FI14,FG16:FI17,FG20:FI21,FG24:FI25,FG27:FI28)</f>
        <v>0</v>
      </c>
      <c r="FL254" s="333" t="s">
        <v>1085</v>
      </c>
      <c r="FM254" s="333">
        <f>SUM(FM9:FO10,FM13:FO14,FM16:FO17,FM20:FO21,FM24:FO25,FM27:FO28)</f>
        <v>0</v>
      </c>
      <c r="FP254"/>
      <c r="FQ254" s="420">
        <f>'EXTRAS (2)'!D187</f>
        <v>0</v>
      </c>
      <c r="FR254" s="420">
        <f>'EXTRAS (2)'!E187</f>
        <v>0</v>
      </c>
      <c r="FS254" s="799"/>
      <c r="FT254" s="799"/>
      <c r="FU254" s="420">
        <f t="shared" si="96"/>
        <v>0</v>
      </c>
    </row>
    <row r="255" spans="1:177">
      <c r="A255">
        <v>67</v>
      </c>
      <c r="B255" s="210" t="s">
        <v>459</v>
      </c>
      <c r="C255" s="400" t="s">
        <v>0</v>
      </c>
      <c r="AB255">
        <f>SUM(AB$7:AB$28,AC$7:AC$28,AD$7:AD$28,AE$7:AE$28,AF$7:AF$28,AG$7:AG$28,AH$7:AH$28,AI$7:AI$28,AJ$7:AJ$28)*(AA255)</f>
        <v>0</v>
      </c>
      <c r="AM255">
        <f>SUM(AM$7:AM$28,AN$7:AN$28,AO$7:AO$28,AP$7:AP$28,AQ$7:AQ$28,AR$7:AR$28,AS$7:AS$28,AT$7:AT$28,AU$7:AU$28)*(AL255)</f>
        <v>0</v>
      </c>
      <c r="CE255">
        <f>SUM(CE$7:CE$28,CF$7:CF$28,CG$7:CG$28)*(CD255)</f>
        <v>0</v>
      </c>
      <c r="CG255">
        <f>C10+C11*1</f>
        <v>0</v>
      </c>
      <c r="CJ255">
        <f>SUM(CJ$7:CJ$28,CK$7:CK$28,CL$7:CL$28)*(CI255)</f>
        <v>0</v>
      </c>
      <c r="CO255">
        <f>SUM(CO$7:CO$28,CP$7:CP$28,CQ$7:CQ$28)*(CN255)</f>
        <v>0</v>
      </c>
      <c r="CY255">
        <f>SUM(CY$7:CY$28,CZ$7:CZ$28,DA$7:DA$28)*(CX255)</f>
        <v>0</v>
      </c>
      <c r="DD255">
        <f>SUM(DD$7:DD$28,DE$7:DE$28,DF$7:DF$28)*(DC255)</f>
        <v>0</v>
      </c>
      <c r="DI255">
        <f>SUM(DI$7:DI$28,DJ$7:DJ$28,DK$7:DK$28)*(DH255)</f>
        <v>0</v>
      </c>
      <c r="DN255">
        <f t="shared" ref="DN255:DN328" si="97">SUM(DN$7:DN$28,DO$7:DO$28,DP$7:DP$28)*(DM255)</f>
        <v>0</v>
      </c>
      <c r="DS255">
        <f>SUM(DS$7:DS$28,DT$7:DT$28,DU$7:DU$28)*(DR255)</f>
        <v>0</v>
      </c>
      <c r="EC255">
        <f>SUM(EC$7:EC$28,ED$7:ED$28,EE$7:EE$28)*(EB255)</f>
        <v>0</v>
      </c>
      <c r="EH255">
        <f>SUM(EH$7:EH$28,EI$7:EI$28,EJ$7:EJ$28)*(EG255)</f>
        <v>0</v>
      </c>
      <c r="EM255">
        <f>SUM(EM$7:EM$28,EN$7:EN$28,EO$7:EO$28)*(EL255)</f>
        <v>0</v>
      </c>
      <c r="ER255">
        <f>SUM(ER$7:ER$28,ES$7:ES$28,ET$7:ET$28)*(EQ255)</f>
        <v>0</v>
      </c>
      <c r="EV255" s="853"/>
      <c r="EW255" s="853"/>
      <c r="FA255" s="418"/>
      <c r="FB255" s="333"/>
      <c r="FC255" s="333"/>
      <c r="FD255" s="333"/>
      <c r="FE255" s="333"/>
      <c r="FF255" s="333"/>
      <c r="FG255" s="333"/>
      <c r="FH255" s="333"/>
      <c r="FI255" s="333"/>
      <c r="FJ255" s="333"/>
      <c r="FK255" s="333"/>
      <c r="FL255" s="333"/>
      <c r="FM255" s="333"/>
      <c r="FQ255" s="420">
        <f>'EXTRAS (2)'!D188</f>
        <v>0</v>
      </c>
      <c r="FR255" s="420">
        <f>'EXTRAS (2)'!E188</f>
        <v>0</v>
      </c>
      <c r="FU255" s="420">
        <f t="shared" si="96"/>
        <v>0</v>
      </c>
    </row>
    <row r="256" spans="1:177">
      <c r="A256">
        <v>68</v>
      </c>
      <c r="B256" s="781" t="s">
        <v>1407</v>
      </c>
      <c r="C256" s="400" t="s">
        <v>0</v>
      </c>
      <c r="E256">
        <v>3</v>
      </c>
      <c r="F256">
        <f>SUM(F$7:F$28,I$7:I$28,L$7:L$28)*E256</f>
        <v>0</v>
      </c>
      <c r="AA256">
        <v>3</v>
      </c>
      <c r="AB256">
        <f>SUM(AB$7:AB$28,AE$7:AE$28,AH$7:AH$28)*AA256</f>
        <v>0</v>
      </c>
      <c r="AM256">
        <f>SUM(AM$7:AM$28,AP$7:AP$28,AS$7:AS$28)*AL256</f>
        <v>0</v>
      </c>
      <c r="BH256">
        <v>3</v>
      </c>
      <c r="BI256">
        <f>SUM(BI7:BI28,BL7:BL28,BO7:BO28)*BH256</f>
        <v>0</v>
      </c>
      <c r="FB256">
        <f t="shared" ref="FB256:FB263" si="98">SUM(FB$5:FB$26,FC$5:FC$26,FD$5:FD$26)*(FA256)</f>
        <v>0</v>
      </c>
      <c r="FG256">
        <f>SUM(FG$5:FG$26,FH$5:FH$26,FI$5:FI$26)*(FF256)</f>
        <v>0</v>
      </c>
      <c r="FM256">
        <f t="shared" ref="FM256:FM263" si="99">SUM(FM$7:FM$28,FN$7:FN$28,FO$7:FO$28)*(FL256)</f>
        <v>0</v>
      </c>
      <c r="FQ256" s="420">
        <f>'EXTRAS (2)'!D189</f>
        <v>0</v>
      </c>
      <c r="FR256" s="420">
        <f>'EXTRAS (2)'!E189</f>
        <v>0</v>
      </c>
      <c r="FU256" s="420">
        <f t="shared" si="96"/>
        <v>0</v>
      </c>
    </row>
    <row r="257" spans="1:177">
      <c r="A257">
        <v>69</v>
      </c>
      <c r="B257" s="781" t="s">
        <v>1408</v>
      </c>
      <c r="C257" s="400" t="s">
        <v>0</v>
      </c>
      <c r="E257">
        <v>3</v>
      </c>
      <c r="F257">
        <f>SUM(G7:G28,J7:J28,M7:M28)*E257</f>
        <v>0</v>
      </c>
      <c r="AA257">
        <v>3</v>
      </c>
      <c r="AB257">
        <f>SUM(AC7:AC28,AF7:AF28,AI7:AI28)*AA257</f>
        <v>0</v>
      </c>
      <c r="AM257">
        <f>SUM(AN7:AN28,AQ7:AQ28,AT7:AT28)*AL257</f>
        <v>0</v>
      </c>
      <c r="BH257">
        <v>3</v>
      </c>
      <c r="BI257">
        <f>SUM(BJ7:BJ28,BM7:BM28,BP7:BP28)*BH257</f>
        <v>0</v>
      </c>
      <c r="FM257">
        <f t="shared" si="99"/>
        <v>0</v>
      </c>
      <c r="FQ257" s="420">
        <f>'EXTRAS (2)'!D190</f>
        <v>0</v>
      </c>
      <c r="FR257" s="420">
        <f>'EXTRAS (2)'!E190</f>
        <v>0</v>
      </c>
      <c r="FU257" s="420">
        <f t="shared" si="96"/>
        <v>0</v>
      </c>
    </row>
    <row r="258" spans="1:177">
      <c r="A258">
        <v>70</v>
      </c>
      <c r="B258" s="781" t="s">
        <v>1409</v>
      </c>
      <c r="C258" s="400" t="s">
        <v>0</v>
      </c>
      <c r="E258">
        <v>3</v>
      </c>
      <c r="F258">
        <f>SUM(H7:H28,K7:K28,N7:N28)*E258</f>
        <v>0</v>
      </c>
      <c r="AA258">
        <v>3</v>
      </c>
      <c r="AB258">
        <f>SUM(AD7:AD28,AG7:AG28,AJ7:AJ28)*AA258</f>
        <v>0</v>
      </c>
      <c r="AM258">
        <f>SUM(AO7:AO28,AR7:AR28,AU7:AU28)*AL258</f>
        <v>0</v>
      </c>
      <c r="BH258">
        <v>3</v>
      </c>
      <c r="BI258">
        <f>SUM(BK7:BK28,BN7:BN28,BQ7:BQ28)*BH258</f>
        <v>0</v>
      </c>
      <c r="FB258">
        <f t="shared" si="98"/>
        <v>0</v>
      </c>
      <c r="FG258">
        <f>SUM(FG$5:FG$26,FH$5:FH$26,FI$5:FI$26)*(FF258)</f>
        <v>0</v>
      </c>
      <c r="FM258">
        <f t="shared" si="99"/>
        <v>0</v>
      </c>
      <c r="FQ258" s="420">
        <f>'EXTRAS (2)'!D191</f>
        <v>0</v>
      </c>
      <c r="FR258" s="420">
        <f>'EXTRAS (2)'!E191</f>
        <v>0</v>
      </c>
      <c r="FU258" s="420">
        <f t="shared" si="96"/>
        <v>0</v>
      </c>
    </row>
    <row r="259" spans="1:177">
      <c r="A259">
        <v>71</v>
      </c>
      <c r="B259" s="781" t="s">
        <v>1410</v>
      </c>
      <c r="C259" s="400" t="s">
        <v>0</v>
      </c>
      <c r="FB259">
        <f t="shared" si="98"/>
        <v>0</v>
      </c>
      <c r="FG259">
        <f>SUM(FG$5:FG$26,FH$5:FH$26,FI$5:FI$26)*(FF259)</f>
        <v>0</v>
      </c>
      <c r="FM259">
        <f t="shared" si="99"/>
        <v>0</v>
      </c>
      <c r="FQ259" s="420">
        <f>'EXTRAS (2)'!D192</f>
        <v>0</v>
      </c>
      <c r="FR259" s="420">
        <f>'EXTRAS (2)'!E192</f>
        <v>0</v>
      </c>
      <c r="FU259" s="420">
        <f t="shared" si="96"/>
        <v>0</v>
      </c>
    </row>
    <row r="260" spans="1:177">
      <c r="A260">
        <v>72</v>
      </c>
      <c r="B260" s="781" t="s">
        <v>1405</v>
      </c>
      <c r="C260" s="400" t="s">
        <v>0</v>
      </c>
      <c r="AB260">
        <f>SUM(AB$7:AB$28,AC$7:AC$28,AD$7:AD$28)*(AA260)</f>
        <v>0</v>
      </c>
      <c r="AM260">
        <f>SUM(AM$7:AM$28,AN$7:AN$28,AO$7:AO$28)*(AL260)</f>
        <v>0</v>
      </c>
      <c r="CE260">
        <f>SUM(CE$7:CE$28,CF$7:CF$28,CG$7:CG$28)*(CD260)</f>
        <v>0</v>
      </c>
      <c r="CJ260">
        <f>SUM(CJ$7:CJ$28,CK$7:CK$28,CL$7:CL$28)*(CI260)</f>
        <v>0</v>
      </c>
      <c r="CO260">
        <f>SUM(CO$7:CO$28,CP$7:CP$28,CQ$7:CQ$28)*(CN260)</f>
        <v>0</v>
      </c>
      <c r="CY260">
        <f>SUM(CY$7:CY$28,CZ$7:CZ$28,DA$7:DA$28)*(CX260)</f>
        <v>0</v>
      </c>
      <c r="DD260">
        <f>SUM(DD$7:DD$28,DE$7:DE$28,DF$7:DF$28)*(DC260)</f>
        <v>0</v>
      </c>
      <c r="DI260">
        <f>SUM(DI$7:DI$28,DJ$7:DJ$28,DK$7:DK$28)*(DH260)</f>
        <v>0</v>
      </c>
      <c r="DN260">
        <f t="shared" si="97"/>
        <v>0</v>
      </c>
      <c r="DS260">
        <f>SUM(DS$7:DS$28,DT$7:DT$28,DU$7:DU$28)*(DR260)</f>
        <v>0</v>
      </c>
      <c r="EC260">
        <f>SUM(EC$7:EC$28,ED$7:ED$28,EE$7:EE$28)*(EB260)</f>
        <v>0</v>
      </c>
      <c r="EH260">
        <f>SUM(EH$7:EH$28,EI$7:EI$28,EJ$7:EJ$28)*(EG260)</f>
        <v>0</v>
      </c>
      <c r="EM260">
        <f>SUM(EM$7:EM$28,EN$7:EN$28,EO$7:EO$28)*(EL260)</f>
        <v>0</v>
      </c>
      <c r="ER260">
        <f>SUM(ER$7:ER$28,ES$7:ES$28,ET$7:ET$28)*(EQ260)</f>
        <v>0</v>
      </c>
      <c r="EW260">
        <f>SUM(EW$7:EW$28,EX$7:EX$28,EY$7:EY$28)*(EV260)</f>
        <v>0</v>
      </c>
      <c r="FM260">
        <f t="shared" si="99"/>
        <v>0</v>
      </c>
      <c r="FQ260" s="420">
        <f>'EXTRAS (2)'!D193</f>
        <v>0</v>
      </c>
      <c r="FR260" s="420">
        <f>'EXTRAS (2)'!E193</f>
        <v>0</v>
      </c>
      <c r="FU260" s="420">
        <f t="shared" si="96"/>
        <v>0</v>
      </c>
    </row>
    <row r="261" spans="1:177">
      <c r="A261">
        <v>73</v>
      </c>
      <c r="B261" s="781" t="s">
        <v>1406</v>
      </c>
      <c r="C261" s="400" t="s">
        <v>0</v>
      </c>
      <c r="CG261">
        <f>C11*1</f>
        <v>0</v>
      </c>
      <c r="FA261">
        <v>6</v>
      </c>
      <c r="FB261">
        <f t="shared" si="98"/>
        <v>0</v>
      </c>
      <c r="FF261">
        <v>6</v>
      </c>
      <c r="FG261">
        <f>SUM(FG$5:FG$26,FH$5:FH$26,FI$5:FI$26)*(FF261)</f>
        <v>0</v>
      </c>
      <c r="FL261">
        <v>6</v>
      </c>
      <c r="FM261">
        <f t="shared" si="99"/>
        <v>0</v>
      </c>
      <c r="FQ261" s="420">
        <f>'EXTRAS (2)'!D194</f>
        <v>0</v>
      </c>
      <c r="FR261" s="420">
        <f>'EXTRAS (2)'!E194</f>
        <v>0</v>
      </c>
      <c r="FU261" s="420">
        <f t="shared" si="96"/>
        <v>0</v>
      </c>
    </row>
    <row r="262" spans="1:177">
      <c r="A262">
        <v>74</v>
      </c>
      <c r="B262" s="781" t="s">
        <v>1399</v>
      </c>
      <c r="C262" s="400" t="s">
        <v>0</v>
      </c>
      <c r="E262" t="s">
        <v>1017</v>
      </c>
      <c r="P262" t="s">
        <v>1017</v>
      </c>
      <c r="Q262">
        <f>SUM(Q7:Q28,R7:R28,T7:T28,U7:U28)*(1)</f>
        <v>0</v>
      </c>
      <c r="AA262" t="s">
        <v>1017</v>
      </c>
      <c r="AL262" t="s">
        <v>1017</v>
      </c>
      <c r="AM262">
        <f>SUM(AM7:AM28,AN7:AN28,AP7:AP28,AQ7:AQ28)*(1)</f>
        <v>0</v>
      </c>
      <c r="BS262" t="s">
        <v>1017</v>
      </c>
      <c r="BT262">
        <f>SUM(BT7:BT28,BW7:BW28,BX7:BX28)*(1)</f>
        <v>0</v>
      </c>
      <c r="CG262">
        <f>C10*1</f>
        <v>0</v>
      </c>
      <c r="CS262" t="s">
        <v>1017</v>
      </c>
      <c r="CT262">
        <f>SUM(CT7:CT28,CU7:CU28)*(1)</f>
        <v>0</v>
      </c>
      <c r="CX262" t="s">
        <v>1017</v>
      </c>
      <c r="CY262">
        <f>SUM(CY7:CY28,CZ7:CZ28)*(1)</f>
        <v>0</v>
      </c>
      <c r="DH262" t="s">
        <v>1017</v>
      </c>
      <c r="DI262">
        <f>SUM(DI7:DI28,DJ7:DJ28)*(1)</f>
        <v>0</v>
      </c>
      <c r="DM262" t="s">
        <v>1017</v>
      </c>
      <c r="DN262">
        <f>SUM(DN7:DN28,DO7:DO28)*(1)</f>
        <v>0</v>
      </c>
      <c r="DR262" t="s">
        <v>1017</v>
      </c>
      <c r="DS262">
        <f>SUM(DS7:DS28,DT7:DT28)*(1)</f>
        <v>0</v>
      </c>
      <c r="DW262" t="s">
        <v>1017</v>
      </c>
      <c r="DX262">
        <f>SUM(DX7:DX28,DY7:DY28)*(1)</f>
        <v>0</v>
      </c>
      <c r="EL262" t="s">
        <v>1017</v>
      </c>
      <c r="EM262">
        <f>SUM(EM7:EM28,EN7:EN28)*(1)</f>
        <v>0</v>
      </c>
      <c r="EQ262" t="s">
        <v>1017</v>
      </c>
      <c r="ER262">
        <f>SUM(ER7:ER28,ES7:ES28)*(1)</f>
        <v>0</v>
      </c>
      <c r="FB262">
        <f t="shared" si="98"/>
        <v>0</v>
      </c>
      <c r="FG262">
        <f>SUM(FG$5:FG$26,FH$5:FH$26,FI$5:FI$26)*(FF262)</f>
        <v>0</v>
      </c>
      <c r="FM262">
        <f t="shared" si="99"/>
        <v>0</v>
      </c>
      <c r="FQ262" s="420">
        <f>'EXTRAS (2)'!D195</f>
        <v>0</v>
      </c>
      <c r="FR262" s="420">
        <f>'EXTRAS (2)'!E195</f>
        <v>0</v>
      </c>
      <c r="FU262" s="420">
        <f t="shared" si="96"/>
        <v>0</v>
      </c>
    </row>
    <row r="263" spans="1:177">
      <c r="A263">
        <v>75</v>
      </c>
      <c r="B263" s="781" t="s">
        <v>1391</v>
      </c>
      <c r="C263" s="400" t="s">
        <v>0</v>
      </c>
      <c r="CG263">
        <f>C17*6</f>
        <v>0</v>
      </c>
      <c r="FB263">
        <f t="shared" si="98"/>
        <v>0</v>
      </c>
      <c r="FG263">
        <f>SUM(FG$5:FG$26,FH$5:FH$26,FI$5:FI$26)*(FF263)</f>
        <v>0</v>
      </c>
      <c r="FM263">
        <f t="shared" si="99"/>
        <v>0</v>
      </c>
      <c r="FQ263" s="420">
        <f>'EXTRAS (2)'!D196</f>
        <v>0</v>
      </c>
      <c r="FR263" s="420">
        <f>'EXTRAS (2)'!E196</f>
        <v>0</v>
      </c>
      <c r="FU263" s="420">
        <f t="shared" si="96"/>
        <v>0</v>
      </c>
    </row>
    <row r="264" spans="1:177">
      <c r="A264">
        <v>76</v>
      </c>
      <c r="B264" s="783" t="s">
        <v>1392</v>
      </c>
      <c r="C264" s="400" t="s">
        <v>0</v>
      </c>
      <c r="P264" t="s">
        <v>1017</v>
      </c>
      <c r="Q264">
        <f>SUM(Y7:Y28)*3</f>
        <v>0</v>
      </c>
      <c r="AL264" t="s">
        <v>1017</v>
      </c>
      <c r="AM264">
        <f>SUM(AU7:AU28)*3</f>
        <v>0</v>
      </c>
      <c r="AW264" t="s">
        <v>1017</v>
      </c>
      <c r="AX264">
        <f>SUM(BF7:BF28)*3</f>
        <v>0</v>
      </c>
      <c r="DH264" t="s">
        <v>1017</v>
      </c>
      <c r="DI264">
        <f>SUM(DK7:DK28)*(3)</f>
        <v>0</v>
      </c>
      <c r="DM264" t="s">
        <v>1017</v>
      </c>
      <c r="DN264">
        <f>SUM(DP7:DP28)*(3)</f>
        <v>0</v>
      </c>
      <c r="FQ264" s="420">
        <f>'EXTRAS (2)'!D197</f>
        <v>0</v>
      </c>
      <c r="FR264" s="420">
        <f>'EXTRAS (2)'!E197</f>
        <v>0</v>
      </c>
      <c r="FU264" s="420">
        <f t="shared" si="96"/>
        <v>0</v>
      </c>
    </row>
    <row r="265" spans="1:177">
      <c r="A265">
        <v>77</v>
      </c>
      <c r="B265" s="781" t="s">
        <v>1395</v>
      </c>
      <c r="C265" s="400" t="s">
        <v>0</v>
      </c>
      <c r="E265" t="s">
        <v>1017</v>
      </c>
      <c r="P265" t="s">
        <v>1017</v>
      </c>
      <c r="Q265">
        <f>SUM(S7:S28,W7:W28,V7:V28,X7:X28)*3</f>
        <v>0</v>
      </c>
      <c r="AL265" t="s">
        <v>1017</v>
      </c>
      <c r="AM265">
        <f>SUM(AO7:AO28,AS7:AS28,AR7:AR28,AT7:AT28)*3</f>
        <v>0</v>
      </c>
      <c r="AW265" t="s">
        <v>1017</v>
      </c>
      <c r="AX265">
        <f>SUM(AZ7:AZ28,BD7:BD28,BC7:BC28,BE7:BE28)*3</f>
        <v>0</v>
      </c>
      <c r="BS265" t="s">
        <v>1017</v>
      </c>
      <c r="BT265">
        <f>SUM(CB7:CB28)*3</f>
        <v>0</v>
      </c>
      <c r="FQ265" s="420">
        <f>'EXTRAS (2)'!D198</f>
        <v>0</v>
      </c>
      <c r="FR265" s="420">
        <f>'EXTRAS (2)'!E198</f>
        <v>0</v>
      </c>
      <c r="FU265" s="420">
        <f t="shared" si="96"/>
        <v>0</v>
      </c>
    </row>
    <row r="266" spans="1:177" s="334" customFormat="1">
      <c r="A266">
        <v>78</v>
      </c>
      <c r="B266" s="784" t="s">
        <v>1394</v>
      </c>
      <c r="C266" s="785" t="s">
        <v>0</v>
      </c>
      <c r="D266"/>
      <c r="E266" s="334" t="s">
        <v>1017</v>
      </c>
      <c r="P266" s="334" t="s">
        <v>1017</v>
      </c>
      <c r="Q266" s="334">
        <f>SUM(S7:S28,V7:V28,W7:W28,X7:X28)*1+SUM(Q7:Q28)*3</f>
        <v>0</v>
      </c>
      <c r="AL266" s="334" t="s">
        <v>1017</v>
      </c>
      <c r="AM266" s="334">
        <f>SUM(AO7:AO28,AR7:AR28,AS7:AS28,AT7:AT28)*1+SUM(AM7:AM28)*3</f>
        <v>0</v>
      </c>
      <c r="AW266" s="334" t="s">
        <v>1017</v>
      </c>
      <c r="AX266" s="334">
        <f>SUM(AX7:AX28)*3</f>
        <v>0</v>
      </c>
      <c r="BS266" s="334" t="s">
        <v>1017</v>
      </c>
      <c r="BT266" s="334">
        <f>SUM(BU7:BU28,CA7:CA28,BZ7:BZ28,BV7:BV28,BY7:BY28)*(1)+SUM(BT7:BT28,BU7:BU28,BW7:BW28,BX7:BX28)*(3)</f>
        <v>0</v>
      </c>
      <c r="CF266" s="334">
        <f>SUM(C12:C13)*(2)</f>
        <v>0</v>
      </c>
      <c r="DH266" s="334" t="s">
        <v>1017</v>
      </c>
      <c r="DI266" s="334">
        <f>SUM(DI7:DI28)*(3)</f>
        <v>0</v>
      </c>
      <c r="DM266" s="334" t="s">
        <v>1017</v>
      </c>
      <c r="DN266" s="334">
        <f>SUM(DN7:DN28)*(3)</f>
        <v>0</v>
      </c>
      <c r="FA266"/>
      <c r="FB266">
        <f>SUM(FB$7:FB$28,FC$7:FC$28,FD$7:FD$28)*(FA266)</f>
        <v>0</v>
      </c>
      <c r="FC266"/>
      <c r="FD266"/>
      <c r="FE266"/>
      <c r="FF266"/>
      <c r="FG266">
        <f>SUM(FG$7:FG$28,FH$7:FH$28,FI$7:FI$28)*(FF266)</f>
        <v>0</v>
      </c>
      <c r="FH266"/>
      <c r="FI266"/>
      <c r="FJ266"/>
      <c r="FK266"/>
      <c r="FL266"/>
      <c r="FM266">
        <f>SUM(FM$7:FM$28,FN$7:FN$28,FO$7:FO$28)*(FL266)</f>
        <v>0</v>
      </c>
      <c r="FP266"/>
      <c r="FQ266" s="420">
        <f>'EXTRAS (2)'!D199</f>
        <v>0</v>
      </c>
      <c r="FR266" s="420">
        <f>'EXTRAS (2)'!E199</f>
        <v>0</v>
      </c>
      <c r="FS266" s="800"/>
      <c r="FT266" s="800"/>
      <c r="FU266" s="420">
        <f t="shared" si="96"/>
        <v>0</v>
      </c>
    </row>
    <row r="267" spans="1:177" s="334" customFormat="1">
      <c r="A267">
        <v>79</v>
      </c>
      <c r="B267" s="784" t="s">
        <v>1393</v>
      </c>
      <c r="C267" s="785" t="s">
        <v>0</v>
      </c>
      <c r="D267"/>
      <c r="E267" s="334" t="s">
        <v>1017</v>
      </c>
      <c r="P267" s="334" t="s">
        <v>1017</v>
      </c>
      <c r="Q267" s="334">
        <f>SUM(Y7:Y28)*1+SUM(R7:R28,T7:T28,U7:U28)*3</f>
        <v>0</v>
      </c>
      <c r="AA267" s="334" t="s">
        <v>1017</v>
      </c>
      <c r="AL267" s="334" t="s">
        <v>1017</v>
      </c>
      <c r="AM267" s="334">
        <f>SUM(AU7:AU28)*1+SUM(AN7:AN28,AP7:AP28,AQ7:AQ28)*3</f>
        <v>0</v>
      </c>
      <c r="AW267" s="334" t="s">
        <v>1017</v>
      </c>
      <c r="AX267" s="334">
        <f>SUM(AY7:AY28,BA7:BA28,BB7:BB28)*3</f>
        <v>0</v>
      </c>
      <c r="BS267" s="334" t="s">
        <v>1017</v>
      </c>
      <c r="BT267" s="334">
        <f>SUM(CB7:CB28)*(1)+SUM(BV7:BV28,BZ7:BZ28,BY7:BY28)*(3)+SUM(CA7:CA28)*(3)</f>
        <v>0</v>
      </c>
      <c r="CF267" s="334">
        <f>C14*2</f>
        <v>0</v>
      </c>
      <c r="CG267" s="334">
        <f>C11*1</f>
        <v>0</v>
      </c>
      <c r="CS267" s="334" t="s">
        <v>1017</v>
      </c>
      <c r="CT267" s="334">
        <f>SUM(CV7:CV28)*(1)</f>
        <v>0</v>
      </c>
      <c r="CX267" s="334" t="s">
        <v>1017</v>
      </c>
      <c r="CY267" s="334">
        <f>SUM(DA7:DA28)*(1)</f>
        <v>0</v>
      </c>
      <c r="DH267" s="334" t="s">
        <v>1017</v>
      </c>
      <c r="DI267" s="334">
        <f>SUM(,DJ7:DJ28)*(4)</f>
        <v>0</v>
      </c>
      <c r="DM267" s="334" t="s">
        <v>1017</v>
      </c>
      <c r="DN267" s="334">
        <f>SUM(,DO7:DO28)*(3)+SUM(DP7:DP28)*1</f>
        <v>0</v>
      </c>
      <c r="DR267" s="334" t="s">
        <v>1017</v>
      </c>
      <c r="DS267" s="334">
        <f>SUM(DU7:DU28)*(1)</f>
        <v>0</v>
      </c>
      <c r="DW267" s="334" t="s">
        <v>1017</v>
      </c>
      <c r="DX267" s="334">
        <f>SUM(DZ7:DZ28)*(1)</f>
        <v>0</v>
      </c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P267"/>
      <c r="FQ267" s="420">
        <f>'EXTRAS (2)'!D200</f>
        <v>0</v>
      </c>
      <c r="FR267" s="420">
        <f>'EXTRAS (2)'!E200</f>
        <v>0</v>
      </c>
      <c r="FS267" s="800"/>
      <c r="FT267" s="800"/>
      <c r="FU267" s="420">
        <f t="shared" si="96"/>
        <v>0</v>
      </c>
    </row>
    <row r="268" spans="1:177">
      <c r="A268">
        <v>80</v>
      </c>
      <c r="B268" s="781" t="s">
        <v>1396</v>
      </c>
      <c r="C268" s="400" t="s">
        <v>0</v>
      </c>
      <c r="D268" s="161"/>
      <c r="E268" s="161"/>
      <c r="F268" s="161"/>
      <c r="G268" s="161"/>
      <c r="H268" s="161"/>
      <c r="I268" s="161"/>
      <c r="J268" s="161"/>
      <c r="K268" s="161"/>
      <c r="L268" s="161"/>
      <c r="M268" s="161"/>
      <c r="O268" s="161"/>
      <c r="P268" s="161"/>
      <c r="Q268" s="161"/>
      <c r="R268" s="161"/>
      <c r="S268" s="161"/>
      <c r="T268" s="161"/>
      <c r="U268" s="161"/>
      <c r="V268" s="161"/>
      <c r="W268" s="161"/>
      <c r="X268" s="161"/>
      <c r="CF268">
        <f>C12+C13*6</f>
        <v>0</v>
      </c>
      <c r="DM268" s="161"/>
      <c r="DN268" s="161"/>
      <c r="DO268" s="161"/>
      <c r="DP268" s="161"/>
      <c r="DR268" t="s">
        <v>1017</v>
      </c>
      <c r="DS268">
        <f>SUM(DS7:DS28,DT7:DT28)*(3)</f>
        <v>0</v>
      </c>
      <c r="DW268" t="s">
        <v>1017</v>
      </c>
      <c r="DX268">
        <f>SUM(DX7:DX28,DY7:DY28)*(3)</f>
        <v>0</v>
      </c>
      <c r="FP268" s="161"/>
      <c r="FQ268" s="420">
        <f>'EXTRAS (2)'!D201</f>
        <v>0</v>
      </c>
      <c r="FR268" s="420">
        <f>'EXTRAS (2)'!E201</f>
        <v>0</v>
      </c>
      <c r="FU268" s="420">
        <f t="shared" si="96"/>
        <v>0</v>
      </c>
    </row>
    <row r="269" spans="1:177">
      <c r="A269">
        <v>81</v>
      </c>
      <c r="B269" s="781" t="s">
        <v>1397</v>
      </c>
      <c r="C269" s="400" t="s">
        <v>0</v>
      </c>
      <c r="D269" s="161"/>
      <c r="E269" s="161"/>
      <c r="F269" s="161"/>
      <c r="G269" s="161"/>
      <c r="H269" s="161"/>
      <c r="I269" s="161"/>
      <c r="J269" s="161"/>
      <c r="K269" s="161"/>
      <c r="L269" s="161"/>
      <c r="M269" s="161"/>
      <c r="O269" s="161"/>
      <c r="P269" s="161"/>
      <c r="Q269" s="161"/>
      <c r="R269" s="161"/>
      <c r="S269" s="161"/>
      <c r="T269" s="161"/>
      <c r="U269" s="161"/>
      <c r="V269" s="161"/>
      <c r="W269" s="161"/>
      <c r="X269" s="161"/>
      <c r="CF269">
        <f>C14*6</f>
        <v>0</v>
      </c>
      <c r="DM269" s="161"/>
      <c r="DN269" s="161"/>
      <c r="DO269" s="161"/>
      <c r="DP269" s="161"/>
      <c r="DR269" t="s">
        <v>1017</v>
      </c>
      <c r="DS269">
        <f>SUM(DU7:DU28)*(3)</f>
        <v>0</v>
      </c>
      <c r="DW269" t="s">
        <v>1017</v>
      </c>
      <c r="DX269">
        <f>SUM(DZ7:DZ28)*(3)</f>
        <v>0</v>
      </c>
      <c r="FP269" s="161"/>
      <c r="FQ269" s="420">
        <f>'EXTRAS (2)'!D202</f>
        <v>0</v>
      </c>
      <c r="FR269" s="420">
        <f>'EXTRAS (2)'!E202</f>
        <v>0</v>
      </c>
      <c r="FU269" s="420">
        <f t="shared" si="96"/>
        <v>0</v>
      </c>
    </row>
    <row r="270" spans="1:177">
      <c r="A270">
        <v>82</v>
      </c>
      <c r="B270" s="399" t="s">
        <v>849</v>
      </c>
      <c r="C270" s="400" t="s">
        <v>0</v>
      </c>
      <c r="AB270">
        <f t="shared" ref="AB270:AB280" si="100">SUM(AB$7:AB$28,AC$7:AC$28,AD$7:AD$28)*(AA270)</f>
        <v>0</v>
      </c>
      <c r="AM270">
        <f t="shared" ref="AM270:AM280" si="101">SUM(AM$7:AM$28,AN$7:AN$28,AO$7:AO$28)*(AL270)</f>
        <v>0</v>
      </c>
      <c r="CE270">
        <f t="shared" ref="CE270:CE280" si="102">SUM(CE$7:CE$28,CF$7:CF$28,CG$7:CG$28)*(CD270)</f>
        <v>0</v>
      </c>
      <c r="CJ270">
        <f t="shared" ref="CJ270:CJ280" si="103">SUM(CJ$7:CJ$28,CK$7:CK$28,CL$7:CL$28)*(CI270)</f>
        <v>0</v>
      </c>
      <c r="CO270">
        <f t="shared" ref="CO270:CO280" si="104">SUM(CO$7:CO$28,CP$7:CP$28,CQ$7:CQ$28)*(CN270)</f>
        <v>0</v>
      </c>
      <c r="CY270">
        <f t="shared" ref="CY270:CY280" si="105">SUM(CY$7:CY$28,CZ$7:CZ$28,DA$7:DA$28)*(CX270)</f>
        <v>0</v>
      </c>
      <c r="DD270">
        <f t="shared" ref="DD270:DD280" si="106">SUM(DD$7:DD$28,DE$7:DE$28,DF$7:DF$28)*(DC270)</f>
        <v>0</v>
      </c>
      <c r="DI270">
        <f t="shared" ref="DI270:DI280" si="107">SUM(DI$7:DI$28,DJ$7:DJ$28,DK$7:DK$28)*(DH270)</f>
        <v>0</v>
      </c>
      <c r="DN270">
        <f t="shared" si="97"/>
        <v>0</v>
      </c>
      <c r="DS270">
        <f t="shared" ref="DS270:DS280" si="108">SUM(DS$7:DS$28,DT$7:DT$28,DU$7:DU$28)*(DR270)</f>
        <v>0</v>
      </c>
      <c r="EC270">
        <f t="shared" ref="EC270:EC280" si="109">SUM(EC$7:EC$28,ED$7:ED$28,EE$7:EE$28)*(EB270)</f>
        <v>0</v>
      </c>
      <c r="EH270">
        <f t="shared" ref="EH270:EH280" si="110">SUM(EH$7:EH$28,EI$7:EI$28,EJ$7:EJ$28)*(EG270)</f>
        <v>0</v>
      </c>
      <c r="EM270">
        <f t="shared" ref="EM270:EM280" si="111">SUM(EM$7:EM$28,EN$7:EN$28,EO$7:EO$28)*(EL270)</f>
        <v>0</v>
      </c>
      <c r="ER270">
        <f t="shared" ref="ER270:ER280" si="112">SUM(ER$7:ER$28,ES$7:ES$28,ET$7:ET$28)*(EQ270)</f>
        <v>0</v>
      </c>
      <c r="EW270">
        <f t="shared" ref="EW270:EW280" si="113">SUM(EW$7:EW$28,EX$7:EX$28,EY$7:EY$28)*(EV270)</f>
        <v>0</v>
      </c>
      <c r="FQ270" s="420">
        <f>'EXTRAS (2)'!D203</f>
        <v>0</v>
      </c>
      <c r="FR270" s="420">
        <f>'EXTRAS (2)'!E203</f>
        <v>0</v>
      </c>
      <c r="FU270" s="420">
        <f t="shared" si="96"/>
        <v>0</v>
      </c>
    </row>
    <row r="271" spans="1:177">
      <c r="A271">
        <v>83</v>
      </c>
      <c r="B271" s="399" t="s">
        <v>850</v>
      </c>
      <c r="C271" s="400" t="s">
        <v>0</v>
      </c>
      <c r="AB271">
        <f t="shared" si="100"/>
        <v>0</v>
      </c>
      <c r="AM271">
        <f t="shared" si="101"/>
        <v>0</v>
      </c>
      <c r="CE271">
        <f t="shared" si="102"/>
        <v>0</v>
      </c>
      <c r="CJ271">
        <f t="shared" si="103"/>
        <v>0</v>
      </c>
      <c r="CO271">
        <f t="shared" si="104"/>
        <v>0</v>
      </c>
      <c r="CY271">
        <f t="shared" si="105"/>
        <v>0</v>
      </c>
      <c r="DD271">
        <f t="shared" si="106"/>
        <v>0</v>
      </c>
      <c r="DI271">
        <f t="shared" si="107"/>
        <v>0</v>
      </c>
      <c r="DN271">
        <f t="shared" si="97"/>
        <v>0</v>
      </c>
      <c r="DS271">
        <f t="shared" si="108"/>
        <v>0</v>
      </c>
      <c r="EC271">
        <f t="shared" si="109"/>
        <v>0</v>
      </c>
      <c r="EH271">
        <f t="shared" si="110"/>
        <v>0</v>
      </c>
      <c r="EM271">
        <f t="shared" si="111"/>
        <v>0</v>
      </c>
      <c r="ER271">
        <f t="shared" si="112"/>
        <v>0</v>
      </c>
      <c r="EW271">
        <f t="shared" si="113"/>
        <v>0</v>
      </c>
      <c r="FQ271" s="420">
        <f>'EXTRAS (2)'!D204</f>
        <v>0</v>
      </c>
      <c r="FR271" s="420">
        <f>'EXTRAS (2)'!E204</f>
        <v>0</v>
      </c>
      <c r="FU271" s="420">
        <f t="shared" si="96"/>
        <v>0</v>
      </c>
    </row>
    <row r="272" spans="1:177">
      <c r="A272">
        <v>84</v>
      </c>
      <c r="B272" s="399" t="s">
        <v>9</v>
      </c>
      <c r="C272" s="400" t="s">
        <v>0</v>
      </c>
      <c r="F272" s="333">
        <f>Transformadores!W68</f>
        <v>0</v>
      </c>
      <c r="AB272">
        <f t="shared" si="100"/>
        <v>0</v>
      </c>
      <c r="AM272">
        <f t="shared" si="101"/>
        <v>0</v>
      </c>
      <c r="CE272">
        <f t="shared" si="102"/>
        <v>0</v>
      </c>
      <c r="CJ272">
        <f t="shared" si="103"/>
        <v>0</v>
      </c>
      <c r="CO272">
        <f t="shared" si="104"/>
        <v>0</v>
      </c>
      <c r="CY272">
        <f t="shared" si="105"/>
        <v>0</v>
      </c>
      <c r="DD272">
        <f t="shared" si="106"/>
        <v>0</v>
      </c>
      <c r="DI272">
        <f t="shared" si="107"/>
        <v>0</v>
      </c>
      <c r="DN272">
        <f t="shared" si="97"/>
        <v>0</v>
      </c>
      <c r="DS272">
        <f t="shared" si="108"/>
        <v>0</v>
      </c>
      <c r="EC272">
        <f t="shared" si="109"/>
        <v>0</v>
      </c>
      <c r="EH272">
        <f t="shared" si="110"/>
        <v>0</v>
      </c>
      <c r="EM272">
        <f t="shared" si="111"/>
        <v>0</v>
      </c>
      <c r="ER272">
        <f t="shared" si="112"/>
        <v>0</v>
      </c>
      <c r="EV272">
        <v>1</v>
      </c>
      <c r="EW272">
        <f t="shared" si="113"/>
        <v>0</v>
      </c>
      <c r="FA272">
        <v>1</v>
      </c>
      <c r="FB272">
        <f>SUM(FB$7:FB$28,FC$7:FC$28,FD$7:FD$28)*(FA272)</f>
        <v>0</v>
      </c>
      <c r="FF272">
        <v>1</v>
      </c>
      <c r="FG272">
        <f>SUM(FG$7:FG$28,FH$7:FH$28,FI$7:FI$28)*(FF272)</f>
        <v>0</v>
      </c>
      <c r="FL272">
        <v>1</v>
      </c>
      <c r="FM272">
        <f>SUM(FM$7:FM$28,FN$7:FN$28,FO$7:FO$28)*(FL272)</f>
        <v>0</v>
      </c>
      <c r="FO272">
        <f>IF(Transformadores!T10+Transformadores!U10&gt;0,0,Transformadores!Y15*4)</f>
        <v>0</v>
      </c>
      <c r="FQ272" s="420">
        <f>'EXTRAS (2)'!D205</f>
        <v>0</v>
      </c>
      <c r="FR272" s="420">
        <f>'EXTRAS (2)'!E205</f>
        <v>0</v>
      </c>
      <c r="FU272" s="420">
        <f t="shared" ref="FU272:FU335" si="114">CE272+CG272+CF272+CJ272+CO272+CT272+CY272+DD272+DI272+DN272+DS272+DX272+EM272+ER272+EW272+FB272+FG272+FM272+FO272+F272+Q272+AB272+AM272+AX272+BI272+BT272+FQ272-FR272</f>
        <v>0</v>
      </c>
    </row>
    <row r="273" spans="1:177">
      <c r="A273">
        <v>85</v>
      </c>
      <c r="B273" s="399" t="s">
        <v>452</v>
      </c>
      <c r="C273" s="400" t="s">
        <v>0</v>
      </c>
      <c r="F273" s="333"/>
      <c r="AB273">
        <f t="shared" si="100"/>
        <v>0</v>
      </c>
      <c r="AM273">
        <f t="shared" si="101"/>
        <v>0</v>
      </c>
      <c r="CE273">
        <f t="shared" si="102"/>
        <v>0</v>
      </c>
      <c r="CJ273">
        <f t="shared" si="103"/>
        <v>0</v>
      </c>
      <c r="CO273">
        <f t="shared" si="104"/>
        <v>0</v>
      </c>
      <c r="CY273">
        <f t="shared" si="105"/>
        <v>0</v>
      </c>
      <c r="DD273">
        <f t="shared" si="106"/>
        <v>0</v>
      </c>
      <c r="DI273">
        <f t="shared" si="107"/>
        <v>0</v>
      </c>
      <c r="DN273">
        <f t="shared" si="97"/>
        <v>0</v>
      </c>
      <c r="DS273">
        <f t="shared" si="108"/>
        <v>0</v>
      </c>
      <c r="EC273">
        <f t="shared" si="109"/>
        <v>0</v>
      </c>
      <c r="EH273">
        <f t="shared" si="110"/>
        <v>0</v>
      </c>
      <c r="EM273">
        <f t="shared" si="111"/>
        <v>0</v>
      </c>
      <c r="ER273">
        <f t="shared" si="112"/>
        <v>0</v>
      </c>
      <c r="EW273">
        <f t="shared" si="113"/>
        <v>0</v>
      </c>
      <c r="FQ273" s="420">
        <f>'EXTRAS (2)'!D206</f>
        <v>0</v>
      </c>
      <c r="FR273" s="420">
        <f>'EXTRAS (2)'!E206</f>
        <v>0</v>
      </c>
      <c r="FU273" s="420">
        <f t="shared" si="114"/>
        <v>0</v>
      </c>
    </row>
    <row r="274" spans="1:177">
      <c r="A274">
        <v>86</v>
      </c>
      <c r="B274" s="399" t="s">
        <v>452</v>
      </c>
      <c r="C274" s="400" t="s">
        <v>0</v>
      </c>
      <c r="F274" s="333">
        <f>(Transformadores!X9+Transformadores!R8+Transformadores!Y12)*8</f>
        <v>0</v>
      </c>
      <c r="AB274">
        <f t="shared" si="100"/>
        <v>0</v>
      </c>
      <c r="AM274">
        <f t="shared" si="101"/>
        <v>0</v>
      </c>
      <c r="CE274">
        <f t="shared" si="102"/>
        <v>0</v>
      </c>
      <c r="CJ274">
        <f t="shared" si="103"/>
        <v>0</v>
      </c>
      <c r="CO274">
        <f t="shared" si="104"/>
        <v>0</v>
      </c>
      <c r="CY274">
        <f t="shared" si="105"/>
        <v>0</v>
      </c>
      <c r="DD274">
        <f t="shared" si="106"/>
        <v>0</v>
      </c>
      <c r="DI274">
        <f t="shared" si="107"/>
        <v>0</v>
      </c>
      <c r="DN274">
        <f t="shared" si="97"/>
        <v>0</v>
      </c>
      <c r="DS274">
        <f t="shared" si="108"/>
        <v>0</v>
      </c>
      <c r="EC274">
        <f t="shared" si="109"/>
        <v>0</v>
      </c>
      <c r="EH274">
        <f t="shared" si="110"/>
        <v>0</v>
      </c>
      <c r="EM274">
        <f t="shared" si="111"/>
        <v>0</v>
      </c>
      <c r="ER274">
        <f t="shared" si="112"/>
        <v>0</v>
      </c>
      <c r="EW274">
        <f t="shared" si="113"/>
        <v>0</v>
      </c>
      <c r="FB274">
        <f>SUM(FB$7:FB$28,FC$7:FC$28,FD$7:FD$28)*(FA274)</f>
        <v>0</v>
      </c>
      <c r="FG274">
        <f>SUM(FG$7:FG$28,FH$7:FH$28,FI$7:FI$28)*(FF274)</f>
        <v>0</v>
      </c>
      <c r="FM274">
        <f>SUM(FM$7:FM$28,FN$7:FN$28,FO$7:FO$28)*(FL274)</f>
        <v>0</v>
      </c>
      <c r="FQ274" s="420">
        <f>'EXTRAS (2)'!D207</f>
        <v>0</v>
      </c>
      <c r="FR274" s="420">
        <f>'EXTRAS (2)'!E207</f>
        <v>0</v>
      </c>
      <c r="FU274" s="420">
        <f t="shared" si="114"/>
        <v>0</v>
      </c>
    </row>
    <row r="275" spans="1:177">
      <c r="A275">
        <v>87</v>
      </c>
      <c r="B275" s="399" t="s">
        <v>10</v>
      </c>
      <c r="C275" s="400" t="s">
        <v>0</v>
      </c>
      <c r="F275" s="333">
        <f>(Transformadores!Y9+Transformadores!T8)*8</f>
        <v>0</v>
      </c>
      <c r="AB275">
        <f t="shared" si="100"/>
        <v>0</v>
      </c>
      <c r="AM275">
        <f t="shared" si="101"/>
        <v>0</v>
      </c>
      <c r="CE275">
        <f t="shared" si="102"/>
        <v>0</v>
      </c>
      <c r="CJ275">
        <f t="shared" si="103"/>
        <v>0</v>
      </c>
      <c r="CO275">
        <f t="shared" si="104"/>
        <v>0</v>
      </c>
      <c r="CY275">
        <f t="shared" si="105"/>
        <v>0</v>
      </c>
      <c r="DD275">
        <f t="shared" si="106"/>
        <v>0</v>
      </c>
      <c r="DI275">
        <f t="shared" si="107"/>
        <v>0</v>
      </c>
      <c r="DN275">
        <f t="shared" si="97"/>
        <v>0</v>
      </c>
      <c r="DS275">
        <f t="shared" si="108"/>
        <v>0</v>
      </c>
      <c r="EC275">
        <f t="shared" si="109"/>
        <v>0</v>
      </c>
      <c r="EH275">
        <f t="shared" si="110"/>
        <v>0</v>
      </c>
      <c r="EM275">
        <f t="shared" si="111"/>
        <v>0</v>
      </c>
      <c r="ER275">
        <f t="shared" si="112"/>
        <v>0</v>
      </c>
      <c r="EW275">
        <f t="shared" si="113"/>
        <v>0</v>
      </c>
      <c r="FB275">
        <f t="shared" ref="FB275:FB339" si="115">SUM(FB$7:FB$28,FC$7:FC$28,FD$7:FD$28)*(FA275)</f>
        <v>0</v>
      </c>
      <c r="FG275">
        <f t="shared" ref="FG275:FG339" si="116">SUM(FG$7:FG$28,FH$7:FH$28,FI$7:FI$28)*(FF275)</f>
        <v>0</v>
      </c>
      <c r="FM275">
        <f t="shared" ref="FM275:FM339" si="117">SUM(FM$7:FM$28,FN$7:FN$28,FO$7:FO$28)*(FL275)</f>
        <v>0</v>
      </c>
      <c r="FQ275" s="420">
        <f>'EXTRAS (2)'!D208</f>
        <v>0</v>
      </c>
      <c r="FR275" s="420">
        <f>'EXTRAS (2)'!E208</f>
        <v>0</v>
      </c>
      <c r="FU275" s="420">
        <f t="shared" si="114"/>
        <v>0</v>
      </c>
    </row>
    <row r="276" spans="1:177">
      <c r="A276">
        <v>88</v>
      </c>
      <c r="B276" s="399" t="s">
        <v>851</v>
      </c>
      <c r="C276" s="400" t="s">
        <v>0</v>
      </c>
      <c r="AB276">
        <f t="shared" si="100"/>
        <v>0</v>
      </c>
      <c r="AM276">
        <f t="shared" si="101"/>
        <v>0</v>
      </c>
      <c r="CE276">
        <f t="shared" si="102"/>
        <v>0</v>
      </c>
      <c r="CJ276">
        <f t="shared" si="103"/>
        <v>0</v>
      </c>
      <c r="CO276">
        <f t="shared" si="104"/>
        <v>0</v>
      </c>
      <c r="CY276">
        <f t="shared" si="105"/>
        <v>0</v>
      </c>
      <c r="DD276">
        <f t="shared" si="106"/>
        <v>0</v>
      </c>
      <c r="DI276">
        <f t="shared" si="107"/>
        <v>0</v>
      </c>
      <c r="DN276">
        <f t="shared" si="97"/>
        <v>0</v>
      </c>
      <c r="DS276">
        <f t="shared" si="108"/>
        <v>0</v>
      </c>
      <c r="EC276">
        <f t="shared" si="109"/>
        <v>0</v>
      </c>
      <c r="EH276">
        <f t="shared" si="110"/>
        <v>0</v>
      </c>
      <c r="EM276">
        <f t="shared" si="111"/>
        <v>0</v>
      </c>
      <c r="ER276">
        <f t="shared" si="112"/>
        <v>0</v>
      </c>
      <c r="EW276">
        <f t="shared" si="113"/>
        <v>0</v>
      </c>
      <c r="FB276">
        <f t="shared" si="115"/>
        <v>0</v>
      </c>
      <c r="FG276">
        <f t="shared" si="116"/>
        <v>0</v>
      </c>
      <c r="FM276">
        <f t="shared" si="117"/>
        <v>0</v>
      </c>
      <c r="FQ276" s="420">
        <f>'EXTRAS (2)'!D209</f>
        <v>0</v>
      </c>
      <c r="FR276" s="420">
        <f>'EXTRAS (2)'!E209</f>
        <v>0</v>
      </c>
      <c r="FU276" s="420">
        <f t="shared" si="114"/>
        <v>0</v>
      </c>
    </row>
    <row r="277" spans="1:177">
      <c r="A277">
        <v>89</v>
      </c>
      <c r="B277" s="399" t="s">
        <v>852</v>
      </c>
      <c r="C277" s="400" t="s">
        <v>0</v>
      </c>
      <c r="AB277">
        <f t="shared" si="100"/>
        <v>0</v>
      </c>
      <c r="AM277">
        <f t="shared" si="101"/>
        <v>0</v>
      </c>
      <c r="CE277">
        <f t="shared" si="102"/>
        <v>0</v>
      </c>
      <c r="CJ277">
        <f t="shared" si="103"/>
        <v>0</v>
      </c>
      <c r="CO277">
        <f t="shared" si="104"/>
        <v>0</v>
      </c>
      <c r="CY277">
        <f t="shared" si="105"/>
        <v>0</v>
      </c>
      <c r="DD277">
        <f t="shared" si="106"/>
        <v>0</v>
      </c>
      <c r="DI277">
        <f t="shared" si="107"/>
        <v>0</v>
      </c>
      <c r="DN277">
        <f t="shared" si="97"/>
        <v>0</v>
      </c>
      <c r="DS277">
        <f t="shared" si="108"/>
        <v>0</v>
      </c>
      <c r="EC277">
        <f t="shared" si="109"/>
        <v>0</v>
      </c>
      <c r="EH277">
        <f t="shared" si="110"/>
        <v>0</v>
      </c>
      <c r="EM277">
        <f t="shared" si="111"/>
        <v>0</v>
      </c>
      <c r="ER277">
        <f t="shared" si="112"/>
        <v>0</v>
      </c>
      <c r="EW277">
        <f t="shared" si="113"/>
        <v>0</v>
      </c>
      <c r="FB277">
        <f t="shared" si="115"/>
        <v>0</v>
      </c>
      <c r="FG277">
        <f t="shared" si="116"/>
        <v>0</v>
      </c>
      <c r="FM277">
        <f t="shared" si="117"/>
        <v>0</v>
      </c>
      <c r="FQ277" s="420">
        <f>'EXTRAS (2)'!D210</f>
        <v>0</v>
      </c>
      <c r="FR277" s="420">
        <f>'EXTRAS (2)'!E210</f>
        <v>0</v>
      </c>
      <c r="FU277" s="420">
        <f t="shared" si="114"/>
        <v>0</v>
      </c>
    </row>
    <row r="278" spans="1:177">
      <c r="A278">
        <v>90</v>
      </c>
      <c r="B278" s="399" t="s">
        <v>853</v>
      </c>
      <c r="C278" s="400" t="s">
        <v>0</v>
      </c>
      <c r="AB278">
        <f t="shared" si="100"/>
        <v>0</v>
      </c>
      <c r="AM278">
        <f t="shared" si="101"/>
        <v>0</v>
      </c>
      <c r="CE278">
        <f t="shared" si="102"/>
        <v>0</v>
      </c>
      <c r="CJ278">
        <f t="shared" si="103"/>
        <v>0</v>
      </c>
      <c r="CO278">
        <f t="shared" si="104"/>
        <v>0</v>
      </c>
      <c r="CY278">
        <f t="shared" si="105"/>
        <v>0</v>
      </c>
      <c r="DD278">
        <f t="shared" si="106"/>
        <v>0</v>
      </c>
      <c r="DI278">
        <f t="shared" si="107"/>
        <v>0</v>
      </c>
      <c r="DN278">
        <f t="shared" si="97"/>
        <v>0</v>
      </c>
      <c r="DS278">
        <f t="shared" si="108"/>
        <v>0</v>
      </c>
      <c r="EC278">
        <f t="shared" si="109"/>
        <v>0</v>
      </c>
      <c r="EH278">
        <f t="shared" si="110"/>
        <v>0</v>
      </c>
      <c r="EM278">
        <f t="shared" si="111"/>
        <v>0</v>
      </c>
      <c r="ER278">
        <f t="shared" si="112"/>
        <v>0</v>
      </c>
      <c r="EW278">
        <f t="shared" si="113"/>
        <v>0</v>
      </c>
      <c r="FB278">
        <f t="shared" si="115"/>
        <v>0</v>
      </c>
      <c r="FG278">
        <f t="shared" si="116"/>
        <v>0</v>
      </c>
      <c r="FM278">
        <f t="shared" si="117"/>
        <v>0</v>
      </c>
      <c r="FQ278" s="420">
        <f>'EXTRAS (2)'!D211</f>
        <v>0</v>
      </c>
      <c r="FR278" s="420">
        <f>'EXTRAS (2)'!E211</f>
        <v>0</v>
      </c>
      <c r="FU278" s="420">
        <f t="shared" si="114"/>
        <v>0</v>
      </c>
    </row>
    <row r="279" spans="1:177">
      <c r="A279">
        <v>91</v>
      </c>
      <c r="B279" s="399" t="s">
        <v>854</v>
      </c>
      <c r="C279" s="400" t="s">
        <v>0</v>
      </c>
      <c r="AB279">
        <f t="shared" si="100"/>
        <v>0</v>
      </c>
      <c r="AM279">
        <f t="shared" si="101"/>
        <v>0</v>
      </c>
      <c r="CE279">
        <f t="shared" si="102"/>
        <v>0</v>
      </c>
      <c r="CJ279">
        <f t="shared" si="103"/>
        <v>0</v>
      </c>
      <c r="CO279">
        <f t="shared" si="104"/>
        <v>0</v>
      </c>
      <c r="CY279">
        <f t="shared" si="105"/>
        <v>0</v>
      </c>
      <c r="DD279">
        <f t="shared" si="106"/>
        <v>0</v>
      </c>
      <c r="DI279">
        <f t="shared" si="107"/>
        <v>0</v>
      </c>
      <c r="DN279">
        <f t="shared" si="97"/>
        <v>0</v>
      </c>
      <c r="DS279">
        <f t="shared" si="108"/>
        <v>0</v>
      </c>
      <c r="EC279">
        <f t="shared" si="109"/>
        <v>0</v>
      </c>
      <c r="EH279">
        <f t="shared" si="110"/>
        <v>0</v>
      </c>
      <c r="EM279">
        <f t="shared" si="111"/>
        <v>0</v>
      </c>
      <c r="ER279">
        <f t="shared" si="112"/>
        <v>0</v>
      </c>
      <c r="EW279">
        <f t="shared" si="113"/>
        <v>0</v>
      </c>
      <c r="FB279">
        <f t="shared" si="115"/>
        <v>0</v>
      </c>
      <c r="FG279">
        <f t="shared" si="116"/>
        <v>0</v>
      </c>
      <c r="FM279">
        <f t="shared" si="117"/>
        <v>0</v>
      </c>
      <c r="FQ279" s="420">
        <f>'EXTRAS (2)'!D212</f>
        <v>0</v>
      </c>
      <c r="FR279" s="420">
        <f>'EXTRAS (2)'!E212</f>
        <v>0</v>
      </c>
      <c r="FU279" s="420">
        <f t="shared" si="114"/>
        <v>0</v>
      </c>
    </row>
    <row r="280" spans="1:177">
      <c r="A280">
        <v>92</v>
      </c>
      <c r="B280" s="163" t="s">
        <v>425</v>
      </c>
      <c r="C280" s="400" t="s">
        <v>0</v>
      </c>
      <c r="AB280">
        <f t="shared" si="100"/>
        <v>0</v>
      </c>
      <c r="AM280">
        <f t="shared" si="101"/>
        <v>0</v>
      </c>
      <c r="CE280">
        <f t="shared" si="102"/>
        <v>0</v>
      </c>
      <c r="CJ280">
        <f t="shared" si="103"/>
        <v>0</v>
      </c>
      <c r="CO280">
        <f t="shared" si="104"/>
        <v>0</v>
      </c>
      <c r="CY280">
        <f t="shared" si="105"/>
        <v>0</v>
      </c>
      <c r="DD280">
        <f t="shared" si="106"/>
        <v>0</v>
      </c>
      <c r="DI280">
        <f t="shared" si="107"/>
        <v>0</v>
      </c>
      <c r="DN280">
        <f t="shared" si="97"/>
        <v>0</v>
      </c>
      <c r="DS280">
        <f t="shared" si="108"/>
        <v>0</v>
      </c>
      <c r="EC280">
        <f t="shared" si="109"/>
        <v>0</v>
      </c>
      <c r="EH280">
        <f t="shared" si="110"/>
        <v>0</v>
      </c>
      <c r="EM280">
        <f t="shared" si="111"/>
        <v>0</v>
      </c>
      <c r="ER280">
        <f t="shared" si="112"/>
        <v>0</v>
      </c>
      <c r="EW280">
        <f t="shared" si="113"/>
        <v>0</v>
      </c>
      <c r="FB280">
        <f t="shared" si="115"/>
        <v>0</v>
      </c>
      <c r="FG280">
        <f t="shared" si="116"/>
        <v>0</v>
      </c>
      <c r="FM280">
        <f t="shared" si="117"/>
        <v>0</v>
      </c>
      <c r="FQ280" s="420">
        <f>'EXTRAS (2)'!D213</f>
        <v>0</v>
      </c>
      <c r="FR280" s="420">
        <f>'EXTRAS (2)'!E213</f>
        <v>0</v>
      </c>
      <c r="FU280" s="420">
        <f t="shared" si="114"/>
        <v>0</v>
      </c>
    </row>
    <row r="281" spans="1:177">
      <c r="A281">
        <v>93</v>
      </c>
      <c r="B281" s="163" t="s">
        <v>1084</v>
      </c>
      <c r="C281" s="400" t="s">
        <v>0</v>
      </c>
      <c r="F281" s="333">
        <f>Transformadores!W74</f>
        <v>0</v>
      </c>
      <c r="FB281">
        <f t="shared" si="115"/>
        <v>0</v>
      </c>
      <c r="FG281">
        <f t="shared" si="116"/>
        <v>0</v>
      </c>
      <c r="FM281">
        <f t="shared" si="117"/>
        <v>0</v>
      </c>
      <c r="FQ281" s="420">
        <f>'EXTRAS (2)'!D214</f>
        <v>0</v>
      </c>
      <c r="FR281" s="420">
        <f>'EXTRAS (2)'!E214</f>
        <v>0</v>
      </c>
      <c r="FU281" s="420">
        <f t="shared" si="114"/>
        <v>0</v>
      </c>
    </row>
    <row r="282" spans="1:177">
      <c r="B282" s="163" t="s">
        <v>1570</v>
      </c>
      <c r="C282" s="400" t="s">
        <v>1569</v>
      </c>
      <c r="F282" s="333">
        <f>Transformadores!W75</f>
        <v>0</v>
      </c>
      <c r="FQ282" s="420">
        <f>'EXTRAS (2)'!D215</f>
        <v>0</v>
      </c>
      <c r="FR282" s="420">
        <f>'EXTRAS (2)'!E215</f>
        <v>0</v>
      </c>
      <c r="FU282" s="420">
        <f t="shared" si="114"/>
        <v>0</v>
      </c>
    </row>
    <row r="283" spans="1:177">
      <c r="A283">
        <v>94</v>
      </c>
      <c r="B283" s="399" t="s">
        <v>855</v>
      </c>
      <c r="C283" s="400" t="s">
        <v>0</v>
      </c>
      <c r="F283" s="333"/>
      <c r="AB283">
        <f t="shared" ref="AB283:AB344" si="118">SUM(AB$7:AB$28,AC$7:AC$28,AD$7:AD$28)*(AA283)</f>
        <v>0</v>
      </c>
      <c r="AM283">
        <f t="shared" ref="AM283:AM344" si="119">SUM(AM$7:AM$28,AN$7:AN$28,AO$7:AO$28)*(AL283)</f>
        <v>0</v>
      </c>
      <c r="CE283">
        <f t="shared" ref="CE283:CE314" si="120">SUM(CE$7:CE$28,CF$7:CF$28,CG$7:CG$28)*(CD283)</f>
        <v>0</v>
      </c>
      <c r="CJ283">
        <f>SUM(CJ$7:CJ$28,CK$7:CK$28,CL$7:CL$28)*(CI283)</f>
        <v>0</v>
      </c>
      <c r="CO283">
        <f>SUM(CO$7:CO$28,CP$7:CP$28,CQ$7:CQ$28)*(CN283)</f>
        <v>0</v>
      </c>
      <c r="CY283">
        <f>SUM(CY$7:CY$28,CZ$7:CZ$28,DA$7:DA$28)*(CX283)</f>
        <v>0</v>
      </c>
      <c r="DD283">
        <f>SUM(DD$7:DD$28,DE$7:DE$28,DF$7:DF$28)*(DC283)</f>
        <v>0</v>
      </c>
      <c r="DI283">
        <f>SUM(DI$7:DI$28,DJ$7:DJ$28,DK$7:DK$28)*(DH283)</f>
        <v>0</v>
      </c>
      <c r="DN283">
        <f t="shared" si="97"/>
        <v>0</v>
      </c>
      <c r="DS283">
        <f t="shared" ref="DS283:DS344" si="121">SUM(DS$7:DS$28,DT$7:DT$28,DU$7:DU$28)*(DR283)</f>
        <v>0</v>
      </c>
      <c r="EC283">
        <f t="shared" ref="EC283:EC344" si="122">SUM(EC$7:EC$28,ED$7:ED$28,EE$7:EE$28)*(EB283)</f>
        <v>0</v>
      </c>
      <c r="EH283">
        <f t="shared" ref="EH283:EH344" si="123">SUM(EH$7:EH$28,EI$7:EI$28,EJ$7:EJ$28)*(EG283)</f>
        <v>0</v>
      </c>
      <c r="EM283">
        <f t="shared" ref="EM283:EM344" si="124">SUM(EM$7:EM$28,EN$7:EN$28,EO$7:EO$28)*(EL283)</f>
        <v>0</v>
      </c>
      <c r="ER283">
        <f t="shared" ref="ER283:ER344" si="125">SUM(ER$7:ER$28,ES$7:ES$28,ET$7:ET$28)*(EQ283)</f>
        <v>0</v>
      </c>
      <c r="EW283">
        <f t="shared" ref="EW283:EW344" si="126">SUM(EW$7:EW$28,EX$7:EX$28,EY$7:EY$28)*(EV283)</f>
        <v>0</v>
      </c>
      <c r="FB283">
        <f t="shared" si="115"/>
        <v>0</v>
      </c>
      <c r="FG283">
        <f t="shared" si="116"/>
        <v>0</v>
      </c>
      <c r="FM283">
        <f t="shared" si="117"/>
        <v>0</v>
      </c>
      <c r="FQ283" s="420">
        <f>'EXTRAS (2)'!D216</f>
        <v>0</v>
      </c>
      <c r="FR283" s="420">
        <f>'EXTRAS (2)'!E216</f>
        <v>0</v>
      </c>
      <c r="FU283" s="420">
        <f t="shared" si="114"/>
        <v>0</v>
      </c>
    </row>
    <row r="284" spans="1:177">
      <c r="A284">
        <v>95</v>
      </c>
      <c r="B284" s="399" t="s">
        <v>856</v>
      </c>
      <c r="C284" s="400" t="s">
        <v>0</v>
      </c>
      <c r="F284" s="333"/>
      <c r="AB284">
        <f t="shared" si="118"/>
        <v>0</v>
      </c>
      <c r="AM284">
        <f t="shared" si="119"/>
        <v>0</v>
      </c>
      <c r="CE284">
        <f t="shared" si="120"/>
        <v>0</v>
      </c>
      <c r="CJ284">
        <f>SUM(CJ$7:CJ$28,CK$7:CK$28,CL$7:CL$28)*(CI284)</f>
        <v>0</v>
      </c>
      <c r="CO284">
        <f>SUM(CO$7:CO$28,CP$7:CP$28,CQ$7:CQ$28)*(CN284)</f>
        <v>0</v>
      </c>
      <c r="CY284">
        <f>SUM(CY$7:CY$28,CZ$7:CZ$28,DA$7:DA$28)*(CX284)</f>
        <v>0</v>
      </c>
      <c r="DD284">
        <f>SUM(DD$7:DD$28,DE$7:DE$28,DF$7:DF$28)*(DC284)</f>
        <v>0</v>
      </c>
      <c r="DI284">
        <f>SUM(DI$7:DI$28,DJ$7:DJ$28,DK$7:DK$28)*(DH284)</f>
        <v>0</v>
      </c>
      <c r="DN284">
        <f t="shared" si="97"/>
        <v>0</v>
      </c>
      <c r="DS284">
        <f t="shared" si="121"/>
        <v>0</v>
      </c>
      <c r="EC284">
        <f t="shared" si="122"/>
        <v>0</v>
      </c>
      <c r="EH284">
        <f t="shared" si="123"/>
        <v>0</v>
      </c>
      <c r="EM284">
        <f t="shared" si="124"/>
        <v>0</v>
      </c>
      <c r="ER284">
        <f t="shared" si="125"/>
        <v>0</v>
      </c>
      <c r="EW284">
        <f t="shared" si="126"/>
        <v>0</v>
      </c>
      <c r="FB284">
        <f t="shared" si="115"/>
        <v>0</v>
      </c>
      <c r="FG284">
        <f t="shared" si="116"/>
        <v>0</v>
      </c>
      <c r="FM284">
        <f t="shared" si="117"/>
        <v>0</v>
      </c>
      <c r="FQ284" s="420">
        <f>'EXTRAS (2)'!D217</f>
        <v>0</v>
      </c>
      <c r="FR284" s="420">
        <f>'EXTRAS (2)'!E217</f>
        <v>0</v>
      </c>
      <c r="FU284" s="420">
        <f t="shared" si="114"/>
        <v>0</v>
      </c>
    </row>
    <row r="285" spans="1:177">
      <c r="A285">
        <v>96</v>
      </c>
      <c r="B285" s="399" t="s">
        <v>857</v>
      </c>
      <c r="C285" s="400" t="s">
        <v>0</v>
      </c>
      <c r="F285" s="333"/>
      <c r="AB285">
        <f t="shared" si="118"/>
        <v>0</v>
      </c>
      <c r="AM285">
        <f t="shared" si="119"/>
        <v>0</v>
      </c>
      <c r="CE285">
        <f t="shared" si="120"/>
        <v>0</v>
      </c>
      <c r="CJ285">
        <f t="shared" ref="CJ285:CJ350" si="127">SUM(CJ$7:CJ$28,CK$7:CK$28,CL$7:CL$28)*(CI285)</f>
        <v>0</v>
      </c>
      <c r="CO285">
        <f t="shared" ref="CO285:CO350" si="128">SUM(CO$7:CO$28,CP$7:CP$28,CQ$7:CQ$28)*(CN285)</f>
        <v>0</v>
      </c>
      <c r="CY285">
        <f t="shared" ref="CY285:CY350" si="129">SUM(CY$7:CY$28,CZ$7:CZ$28,DA$7:DA$28)*(CX285)</f>
        <v>0</v>
      </c>
      <c r="DD285">
        <f t="shared" ref="DD285:DD350" si="130">SUM(DD$7:DD$28,DE$7:DE$28,DF$7:DF$28)*(DC285)</f>
        <v>0</v>
      </c>
      <c r="DI285">
        <f t="shared" ref="DI285:DI350" si="131">SUM(DI$7:DI$28,DJ$7:DJ$28,DK$7:DK$28)*(DH285)</f>
        <v>0</v>
      </c>
      <c r="DN285">
        <f t="shared" si="97"/>
        <v>0</v>
      </c>
      <c r="DS285">
        <f t="shared" si="121"/>
        <v>0</v>
      </c>
      <c r="EC285">
        <f t="shared" si="122"/>
        <v>0</v>
      </c>
      <c r="EH285">
        <f t="shared" si="123"/>
        <v>0</v>
      </c>
      <c r="EM285">
        <f t="shared" si="124"/>
        <v>0</v>
      </c>
      <c r="ER285">
        <f t="shared" si="125"/>
        <v>0</v>
      </c>
      <c r="EW285">
        <f t="shared" si="126"/>
        <v>0</v>
      </c>
      <c r="FB285">
        <f t="shared" si="115"/>
        <v>0</v>
      </c>
      <c r="FG285">
        <f t="shared" si="116"/>
        <v>0</v>
      </c>
      <c r="FM285">
        <f t="shared" si="117"/>
        <v>0</v>
      </c>
      <c r="FQ285" s="420">
        <f>'EXTRAS (2)'!D218</f>
        <v>0</v>
      </c>
      <c r="FR285" s="420">
        <f>'EXTRAS (2)'!E218</f>
        <v>0</v>
      </c>
      <c r="FU285" s="420">
        <f t="shared" si="114"/>
        <v>0</v>
      </c>
    </row>
    <row r="286" spans="1:177">
      <c r="A286">
        <v>97</v>
      </c>
      <c r="B286" s="399" t="s">
        <v>858</v>
      </c>
      <c r="C286" s="400" t="s">
        <v>0</v>
      </c>
      <c r="F286" s="333"/>
      <c r="AB286">
        <f t="shared" si="118"/>
        <v>0</v>
      </c>
      <c r="AM286">
        <f t="shared" si="119"/>
        <v>0</v>
      </c>
      <c r="CE286">
        <f t="shared" si="120"/>
        <v>0</v>
      </c>
      <c r="CJ286">
        <f t="shared" si="127"/>
        <v>0</v>
      </c>
      <c r="CO286">
        <f t="shared" si="128"/>
        <v>0</v>
      </c>
      <c r="CY286">
        <f t="shared" si="129"/>
        <v>0</v>
      </c>
      <c r="DD286">
        <f t="shared" si="130"/>
        <v>0</v>
      </c>
      <c r="DI286">
        <f t="shared" si="131"/>
        <v>0</v>
      </c>
      <c r="DN286">
        <f t="shared" si="97"/>
        <v>0</v>
      </c>
      <c r="DS286">
        <f t="shared" si="121"/>
        <v>0</v>
      </c>
      <c r="EC286">
        <f t="shared" si="122"/>
        <v>0</v>
      </c>
      <c r="EH286">
        <f t="shared" si="123"/>
        <v>0</v>
      </c>
      <c r="EM286">
        <f t="shared" si="124"/>
        <v>0</v>
      </c>
      <c r="ER286">
        <f t="shared" si="125"/>
        <v>0</v>
      </c>
      <c r="EW286">
        <f t="shared" si="126"/>
        <v>0</v>
      </c>
      <c r="FB286">
        <f t="shared" si="115"/>
        <v>0</v>
      </c>
      <c r="FG286">
        <f t="shared" si="116"/>
        <v>0</v>
      </c>
      <c r="FM286">
        <f t="shared" si="117"/>
        <v>0</v>
      </c>
      <c r="FQ286" s="420">
        <f>'EXTRAS (2)'!D219</f>
        <v>0</v>
      </c>
      <c r="FR286" s="420">
        <f>'EXTRAS (2)'!E219</f>
        <v>0</v>
      </c>
      <c r="FU286" s="420">
        <f t="shared" si="114"/>
        <v>0</v>
      </c>
    </row>
    <row r="287" spans="1:177">
      <c r="A287">
        <v>98</v>
      </c>
      <c r="B287" s="399" t="s">
        <v>11</v>
      </c>
      <c r="C287" s="400" t="s">
        <v>0</v>
      </c>
      <c r="F287" s="333">
        <f>Transformadores!W73</f>
        <v>0</v>
      </c>
      <c r="AA287" s="992" t="s">
        <v>1671</v>
      </c>
      <c r="AB287" s="992"/>
      <c r="AM287">
        <f t="shared" si="119"/>
        <v>0</v>
      </c>
      <c r="CE287">
        <f t="shared" si="120"/>
        <v>0</v>
      </c>
      <c r="CJ287">
        <f t="shared" si="127"/>
        <v>0</v>
      </c>
      <c r="CO287">
        <f t="shared" si="128"/>
        <v>0</v>
      </c>
      <c r="CY287">
        <f t="shared" si="129"/>
        <v>0</v>
      </c>
      <c r="DD287">
        <f t="shared" si="130"/>
        <v>0</v>
      </c>
      <c r="DI287">
        <f t="shared" si="131"/>
        <v>0</v>
      </c>
      <c r="DN287">
        <f t="shared" si="97"/>
        <v>0</v>
      </c>
      <c r="DS287">
        <f t="shared" si="121"/>
        <v>0</v>
      </c>
      <c r="EC287">
        <f t="shared" si="122"/>
        <v>0</v>
      </c>
      <c r="EH287">
        <f t="shared" si="123"/>
        <v>0</v>
      </c>
      <c r="EM287">
        <f t="shared" si="124"/>
        <v>0</v>
      </c>
      <c r="ER287">
        <f t="shared" si="125"/>
        <v>0</v>
      </c>
      <c r="EW287">
        <f t="shared" si="126"/>
        <v>0</v>
      </c>
      <c r="FB287">
        <f t="shared" si="115"/>
        <v>0</v>
      </c>
      <c r="FG287">
        <f t="shared" si="116"/>
        <v>0</v>
      </c>
      <c r="FM287">
        <f t="shared" si="117"/>
        <v>0</v>
      </c>
      <c r="FQ287" s="420">
        <f>'EXTRAS (2)'!D220</f>
        <v>0</v>
      </c>
      <c r="FR287" s="420">
        <f>'EXTRAS (2)'!E220</f>
        <v>0</v>
      </c>
      <c r="FU287" s="420">
        <f t="shared" si="114"/>
        <v>0</v>
      </c>
    </row>
    <row r="288" spans="1:177">
      <c r="A288">
        <v>99</v>
      </c>
      <c r="B288" s="163" t="s">
        <v>848</v>
      </c>
      <c r="C288" s="400" t="s">
        <v>0</v>
      </c>
      <c r="AB288">
        <f t="shared" si="118"/>
        <v>0</v>
      </c>
      <c r="AM288">
        <f t="shared" si="119"/>
        <v>0</v>
      </c>
      <c r="CE288">
        <f t="shared" si="120"/>
        <v>0</v>
      </c>
      <c r="CJ288">
        <f t="shared" si="127"/>
        <v>0</v>
      </c>
      <c r="CO288">
        <f t="shared" si="128"/>
        <v>0</v>
      </c>
      <c r="CY288">
        <f t="shared" si="129"/>
        <v>0</v>
      </c>
      <c r="DD288">
        <f t="shared" si="130"/>
        <v>0</v>
      </c>
      <c r="DI288">
        <f t="shared" si="131"/>
        <v>0</v>
      </c>
      <c r="DN288">
        <f t="shared" si="97"/>
        <v>0</v>
      </c>
      <c r="DS288">
        <f t="shared" si="121"/>
        <v>0</v>
      </c>
      <c r="EC288">
        <f t="shared" si="122"/>
        <v>0</v>
      </c>
      <c r="EH288">
        <f t="shared" si="123"/>
        <v>0</v>
      </c>
      <c r="EM288">
        <f t="shared" si="124"/>
        <v>0</v>
      </c>
      <c r="ER288">
        <f t="shared" si="125"/>
        <v>0</v>
      </c>
      <c r="EW288">
        <f t="shared" si="126"/>
        <v>0</v>
      </c>
      <c r="FB288">
        <f t="shared" si="115"/>
        <v>0</v>
      </c>
      <c r="FG288">
        <f t="shared" si="116"/>
        <v>0</v>
      </c>
      <c r="FM288">
        <f t="shared" si="117"/>
        <v>0</v>
      </c>
      <c r="FQ288" s="420">
        <f>'EXTRAS (2)'!D221</f>
        <v>0</v>
      </c>
      <c r="FR288" s="420">
        <f>'EXTRAS (2)'!E221</f>
        <v>0</v>
      </c>
      <c r="FU288" s="420">
        <f t="shared" si="114"/>
        <v>0</v>
      </c>
    </row>
    <row r="289" spans="1:177">
      <c r="A289">
        <v>100</v>
      </c>
      <c r="B289" s="399" t="s">
        <v>859</v>
      </c>
      <c r="C289" s="400" t="s">
        <v>0</v>
      </c>
      <c r="AB289">
        <f t="shared" si="118"/>
        <v>0</v>
      </c>
      <c r="AM289">
        <f t="shared" si="119"/>
        <v>0</v>
      </c>
      <c r="BH289">
        <v>1</v>
      </c>
      <c r="BI289">
        <f>SUM(BI$7:BI$28,BP$7:BP$28,BQ$7:BQ$28,BJ$7:BJ$28,BK$28:BK169,BL$7:BL$28,BM$7:BM$28,BN$7:BN$28)*(BH289)</f>
        <v>0</v>
      </c>
      <c r="BS289">
        <v>1</v>
      </c>
      <c r="BT289">
        <f>SUM(BT$7:BT$28,CA$7:CA$28,CB$7:CB$28,BU$7:BU$28,BV$28:BV169,BW$7:BW$28,BX$7:BX$28,BY$7:BY$28)*(BS289)</f>
        <v>0</v>
      </c>
      <c r="CE289">
        <f t="shared" si="120"/>
        <v>0</v>
      </c>
      <c r="CJ289">
        <f t="shared" si="127"/>
        <v>0</v>
      </c>
      <c r="CO289">
        <f t="shared" si="128"/>
        <v>0</v>
      </c>
      <c r="CY289">
        <f t="shared" si="129"/>
        <v>0</v>
      </c>
      <c r="DD289">
        <f t="shared" si="130"/>
        <v>0</v>
      </c>
      <c r="DI289">
        <f t="shared" si="131"/>
        <v>0</v>
      </c>
      <c r="DN289">
        <f t="shared" si="97"/>
        <v>0</v>
      </c>
      <c r="DR289">
        <v>1</v>
      </c>
      <c r="DS289">
        <f t="shared" si="121"/>
        <v>0</v>
      </c>
      <c r="DW289">
        <v>1</v>
      </c>
      <c r="DX289">
        <f>SUM(DX$7:DX$28,DY$7:DY$28,DZ$7:DZ$28)*(DW289)</f>
        <v>0</v>
      </c>
      <c r="EC289">
        <f t="shared" si="122"/>
        <v>0</v>
      </c>
      <c r="EH289">
        <f t="shared" si="123"/>
        <v>0</v>
      </c>
      <c r="EL289">
        <v>1</v>
      </c>
      <c r="EM289">
        <f t="shared" si="124"/>
        <v>0</v>
      </c>
      <c r="EQ289">
        <v>2</v>
      </c>
      <c r="ER289">
        <f t="shared" si="125"/>
        <v>0</v>
      </c>
      <c r="EV289">
        <v>1</v>
      </c>
      <c r="EW289">
        <f t="shared" si="126"/>
        <v>0</v>
      </c>
      <c r="FA289">
        <v>1</v>
      </c>
      <c r="FB289">
        <f t="shared" si="115"/>
        <v>0</v>
      </c>
      <c r="FF289">
        <v>1</v>
      </c>
      <c r="FG289">
        <f t="shared" si="116"/>
        <v>0</v>
      </c>
      <c r="FL289">
        <v>1</v>
      </c>
      <c r="FM289">
        <f t="shared" si="117"/>
        <v>0</v>
      </c>
      <c r="FQ289" s="420">
        <f>'EXTRAS (2)'!D222</f>
        <v>0</v>
      </c>
      <c r="FR289" s="420">
        <f>'EXTRAS (2)'!E222</f>
        <v>0</v>
      </c>
      <c r="FU289" s="420">
        <f t="shared" si="114"/>
        <v>0</v>
      </c>
    </row>
    <row r="290" spans="1:177">
      <c r="A290">
        <v>101</v>
      </c>
      <c r="B290" s="399" t="s">
        <v>860</v>
      </c>
      <c r="C290" s="400" t="s">
        <v>0</v>
      </c>
      <c r="AB290">
        <f t="shared" si="118"/>
        <v>0</v>
      </c>
      <c r="AM290">
        <f t="shared" si="119"/>
        <v>0</v>
      </c>
      <c r="CE290">
        <f t="shared" si="120"/>
        <v>0</v>
      </c>
      <c r="CJ290">
        <f t="shared" si="127"/>
        <v>0</v>
      </c>
      <c r="CO290">
        <f t="shared" si="128"/>
        <v>0</v>
      </c>
      <c r="CY290">
        <f t="shared" si="129"/>
        <v>0</v>
      </c>
      <c r="DD290">
        <f t="shared" si="130"/>
        <v>0</v>
      </c>
      <c r="DI290">
        <f t="shared" si="131"/>
        <v>0</v>
      </c>
      <c r="DN290">
        <f t="shared" si="97"/>
        <v>0</v>
      </c>
      <c r="DS290">
        <f t="shared" si="121"/>
        <v>0</v>
      </c>
      <c r="EC290">
        <f t="shared" si="122"/>
        <v>0</v>
      </c>
      <c r="EH290">
        <f t="shared" si="123"/>
        <v>0</v>
      </c>
      <c r="EM290">
        <f t="shared" si="124"/>
        <v>0</v>
      </c>
      <c r="ER290">
        <f t="shared" si="125"/>
        <v>0</v>
      </c>
      <c r="EW290">
        <f t="shared" si="126"/>
        <v>0</v>
      </c>
      <c r="FB290">
        <f t="shared" si="115"/>
        <v>0</v>
      </c>
      <c r="FG290">
        <f t="shared" si="116"/>
        <v>0</v>
      </c>
      <c r="FM290">
        <f t="shared" si="117"/>
        <v>0</v>
      </c>
      <c r="FQ290" s="420">
        <f>'EXTRAS (2)'!D223</f>
        <v>0</v>
      </c>
      <c r="FR290" s="420">
        <f>'EXTRAS (2)'!E223</f>
        <v>0</v>
      </c>
      <c r="FU290" s="420">
        <f t="shared" si="114"/>
        <v>0</v>
      </c>
    </row>
    <row r="291" spans="1:177">
      <c r="A291">
        <v>102</v>
      </c>
      <c r="B291" s="399" t="s">
        <v>861</v>
      </c>
      <c r="C291" s="400" t="s">
        <v>0</v>
      </c>
      <c r="AB291">
        <f t="shared" si="118"/>
        <v>0</v>
      </c>
      <c r="AM291">
        <f t="shared" si="119"/>
        <v>0</v>
      </c>
      <c r="CE291">
        <f t="shared" si="120"/>
        <v>0</v>
      </c>
      <c r="CJ291">
        <f t="shared" si="127"/>
        <v>0</v>
      </c>
      <c r="CO291">
        <f t="shared" si="128"/>
        <v>0</v>
      </c>
      <c r="CY291">
        <f t="shared" si="129"/>
        <v>0</v>
      </c>
      <c r="DD291">
        <f t="shared" si="130"/>
        <v>0</v>
      </c>
      <c r="DI291">
        <f t="shared" si="131"/>
        <v>0</v>
      </c>
      <c r="DN291">
        <f t="shared" si="97"/>
        <v>0</v>
      </c>
      <c r="DS291">
        <f t="shared" si="121"/>
        <v>0</v>
      </c>
      <c r="EC291">
        <f t="shared" si="122"/>
        <v>0</v>
      </c>
      <c r="EH291">
        <f t="shared" si="123"/>
        <v>0</v>
      </c>
      <c r="EM291">
        <f t="shared" si="124"/>
        <v>0</v>
      </c>
      <c r="ER291">
        <f t="shared" si="125"/>
        <v>0</v>
      </c>
      <c r="EW291">
        <f t="shared" si="126"/>
        <v>0</v>
      </c>
      <c r="FB291">
        <f t="shared" si="115"/>
        <v>0</v>
      </c>
      <c r="FG291">
        <f t="shared" si="116"/>
        <v>0</v>
      </c>
      <c r="FM291">
        <f t="shared" si="117"/>
        <v>0</v>
      </c>
      <c r="FQ291" s="420">
        <f>'EXTRAS (2)'!D224</f>
        <v>0</v>
      </c>
      <c r="FR291" s="420">
        <f>'EXTRAS (2)'!E224</f>
        <v>0</v>
      </c>
      <c r="FU291" s="420">
        <f t="shared" si="114"/>
        <v>0</v>
      </c>
    </row>
    <row r="292" spans="1:177">
      <c r="A292">
        <v>103</v>
      </c>
      <c r="B292" s="399" t="s">
        <v>862</v>
      </c>
      <c r="C292" s="400" t="s">
        <v>0</v>
      </c>
      <c r="AB292">
        <f t="shared" si="118"/>
        <v>0</v>
      </c>
      <c r="AM292">
        <f t="shared" si="119"/>
        <v>0</v>
      </c>
      <c r="CE292">
        <f t="shared" si="120"/>
        <v>0</v>
      </c>
      <c r="CJ292">
        <f t="shared" si="127"/>
        <v>0</v>
      </c>
      <c r="CO292">
        <f t="shared" si="128"/>
        <v>0</v>
      </c>
      <c r="CY292">
        <f t="shared" si="129"/>
        <v>0</v>
      </c>
      <c r="DD292">
        <f t="shared" si="130"/>
        <v>0</v>
      </c>
      <c r="DI292">
        <f t="shared" si="131"/>
        <v>0</v>
      </c>
      <c r="DN292">
        <f t="shared" si="97"/>
        <v>0</v>
      </c>
      <c r="DS292">
        <f t="shared" si="121"/>
        <v>0</v>
      </c>
      <c r="EC292">
        <f t="shared" si="122"/>
        <v>0</v>
      </c>
      <c r="EH292">
        <f t="shared" si="123"/>
        <v>0</v>
      </c>
      <c r="EM292">
        <f t="shared" si="124"/>
        <v>0</v>
      </c>
      <c r="ER292">
        <f t="shared" si="125"/>
        <v>0</v>
      </c>
      <c r="EW292">
        <f t="shared" si="126"/>
        <v>0</v>
      </c>
      <c r="FB292">
        <f t="shared" si="115"/>
        <v>0</v>
      </c>
      <c r="FG292">
        <f t="shared" si="116"/>
        <v>0</v>
      </c>
      <c r="FM292">
        <f t="shared" si="117"/>
        <v>0</v>
      </c>
      <c r="FQ292" s="420">
        <f>'EXTRAS (2)'!D225</f>
        <v>0</v>
      </c>
      <c r="FR292" s="420">
        <f>'EXTRAS (2)'!E225</f>
        <v>0</v>
      </c>
      <c r="FU292" s="420">
        <f t="shared" si="114"/>
        <v>0</v>
      </c>
    </row>
    <row r="293" spans="1:177">
      <c r="A293">
        <v>104</v>
      </c>
      <c r="B293" s="399" t="s">
        <v>863</v>
      </c>
      <c r="C293" s="400" t="s">
        <v>0</v>
      </c>
      <c r="AB293">
        <f t="shared" si="118"/>
        <v>0</v>
      </c>
      <c r="AM293">
        <f t="shared" si="119"/>
        <v>0</v>
      </c>
      <c r="CE293">
        <f t="shared" si="120"/>
        <v>0</v>
      </c>
      <c r="CJ293">
        <f t="shared" si="127"/>
        <v>0</v>
      </c>
      <c r="CO293">
        <f t="shared" si="128"/>
        <v>0</v>
      </c>
      <c r="CY293">
        <f t="shared" si="129"/>
        <v>0</v>
      </c>
      <c r="DD293">
        <f t="shared" si="130"/>
        <v>0</v>
      </c>
      <c r="DI293">
        <f t="shared" si="131"/>
        <v>0</v>
      </c>
      <c r="DN293">
        <f t="shared" si="97"/>
        <v>0</v>
      </c>
      <c r="DS293">
        <f t="shared" si="121"/>
        <v>0</v>
      </c>
      <c r="EC293">
        <f t="shared" si="122"/>
        <v>0</v>
      </c>
      <c r="EH293">
        <f t="shared" si="123"/>
        <v>0</v>
      </c>
      <c r="EM293">
        <f t="shared" si="124"/>
        <v>0</v>
      </c>
      <c r="ER293">
        <f t="shared" si="125"/>
        <v>0</v>
      </c>
      <c r="EW293">
        <f t="shared" si="126"/>
        <v>0</v>
      </c>
      <c r="FB293">
        <f t="shared" si="115"/>
        <v>0</v>
      </c>
      <c r="FG293">
        <f t="shared" si="116"/>
        <v>0</v>
      </c>
      <c r="FM293">
        <f t="shared" si="117"/>
        <v>0</v>
      </c>
      <c r="FQ293" s="420">
        <f>'EXTRAS (2)'!D226</f>
        <v>0</v>
      </c>
      <c r="FR293" s="420">
        <f>'EXTRAS (2)'!E226</f>
        <v>0</v>
      </c>
      <c r="FU293" s="420">
        <f t="shared" si="114"/>
        <v>0</v>
      </c>
    </row>
    <row r="294" spans="1:177">
      <c r="A294">
        <v>105</v>
      </c>
      <c r="B294" s="399" t="s">
        <v>864</v>
      </c>
      <c r="C294" s="400" t="s">
        <v>0</v>
      </c>
      <c r="AB294">
        <f t="shared" si="118"/>
        <v>0</v>
      </c>
      <c r="AM294">
        <f t="shared" si="119"/>
        <v>0</v>
      </c>
      <c r="CE294">
        <f t="shared" si="120"/>
        <v>0</v>
      </c>
      <c r="CJ294">
        <f t="shared" si="127"/>
        <v>0</v>
      </c>
      <c r="CO294">
        <f t="shared" si="128"/>
        <v>0</v>
      </c>
      <c r="CY294">
        <f t="shared" si="129"/>
        <v>0</v>
      </c>
      <c r="DD294">
        <f t="shared" si="130"/>
        <v>0</v>
      </c>
      <c r="DI294">
        <f t="shared" si="131"/>
        <v>0</v>
      </c>
      <c r="DN294">
        <f t="shared" si="97"/>
        <v>0</v>
      </c>
      <c r="DS294">
        <f t="shared" si="121"/>
        <v>0</v>
      </c>
      <c r="EC294">
        <f t="shared" si="122"/>
        <v>0</v>
      </c>
      <c r="EH294">
        <f t="shared" si="123"/>
        <v>0</v>
      </c>
      <c r="EM294">
        <f t="shared" si="124"/>
        <v>0</v>
      </c>
      <c r="ER294">
        <f t="shared" si="125"/>
        <v>0</v>
      </c>
      <c r="EW294">
        <f t="shared" si="126"/>
        <v>0</v>
      </c>
      <c r="FB294">
        <f t="shared" si="115"/>
        <v>0</v>
      </c>
      <c r="FG294">
        <f t="shared" si="116"/>
        <v>0</v>
      </c>
      <c r="FM294">
        <f t="shared" si="117"/>
        <v>0</v>
      </c>
      <c r="FQ294" s="420">
        <f>'EXTRAS (2)'!D227</f>
        <v>0</v>
      </c>
      <c r="FR294" s="420">
        <f>'EXTRAS (2)'!E227</f>
        <v>0</v>
      </c>
      <c r="FU294" s="420">
        <f t="shared" si="114"/>
        <v>0</v>
      </c>
    </row>
    <row r="295" spans="1:177" ht="15" customHeight="1">
      <c r="A295">
        <v>106</v>
      </c>
      <c r="B295" s="399" t="s">
        <v>865</v>
      </c>
      <c r="C295" s="400" t="s">
        <v>0</v>
      </c>
      <c r="AB295">
        <f t="shared" si="118"/>
        <v>0</v>
      </c>
      <c r="AM295">
        <f t="shared" si="119"/>
        <v>0</v>
      </c>
      <c r="CE295">
        <f t="shared" si="120"/>
        <v>0</v>
      </c>
      <c r="CJ295">
        <f t="shared" si="127"/>
        <v>0</v>
      </c>
      <c r="CO295">
        <f t="shared" si="128"/>
        <v>0</v>
      </c>
      <c r="CY295">
        <f t="shared" si="129"/>
        <v>0</v>
      </c>
      <c r="DD295">
        <f t="shared" si="130"/>
        <v>0</v>
      </c>
      <c r="DI295">
        <f t="shared" si="131"/>
        <v>0</v>
      </c>
      <c r="DN295">
        <f t="shared" si="97"/>
        <v>0</v>
      </c>
      <c r="DS295">
        <f t="shared" si="121"/>
        <v>0</v>
      </c>
      <c r="EC295">
        <f t="shared" si="122"/>
        <v>0</v>
      </c>
      <c r="EH295">
        <f t="shared" si="123"/>
        <v>0</v>
      </c>
      <c r="EM295">
        <f t="shared" si="124"/>
        <v>0</v>
      </c>
      <c r="ER295">
        <f t="shared" si="125"/>
        <v>0</v>
      </c>
      <c r="EW295">
        <f t="shared" si="126"/>
        <v>0</v>
      </c>
      <c r="FB295">
        <f t="shared" si="115"/>
        <v>0</v>
      </c>
      <c r="FG295">
        <f t="shared" si="116"/>
        <v>0</v>
      </c>
      <c r="FM295">
        <f t="shared" si="117"/>
        <v>0</v>
      </c>
      <c r="FQ295" s="420">
        <f>'EXTRAS (2)'!D228</f>
        <v>0</v>
      </c>
      <c r="FR295" s="420">
        <f>'EXTRAS (2)'!E228</f>
        <v>0</v>
      </c>
      <c r="FU295" s="420">
        <f t="shared" si="114"/>
        <v>0</v>
      </c>
    </row>
    <row r="296" spans="1:177" ht="15" customHeight="1">
      <c r="A296">
        <v>107</v>
      </c>
      <c r="B296" s="399" t="s">
        <v>866</v>
      </c>
      <c r="C296" s="400" t="s">
        <v>0</v>
      </c>
      <c r="AB296">
        <f t="shared" si="118"/>
        <v>0</v>
      </c>
      <c r="AM296">
        <f t="shared" si="119"/>
        <v>0</v>
      </c>
      <c r="CE296">
        <f t="shared" si="120"/>
        <v>0</v>
      </c>
      <c r="CJ296">
        <f t="shared" si="127"/>
        <v>0</v>
      </c>
      <c r="CO296">
        <f t="shared" si="128"/>
        <v>0</v>
      </c>
      <c r="CY296">
        <f t="shared" si="129"/>
        <v>0</v>
      </c>
      <c r="DD296">
        <f t="shared" si="130"/>
        <v>0</v>
      </c>
      <c r="DI296">
        <f t="shared" si="131"/>
        <v>0</v>
      </c>
      <c r="DN296">
        <f t="shared" si="97"/>
        <v>0</v>
      </c>
      <c r="DS296">
        <f t="shared" si="121"/>
        <v>0</v>
      </c>
      <c r="EC296">
        <f t="shared" si="122"/>
        <v>0</v>
      </c>
      <c r="EH296">
        <f t="shared" si="123"/>
        <v>0</v>
      </c>
      <c r="EM296">
        <f t="shared" si="124"/>
        <v>0</v>
      </c>
      <c r="ER296">
        <f t="shared" si="125"/>
        <v>0</v>
      </c>
      <c r="EW296">
        <f t="shared" si="126"/>
        <v>0</v>
      </c>
      <c r="FB296">
        <f t="shared" si="115"/>
        <v>0</v>
      </c>
      <c r="FG296">
        <f t="shared" si="116"/>
        <v>0</v>
      </c>
      <c r="FM296">
        <f t="shared" si="117"/>
        <v>0</v>
      </c>
      <c r="FQ296" s="420">
        <f>'EXTRAS (2)'!D229</f>
        <v>0</v>
      </c>
      <c r="FR296" s="420">
        <f>'EXTRAS (2)'!E229</f>
        <v>0</v>
      </c>
      <c r="FU296" s="420">
        <f t="shared" si="114"/>
        <v>0</v>
      </c>
    </row>
    <row r="297" spans="1:177" ht="15" customHeight="1">
      <c r="A297">
        <v>108</v>
      </c>
      <c r="B297" s="399" t="s">
        <v>867</v>
      </c>
      <c r="C297" s="400" t="s">
        <v>0</v>
      </c>
      <c r="AB297">
        <f t="shared" si="118"/>
        <v>0</v>
      </c>
      <c r="AM297">
        <f t="shared" si="119"/>
        <v>0</v>
      </c>
      <c r="CE297">
        <f t="shared" si="120"/>
        <v>0</v>
      </c>
      <c r="CJ297">
        <f t="shared" si="127"/>
        <v>0</v>
      </c>
      <c r="CO297">
        <f t="shared" si="128"/>
        <v>0</v>
      </c>
      <c r="CY297">
        <f t="shared" si="129"/>
        <v>0</v>
      </c>
      <c r="DD297">
        <f t="shared" si="130"/>
        <v>0</v>
      </c>
      <c r="DI297">
        <f t="shared" si="131"/>
        <v>0</v>
      </c>
      <c r="DN297">
        <f t="shared" si="97"/>
        <v>0</v>
      </c>
      <c r="DS297">
        <f t="shared" si="121"/>
        <v>0</v>
      </c>
      <c r="EC297">
        <f t="shared" si="122"/>
        <v>0</v>
      </c>
      <c r="EH297">
        <f t="shared" si="123"/>
        <v>0</v>
      </c>
      <c r="EM297">
        <f t="shared" si="124"/>
        <v>0</v>
      </c>
      <c r="ER297">
        <f t="shared" si="125"/>
        <v>0</v>
      </c>
      <c r="EW297">
        <f t="shared" si="126"/>
        <v>0</v>
      </c>
      <c r="FB297">
        <f t="shared" si="115"/>
        <v>0</v>
      </c>
      <c r="FG297">
        <f t="shared" si="116"/>
        <v>0</v>
      </c>
      <c r="FM297">
        <f t="shared" si="117"/>
        <v>0</v>
      </c>
      <c r="FQ297" s="420">
        <f>'EXTRAS (2)'!D230</f>
        <v>0</v>
      </c>
      <c r="FR297" s="420">
        <f>'EXTRAS (2)'!E230</f>
        <v>0</v>
      </c>
      <c r="FU297" s="420">
        <f t="shared" si="114"/>
        <v>0</v>
      </c>
    </row>
    <row r="298" spans="1:177" ht="15" customHeight="1">
      <c r="A298">
        <v>109</v>
      </c>
      <c r="B298" s="402" t="s">
        <v>868</v>
      </c>
      <c r="C298" s="400" t="s">
        <v>0</v>
      </c>
      <c r="AB298">
        <f t="shared" si="118"/>
        <v>0</v>
      </c>
      <c r="AM298">
        <f t="shared" si="119"/>
        <v>0</v>
      </c>
      <c r="CE298">
        <f t="shared" si="120"/>
        <v>0</v>
      </c>
      <c r="CJ298">
        <f t="shared" si="127"/>
        <v>0</v>
      </c>
      <c r="CO298">
        <f t="shared" si="128"/>
        <v>0</v>
      </c>
      <c r="CY298">
        <f t="shared" si="129"/>
        <v>0</v>
      </c>
      <c r="DD298">
        <f t="shared" si="130"/>
        <v>0</v>
      </c>
      <c r="DI298">
        <f t="shared" si="131"/>
        <v>0</v>
      </c>
      <c r="DN298">
        <f t="shared" si="97"/>
        <v>0</v>
      </c>
      <c r="DS298">
        <f t="shared" si="121"/>
        <v>0</v>
      </c>
      <c r="EC298">
        <f t="shared" si="122"/>
        <v>0</v>
      </c>
      <c r="EH298">
        <f t="shared" si="123"/>
        <v>0</v>
      </c>
      <c r="EM298">
        <f t="shared" si="124"/>
        <v>0</v>
      </c>
      <c r="ER298">
        <f t="shared" si="125"/>
        <v>0</v>
      </c>
      <c r="EW298">
        <f t="shared" si="126"/>
        <v>0</v>
      </c>
      <c r="FB298">
        <f t="shared" si="115"/>
        <v>0</v>
      </c>
      <c r="FG298">
        <f t="shared" si="116"/>
        <v>0</v>
      </c>
      <c r="FM298">
        <f t="shared" si="117"/>
        <v>0</v>
      </c>
      <c r="FQ298" s="420">
        <f>'EXTRAS (2)'!D231</f>
        <v>0</v>
      </c>
      <c r="FR298" s="420">
        <f>'EXTRAS (2)'!E231</f>
        <v>0</v>
      </c>
      <c r="FU298" s="420">
        <f t="shared" si="114"/>
        <v>0</v>
      </c>
    </row>
    <row r="299" spans="1:177" ht="15" customHeight="1">
      <c r="A299">
        <v>110</v>
      </c>
      <c r="B299" s="402" t="s">
        <v>869</v>
      </c>
      <c r="C299" s="400" t="s">
        <v>0</v>
      </c>
      <c r="AB299">
        <f t="shared" si="118"/>
        <v>0</v>
      </c>
      <c r="AM299">
        <f t="shared" si="119"/>
        <v>0</v>
      </c>
      <c r="CE299">
        <f t="shared" si="120"/>
        <v>0</v>
      </c>
      <c r="CJ299">
        <f t="shared" si="127"/>
        <v>0</v>
      </c>
      <c r="CO299">
        <f t="shared" si="128"/>
        <v>0</v>
      </c>
      <c r="CY299">
        <f t="shared" si="129"/>
        <v>0</v>
      </c>
      <c r="DD299">
        <f t="shared" si="130"/>
        <v>0</v>
      </c>
      <c r="DI299">
        <f t="shared" si="131"/>
        <v>0</v>
      </c>
      <c r="DN299">
        <f t="shared" si="97"/>
        <v>0</v>
      </c>
      <c r="DS299">
        <f t="shared" si="121"/>
        <v>0</v>
      </c>
      <c r="EC299">
        <f t="shared" si="122"/>
        <v>0</v>
      </c>
      <c r="EH299">
        <f t="shared" si="123"/>
        <v>0</v>
      </c>
      <c r="EM299">
        <f t="shared" si="124"/>
        <v>0</v>
      </c>
      <c r="ER299">
        <f t="shared" si="125"/>
        <v>0</v>
      </c>
      <c r="EW299">
        <f t="shared" si="126"/>
        <v>0</v>
      </c>
      <c r="FB299">
        <f t="shared" si="115"/>
        <v>0</v>
      </c>
      <c r="FG299">
        <f t="shared" si="116"/>
        <v>0</v>
      </c>
      <c r="FM299">
        <f t="shared" si="117"/>
        <v>0</v>
      </c>
      <c r="FQ299" s="420">
        <f>'EXTRAS (2)'!D232</f>
        <v>0</v>
      </c>
      <c r="FR299" s="420">
        <f>'EXTRAS (2)'!E232</f>
        <v>0</v>
      </c>
      <c r="FU299" s="420">
        <f t="shared" si="114"/>
        <v>0</v>
      </c>
    </row>
    <row r="300" spans="1:177" ht="15" customHeight="1">
      <c r="A300">
        <v>111</v>
      </c>
      <c r="B300" s="402" t="s">
        <v>870</v>
      </c>
      <c r="C300" s="400" t="s">
        <v>0</v>
      </c>
      <c r="AB300">
        <f t="shared" si="118"/>
        <v>0</v>
      </c>
      <c r="AM300">
        <f t="shared" si="119"/>
        <v>0</v>
      </c>
      <c r="CE300">
        <f t="shared" si="120"/>
        <v>0</v>
      </c>
      <c r="CJ300">
        <f t="shared" si="127"/>
        <v>0</v>
      </c>
      <c r="CO300">
        <f t="shared" si="128"/>
        <v>0</v>
      </c>
      <c r="CY300">
        <f t="shared" si="129"/>
        <v>0</v>
      </c>
      <c r="DD300">
        <f t="shared" si="130"/>
        <v>0</v>
      </c>
      <c r="DI300">
        <f t="shared" si="131"/>
        <v>0</v>
      </c>
      <c r="DN300">
        <f t="shared" si="97"/>
        <v>0</v>
      </c>
      <c r="DS300">
        <f t="shared" si="121"/>
        <v>0</v>
      </c>
      <c r="EC300">
        <f t="shared" si="122"/>
        <v>0</v>
      </c>
      <c r="EH300">
        <f t="shared" si="123"/>
        <v>0</v>
      </c>
      <c r="EM300">
        <f t="shared" si="124"/>
        <v>0</v>
      </c>
      <c r="ER300">
        <f t="shared" si="125"/>
        <v>0</v>
      </c>
      <c r="EW300">
        <f t="shared" si="126"/>
        <v>0</v>
      </c>
      <c r="FB300">
        <f t="shared" si="115"/>
        <v>0</v>
      </c>
      <c r="FG300">
        <f t="shared" si="116"/>
        <v>0</v>
      </c>
      <c r="FM300">
        <f t="shared" si="117"/>
        <v>0</v>
      </c>
      <c r="FQ300" s="420">
        <f>'EXTRAS (2)'!D233</f>
        <v>0</v>
      </c>
      <c r="FR300" s="420">
        <f>'EXTRAS (2)'!E233</f>
        <v>0</v>
      </c>
      <c r="FU300" s="420">
        <f t="shared" si="114"/>
        <v>0</v>
      </c>
    </row>
    <row r="301" spans="1:177" ht="15" customHeight="1">
      <c r="A301">
        <v>112</v>
      </c>
      <c r="B301" s="402" t="s">
        <v>871</v>
      </c>
      <c r="C301" s="400" t="s">
        <v>0</v>
      </c>
      <c r="AB301">
        <f t="shared" si="118"/>
        <v>0</v>
      </c>
      <c r="AM301">
        <f t="shared" si="119"/>
        <v>0</v>
      </c>
      <c r="CE301">
        <f t="shared" si="120"/>
        <v>0</v>
      </c>
      <c r="CJ301">
        <f t="shared" si="127"/>
        <v>0</v>
      </c>
      <c r="CO301">
        <f t="shared" si="128"/>
        <v>0</v>
      </c>
      <c r="CY301">
        <f t="shared" si="129"/>
        <v>0</v>
      </c>
      <c r="DD301">
        <f t="shared" si="130"/>
        <v>0</v>
      </c>
      <c r="DI301">
        <f t="shared" si="131"/>
        <v>0</v>
      </c>
      <c r="DN301">
        <f t="shared" si="97"/>
        <v>0</v>
      </c>
      <c r="DS301">
        <f t="shared" si="121"/>
        <v>0</v>
      </c>
      <c r="EC301">
        <f t="shared" si="122"/>
        <v>0</v>
      </c>
      <c r="EH301">
        <f t="shared" si="123"/>
        <v>0</v>
      </c>
      <c r="EM301">
        <f t="shared" si="124"/>
        <v>0</v>
      </c>
      <c r="ER301">
        <f t="shared" si="125"/>
        <v>0</v>
      </c>
      <c r="EW301">
        <f t="shared" si="126"/>
        <v>0</v>
      </c>
      <c r="FB301">
        <f t="shared" si="115"/>
        <v>0</v>
      </c>
      <c r="FG301">
        <f t="shared" si="116"/>
        <v>0</v>
      </c>
      <c r="FM301">
        <f t="shared" si="117"/>
        <v>0</v>
      </c>
      <c r="FQ301" s="420">
        <f>'EXTRAS (2)'!D234</f>
        <v>0</v>
      </c>
      <c r="FR301" s="420">
        <f>'EXTRAS (2)'!E234</f>
        <v>0</v>
      </c>
      <c r="FU301" s="420">
        <f t="shared" si="114"/>
        <v>0</v>
      </c>
    </row>
    <row r="302" spans="1:177" ht="15" customHeight="1">
      <c r="A302">
        <v>113</v>
      </c>
      <c r="B302" s="402" t="s">
        <v>872</v>
      </c>
      <c r="C302" s="400" t="s">
        <v>0</v>
      </c>
      <c r="AB302">
        <f t="shared" si="118"/>
        <v>0</v>
      </c>
      <c r="AM302">
        <f t="shared" si="119"/>
        <v>0</v>
      </c>
      <c r="CE302">
        <f t="shared" si="120"/>
        <v>0</v>
      </c>
      <c r="CJ302">
        <f t="shared" si="127"/>
        <v>0</v>
      </c>
      <c r="CO302">
        <f t="shared" si="128"/>
        <v>0</v>
      </c>
      <c r="CY302">
        <f t="shared" si="129"/>
        <v>0</v>
      </c>
      <c r="DD302">
        <f t="shared" si="130"/>
        <v>0</v>
      </c>
      <c r="DI302">
        <f t="shared" si="131"/>
        <v>0</v>
      </c>
      <c r="DN302">
        <f t="shared" si="97"/>
        <v>0</v>
      </c>
      <c r="DS302">
        <f t="shared" si="121"/>
        <v>0</v>
      </c>
      <c r="EC302">
        <f t="shared" si="122"/>
        <v>0</v>
      </c>
      <c r="EH302">
        <f t="shared" si="123"/>
        <v>0</v>
      </c>
      <c r="EM302">
        <f t="shared" si="124"/>
        <v>0</v>
      </c>
      <c r="ER302">
        <f t="shared" si="125"/>
        <v>0</v>
      </c>
      <c r="EW302">
        <f t="shared" si="126"/>
        <v>0</v>
      </c>
      <c r="FB302">
        <f t="shared" si="115"/>
        <v>0</v>
      </c>
      <c r="FG302">
        <f t="shared" si="116"/>
        <v>0</v>
      </c>
      <c r="FM302">
        <f t="shared" si="117"/>
        <v>0</v>
      </c>
      <c r="FQ302" s="420">
        <f>'EXTRAS (2)'!D235</f>
        <v>0</v>
      </c>
      <c r="FR302" s="420">
        <f>'EXTRAS (2)'!E235</f>
        <v>0</v>
      </c>
      <c r="FU302" s="420">
        <f t="shared" si="114"/>
        <v>0</v>
      </c>
    </row>
    <row r="303" spans="1:177" ht="15" customHeight="1">
      <c r="A303">
        <v>114</v>
      </c>
      <c r="B303" s="402" t="s">
        <v>873</v>
      </c>
      <c r="C303" s="400" t="s">
        <v>0</v>
      </c>
      <c r="AB303">
        <f t="shared" si="118"/>
        <v>0</v>
      </c>
      <c r="AM303">
        <f t="shared" si="119"/>
        <v>0</v>
      </c>
      <c r="CE303">
        <f t="shared" si="120"/>
        <v>0</v>
      </c>
      <c r="CJ303">
        <f t="shared" si="127"/>
        <v>0</v>
      </c>
      <c r="CO303">
        <f t="shared" si="128"/>
        <v>0</v>
      </c>
      <c r="CY303">
        <f t="shared" si="129"/>
        <v>0</v>
      </c>
      <c r="DD303">
        <f t="shared" si="130"/>
        <v>0</v>
      </c>
      <c r="DI303">
        <f t="shared" si="131"/>
        <v>0</v>
      </c>
      <c r="DN303">
        <f t="shared" si="97"/>
        <v>0</v>
      </c>
      <c r="DS303">
        <f t="shared" si="121"/>
        <v>0</v>
      </c>
      <c r="EC303">
        <f t="shared" si="122"/>
        <v>0</v>
      </c>
      <c r="EH303">
        <f t="shared" si="123"/>
        <v>0</v>
      </c>
      <c r="EM303">
        <f t="shared" si="124"/>
        <v>0</v>
      </c>
      <c r="ER303">
        <f t="shared" si="125"/>
        <v>0</v>
      </c>
      <c r="EW303">
        <f t="shared" si="126"/>
        <v>0</v>
      </c>
      <c r="FB303">
        <f t="shared" si="115"/>
        <v>0</v>
      </c>
      <c r="FG303">
        <f t="shared" si="116"/>
        <v>0</v>
      </c>
      <c r="FM303">
        <f t="shared" si="117"/>
        <v>0</v>
      </c>
      <c r="FQ303" s="420">
        <f>'EXTRAS (2)'!D236</f>
        <v>0</v>
      </c>
      <c r="FR303" s="420">
        <f>'EXTRAS (2)'!E236</f>
        <v>0</v>
      </c>
      <c r="FU303" s="420">
        <f t="shared" si="114"/>
        <v>0</v>
      </c>
    </row>
    <row r="304" spans="1:177" ht="15" customHeight="1">
      <c r="A304">
        <v>115</v>
      </c>
      <c r="B304" s="402" t="s">
        <v>874</v>
      </c>
      <c r="C304" s="400" t="s">
        <v>0</v>
      </c>
      <c r="AB304">
        <f t="shared" si="118"/>
        <v>0</v>
      </c>
      <c r="AM304">
        <f t="shared" si="119"/>
        <v>0</v>
      </c>
      <c r="CE304">
        <f t="shared" si="120"/>
        <v>0</v>
      </c>
      <c r="CJ304">
        <f t="shared" si="127"/>
        <v>0</v>
      </c>
      <c r="CO304">
        <f t="shared" si="128"/>
        <v>0</v>
      </c>
      <c r="CY304">
        <f t="shared" si="129"/>
        <v>0</v>
      </c>
      <c r="DD304">
        <f t="shared" si="130"/>
        <v>0</v>
      </c>
      <c r="DI304">
        <f t="shared" si="131"/>
        <v>0</v>
      </c>
      <c r="DN304">
        <f t="shared" si="97"/>
        <v>0</v>
      </c>
      <c r="DS304">
        <f t="shared" si="121"/>
        <v>0</v>
      </c>
      <c r="EC304">
        <f t="shared" si="122"/>
        <v>0</v>
      </c>
      <c r="EH304">
        <f t="shared" si="123"/>
        <v>0</v>
      </c>
      <c r="EM304">
        <f t="shared" si="124"/>
        <v>0</v>
      </c>
      <c r="ER304">
        <f t="shared" si="125"/>
        <v>0</v>
      </c>
      <c r="EW304">
        <f t="shared" si="126"/>
        <v>0</v>
      </c>
      <c r="FB304">
        <f t="shared" si="115"/>
        <v>0</v>
      </c>
      <c r="FG304">
        <f t="shared" si="116"/>
        <v>0</v>
      </c>
      <c r="FM304">
        <f t="shared" si="117"/>
        <v>0</v>
      </c>
      <c r="FQ304" s="420">
        <f>'EXTRAS (2)'!D237</f>
        <v>0</v>
      </c>
      <c r="FR304" s="420">
        <f>'EXTRAS (2)'!E237</f>
        <v>0</v>
      </c>
      <c r="FU304" s="420">
        <f t="shared" si="114"/>
        <v>0</v>
      </c>
    </row>
    <row r="305" spans="1:177" ht="15" customHeight="1">
      <c r="A305">
        <v>116</v>
      </c>
      <c r="B305" s="402" t="s">
        <v>875</v>
      </c>
      <c r="C305" s="400" t="s">
        <v>0</v>
      </c>
      <c r="AB305">
        <f t="shared" si="118"/>
        <v>0</v>
      </c>
      <c r="AM305">
        <f t="shared" si="119"/>
        <v>0</v>
      </c>
      <c r="CE305">
        <f t="shared" si="120"/>
        <v>0</v>
      </c>
      <c r="CJ305">
        <f t="shared" si="127"/>
        <v>0</v>
      </c>
      <c r="CO305">
        <f t="shared" si="128"/>
        <v>0</v>
      </c>
      <c r="CY305">
        <f t="shared" si="129"/>
        <v>0</v>
      </c>
      <c r="DD305">
        <f t="shared" si="130"/>
        <v>0</v>
      </c>
      <c r="DI305">
        <f t="shared" si="131"/>
        <v>0</v>
      </c>
      <c r="DN305">
        <f t="shared" si="97"/>
        <v>0</v>
      </c>
      <c r="DS305">
        <f t="shared" si="121"/>
        <v>0</v>
      </c>
      <c r="EC305">
        <f t="shared" si="122"/>
        <v>0</v>
      </c>
      <c r="EH305">
        <f t="shared" si="123"/>
        <v>0</v>
      </c>
      <c r="EM305">
        <f t="shared" si="124"/>
        <v>0</v>
      </c>
      <c r="ER305">
        <f t="shared" si="125"/>
        <v>0</v>
      </c>
      <c r="EW305">
        <f t="shared" si="126"/>
        <v>0</v>
      </c>
      <c r="FB305">
        <f t="shared" si="115"/>
        <v>0</v>
      </c>
      <c r="FG305">
        <f t="shared" si="116"/>
        <v>0</v>
      </c>
      <c r="FM305">
        <f t="shared" si="117"/>
        <v>0</v>
      </c>
      <c r="FQ305" s="420">
        <f>'EXTRAS (2)'!D238</f>
        <v>0</v>
      </c>
      <c r="FR305" s="420">
        <f>'EXTRAS (2)'!E238</f>
        <v>0</v>
      </c>
      <c r="FU305" s="420">
        <f t="shared" si="114"/>
        <v>0</v>
      </c>
    </row>
    <row r="306" spans="1:177" ht="15" customHeight="1">
      <c r="A306">
        <v>117</v>
      </c>
      <c r="B306" s="402" t="s">
        <v>876</v>
      </c>
      <c r="C306" s="400" t="s">
        <v>0</v>
      </c>
      <c r="AB306">
        <f t="shared" si="118"/>
        <v>0</v>
      </c>
      <c r="AM306">
        <f t="shared" si="119"/>
        <v>0</v>
      </c>
      <c r="CE306">
        <f t="shared" si="120"/>
        <v>0</v>
      </c>
      <c r="CJ306">
        <f t="shared" si="127"/>
        <v>0</v>
      </c>
      <c r="CO306">
        <f t="shared" si="128"/>
        <v>0</v>
      </c>
      <c r="CY306">
        <f t="shared" si="129"/>
        <v>0</v>
      </c>
      <c r="DD306">
        <f t="shared" si="130"/>
        <v>0</v>
      </c>
      <c r="DI306">
        <f t="shared" si="131"/>
        <v>0</v>
      </c>
      <c r="DN306">
        <f t="shared" si="97"/>
        <v>0</v>
      </c>
      <c r="DS306">
        <f t="shared" si="121"/>
        <v>0</v>
      </c>
      <c r="EC306">
        <f t="shared" si="122"/>
        <v>0</v>
      </c>
      <c r="EH306">
        <f t="shared" si="123"/>
        <v>0</v>
      </c>
      <c r="EM306">
        <f t="shared" si="124"/>
        <v>0</v>
      </c>
      <c r="ER306">
        <f t="shared" si="125"/>
        <v>0</v>
      </c>
      <c r="EW306">
        <f t="shared" si="126"/>
        <v>0</v>
      </c>
      <c r="FB306">
        <f t="shared" si="115"/>
        <v>0</v>
      </c>
      <c r="FG306">
        <f t="shared" si="116"/>
        <v>0</v>
      </c>
      <c r="FM306">
        <f t="shared" si="117"/>
        <v>0</v>
      </c>
      <c r="FQ306" s="420">
        <f>'EXTRAS (2)'!D239</f>
        <v>0</v>
      </c>
      <c r="FR306" s="420">
        <f>'EXTRAS (2)'!E239</f>
        <v>0</v>
      </c>
      <c r="FU306" s="420">
        <f t="shared" si="114"/>
        <v>0</v>
      </c>
    </row>
    <row r="307" spans="1:177" ht="15" customHeight="1">
      <c r="A307">
        <v>118</v>
      </c>
      <c r="B307" s="399" t="s">
        <v>877</v>
      </c>
      <c r="C307" s="400" t="s">
        <v>0</v>
      </c>
      <c r="AB307">
        <f t="shared" si="118"/>
        <v>0</v>
      </c>
      <c r="AM307">
        <f t="shared" si="119"/>
        <v>0</v>
      </c>
      <c r="CE307">
        <f t="shared" si="120"/>
        <v>0</v>
      </c>
      <c r="CJ307">
        <f t="shared" si="127"/>
        <v>0</v>
      </c>
      <c r="CO307">
        <f t="shared" si="128"/>
        <v>0</v>
      </c>
      <c r="CY307">
        <f t="shared" si="129"/>
        <v>0</v>
      </c>
      <c r="DD307">
        <f t="shared" si="130"/>
        <v>0</v>
      </c>
      <c r="DI307">
        <f t="shared" si="131"/>
        <v>0</v>
      </c>
      <c r="DN307">
        <f t="shared" si="97"/>
        <v>0</v>
      </c>
      <c r="DS307">
        <f t="shared" si="121"/>
        <v>0</v>
      </c>
      <c r="EC307">
        <f t="shared" si="122"/>
        <v>0</v>
      </c>
      <c r="EH307">
        <f t="shared" si="123"/>
        <v>0</v>
      </c>
      <c r="EM307">
        <f t="shared" si="124"/>
        <v>0</v>
      </c>
      <c r="ER307">
        <f t="shared" si="125"/>
        <v>0</v>
      </c>
      <c r="EW307">
        <f t="shared" si="126"/>
        <v>0</v>
      </c>
      <c r="FB307">
        <f t="shared" si="115"/>
        <v>0</v>
      </c>
      <c r="FG307">
        <f t="shared" si="116"/>
        <v>0</v>
      </c>
      <c r="FM307">
        <f t="shared" si="117"/>
        <v>0</v>
      </c>
      <c r="FQ307" s="420">
        <f>'EXTRAS (2)'!D240</f>
        <v>0</v>
      </c>
      <c r="FR307" s="420">
        <f>'EXTRAS (2)'!E240</f>
        <v>0</v>
      </c>
      <c r="FU307" s="420">
        <f t="shared" si="114"/>
        <v>0</v>
      </c>
    </row>
    <row r="308" spans="1:177" ht="15" customHeight="1">
      <c r="A308">
        <v>119</v>
      </c>
      <c r="B308" s="399" t="s">
        <v>878</v>
      </c>
      <c r="C308" s="400" t="s">
        <v>0</v>
      </c>
      <c r="AB308">
        <f t="shared" si="118"/>
        <v>0</v>
      </c>
      <c r="AM308">
        <f t="shared" si="119"/>
        <v>0</v>
      </c>
      <c r="CE308">
        <f t="shared" si="120"/>
        <v>0</v>
      </c>
      <c r="CJ308">
        <f t="shared" si="127"/>
        <v>0</v>
      </c>
      <c r="CO308">
        <f t="shared" si="128"/>
        <v>0</v>
      </c>
      <c r="CY308">
        <f t="shared" si="129"/>
        <v>0</v>
      </c>
      <c r="DD308">
        <f t="shared" si="130"/>
        <v>0</v>
      </c>
      <c r="DI308">
        <f t="shared" si="131"/>
        <v>0</v>
      </c>
      <c r="DN308">
        <f t="shared" si="97"/>
        <v>0</v>
      </c>
      <c r="DS308">
        <f t="shared" si="121"/>
        <v>0</v>
      </c>
      <c r="EC308">
        <f t="shared" si="122"/>
        <v>0</v>
      </c>
      <c r="EH308">
        <f t="shared" si="123"/>
        <v>0</v>
      </c>
      <c r="EM308">
        <f t="shared" si="124"/>
        <v>0</v>
      </c>
      <c r="ER308">
        <f t="shared" si="125"/>
        <v>0</v>
      </c>
      <c r="EW308">
        <f t="shared" si="126"/>
        <v>0</v>
      </c>
      <c r="FB308">
        <f t="shared" si="115"/>
        <v>0</v>
      </c>
      <c r="FG308">
        <f t="shared" si="116"/>
        <v>0</v>
      </c>
      <c r="FM308">
        <f t="shared" si="117"/>
        <v>0</v>
      </c>
      <c r="FQ308" s="420">
        <f>'EXTRAS (2)'!D241</f>
        <v>0</v>
      </c>
      <c r="FR308" s="420">
        <f>'EXTRAS (2)'!E241</f>
        <v>0</v>
      </c>
      <c r="FU308" s="420">
        <f t="shared" si="114"/>
        <v>0</v>
      </c>
    </row>
    <row r="309" spans="1:177" ht="15" customHeight="1">
      <c r="A309">
        <v>120</v>
      </c>
      <c r="B309" s="399" t="s">
        <v>287</v>
      </c>
      <c r="C309" s="400" t="s">
        <v>0</v>
      </c>
      <c r="AB309">
        <f t="shared" si="118"/>
        <v>0</v>
      </c>
      <c r="AM309">
        <f t="shared" si="119"/>
        <v>0</v>
      </c>
      <c r="CE309">
        <f t="shared" si="120"/>
        <v>0</v>
      </c>
      <c r="CJ309">
        <f t="shared" si="127"/>
        <v>0</v>
      </c>
      <c r="CO309">
        <f t="shared" si="128"/>
        <v>0</v>
      </c>
      <c r="CY309">
        <f t="shared" si="129"/>
        <v>0</v>
      </c>
      <c r="DD309">
        <f t="shared" si="130"/>
        <v>0</v>
      </c>
      <c r="DI309">
        <f t="shared" si="131"/>
        <v>0</v>
      </c>
      <c r="DN309">
        <f t="shared" si="97"/>
        <v>0</v>
      </c>
      <c r="DS309">
        <f t="shared" si="121"/>
        <v>0</v>
      </c>
      <c r="EC309">
        <f t="shared" si="122"/>
        <v>0</v>
      </c>
      <c r="EH309">
        <f t="shared" si="123"/>
        <v>0</v>
      </c>
      <c r="EM309">
        <f t="shared" si="124"/>
        <v>0</v>
      </c>
      <c r="ER309">
        <f t="shared" si="125"/>
        <v>0</v>
      </c>
      <c r="EW309">
        <f t="shared" si="126"/>
        <v>0</v>
      </c>
      <c r="FB309">
        <f t="shared" si="115"/>
        <v>0</v>
      </c>
      <c r="FG309">
        <f t="shared" si="116"/>
        <v>0</v>
      </c>
      <c r="FM309">
        <f t="shared" si="117"/>
        <v>0</v>
      </c>
      <c r="FQ309" s="420">
        <f>'EXTRAS (2)'!D242</f>
        <v>0</v>
      </c>
      <c r="FR309" s="420">
        <f>'EXTRAS (2)'!E242</f>
        <v>0</v>
      </c>
      <c r="FU309" s="420">
        <f t="shared" si="114"/>
        <v>0</v>
      </c>
    </row>
    <row r="310" spans="1:177" ht="15" customHeight="1">
      <c r="A310">
        <v>121</v>
      </c>
      <c r="B310" s="399" t="s">
        <v>879</v>
      </c>
      <c r="C310" s="400" t="s">
        <v>0</v>
      </c>
      <c r="AB310">
        <f t="shared" si="118"/>
        <v>0</v>
      </c>
      <c r="AM310">
        <f t="shared" si="119"/>
        <v>0</v>
      </c>
      <c r="CE310">
        <f t="shared" si="120"/>
        <v>0</v>
      </c>
      <c r="CJ310">
        <f t="shared" si="127"/>
        <v>0</v>
      </c>
      <c r="CO310">
        <f t="shared" si="128"/>
        <v>0</v>
      </c>
      <c r="CY310">
        <f t="shared" si="129"/>
        <v>0</v>
      </c>
      <c r="DD310">
        <f t="shared" si="130"/>
        <v>0</v>
      </c>
      <c r="DI310">
        <f t="shared" si="131"/>
        <v>0</v>
      </c>
      <c r="DN310">
        <f t="shared" si="97"/>
        <v>0</v>
      </c>
      <c r="DS310">
        <f t="shared" si="121"/>
        <v>0</v>
      </c>
      <c r="EC310">
        <f t="shared" si="122"/>
        <v>0</v>
      </c>
      <c r="EH310">
        <f t="shared" si="123"/>
        <v>0</v>
      </c>
      <c r="EM310">
        <f t="shared" si="124"/>
        <v>0</v>
      </c>
      <c r="ER310">
        <f t="shared" si="125"/>
        <v>0</v>
      </c>
      <c r="EW310">
        <f t="shared" si="126"/>
        <v>0</v>
      </c>
      <c r="FB310">
        <f t="shared" si="115"/>
        <v>0</v>
      </c>
      <c r="FG310">
        <f t="shared" si="116"/>
        <v>0</v>
      </c>
      <c r="FM310">
        <f t="shared" si="117"/>
        <v>0</v>
      </c>
      <c r="FQ310" s="420">
        <f>'EXTRAS (2)'!D243</f>
        <v>0</v>
      </c>
      <c r="FR310" s="420">
        <f>'EXTRAS (2)'!E243</f>
        <v>0</v>
      </c>
      <c r="FU310" s="420">
        <f t="shared" si="114"/>
        <v>0</v>
      </c>
    </row>
    <row r="311" spans="1:177">
      <c r="A311">
        <v>122</v>
      </c>
      <c r="B311" s="399" t="s">
        <v>880</v>
      </c>
      <c r="C311" s="400" t="s">
        <v>0</v>
      </c>
      <c r="AB311">
        <f t="shared" si="118"/>
        <v>0</v>
      </c>
      <c r="AM311">
        <f t="shared" si="119"/>
        <v>0</v>
      </c>
      <c r="CE311">
        <f t="shared" si="120"/>
        <v>0</v>
      </c>
      <c r="CJ311">
        <f t="shared" si="127"/>
        <v>0</v>
      </c>
      <c r="CO311">
        <f t="shared" si="128"/>
        <v>0</v>
      </c>
      <c r="CY311">
        <f t="shared" si="129"/>
        <v>0</v>
      </c>
      <c r="DD311">
        <f t="shared" si="130"/>
        <v>0</v>
      </c>
      <c r="DI311">
        <f t="shared" si="131"/>
        <v>0</v>
      </c>
      <c r="DN311">
        <f t="shared" si="97"/>
        <v>0</v>
      </c>
      <c r="DS311">
        <f t="shared" si="121"/>
        <v>0</v>
      </c>
      <c r="EC311">
        <f t="shared" si="122"/>
        <v>0</v>
      </c>
      <c r="EH311">
        <f t="shared" si="123"/>
        <v>0</v>
      </c>
      <c r="EM311">
        <f t="shared" si="124"/>
        <v>0</v>
      </c>
      <c r="ER311">
        <f t="shared" si="125"/>
        <v>0</v>
      </c>
      <c r="EW311">
        <f t="shared" si="126"/>
        <v>0</v>
      </c>
      <c r="FB311">
        <f t="shared" si="115"/>
        <v>0</v>
      </c>
      <c r="FG311">
        <f t="shared" si="116"/>
        <v>0</v>
      </c>
      <c r="FM311">
        <f t="shared" si="117"/>
        <v>0</v>
      </c>
      <c r="FQ311" s="420">
        <f>'EXTRAS (2)'!D244</f>
        <v>0</v>
      </c>
      <c r="FR311" s="420">
        <f>'EXTRAS (2)'!E244</f>
        <v>0</v>
      </c>
      <c r="FU311" s="420">
        <f t="shared" si="114"/>
        <v>0</v>
      </c>
    </row>
    <row r="312" spans="1:177">
      <c r="A312">
        <v>123</v>
      </c>
      <c r="B312" s="399" t="s">
        <v>881</v>
      </c>
      <c r="C312" s="400" t="s">
        <v>0</v>
      </c>
      <c r="AB312">
        <f t="shared" si="118"/>
        <v>0</v>
      </c>
      <c r="AM312">
        <f t="shared" si="119"/>
        <v>0</v>
      </c>
      <c r="CE312">
        <f t="shared" si="120"/>
        <v>0</v>
      </c>
      <c r="CJ312">
        <f t="shared" si="127"/>
        <v>0</v>
      </c>
      <c r="CO312">
        <f t="shared" si="128"/>
        <v>0</v>
      </c>
      <c r="CY312">
        <f t="shared" si="129"/>
        <v>0</v>
      </c>
      <c r="DD312">
        <f t="shared" si="130"/>
        <v>0</v>
      </c>
      <c r="DI312">
        <f t="shared" si="131"/>
        <v>0</v>
      </c>
      <c r="DN312">
        <f t="shared" si="97"/>
        <v>0</v>
      </c>
      <c r="DS312">
        <f t="shared" si="121"/>
        <v>0</v>
      </c>
      <c r="EC312">
        <f t="shared" si="122"/>
        <v>0</v>
      </c>
      <c r="EH312">
        <f t="shared" si="123"/>
        <v>0</v>
      </c>
      <c r="EM312">
        <f t="shared" si="124"/>
        <v>0</v>
      </c>
      <c r="ER312">
        <f t="shared" si="125"/>
        <v>0</v>
      </c>
      <c r="EW312">
        <f t="shared" si="126"/>
        <v>0</v>
      </c>
      <c r="FB312">
        <f t="shared" si="115"/>
        <v>0</v>
      </c>
      <c r="FG312">
        <f t="shared" si="116"/>
        <v>0</v>
      </c>
      <c r="FM312">
        <f t="shared" si="117"/>
        <v>0</v>
      </c>
      <c r="FQ312" s="420">
        <f>'EXTRAS (2)'!D245</f>
        <v>0</v>
      </c>
      <c r="FR312" s="420">
        <f>'EXTRAS (2)'!E245</f>
        <v>0</v>
      </c>
      <c r="FU312" s="420">
        <f t="shared" si="114"/>
        <v>0</v>
      </c>
    </row>
    <row r="313" spans="1:177">
      <c r="A313">
        <v>124</v>
      </c>
      <c r="B313" s="399" t="s">
        <v>882</v>
      </c>
      <c r="C313" s="400" t="s">
        <v>0</v>
      </c>
      <c r="AB313">
        <f t="shared" si="118"/>
        <v>0</v>
      </c>
      <c r="AM313">
        <f t="shared" si="119"/>
        <v>0</v>
      </c>
      <c r="CE313">
        <f t="shared" si="120"/>
        <v>0</v>
      </c>
      <c r="CJ313">
        <f t="shared" si="127"/>
        <v>0</v>
      </c>
      <c r="CO313">
        <f t="shared" si="128"/>
        <v>0</v>
      </c>
      <c r="CY313">
        <f t="shared" si="129"/>
        <v>0</v>
      </c>
      <c r="DD313">
        <f t="shared" si="130"/>
        <v>0</v>
      </c>
      <c r="DI313">
        <f t="shared" si="131"/>
        <v>0</v>
      </c>
      <c r="DN313">
        <f t="shared" si="97"/>
        <v>0</v>
      </c>
      <c r="DS313">
        <f t="shared" si="121"/>
        <v>0</v>
      </c>
      <c r="EC313">
        <f t="shared" si="122"/>
        <v>0</v>
      </c>
      <c r="EH313">
        <f t="shared" si="123"/>
        <v>0</v>
      </c>
      <c r="EM313">
        <f t="shared" si="124"/>
        <v>0</v>
      </c>
      <c r="ER313">
        <f t="shared" si="125"/>
        <v>0</v>
      </c>
      <c r="EW313">
        <f t="shared" si="126"/>
        <v>0</v>
      </c>
      <c r="FB313">
        <f t="shared" si="115"/>
        <v>0</v>
      </c>
      <c r="FG313">
        <f t="shared" si="116"/>
        <v>0</v>
      </c>
      <c r="FM313">
        <f t="shared" si="117"/>
        <v>0</v>
      </c>
      <c r="FQ313" s="420">
        <f>'EXTRAS (2)'!D246</f>
        <v>0</v>
      </c>
      <c r="FR313" s="420">
        <f>'EXTRAS (2)'!E246</f>
        <v>0</v>
      </c>
      <c r="FU313" s="420">
        <f t="shared" si="114"/>
        <v>0</v>
      </c>
    </row>
    <row r="314" spans="1:177">
      <c r="A314">
        <v>125</v>
      </c>
      <c r="B314" s="402" t="s">
        <v>883</v>
      </c>
      <c r="C314" s="400" t="s">
        <v>0</v>
      </c>
      <c r="AB314">
        <f t="shared" si="118"/>
        <v>0</v>
      </c>
      <c r="AM314">
        <f t="shared" si="119"/>
        <v>0</v>
      </c>
      <c r="CE314">
        <f t="shared" si="120"/>
        <v>0</v>
      </c>
      <c r="CJ314">
        <f t="shared" si="127"/>
        <v>0</v>
      </c>
      <c r="CO314">
        <f t="shared" si="128"/>
        <v>0</v>
      </c>
      <c r="CY314">
        <f t="shared" si="129"/>
        <v>0</v>
      </c>
      <c r="DD314">
        <f t="shared" si="130"/>
        <v>0</v>
      </c>
      <c r="DI314">
        <f t="shared" si="131"/>
        <v>0</v>
      </c>
      <c r="DN314">
        <f t="shared" si="97"/>
        <v>0</v>
      </c>
      <c r="DS314">
        <f t="shared" si="121"/>
        <v>0</v>
      </c>
      <c r="EC314">
        <f t="shared" si="122"/>
        <v>0</v>
      </c>
      <c r="EH314">
        <f t="shared" si="123"/>
        <v>0</v>
      </c>
      <c r="EM314">
        <f t="shared" si="124"/>
        <v>0</v>
      </c>
      <c r="ER314">
        <f t="shared" si="125"/>
        <v>0</v>
      </c>
      <c r="EW314">
        <f t="shared" si="126"/>
        <v>0</v>
      </c>
      <c r="FB314">
        <f t="shared" si="115"/>
        <v>0</v>
      </c>
      <c r="FG314">
        <f t="shared" si="116"/>
        <v>0</v>
      </c>
      <c r="FM314">
        <f t="shared" si="117"/>
        <v>0</v>
      </c>
      <c r="FQ314" s="420">
        <f>'EXTRAS (2)'!D247</f>
        <v>0</v>
      </c>
      <c r="FR314" s="420">
        <f>'EXTRAS (2)'!E247</f>
        <v>0</v>
      </c>
      <c r="FU314" s="420">
        <f t="shared" si="114"/>
        <v>0</v>
      </c>
    </row>
    <row r="315" spans="1:177">
      <c r="A315">
        <v>126</v>
      </c>
      <c r="B315" s="399" t="s">
        <v>884</v>
      </c>
      <c r="C315" s="400" t="s">
        <v>0</v>
      </c>
      <c r="AB315">
        <f t="shared" si="118"/>
        <v>0</v>
      </c>
      <c r="AM315">
        <f t="shared" si="119"/>
        <v>0</v>
      </c>
      <c r="CE315">
        <f t="shared" ref="CE315:CE344" si="132">SUM(CE$7:CE$28,CF$7:CF$28,CG$7:CG$28)*(CD315)</f>
        <v>0</v>
      </c>
      <c r="CJ315">
        <f t="shared" si="127"/>
        <v>0</v>
      </c>
      <c r="CO315">
        <f t="shared" si="128"/>
        <v>0</v>
      </c>
      <c r="CY315">
        <f t="shared" si="129"/>
        <v>0</v>
      </c>
      <c r="DD315">
        <f t="shared" si="130"/>
        <v>0</v>
      </c>
      <c r="DI315">
        <f t="shared" si="131"/>
        <v>0</v>
      </c>
      <c r="DN315">
        <f t="shared" si="97"/>
        <v>0</v>
      </c>
      <c r="DS315">
        <f t="shared" si="121"/>
        <v>0</v>
      </c>
      <c r="EC315">
        <f t="shared" si="122"/>
        <v>0</v>
      </c>
      <c r="EH315">
        <f t="shared" si="123"/>
        <v>0</v>
      </c>
      <c r="EM315">
        <f t="shared" si="124"/>
        <v>0</v>
      </c>
      <c r="ER315">
        <f t="shared" si="125"/>
        <v>0</v>
      </c>
      <c r="EW315">
        <f t="shared" si="126"/>
        <v>0</v>
      </c>
      <c r="FB315">
        <f t="shared" si="115"/>
        <v>0</v>
      </c>
      <c r="FG315">
        <f t="shared" si="116"/>
        <v>0</v>
      </c>
      <c r="FM315">
        <f t="shared" si="117"/>
        <v>0</v>
      </c>
      <c r="FQ315" s="420">
        <f>'EXTRAS (2)'!D248</f>
        <v>0</v>
      </c>
      <c r="FR315" s="420">
        <f>'EXTRAS (2)'!E248</f>
        <v>0</v>
      </c>
      <c r="FU315" s="420">
        <f t="shared" si="114"/>
        <v>0</v>
      </c>
    </row>
    <row r="316" spans="1:177">
      <c r="A316">
        <v>127</v>
      </c>
      <c r="B316" s="210" t="s">
        <v>410</v>
      </c>
      <c r="C316" s="400" t="s">
        <v>0</v>
      </c>
      <c r="AB316">
        <f t="shared" si="118"/>
        <v>0</v>
      </c>
      <c r="AM316">
        <f t="shared" si="119"/>
        <v>0</v>
      </c>
      <c r="CE316">
        <f t="shared" si="132"/>
        <v>0</v>
      </c>
      <c r="CJ316">
        <f t="shared" si="127"/>
        <v>0</v>
      </c>
      <c r="CO316">
        <f t="shared" si="128"/>
        <v>0</v>
      </c>
      <c r="CY316">
        <f t="shared" si="129"/>
        <v>0</v>
      </c>
      <c r="DD316">
        <f t="shared" si="130"/>
        <v>0</v>
      </c>
      <c r="DI316">
        <f t="shared" si="131"/>
        <v>0</v>
      </c>
      <c r="DN316">
        <f t="shared" si="97"/>
        <v>0</v>
      </c>
      <c r="DS316">
        <f t="shared" si="121"/>
        <v>0</v>
      </c>
      <c r="EC316">
        <f t="shared" si="122"/>
        <v>0</v>
      </c>
      <c r="EH316">
        <f t="shared" si="123"/>
        <v>0</v>
      </c>
      <c r="EM316">
        <f t="shared" si="124"/>
        <v>0</v>
      </c>
      <c r="ER316">
        <f t="shared" si="125"/>
        <v>0</v>
      </c>
      <c r="EV316">
        <v>1</v>
      </c>
      <c r="EW316">
        <f t="shared" si="126"/>
        <v>0</v>
      </c>
      <c r="FA316">
        <v>1</v>
      </c>
      <c r="FB316">
        <f t="shared" si="115"/>
        <v>0</v>
      </c>
      <c r="FF316">
        <v>1</v>
      </c>
      <c r="FG316">
        <f t="shared" si="116"/>
        <v>0</v>
      </c>
      <c r="FL316">
        <v>1</v>
      </c>
      <c r="FM316">
        <f t="shared" si="117"/>
        <v>0</v>
      </c>
      <c r="FQ316" s="420">
        <f>'EXTRAS (2)'!D249</f>
        <v>0</v>
      </c>
      <c r="FR316" s="420">
        <f>'EXTRAS (2)'!E249</f>
        <v>0</v>
      </c>
      <c r="FU316" s="420">
        <f t="shared" si="114"/>
        <v>0</v>
      </c>
    </row>
    <row r="317" spans="1:177">
      <c r="A317">
        <v>128</v>
      </c>
      <c r="B317" s="399" t="s">
        <v>885</v>
      </c>
      <c r="C317" s="400" t="s">
        <v>0</v>
      </c>
      <c r="AB317">
        <f t="shared" si="118"/>
        <v>0</v>
      </c>
      <c r="AM317">
        <f t="shared" si="119"/>
        <v>0</v>
      </c>
      <c r="CE317">
        <f t="shared" si="132"/>
        <v>0</v>
      </c>
      <c r="CJ317">
        <f t="shared" si="127"/>
        <v>0</v>
      </c>
      <c r="CO317">
        <f t="shared" si="128"/>
        <v>0</v>
      </c>
      <c r="CY317">
        <f t="shared" si="129"/>
        <v>0</v>
      </c>
      <c r="DD317">
        <f t="shared" si="130"/>
        <v>0</v>
      </c>
      <c r="DI317">
        <f t="shared" si="131"/>
        <v>0</v>
      </c>
      <c r="DN317">
        <f t="shared" si="97"/>
        <v>0</v>
      </c>
      <c r="DS317">
        <f t="shared" si="121"/>
        <v>0</v>
      </c>
      <c r="EC317">
        <f t="shared" si="122"/>
        <v>0</v>
      </c>
      <c r="EH317">
        <f t="shared" si="123"/>
        <v>0</v>
      </c>
      <c r="EM317">
        <f t="shared" si="124"/>
        <v>0</v>
      </c>
      <c r="ER317">
        <f t="shared" si="125"/>
        <v>0</v>
      </c>
      <c r="EW317">
        <f t="shared" si="126"/>
        <v>0</v>
      </c>
      <c r="FB317">
        <f t="shared" si="115"/>
        <v>0</v>
      </c>
      <c r="FG317">
        <f t="shared" si="116"/>
        <v>0</v>
      </c>
      <c r="FM317">
        <f t="shared" si="117"/>
        <v>0</v>
      </c>
      <c r="FQ317" s="420">
        <f>'EXTRAS (2)'!D250</f>
        <v>0</v>
      </c>
      <c r="FR317" s="420">
        <f>'EXTRAS (2)'!E250</f>
        <v>0</v>
      </c>
      <c r="FU317" s="420">
        <f t="shared" si="114"/>
        <v>0</v>
      </c>
    </row>
    <row r="318" spans="1:177">
      <c r="A318">
        <v>129</v>
      </c>
      <c r="B318" s="399" t="s">
        <v>886</v>
      </c>
      <c r="C318" s="400" t="s">
        <v>0</v>
      </c>
      <c r="AB318">
        <f t="shared" si="118"/>
        <v>0</v>
      </c>
      <c r="AM318">
        <f t="shared" si="119"/>
        <v>0</v>
      </c>
      <c r="CE318">
        <f t="shared" si="132"/>
        <v>0</v>
      </c>
      <c r="CJ318">
        <f t="shared" si="127"/>
        <v>0</v>
      </c>
      <c r="CO318">
        <f t="shared" si="128"/>
        <v>0</v>
      </c>
      <c r="CY318">
        <f t="shared" si="129"/>
        <v>0</v>
      </c>
      <c r="DD318">
        <f t="shared" si="130"/>
        <v>0</v>
      </c>
      <c r="DI318">
        <f t="shared" si="131"/>
        <v>0</v>
      </c>
      <c r="DN318">
        <f t="shared" si="97"/>
        <v>0</v>
      </c>
      <c r="DS318">
        <f t="shared" si="121"/>
        <v>0</v>
      </c>
      <c r="EC318">
        <f t="shared" si="122"/>
        <v>0</v>
      </c>
      <c r="EH318">
        <f t="shared" si="123"/>
        <v>0</v>
      </c>
      <c r="EM318">
        <f t="shared" si="124"/>
        <v>0</v>
      </c>
      <c r="ER318">
        <f t="shared" si="125"/>
        <v>0</v>
      </c>
      <c r="EW318">
        <f t="shared" si="126"/>
        <v>0</v>
      </c>
      <c r="FB318">
        <f t="shared" si="115"/>
        <v>0</v>
      </c>
      <c r="FG318">
        <f t="shared" si="116"/>
        <v>0</v>
      </c>
      <c r="FM318">
        <f t="shared" si="117"/>
        <v>0</v>
      </c>
      <c r="FQ318" s="420">
        <f>'EXTRAS (2)'!D251</f>
        <v>0</v>
      </c>
      <c r="FR318" s="420">
        <f>'EXTRAS (2)'!E251</f>
        <v>0</v>
      </c>
      <c r="FU318" s="420">
        <f t="shared" si="114"/>
        <v>0</v>
      </c>
    </row>
    <row r="319" spans="1:177">
      <c r="A319">
        <v>130</v>
      </c>
      <c r="B319" s="399" t="s">
        <v>887</v>
      </c>
      <c r="C319" s="400" t="s">
        <v>0</v>
      </c>
      <c r="AB319">
        <f t="shared" si="118"/>
        <v>0</v>
      </c>
      <c r="AM319">
        <f t="shared" si="119"/>
        <v>0</v>
      </c>
      <c r="CE319">
        <f t="shared" si="132"/>
        <v>0</v>
      </c>
      <c r="CJ319">
        <f t="shared" si="127"/>
        <v>0</v>
      </c>
      <c r="CO319">
        <f t="shared" si="128"/>
        <v>0</v>
      </c>
      <c r="CY319">
        <f t="shared" si="129"/>
        <v>0</v>
      </c>
      <c r="DD319">
        <f t="shared" si="130"/>
        <v>0</v>
      </c>
      <c r="DI319">
        <f t="shared" si="131"/>
        <v>0</v>
      </c>
      <c r="DN319">
        <f t="shared" si="97"/>
        <v>0</v>
      </c>
      <c r="DS319">
        <f t="shared" si="121"/>
        <v>0</v>
      </c>
      <c r="EC319">
        <f t="shared" si="122"/>
        <v>0</v>
      </c>
      <c r="EH319">
        <f t="shared" si="123"/>
        <v>0</v>
      </c>
      <c r="EM319">
        <f t="shared" si="124"/>
        <v>0</v>
      </c>
      <c r="ER319">
        <f t="shared" si="125"/>
        <v>0</v>
      </c>
      <c r="EW319">
        <f t="shared" si="126"/>
        <v>0</v>
      </c>
      <c r="FB319">
        <f t="shared" si="115"/>
        <v>0</v>
      </c>
      <c r="FG319">
        <f t="shared" si="116"/>
        <v>0</v>
      </c>
      <c r="FM319">
        <f t="shared" si="117"/>
        <v>0</v>
      </c>
      <c r="FQ319" s="420">
        <f>'EXTRAS (2)'!D252</f>
        <v>0</v>
      </c>
      <c r="FR319" s="420">
        <f>'EXTRAS (2)'!E252</f>
        <v>0</v>
      </c>
      <c r="FU319" s="420">
        <f t="shared" si="114"/>
        <v>0</v>
      </c>
    </row>
    <row r="320" spans="1:177">
      <c r="A320">
        <v>131</v>
      </c>
      <c r="B320" s="399" t="s">
        <v>888</v>
      </c>
      <c r="C320" s="400" t="s">
        <v>0</v>
      </c>
      <c r="AB320">
        <f t="shared" si="118"/>
        <v>0</v>
      </c>
      <c r="AM320">
        <f t="shared" si="119"/>
        <v>0</v>
      </c>
      <c r="CE320">
        <f t="shared" si="132"/>
        <v>0</v>
      </c>
      <c r="CJ320">
        <f t="shared" si="127"/>
        <v>0</v>
      </c>
      <c r="CO320">
        <f t="shared" si="128"/>
        <v>0</v>
      </c>
      <c r="CY320">
        <f t="shared" si="129"/>
        <v>0</v>
      </c>
      <c r="DD320">
        <f t="shared" si="130"/>
        <v>0</v>
      </c>
      <c r="DI320">
        <f t="shared" si="131"/>
        <v>0</v>
      </c>
      <c r="DN320">
        <f t="shared" si="97"/>
        <v>0</v>
      </c>
      <c r="DS320">
        <f t="shared" si="121"/>
        <v>0</v>
      </c>
      <c r="EC320">
        <f t="shared" si="122"/>
        <v>0</v>
      </c>
      <c r="EH320">
        <f t="shared" si="123"/>
        <v>0</v>
      </c>
      <c r="EM320">
        <f t="shared" si="124"/>
        <v>0</v>
      </c>
      <c r="ER320">
        <f t="shared" si="125"/>
        <v>0</v>
      </c>
      <c r="EW320">
        <f t="shared" si="126"/>
        <v>0</v>
      </c>
      <c r="FB320">
        <f t="shared" si="115"/>
        <v>0</v>
      </c>
      <c r="FG320">
        <f t="shared" si="116"/>
        <v>0</v>
      </c>
      <c r="FM320">
        <f t="shared" si="117"/>
        <v>0</v>
      </c>
      <c r="FQ320" s="420">
        <f>'EXTRAS (2)'!D253</f>
        <v>0</v>
      </c>
      <c r="FR320" s="420">
        <f>'EXTRAS (2)'!E253</f>
        <v>0</v>
      </c>
      <c r="FU320" s="420">
        <f t="shared" si="114"/>
        <v>0</v>
      </c>
    </row>
    <row r="321" spans="1:177">
      <c r="A321">
        <v>132</v>
      </c>
      <c r="B321" s="399" t="s">
        <v>889</v>
      </c>
      <c r="C321" s="400" t="s">
        <v>0</v>
      </c>
      <c r="AB321">
        <f t="shared" si="118"/>
        <v>0</v>
      </c>
      <c r="AM321">
        <f t="shared" si="119"/>
        <v>0</v>
      </c>
      <c r="CE321">
        <f t="shared" si="132"/>
        <v>0</v>
      </c>
      <c r="CJ321">
        <f t="shared" si="127"/>
        <v>0</v>
      </c>
      <c r="CO321">
        <f t="shared" si="128"/>
        <v>0</v>
      </c>
      <c r="CY321">
        <f t="shared" si="129"/>
        <v>0</v>
      </c>
      <c r="DD321">
        <f t="shared" si="130"/>
        <v>0</v>
      </c>
      <c r="DI321">
        <f t="shared" si="131"/>
        <v>0</v>
      </c>
      <c r="DN321">
        <f t="shared" si="97"/>
        <v>0</v>
      </c>
      <c r="DS321">
        <f t="shared" si="121"/>
        <v>0</v>
      </c>
      <c r="EC321">
        <f t="shared" si="122"/>
        <v>0</v>
      </c>
      <c r="EH321">
        <f t="shared" si="123"/>
        <v>0</v>
      </c>
      <c r="EM321">
        <f t="shared" si="124"/>
        <v>0</v>
      </c>
      <c r="ER321">
        <f t="shared" si="125"/>
        <v>0</v>
      </c>
      <c r="EW321">
        <f t="shared" si="126"/>
        <v>0</v>
      </c>
      <c r="FB321">
        <f t="shared" si="115"/>
        <v>0</v>
      </c>
      <c r="FG321">
        <f t="shared" si="116"/>
        <v>0</v>
      </c>
      <c r="FM321">
        <f t="shared" si="117"/>
        <v>0</v>
      </c>
      <c r="FQ321" s="420">
        <f>'EXTRAS (2)'!D254</f>
        <v>0</v>
      </c>
      <c r="FR321" s="420">
        <f>'EXTRAS (2)'!E254</f>
        <v>0</v>
      </c>
      <c r="FU321" s="420">
        <f t="shared" si="114"/>
        <v>0</v>
      </c>
    </row>
    <row r="322" spans="1:177">
      <c r="A322">
        <v>133</v>
      </c>
      <c r="B322" s="399" t="s">
        <v>890</v>
      </c>
      <c r="C322" s="400" t="s">
        <v>0</v>
      </c>
      <c r="AB322">
        <f t="shared" si="118"/>
        <v>0</v>
      </c>
      <c r="AM322">
        <f t="shared" si="119"/>
        <v>0</v>
      </c>
      <c r="CE322">
        <f t="shared" si="132"/>
        <v>0</v>
      </c>
      <c r="CJ322">
        <f t="shared" si="127"/>
        <v>0</v>
      </c>
      <c r="CO322">
        <f t="shared" si="128"/>
        <v>0</v>
      </c>
      <c r="CY322">
        <f t="shared" si="129"/>
        <v>0</v>
      </c>
      <c r="DD322">
        <f t="shared" si="130"/>
        <v>0</v>
      </c>
      <c r="DI322">
        <f t="shared" si="131"/>
        <v>0</v>
      </c>
      <c r="DN322">
        <f t="shared" si="97"/>
        <v>0</v>
      </c>
      <c r="DS322">
        <f t="shared" si="121"/>
        <v>0</v>
      </c>
      <c r="EC322">
        <f t="shared" si="122"/>
        <v>0</v>
      </c>
      <c r="EH322">
        <f t="shared" si="123"/>
        <v>0</v>
      </c>
      <c r="EM322">
        <f t="shared" si="124"/>
        <v>0</v>
      </c>
      <c r="ER322">
        <f t="shared" si="125"/>
        <v>0</v>
      </c>
      <c r="EW322">
        <f t="shared" si="126"/>
        <v>0</v>
      </c>
      <c r="FB322">
        <f t="shared" si="115"/>
        <v>0</v>
      </c>
      <c r="FG322">
        <f t="shared" si="116"/>
        <v>0</v>
      </c>
      <c r="FM322">
        <f t="shared" si="117"/>
        <v>0</v>
      </c>
      <c r="FQ322" s="420">
        <f>'EXTRAS (2)'!D255</f>
        <v>0</v>
      </c>
      <c r="FR322" s="420">
        <f>'EXTRAS (2)'!E255</f>
        <v>0</v>
      </c>
      <c r="FU322" s="420">
        <f t="shared" si="114"/>
        <v>0</v>
      </c>
    </row>
    <row r="323" spans="1:177">
      <c r="A323">
        <v>134</v>
      </c>
      <c r="B323" s="399" t="s">
        <v>891</v>
      </c>
      <c r="C323" s="400" t="s">
        <v>0</v>
      </c>
      <c r="AB323">
        <f t="shared" si="118"/>
        <v>0</v>
      </c>
      <c r="AM323">
        <f t="shared" si="119"/>
        <v>0</v>
      </c>
      <c r="CE323">
        <f t="shared" si="132"/>
        <v>0</v>
      </c>
      <c r="CJ323">
        <f t="shared" si="127"/>
        <v>0</v>
      </c>
      <c r="CO323">
        <f t="shared" si="128"/>
        <v>0</v>
      </c>
      <c r="CY323">
        <f t="shared" si="129"/>
        <v>0</v>
      </c>
      <c r="DD323">
        <f t="shared" si="130"/>
        <v>0</v>
      </c>
      <c r="DI323">
        <f t="shared" si="131"/>
        <v>0</v>
      </c>
      <c r="DN323">
        <f t="shared" si="97"/>
        <v>0</v>
      </c>
      <c r="DS323">
        <f t="shared" si="121"/>
        <v>0</v>
      </c>
      <c r="EC323">
        <f t="shared" si="122"/>
        <v>0</v>
      </c>
      <c r="EH323">
        <f t="shared" si="123"/>
        <v>0</v>
      </c>
      <c r="EM323">
        <f t="shared" si="124"/>
        <v>0</v>
      </c>
      <c r="ER323">
        <f t="shared" si="125"/>
        <v>0</v>
      </c>
      <c r="EW323">
        <f t="shared" si="126"/>
        <v>0</v>
      </c>
      <c r="FB323">
        <f t="shared" si="115"/>
        <v>0</v>
      </c>
      <c r="FG323">
        <f t="shared" si="116"/>
        <v>0</v>
      </c>
      <c r="FM323">
        <f t="shared" si="117"/>
        <v>0</v>
      </c>
      <c r="FQ323" s="420">
        <f>'EXTRAS (2)'!D256</f>
        <v>0</v>
      </c>
      <c r="FR323" s="420">
        <f>'EXTRAS (2)'!E256</f>
        <v>0</v>
      </c>
      <c r="FU323" s="420">
        <f t="shared" si="114"/>
        <v>0</v>
      </c>
    </row>
    <row r="324" spans="1:177">
      <c r="A324">
        <v>135</v>
      </c>
      <c r="B324" s="3" t="s">
        <v>489</v>
      </c>
      <c r="C324" s="400" t="s">
        <v>0</v>
      </c>
      <c r="F324" s="333">
        <f>Transformadores!W76</f>
        <v>0</v>
      </c>
      <c r="AB324">
        <f t="shared" si="118"/>
        <v>0</v>
      </c>
      <c r="AM324">
        <f t="shared" si="119"/>
        <v>0</v>
      </c>
      <c r="CE324">
        <f t="shared" si="132"/>
        <v>0</v>
      </c>
      <c r="CJ324">
        <f t="shared" si="127"/>
        <v>0</v>
      </c>
      <c r="CO324">
        <f t="shared" si="128"/>
        <v>0</v>
      </c>
      <c r="CY324">
        <f t="shared" si="129"/>
        <v>0</v>
      </c>
      <c r="DD324">
        <f t="shared" si="130"/>
        <v>0</v>
      </c>
      <c r="DI324">
        <f t="shared" si="131"/>
        <v>0</v>
      </c>
      <c r="DN324">
        <f t="shared" si="97"/>
        <v>0</v>
      </c>
      <c r="DR324" s="842"/>
      <c r="DS324">
        <f t="shared" si="121"/>
        <v>0</v>
      </c>
      <c r="EC324">
        <f t="shared" si="122"/>
        <v>0</v>
      </c>
      <c r="EH324">
        <f t="shared" si="123"/>
        <v>0</v>
      </c>
      <c r="EM324">
        <f t="shared" si="124"/>
        <v>0</v>
      </c>
      <c r="ER324">
        <f t="shared" si="125"/>
        <v>0</v>
      </c>
      <c r="EW324">
        <f t="shared" si="126"/>
        <v>0</v>
      </c>
      <c r="FB324">
        <f t="shared" si="115"/>
        <v>0</v>
      </c>
      <c r="FG324">
        <f t="shared" si="116"/>
        <v>0</v>
      </c>
      <c r="FM324">
        <f t="shared" si="117"/>
        <v>0</v>
      </c>
      <c r="FQ324" s="420">
        <f>'EXTRAS (2)'!D257</f>
        <v>0</v>
      </c>
      <c r="FR324" s="420">
        <f>'EXTRAS (2)'!E257</f>
        <v>0</v>
      </c>
      <c r="FU324" s="420">
        <f t="shared" si="114"/>
        <v>0</v>
      </c>
    </row>
    <row r="325" spans="1:177">
      <c r="A325">
        <v>136</v>
      </c>
      <c r="B325" s="3" t="s">
        <v>488</v>
      </c>
      <c r="C325" s="400" t="s">
        <v>0</v>
      </c>
      <c r="F325" s="333">
        <f>Transformadores!W77</f>
        <v>0</v>
      </c>
      <c r="AB325">
        <f t="shared" si="118"/>
        <v>0</v>
      </c>
      <c r="AM325">
        <f t="shared" si="119"/>
        <v>0</v>
      </c>
      <c r="CE325">
        <f t="shared" si="132"/>
        <v>0</v>
      </c>
      <c r="CJ325">
        <f t="shared" si="127"/>
        <v>0</v>
      </c>
      <c r="CO325">
        <f t="shared" si="128"/>
        <v>0</v>
      </c>
      <c r="CY325">
        <f t="shared" si="129"/>
        <v>0</v>
      </c>
      <c r="DD325">
        <f t="shared" si="130"/>
        <v>0</v>
      </c>
      <c r="DI325">
        <f t="shared" si="131"/>
        <v>0</v>
      </c>
      <c r="DN325">
        <f t="shared" si="97"/>
        <v>0</v>
      </c>
      <c r="DR325" s="842"/>
      <c r="DS325">
        <f t="shared" si="121"/>
        <v>0</v>
      </c>
      <c r="EC325">
        <f t="shared" si="122"/>
        <v>0</v>
      </c>
      <c r="EH325">
        <f t="shared" si="123"/>
        <v>0</v>
      </c>
      <c r="EM325">
        <f t="shared" si="124"/>
        <v>0</v>
      </c>
      <c r="ER325">
        <f t="shared" si="125"/>
        <v>0</v>
      </c>
      <c r="EW325">
        <f t="shared" si="126"/>
        <v>0</v>
      </c>
      <c r="FB325">
        <f t="shared" si="115"/>
        <v>0</v>
      </c>
      <c r="FG325">
        <f t="shared" si="116"/>
        <v>0</v>
      </c>
      <c r="FM325">
        <f t="shared" si="117"/>
        <v>0</v>
      </c>
      <c r="FQ325" s="420">
        <f>'EXTRAS (2)'!D258</f>
        <v>0</v>
      </c>
      <c r="FR325" s="420">
        <f>'EXTRAS (2)'!E258</f>
        <v>0</v>
      </c>
      <c r="FU325" s="420">
        <f t="shared" si="114"/>
        <v>0</v>
      </c>
    </row>
    <row r="326" spans="1:177">
      <c r="A326">
        <v>137</v>
      </c>
      <c r="B326" s="3" t="s">
        <v>50</v>
      </c>
      <c r="C326" s="400" t="s">
        <v>0</v>
      </c>
      <c r="F326" s="333">
        <f>Transformadores!W78</f>
        <v>0</v>
      </c>
      <c r="AB326">
        <f t="shared" si="118"/>
        <v>0</v>
      </c>
      <c r="AM326">
        <f t="shared" si="119"/>
        <v>0</v>
      </c>
      <c r="CE326">
        <f t="shared" si="132"/>
        <v>0</v>
      </c>
      <c r="CJ326">
        <f t="shared" si="127"/>
        <v>0</v>
      </c>
      <c r="CO326">
        <f t="shared" si="128"/>
        <v>0</v>
      </c>
      <c r="CY326">
        <f t="shared" si="129"/>
        <v>0</v>
      </c>
      <c r="DD326">
        <f t="shared" si="130"/>
        <v>0</v>
      </c>
      <c r="DI326">
        <f t="shared" si="131"/>
        <v>0</v>
      </c>
      <c r="DN326">
        <f t="shared" si="97"/>
        <v>0</v>
      </c>
      <c r="DR326" s="842"/>
      <c r="DS326">
        <f t="shared" si="121"/>
        <v>0</v>
      </c>
      <c r="EC326">
        <f t="shared" si="122"/>
        <v>0</v>
      </c>
      <c r="EH326">
        <f t="shared" si="123"/>
        <v>0</v>
      </c>
      <c r="EM326">
        <f t="shared" si="124"/>
        <v>0</v>
      </c>
      <c r="ER326">
        <f t="shared" si="125"/>
        <v>0</v>
      </c>
      <c r="EW326">
        <f t="shared" si="126"/>
        <v>0</v>
      </c>
      <c r="FB326">
        <f t="shared" si="115"/>
        <v>0</v>
      </c>
      <c r="FG326">
        <f t="shared" si="116"/>
        <v>0</v>
      </c>
      <c r="FM326">
        <f t="shared" si="117"/>
        <v>0</v>
      </c>
      <c r="FQ326" s="420">
        <f>'EXTRAS (2)'!D259</f>
        <v>0</v>
      </c>
      <c r="FR326" s="420">
        <f>'EXTRAS (2)'!E259</f>
        <v>0</v>
      </c>
      <c r="FU326" s="420">
        <f t="shared" si="114"/>
        <v>0</v>
      </c>
    </row>
    <row r="327" spans="1:177">
      <c r="A327">
        <v>138</v>
      </c>
      <c r="B327" s="67" t="s">
        <v>245</v>
      </c>
      <c r="C327" s="400" t="s">
        <v>0</v>
      </c>
      <c r="F327" s="333">
        <f>Transformadores!W79</f>
        <v>0</v>
      </c>
      <c r="AB327">
        <f t="shared" si="118"/>
        <v>0</v>
      </c>
      <c r="AM327">
        <f t="shared" si="119"/>
        <v>0</v>
      </c>
      <c r="CE327">
        <f t="shared" si="132"/>
        <v>0</v>
      </c>
      <c r="CJ327">
        <f t="shared" si="127"/>
        <v>0</v>
      </c>
      <c r="CO327">
        <f t="shared" si="128"/>
        <v>0</v>
      </c>
      <c r="CY327">
        <f t="shared" si="129"/>
        <v>0</v>
      </c>
      <c r="DD327">
        <f t="shared" si="130"/>
        <v>0</v>
      </c>
      <c r="DI327">
        <f t="shared" si="131"/>
        <v>0</v>
      </c>
      <c r="DN327">
        <f t="shared" si="97"/>
        <v>0</v>
      </c>
      <c r="DR327" s="842"/>
      <c r="DS327">
        <f t="shared" si="121"/>
        <v>0</v>
      </c>
      <c r="EC327">
        <f t="shared" si="122"/>
        <v>0</v>
      </c>
      <c r="EH327">
        <f t="shared" si="123"/>
        <v>0</v>
      </c>
      <c r="EM327">
        <f t="shared" si="124"/>
        <v>0</v>
      </c>
      <c r="ER327">
        <f t="shared" si="125"/>
        <v>0</v>
      </c>
      <c r="EW327">
        <f t="shared" si="126"/>
        <v>0</v>
      </c>
      <c r="FB327">
        <f t="shared" si="115"/>
        <v>0</v>
      </c>
      <c r="FG327">
        <f t="shared" si="116"/>
        <v>0</v>
      </c>
      <c r="FM327">
        <f t="shared" si="117"/>
        <v>0</v>
      </c>
      <c r="FQ327" s="420">
        <f>'EXTRAS (2)'!D260</f>
        <v>0</v>
      </c>
      <c r="FR327" s="420">
        <f>'EXTRAS (2)'!E260</f>
        <v>0</v>
      </c>
      <c r="FU327" s="420">
        <f t="shared" si="114"/>
        <v>0</v>
      </c>
    </row>
    <row r="328" spans="1:177">
      <c r="A328">
        <v>139</v>
      </c>
      <c r="B328" s="67" t="s">
        <v>246</v>
      </c>
      <c r="C328" s="400" t="s">
        <v>0</v>
      </c>
      <c r="F328" s="333">
        <f>Transformadores!W80</f>
        <v>0</v>
      </c>
      <c r="AB328">
        <f t="shared" si="118"/>
        <v>0</v>
      </c>
      <c r="AM328">
        <f t="shared" si="119"/>
        <v>0</v>
      </c>
      <c r="CE328">
        <f t="shared" si="132"/>
        <v>0</v>
      </c>
      <c r="CJ328">
        <f t="shared" si="127"/>
        <v>0</v>
      </c>
      <c r="CO328">
        <f t="shared" si="128"/>
        <v>0</v>
      </c>
      <c r="CY328">
        <f t="shared" si="129"/>
        <v>0</v>
      </c>
      <c r="DD328">
        <f t="shared" si="130"/>
        <v>0</v>
      </c>
      <c r="DI328">
        <f t="shared" si="131"/>
        <v>0</v>
      </c>
      <c r="DN328">
        <f t="shared" si="97"/>
        <v>0</v>
      </c>
      <c r="DR328" s="842"/>
      <c r="DS328">
        <f t="shared" si="121"/>
        <v>0</v>
      </c>
      <c r="EC328">
        <f t="shared" si="122"/>
        <v>0</v>
      </c>
      <c r="EH328">
        <f t="shared" si="123"/>
        <v>0</v>
      </c>
      <c r="EM328">
        <f t="shared" si="124"/>
        <v>0</v>
      </c>
      <c r="ER328">
        <f t="shared" si="125"/>
        <v>0</v>
      </c>
      <c r="EW328">
        <f t="shared" si="126"/>
        <v>0</v>
      </c>
      <c r="FB328">
        <f t="shared" si="115"/>
        <v>0</v>
      </c>
      <c r="FG328">
        <f t="shared" si="116"/>
        <v>0</v>
      </c>
      <c r="FM328">
        <f t="shared" si="117"/>
        <v>0</v>
      </c>
      <c r="FQ328" s="420">
        <f>'EXTRAS (2)'!D261</f>
        <v>0</v>
      </c>
      <c r="FR328" s="420">
        <f>'EXTRAS (2)'!E261</f>
        <v>0</v>
      </c>
      <c r="FU328" s="420">
        <f t="shared" si="114"/>
        <v>0</v>
      </c>
    </row>
    <row r="329" spans="1:177">
      <c r="A329">
        <v>140</v>
      </c>
      <c r="B329" s="399" t="s">
        <v>897</v>
      </c>
      <c r="C329" s="400" t="s">
        <v>0</v>
      </c>
      <c r="F329" s="333">
        <f>Transformadores!W82</f>
        <v>0</v>
      </c>
      <c r="AB329">
        <f t="shared" si="118"/>
        <v>0</v>
      </c>
      <c r="AM329">
        <f t="shared" si="119"/>
        <v>0</v>
      </c>
      <c r="BH329" s="40">
        <f>SUM(Transformadores!$P$16)</f>
        <v>0</v>
      </c>
      <c r="BI329" s="40">
        <f>IF(AND(BH329&gt;=5,BH329&lt;=150),SUM(BI7:BQ28)*3,0)</f>
        <v>0</v>
      </c>
      <c r="BS329" s="40">
        <f>SUM(Transformadores!$P$16)</f>
        <v>0</v>
      </c>
      <c r="BT329" s="40">
        <f>IF(AND(BS329&gt;=5,BS329&lt;=150),SUM(BT7:CB28)*3,0)</f>
        <v>0</v>
      </c>
      <c r="CE329">
        <f t="shared" si="132"/>
        <v>0</v>
      </c>
      <c r="CJ329">
        <f t="shared" si="127"/>
        <v>0</v>
      </c>
      <c r="CO329">
        <f t="shared" si="128"/>
        <v>0</v>
      </c>
      <c r="CY329">
        <f t="shared" si="129"/>
        <v>0</v>
      </c>
      <c r="DD329">
        <f t="shared" si="130"/>
        <v>0</v>
      </c>
      <c r="DI329">
        <f t="shared" si="131"/>
        <v>0</v>
      </c>
      <c r="DM329" s="6"/>
      <c r="DN329" s="6"/>
      <c r="DR329" s="40">
        <f>SUM(Transformadores!$P$16)</f>
        <v>0</v>
      </c>
      <c r="DS329" s="40">
        <f>IF(AND(DR329&gt;=5,DR329&lt;=150),SUM(DS7:DU28)*3,0)</f>
        <v>0</v>
      </c>
      <c r="DW329" s="40">
        <f>SUM(Transformadores!$P$16)</f>
        <v>0</v>
      </c>
      <c r="DX329" s="40">
        <f>IF(AND(DW329&gt;=5,DW329&lt;=150),SUM(DX7:DZ28)*3,0)</f>
        <v>0</v>
      </c>
      <c r="EC329">
        <f t="shared" si="122"/>
        <v>0</v>
      </c>
      <c r="EH329">
        <f t="shared" si="123"/>
        <v>0</v>
      </c>
      <c r="EL329" s="40">
        <f>SUM(Transformadores!$P$16)</f>
        <v>0</v>
      </c>
      <c r="EM329" s="40">
        <f>IF(AND(EL329&gt;=5,EL329&lt;=150),SUM(EM7:EO28)*3,0)</f>
        <v>0</v>
      </c>
      <c r="ER329">
        <f t="shared" si="125"/>
        <v>0</v>
      </c>
      <c r="EW329">
        <f t="shared" si="126"/>
        <v>0</v>
      </c>
      <c r="FB329">
        <f t="shared" si="115"/>
        <v>0</v>
      </c>
      <c r="FG329">
        <f t="shared" si="116"/>
        <v>0</v>
      </c>
      <c r="FM329">
        <f t="shared" si="117"/>
        <v>0</v>
      </c>
      <c r="FQ329" s="420">
        <f>'EXTRAS (2)'!D262</f>
        <v>0</v>
      </c>
      <c r="FR329" s="420">
        <f>'EXTRAS (2)'!E262</f>
        <v>0</v>
      </c>
      <c r="FU329" s="420">
        <f t="shared" si="114"/>
        <v>0</v>
      </c>
    </row>
    <row r="330" spans="1:177">
      <c r="A330">
        <v>141</v>
      </c>
      <c r="B330" s="399" t="s">
        <v>898</v>
      </c>
      <c r="C330" s="400" t="s">
        <v>0</v>
      </c>
      <c r="F330" s="333">
        <f>Transformadores!W83</f>
        <v>0</v>
      </c>
      <c r="AB330">
        <f t="shared" si="118"/>
        <v>0</v>
      </c>
      <c r="AM330">
        <f t="shared" si="119"/>
        <v>0</v>
      </c>
      <c r="BH330" s="1060">
        <f>SUM(Transformadores!$P$16)</f>
        <v>0</v>
      </c>
      <c r="BI330" s="1060">
        <f>IF(AND(BH330&gt;=151,BH330&lt;=225),SUM(BI7:BQ28)*3,0)</f>
        <v>0</v>
      </c>
      <c r="BS330" s="1060">
        <f>SUM(Transformadores!$P$16)</f>
        <v>0</v>
      </c>
      <c r="BT330" s="1060">
        <f>IF(AND(BS330&gt;=151,BS330&lt;=225),SUM(BT7:CB28)*3,0)</f>
        <v>0</v>
      </c>
      <c r="CE330">
        <f t="shared" si="132"/>
        <v>0</v>
      </c>
      <c r="CJ330">
        <f t="shared" si="127"/>
        <v>0</v>
      </c>
      <c r="CO330">
        <f t="shared" si="128"/>
        <v>0</v>
      </c>
      <c r="CY330">
        <f t="shared" si="129"/>
        <v>0</v>
      </c>
      <c r="DD330">
        <f t="shared" si="130"/>
        <v>0</v>
      </c>
      <c r="DI330">
        <f t="shared" si="131"/>
        <v>0</v>
      </c>
      <c r="DR330" s="1060">
        <f>SUM(Transformadores!$P$16)</f>
        <v>0</v>
      </c>
      <c r="DS330" s="1060">
        <f>IF(AND(DR330&gt;=151,DR330&lt;=225),SUM(DS7:DU28)*3,0)</f>
        <v>0</v>
      </c>
      <c r="DW330" s="1060">
        <f>SUM(Transformadores!$P$16)</f>
        <v>0</v>
      </c>
      <c r="DX330" s="1060">
        <f>IF(AND(DW330&gt;=151,DW330&lt;=225),SUM(DX7:DZ28)*3,0)</f>
        <v>0</v>
      </c>
      <c r="EC330">
        <f t="shared" si="122"/>
        <v>0</v>
      </c>
      <c r="EH330">
        <f t="shared" si="123"/>
        <v>0</v>
      </c>
      <c r="EL330" s="1060">
        <f>SUM(Transformadores!$P$16)</f>
        <v>0</v>
      </c>
      <c r="EM330" s="1060">
        <f>IF(AND(EL330&gt;=151,EL330&lt;=225),SUM(EM7:EO28)*3,0)</f>
        <v>0</v>
      </c>
      <c r="ER330">
        <f t="shared" si="125"/>
        <v>0</v>
      </c>
      <c r="EW330">
        <f t="shared" si="126"/>
        <v>0</v>
      </c>
      <c r="FB330">
        <f t="shared" si="115"/>
        <v>0</v>
      </c>
      <c r="FG330">
        <f t="shared" si="116"/>
        <v>0</v>
      </c>
      <c r="FM330">
        <f t="shared" si="117"/>
        <v>0</v>
      </c>
      <c r="FQ330" s="420">
        <f>'EXTRAS (2)'!D263</f>
        <v>0</v>
      </c>
      <c r="FR330" s="420">
        <f>'EXTRAS (2)'!E263</f>
        <v>0</v>
      </c>
      <c r="FU330" s="420">
        <f t="shared" si="114"/>
        <v>0</v>
      </c>
    </row>
    <row r="331" spans="1:177">
      <c r="A331">
        <v>142</v>
      </c>
      <c r="B331" s="399" t="s">
        <v>899</v>
      </c>
      <c r="C331" s="400" t="s">
        <v>0</v>
      </c>
      <c r="F331" s="333"/>
      <c r="Z331" s="204"/>
      <c r="AA331" s="204"/>
      <c r="AB331" s="204"/>
      <c r="AM331">
        <f t="shared" si="119"/>
        <v>0</v>
      </c>
      <c r="CE331">
        <f t="shared" si="132"/>
        <v>0</v>
      </c>
      <c r="CJ331">
        <f t="shared" si="127"/>
        <v>0</v>
      </c>
      <c r="CO331">
        <f t="shared" si="128"/>
        <v>0</v>
      </c>
      <c r="CY331">
        <f t="shared" si="129"/>
        <v>0</v>
      </c>
      <c r="DD331">
        <f t="shared" si="130"/>
        <v>0</v>
      </c>
      <c r="DI331">
        <f t="shared" si="131"/>
        <v>0</v>
      </c>
      <c r="EC331">
        <f t="shared" si="122"/>
        <v>0</v>
      </c>
      <c r="EH331">
        <f t="shared" si="123"/>
        <v>0</v>
      </c>
      <c r="ER331">
        <f t="shared" si="125"/>
        <v>0</v>
      </c>
      <c r="EW331">
        <f t="shared" si="126"/>
        <v>0</v>
      </c>
      <c r="FB331">
        <f t="shared" si="115"/>
        <v>0</v>
      </c>
      <c r="FG331">
        <f t="shared" si="116"/>
        <v>0</v>
      </c>
      <c r="FM331">
        <f t="shared" si="117"/>
        <v>0</v>
      </c>
      <c r="FQ331" s="420">
        <f>'EXTRAS (2)'!D264</f>
        <v>0</v>
      </c>
      <c r="FR331" s="420">
        <f>'EXTRAS (2)'!E264</f>
        <v>0</v>
      </c>
      <c r="FU331" s="420">
        <f t="shared" si="114"/>
        <v>0</v>
      </c>
    </row>
    <row r="332" spans="1:177">
      <c r="A332">
        <v>143</v>
      </c>
      <c r="B332" s="399" t="s">
        <v>1672</v>
      </c>
      <c r="C332" s="400" t="s">
        <v>0</v>
      </c>
      <c r="F332" s="333">
        <f>Transformadores!W81</f>
        <v>0</v>
      </c>
      <c r="Z332" s="204"/>
      <c r="AA332" s="204"/>
      <c r="AB332" s="204"/>
      <c r="AM332">
        <f t="shared" si="119"/>
        <v>0</v>
      </c>
      <c r="CE332">
        <f t="shared" si="132"/>
        <v>0</v>
      </c>
      <c r="CJ332">
        <f t="shared" si="127"/>
        <v>0</v>
      </c>
      <c r="CO332">
        <f t="shared" si="128"/>
        <v>0</v>
      </c>
      <c r="CY332">
        <f t="shared" si="129"/>
        <v>0</v>
      </c>
      <c r="DD332">
        <f t="shared" si="130"/>
        <v>0</v>
      </c>
      <c r="DI332">
        <f t="shared" si="131"/>
        <v>0</v>
      </c>
      <c r="EC332">
        <f t="shared" si="122"/>
        <v>0</v>
      </c>
      <c r="EH332">
        <f t="shared" si="123"/>
        <v>0</v>
      </c>
      <c r="ER332">
        <f t="shared" si="125"/>
        <v>0</v>
      </c>
      <c r="EW332">
        <f t="shared" si="126"/>
        <v>0</v>
      </c>
      <c r="FB332">
        <f t="shared" si="115"/>
        <v>0</v>
      </c>
      <c r="FG332">
        <f t="shared" si="116"/>
        <v>0</v>
      </c>
      <c r="FM332">
        <f t="shared" si="117"/>
        <v>0</v>
      </c>
      <c r="FQ332" s="420">
        <f>'EXTRAS (2)'!D265</f>
        <v>0</v>
      </c>
      <c r="FR332" s="420">
        <f>'EXTRAS (2)'!E265</f>
        <v>0</v>
      </c>
      <c r="FU332" s="420">
        <f t="shared" si="114"/>
        <v>0</v>
      </c>
    </row>
    <row r="333" spans="1:177">
      <c r="A333">
        <v>144</v>
      </c>
      <c r="B333" s="399" t="s">
        <v>901</v>
      </c>
      <c r="C333" s="400" t="s">
        <v>0</v>
      </c>
      <c r="F333" s="333">
        <f>Transformadores!W84</f>
        <v>0</v>
      </c>
      <c r="Z333" s="204"/>
      <c r="AA333" s="204"/>
      <c r="AB333" s="204"/>
      <c r="AM333">
        <f t="shared" si="119"/>
        <v>0</v>
      </c>
      <c r="BH333" s="1060">
        <f>SUM(Transformadores!$P$16)</f>
        <v>0</v>
      </c>
      <c r="BI333" s="1060">
        <f>IF(AND(BH333&gt;=226,BH333&lt;=750),SUM(BI7:BQ28)*3,0)</f>
        <v>0</v>
      </c>
      <c r="BS333" s="1060">
        <f>SUM(Transformadores!$P$16)</f>
        <v>0</v>
      </c>
      <c r="BT333" s="1060">
        <f>IF(AND(BS333&gt;=226,BS333&lt;=750),SUM(BT7:CB28)*3,0)</f>
        <v>0</v>
      </c>
      <c r="CE333">
        <f t="shared" si="132"/>
        <v>0</v>
      </c>
      <c r="CJ333">
        <f t="shared" si="127"/>
        <v>0</v>
      </c>
      <c r="CO333">
        <f t="shared" si="128"/>
        <v>0</v>
      </c>
      <c r="CY333">
        <f t="shared" si="129"/>
        <v>0</v>
      </c>
      <c r="DD333">
        <f t="shared" si="130"/>
        <v>0</v>
      </c>
      <c r="DI333">
        <f t="shared" si="131"/>
        <v>0</v>
      </c>
      <c r="DR333" s="1060">
        <f>SUM(Transformadores!$P$16)</f>
        <v>0</v>
      </c>
      <c r="DS333" s="1060">
        <f>IF(AND(DR333&gt;=226,DR333&lt;=750),SUM(DS7:DU28)*3,0)</f>
        <v>0</v>
      </c>
      <c r="DW333" s="1060">
        <f>SUM(Transformadores!$P$16)</f>
        <v>0</v>
      </c>
      <c r="DX333" s="1060">
        <f>IF(AND(DW333&gt;=226,DW333&lt;=750),SUM(DX7:DZ28)*3,0)</f>
        <v>0</v>
      </c>
      <c r="EC333">
        <f t="shared" si="122"/>
        <v>0</v>
      </c>
      <c r="EH333">
        <f t="shared" si="123"/>
        <v>0</v>
      </c>
      <c r="EL333" s="1060">
        <f>SUM(Transformadores!$P$16)</f>
        <v>0</v>
      </c>
      <c r="EM333" s="1060">
        <f>IF(AND(EL333&gt;=226,EL333&lt;=750),SUM(EM7:EO28)*3,0)</f>
        <v>0</v>
      </c>
      <c r="ER333">
        <f t="shared" si="125"/>
        <v>0</v>
      </c>
      <c r="EW333">
        <f t="shared" si="126"/>
        <v>0</v>
      </c>
      <c r="FB333">
        <f t="shared" si="115"/>
        <v>0</v>
      </c>
      <c r="FG333">
        <f t="shared" si="116"/>
        <v>0</v>
      </c>
      <c r="FM333">
        <f t="shared" si="117"/>
        <v>0</v>
      </c>
      <c r="FQ333" s="420">
        <f>'EXTRAS (2)'!D266</f>
        <v>0</v>
      </c>
      <c r="FR333" s="420">
        <f>'EXTRAS (2)'!E266</f>
        <v>0</v>
      </c>
      <c r="FU333" s="420">
        <f t="shared" si="114"/>
        <v>0</v>
      </c>
    </row>
    <row r="334" spans="1:177">
      <c r="A334">
        <v>145</v>
      </c>
      <c r="B334" s="399" t="s">
        <v>902</v>
      </c>
      <c r="C334" s="400" t="s">
        <v>0</v>
      </c>
      <c r="Z334" s="204"/>
      <c r="AA334" s="204"/>
      <c r="AB334" s="204"/>
      <c r="AM334">
        <f t="shared" si="119"/>
        <v>0</v>
      </c>
      <c r="CE334">
        <f t="shared" si="132"/>
        <v>0</v>
      </c>
      <c r="CJ334">
        <f t="shared" si="127"/>
        <v>0</v>
      </c>
      <c r="CO334">
        <f t="shared" si="128"/>
        <v>0</v>
      </c>
      <c r="CY334">
        <f t="shared" si="129"/>
        <v>0</v>
      </c>
      <c r="DD334">
        <f t="shared" si="130"/>
        <v>0</v>
      </c>
      <c r="DI334">
        <f t="shared" si="131"/>
        <v>0</v>
      </c>
      <c r="EC334">
        <f t="shared" si="122"/>
        <v>0</v>
      </c>
      <c r="EH334">
        <f t="shared" si="123"/>
        <v>0</v>
      </c>
      <c r="ER334">
        <f t="shared" si="125"/>
        <v>0</v>
      </c>
      <c r="EW334">
        <f t="shared" si="126"/>
        <v>0</v>
      </c>
      <c r="FB334">
        <f t="shared" si="115"/>
        <v>0</v>
      </c>
      <c r="FG334">
        <f t="shared" si="116"/>
        <v>0</v>
      </c>
      <c r="FM334">
        <f t="shared" si="117"/>
        <v>0</v>
      </c>
      <c r="FQ334" s="420">
        <f>'EXTRAS (2)'!D267</f>
        <v>0</v>
      </c>
      <c r="FR334" s="420">
        <f>'EXTRAS (2)'!E267</f>
        <v>0</v>
      </c>
      <c r="FU334" s="420">
        <f t="shared" si="114"/>
        <v>0</v>
      </c>
    </row>
    <row r="335" spans="1:177">
      <c r="A335">
        <v>146</v>
      </c>
      <c r="B335" s="399" t="s">
        <v>903</v>
      </c>
      <c r="C335" s="400" t="s">
        <v>0</v>
      </c>
      <c r="Z335" s="204"/>
      <c r="AA335" s="204"/>
      <c r="AB335" s="204"/>
      <c r="AM335">
        <f t="shared" si="119"/>
        <v>0</v>
      </c>
      <c r="CE335">
        <f t="shared" si="132"/>
        <v>0</v>
      </c>
      <c r="CJ335">
        <f t="shared" si="127"/>
        <v>0</v>
      </c>
      <c r="CO335">
        <f t="shared" si="128"/>
        <v>0</v>
      </c>
      <c r="CY335">
        <f t="shared" si="129"/>
        <v>0</v>
      </c>
      <c r="DD335">
        <f t="shared" si="130"/>
        <v>0</v>
      </c>
      <c r="DI335">
        <f t="shared" si="131"/>
        <v>0</v>
      </c>
      <c r="EC335">
        <f t="shared" si="122"/>
        <v>0</v>
      </c>
      <c r="EH335">
        <f t="shared" si="123"/>
        <v>0</v>
      </c>
      <c r="ER335">
        <f t="shared" si="125"/>
        <v>0</v>
      </c>
      <c r="EW335">
        <f t="shared" si="126"/>
        <v>0</v>
      </c>
      <c r="FB335">
        <f t="shared" si="115"/>
        <v>0</v>
      </c>
      <c r="FG335">
        <f t="shared" si="116"/>
        <v>0</v>
      </c>
      <c r="FM335">
        <f t="shared" si="117"/>
        <v>0</v>
      </c>
      <c r="FQ335" s="420">
        <f>'EXTRAS (2)'!D268</f>
        <v>0</v>
      </c>
      <c r="FR335" s="420">
        <f>'EXTRAS (2)'!E268</f>
        <v>0</v>
      </c>
      <c r="FU335" s="420">
        <f t="shared" si="114"/>
        <v>0</v>
      </c>
    </row>
    <row r="336" spans="1:177">
      <c r="A336">
        <v>147</v>
      </c>
      <c r="B336" s="399" t="s">
        <v>904</v>
      </c>
      <c r="C336" s="400" t="s">
        <v>0</v>
      </c>
      <c r="Z336" s="204"/>
      <c r="AA336" s="204"/>
      <c r="AB336" s="204"/>
      <c r="AM336">
        <f t="shared" si="119"/>
        <v>0</v>
      </c>
      <c r="CE336">
        <f t="shared" si="132"/>
        <v>0</v>
      </c>
      <c r="CJ336">
        <f t="shared" si="127"/>
        <v>0</v>
      </c>
      <c r="CO336">
        <f t="shared" si="128"/>
        <v>0</v>
      </c>
      <c r="CY336">
        <f t="shared" si="129"/>
        <v>0</v>
      </c>
      <c r="DD336">
        <f t="shared" si="130"/>
        <v>0</v>
      </c>
      <c r="DI336">
        <f t="shared" si="131"/>
        <v>0</v>
      </c>
      <c r="EC336">
        <f t="shared" si="122"/>
        <v>0</v>
      </c>
      <c r="EH336">
        <f t="shared" si="123"/>
        <v>0</v>
      </c>
      <c r="ER336">
        <f t="shared" si="125"/>
        <v>0</v>
      </c>
      <c r="EW336">
        <f t="shared" si="126"/>
        <v>0</v>
      </c>
      <c r="FB336">
        <f t="shared" si="115"/>
        <v>0</v>
      </c>
      <c r="FG336">
        <f t="shared" si="116"/>
        <v>0</v>
      </c>
      <c r="FM336">
        <f t="shared" si="117"/>
        <v>0</v>
      </c>
      <c r="FQ336" s="420">
        <f>'EXTRAS (2)'!D269</f>
        <v>0</v>
      </c>
      <c r="FR336" s="420">
        <f>'EXTRAS (2)'!E269</f>
        <v>0</v>
      </c>
      <c r="FU336" s="420">
        <f t="shared" ref="FU336:FU400" si="133">CE336+CG336+CF336+CJ336+CO336+CT336+CY336+DD336+DI336+DN336+DS336+DX336+EM336+ER336+EW336+FB336+FG336+FM336+FO336+F336+Q336+AB336+AM336+AX336+BI336+BT336+FQ336-FR336</f>
        <v>0</v>
      </c>
    </row>
    <row r="337" spans="1:177">
      <c r="A337">
        <v>148</v>
      </c>
      <c r="B337" s="210" t="s">
        <v>1481</v>
      </c>
      <c r="C337" s="400" t="s">
        <v>0</v>
      </c>
      <c r="F337" s="333">
        <f>Transformadores!W85</f>
        <v>0</v>
      </c>
      <c r="Z337" s="204"/>
      <c r="AA337" s="204"/>
      <c r="AB337" s="204"/>
      <c r="AM337">
        <f t="shared" si="119"/>
        <v>0</v>
      </c>
      <c r="BH337" s="1060">
        <f>SUM(Transformadores!$P$16)</f>
        <v>0</v>
      </c>
      <c r="BI337" s="1060">
        <f>BJ337*SUM(BI7:BQ28)</f>
        <v>0</v>
      </c>
      <c r="BJ337" s="1060">
        <f>IF(SUM(BI329,BI330,BI333,BH337)&gt;=3,0,SUM(BI7:BQ28)*3)</f>
        <v>0</v>
      </c>
      <c r="BS337" s="1060">
        <f>SUM(Transformadores!$P$16)</f>
        <v>0</v>
      </c>
      <c r="BT337" s="1060">
        <f>BU337*SUM(BT7:CB28)</f>
        <v>0</v>
      </c>
      <c r="BU337" s="1060">
        <f>IF(SUM(BT329,BT330,BT333,BS337)&gt;=3,0,SUM(BT7:CB28)*3)</f>
        <v>0</v>
      </c>
      <c r="CE337">
        <f t="shared" si="132"/>
        <v>0</v>
      </c>
      <c r="CJ337">
        <f t="shared" si="127"/>
        <v>0</v>
      </c>
      <c r="CO337">
        <f t="shared" si="128"/>
        <v>0</v>
      </c>
      <c r="CY337">
        <f t="shared" si="129"/>
        <v>0</v>
      </c>
      <c r="DD337">
        <f t="shared" si="130"/>
        <v>0</v>
      </c>
      <c r="DI337">
        <f t="shared" si="131"/>
        <v>0</v>
      </c>
      <c r="DR337" s="1060">
        <f>SUM(Transformadores!$P$16)</f>
        <v>0</v>
      </c>
      <c r="DS337" s="1060">
        <f>DT337*SUM(DS7:DU28)</f>
        <v>0</v>
      </c>
      <c r="DT337" s="1060">
        <f>IF(SUM(DS329,DS330,DS333)&gt;=3,0,SUM(DS7:DU28)*3)</f>
        <v>0</v>
      </c>
      <c r="DW337" s="1060">
        <f>SUM(Transformadores!$P$16)</f>
        <v>0</v>
      </c>
      <c r="DX337" s="1060">
        <f>DY337*SUM(DX7:DZ28)</f>
        <v>0</v>
      </c>
      <c r="DY337" s="1060">
        <f>IF(SUM(DX329,DX330,DX333)&gt;=3,0,SUM(DX7:DZ28)*3)</f>
        <v>0</v>
      </c>
      <c r="EC337">
        <f t="shared" si="122"/>
        <v>0</v>
      </c>
      <c r="EH337">
        <f t="shared" si="123"/>
        <v>0</v>
      </c>
      <c r="EL337" s="1060">
        <f>SUM(Transformadores!$P$16)</f>
        <v>0</v>
      </c>
      <c r="EM337" s="1060">
        <f>EN337*SUM(EM7:EO28)</f>
        <v>0</v>
      </c>
      <c r="EN337" s="1060">
        <f>IF(SUM(EM329,EM330,EM333)&gt;=3,0,SUM(EM7:EO28)*3)</f>
        <v>0</v>
      </c>
      <c r="ER337">
        <f t="shared" si="125"/>
        <v>0</v>
      </c>
      <c r="EW337">
        <f t="shared" si="126"/>
        <v>0</v>
      </c>
      <c r="FB337">
        <f t="shared" si="115"/>
        <v>0</v>
      </c>
      <c r="FG337">
        <f t="shared" si="116"/>
        <v>0</v>
      </c>
      <c r="FM337">
        <f t="shared" si="117"/>
        <v>0</v>
      </c>
      <c r="FQ337" s="420">
        <f>'EXTRAS (2)'!D270</f>
        <v>0</v>
      </c>
      <c r="FR337" s="420">
        <f>'EXTRAS (2)'!E270</f>
        <v>0</v>
      </c>
      <c r="FU337" s="420">
        <f t="shared" si="133"/>
        <v>0</v>
      </c>
    </row>
    <row r="338" spans="1:177">
      <c r="A338">
        <v>149</v>
      </c>
      <c r="B338" s="399" t="s">
        <v>905</v>
      </c>
      <c r="C338" s="400" t="s">
        <v>0</v>
      </c>
      <c r="Z338" s="204"/>
      <c r="AA338" s="204"/>
      <c r="AB338" s="204"/>
      <c r="AM338">
        <f t="shared" si="119"/>
        <v>0</v>
      </c>
      <c r="CE338">
        <f t="shared" si="132"/>
        <v>0</v>
      </c>
      <c r="CJ338">
        <f t="shared" si="127"/>
        <v>0</v>
      </c>
      <c r="CO338">
        <f t="shared" si="128"/>
        <v>0</v>
      </c>
      <c r="CY338">
        <f t="shared" si="129"/>
        <v>0</v>
      </c>
      <c r="DD338">
        <f t="shared" si="130"/>
        <v>0</v>
      </c>
      <c r="DI338">
        <f t="shared" si="131"/>
        <v>0</v>
      </c>
      <c r="DN338">
        <f t="shared" ref="DN338:DN403" si="134">SUM(DN$7:DN$28,DO$7:DO$28,DP$7:DP$28)*(DM338)</f>
        <v>0</v>
      </c>
      <c r="DR338" s="842"/>
      <c r="DS338">
        <f t="shared" si="121"/>
        <v>0</v>
      </c>
      <c r="EC338">
        <f t="shared" si="122"/>
        <v>0</v>
      </c>
      <c r="EH338">
        <f t="shared" si="123"/>
        <v>0</v>
      </c>
      <c r="EM338">
        <f t="shared" si="124"/>
        <v>0</v>
      </c>
      <c r="ER338">
        <f t="shared" si="125"/>
        <v>0</v>
      </c>
      <c r="EW338">
        <f t="shared" si="126"/>
        <v>0</v>
      </c>
      <c r="FB338">
        <f t="shared" si="115"/>
        <v>0</v>
      </c>
      <c r="FG338">
        <f t="shared" si="116"/>
        <v>0</v>
      </c>
      <c r="FM338">
        <f t="shared" si="117"/>
        <v>0</v>
      </c>
      <c r="FQ338" s="420">
        <f>'EXTRAS (2)'!D271</f>
        <v>0</v>
      </c>
      <c r="FR338" s="420">
        <f>'EXTRAS (2)'!E271</f>
        <v>0</v>
      </c>
      <c r="FU338" s="420">
        <f t="shared" si="133"/>
        <v>0</v>
      </c>
    </row>
    <row r="339" spans="1:177">
      <c r="A339">
        <v>150</v>
      </c>
      <c r="B339" s="399" t="s">
        <v>906</v>
      </c>
      <c r="C339" s="400" t="s">
        <v>0</v>
      </c>
      <c r="Z339" s="204"/>
      <c r="AA339" s="204"/>
      <c r="AB339" s="204"/>
      <c r="AM339">
        <f t="shared" si="119"/>
        <v>0</v>
      </c>
      <c r="CE339">
        <f t="shared" si="132"/>
        <v>0</v>
      </c>
      <c r="CJ339">
        <f t="shared" si="127"/>
        <v>0</v>
      </c>
      <c r="CO339">
        <f t="shared" si="128"/>
        <v>0</v>
      </c>
      <c r="CY339">
        <f t="shared" si="129"/>
        <v>0</v>
      </c>
      <c r="DD339">
        <f t="shared" si="130"/>
        <v>0</v>
      </c>
      <c r="DI339">
        <f t="shared" si="131"/>
        <v>0</v>
      </c>
      <c r="DN339">
        <f t="shared" si="134"/>
        <v>0</v>
      </c>
      <c r="DR339" s="842"/>
      <c r="DS339">
        <f t="shared" si="121"/>
        <v>0</v>
      </c>
      <c r="EC339">
        <f t="shared" si="122"/>
        <v>0</v>
      </c>
      <c r="EH339">
        <f t="shared" si="123"/>
        <v>0</v>
      </c>
      <c r="EM339">
        <f t="shared" si="124"/>
        <v>0</v>
      </c>
      <c r="ER339">
        <f t="shared" si="125"/>
        <v>0</v>
      </c>
      <c r="EW339">
        <f t="shared" si="126"/>
        <v>0</v>
      </c>
      <c r="FB339">
        <f t="shared" si="115"/>
        <v>0</v>
      </c>
      <c r="FG339">
        <f t="shared" si="116"/>
        <v>0</v>
      </c>
      <c r="FM339">
        <f t="shared" si="117"/>
        <v>0</v>
      </c>
      <c r="FQ339" s="420">
        <f>'EXTRAS (2)'!D272</f>
        <v>0</v>
      </c>
      <c r="FR339" s="420">
        <f>'EXTRAS (2)'!E272</f>
        <v>0</v>
      </c>
      <c r="FU339" s="420">
        <f t="shared" si="133"/>
        <v>0</v>
      </c>
    </row>
    <row r="340" spans="1:177">
      <c r="A340">
        <v>151</v>
      </c>
      <c r="B340" s="399" t="s">
        <v>907</v>
      </c>
      <c r="C340" s="400" t="s">
        <v>0</v>
      </c>
      <c r="AA340" s="204"/>
      <c r="AB340" s="204"/>
      <c r="AC340" s="204"/>
      <c r="AM340">
        <f t="shared" si="119"/>
        <v>0</v>
      </c>
      <c r="CE340">
        <f t="shared" si="132"/>
        <v>0</v>
      </c>
      <c r="CJ340">
        <f t="shared" si="127"/>
        <v>0</v>
      </c>
      <c r="CO340">
        <f t="shared" si="128"/>
        <v>0</v>
      </c>
      <c r="CY340">
        <f t="shared" si="129"/>
        <v>0</v>
      </c>
      <c r="DD340">
        <f t="shared" si="130"/>
        <v>0</v>
      </c>
      <c r="DI340">
        <f t="shared" si="131"/>
        <v>0</v>
      </c>
      <c r="DN340">
        <f t="shared" si="134"/>
        <v>0</v>
      </c>
      <c r="DR340" s="842"/>
      <c r="DS340">
        <f t="shared" si="121"/>
        <v>0</v>
      </c>
      <c r="EC340">
        <f t="shared" si="122"/>
        <v>0</v>
      </c>
      <c r="EH340">
        <f t="shared" si="123"/>
        <v>0</v>
      </c>
      <c r="EM340">
        <f t="shared" si="124"/>
        <v>0</v>
      </c>
      <c r="ER340">
        <f t="shared" si="125"/>
        <v>0</v>
      </c>
      <c r="EW340">
        <f t="shared" si="126"/>
        <v>0</v>
      </c>
      <c r="FB340">
        <f t="shared" ref="FB340:FB404" si="135">SUM(FB$7:FB$28,FC$7:FC$28,FD$7:FD$28)*(FA340)</f>
        <v>0</v>
      </c>
      <c r="FG340">
        <f t="shared" ref="FG340:FG356" si="136">SUM(FG$7:FG$28,FH$7:FH$28,FI$7:FI$28)*(FF340)</f>
        <v>0</v>
      </c>
      <c r="FM340">
        <f t="shared" ref="FM340:FM367" si="137">SUM(FM$7:FM$28,FN$7:FN$28,FO$7:FO$28)*(FL340)</f>
        <v>0</v>
      </c>
      <c r="FQ340" s="420">
        <f>'EXTRAS (2)'!D273</f>
        <v>0</v>
      </c>
      <c r="FR340" s="420">
        <f>'EXTRAS (2)'!E273</f>
        <v>0</v>
      </c>
      <c r="FU340" s="420">
        <f t="shared" si="133"/>
        <v>0</v>
      </c>
    </row>
    <row r="341" spans="1:177">
      <c r="A341">
        <v>152</v>
      </c>
      <c r="B341" s="399" t="s">
        <v>908</v>
      </c>
      <c r="C341" s="400" t="s">
        <v>0</v>
      </c>
      <c r="AB341">
        <f t="shared" si="118"/>
        <v>0</v>
      </c>
      <c r="AM341">
        <f t="shared" si="119"/>
        <v>0</v>
      </c>
      <c r="CE341">
        <f t="shared" si="132"/>
        <v>0</v>
      </c>
      <c r="CJ341">
        <f t="shared" si="127"/>
        <v>0</v>
      </c>
      <c r="CO341">
        <f t="shared" si="128"/>
        <v>0</v>
      </c>
      <c r="CY341">
        <f t="shared" si="129"/>
        <v>0</v>
      </c>
      <c r="DD341">
        <f t="shared" si="130"/>
        <v>0</v>
      </c>
      <c r="DI341">
        <f t="shared" si="131"/>
        <v>0</v>
      </c>
      <c r="DN341">
        <f t="shared" si="134"/>
        <v>0</v>
      </c>
      <c r="DS341">
        <f t="shared" si="121"/>
        <v>0</v>
      </c>
      <c r="EC341">
        <f t="shared" si="122"/>
        <v>0</v>
      </c>
      <c r="EH341">
        <f t="shared" si="123"/>
        <v>0</v>
      </c>
      <c r="EM341">
        <f t="shared" si="124"/>
        <v>0</v>
      </c>
      <c r="ER341">
        <f t="shared" si="125"/>
        <v>0</v>
      </c>
      <c r="EW341">
        <f t="shared" si="126"/>
        <v>0</v>
      </c>
      <c r="FB341">
        <f t="shared" si="135"/>
        <v>0</v>
      </c>
      <c r="FG341">
        <f t="shared" si="136"/>
        <v>0</v>
      </c>
      <c r="FM341">
        <f t="shared" si="137"/>
        <v>0</v>
      </c>
      <c r="FQ341" s="420">
        <f>'EXTRAS (2)'!D274</f>
        <v>0</v>
      </c>
      <c r="FR341" s="420">
        <f>'EXTRAS (2)'!E274</f>
        <v>0</v>
      </c>
      <c r="FU341" s="420">
        <f t="shared" si="133"/>
        <v>0</v>
      </c>
    </row>
    <row r="342" spans="1:177">
      <c r="A342">
        <v>153</v>
      </c>
      <c r="B342" s="399" t="s">
        <v>999</v>
      </c>
      <c r="C342" s="400" t="s">
        <v>0</v>
      </c>
      <c r="D342">
        <f>SUM(C7:C9)/(6.01)</f>
        <v>0</v>
      </c>
      <c r="AB342">
        <f t="shared" si="118"/>
        <v>0</v>
      </c>
      <c r="AM342">
        <f t="shared" si="119"/>
        <v>0</v>
      </c>
      <c r="CD342">
        <v>1</v>
      </c>
      <c r="CE342">
        <f t="shared" si="132"/>
        <v>0</v>
      </c>
      <c r="CF342" s="420">
        <f>ROUNDDOWN(D342,0)-D341</f>
        <v>0</v>
      </c>
      <c r="CG342" s="420"/>
      <c r="CI342">
        <v>1</v>
      </c>
      <c r="CJ342">
        <f t="shared" si="127"/>
        <v>0</v>
      </c>
      <c r="CN342">
        <v>1</v>
      </c>
      <c r="CO342">
        <f t="shared" si="128"/>
        <v>0</v>
      </c>
      <c r="CS342">
        <v>1</v>
      </c>
      <c r="CT342">
        <f>SUM(CT$7:CT$28,CU$7:CU$28,CV$7:CV$28)*(CS342)</f>
        <v>0</v>
      </c>
      <c r="CY342">
        <f t="shared" si="129"/>
        <v>0</v>
      </c>
      <c r="DD342">
        <f t="shared" si="130"/>
        <v>0</v>
      </c>
      <c r="DI342">
        <f t="shared" si="131"/>
        <v>0</v>
      </c>
      <c r="DN342">
        <f t="shared" si="134"/>
        <v>0</v>
      </c>
      <c r="DS342">
        <f t="shared" si="121"/>
        <v>0</v>
      </c>
      <c r="EC342">
        <f t="shared" si="122"/>
        <v>0</v>
      </c>
      <c r="EH342">
        <f t="shared" si="123"/>
        <v>0</v>
      </c>
      <c r="EM342">
        <f t="shared" si="124"/>
        <v>0</v>
      </c>
      <c r="ER342">
        <f t="shared" si="125"/>
        <v>0</v>
      </c>
      <c r="EW342">
        <f t="shared" si="126"/>
        <v>0</v>
      </c>
      <c r="FA342" s="897">
        <v>1</v>
      </c>
      <c r="FB342">
        <f t="shared" si="135"/>
        <v>0</v>
      </c>
      <c r="FG342">
        <f t="shared" si="136"/>
        <v>0</v>
      </c>
      <c r="FM342">
        <f t="shared" si="137"/>
        <v>0</v>
      </c>
      <c r="FQ342" s="420">
        <f>'EXTRAS (2)'!D275</f>
        <v>0</v>
      </c>
      <c r="FR342" s="420">
        <f>'EXTRAS (2)'!E275</f>
        <v>0</v>
      </c>
      <c r="FU342" s="420">
        <f t="shared" si="133"/>
        <v>0</v>
      </c>
    </row>
    <row r="343" spans="1:177">
      <c r="A343">
        <v>154</v>
      </c>
      <c r="B343" s="399" t="s">
        <v>998</v>
      </c>
      <c r="C343" s="400" t="s">
        <v>0</v>
      </c>
      <c r="AB343">
        <f t="shared" si="118"/>
        <v>0</v>
      </c>
      <c r="AM343">
        <f t="shared" si="119"/>
        <v>0</v>
      </c>
      <c r="CD343">
        <v>1</v>
      </c>
      <c r="CE343">
        <f t="shared" si="132"/>
        <v>0</v>
      </c>
      <c r="CI343">
        <v>1</v>
      </c>
      <c r="CJ343">
        <f t="shared" si="127"/>
        <v>0</v>
      </c>
      <c r="CN343">
        <v>1</v>
      </c>
      <c r="CO343">
        <f t="shared" si="128"/>
        <v>0</v>
      </c>
      <c r="CS343">
        <v>1</v>
      </c>
      <c r="CT343">
        <f>SUM(CT$7:CT$28,CU$7:CU$28,CV$7:CV$28)*(CS343)</f>
        <v>0</v>
      </c>
      <c r="CY343">
        <f t="shared" si="129"/>
        <v>0</v>
      </c>
      <c r="DD343">
        <f t="shared" si="130"/>
        <v>0</v>
      </c>
      <c r="DI343">
        <f t="shared" si="131"/>
        <v>0</v>
      </c>
      <c r="DN343">
        <f t="shared" si="134"/>
        <v>0</v>
      </c>
      <c r="DS343">
        <f t="shared" si="121"/>
        <v>0</v>
      </c>
      <c r="EC343">
        <f t="shared" si="122"/>
        <v>0</v>
      </c>
      <c r="EH343">
        <f t="shared" si="123"/>
        <v>0</v>
      </c>
      <c r="EM343">
        <f t="shared" si="124"/>
        <v>0</v>
      </c>
      <c r="ER343">
        <f t="shared" si="125"/>
        <v>0</v>
      </c>
      <c r="EV343" s="897">
        <v>1</v>
      </c>
      <c r="EW343" s="897">
        <f t="shared" si="126"/>
        <v>0</v>
      </c>
      <c r="EX343" s="897"/>
      <c r="EY343" s="897"/>
      <c r="EZ343" s="897"/>
      <c r="FA343" s="897">
        <v>1</v>
      </c>
      <c r="FB343" s="897">
        <f t="shared" si="135"/>
        <v>0</v>
      </c>
      <c r="FC343" s="897"/>
      <c r="FD343" s="897"/>
      <c r="FE343" s="897"/>
      <c r="FF343" s="897"/>
      <c r="FG343" s="897">
        <f t="shared" si="136"/>
        <v>0</v>
      </c>
      <c r="FH343" s="897"/>
      <c r="FI343" s="897"/>
      <c r="FJ343" s="897"/>
      <c r="FK343" s="897"/>
      <c r="FL343" s="897"/>
      <c r="FM343" s="897">
        <f t="shared" si="137"/>
        <v>0</v>
      </c>
      <c r="FQ343" s="420">
        <f>'EXTRAS (2)'!D276</f>
        <v>0</v>
      </c>
      <c r="FR343" s="420">
        <f>'EXTRAS (2)'!E276</f>
        <v>0</v>
      </c>
      <c r="FU343" s="420">
        <f t="shared" si="133"/>
        <v>0</v>
      </c>
    </row>
    <row r="344" spans="1:177">
      <c r="A344">
        <v>155</v>
      </c>
      <c r="B344" s="399" t="s">
        <v>909</v>
      </c>
      <c r="C344" s="400" t="s">
        <v>0</v>
      </c>
      <c r="AB344">
        <f t="shared" si="118"/>
        <v>0</v>
      </c>
      <c r="AM344">
        <f t="shared" si="119"/>
        <v>0</v>
      </c>
      <c r="CE344">
        <f t="shared" si="132"/>
        <v>0</v>
      </c>
      <c r="CJ344">
        <f t="shared" si="127"/>
        <v>0</v>
      </c>
      <c r="CO344">
        <f t="shared" si="128"/>
        <v>0</v>
      </c>
      <c r="CY344">
        <f t="shared" si="129"/>
        <v>0</v>
      </c>
      <c r="DD344">
        <f t="shared" si="130"/>
        <v>0</v>
      </c>
      <c r="DI344">
        <f t="shared" si="131"/>
        <v>0</v>
      </c>
      <c r="DN344">
        <f t="shared" si="134"/>
        <v>0</v>
      </c>
      <c r="DS344">
        <f t="shared" si="121"/>
        <v>0</v>
      </c>
      <c r="EC344">
        <f t="shared" si="122"/>
        <v>0</v>
      </c>
      <c r="EH344">
        <f t="shared" si="123"/>
        <v>0</v>
      </c>
      <c r="EM344">
        <f t="shared" si="124"/>
        <v>0</v>
      </c>
      <c r="ER344">
        <f t="shared" si="125"/>
        <v>0</v>
      </c>
      <c r="EW344">
        <f t="shared" si="126"/>
        <v>0</v>
      </c>
      <c r="FB344">
        <f t="shared" si="135"/>
        <v>0</v>
      </c>
      <c r="FG344">
        <f t="shared" si="136"/>
        <v>0</v>
      </c>
      <c r="FM344">
        <f t="shared" si="137"/>
        <v>0</v>
      </c>
      <c r="FQ344" s="420">
        <f>'EXTRAS (2)'!D277</f>
        <v>0</v>
      </c>
      <c r="FR344" s="420">
        <f>'EXTRAS (2)'!E277</f>
        <v>0</v>
      </c>
      <c r="FU344" s="420">
        <f t="shared" si="133"/>
        <v>0</v>
      </c>
    </row>
    <row r="345" spans="1:177">
      <c r="A345">
        <v>156</v>
      </c>
      <c r="B345" s="399" t="s">
        <v>1712</v>
      </c>
      <c r="C345" s="400" t="s">
        <v>386</v>
      </c>
      <c r="CF345">
        <f>C12+C13+C14*3</f>
        <v>0</v>
      </c>
      <c r="DM345">
        <v>0.3</v>
      </c>
      <c r="DN345">
        <f t="shared" si="134"/>
        <v>0</v>
      </c>
      <c r="FB345">
        <f t="shared" si="135"/>
        <v>0</v>
      </c>
      <c r="FG345">
        <f t="shared" si="136"/>
        <v>0</v>
      </c>
      <c r="FM345">
        <f t="shared" si="137"/>
        <v>0</v>
      </c>
      <c r="FQ345" s="420">
        <f>'EXTRAS (2)'!D278</f>
        <v>0</v>
      </c>
      <c r="FR345" s="420">
        <f>'EXTRAS (2)'!E278</f>
        <v>0</v>
      </c>
      <c r="FU345" s="420">
        <f t="shared" si="133"/>
        <v>0</v>
      </c>
    </row>
    <row r="346" spans="1:177">
      <c r="A346">
        <v>157</v>
      </c>
      <c r="B346" s="399" t="s">
        <v>995</v>
      </c>
      <c r="C346" s="400" t="s">
        <v>4</v>
      </c>
      <c r="FA346">
        <v>1</v>
      </c>
      <c r="FB346">
        <f t="shared" si="135"/>
        <v>0</v>
      </c>
      <c r="FG346">
        <f t="shared" si="136"/>
        <v>0</v>
      </c>
      <c r="FM346">
        <f t="shared" si="137"/>
        <v>0</v>
      </c>
      <c r="FQ346" s="420">
        <f>'EXTRAS (2)'!D279</f>
        <v>0</v>
      </c>
      <c r="FR346" s="420">
        <f>'EXTRAS (2)'!E279</f>
        <v>0</v>
      </c>
      <c r="FU346" s="420">
        <f t="shared" si="133"/>
        <v>0</v>
      </c>
    </row>
    <row r="347" spans="1:177">
      <c r="A347">
        <v>158</v>
      </c>
      <c r="B347" s="399" t="s">
        <v>910</v>
      </c>
      <c r="C347" s="400" t="s">
        <v>0</v>
      </c>
      <c r="AB347">
        <f t="shared" ref="AB347:AB356" si="138">SUM(AB$7:AB$28,AC$7:AC$28,AD$7:AD$28)*(AA347)</f>
        <v>0</v>
      </c>
      <c r="AM347">
        <f t="shared" ref="AM347:AM356" si="139">SUM(AM$7:AM$28,AN$7:AN$28,AO$7:AO$28)*(AL347)</f>
        <v>0</v>
      </c>
      <c r="CE347">
        <f t="shared" ref="CE347:CE356" si="140">SUM(CE$7:CE$28,CF$7:CF$28,CG$7:CG$28)*(CD347)</f>
        <v>0</v>
      </c>
      <c r="CJ347">
        <f t="shared" si="127"/>
        <v>0</v>
      </c>
      <c r="CO347">
        <f t="shared" si="128"/>
        <v>0</v>
      </c>
      <c r="CY347">
        <f t="shared" si="129"/>
        <v>0</v>
      </c>
      <c r="DD347">
        <f t="shared" si="130"/>
        <v>0</v>
      </c>
      <c r="DI347">
        <f t="shared" si="131"/>
        <v>0</v>
      </c>
      <c r="DN347">
        <f t="shared" si="134"/>
        <v>0</v>
      </c>
      <c r="DS347">
        <f t="shared" ref="DS347:DS356" si="141">SUM(DS$7:DS$28,DT$7:DT$28,DU$7:DU$28)*(DR347)</f>
        <v>0</v>
      </c>
      <c r="EC347">
        <f t="shared" ref="EC347:EC356" si="142">SUM(EC$7:EC$28,ED$7:ED$28,EE$7:EE$28)*(EB347)</f>
        <v>0</v>
      </c>
      <c r="EH347">
        <f t="shared" ref="EH347:EH356" si="143">SUM(EH$7:EH$28,EI$7:EI$28,EJ$7:EJ$28)*(EG347)</f>
        <v>0</v>
      </c>
      <c r="EM347">
        <f t="shared" ref="EM347:EM356" si="144">SUM(EM$7:EM$28,EN$7:EN$28,EO$7:EO$28)*(EL347)</f>
        <v>0</v>
      </c>
      <c r="ER347">
        <f t="shared" ref="ER347:ER356" si="145">SUM(ER$7:ER$28,ES$7:ES$28,ET$7:ET$28)*(EQ347)</f>
        <v>0</v>
      </c>
      <c r="EW347">
        <f t="shared" ref="EW347:EW356" si="146">SUM(EW$7:EW$28,EX$7:EX$28,EY$7:EY$28)*(EV347)</f>
        <v>0</v>
      </c>
      <c r="FA347">
        <v>1</v>
      </c>
      <c r="FB347">
        <f t="shared" si="135"/>
        <v>0</v>
      </c>
      <c r="FG347">
        <f t="shared" si="136"/>
        <v>0</v>
      </c>
      <c r="FM347">
        <f t="shared" si="137"/>
        <v>0</v>
      </c>
      <c r="FQ347" s="420">
        <f>'EXTRAS (2)'!D280</f>
        <v>0</v>
      </c>
      <c r="FR347" s="420">
        <f>'EXTRAS (2)'!E280</f>
        <v>0</v>
      </c>
      <c r="FU347" s="420">
        <f t="shared" si="133"/>
        <v>0</v>
      </c>
    </row>
    <row r="348" spans="1:177">
      <c r="A348">
        <v>159</v>
      </c>
      <c r="B348" s="399" t="s">
        <v>911</v>
      </c>
      <c r="C348" s="400" t="s">
        <v>0</v>
      </c>
      <c r="AB348">
        <f t="shared" si="138"/>
        <v>0</v>
      </c>
      <c r="AM348">
        <f t="shared" si="139"/>
        <v>0</v>
      </c>
      <c r="CE348">
        <f t="shared" si="140"/>
        <v>0</v>
      </c>
      <c r="CJ348">
        <f t="shared" si="127"/>
        <v>0</v>
      </c>
      <c r="CO348">
        <f t="shared" si="128"/>
        <v>0</v>
      </c>
      <c r="CY348">
        <f t="shared" si="129"/>
        <v>0</v>
      </c>
      <c r="DD348">
        <f t="shared" si="130"/>
        <v>0</v>
      </c>
      <c r="DI348">
        <f t="shared" si="131"/>
        <v>0</v>
      </c>
      <c r="DN348">
        <f t="shared" si="134"/>
        <v>0</v>
      </c>
      <c r="DS348">
        <f t="shared" si="141"/>
        <v>0</v>
      </c>
      <c r="EC348">
        <f t="shared" si="142"/>
        <v>0</v>
      </c>
      <c r="EH348">
        <f t="shared" si="143"/>
        <v>0</v>
      </c>
      <c r="EM348">
        <f t="shared" si="144"/>
        <v>0</v>
      </c>
      <c r="ER348">
        <f t="shared" si="145"/>
        <v>0</v>
      </c>
      <c r="EW348">
        <f t="shared" si="146"/>
        <v>0</v>
      </c>
      <c r="FB348">
        <f t="shared" si="135"/>
        <v>0</v>
      </c>
      <c r="FG348">
        <f t="shared" si="136"/>
        <v>0</v>
      </c>
      <c r="FM348">
        <f t="shared" si="137"/>
        <v>0</v>
      </c>
      <c r="FQ348" s="420">
        <f>'EXTRAS (2)'!D281</f>
        <v>0</v>
      </c>
      <c r="FR348" s="420">
        <f>'EXTRAS (2)'!E281</f>
        <v>0</v>
      </c>
      <c r="FU348" s="420">
        <f t="shared" si="133"/>
        <v>0</v>
      </c>
    </row>
    <row r="349" spans="1:177">
      <c r="A349">
        <v>160</v>
      </c>
      <c r="B349" s="399" t="s">
        <v>912</v>
      </c>
      <c r="C349" s="400" t="s">
        <v>0</v>
      </c>
      <c r="AB349">
        <f t="shared" si="138"/>
        <v>0</v>
      </c>
      <c r="AM349">
        <f t="shared" si="139"/>
        <v>0</v>
      </c>
      <c r="CE349">
        <f t="shared" si="140"/>
        <v>0</v>
      </c>
      <c r="CJ349">
        <f t="shared" si="127"/>
        <v>0</v>
      </c>
      <c r="CO349">
        <f t="shared" si="128"/>
        <v>0</v>
      </c>
      <c r="CY349">
        <f t="shared" si="129"/>
        <v>0</v>
      </c>
      <c r="DD349">
        <f t="shared" si="130"/>
        <v>0</v>
      </c>
      <c r="DI349">
        <f t="shared" si="131"/>
        <v>0</v>
      </c>
      <c r="DN349">
        <f t="shared" si="134"/>
        <v>0</v>
      </c>
      <c r="DS349">
        <f t="shared" si="141"/>
        <v>0</v>
      </c>
      <c r="EC349">
        <f t="shared" si="142"/>
        <v>0</v>
      </c>
      <c r="EH349">
        <f t="shared" si="143"/>
        <v>0</v>
      </c>
      <c r="EM349">
        <f t="shared" si="144"/>
        <v>0</v>
      </c>
      <c r="ER349">
        <f t="shared" si="145"/>
        <v>0</v>
      </c>
      <c r="EW349">
        <f t="shared" si="146"/>
        <v>0</v>
      </c>
      <c r="FB349">
        <f t="shared" si="135"/>
        <v>0</v>
      </c>
      <c r="FG349">
        <f t="shared" si="136"/>
        <v>0</v>
      </c>
      <c r="FM349">
        <f t="shared" si="137"/>
        <v>0</v>
      </c>
      <c r="FQ349" s="420">
        <f>'EXTRAS (2)'!D282</f>
        <v>0</v>
      </c>
      <c r="FR349" s="420">
        <f>'EXTRAS (2)'!E282</f>
        <v>0</v>
      </c>
      <c r="FU349" s="420">
        <f t="shared" si="133"/>
        <v>0</v>
      </c>
    </row>
    <row r="350" spans="1:177">
      <c r="A350">
        <v>161</v>
      </c>
      <c r="B350" s="399" t="s">
        <v>1081</v>
      </c>
      <c r="C350" s="400" t="s">
        <v>386</v>
      </c>
      <c r="AB350">
        <f t="shared" si="138"/>
        <v>0</v>
      </c>
      <c r="AM350">
        <f t="shared" si="139"/>
        <v>0</v>
      </c>
      <c r="CE350">
        <f t="shared" si="140"/>
        <v>0</v>
      </c>
      <c r="CJ350">
        <f t="shared" si="127"/>
        <v>0</v>
      </c>
      <c r="CO350">
        <f t="shared" si="128"/>
        <v>0</v>
      </c>
      <c r="CY350">
        <f t="shared" si="129"/>
        <v>0</v>
      </c>
      <c r="DD350">
        <f t="shared" si="130"/>
        <v>0</v>
      </c>
      <c r="DI350">
        <f t="shared" si="131"/>
        <v>0</v>
      </c>
      <c r="DN350">
        <f t="shared" si="134"/>
        <v>0</v>
      </c>
      <c r="DS350">
        <f t="shared" si="141"/>
        <v>0</v>
      </c>
      <c r="EC350">
        <f t="shared" si="142"/>
        <v>0</v>
      </c>
      <c r="EH350">
        <f t="shared" si="143"/>
        <v>0</v>
      </c>
      <c r="EM350">
        <f t="shared" si="144"/>
        <v>0</v>
      </c>
      <c r="ER350">
        <f t="shared" si="145"/>
        <v>0</v>
      </c>
      <c r="EW350">
        <f t="shared" si="146"/>
        <v>0</v>
      </c>
      <c r="FB350">
        <f t="shared" si="135"/>
        <v>0</v>
      </c>
      <c r="FG350">
        <f t="shared" si="136"/>
        <v>0</v>
      </c>
      <c r="FM350">
        <f t="shared" si="137"/>
        <v>0</v>
      </c>
      <c r="FQ350" s="420">
        <f>'EXTRAS (2)'!D283</f>
        <v>0</v>
      </c>
      <c r="FR350" s="420">
        <f>'EXTRAS (2)'!E283</f>
        <v>0</v>
      </c>
      <c r="FU350" s="420">
        <f t="shared" si="133"/>
        <v>0</v>
      </c>
    </row>
    <row r="351" spans="1:177">
      <c r="B351" s="399" t="s">
        <v>1732</v>
      </c>
      <c r="C351" s="400" t="s">
        <v>168</v>
      </c>
      <c r="EV351">
        <v>3</v>
      </c>
      <c r="EW351">
        <f>SUM(EW$7:EW$28,EX$7:EX$28,EY$7:EY$28)*(EV351)</f>
        <v>0</v>
      </c>
      <c r="FA351">
        <v>3</v>
      </c>
      <c r="FB351">
        <f>SUM(FB$7:FB$28,FC$7:FC$28,FD$7:FD$28)*(FA351)</f>
        <v>0</v>
      </c>
      <c r="FF351">
        <v>3</v>
      </c>
      <c r="FG351">
        <f>SUM(FG$7:FG$28,FH$7:FH$28,FI$7:FI$28)*(FF351)</f>
        <v>0</v>
      </c>
      <c r="FL351">
        <v>3</v>
      </c>
      <c r="FM351">
        <f>SUM(FM$7:FM$28,FN$7:FN$28,FO$7:FO$28)*(FL351)</f>
        <v>0</v>
      </c>
      <c r="FP351">
        <v>3</v>
      </c>
      <c r="FQ351" s="420">
        <f>'EXTRAS (2)'!D284</f>
        <v>0</v>
      </c>
      <c r="FR351" s="420">
        <f>'EXTRAS (2)'!E284</f>
        <v>0</v>
      </c>
    </row>
    <row r="352" spans="1:177">
      <c r="A352">
        <v>162</v>
      </c>
      <c r="B352" s="399" t="s">
        <v>913</v>
      </c>
      <c r="C352" s="400" t="s">
        <v>0</v>
      </c>
      <c r="AB352">
        <f t="shared" si="138"/>
        <v>0</v>
      </c>
      <c r="AM352">
        <f t="shared" si="139"/>
        <v>0</v>
      </c>
      <c r="CE352">
        <f t="shared" si="140"/>
        <v>0</v>
      </c>
      <c r="CJ352">
        <f t="shared" ref="CJ352:CJ424" si="147">SUM(CJ$7:CJ$28,CK$7:CK$28,CL$7:CL$28)*(CI352)</f>
        <v>0</v>
      </c>
      <c r="CO352">
        <f t="shared" ref="CO352:CO424" si="148">SUM(CO$7:CO$28,CP$7:CP$28,CQ$7:CQ$28)*(CN352)</f>
        <v>0</v>
      </c>
      <c r="CY352">
        <f t="shared" ref="CY352:CY424" si="149">SUM(CY$7:CY$28,CZ$7:CZ$28,DA$7:DA$28)*(CX352)</f>
        <v>0</v>
      </c>
      <c r="DD352">
        <f t="shared" ref="DD352:DD424" si="150">SUM(DD$7:DD$28,DE$7:DE$28,DF$7:DF$28)*(DC352)</f>
        <v>0</v>
      </c>
      <c r="DI352">
        <f t="shared" ref="DI352:DI424" si="151">SUM(DI$7:DI$28,DJ$7:DJ$28,DK$7:DK$28)*(DH352)</f>
        <v>0</v>
      </c>
      <c r="DN352">
        <f t="shared" si="134"/>
        <v>0</v>
      </c>
      <c r="DS352">
        <f t="shared" si="141"/>
        <v>0</v>
      </c>
      <c r="EC352">
        <f t="shared" si="142"/>
        <v>0</v>
      </c>
      <c r="EH352">
        <f t="shared" si="143"/>
        <v>0</v>
      </c>
      <c r="EM352">
        <f t="shared" si="144"/>
        <v>0</v>
      </c>
      <c r="ER352">
        <f t="shared" si="145"/>
        <v>0</v>
      </c>
      <c r="EW352">
        <f t="shared" si="146"/>
        <v>0</v>
      </c>
      <c r="FB352">
        <f t="shared" si="135"/>
        <v>0</v>
      </c>
      <c r="FG352">
        <f t="shared" si="136"/>
        <v>0</v>
      </c>
      <c r="FM352">
        <f t="shared" si="137"/>
        <v>0</v>
      </c>
      <c r="FQ352" s="420">
        <f>'EXTRAS (2)'!D285</f>
        <v>0</v>
      </c>
      <c r="FR352" s="420">
        <f>'EXTRAS (2)'!E285</f>
        <v>0</v>
      </c>
      <c r="FU352" s="420">
        <f t="shared" si="133"/>
        <v>0</v>
      </c>
    </row>
    <row r="353" spans="1:177">
      <c r="A353">
        <v>163</v>
      </c>
      <c r="B353" s="399" t="s">
        <v>914</v>
      </c>
      <c r="C353" s="400" t="s">
        <v>0</v>
      </c>
      <c r="AB353">
        <f t="shared" si="138"/>
        <v>0</v>
      </c>
      <c r="AM353">
        <f t="shared" si="139"/>
        <v>0</v>
      </c>
      <c r="CE353">
        <f t="shared" si="140"/>
        <v>0</v>
      </c>
      <c r="CJ353">
        <f t="shared" si="147"/>
        <v>0</v>
      </c>
      <c r="CO353">
        <f t="shared" si="148"/>
        <v>0</v>
      </c>
      <c r="CY353">
        <f t="shared" si="149"/>
        <v>0</v>
      </c>
      <c r="DD353">
        <f t="shared" si="150"/>
        <v>0</v>
      </c>
      <c r="DI353">
        <f t="shared" si="151"/>
        <v>0</v>
      </c>
      <c r="DN353">
        <f t="shared" si="134"/>
        <v>0</v>
      </c>
      <c r="DS353">
        <f t="shared" si="141"/>
        <v>0</v>
      </c>
      <c r="EC353">
        <f t="shared" si="142"/>
        <v>0</v>
      </c>
      <c r="EH353">
        <f t="shared" si="143"/>
        <v>0</v>
      </c>
      <c r="EM353">
        <f t="shared" si="144"/>
        <v>0</v>
      </c>
      <c r="ER353">
        <f t="shared" si="145"/>
        <v>0</v>
      </c>
      <c r="EW353">
        <f t="shared" si="146"/>
        <v>0</v>
      </c>
      <c r="FB353">
        <f t="shared" si="135"/>
        <v>0</v>
      </c>
      <c r="FG353">
        <f t="shared" si="136"/>
        <v>0</v>
      </c>
      <c r="FM353">
        <f t="shared" si="137"/>
        <v>0</v>
      </c>
      <c r="FQ353" s="420">
        <f>'EXTRAS (2)'!D286</f>
        <v>0</v>
      </c>
      <c r="FR353" s="420">
        <f>'EXTRAS (2)'!E286</f>
        <v>0</v>
      </c>
      <c r="FU353" s="420">
        <f t="shared" si="133"/>
        <v>0</v>
      </c>
    </row>
    <row r="354" spans="1:177">
      <c r="A354">
        <v>164</v>
      </c>
      <c r="B354" s="399" t="s">
        <v>915</v>
      </c>
      <c r="C354" s="400" t="s">
        <v>0</v>
      </c>
      <c r="AB354">
        <f t="shared" si="138"/>
        <v>0</v>
      </c>
      <c r="AM354">
        <f t="shared" si="139"/>
        <v>0</v>
      </c>
      <c r="CE354">
        <f t="shared" si="140"/>
        <v>0</v>
      </c>
      <c r="CJ354">
        <f t="shared" si="147"/>
        <v>0</v>
      </c>
      <c r="CO354">
        <f t="shared" si="148"/>
        <v>0</v>
      </c>
      <c r="CY354">
        <f t="shared" si="149"/>
        <v>0</v>
      </c>
      <c r="DD354">
        <f t="shared" si="150"/>
        <v>0</v>
      </c>
      <c r="DI354">
        <f t="shared" si="151"/>
        <v>0</v>
      </c>
      <c r="DN354">
        <f t="shared" si="134"/>
        <v>0</v>
      </c>
      <c r="DS354">
        <f t="shared" si="141"/>
        <v>0</v>
      </c>
      <c r="EC354">
        <f t="shared" si="142"/>
        <v>0</v>
      </c>
      <c r="EH354">
        <f t="shared" si="143"/>
        <v>0</v>
      </c>
      <c r="EM354">
        <f t="shared" si="144"/>
        <v>0</v>
      </c>
      <c r="ER354">
        <f t="shared" si="145"/>
        <v>0</v>
      </c>
      <c r="EW354">
        <f t="shared" si="146"/>
        <v>0</v>
      </c>
      <c r="FB354">
        <f t="shared" si="135"/>
        <v>0</v>
      </c>
      <c r="FG354">
        <f t="shared" si="136"/>
        <v>0</v>
      </c>
      <c r="FM354">
        <f t="shared" si="137"/>
        <v>0</v>
      </c>
      <c r="FQ354" s="420">
        <f>'EXTRAS (2)'!D287</f>
        <v>0</v>
      </c>
      <c r="FR354" s="420">
        <f>'EXTRAS (2)'!E287</f>
        <v>0</v>
      </c>
      <c r="FU354" s="420">
        <f t="shared" si="133"/>
        <v>0</v>
      </c>
    </row>
    <row r="355" spans="1:177">
      <c r="A355">
        <v>165</v>
      </c>
      <c r="B355" s="399" t="s">
        <v>916</v>
      </c>
      <c r="C355" s="400" t="s">
        <v>0</v>
      </c>
      <c r="AB355">
        <f t="shared" si="138"/>
        <v>0</v>
      </c>
      <c r="AM355">
        <f t="shared" si="139"/>
        <v>0</v>
      </c>
      <c r="CE355">
        <f t="shared" si="140"/>
        <v>0</v>
      </c>
      <c r="CJ355">
        <f t="shared" si="147"/>
        <v>0</v>
      </c>
      <c r="CO355">
        <f t="shared" si="148"/>
        <v>0</v>
      </c>
      <c r="CY355">
        <f t="shared" si="149"/>
        <v>0</v>
      </c>
      <c r="DD355">
        <f t="shared" si="150"/>
        <v>0</v>
      </c>
      <c r="DI355">
        <f t="shared" si="151"/>
        <v>0</v>
      </c>
      <c r="DN355">
        <f t="shared" si="134"/>
        <v>0</v>
      </c>
      <c r="DS355">
        <f t="shared" si="141"/>
        <v>0</v>
      </c>
      <c r="EC355">
        <f t="shared" si="142"/>
        <v>0</v>
      </c>
      <c r="EH355">
        <f t="shared" si="143"/>
        <v>0</v>
      </c>
      <c r="EM355">
        <f t="shared" si="144"/>
        <v>0</v>
      </c>
      <c r="ER355">
        <f t="shared" si="145"/>
        <v>0</v>
      </c>
      <c r="EW355">
        <f t="shared" si="146"/>
        <v>0</v>
      </c>
      <c r="FB355">
        <f t="shared" si="135"/>
        <v>0</v>
      </c>
      <c r="FG355">
        <f t="shared" si="136"/>
        <v>0</v>
      </c>
      <c r="FM355">
        <f t="shared" si="137"/>
        <v>0</v>
      </c>
      <c r="FQ355" s="420">
        <f>'EXTRAS (2)'!D288</f>
        <v>0</v>
      </c>
      <c r="FR355" s="420">
        <f>'EXTRAS (2)'!E288</f>
        <v>0</v>
      </c>
      <c r="FU355" s="420">
        <f t="shared" si="133"/>
        <v>0</v>
      </c>
    </row>
    <row r="356" spans="1:177">
      <c r="A356">
        <v>166</v>
      </c>
      <c r="B356" s="399" t="s">
        <v>917</v>
      </c>
      <c r="C356" s="400" t="s">
        <v>0</v>
      </c>
      <c r="AB356">
        <f t="shared" si="138"/>
        <v>0</v>
      </c>
      <c r="AM356">
        <f t="shared" si="139"/>
        <v>0</v>
      </c>
      <c r="CE356">
        <f t="shared" si="140"/>
        <v>0</v>
      </c>
      <c r="CJ356">
        <f t="shared" si="147"/>
        <v>0</v>
      </c>
      <c r="CO356">
        <f t="shared" si="148"/>
        <v>0</v>
      </c>
      <c r="CY356">
        <f t="shared" si="149"/>
        <v>0</v>
      </c>
      <c r="DD356">
        <f t="shared" si="150"/>
        <v>0</v>
      </c>
      <c r="DI356">
        <f t="shared" si="151"/>
        <v>0</v>
      </c>
      <c r="DN356">
        <f t="shared" si="134"/>
        <v>0</v>
      </c>
      <c r="DS356">
        <f t="shared" si="141"/>
        <v>0</v>
      </c>
      <c r="EC356">
        <f t="shared" si="142"/>
        <v>0</v>
      </c>
      <c r="EH356">
        <f t="shared" si="143"/>
        <v>0</v>
      </c>
      <c r="EM356">
        <f t="shared" si="144"/>
        <v>0</v>
      </c>
      <c r="ER356">
        <f t="shared" si="145"/>
        <v>0</v>
      </c>
      <c r="EW356">
        <f t="shared" si="146"/>
        <v>0</v>
      </c>
      <c r="FB356">
        <f t="shared" si="135"/>
        <v>0</v>
      </c>
      <c r="FG356">
        <f t="shared" si="136"/>
        <v>0</v>
      </c>
      <c r="FM356">
        <f t="shared" si="137"/>
        <v>0</v>
      </c>
      <c r="FQ356" s="420">
        <f>'EXTRAS (2)'!D289</f>
        <v>0</v>
      </c>
      <c r="FR356" s="420">
        <f>'EXTRAS (2)'!E289</f>
        <v>0</v>
      </c>
      <c r="FU356" s="420">
        <f t="shared" si="133"/>
        <v>0</v>
      </c>
    </row>
    <row r="357" spans="1:177">
      <c r="A357">
        <v>167</v>
      </c>
      <c r="B357" s="399" t="s">
        <v>1090</v>
      </c>
      <c r="C357" s="400" t="s">
        <v>386</v>
      </c>
      <c r="FB357">
        <f t="shared" si="135"/>
        <v>0</v>
      </c>
      <c r="FL357">
        <v>1.5</v>
      </c>
      <c r="FM357">
        <f>SUM(FM$7:FM$28,FN$7:FN$28,FO$7:FO$28)*(FL357)</f>
        <v>0</v>
      </c>
      <c r="FQ357" s="420">
        <f>'EXTRAS (2)'!D290</f>
        <v>0</v>
      </c>
      <c r="FR357" s="420">
        <f>'EXTRAS (2)'!E290</f>
        <v>0</v>
      </c>
      <c r="FU357" s="420">
        <f t="shared" si="133"/>
        <v>0</v>
      </c>
    </row>
    <row r="358" spans="1:177">
      <c r="A358">
        <v>168</v>
      </c>
      <c r="B358" s="399" t="s">
        <v>13</v>
      </c>
      <c r="C358" s="400" t="s">
        <v>0</v>
      </c>
      <c r="AB358">
        <f>SUM(AB$7:AB$28,AC$7:AC$28,AD$7:AD$28)*(AA358)</f>
        <v>0</v>
      </c>
      <c r="AM358">
        <f>SUM(AM$7:AM$28,AN$7:AN$28,AO$7:AO$28)*(AL358)</f>
        <v>0</v>
      </c>
      <c r="CE358">
        <f>SUM(CE$7:CE$28,CF$7:CF$28,CG$7:CG$28)*(CD358)</f>
        <v>0</v>
      </c>
      <c r="CJ358">
        <f t="shared" si="147"/>
        <v>0</v>
      </c>
      <c r="CO358">
        <f t="shared" si="148"/>
        <v>0</v>
      </c>
      <c r="CY358">
        <f t="shared" si="149"/>
        <v>0</v>
      </c>
      <c r="DD358">
        <f t="shared" si="150"/>
        <v>0</v>
      </c>
      <c r="DI358">
        <f t="shared" si="151"/>
        <v>0</v>
      </c>
      <c r="DN358">
        <f t="shared" si="134"/>
        <v>0</v>
      </c>
      <c r="DS358">
        <f>SUM(DS$7:DS$28,DT$7:DT$28,DU$7:DU$28)*(DR358)</f>
        <v>0</v>
      </c>
      <c r="EC358">
        <f>SUM(EC$7:EC$28,ED$7:ED$28,EE$7:EE$28)*(EB358)</f>
        <v>0</v>
      </c>
      <c r="EH358">
        <f>SUM(EH$7:EH$28,EI$7:EI$28,EJ$7:EJ$28)*(EG358)</f>
        <v>0</v>
      </c>
      <c r="EM358">
        <f>SUM(EM$7:EM$28,EN$7:EN$28,EO$7:EO$28)*(EL358)</f>
        <v>0</v>
      </c>
      <c r="ER358">
        <f>SUM(ER$7:ER$28,ES$7:ES$28,ET$7:ET$28)*(EQ358)</f>
        <v>0</v>
      </c>
      <c r="EW358">
        <f>SUM(EW$7:EW$28,EX$7:EX$28,EY$7:EY$28)*(EV358)</f>
        <v>0</v>
      </c>
      <c r="FB358">
        <f t="shared" si="135"/>
        <v>0</v>
      </c>
      <c r="FG358">
        <f>SUM(FG$7:FG$28,FH$7:FH$28,FI$7:FI$28)*(FF358)</f>
        <v>0</v>
      </c>
      <c r="FM358">
        <f>SUM(FM$7:FM$28,FN$7:FN$28,FO$7:FO$28)*(FL358)</f>
        <v>0</v>
      </c>
      <c r="FQ358" s="420">
        <f>'EXTRAS (2)'!D291</f>
        <v>0</v>
      </c>
      <c r="FR358" s="420">
        <f>'EXTRAS (2)'!E291</f>
        <v>0</v>
      </c>
      <c r="FU358" s="420">
        <f t="shared" si="133"/>
        <v>0</v>
      </c>
    </row>
    <row r="359" spans="1:177">
      <c r="A359">
        <v>169</v>
      </c>
      <c r="B359" s="399" t="s">
        <v>996</v>
      </c>
      <c r="C359" s="400" t="s">
        <v>4</v>
      </c>
      <c r="FB359">
        <f t="shared" si="135"/>
        <v>0</v>
      </c>
      <c r="FQ359" s="420">
        <f>'EXTRAS (2)'!D292</f>
        <v>0</v>
      </c>
      <c r="FR359" s="420">
        <f>'EXTRAS (2)'!E292</f>
        <v>0</v>
      </c>
      <c r="FU359" s="420">
        <f t="shared" si="133"/>
        <v>0</v>
      </c>
    </row>
    <row r="360" spans="1:177">
      <c r="A360">
        <v>170</v>
      </c>
      <c r="B360" s="399" t="s">
        <v>918</v>
      </c>
      <c r="C360" s="400" t="s">
        <v>0</v>
      </c>
      <c r="AB360">
        <f>SUM(AB$7:AB$28,AC$7:AC$28,AD$7:AD$28)*(AA360)</f>
        <v>0</v>
      </c>
      <c r="AM360">
        <f>SUM(AM$7:AM$28,AN$7:AN$28,AO$7:AO$28)*(AL360)</f>
        <v>0</v>
      </c>
      <c r="CE360">
        <f>SUM(CE$7:CE$28,CF$7:CF$28,CG$7:CG$28)*(CD360)</f>
        <v>0</v>
      </c>
      <c r="CJ360">
        <f t="shared" si="147"/>
        <v>0</v>
      </c>
      <c r="CO360">
        <f t="shared" si="148"/>
        <v>0</v>
      </c>
      <c r="CY360">
        <f t="shared" si="149"/>
        <v>0</v>
      </c>
      <c r="DD360">
        <f t="shared" si="150"/>
        <v>0</v>
      </c>
      <c r="DI360">
        <f t="shared" si="151"/>
        <v>0</v>
      </c>
      <c r="DN360">
        <f t="shared" si="134"/>
        <v>0</v>
      </c>
      <c r="DS360">
        <f>SUM(DS$7:DS$28,DT$7:DT$28,DU$7:DU$28)*(DR360)</f>
        <v>0</v>
      </c>
      <c r="EC360">
        <f>SUM(EC$7:EC$28,ED$7:ED$28,EE$7:EE$28)*(EB360)</f>
        <v>0</v>
      </c>
      <c r="EH360">
        <f>SUM(EH$7:EH$28,EI$7:EI$28,EJ$7:EJ$28)*(EG360)</f>
        <v>0</v>
      </c>
      <c r="EM360">
        <f>SUM(EM$7:EM$28,EN$7:EN$28,EO$7:EO$28)*(EL360)</f>
        <v>0</v>
      </c>
      <c r="ER360">
        <f>SUM(ER$7:ER$28,ES$7:ES$28,ET$7:ET$28)*(EQ360)</f>
        <v>0</v>
      </c>
      <c r="EW360">
        <f>SUM(EW$7:EW$28,EX$7:EX$28,EY$7:EY$28)*(EV360)</f>
        <v>0</v>
      </c>
      <c r="FB360">
        <f t="shared" si="135"/>
        <v>0</v>
      </c>
      <c r="FG360">
        <f>SUM(FG$7:FG$28,FH$7:FH$28,FI$7:FI$28)*(FF360)</f>
        <v>0</v>
      </c>
      <c r="FM360">
        <f>SUM(FM$7:FM$28,FN$7:FN$28,FO$7:FO$28)*(FL360)</f>
        <v>0</v>
      </c>
      <c r="FQ360" s="420">
        <f>'EXTRAS (2)'!D293</f>
        <v>0</v>
      </c>
      <c r="FR360" s="420">
        <f>'EXTRAS (2)'!E293</f>
        <v>0</v>
      </c>
      <c r="FU360" s="420">
        <f t="shared" si="133"/>
        <v>0</v>
      </c>
    </row>
    <row r="361" spans="1:177">
      <c r="A361">
        <v>171</v>
      </c>
      <c r="B361" s="399" t="s">
        <v>1001</v>
      </c>
      <c r="C361" s="400" t="s">
        <v>0</v>
      </c>
      <c r="AA361">
        <v>1</v>
      </c>
      <c r="AB361">
        <f>SUM(AB$7:AB$28,AC$7:AC$28,AD$7:AD$28,AE7:AE28,AF7:AF28,AG7:AG28,AH7:AH28,AI7:AI28,AJ7:AJ28)*(AA361)</f>
        <v>0</v>
      </c>
      <c r="AL361">
        <v>1</v>
      </c>
      <c r="AM361">
        <f>SUM(AM$7:AM$28,AN$7:AN$28,AO$7:AO$28,AP7:AP28,AQ7:AQ28,AR7:AR28,AS7:AS28,AT7:AT28,AU7:AU28)*(AL361)</f>
        <v>0</v>
      </c>
      <c r="CE361">
        <f>SUM(CE$7:CE$28,CF$7:CF$28,CG$7:CG$28)*(CD361)</f>
        <v>0</v>
      </c>
      <c r="CJ361">
        <f t="shared" si="147"/>
        <v>0</v>
      </c>
      <c r="CO361">
        <f t="shared" si="148"/>
        <v>0</v>
      </c>
      <c r="CY361">
        <f t="shared" si="149"/>
        <v>0</v>
      </c>
      <c r="DC361">
        <v>1</v>
      </c>
      <c r="DD361">
        <f t="shared" si="150"/>
        <v>0</v>
      </c>
      <c r="DH361">
        <v>2</v>
      </c>
      <c r="DI361">
        <f t="shared" si="151"/>
        <v>0</v>
      </c>
      <c r="DM361">
        <v>1</v>
      </c>
      <c r="DN361">
        <f t="shared" si="134"/>
        <v>0</v>
      </c>
      <c r="DS361">
        <f>SUM(DS$7:DS$28,DT$7:DT$28,DU$7:DU$28)*(DR361)</f>
        <v>0</v>
      </c>
      <c r="EC361">
        <f>SUM(EC$7:EC$28,ED$7:ED$28,EE$7:EE$28)*(EB361)</f>
        <v>0</v>
      </c>
      <c r="EH361">
        <f>SUM(EH$7:EH$28,EI$7:EI$28,EJ$7:EJ$28)*(EG361)</f>
        <v>0</v>
      </c>
      <c r="EL361">
        <v>1</v>
      </c>
      <c r="EM361">
        <f>SUM(EM$7:EM$28,EN$7:EN$28,EO$7:EO$28)*(EL361)</f>
        <v>0</v>
      </c>
      <c r="EQ361">
        <v>1</v>
      </c>
      <c r="ER361">
        <f>SUM(ER$7:ER$28,ES$7:ES$28,ET$7:ET$28)*(EQ361)</f>
        <v>0</v>
      </c>
      <c r="EW361">
        <f>SUM(EW$7:EW$28,EX$7:EX$28,EY$7:EY$28)*(EV361)</f>
        <v>0</v>
      </c>
      <c r="FB361">
        <f t="shared" si="135"/>
        <v>0</v>
      </c>
      <c r="FF361">
        <v>1</v>
      </c>
      <c r="FG361">
        <f>SUM(FG$7:FG$28,FH$7:FH$28,FI$7:FI$28)*(FF361)</f>
        <v>0</v>
      </c>
      <c r="FL361">
        <v>1</v>
      </c>
      <c r="FM361">
        <f>SUM(FM$7:FM$28,FN$7:FN$28,FO$7:FO$28)*(FL361)</f>
        <v>0</v>
      </c>
      <c r="FQ361" s="420">
        <f>'EXTRAS (2)'!D294</f>
        <v>0</v>
      </c>
      <c r="FR361" s="420">
        <f>'EXTRAS (2)'!E294</f>
        <v>0</v>
      </c>
      <c r="FU361" s="420">
        <f t="shared" si="133"/>
        <v>0</v>
      </c>
    </row>
    <row r="362" spans="1:177">
      <c r="A362">
        <v>172</v>
      </c>
      <c r="B362" s="167" t="s">
        <v>1032</v>
      </c>
      <c r="C362" s="400" t="s">
        <v>0</v>
      </c>
      <c r="E362" t="s">
        <v>1018</v>
      </c>
      <c r="F362" s="333">
        <f>SUM(F7:F28,G7:G28,H7:H28,I7:I28,J7:J28,K7:K28)*(1)</f>
        <v>0</v>
      </c>
      <c r="P362" t="s">
        <v>1018</v>
      </c>
      <c r="Q362">
        <f>SUM(Q7:Q28,R7:R28,S7:S28,T7:T28,U7:U28,V7:V28)*(1)</f>
        <v>0</v>
      </c>
      <c r="CF362">
        <f>C12+C13*1</f>
        <v>0</v>
      </c>
      <c r="CS362" t="s">
        <v>1018</v>
      </c>
      <c r="CT362">
        <f>SUM(CT7:CT28,CU7:CU28)*(2)</f>
        <v>0</v>
      </c>
      <c r="FB362">
        <f t="shared" si="135"/>
        <v>0</v>
      </c>
      <c r="FQ362" s="420">
        <f>'EXTRAS (2)'!D295</f>
        <v>0</v>
      </c>
      <c r="FR362" s="420">
        <f>'EXTRAS (2)'!E295</f>
        <v>0</v>
      </c>
      <c r="FU362" s="420">
        <f t="shared" si="133"/>
        <v>0</v>
      </c>
    </row>
    <row r="363" spans="1:177">
      <c r="A363">
        <v>173</v>
      </c>
      <c r="B363" s="167" t="s">
        <v>1033</v>
      </c>
      <c r="C363" s="400" t="s">
        <v>0</v>
      </c>
      <c r="E363" t="s">
        <v>1018</v>
      </c>
      <c r="F363" s="333">
        <f>SUM(N7:N28,L7:L28,M7:M28)*(1)</f>
        <v>0</v>
      </c>
      <c r="P363" t="s">
        <v>1018</v>
      </c>
      <c r="Q363">
        <f>SUM(Y7:Y28,W7:W28,X7:X28)*(1)</f>
        <v>0</v>
      </c>
      <c r="CF363">
        <f>C14*1</f>
        <v>0</v>
      </c>
      <c r="CS363" t="s">
        <v>1018</v>
      </c>
      <c r="CT363">
        <f>SUM(CV7:CV28)*(2)</f>
        <v>0</v>
      </c>
      <c r="FB363">
        <f t="shared" si="135"/>
        <v>0</v>
      </c>
      <c r="FQ363" s="420">
        <f>'EXTRAS (2)'!D296</f>
        <v>0</v>
      </c>
      <c r="FR363" s="420">
        <f>'EXTRAS (2)'!E296</f>
        <v>0</v>
      </c>
      <c r="FU363" s="420">
        <f t="shared" si="133"/>
        <v>0</v>
      </c>
    </row>
    <row r="364" spans="1:177">
      <c r="A364">
        <v>174</v>
      </c>
      <c r="B364" s="167" t="s">
        <v>1034</v>
      </c>
      <c r="C364" s="400" t="s">
        <v>0</v>
      </c>
      <c r="AA364" t="s">
        <v>1018</v>
      </c>
      <c r="AB364">
        <f>SUM(AB7:AB28,AE7:AE28,AH7:AH28)*(3)</f>
        <v>0</v>
      </c>
      <c r="AL364" t="s">
        <v>1018</v>
      </c>
      <c r="AM364">
        <f>SUM(AM7:AM28,AP7:AP28,AS7:AS28)*(3)</f>
        <v>0</v>
      </c>
      <c r="AW364" t="s">
        <v>1018</v>
      </c>
      <c r="AX364">
        <f>SUM(AX7:AX28,BA7:BA28,BD7:BD28)*(3)</f>
        <v>0</v>
      </c>
      <c r="BH364" t="s">
        <v>1018</v>
      </c>
      <c r="BI364">
        <f>SUM(BI7:BI28,BL7:BL28,BO7:BO28)*(3)</f>
        <v>0</v>
      </c>
      <c r="BS364" t="s">
        <v>1018</v>
      </c>
      <c r="BT364">
        <f>SUM(BT7:BT28,BW7:BW28,BZ7:BZ28)*(3)</f>
        <v>0</v>
      </c>
      <c r="CE364">
        <f>SUM(CE$7:CE$28,CF$7:CF$28,CG$7:CG$28)*(CD364)</f>
        <v>0</v>
      </c>
      <c r="CJ364">
        <f t="shared" si="147"/>
        <v>0</v>
      </c>
      <c r="CO364">
        <f t="shared" si="148"/>
        <v>0</v>
      </c>
      <c r="CY364">
        <f t="shared" si="149"/>
        <v>0</v>
      </c>
      <c r="DD364">
        <f t="shared" si="150"/>
        <v>0</v>
      </c>
      <c r="DH364" t="s">
        <v>1018</v>
      </c>
      <c r="DI364">
        <f>SUM(DI7:DI28)*(6)</f>
        <v>0</v>
      </c>
      <c r="DM364" t="s">
        <v>1018</v>
      </c>
      <c r="DN364">
        <f>SUM(DN7:DN28)*(6)</f>
        <v>0</v>
      </c>
      <c r="DR364" t="s">
        <v>1018</v>
      </c>
      <c r="DS364">
        <f>SUM(DS7:DS28)*(6)</f>
        <v>0</v>
      </c>
      <c r="DW364" t="s">
        <v>1018</v>
      </c>
      <c r="DX364">
        <f>SUM(DX7:DX28)*(6)</f>
        <v>0</v>
      </c>
      <c r="EC364">
        <f>SUM(EC$7:EC$28,ED$7:ED$28,EE$7:EE$28)*(EB364)</f>
        <v>0</v>
      </c>
      <c r="EH364">
        <f>SUM(EH$7:EH$28,EI$7:EI$28,EJ$7:EJ$28)*(EG364)</f>
        <v>0</v>
      </c>
      <c r="EL364" t="s">
        <v>1018</v>
      </c>
      <c r="EM364">
        <f>SUM(EM7:EM28)*(6)</f>
        <v>0</v>
      </c>
      <c r="EQ364" t="s">
        <v>1018</v>
      </c>
      <c r="ER364">
        <f>SUM(ER7:ER28)*(6)</f>
        <v>0</v>
      </c>
      <c r="EW364">
        <f>SUM(EW$7:EW$28,EX$7:EX$28,EY$7:EY$28)*(EV364)</f>
        <v>0</v>
      </c>
      <c r="FB364">
        <f t="shared" si="135"/>
        <v>0</v>
      </c>
      <c r="FF364" t="s">
        <v>1018</v>
      </c>
      <c r="FG364">
        <f>SUM(FG7:FG28)*(3)</f>
        <v>0</v>
      </c>
      <c r="FL364" t="s">
        <v>1018</v>
      </c>
      <c r="FM364">
        <f>SUM(FM7:FM28)*(3)</f>
        <v>0</v>
      </c>
      <c r="FQ364" s="420">
        <f>'EXTRAS (2)'!D297</f>
        <v>0</v>
      </c>
      <c r="FR364" s="420">
        <f>'EXTRAS (2)'!E297</f>
        <v>0</v>
      </c>
      <c r="FU364" s="420">
        <f t="shared" si="133"/>
        <v>0</v>
      </c>
    </row>
    <row r="365" spans="1:177">
      <c r="A365">
        <v>175</v>
      </c>
      <c r="B365" s="167" t="s">
        <v>1035</v>
      </c>
      <c r="C365" s="400" t="s">
        <v>0</v>
      </c>
      <c r="AA365" t="s">
        <v>1018</v>
      </c>
      <c r="AB365">
        <f>SUM(AC7:AC28,AF7:AF28,AI7:AI28)*(3)</f>
        <v>0</v>
      </c>
      <c r="AL365" t="s">
        <v>1018</v>
      </c>
      <c r="AM365">
        <f>SUM(AN7:AN28,AQ7:AQ28,AT7:AT28)*(3)</f>
        <v>0</v>
      </c>
      <c r="AW365" t="s">
        <v>1018</v>
      </c>
      <c r="AX365">
        <f>SUM(AY7:AY28,BB7:BB28,BE7:BE28)*(3)</f>
        <v>0</v>
      </c>
      <c r="BH365" t="s">
        <v>1018</v>
      </c>
      <c r="BI365">
        <f>SUM(BJ7:BJ28,BM7:BM28,BP7:BP28)*(3)</f>
        <v>0</v>
      </c>
      <c r="BS365" t="s">
        <v>1018</v>
      </c>
      <c r="BT365">
        <f>SUM(BU7:BU28,BX7:BX28,CA7:CA28)*(3)</f>
        <v>0</v>
      </c>
      <c r="DH365" t="s">
        <v>1018</v>
      </c>
      <c r="DI365">
        <f>SUM(DJ7:DJ28)*(6)</f>
        <v>0</v>
      </c>
      <c r="DM365" t="s">
        <v>1018</v>
      </c>
      <c r="DN365">
        <f>SUM(DO7:DO28)*(6)</f>
        <v>0</v>
      </c>
      <c r="DR365" t="s">
        <v>1018</v>
      </c>
      <c r="DS365">
        <f>SUM(DT7:DT28)*(6)</f>
        <v>0</v>
      </c>
      <c r="DW365" t="s">
        <v>1018</v>
      </c>
      <c r="DX365">
        <f>SUM(DY7:DY28)*(6)</f>
        <v>0</v>
      </c>
      <c r="EL365" t="s">
        <v>1018</v>
      </c>
      <c r="EM365">
        <f>SUM(EN7:EN28)*(6)</f>
        <v>0</v>
      </c>
      <c r="EQ365" t="s">
        <v>1018</v>
      </c>
      <c r="ER365">
        <f>SUM(ES7:ES28)*(6)</f>
        <v>0</v>
      </c>
      <c r="FB365">
        <f t="shared" si="135"/>
        <v>0</v>
      </c>
      <c r="FF365" t="s">
        <v>1018</v>
      </c>
      <c r="FG365">
        <f>SUM(FH7:FH28)*(3)</f>
        <v>0</v>
      </c>
      <c r="FL365" t="s">
        <v>1018</v>
      </c>
      <c r="FM365">
        <f>SUM(FN7:FN28)*(3)</f>
        <v>0</v>
      </c>
      <c r="FQ365" s="420">
        <f>'EXTRAS (2)'!D298</f>
        <v>0</v>
      </c>
      <c r="FR365" s="420">
        <f>'EXTRAS (2)'!E298</f>
        <v>0</v>
      </c>
      <c r="FU365" s="420">
        <f t="shared" si="133"/>
        <v>0</v>
      </c>
    </row>
    <row r="366" spans="1:177">
      <c r="A366">
        <v>176</v>
      </c>
      <c r="B366" s="167" t="s">
        <v>1036</v>
      </c>
      <c r="C366" s="400" t="s">
        <v>0</v>
      </c>
      <c r="AA366" t="s">
        <v>1018</v>
      </c>
      <c r="AB366">
        <f>SUM(AJ7:AJ28,AD7:AD28,AG7:AG28)*(3)</f>
        <v>0</v>
      </c>
      <c r="AL366" t="s">
        <v>1018</v>
      </c>
      <c r="AM366">
        <f>SUM(AU7:AU28,AO7:AO28,AR7:AR28)*(3)</f>
        <v>0</v>
      </c>
      <c r="AW366" t="s">
        <v>1018</v>
      </c>
      <c r="AX366">
        <f>SUM(BF7:BF28,AZ7:AZ28,BC7:BC28)*(3)</f>
        <v>0</v>
      </c>
      <c r="BH366" t="s">
        <v>1018</v>
      </c>
      <c r="BI366">
        <f>SUM(BQ7:BQ28,BK7:BK28,BN7:BN28)*(3)</f>
        <v>0</v>
      </c>
      <c r="BS366" t="s">
        <v>1018</v>
      </c>
      <c r="BT366">
        <f>SUM(CB7:CB28,BV7:BV28,BY7:BY28)*(3)</f>
        <v>0</v>
      </c>
      <c r="DH366" t="s">
        <v>1018</v>
      </c>
      <c r="DI366">
        <f>SUM(DK7:DK28)*(6)</f>
        <v>0</v>
      </c>
      <c r="DM366" t="s">
        <v>1018</v>
      </c>
      <c r="DN366">
        <f>SUM(DP7:DP28)*(6)</f>
        <v>0</v>
      </c>
      <c r="DR366" t="s">
        <v>1018</v>
      </c>
      <c r="DS366">
        <f>SUM(DU7:DU28)*(6)</f>
        <v>0</v>
      </c>
      <c r="DW366" t="s">
        <v>1018</v>
      </c>
      <c r="DX366">
        <f>SUM(DZ7:DZ28)*(6)</f>
        <v>0</v>
      </c>
      <c r="EL366" t="s">
        <v>1018</v>
      </c>
      <c r="EM366">
        <f>SUM(EO7:EO28)*(6)</f>
        <v>0</v>
      </c>
      <c r="EQ366" t="s">
        <v>1018</v>
      </c>
      <c r="ER366">
        <f>SUM(ET7:ET28)*(6)</f>
        <v>0</v>
      </c>
      <c r="FB366">
        <f t="shared" si="135"/>
        <v>0</v>
      </c>
      <c r="FF366" t="s">
        <v>1018</v>
      </c>
      <c r="FG366">
        <f>SUM(FI7:FI28)*(3)</f>
        <v>0</v>
      </c>
      <c r="FL366" t="s">
        <v>1018</v>
      </c>
      <c r="FM366">
        <f>SUM(FO7:FO28)*(3)</f>
        <v>0</v>
      </c>
      <c r="FQ366" s="420">
        <f>'EXTRAS (2)'!D299</f>
        <v>0</v>
      </c>
      <c r="FR366" s="420">
        <f>'EXTRAS (2)'!E299</f>
        <v>0</v>
      </c>
      <c r="FU366" s="420">
        <f t="shared" si="133"/>
        <v>0</v>
      </c>
    </row>
    <row r="367" spans="1:177">
      <c r="A367">
        <v>177</v>
      </c>
      <c r="B367" s="167" t="s">
        <v>1037</v>
      </c>
      <c r="C367" s="400" t="s">
        <v>0</v>
      </c>
      <c r="FB367">
        <f t="shared" si="135"/>
        <v>0</v>
      </c>
      <c r="FM367">
        <f t="shared" si="137"/>
        <v>0</v>
      </c>
      <c r="FQ367" s="420">
        <f>'EXTRAS (2)'!D300</f>
        <v>0</v>
      </c>
      <c r="FR367" s="420">
        <f>'EXTRAS (2)'!E300</f>
        <v>0</v>
      </c>
      <c r="FU367" s="420">
        <f t="shared" si="133"/>
        <v>0</v>
      </c>
    </row>
    <row r="368" spans="1:177">
      <c r="A368">
        <v>178</v>
      </c>
      <c r="B368" s="167" t="s">
        <v>1038</v>
      </c>
      <c r="C368" s="400" t="s">
        <v>0</v>
      </c>
      <c r="FB368">
        <f t="shared" si="135"/>
        <v>0</v>
      </c>
      <c r="FQ368" s="420">
        <f>'EXTRAS (2)'!D301</f>
        <v>0</v>
      </c>
      <c r="FR368" s="420">
        <f>'EXTRAS (2)'!E301</f>
        <v>0</v>
      </c>
      <c r="FU368" s="420">
        <f t="shared" si="133"/>
        <v>0</v>
      </c>
    </row>
    <row r="369" spans="1:177">
      <c r="A369">
        <v>179</v>
      </c>
      <c r="B369" s="399" t="s">
        <v>15</v>
      </c>
      <c r="C369" s="400" t="s">
        <v>0</v>
      </c>
      <c r="AA369">
        <v>3</v>
      </c>
      <c r="AB369">
        <f>SUM(AB$7:AB$28,AC$7:AC$28,AD$7:AD$28,AE$7:AE$28,AF$7:AF$28,AG$7:AG$28,AH$7:AH$28,AI$7:AI$28,AJ$7:AJ$28)*(AA369)</f>
        <v>0</v>
      </c>
      <c r="AL369">
        <v>3</v>
      </c>
      <c r="AM369">
        <f t="shared" ref="AM369:AM425" si="152">SUM(AM$7:AM$28,AN$7:AN$28,AO$7:AO$28,AP$7:AP$28,AQ$7:AQ$28,AR$7:AR$28,AS$7:AS$28,AT$7:AT$28,AU$7:AU$28)*(AL369)</f>
        <v>0</v>
      </c>
      <c r="AW369">
        <v>4</v>
      </c>
      <c r="AX369">
        <f>SUM(AX$7:AX$28,AY$7:AY$28,AZ$7:AZ$28,BA$7:BA$28,BB$7:BB$28,BC$7:BC$28,BD$7:BD$28,BE$7:BE$28,BF$7:BF$28)*(AW369)</f>
        <v>0</v>
      </c>
      <c r="BH369">
        <v>3</v>
      </c>
      <c r="BI369">
        <f>SUM(BI$7:BI$28,BP$7:BP$28,BQ$7:BQ$28,BJ$7:BJ$28,BK$28:BK291,BL$7:BL$28,BM$7:BM$28,BN$7:BN$28)*(BH369)</f>
        <v>0</v>
      </c>
      <c r="BS369">
        <v>3</v>
      </c>
      <c r="BT369">
        <f>SUM(BT$7:BT$28,CA$7:CA$28,CB$7:CB$28,BU$7:BU$28,BV$28:BV291,BW$7:BW$28,BX$7:BX$28,BY$7:BY$28)*(BS369)</f>
        <v>0</v>
      </c>
      <c r="CE369">
        <f t="shared" ref="CE369:CE375" si="153">SUM(CE$7:CE$28,CF$7:CF$28,CG$7:CG$28)*(CD369)</f>
        <v>0</v>
      </c>
      <c r="CJ369">
        <f t="shared" si="147"/>
        <v>0</v>
      </c>
      <c r="CO369">
        <f t="shared" si="148"/>
        <v>0</v>
      </c>
      <c r="CT369">
        <f t="shared" ref="CT369:CT424" si="154">SUM(CT$7:CT$28,CU$7:CU$28,CV$7:CV$28)*(CS369)</f>
        <v>0</v>
      </c>
      <c r="CY369">
        <f t="shared" si="149"/>
        <v>0</v>
      </c>
      <c r="DC369">
        <v>3</v>
      </c>
      <c r="DD369">
        <f t="shared" si="150"/>
        <v>0</v>
      </c>
      <c r="DH369">
        <v>6</v>
      </c>
      <c r="DI369">
        <f t="shared" si="151"/>
        <v>0</v>
      </c>
      <c r="DM369">
        <v>6</v>
      </c>
      <c r="DN369">
        <f t="shared" si="134"/>
        <v>0</v>
      </c>
      <c r="DS369">
        <f t="shared" ref="DS369:DS375" si="155">SUM(DS$7:DS$28,DT$7:DT$28,DU$7:DU$28)*(DR369)</f>
        <v>0</v>
      </c>
      <c r="DX369">
        <f t="shared" ref="DX369:DX375" si="156">SUM(DX$7:DX$28,DY$7:DY$28,DZ$7:DZ$28)*(DW369)</f>
        <v>0</v>
      </c>
      <c r="EC369">
        <f t="shared" ref="EC369:EC375" si="157">SUM(EC$7:EC$28,ED$7:ED$28,EE$7:EE$28)*(EB369)</f>
        <v>0</v>
      </c>
      <c r="EH369">
        <f t="shared" ref="EH369:EH375" si="158">SUM(EH$7:EH$28,EI$7:EI$28,EJ$7:EJ$28)*(EG369)</f>
        <v>0</v>
      </c>
      <c r="EL369">
        <v>6</v>
      </c>
      <c r="EM369">
        <f t="shared" ref="EM369:EM375" si="159">SUM(EM$7:EM$28,EN$7:EN$28,EO$7:EO$28)*(EL369)</f>
        <v>0</v>
      </c>
      <c r="EQ369">
        <v>6</v>
      </c>
      <c r="ER369">
        <f t="shared" ref="ER369:ER375" si="160">SUM(ER$7:ER$28,ES$7:ES$28,ET$7:ET$28)*(EQ369)</f>
        <v>0</v>
      </c>
      <c r="EW369">
        <f t="shared" ref="EW369:EW375" si="161">SUM(EW$7:EW$28,EX$7:EX$28,EY$7:EY$28)*(EV369)</f>
        <v>0</v>
      </c>
      <c r="FB369">
        <f t="shared" si="135"/>
        <v>0</v>
      </c>
      <c r="FF369">
        <v>3</v>
      </c>
      <c r="FG369">
        <f>SUM(FG$7:FG$28,FH$7:FH$28,FI$7:FI$28)*(FF369)</f>
        <v>0</v>
      </c>
      <c r="FL369">
        <v>3</v>
      </c>
      <c r="FM369">
        <f>SUM(FM$7:FM$28,FN$7:FN$28,FO$7:FO$28)*(FL369)</f>
        <v>0</v>
      </c>
      <c r="FQ369" s="420">
        <f>'EXTRAS (2)'!D302</f>
        <v>0</v>
      </c>
      <c r="FR369" s="420">
        <f>'EXTRAS (2)'!E302</f>
        <v>0</v>
      </c>
      <c r="FU369" s="420">
        <f t="shared" si="133"/>
        <v>0</v>
      </c>
    </row>
    <row r="370" spans="1:177">
      <c r="A370">
        <v>180</v>
      </c>
      <c r="B370" s="399" t="s">
        <v>919</v>
      </c>
      <c r="C370" s="400" t="s">
        <v>0</v>
      </c>
      <c r="AB370">
        <f t="shared" ref="AB370:AB425" si="162">SUM(AB$7:AB$28,AC$7:AC$28,AD$7:AD$28,AE$7:AE$28,AF$7:AF$28,AG$7:AG$28,AH$7:AH$28,AI$7:AI$28,AJ$7:AJ$28)*(AA370)</f>
        <v>0</v>
      </c>
      <c r="AM370">
        <f t="shared" si="152"/>
        <v>0</v>
      </c>
      <c r="BI370">
        <f>SUM(BI$7:BI$28,BP$7:BP$28,BQ$7:BQ$28,BJ$7:BJ$28,BK$28:BK292,BL$7:BL$28,BM$7:BM$28,BN$7:BN$28)*(BH370)</f>
        <v>0</v>
      </c>
      <c r="BT370">
        <f>SUM(BT$7:BT$28,CA$7:CA$28,CB$7:CB$28,BU$7:BU$28,BV$28:BV292,BW$7:BW$28,BX$7:BX$28,BY$7:BY$28)*(BS370)</f>
        <v>0</v>
      </c>
      <c r="CE370">
        <f t="shared" si="153"/>
        <v>0</v>
      </c>
      <c r="CJ370">
        <f t="shared" si="147"/>
        <v>0</v>
      </c>
      <c r="CO370">
        <f t="shared" si="148"/>
        <v>0</v>
      </c>
      <c r="CT370">
        <f t="shared" si="154"/>
        <v>0</v>
      </c>
      <c r="CY370">
        <f t="shared" si="149"/>
        <v>0</v>
      </c>
      <c r="DD370">
        <f t="shared" si="150"/>
        <v>0</v>
      </c>
      <c r="DI370">
        <f t="shared" si="151"/>
        <v>0</v>
      </c>
      <c r="DN370">
        <f t="shared" si="134"/>
        <v>0</v>
      </c>
      <c r="DS370">
        <f t="shared" si="155"/>
        <v>0</v>
      </c>
      <c r="DX370">
        <f t="shared" si="156"/>
        <v>0</v>
      </c>
      <c r="EC370">
        <f t="shared" si="157"/>
        <v>0</v>
      </c>
      <c r="EH370">
        <f t="shared" si="158"/>
        <v>0</v>
      </c>
      <c r="EM370">
        <f t="shared" si="159"/>
        <v>0</v>
      </c>
      <c r="ER370">
        <f t="shared" si="160"/>
        <v>0</v>
      </c>
      <c r="EW370">
        <f t="shared" si="161"/>
        <v>0</v>
      </c>
      <c r="FB370">
        <f t="shared" si="135"/>
        <v>0</v>
      </c>
      <c r="FQ370" s="420">
        <f>'EXTRAS (2)'!D303</f>
        <v>0</v>
      </c>
      <c r="FR370" s="420">
        <f>'EXTRAS (2)'!E303</f>
        <v>0</v>
      </c>
      <c r="FU370" s="420">
        <f t="shared" si="133"/>
        <v>0</v>
      </c>
    </row>
    <row r="371" spans="1:177">
      <c r="A371">
        <v>181</v>
      </c>
      <c r="B371" s="163" t="s">
        <v>920</v>
      </c>
      <c r="C371" s="400" t="s">
        <v>0</v>
      </c>
      <c r="AB371">
        <f t="shared" si="162"/>
        <v>0</v>
      </c>
      <c r="AM371">
        <f t="shared" si="152"/>
        <v>0</v>
      </c>
      <c r="BI371">
        <f>SUM(BI$7:BI$28,BP$7:BP$28,BQ$7:BQ$28,BJ$7:BJ$28,BK$28:BK293,BL$7:BL$28,BM$7:BM$28,BN$7:BN$28)*(BH371)</f>
        <v>0</v>
      </c>
      <c r="BT371">
        <f>SUM(BT$7:BT$28,CA$7:CA$28,CB$7:CB$28,BU$7:BU$28,BV$28:BV293,BW$7:BW$28,BX$7:BX$28,BY$7:BY$28)*(BS371)</f>
        <v>0</v>
      </c>
      <c r="CE371">
        <f t="shared" si="153"/>
        <v>0</v>
      </c>
      <c r="CJ371">
        <f t="shared" si="147"/>
        <v>0</v>
      </c>
      <c r="CO371">
        <f t="shared" si="148"/>
        <v>0</v>
      </c>
      <c r="CT371">
        <f t="shared" si="154"/>
        <v>0</v>
      </c>
      <c r="CY371">
        <f t="shared" si="149"/>
        <v>0</v>
      </c>
      <c r="DD371">
        <f t="shared" si="150"/>
        <v>0</v>
      </c>
      <c r="DI371">
        <f t="shared" si="151"/>
        <v>0</v>
      </c>
      <c r="DN371">
        <f t="shared" si="134"/>
        <v>0</v>
      </c>
      <c r="DS371">
        <f t="shared" si="155"/>
        <v>0</v>
      </c>
      <c r="DX371">
        <f t="shared" si="156"/>
        <v>0</v>
      </c>
      <c r="EC371">
        <f t="shared" si="157"/>
        <v>0</v>
      </c>
      <c r="EH371">
        <f t="shared" si="158"/>
        <v>0</v>
      </c>
      <c r="EM371">
        <f t="shared" si="159"/>
        <v>0</v>
      </c>
      <c r="ER371">
        <f t="shared" si="160"/>
        <v>0</v>
      </c>
      <c r="EW371">
        <f t="shared" si="161"/>
        <v>0</v>
      </c>
      <c r="FB371">
        <f t="shared" si="135"/>
        <v>0</v>
      </c>
      <c r="FQ371" s="420">
        <f>'EXTRAS (2)'!D304</f>
        <v>0</v>
      </c>
      <c r="FR371" s="420">
        <f>'EXTRAS (2)'!E304</f>
        <v>0</v>
      </c>
      <c r="FU371" s="420">
        <f t="shared" si="133"/>
        <v>0</v>
      </c>
    </row>
    <row r="372" spans="1:177">
      <c r="A372">
        <v>182</v>
      </c>
      <c r="B372" s="399" t="s">
        <v>921</v>
      </c>
      <c r="C372" s="400" t="s">
        <v>0</v>
      </c>
      <c r="AB372">
        <f t="shared" si="162"/>
        <v>0</v>
      </c>
      <c r="AM372">
        <f t="shared" si="152"/>
        <v>0</v>
      </c>
      <c r="BI372">
        <f>SUM(BI$7:BI$28,BP$7:BP$28,BQ$7:BQ$28,BJ$7:BJ$28,BK$28:BK294,BL$7:BL$28,BM$7:BM$28,BN$7:BN$28)*(BH372)</f>
        <v>0</v>
      </c>
      <c r="BT372">
        <f>SUM(BT$7:BT$28,CA$7:CA$28,CB$7:CB$28,BU$7:BU$28,BV$28:BV294,BW$7:BW$28,BX$7:BX$28,BY$7:BY$28)*(BS372)</f>
        <v>0</v>
      </c>
      <c r="CE372">
        <f t="shared" si="153"/>
        <v>0</v>
      </c>
      <c r="CJ372">
        <f t="shared" si="147"/>
        <v>0</v>
      </c>
      <c r="CO372">
        <f t="shared" si="148"/>
        <v>0</v>
      </c>
      <c r="CT372">
        <f t="shared" si="154"/>
        <v>0</v>
      </c>
      <c r="CY372">
        <f t="shared" si="149"/>
        <v>0</v>
      </c>
      <c r="DD372">
        <f t="shared" si="150"/>
        <v>0</v>
      </c>
      <c r="DI372">
        <f t="shared" si="151"/>
        <v>0</v>
      </c>
      <c r="DN372">
        <f t="shared" si="134"/>
        <v>0</v>
      </c>
      <c r="DS372">
        <f t="shared" si="155"/>
        <v>0</v>
      </c>
      <c r="DX372">
        <f t="shared" si="156"/>
        <v>0</v>
      </c>
      <c r="EC372">
        <f t="shared" si="157"/>
        <v>0</v>
      </c>
      <c r="EH372">
        <f t="shared" si="158"/>
        <v>0</v>
      </c>
      <c r="EM372">
        <f t="shared" si="159"/>
        <v>0</v>
      </c>
      <c r="ER372">
        <f t="shared" si="160"/>
        <v>0</v>
      </c>
      <c r="EW372">
        <f t="shared" si="161"/>
        <v>0</v>
      </c>
      <c r="FB372">
        <f t="shared" si="135"/>
        <v>0</v>
      </c>
      <c r="FQ372" s="420">
        <f>'EXTRAS (2)'!D305</f>
        <v>0</v>
      </c>
      <c r="FR372" s="420">
        <f>'EXTRAS (2)'!E305</f>
        <v>0</v>
      </c>
      <c r="FU372" s="420">
        <f t="shared" si="133"/>
        <v>0</v>
      </c>
    </row>
    <row r="373" spans="1:177">
      <c r="A373">
        <v>183</v>
      </c>
      <c r="B373" s="399" t="s">
        <v>922</v>
      </c>
      <c r="C373" s="400" t="s">
        <v>0</v>
      </c>
      <c r="AB373">
        <f t="shared" si="162"/>
        <v>0</v>
      </c>
      <c r="AM373">
        <f t="shared" si="152"/>
        <v>0</v>
      </c>
      <c r="BI373">
        <f>SUM(BI$7:BI$28,BP$7:BP$28,BQ$7:BQ$28,BJ$7:BJ$28,BK$28:BK295,BL$7:BL$28,BM$7:BM$28,BN$7:BN$28)*(BH373)</f>
        <v>0</v>
      </c>
      <c r="BT373">
        <f>SUM(BT$7:BT$28,CA$7:CA$28,CB$7:CB$28,BU$7:BU$28,BV$28:BV295,BW$7:BW$28,BX$7:BX$28,BY$7:BY$28)*(BS373)</f>
        <v>0</v>
      </c>
      <c r="CE373">
        <f t="shared" si="153"/>
        <v>0</v>
      </c>
      <c r="CJ373">
        <f t="shared" si="147"/>
        <v>0</v>
      </c>
      <c r="CO373">
        <f t="shared" si="148"/>
        <v>0</v>
      </c>
      <c r="CT373">
        <f t="shared" si="154"/>
        <v>0</v>
      </c>
      <c r="CY373">
        <f t="shared" si="149"/>
        <v>0</v>
      </c>
      <c r="DD373">
        <f t="shared" si="150"/>
        <v>0</v>
      </c>
      <c r="DI373">
        <f t="shared" si="151"/>
        <v>0</v>
      </c>
      <c r="DN373">
        <f t="shared" si="134"/>
        <v>0</v>
      </c>
      <c r="DS373">
        <f t="shared" si="155"/>
        <v>0</v>
      </c>
      <c r="DX373">
        <f t="shared" si="156"/>
        <v>0</v>
      </c>
      <c r="EC373">
        <f t="shared" si="157"/>
        <v>0</v>
      </c>
      <c r="EH373">
        <f t="shared" si="158"/>
        <v>0</v>
      </c>
      <c r="EM373">
        <f t="shared" si="159"/>
        <v>0</v>
      </c>
      <c r="ER373">
        <f t="shared" si="160"/>
        <v>0</v>
      </c>
      <c r="EW373">
        <f t="shared" si="161"/>
        <v>0</v>
      </c>
      <c r="FB373">
        <f t="shared" si="135"/>
        <v>0</v>
      </c>
      <c r="FG373">
        <f>SUM(FG$7:FG$28,FH$7:FH$28,FI$7:FI$28)*(FF373)</f>
        <v>0</v>
      </c>
      <c r="FM373">
        <f t="shared" ref="FM373:FM414" si="163">SUM(FM$5:FM$26,FN$5:FN$26,FO$5:FO$26)*(FL373)</f>
        <v>0</v>
      </c>
      <c r="FQ373" s="420">
        <f>'EXTRAS (2)'!D306</f>
        <v>0</v>
      </c>
      <c r="FR373" s="420">
        <f>'EXTRAS (2)'!E306</f>
        <v>0</v>
      </c>
      <c r="FU373" s="420">
        <f t="shared" si="133"/>
        <v>0</v>
      </c>
    </row>
    <row r="374" spans="1:177">
      <c r="A374">
        <v>184</v>
      </c>
      <c r="B374" s="399" t="s">
        <v>923</v>
      </c>
      <c r="C374" s="400" t="s">
        <v>0</v>
      </c>
      <c r="AB374">
        <f t="shared" si="162"/>
        <v>0</v>
      </c>
      <c r="AM374">
        <f t="shared" si="152"/>
        <v>0</v>
      </c>
      <c r="BI374">
        <f>SUM(BI$7:BI$28,BP$7:BP$28,BQ$7:BQ$28,BJ$7:BJ$28,BK$28:BK296,BL$7:BL$28,BM$7:BM$28,BN$7:BN$28)*(BH374)</f>
        <v>0</v>
      </c>
      <c r="BT374">
        <f>SUM(BT$7:BT$28,CA$7:CA$28,CB$7:CB$28,BU$7:BU$28,BV$28:BV296,BW$7:BW$28,BX$7:BX$28,BY$7:BY$28)*(BS374)</f>
        <v>0</v>
      </c>
      <c r="CE374">
        <f t="shared" si="153"/>
        <v>0</v>
      </c>
      <c r="CJ374">
        <f t="shared" si="147"/>
        <v>0</v>
      </c>
      <c r="CO374">
        <f t="shared" si="148"/>
        <v>0</v>
      </c>
      <c r="CT374">
        <f t="shared" si="154"/>
        <v>0</v>
      </c>
      <c r="CY374">
        <f t="shared" si="149"/>
        <v>0</v>
      </c>
      <c r="DD374">
        <f t="shared" si="150"/>
        <v>0</v>
      </c>
      <c r="DI374">
        <f t="shared" si="151"/>
        <v>0</v>
      </c>
      <c r="DN374">
        <f t="shared" si="134"/>
        <v>0</v>
      </c>
      <c r="DS374">
        <f t="shared" si="155"/>
        <v>0</v>
      </c>
      <c r="DX374">
        <f t="shared" si="156"/>
        <v>0</v>
      </c>
      <c r="EC374">
        <f t="shared" si="157"/>
        <v>0</v>
      </c>
      <c r="EH374">
        <f t="shared" si="158"/>
        <v>0</v>
      </c>
      <c r="EM374">
        <f t="shared" si="159"/>
        <v>0</v>
      </c>
      <c r="ER374">
        <f t="shared" si="160"/>
        <v>0</v>
      </c>
      <c r="EW374">
        <f t="shared" si="161"/>
        <v>0</v>
      </c>
      <c r="FB374">
        <f t="shared" si="135"/>
        <v>0</v>
      </c>
      <c r="FG374">
        <f t="shared" ref="FG374:FG379" si="164">SUM(FG$5:FG$26,FH$5:FH$26,FI$5:FI$26)*(FF374)</f>
        <v>0</v>
      </c>
      <c r="FM374">
        <f t="shared" si="163"/>
        <v>0</v>
      </c>
      <c r="FQ374" s="420">
        <f>'EXTRAS (2)'!D307</f>
        <v>0</v>
      </c>
      <c r="FR374" s="420">
        <f>'EXTRAS (2)'!E307</f>
        <v>0</v>
      </c>
      <c r="FU374" s="420">
        <f t="shared" si="133"/>
        <v>0</v>
      </c>
    </row>
    <row r="375" spans="1:177">
      <c r="A375">
        <v>185</v>
      </c>
      <c r="B375" s="399" t="s">
        <v>924</v>
      </c>
      <c r="C375" s="400" t="s">
        <v>0</v>
      </c>
      <c r="AB375">
        <f t="shared" si="162"/>
        <v>0</v>
      </c>
      <c r="AM375">
        <f t="shared" si="152"/>
        <v>0</v>
      </c>
      <c r="BI375">
        <f>SUM(BI$7:BI$28,BP$7:BP$28,BQ$7:BQ$28,BJ$7:BJ$28,BK$28:BK297,BL$7:BL$28,BM$7:BM$28,BN$7:BN$28)*(BH375)</f>
        <v>0</v>
      </c>
      <c r="BT375">
        <f>SUM(BT$7:BT$28,CA$7:CA$28,CB$7:CB$28,BU$7:BU$28,BV$28:BV297,BW$7:BW$28,BX$7:BX$28,BY$7:BY$28)*(BS375)</f>
        <v>0</v>
      </c>
      <c r="CE375">
        <f t="shared" si="153"/>
        <v>0</v>
      </c>
      <c r="CJ375">
        <f t="shared" si="147"/>
        <v>0</v>
      </c>
      <c r="CO375">
        <f t="shared" si="148"/>
        <v>0</v>
      </c>
      <c r="CT375">
        <f t="shared" si="154"/>
        <v>0</v>
      </c>
      <c r="CY375">
        <f t="shared" si="149"/>
        <v>0</v>
      </c>
      <c r="DD375">
        <f t="shared" si="150"/>
        <v>0</v>
      </c>
      <c r="DI375">
        <f t="shared" si="151"/>
        <v>0</v>
      </c>
      <c r="DN375">
        <f t="shared" si="134"/>
        <v>0</v>
      </c>
      <c r="DS375">
        <f t="shared" si="155"/>
        <v>0</v>
      </c>
      <c r="DX375">
        <f t="shared" si="156"/>
        <v>0</v>
      </c>
      <c r="EC375">
        <f t="shared" si="157"/>
        <v>0</v>
      </c>
      <c r="EH375">
        <f t="shared" si="158"/>
        <v>0</v>
      </c>
      <c r="EM375">
        <f t="shared" si="159"/>
        <v>0</v>
      </c>
      <c r="ER375">
        <f t="shared" si="160"/>
        <v>0</v>
      </c>
      <c r="EW375">
        <f t="shared" si="161"/>
        <v>0</v>
      </c>
      <c r="FB375">
        <f t="shared" si="135"/>
        <v>0</v>
      </c>
      <c r="FG375">
        <f t="shared" si="164"/>
        <v>0</v>
      </c>
      <c r="FM375">
        <f t="shared" si="163"/>
        <v>0</v>
      </c>
      <c r="FQ375" s="420">
        <f>'EXTRAS (2)'!D308</f>
        <v>0</v>
      </c>
      <c r="FR375" s="420">
        <f>'EXTRAS (2)'!E308</f>
        <v>0</v>
      </c>
      <c r="FU375" s="420">
        <f t="shared" si="133"/>
        <v>0</v>
      </c>
    </row>
    <row r="376" spans="1:177">
      <c r="A376">
        <v>186</v>
      </c>
      <c r="B376" s="210" t="s">
        <v>165</v>
      </c>
      <c r="C376" s="400" t="s">
        <v>0</v>
      </c>
      <c r="F376" s="333">
        <f>Transformadores!W86</f>
        <v>0</v>
      </c>
      <c r="AB376">
        <f t="shared" si="162"/>
        <v>0</v>
      </c>
      <c r="AM376">
        <f t="shared" si="152"/>
        <v>0</v>
      </c>
      <c r="BI376">
        <f>SUM(BI$7:BI$28,BP$7:BP$28,BQ$7:BQ$28,BJ$7:BJ$28,BK$28:BK298,BL$7:BL$28,BM$7:BM$28,BN$7:BN$28)*(BH376)</f>
        <v>0</v>
      </c>
      <c r="BT376">
        <f>SUM(BT$7:BT$28,CA$7:CA$28,CB$7:CB$28,BU$7:BU$28,BV$28:BV298,BW$7:BW$28,BX$7:BX$28,BY$7:BY$28)*(BS376)</f>
        <v>0</v>
      </c>
      <c r="EW376">
        <f>SUM(EW$7:EW$28,EX$7:EX$28,EY$7:EY$28)*(EV376)</f>
        <v>0</v>
      </c>
      <c r="FB376">
        <f t="shared" si="135"/>
        <v>0</v>
      </c>
      <c r="FM376">
        <f t="shared" si="163"/>
        <v>0</v>
      </c>
      <c r="FQ376" s="420">
        <f>'EXTRAS (2)'!D309</f>
        <v>0</v>
      </c>
      <c r="FR376" s="420">
        <f>'EXTRAS (2)'!E309</f>
        <v>0</v>
      </c>
      <c r="FU376" s="420">
        <f t="shared" si="133"/>
        <v>0</v>
      </c>
    </row>
    <row r="377" spans="1:177">
      <c r="A377">
        <v>187</v>
      </c>
      <c r="B377" s="399" t="s">
        <v>925</v>
      </c>
      <c r="C377" s="400" t="s">
        <v>0</v>
      </c>
      <c r="F377" s="333">
        <f>Transformadores!W87</f>
        <v>0</v>
      </c>
      <c r="AB377">
        <f t="shared" si="162"/>
        <v>0</v>
      </c>
      <c r="AM377">
        <f t="shared" si="152"/>
        <v>0</v>
      </c>
      <c r="BI377">
        <f>SUM(BI$7:BI$28,BP$7:BP$28,BQ$7:BQ$28,BJ$7:BJ$28,BK$28:BK299,BL$7:BL$28,BM$7:BM$28,BN$7:BN$28)*(BH377)</f>
        <v>0</v>
      </c>
      <c r="BT377">
        <f>SUM(BT$7:BT$28,CA$7:CA$28,CB$7:CB$28,BU$7:BU$28,BV$28:BV299,BW$7:BW$28,BX$7:BX$28,BY$7:BY$28)*(BS377)</f>
        <v>0</v>
      </c>
      <c r="CE377">
        <f t="shared" ref="CE377:CE424" si="165">SUM(CE$7:CE$28,CF$7:CF$28,CG$7:CG$28)*(CD377)</f>
        <v>0</v>
      </c>
      <c r="CF377">
        <f>C10+C11*1</f>
        <v>0</v>
      </c>
      <c r="CJ377">
        <f t="shared" si="147"/>
        <v>0</v>
      </c>
      <c r="CO377">
        <f t="shared" si="148"/>
        <v>0</v>
      </c>
      <c r="CT377">
        <f t="shared" si="154"/>
        <v>0</v>
      </c>
      <c r="CY377">
        <f t="shared" si="149"/>
        <v>0</v>
      </c>
      <c r="DD377">
        <f t="shared" si="150"/>
        <v>0</v>
      </c>
      <c r="DI377">
        <f t="shared" si="151"/>
        <v>0</v>
      </c>
      <c r="DN377">
        <f t="shared" si="134"/>
        <v>0</v>
      </c>
      <c r="DS377">
        <f t="shared" ref="DS377:DS419" si="166">SUM(DS$7:DS$28,DT$7:DT$28,DU$7:DU$28)*(DR377)</f>
        <v>0</v>
      </c>
      <c r="DX377">
        <f t="shared" ref="DX377:DX419" si="167">SUM(DX$7:DX$28,DY$7:DY$28,DZ$7:DZ$28)*(DW377)</f>
        <v>0</v>
      </c>
      <c r="EC377">
        <f t="shared" ref="EC377:EC419" si="168">SUM(EC$7:EC$28,ED$7:ED$28,EE$7:EE$28)*(EB377)</f>
        <v>0</v>
      </c>
      <c r="EH377">
        <f t="shared" ref="EH377:EH419" si="169">SUM(EH$7:EH$28,EI$7:EI$28,EJ$7:EJ$28)*(EG377)</f>
        <v>0</v>
      </c>
      <c r="EM377">
        <f t="shared" ref="EM377:EM419" si="170">SUM(EM$7:EM$28,EN$7:EN$28,EO$7:EO$28)*(EL377)</f>
        <v>0</v>
      </c>
      <c r="ER377">
        <f t="shared" ref="ER377:ER419" si="171">SUM(ER$7:ER$28,ES$7:ES$28,ET$7:ET$28)*(EQ377)</f>
        <v>0</v>
      </c>
      <c r="EV377" s="853"/>
      <c r="EW377" s="853"/>
      <c r="FB377">
        <f t="shared" si="135"/>
        <v>0</v>
      </c>
      <c r="FM377">
        <f t="shared" si="163"/>
        <v>0</v>
      </c>
      <c r="FQ377" s="420">
        <f>'EXTRAS (2)'!D310</f>
        <v>0</v>
      </c>
      <c r="FR377" s="420">
        <f>'EXTRAS (2)'!E310</f>
        <v>0</v>
      </c>
      <c r="FU377" s="420">
        <f t="shared" si="133"/>
        <v>0</v>
      </c>
    </row>
    <row r="378" spans="1:177">
      <c r="A378">
        <v>188</v>
      </c>
      <c r="B378" s="399" t="s">
        <v>926</v>
      </c>
      <c r="C378" s="400" t="s">
        <v>0</v>
      </c>
      <c r="AB378">
        <f t="shared" si="162"/>
        <v>0</v>
      </c>
      <c r="AM378">
        <f t="shared" si="152"/>
        <v>0</v>
      </c>
      <c r="BI378">
        <f>SUM(BI$7:BI$28,BP$7:BP$28,BQ$7:BQ$28,BJ$7:BJ$28,BK$28:BK300,BL$7:BL$28,BM$7:BM$28,BN$7:BN$28)*(BH378)</f>
        <v>0</v>
      </c>
      <c r="BT378">
        <f>SUM(BT$7:BT$28,CA$7:CA$28,CB$7:CB$28,BU$7:BU$28,BV$28:BV300,BW$7:BW$28,BX$7:BX$28,BY$7:BY$28)*(BS378)</f>
        <v>0</v>
      </c>
      <c r="CE378">
        <f t="shared" si="165"/>
        <v>0</v>
      </c>
      <c r="CJ378">
        <f t="shared" si="147"/>
        <v>0</v>
      </c>
      <c r="CO378">
        <f t="shared" si="148"/>
        <v>0</v>
      </c>
      <c r="CT378">
        <f t="shared" si="154"/>
        <v>0</v>
      </c>
      <c r="CY378">
        <f t="shared" si="149"/>
        <v>0</v>
      </c>
      <c r="DD378">
        <f t="shared" si="150"/>
        <v>0</v>
      </c>
      <c r="DI378">
        <f t="shared" si="151"/>
        <v>0</v>
      </c>
      <c r="DN378">
        <f t="shared" si="134"/>
        <v>0</v>
      </c>
      <c r="DS378">
        <f t="shared" si="166"/>
        <v>0</v>
      </c>
      <c r="DX378">
        <f t="shared" si="167"/>
        <v>0</v>
      </c>
      <c r="EC378">
        <f t="shared" si="168"/>
        <v>0</v>
      </c>
      <c r="EH378">
        <f t="shared" si="169"/>
        <v>0</v>
      </c>
      <c r="EM378">
        <f t="shared" si="170"/>
        <v>0</v>
      </c>
      <c r="ER378">
        <f t="shared" si="171"/>
        <v>0</v>
      </c>
      <c r="EW378">
        <f t="shared" ref="EW378:EW419" si="172">SUM(EW$7:EW$28,EX$7:EX$28,EY$7:EY$28)*(EV378)</f>
        <v>0</v>
      </c>
      <c r="FB378">
        <f t="shared" si="135"/>
        <v>0</v>
      </c>
      <c r="FG378">
        <f t="shared" si="164"/>
        <v>0</v>
      </c>
      <c r="FM378">
        <f t="shared" si="163"/>
        <v>0</v>
      </c>
      <c r="FQ378" s="420">
        <f>'EXTRAS (2)'!D311</f>
        <v>0</v>
      </c>
      <c r="FR378" s="420">
        <f>'EXTRAS (2)'!E311</f>
        <v>0</v>
      </c>
      <c r="FU378" s="420">
        <f t="shared" si="133"/>
        <v>0</v>
      </c>
    </row>
    <row r="379" spans="1:177">
      <c r="A379">
        <v>189</v>
      </c>
      <c r="B379" s="399" t="s">
        <v>210</v>
      </c>
      <c r="C379" s="400" t="s">
        <v>0</v>
      </c>
      <c r="AA379">
        <v>3</v>
      </c>
      <c r="AB379">
        <f t="shared" si="162"/>
        <v>0</v>
      </c>
      <c r="AL379">
        <v>3</v>
      </c>
      <c r="AM379">
        <f t="shared" si="152"/>
        <v>0</v>
      </c>
      <c r="AW379">
        <v>3</v>
      </c>
      <c r="AX379">
        <f>SUM(AX$7:AX$28,AY$7:AY$28,AZ$7:AZ$28,BA$7:BA$28,BB$7:BB$28,BC$7:BC$28,BD$7:BD$28,BE$7:BE$28,BF$7:BF$28)*(AW379)</f>
        <v>0</v>
      </c>
      <c r="BH379">
        <v>3</v>
      </c>
      <c r="BI379">
        <f>SUM(BI$7:BI$28,BP$7:BP$28,BQ$7:BQ$28,BJ$7:BJ$28,BK$28:BK301,BL$7:BL$28,BM$7:BM$28,BN$7:BN$28)*(BH379)</f>
        <v>0</v>
      </c>
      <c r="BS379">
        <v>3</v>
      </c>
      <c r="BT379">
        <f>SUM(BT$7:BT$28,CA$7:CA$28,CB$7:CB$28,BU$7:BU$28,BV$28:BV301,BW$7:BW$28,BX$7:BX$28,BY$7:BY$28)*(BS379)</f>
        <v>0</v>
      </c>
      <c r="CE379">
        <f t="shared" si="165"/>
        <v>0</v>
      </c>
      <c r="CJ379">
        <f t="shared" si="147"/>
        <v>0</v>
      </c>
      <c r="CO379">
        <f t="shared" si="148"/>
        <v>0</v>
      </c>
      <c r="CT379">
        <f t="shared" si="154"/>
        <v>0</v>
      </c>
      <c r="CY379">
        <f t="shared" si="149"/>
        <v>0</v>
      </c>
      <c r="DC379">
        <v>3</v>
      </c>
      <c r="DD379">
        <f t="shared" si="150"/>
        <v>0</v>
      </c>
      <c r="DH379">
        <v>6</v>
      </c>
      <c r="DI379">
        <f t="shared" si="151"/>
        <v>0</v>
      </c>
      <c r="DM379">
        <v>6</v>
      </c>
      <c r="DN379">
        <f t="shared" si="134"/>
        <v>0</v>
      </c>
      <c r="DR379">
        <v>3</v>
      </c>
      <c r="DS379">
        <f t="shared" si="166"/>
        <v>0</v>
      </c>
      <c r="DW379">
        <v>3</v>
      </c>
      <c r="DX379">
        <f t="shared" si="167"/>
        <v>0</v>
      </c>
      <c r="EC379">
        <f t="shared" si="168"/>
        <v>0</v>
      </c>
      <c r="EH379">
        <f t="shared" si="169"/>
        <v>0</v>
      </c>
      <c r="EL379">
        <v>6</v>
      </c>
      <c r="EM379">
        <f t="shared" si="170"/>
        <v>0</v>
      </c>
      <c r="EQ379">
        <v>6</v>
      </c>
      <c r="ER379">
        <f t="shared" si="171"/>
        <v>0</v>
      </c>
      <c r="EW379">
        <f t="shared" si="172"/>
        <v>0</v>
      </c>
      <c r="FB379">
        <f t="shared" si="135"/>
        <v>0</v>
      </c>
      <c r="FF379">
        <v>3</v>
      </c>
      <c r="FG379">
        <f t="shared" si="164"/>
        <v>0</v>
      </c>
      <c r="FL379">
        <v>3</v>
      </c>
      <c r="FM379">
        <f t="shared" si="163"/>
        <v>0</v>
      </c>
      <c r="FQ379" s="420">
        <f>'EXTRAS (2)'!D312</f>
        <v>0</v>
      </c>
      <c r="FR379" s="420">
        <f>'EXTRAS (2)'!E312</f>
        <v>0</v>
      </c>
      <c r="FU379" s="420">
        <f t="shared" si="133"/>
        <v>0</v>
      </c>
    </row>
    <row r="380" spans="1:177">
      <c r="A380">
        <v>190</v>
      </c>
      <c r="B380" s="399" t="s">
        <v>927</v>
      </c>
      <c r="C380" s="400" t="s">
        <v>0</v>
      </c>
      <c r="AB380">
        <f t="shared" si="162"/>
        <v>0</v>
      </c>
      <c r="AM380">
        <f t="shared" si="152"/>
        <v>0</v>
      </c>
      <c r="BI380">
        <f>SUM(BI$7:BI$28,BP$7:BP$28,BQ$7:BQ$28,BJ$7:BJ$28,BK$28:BK302,BL$7:BL$28,BM$7:BM$28,BN$7:BN$28)*(BH380)</f>
        <v>0</v>
      </c>
      <c r="BT380">
        <f>SUM(BT$7:BT$28,CA$7:CA$28,CB$7:CB$28,BU$7:BU$28,BV$28:BV302,BW$7:BW$28,BX$7:BX$28,BY$7:BY$28)*(BS380)</f>
        <v>0</v>
      </c>
      <c r="CE380">
        <f t="shared" si="165"/>
        <v>0</v>
      </c>
      <c r="CJ380">
        <f t="shared" si="147"/>
        <v>0</v>
      </c>
      <c r="CO380">
        <f t="shared" si="148"/>
        <v>0</v>
      </c>
      <c r="CT380">
        <f t="shared" si="154"/>
        <v>0</v>
      </c>
      <c r="CY380">
        <f t="shared" si="149"/>
        <v>0</v>
      </c>
      <c r="DD380">
        <f t="shared" si="150"/>
        <v>0</v>
      </c>
      <c r="DI380">
        <f t="shared" si="151"/>
        <v>0</v>
      </c>
      <c r="DN380">
        <f t="shared" si="134"/>
        <v>0</v>
      </c>
      <c r="DS380">
        <f t="shared" si="166"/>
        <v>0</v>
      </c>
      <c r="DX380">
        <f t="shared" si="167"/>
        <v>0</v>
      </c>
      <c r="EC380">
        <f t="shared" si="168"/>
        <v>0</v>
      </c>
      <c r="EH380">
        <f t="shared" si="169"/>
        <v>0</v>
      </c>
      <c r="EM380">
        <f t="shared" si="170"/>
        <v>0</v>
      </c>
      <c r="ER380">
        <f t="shared" si="171"/>
        <v>0</v>
      </c>
      <c r="EW380">
        <f t="shared" si="172"/>
        <v>0</v>
      </c>
      <c r="FA380">
        <v>0</v>
      </c>
      <c r="FB380">
        <f t="shared" si="135"/>
        <v>0</v>
      </c>
      <c r="FG380">
        <f>SUM(FG$5:FG$26,FH$5:FH$26,FI$5:FI$26)*(FF380)</f>
        <v>0</v>
      </c>
      <c r="FM380">
        <f>SUM(FM$5:FM$26,FN$5:FN$26,FO$5:FO$26)*(FL380)</f>
        <v>0</v>
      </c>
      <c r="FQ380" s="420">
        <f>'EXTRAS (2)'!D313</f>
        <v>0</v>
      </c>
      <c r="FR380" s="420">
        <f>'EXTRAS (2)'!E313</f>
        <v>0</v>
      </c>
      <c r="FU380" s="420">
        <f t="shared" si="133"/>
        <v>0</v>
      </c>
    </row>
    <row r="381" spans="1:177">
      <c r="A381">
        <v>191</v>
      </c>
      <c r="B381" s="399" t="s">
        <v>928</v>
      </c>
      <c r="C381" s="400" t="s">
        <v>0</v>
      </c>
      <c r="E381">
        <v>1</v>
      </c>
      <c r="F381">
        <f>SUM(F$7:F$28,G$7:G$28,H$7:H$28,I$7:I$28,J$7:J$28,K$7:K$28,L$7:L$28,M$7:M$28,N$7:N$28)*(E381)</f>
        <v>0</v>
      </c>
      <c r="Q381">
        <f>SUM(Q$7:Q$28,R$7:R$28,S$7:S$28,T$7:T$28,U$7:U$28,V$7:V$28,W$7:W$28,X$7:X$28,Y$7:Y$28)*(P381)</f>
        <v>0</v>
      </c>
      <c r="AA381">
        <v>1</v>
      </c>
      <c r="AB381">
        <f t="shared" si="162"/>
        <v>0</v>
      </c>
      <c r="AM381">
        <f t="shared" si="152"/>
        <v>0</v>
      </c>
      <c r="BI381">
        <f>SUM(BI$7:BI$28,BP$7:BP$28,BQ$7:BQ$28,BJ$7:BJ$28,BK$28:BK303,BL$7:BL$28,BM$7:BM$28,BN$7:BN$28)*(BH381)</f>
        <v>0</v>
      </c>
      <c r="BT381">
        <f>SUM(BT$7:BT$28,CA$7:CA$28,CB$7:CB$28,BU$7:BU$28,BV$28:BV303,BW$7:BW$28,BX$7:BX$28,BY$7:BY$28)*(BS381)</f>
        <v>0</v>
      </c>
      <c r="CE381">
        <f t="shared" si="165"/>
        <v>0</v>
      </c>
      <c r="CJ381">
        <f t="shared" si="147"/>
        <v>0</v>
      </c>
      <c r="CO381">
        <f t="shared" si="148"/>
        <v>0</v>
      </c>
      <c r="CT381">
        <f t="shared" si="154"/>
        <v>0</v>
      </c>
      <c r="CY381">
        <f t="shared" si="149"/>
        <v>0</v>
      </c>
      <c r="DD381">
        <f t="shared" si="150"/>
        <v>0</v>
      </c>
      <c r="DI381">
        <f t="shared" si="151"/>
        <v>0</v>
      </c>
      <c r="DM381">
        <v>1</v>
      </c>
      <c r="DN381">
        <f t="shared" si="134"/>
        <v>0</v>
      </c>
      <c r="DS381">
        <f t="shared" si="166"/>
        <v>0</v>
      </c>
      <c r="DX381">
        <f t="shared" si="167"/>
        <v>0</v>
      </c>
      <c r="EC381">
        <f t="shared" si="168"/>
        <v>0</v>
      </c>
      <c r="EH381">
        <f t="shared" si="169"/>
        <v>0</v>
      </c>
      <c r="EM381">
        <f t="shared" si="170"/>
        <v>0</v>
      </c>
      <c r="ER381">
        <f t="shared" si="171"/>
        <v>0</v>
      </c>
      <c r="EW381">
        <f t="shared" si="172"/>
        <v>0</v>
      </c>
      <c r="FA381">
        <v>0</v>
      </c>
      <c r="FB381">
        <f t="shared" si="135"/>
        <v>0</v>
      </c>
      <c r="FF381">
        <v>0</v>
      </c>
      <c r="FG381">
        <f t="shared" ref="FG381:FG414" si="173">SUM(FG$5:FG$26,FH$5:FH$26,FI$5:FI$26)*(FF381)</f>
        <v>0</v>
      </c>
      <c r="FL381">
        <v>3</v>
      </c>
      <c r="FM381">
        <f t="shared" si="163"/>
        <v>0</v>
      </c>
      <c r="FQ381" s="420">
        <f>'EXTRAS (2)'!D314</f>
        <v>0</v>
      </c>
      <c r="FR381" s="420">
        <f>'EXTRAS (2)'!E314</f>
        <v>0</v>
      </c>
      <c r="FU381" s="420">
        <f t="shared" si="133"/>
        <v>0</v>
      </c>
    </row>
    <row r="382" spans="1:177">
      <c r="A382">
        <v>192</v>
      </c>
      <c r="B382" s="399" t="s">
        <v>929</v>
      </c>
      <c r="C382" s="400" t="s">
        <v>0</v>
      </c>
      <c r="AB382">
        <f t="shared" si="162"/>
        <v>0</v>
      </c>
      <c r="AM382">
        <f t="shared" si="152"/>
        <v>0</v>
      </c>
      <c r="BI382">
        <f>SUM(BI$7:BI$28,BP$7:BP$28,BQ$7:BQ$28,BJ$7:BJ$28,BK$28:BK304,BL$7:BL$28,BM$7:BM$28,BN$7:BN$28)*(BH382)</f>
        <v>0</v>
      </c>
      <c r="BT382">
        <f>SUM(BT$7:BT$28,CA$7:CA$28,CB$7:CB$28,BU$7:BU$28,BV$28:BV304,BW$7:BW$28,BX$7:BX$28,BY$7:BY$28)*(BS382)</f>
        <v>0</v>
      </c>
      <c r="CE382">
        <f t="shared" si="165"/>
        <v>0</v>
      </c>
      <c r="CJ382">
        <f t="shared" si="147"/>
        <v>0</v>
      </c>
      <c r="CO382">
        <f t="shared" si="148"/>
        <v>0</v>
      </c>
      <c r="CT382">
        <f t="shared" si="154"/>
        <v>0</v>
      </c>
      <c r="CY382">
        <f t="shared" si="149"/>
        <v>0</v>
      </c>
      <c r="DD382">
        <f t="shared" si="150"/>
        <v>0</v>
      </c>
      <c r="DI382">
        <f t="shared" si="151"/>
        <v>0</v>
      </c>
      <c r="DN382">
        <f t="shared" si="134"/>
        <v>0</v>
      </c>
      <c r="DS382">
        <f t="shared" si="166"/>
        <v>0</v>
      </c>
      <c r="DX382">
        <f t="shared" si="167"/>
        <v>0</v>
      </c>
      <c r="EC382">
        <f t="shared" si="168"/>
        <v>0</v>
      </c>
      <c r="EH382">
        <f t="shared" si="169"/>
        <v>0</v>
      </c>
      <c r="EM382">
        <f t="shared" si="170"/>
        <v>0</v>
      </c>
      <c r="ER382">
        <f t="shared" si="171"/>
        <v>0</v>
      </c>
      <c r="EW382">
        <f t="shared" si="172"/>
        <v>0</v>
      </c>
      <c r="FB382">
        <f t="shared" si="135"/>
        <v>0</v>
      </c>
      <c r="FG382">
        <f t="shared" si="173"/>
        <v>0</v>
      </c>
      <c r="FM382">
        <f t="shared" si="163"/>
        <v>0</v>
      </c>
      <c r="FQ382" s="420">
        <f>'EXTRAS (2)'!D315</f>
        <v>0</v>
      </c>
      <c r="FR382" s="420">
        <f>'EXTRAS (2)'!E315</f>
        <v>0</v>
      </c>
      <c r="FU382" s="420">
        <f t="shared" si="133"/>
        <v>0</v>
      </c>
    </row>
    <row r="383" spans="1:177">
      <c r="A383">
        <v>193</v>
      </c>
      <c r="B383" s="399" t="s">
        <v>16</v>
      </c>
      <c r="C383" s="400" t="s">
        <v>0</v>
      </c>
      <c r="F383" s="333">
        <f>Transformadores!W88</f>
        <v>0</v>
      </c>
      <c r="AB383">
        <f t="shared" si="162"/>
        <v>0</v>
      </c>
      <c r="AM383">
        <f t="shared" si="152"/>
        <v>0</v>
      </c>
      <c r="BI383">
        <f>SUM(BI$7:BI$28,BP$7:BP$28,BQ$7:BQ$28,BJ$7:BJ$28,BK$28:BK305,BL$7:BL$28,BM$7:BM$28,BN$7:BN$28)*(BH383)</f>
        <v>0</v>
      </c>
      <c r="BT383">
        <f>SUM(BT$7:BT$28,CA$7:CA$28,CB$7:CB$28,BU$7:BU$28,BV$28:BV305,BW$7:BW$28,BX$7:BX$28,BY$7:BY$28)*(BS383)</f>
        <v>0</v>
      </c>
      <c r="CE383">
        <f t="shared" si="165"/>
        <v>0</v>
      </c>
      <c r="CJ383">
        <f t="shared" si="147"/>
        <v>0</v>
      </c>
      <c r="CO383">
        <f t="shared" si="148"/>
        <v>0</v>
      </c>
      <c r="CT383">
        <f t="shared" si="154"/>
        <v>0</v>
      </c>
      <c r="CY383">
        <f t="shared" si="149"/>
        <v>0</v>
      </c>
      <c r="DD383">
        <f t="shared" si="150"/>
        <v>0</v>
      </c>
      <c r="DI383">
        <f t="shared" si="151"/>
        <v>0</v>
      </c>
      <c r="DN383">
        <f t="shared" si="134"/>
        <v>0</v>
      </c>
      <c r="DS383">
        <f t="shared" si="166"/>
        <v>0</v>
      </c>
      <c r="DX383">
        <f t="shared" si="167"/>
        <v>0</v>
      </c>
      <c r="EC383">
        <f t="shared" si="168"/>
        <v>0</v>
      </c>
      <c r="EH383">
        <f t="shared" si="169"/>
        <v>0</v>
      </c>
      <c r="EM383">
        <f t="shared" si="170"/>
        <v>0</v>
      </c>
      <c r="ER383">
        <f t="shared" si="171"/>
        <v>0</v>
      </c>
      <c r="EW383">
        <f t="shared" si="172"/>
        <v>0</v>
      </c>
      <c r="FB383">
        <f t="shared" si="135"/>
        <v>0</v>
      </c>
      <c r="FG383">
        <f t="shared" si="173"/>
        <v>0</v>
      </c>
      <c r="FM383">
        <f t="shared" si="163"/>
        <v>0</v>
      </c>
      <c r="FQ383" s="420">
        <f>'EXTRAS (2)'!D316</f>
        <v>0</v>
      </c>
      <c r="FR383" s="420">
        <f>'EXTRAS (2)'!E316</f>
        <v>0</v>
      </c>
      <c r="FU383" s="420">
        <f t="shared" si="133"/>
        <v>0</v>
      </c>
    </row>
    <row r="384" spans="1:177">
      <c r="A384">
        <v>194</v>
      </c>
      <c r="B384" s="399" t="s">
        <v>1012</v>
      </c>
      <c r="C384" s="400" t="s">
        <v>0</v>
      </c>
      <c r="E384">
        <v>3</v>
      </c>
      <c r="F384">
        <f>SUM(F$7:F$28,M$7:M$28,N$7:N$28,G$7:G$28,H$7:H$28,I$7:I$28,J$7:J$28,K$7:K$28,L$7:L$28)*(E384)</f>
        <v>0</v>
      </c>
      <c r="P384">
        <v>3</v>
      </c>
      <c r="Q384">
        <f>SUM(Q$7:Q$28,X$7:X$28,Y$7:Y$28,R$7:R$28,S$7:S$28,T$7:T$28,U$7:U$28,V$7:V$28,W$7:W$28)*(P384)</f>
        <v>0</v>
      </c>
      <c r="AB384">
        <f t="shared" si="162"/>
        <v>0</v>
      </c>
      <c r="AM384">
        <f t="shared" si="152"/>
        <v>0</v>
      </c>
      <c r="AW384">
        <v>3</v>
      </c>
      <c r="AX384">
        <f>SUM(AX$7:AX$28,AY$7:AY$28,AZ$7:AZ$28,BA$7:BA$28,BB$7:BB$28,BC$7:BC$28,BD$7:BD$28,BE$7:BE$28,BF$7:BF$28)*(AW384)</f>
        <v>0</v>
      </c>
      <c r="BH384">
        <v>1</v>
      </c>
      <c r="BI384">
        <f>SUM(BI$7:BI$28,BP$7:BP$28,BQ$7:BQ$28,BJ$7:BJ$28,BK$28:BK306,BL$7:BL$28,BM$7:BM$28,BN$7:BN$28)*(BH384)</f>
        <v>0</v>
      </c>
      <c r="BS384">
        <v>1</v>
      </c>
      <c r="BT384">
        <f>SUM(BT$7:BT$28,CA$7:CA$28,CB$7:CB$28,BU$7:BU$28,BV$28:BV306,BW$7:BW$28,BX$7:BX$28,BY$7:BY$28)*(BS384)</f>
        <v>0</v>
      </c>
      <c r="CE384">
        <f t="shared" si="165"/>
        <v>0</v>
      </c>
      <c r="CJ384">
        <f t="shared" si="147"/>
        <v>0</v>
      </c>
      <c r="CO384">
        <f t="shared" si="148"/>
        <v>0</v>
      </c>
      <c r="CT384">
        <f t="shared" si="154"/>
        <v>0</v>
      </c>
      <c r="CX384">
        <v>3</v>
      </c>
      <c r="CY384">
        <f t="shared" si="149"/>
        <v>0</v>
      </c>
      <c r="DD384">
        <f t="shared" si="150"/>
        <v>0</v>
      </c>
      <c r="DH384">
        <v>1</v>
      </c>
      <c r="DI384">
        <f t="shared" si="151"/>
        <v>0</v>
      </c>
      <c r="DM384">
        <v>2</v>
      </c>
      <c r="DN384">
        <f t="shared" si="134"/>
        <v>0</v>
      </c>
      <c r="DR384">
        <v>3</v>
      </c>
      <c r="DS384">
        <f t="shared" si="166"/>
        <v>0</v>
      </c>
      <c r="DW384">
        <v>3</v>
      </c>
      <c r="DX384">
        <f t="shared" si="167"/>
        <v>0</v>
      </c>
      <c r="EC384">
        <f t="shared" si="168"/>
        <v>0</v>
      </c>
      <c r="EH384">
        <f t="shared" si="169"/>
        <v>0</v>
      </c>
      <c r="EM384">
        <f t="shared" si="170"/>
        <v>0</v>
      </c>
      <c r="ER384">
        <f t="shared" si="171"/>
        <v>0</v>
      </c>
      <c r="EV384" s="897">
        <v>3</v>
      </c>
      <c r="EW384" s="897">
        <f t="shared" si="172"/>
        <v>0</v>
      </c>
      <c r="FB384">
        <f t="shared" si="135"/>
        <v>0</v>
      </c>
      <c r="FG384">
        <f t="shared" si="173"/>
        <v>0</v>
      </c>
      <c r="FM384">
        <f t="shared" si="163"/>
        <v>0</v>
      </c>
      <c r="FQ384" s="420">
        <f>'EXTRAS (2)'!D317</f>
        <v>0</v>
      </c>
      <c r="FR384" s="420">
        <f>'EXTRAS (2)'!E317</f>
        <v>0</v>
      </c>
      <c r="FU384" s="420">
        <f t="shared" si="133"/>
        <v>0</v>
      </c>
    </row>
    <row r="385" spans="1:177">
      <c r="A385">
        <v>195</v>
      </c>
      <c r="B385" s="399" t="s">
        <v>17</v>
      </c>
      <c r="C385" s="400" t="s">
        <v>0</v>
      </c>
      <c r="F385" s="333">
        <f>Transformadores!W89</f>
        <v>0</v>
      </c>
      <c r="AB385">
        <f t="shared" si="162"/>
        <v>0</v>
      </c>
      <c r="AM385">
        <f t="shared" si="152"/>
        <v>0</v>
      </c>
      <c r="BI385">
        <f>SUM(BI$7:BI$28,BP$7:BP$28,BQ$7:BQ$28,BJ$7:BJ$28,BK$28:BK307,BL$7:BL$28,BM$7:BM$28,BN$7:BN$28)*(BH385)</f>
        <v>0</v>
      </c>
      <c r="BT385">
        <f>SUM(BT$7:BT$28,CA$7:CA$28,CB$7:CB$28,BU$7:BU$28,BV$28:BV307,BW$7:BW$28,BX$7:BX$28,BY$7:BY$28)*(BS385)</f>
        <v>0</v>
      </c>
      <c r="CE385">
        <f t="shared" si="165"/>
        <v>0</v>
      </c>
      <c r="CJ385">
        <f t="shared" si="147"/>
        <v>0</v>
      </c>
      <c r="CO385">
        <f t="shared" si="148"/>
        <v>0</v>
      </c>
      <c r="CT385">
        <f t="shared" si="154"/>
        <v>0</v>
      </c>
      <c r="CY385">
        <f t="shared" si="149"/>
        <v>0</v>
      </c>
      <c r="DD385">
        <f t="shared" si="150"/>
        <v>0</v>
      </c>
      <c r="DI385">
        <f t="shared" si="151"/>
        <v>0</v>
      </c>
      <c r="DN385">
        <f t="shared" si="134"/>
        <v>0</v>
      </c>
      <c r="DS385">
        <f t="shared" si="166"/>
        <v>0</v>
      </c>
      <c r="DX385">
        <f t="shared" si="167"/>
        <v>0</v>
      </c>
      <c r="EC385">
        <f t="shared" si="168"/>
        <v>0</v>
      </c>
      <c r="EH385">
        <f t="shared" si="169"/>
        <v>0</v>
      </c>
      <c r="EM385">
        <f t="shared" si="170"/>
        <v>0</v>
      </c>
      <c r="ER385">
        <f t="shared" si="171"/>
        <v>0</v>
      </c>
      <c r="EW385">
        <f t="shared" si="172"/>
        <v>0</v>
      </c>
      <c r="FB385">
        <f t="shared" si="135"/>
        <v>0</v>
      </c>
      <c r="FG385">
        <f t="shared" si="173"/>
        <v>0</v>
      </c>
      <c r="FM385">
        <f t="shared" si="163"/>
        <v>0</v>
      </c>
      <c r="FQ385" s="420">
        <f>'EXTRAS (2)'!D318</f>
        <v>0</v>
      </c>
      <c r="FR385" s="420">
        <f>'EXTRAS (2)'!E318</f>
        <v>0</v>
      </c>
      <c r="FU385" s="420">
        <f t="shared" si="133"/>
        <v>0</v>
      </c>
    </row>
    <row r="386" spans="1:177">
      <c r="A386">
        <v>196</v>
      </c>
      <c r="B386" s="399" t="s">
        <v>930</v>
      </c>
      <c r="C386" s="400" t="s">
        <v>0</v>
      </c>
      <c r="AB386">
        <f t="shared" si="162"/>
        <v>0</v>
      </c>
      <c r="AM386">
        <f t="shared" si="152"/>
        <v>0</v>
      </c>
      <c r="BI386">
        <f>SUM(BI$7:BI$28,BP$7:BP$28,BQ$7:BQ$28,BJ$7:BJ$28,BK$28:BK308,BL$7:BL$28,BM$7:BM$28,BN$7:BN$28)*(BH386)</f>
        <v>0</v>
      </c>
      <c r="BT386">
        <f>SUM(BT$7:BT$28,CA$7:CA$28,CB$7:CB$28,BU$7:BU$28,BV$28:BV308,BW$7:BW$28,BX$7:BX$28,BY$7:BY$28)*(BS386)</f>
        <v>0</v>
      </c>
      <c r="CE386">
        <f t="shared" si="165"/>
        <v>0</v>
      </c>
      <c r="CJ386">
        <f t="shared" si="147"/>
        <v>0</v>
      </c>
      <c r="CO386">
        <f t="shared" si="148"/>
        <v>0</v>
      </c>
      <c r="CT386">
        <f t="shared" si="154"/>
        <v>0</v>
      </c>
      <c r="CY386">
        <f t="shared" si="149"/>
        <v>0</v>
      </c>
      <c r="DD386">
        <f t="shared" si="150"/>
        <v>0</v>
      </c>
      <c r="DI386">
        <f t="shared" si="151"/>
        <v>0</v>
      </c>
      <c r="DN386">
        <f t="shared" si="134"/>
        <v>0</v>
      </c>
      <c r="DS386">
        <f t="shared" si="166"/>
        <v>0</v>
      </c>
      <c r="DX386">
        <f t="shared" si="167"/>
        <v>0</v>
      </c>
      <c r="EC386">
        <f t="shared" si="168"/>
        <v>0</v>
      </c>
      <c r="EH386">
        <f t="shared" si="169"/>
        <v>0</v>
      </c>
      <c r="EM386">
        <f t="shared" si="170"/>
        <v>0</v>
      </c>
      <c r="ER386">
        <f t="shared" si="171"/>
        <v>0</v>
      </c>
      <c r="EW386">
        <f t="shared" si="172"/>
        <v>0</v>
      </c>
      <c r="FB386">
        <f t="shared" si="135"/>
        <v>0</v>
      </c>
      <c r="FG386">
        <f t="shared" si="173"/>
        <v>0</v>
      </c>
      <c r="FM386">
        <f t="shared" si="163"/>
        <v>0</v>
      </c>
      <c r="FQ386" s="420">
        <f>'EXTRAS (2)'!D319</f>
        <v>0</v>
      </c>
      <c r="FR386" s="420">
        <f>'EXTRAS (2)'!E319</f>
        <v>0</v>
      </c>
      <c r="FU386" s="420">
        <f t="shared" si="133"/>
        <v>0</v>
      </c>
    </row>
    <row r="387" spans="1:177">
      <c r="A387">
        <v>197</v>
      </c>
      <c r="B387" s="399" t="s">
        <v>931</v>
      </c>
      <c r="C387" s="400" t="s">
        <v>0</v>
      </c>
      <c r="E387">
        <v>1</v>
      </c>
      <c r="F387">
        <f>SUM(I7:I28,J7:J28,K7:K28)*(E387)</f>
        <v>0</v>
      </c>
      <c r="AA387">
        <v>1</v>
      </c>
      <c r="AB387">
        <f>SUM(AE7:AE28,AF7:AF28,AG7:AG28)*(AA387)</f>
        <v>0</v>
      </c>
      <c r="AM387">
        <f t="shared" si="152"/>
        <v>0</v>
      </c>
      <c r="BI387">
        <f>SUM(BI$7:BI$28,BP$7:BP$28,BQ$7:BQ$28,BJ$7:BJ$28,BK$28:BK309,BL$7:BL$28,BM$7:BM$28,BN$7:BN$28)*(BH387)</f>
        <v>0</v>
      </c>
      <c r="BT387">
        <f>SUM(BT$7:BT$28,CA$7:CA$28,CB$7:CB$28,BU$7:BU$28,BV$28:BV309,BW$7:BW$28,BX$7:BX$28,BY$7:BY$28)*(BS387)</f>
        <v>0</v>
      </c>
      <c r="CE387">
        <f t="shared" si="165"/>
        <v>0</v>
      </c>
      <c r="CJ387">
        <f t="shared" si="147"/>
        <v>0</v>
      </c>
      <c r="CO387">
        <f t="shared" si="148"/>
        <v>0</v>
      </c>
      <c r="CT387">
        <f t="shared" si="154"/>
        <v>0</v>
      </c>
      <c r="CY387">
        <f t="shared" si="149"/>
        <v>0</v>
      </c>
      <c r="DD387">
        <f t="shared" si="150"/>
        <v>0</v>
      </c>
      <c r="DI387">
        <f t="shared" si="151"/>
        <v>0</v>
      </c>
      <c r="DN387">
        <f t="shared" si="134"/>
        <v>0</v>
      </c>
      <c r="DS387">
        <f t="shared" si="166"/>
        <v>0</v>
      </c>
      <c r="DX387">
        <f t="shared" si="167"/>
        <v>0</v>
      </c>
      <c r="EC387">
        <f t="shared" si="168"/>
        <v>0</v>
      </c>
      <c r="EH387">
        <f t="shared" si="169"/>
        <v>0</v>
      </c>
      <c r="EM387">
        <f t="shared" si="170"/>
        <v>0</v>
      </c>
      <c r="ER387">
        <f t="shared" si="171"/>
        <v>0</v>
      </c>
      <c r="EW387">
        <f t="shared" si="172"/>
        <v>0</v>
      </c>
      <c r="FB387">
        <f t="shared" si="135"/>
        <v>0</v>
      </c>
      <c r="FG387">
        <f t="shared" si="173"/>
        <v>0</v>
      </c>
      <c r="FM387">
        <f t="shared" si="163"/>
        <v>0</v>
      </c>
      <c r="FQ387" s="420">
        <f>'EXTRAS (2)'!D320</f>
        <v>0</v>
      </c>
      <c r="FR387" s="420">
        <f>'EXTRAS (2)'!E320</f>
        <v>0</v>
      </c>
      <c r="FU387" s="420">
        <f t="shared" si="133"/>
        <v>0</v>
      </c>
    </row>
    <row r="388" spans="1:177">
      <c r="A388">
        <v>198</v>
      </c>
      <c r="B388" s="399" t="s">
        <v>932</v>
      </c>
      <c r="C388" s="400" t="s">
        <v>0</v>
      </c>
      <c r="E388">
        <v>1</v>
      </c>
      <c r="F388">
        <f>SUM(F7:F28,G7:G28,H7:H28)*(E387)</f>
        <v>0</v>
      </c>
      <c r="AA388">
        <v>1</v>
      </c>
      <c r="AB388">
        <f>SUM(AB7:AB28,AC7:AC28,AD7:AD28)*(AA388)</f>
        <v>0</v>
      </c>
      <c r="AM388">
        <f t="shared" si="152"/>
        <v>0</v>
      </c>
      <c r="BI388">
        <f>SUM(BI$7:BI$28,BP$7:BP$28,BQ$7:BQ$28,BJ$7:BJ$28,BK$28:BK310,BL$7:BL$28,BM$7:BM$28,BN$7:BN$28)*(BH388)</f>
        <v>0</v>
      </c>
      <c r="BT388">
        <f>SUM(BT$7:BT$28,CA$7:CA$28,CB$7:CB$28,BU$7:BU$28,BV$28:BV310,BW$7:BW$28,BX$7:BX$28,BY$7:BY$28)*(BS388)</f>
        <v>0</v>
      </c>
      <c r="CE388">
        <f t="shared" si="165"/>
        <v>0</v>
      </c>
      <c r="CJ388">
        <f t="shared" si="147"/>
        <v>0</v>
      </c>
      <c r="CO388">
        <f t="shared" si="148"/>
        <v>0</v>
      </c>
      <c r="CT388">
        <f t="shared" si="154"/>
        <v>0</v>
      </c>
      <c r="CY388">
        <f t="shared" si="149"/>
        <v>0</v>
      </c>
      <c r="DD388">
        <f t="shared" si="150"/>
        <v>0</v>
      </c>
      <c r="DI388">
        <f t="shared" si="151"/>
        <v>0</v>
      </c>
      <c r="DN388">
        <f t="shared" si="134"/>
        <v>0</v>
      </c>
      <c r="DS388">
        <f t="shared" si="166"/>
        <v>0</v>
      </c>
      <c r="DX388">
        <f t="shared" si="167"/>
        <v>0</v>
      </c>
      <c r="EC388">
        <f t="shared" si="168"/>
        <v>0</v>
      </c>
      <c r="EH388">
        <f t="shared" si="169"/>
        <v>0</v>
      </c>
      <c r="EM388">
        <f t="shared" si="170"/>
        <v>0</v>
      </c>
      <c r="ER388">
        <f t="shared" si="171"/>
        <v>0</v>
      </c>
      <c r="EW388">
        <f t="shared" si="172"/>
        <v>0</v>
      </c>
      <c r="FB388">
        <f t="shared" si="135"/>
        <v>0</v>
      </c>
      <c r="FG388">
        <f t="shared" si="173"/>
        <v>0</v>
      </c>
      <c r="FM388">
        <f t="shared" si="163"/>
        <v>0</v>
      </c>
      <c r="FQ388" s="420">
        <f>'EXTRAS (2)'!D321</f>
        <v>0</v>
      </c>
      <c r="FR388" s="420">
        <f>'EXTRAS (2)'!E321</f>
        <v>0</v>
      </c>
      <c r="FU388" s="420">
        <f t="shared" si="133"/>
        <v>0</v>
      </c>
    </row>
    <row r="389" spans="1:177">
      <c r="A389">
        <v>199</v>
      </c>
      <c r="B389" s="399" t="s">
        <v>933</v>
      </c>
      <c r="C389" s="400" t="s">
        <v>0</v>
      </c>
      <c r="AM389">
        <f t="shared" si="152"/>
        <v>0</v>
      </c>
      <c r="BI389">
        <f>SUM(BI$7:BI$28,BP$7:BP$28,BQ$7:BQ$28,BJ$7:BJ$28,BK$28:BK311,BL$7:BL$28,BM$7:BM$28,BN$7:BN$28)*(BH389)</f>
        <v>0</v>
      </c>
      <c r="BT389">
        <f>SUM(BT$7:BT$28,CA$7:CA$28,CB$7:CB$28,BU$7:BU$28,BV$28:BV311,BW$7:BW$28,BX$7:BX$28,BY$7:BY$28)*(BS389)</f>
        <v>0</v>
      </c>
      <c r="CE389">
        <f t="shared" si="165"/>
        <v>0</v>
      </c>
      <c r="CJ389">
        <f t="shared" si="147"/>
        <v>0</v>
      </c>
      <c r="CO389">
        <f t="shared" si="148"/>
        <v>0</v>
      </c>
      <c r="CT389">
        <f t="shared" si="154"/>
        <v>0</v>
      </c>
      <c r="CY389">
        <f t="shared" si="149"/>
        <v>0</v>
      </c>
      <c r="DD389">
        <f t="shared" si="150"/>
        <v>0</v>
      </c>
      <c r="DI389">
        <f t="shared" si="151"/>
        <v>0</v>
      </c>
      <c r="DN389">
        <f t="shared" si="134"/>
        <v>0</v>
      </c>
      <c r="DS389">
        <f t="shared" si="166"/>
        <v>0</v>
      </c>
      <c r="DX389">
        <f t="shared" si="167"/>
        <v>0</v>
      </c>
      <c r="EC389">
        <f t="shared" si="168"/>
        <v>0</v>
      </c>
      <c r="EH389">
        <f t="shared" si="169"/>
        <v>0</v>
      </c>
      <c r="EM389">
        <f t="shared" si="170"/>
        <v>0</v>
      </c>
      <c r="ER389">
        <f t="shared" si="171"/>
        <v>0</v>
      </c>
      <c r="EW389">
        <f t="shared" si="172"/>
        <v>0</v>
      </c>
      <c r="FB389">
        <f t="shared" si="135"/>
        <v>0</v>
      </c>
      <c r="FG389">
        <f t="shared" si="173"/>
        <v>0</v>
      </c>
      <c r="FM389">
        <f t="shared" si="163"/>
        <v>0</v>
      </c>
      <c r="FQ389" s="420">
        <f>'EXTRAS (2)'!D322</f>
        <v>0</v>
      </c>
      <c r="FR389" s="420">
        <f>'EXTRAS (2)'!E322</f>
        <v>0</v>
      </c>
      <c r="FU389" s="420">
        <f t="shared" si="133"/>
        <v>0</v>
      </c>
    </row>
    <row r="390" spans="1:177">
      <c r="A390">
        <v>200</v>
      </c>
      <c r="B390" s="399" t="s">
        <v>934</v>
      </c>
      <c r="C390" s="400" t="s">
        <v>0</v>
      </c>
      <c r="E390">
        <v>1</v>
      </c>
      <c r="F390">
        <f>SUM(L7:L28,M7:M28,N7:N28)*(E390)</f>
        <v>0</v>
      </c>
      <c r="AA390">
        <v>1</v>
      </c>
      <c r="AB390">
        <f>SUM(AH7:AH28,AI7:AI28,AJ7:AJ28)*(AA390)</f>
        <v>0</v>
      </c>
      <c r="AM390">
        <f t="shared" si="152"/>
        <v>0</v>
      </c>
      <c r="BI390">
        <f>SUM(BI$7:BI$28,BP$7:BP$28,BQ$7:BQ$28,BJ$7:BJ$28,BK$28:BK312,BL$7:BL$28,BM$7:BM$28,BN$7:BN$28)*(BH390)</f>
        <v>0</v>
      </c>
      <c r="BT390">
        <f>SUM(BT$7:BT$28,CA$7:CA$28,CB$7:CB$28,BU$7:BU$28,BV$28:BV312,BW$7:BW$28,BX$7:BX$28,BY$7:BY$28)*(BS390)</f>
        <v>0</v>
      </c>
      <c r="CE390">
        <f t="shared" si="165"/>
        <v>0</v>
      </c>
      <c r="CJ390">
        <f t="shared" si="147"/>
        <v>0</v>
      </c>
      <c r="CO390">
        <f t="shared" si="148"/>
        <v>0</v>
      </c>
      <c r="CT390">
        <f t="shared" si="154"/>
        <v>0</v>
      </c>
      <c r="CY390">
        <f t="shared" si="149"/>
        <v>0</v>
      </c>
      <c r="DD390">
        <f t="shared" si="150"/>
        <v>0</v>
      </c>
      <c r="DI390">
        <f t="shared" si="151"/>
        <v>0</v>
      </c>
      <c r="DN390">
        <f t="shared" si="134"/>
        <v>0</v>
      </c>
      <c r="DS390">
        <f t="shared" si="166"/>
        <v>0</v>
      </c>
      <c r="DX390">
        <f t="shared" si="167"/>
        <v>0</v>
      </c>
      <c r="EC390">
        <f t="shared" si="168"/>
        <v>0</v>
      </c>
      <c r="EH390">
        <f t="shared" si="169"/>
        <v>0</v>
      </c>
      <c r="EM390">
        <f t="shared" si="170"/>
        <v>0</v>
      </c>
      <c r="ER390">
        <f t="shared" si="171"/>
        <v>0</v>
      </c>
      <c r="EW390">
        <f t="shared" si="172"/>
        <v>0</v>
      </c>
      <c r="FB390">
        <f t="shared" si="135"/>
        <v>0</v>
      </c>
      <c r="FG390">
        <f t="shared" si="173"/>
        <v>0</v>
      </c>
      <c r="FM390">
        <f t="shared" si="163"/>
        <v>0</v>
      </c>
      <c r="FQ390" s="420">
        <f>'EXTRAS (2)'!D323</f>
        <v>0</v>
      </c>
      <c r="FR390" s="420">
        <f>'EXTRAS (2)'!E323</f>
        <v>0</v>
      </c>
      <c r="FU390" s="420">
        <f t="shared" si="133"/>
        <v>0</v>
      </c>
    </row>
    <row r="391" spans="1:177">
      <c r="A391">
        <v>201</v>
      </c>
      <c r="B391" s="399" t="s">
        <v>935</v>
      </c>
      <c r="C391" s="400" t="s">
        <v>0</v>
      </c>
      <c r="AB391">
        <f t="shared" si="162"/>
        <v>0</v>
      </c>
      <c r="AM391">
        <f t="shared" si="152"/>
        <v>0</v>
      </c>
      <c r="BI391">
        <f>SUM(BI$7:BI$28,BP$7:BP$28,BQ$7:BQ$28,BJ$7:BJ$28,BK$28:BK313,BL$7:BL$28,BM$7:BM$28,BN$7:BN$28)*(BH391)</f>
        <v>0</v>
      </c>
      <c r="BT391">
        <f>SUM(BT$7:BT$28,CA$7:CA$28,CB$7:CB$28,BU$7:BU$28,BV$28:BV313,BW$7:BW$28,BX$7:BX$28,BY$7:BY$28)*(BS391)</f>
        <v>0</v>
      </c>
      <c r="CE391">
        <f t="shared" si="165"/>
        <v>0</v>
      </c>
      <c r="CJ391">
        <f t="shared" si="147"/>
        <v>0</v>
      </c>
      <c r="CO391">
        <f t="shared" si="148"/>
        <v>0</v>
      </c>
      <c r="CT391">
        <f t="shared" si="154"/>
        <v>0</v>
      </c>
      <c r="CY391">
        <f t="shared" si="149"/>
        <v>0</v>
      </c>
      <c r="DD391">
        <f t="shared" si="150"/>
        <v>0</v>
      </c>
      <c r="DI391">
        <f t="shared" si="151"/>
        <v>0</v>
      </c>
      <c r="DN391">
        <f t="shared" si="134"/>
        <v>0</v>
      </c>
      <c r="DS391">
        <f t="shared" si="166"/>
        <v>0</v>
      </c>
      <c r="DX391">
        <f t="shared" si="167"/>
        <v>0</v>
      </c>
      <c r="EC391">
        <f t="shared" si="168"/>
        <v>0</v>
      </c>
      <c r="EH391">
        <f t="shared" si="169"/>
        <v>0</v>
      </c>
      <c r="EM391">
        <f t="shared" si="170"/>
        <v>0</v>
      </c>
      <c r="ER391">
        <f t="shared" si="171"/>
        <v>0</v>
      </c>
      <c r="EW391">
        <f t="shared" si="172"/>
        <v>0</v>
      </c>
      <c r="FB391">
        <f t="shared" si="135"/>
        <v>0</v>
      </c>
      <c r="FG391">
        <f t="shared" si="173"/>
        <v>0</v>
      </c>
      <c r="FM391">
        <f t="shared" si="163"/>
        <v>0</v>
      </c>
      <c r="FQ391" s="420">
        <f>'EXTRAS (2)'!D324</f>
        <v>0</v>
      </c>
      <c r="FR391" s="420">
        <f>'EXTRAS (2)'!E324</f>
        <v>0</v>
      </c>
      <c r="FU391" s="420">
        <f t="shared" si="133"/>
        <v>0</v>
      </c>
    </row>
    <row r="392" spans="1:177">
      <c r="A392">
        <v>202</v>
      </c>
      <c r="B392" s="399" t="s">
        <v>936</v>
      </c>
      <c r="C392" s="400" t="s">
        <v>0</v>
      </c>
      <c r="AB392">
        <f t="shared" si="162"/>
        <v>0</v>
      </c>
      <c r="AM392">
        <f t="shared" si="152"/>
        <v>0</v>
      </c>
      <c r="BI392">
        <f>SUM(BI$7:BI$28,BP$7:BP$28,BQ$7:BQ$28,BJ$7:BJ$28,BK$28:BK314,BL$7:BL$28,BM$7:BM$28,BN$7:BN$28)*(BH392)</f>
        <v>0</v>
      </c>
      <c r="BT392">
        <f>SUM(BT$7:BT$28,CA$7:CA$28,CB$7:CB$28,BU$7:BU$28,BV$28:BV314,BW$7:BW$28,BX$7:BX$28,BY$7:BY$28)*(BS392)</f>
        <v>0</v>
      </c>
      <c r="CE392">
        <f t="shared" si="165"/>
        <v>0</v>
      </c>
      <c r="CJ392">
        <f t="shared" si="147"/>
        <v>0</v>
      </c>
      <c r="CO392">
        <f t="shared" si="148"/>
        <v>0</v>
      </c>
      <c r="CT392">
        <f t="shared" si="154"/>
        <v>0</v>
      </c>
      <c r="CY392">
        <f t="shared" si="149"/>
        <v>0</v>
      </c>
      <c r="DD392">
        <f t="shared" si="150"/>
        <v>0</v>
      </c>
      <c r="DI392">
        <f t="shared" si="151"/>
        <v>0</v>
      </c>
      <c r="DN392">
        <f t="shared" si="134"/>
        <v>0</v>
      </c>
      <c r="DS392">
        <f t="shared" si="166"/>
        <v>0</v>
      </c>
      <c r="DX392">
        <f t="shared" si="167"/>
        <v>0</v>
      </c>
      <c r="EC392">
        <f t="shared" si="168"/>
        <v>0</v>
      </c>
      <c r="EH392">
        <f t="shared" si="169"/>
        <v>0</v>
      </c>
      <c r="EM392">
        <f t="shared" si="170"/>
        <v>0</v>
      </c>
      <c r="ER392">
        <f t="shared" si="171"/>
        <v>0</v>
      </c>
      <c r="EW392">
        <f t="shared" si="172"/>
        <v>0</v>
      </c>
      <c r="FB392">
        <f t="shared" si="135"/>
        <v>0</v>
      </c>
      <c r="FG392">
        <f t="shared" si="173"/>
        <v>0</v>
      </c>
      <c r="FM392">
        <f t="shared" si="163"/>
        <v>0</v>
      </c>
      <c r="FQ392" s="420">
        <f>'EXTRAS (2)'!D325</f>
        <v>0</v>
      </c>
      <c r="FR392" s="420">
        <f>'EXTRAS (2)'!E325</f>
        <v>0</v>
      </c>
      <c r="FU392" s="420">
        <f t="shared" si="133"/>
        <v>0</v>
      </c>
    </row>
    <row r="393" spans="1:177">
      <c r="A393">
        <v>203</v>
      </c>
      <c r="B393" s="399" t="s">
        <v>937</v>
      </c>
      <c r="C393" s="400" t="s">
        <v>0</v>
      </c>
      <c r="AB393">
        <f t="shared" si="162"/>
        <v>0</v>
      </c>
      <c r="AM393">
        <f t="shared" si="152"/>
        <v>0</v>
      </c>
      <c r="BI393">
        <f>SUM(BI$7:BI$28,BP$7:BP$28,BQ$7:BQ$28,BJ$7:BJ$28,BK$28:BK315,BL$7:BL$28,BM$7:BM$28,BN$7:BN$28)*(BH393)</f>
        <v>0</v>
      </c>
      <c r="BT393">
        <f>SUM(BT$7:BT$28,CA$7:CA$28,CB$7:CB$28,BU$7:BU$28,BV$28:BV315,BW$7:BW$28,BX$7:BX$28,BY$7:BY$28)*(BS393)</f>
        <v>0</v>
      </c>
      <c r="CE393">
        <f t="shared" si="165"/>
        <v>0</v>
      </c>
      <c r="CJ393">
        <f t="shared" si="147"/>
        <v>0</v>
      </c>
      <c r="CO393">
        <f t="shared" si="148"/>
        <v>0</v>
      </c>
      <c r="CT393">
        <f t="shared" si="154"/>
        <v>0</v>
      </c>
      <c r="CY393">
        <f t="shared" si="149"/>
        <v>0</v>
      </c>
      <c r="DD393">
        <f t="shared" si="150"/>
        <v>0</v>
      </c>
      <c r="DI393">
        <f t="shared" si="151"/>
        <v>0</v>
      </c>
      <c r="DN393">
        <f t="shared" si="134"/>
        <v>0</v>
      </c>
      <c r="DS393">
        <f t="shared" si="166"/>
        <v>0</v>
      </c>
      <c r="DX393">
        <f t="shared" si="167"/>
        <v>0</v>
      </c>
      <c r="EC393">
        <f t="shared" si="168"/>
        <v>0</v>
      </c>
      <c r="EH393">
        <f t="shared" si="169"/>
        <v>0</v>
      </c>
      <c r="EM393">
        <f t="shared" si="170"/>
        <v>0</v>
      </c>
      <c r="ER393">
        <f t="shared" si="171"/>
        <v>0</v>
      </c>
      <c r="EW393">
        <f t="shared" si="172"/>
        <v>0</v>
      </c>
      <c r="FB393">
        <f t="shared" si="135"/>
        <v>0</v>
      </c>
      <c r="FG393">
        <f t="shared" si="173"/>
        <v>0</v>
      </c>
      <c r="FM393">
        <f t="shared" si="163"/>
        <v>0</v>
      </c>
      <c r="FQ393" s="420">
        <f>'EXTRAS (2)'!D326</f>
        <v>0</v>
      </c>
      <c r="FR393" s="420">
        <f>'EXTRAS (2)'!E326</f>
        <v>0</v>
      </c>
      <c r="FU393" s="420">
        <f t="shared" si="133"/>
        <v>0</v>
      </c>
    </row>
    <row r="394" spans="1:177">
      <c r="A394">
        <v>204</v>
      </c>
      <c r="B394" s="399" t="s">
        <v>938</v>
      </c>
      <c r="C394" s="400" t="s">
        <v>0</v>
      </c>
      <c r="AB394">
        <f t="shared" si="162"/>
        <v>0</v>
      </c>
      <c r="AM394">
        <f t="shared" si="152"/>
        <v>0</v>
      </c>
      <c r="BI394">
        <f>SUM(BI$7:BI$28,BP$7:BP$28,BQ$7:BQ$28,BJ$7:BJ$28,BK$28:BK316,BL$7:BL$28,BM$7:BM$28,BN$7:BN$28)*(BH394)</f>
        <v>0</v>
      </c>
      <c r="BT394">
        <f>SUM(BT$7:BT$28,CA$7:CA$28,CB$7:CB$28,BU$7:BU$28,BV$28:BV316,BW$7:BW$28,BX$7:BX$28,BY$7:BY$28)*(BS394)</f>
        <v>0</v>
      </c>
      <c r="CE394">
        <f t="shared" si="165"/>
        <v>0</v>
      </c>
      <c r="CJ394">
        <f t="shared" si="147"/>
        <v>0</v>
      </c>
      <c r="CO394">
        <f t="shared" si="148"/>
        <v>0</v>
      </c>
      <c r="CT394">
        <f t="shared" si="154"/>
        <v>0</v>
      </c>
      <c r="CY394">
        <f t="shared" si="149"/>
        <v>0</v>
      </c>
      <c r="DD394">
        <f t="shared" si="150"/>
        <v>0</v>
      </c>
      <c r="DI394">
        <f t="shared" si="151"/>
        <v>0</v>
      </c>
      <c r="DN394">
        <f t="shared" si="134"/>
        <v>0</v>
      </c>
      <c r="DS394">
        <f t="shared" si="166"/>
        <v>0</v>
      </c>
      <c r="DX394">
        <f t="shared" si="167"/>
        <v>0</v>
      </c>
      <c r="EC394">
        <f t="shared" si="168"/>
        <v>0</v>
      </c>
      <c r="EH394">
        <f t="shared" si="169"/>
        <v>0</v>
      </c>
      <c r="EM394">
        <f t="shared" si="170"/>
        <v>0</v>
      </c>
      <c r="ER394">
        <f t="shared" si="171"/>
        <v>0</v>
      </c>
      <c r="EW394">
        <f t="shared" si="172"/>
        <v>0</v>
      </c>
      <c r="FB394">
        <f t="shared" si="135"/>
        <v>0</v>
      </c>
      <c r="FG394">
        <f t="shared" si="173"/>
        <v>0</v>
      </c>
      <c r="FM394">
        <f t="shared" si="163"/>
        <v>0</v>
      </c>
      <c r="FQ394" s="420">
        <f>'EXTRAS (2)'!D327</f>
        <v>0</v>
      </c>
      <c r="FR394" s="420">
        <f>'EXTRAS (2)'!E327</f>
        <v>0</v>
      </c>
      <c r="FU394" s="420">
        <f t="shared" si="133"/>
        <v>0</v>
      </c>
    </row>
    <row r="395" spans="1:177">
      <c r="A395">
        <v>205</v>
      </c>
      <c r="B395" s="399" t="s">
        <v>939</v>
      </c>
      <c r="C395" s="400" t="s">
        <v>0</v>
      </c>
      <c r="AB395">
        <f t="shared" si="162"/>
        <v>0</v>
      </c>
      <c r="AM395">
        <f t="shared" si="152"/>
        <v>0</v>
      </c>
      <c r="BI395">
        <f>SUM(BI$7:BI$28,BP$7:BP$28,BQ$7:BQ$28,BJ$7:BJ$28,BK$28:BK317,BL$7:BL$28,BM$7:BM$28,BN$7:BN$28)*(BH395)</f>
        <v>0</v>
      </c>
      <c r="BT395">
        <f>SUM(BT$7:BT$28,CA$7:CA$28,CB$7:CB$28,BU$7:BU$28,BV$28:BV317,BW$7:BW$28,BX$7:BX$28,BY$7:BY$28)*(BS395)</f>
        <v>0</v>
      </c>
      <c r="CE395">
        <f t="shared" si="165"/>
        <v>0</v>
      </c>
      <c r="CJ395">
        <f t="shared" si="147"/>
        <v>0</v>
      </c>
      <c r="CO395">
        <f t="shared" si="148"/>
        <v>0</v>
      </c>
      <c r="CT395">
        <f t="shared" si="154"/>
        <v>0</v>
      </c>
      <c r="CY395">
        <f t="shared" si="149"/>
        <v>0</v>
      </c>
      <c r="DD395">
        <f t="shared" si="150"/>
        <v>0</v>
      </c>
      <c r="DI395">
        <f t="shared" si="151"/>
        <v>0</v>
      </c>
      <c r="DN395">
        <f t="shared" si="134"/>
        <v>0</v>
      </c>
      <c r="DS395">
        <f t="shared" si="166"/>
        <v>0</v>
      </c>
      <c r="DX395">
        <f t="shared" si="167"/>
        <v>0</v>
      </c>
      <c r="EC395">
        <f t="shared" si="168"/>
        <v>0</v>
      </c>
      <c r="EH395">
        <f t="shared" si="169"/>
        <v>0</v>
      </c>
      <c r="EM395">
        <f t="shared" si="170"/>
        <v>0</v>
      </c>
      <c r="ER395">
        <f t="shared" si="171"/>
        <v>0</v>
      </c>
      <c r="EW395">
        <f t="shared" si="172"/>
        <v>0</v>
      </c>
      <c r="FB395">
        <f t="shared" si="135"/>
        <v>0</v>
      </c>
      <c r="FG395">
        <f t="shared" si="173"/>
        <v>0</v>
      </c>
      <c r="FM395">
        <f t="shared" si="163"/>
        <v>0</v>
      </c>
      <c r="FQ395" s="420">
        <f>'EXTRAS (2)'!D328</f>
        <v>0</v>
      </c>
      <c r="FR395" s="420">
        <f>'EXTRAS (2)'!E328</f>
        <v>0</v>
      </c>
      <c r="FU395" s="420">
        <f t="shared" si="133"/>
        <v>0</v>
      </c>
    </row>
    <row r="396" spans="1:177">
      <c r="A396">
        <v>206</v>
      </c>
      <c r="B396" s="399" t="s">
        <v>940</v>
      </c>
      <c r="C396" s="400" t="s">
        <v>0</v>
      </c>
      <c r="F396" s="333">
        <f>Transformadores!W90</f>
        <v>0</v>
      </c>
      <c r="AB396">
        <f t="shared" si="162"/>
        <v>0</v>
      </c>
      <c r="AM396">
        <f t="shared" si="152"/>
        <v>0</v>
      </c>
      <c r="BI396">
        <f>SUM(BI$7:BI$28,BP$7:BP$28,BQ$7:BQ$28,BJ$7:BJ$28,BK$28:BK318,BL$7:BL$28,BM$7:BM$28,BN$7:BN$28)*(BH396)</f>
        <v>0</v>
      </c>
      <c r="BT396">
        <f>SUM(BT$7:BT$28,CA$7:CA$28,CB$7:CB$28,BU$7:BU$28,BV$28:BV318,BW$7:BW$28,BX$7:BX$28,BY$7:BY$28)*(BS396)</f>
        <v>0</v>
      </c>
      <c r="CE396">
        <f t="shared" si="165"/>
        <v>0</v>
      </c>
      <c r="CJ396">
        <f t="shared" si="147"/>
        <v>0</v>
      </c>
      <c r="CO396">
        <f t="shared" si="148"/>
        <v>0</v>
      </c>
      <c r="CT396">
        <f t="shared" si="154"/>
        <v>0</v>
      </c>
      <c r="CY396">
        <f t="shared" si="149"/>
        <v>0</v>
      </c>
      <c r="DD396">
        <f t="shared" si="150"/>
        <v>0</v>
      </c>
      <c r="DI396">
        <f t="shared" si="151"/>
        <v>0</v>
      </c>
      <c r="DN396">
        <f t="shared" si="134"/>
        <v>0</v>
      </c>
      <c r="DS396">
        <f t="shared" si="166"/>
        <v>0</v>
      </c>
      <c r="DX396">
        <f t="shared" si="167"/>
        <v>0</v>
      </c>
      <c r="EC396">
        <f t="shared" si="168"/>
        <v>0</v>
      </c>
      <c r="EH396">
        <f t="shared" si="169"/>
        <v>0</v>
      </c>
      <c r="EM396">
        <f t="shared" si="170"/>
        <v>0</v>
      </c>
      <c r="EQ396">
        <v>5</v>
      </c>
      <c r="ER396">
        <f t="shared" si="171"/>
        <v>0</v>
      </c>
      <c r="EV396" s="853"/>
      <c r="EW396" s="853">
        <f>SUM(Transformadores!R8:R15,Transformadores!S8:S15,Transformadores!T8:T15,Transformadores!U8:U15)*(EV396)</f>
        <v>0</v>
      </c>
      <c r="FB396">
        <f t="shared" si="135"/>
        <v>0</v>
      </c>
      <c r="FQ396" s="420">
        <f>'EXTRAS (2)'!D329</f>
        <v>0</v>
      </c>
      <c r="FR396" s="420">
        <f>'EXTRAS (2)'!E329</f>
        <v>0</v>
      </c>
      <c r="FU396" s="420">
        <f t="shared" si="133"/>
        <v>0</v>
      </c>
    </row>
    <row r="397" spans="1:177">
      <c r="A397">
        <v>207</v>
      </c>
      <c r="B397" s="399" t="s">
        <v>941</v>
      </c>
      <c r="C397" s="400" t="s">
        <v>0</v>
      </c>
      <c r="AB397">
        <f t="shared" si="162"/>
        <v>0</v>
      </c>
      <c r="AM397">
        <f t="shared" si="152"/>
        <v>0</v>
      </c>
      <c r="BI397">
        <f>SUM(BI$7:BI$28,BP$7:BP$28,BQ$7:BQ$28,BJ$7:BJ$28,BK$28:BK319,BL$7:BL$28,BM$7:BM$28,BN$7:BN$28)*(BH397)</f>
        <v>0</v>
      </c>
      <c r="BT397">
        <f>SUM(BT$7:BT$28,CA$7:CA$28,CB$7:CB$28,BU$7:BU$28,BV$28:BV319,BW$7:BW$28,BX$7:BX$28,BY$7:BY$28)*(BS397)</f>
        <v>0</v>
      </c>
      <c r="CE397">
        <f t="shared" si="165"/>
        <v>0</v>
      </c>
      <c r="CJ397">
        <f t="shared" si="147"/>
        <v>0</v>
      </c>
      <c r="CO397">
        <f t="shared" si="148"/>
        <v>0</v>
      </c>
      <c r="CT397">
        <f t="shared" si="154"/>
        <v>0</v>
      </c>
      <c r="CY397">
        <f t="shared" si="149"/>
        <v>0</v>
      </c>
      <c r="DD397">
        <f t="shared" si="150"/>
        <v>0</v>
      </c>
      <c r="DI397">
        <f t="shared" si="151"/>
        <v>0</v>
      </c>
      <c r="DN397">
        <f t="shared" si="134"/>
        <v>0</v>
      </c>
      <c r="DS397">
        <f t="shared" si="166"/>
        <v>0</v>
      </c>
      <c r="DX397">
        <f t="shared" si="167"/>
        <v>0</v>
      </c>
      <c r="EC397">
        <f t="shared" si="168"/>
        <v>0</v>
      </c>
      <c r="EH397">
        <f t="shared" si="169"/>
        <v>0</v>
      </c>
      <c r="EM397">
        <f t="shared" si="170"/>
        <v>0</v>
      </c>
      <c r="ER397">
        <f t="shared" si="171"/>
        <v>0</v>
      </c>
      <c r="EW397">
        <f t="shared" si="172"/>
        <v>0</v>
      </c>
      <c r="FB397">
        <f t="shared" si="135"/>
        <v>0</v>
      </c>
      <c r="FG397">
        <f t="shared" si="173"/>
        <v>0</v>
      </c>
      <c r="FM397">
        <f t="shared" si="163"/>
        <v>0</v>
      </c>
      <c r="FQ397" s="420">
        <f>'EXTRAS (2)'!D330</f>
        <v>0</v>
      </c>
      <c r="FR397" s="420">
        <f>'EXTRAS (2)'!E330</f>
        <v>0</v>
      </c>
      <c r="FU397" s="420">
        <f t="shared" si="133"/>
        <v>0</v>
      </c>
    </row>
    <row r="398" spans="1:177">
      <c r="A398">
        <v>208</v>
      </c>
      <c r="B398" s="399" t="s">
        <v>942</v>
      </c>
      <c r="C398" s="400" t="s">
        <v>0</v>
      </c>
      <c r="AB398">
        <f t="shared" si="162"/>
        <v>0</v>
      </c>
      <c r="AM398">
        <f t="shared" si="152"/>
        <v>0</v>
      </c>
      <c r="BI398">
        <f>SUM(BI$7:BI$28,BP$7:BP$28,BQ$7:BQ$28,BJ$7:BJ$28,BK$28:BK320,BL$7:BL$28,BM$7:BM$28,BN$7:BN$28)*(BH398)</f>
        <v>0</v>
      </c>
      <c r="BT398">
        <f>SUM(BT$7:BT$28,CA$7:CA$28,CB$7:CB$28,BU$7:BU$28,BV$28:BV320,BW$7:BW$28,BX$7:BX$28,BY$7:BY$28)*(BS398)</f>
        <v>0</v>
      </c>
      <c r="CE398">
        <f t="shared" si="165"/>
        <v>0</v>
      </c>
      <c r="CJ398">
        <f t="shared" si="147"/>
        <v>0</v>
      </c>
      <c r="CO398">
        <f t="shared" si="148"/>
        <v>0</v>
      </c>
      <c r="CT398">
        <f t="shared" si="154"/>
        <v>0</v>
      </c>
      <c r="CY398">
        <f t="shared" si="149"/>
        <v>0</v>
      </c>
      <c r="DD398">
        <f t="shared" si="150"/>
        <v>0</v>
      </c>
      <c r="DI398">
        <f t="shared" si="151"/>
        <v>0</v>
      </c>
      <c r="DN398">
        <f t="shared" si="134"/>
        <v>0</v>
      </c>
      <c r="DS398">
        <f t="shared" si="166"/>
        <v>0</v>
      </c>
      <c r="DX398">
        <f t="shared" si="167"/>
        <v>0</v>
      </c>
      <c r="EC398">
        <f t="shared" si="168"/>
        <v>0</v>
      </c>
      <c r="EH398">
        <f t="shared" si="169"/>
        <v>0</v>
      </c>
      <c r="EM398">
        <f t="shared" si="170"/>
        <v>0</v>
      </c>
      <c r="ER398">
        <f t="shared" si="171"/>
        <v>0</v>
      </c>
      <c r="EW398">
        <f t="shared" si="172"/>
        <v>0</v>
      </c>
      <c r="FB398">
        <f t="shared" si="135"/>
        <v>0</v>
      </c>
      <c r="FG398">
        <f t="shared" si="173"/>
        <v>0</v>
      </c>
      <c r="FM398">
        <f t="shared" si="163"/>
        <v>0</v>
      </c>
      <c r="FQ398" s="420">
        <f>'EXTRAS (2)'!D331</f>
        <v>0</v>
      </c>
      <c r="FR398" s="420">
        <f>'EXTRAS (2)'!E331</f>
        <v>0</v>
      </c>
      <c r="FU398" s="420">
        <f t="shared" si="133"/>
        <v>0</v>
      </c>
    </row>
    <row r="399" spans="1:177">
      <c r="A399">
        <v>209</v>
      </c>
      <c r="B399" s="399" t="s">
        <v>943</v>
      </c>
      <c r="C399" s="400" t="s">
        <v>0</v>
      </c>
      <c r="AB399">
        <f t="shared" si="162"/>
        <v>0</v>
      </c>
      <c r="AM399">
        <f t="shared" si="152"/>
        <v>0</v>
      </c>
      <c r="BI399">
        <f>SUM(BI$7:BI$28,BP$7:BP$28,BQ$7:BQ$28,BJ$7:BJ$28,BK$28:BK321,BL$7:BL$28,BM$7:BM$28,BN$7:BN$28)*(BH399)</f>
        <v>0</v>
      </c>
      <c r="BT399">
        <f>SUM(BT$7:BT$28,CA$7:CA$28,CB$7:CB$28,BU$7:BU$28,BV$28:BV321,BW$7:BW$28,BX$7:BX$28,BY$7:BY$28)*(BS399)</f>
        <v>0</v>
      </c>
      <c r="CE399">
        <f t="shared" si="165"/>
        <v>0</v>
      </c>
      <c r="CJ399">
        <f t="shared" si="147"/>
        <v>0</v>
      </c>
      <c r="CO399">
        <f t="shared" si="148"/>
        <v>0</v>
      </c>
      <c r="CT399">
        <f t="shared" si="154"/>
        <v>0</v>
      </c>
      <c r="CY399">
        <f t="shared" si="149"/>
        <v>0</v>
      </c>
      <c r="DD399">
        <f t="shared" si="150"/>
        <v>0</v>
      </c>
      <c r="DI399">
        <f t="shared" si="151"/>
        <v>0</v>
      </c>
      <c r="DN399">
        <f t="shared" si="134"/>
        <v>0</v>
      </c>
      <c r="DS399">
        <f t="shared" si="166"/>
        <v>0</v>
      </c>
      <c r="DX399">
        <f t="shared" si="167"/>
        <v>0</v>
      </c>
      <c r="EC399">
        <f t="shared" si="168"/>
        <v>0</v>
      </c>
      <c r="EH399">
        <f t="shared" si="169"/>
        <v>0</v>
      </c>
      <c r="EM399">
        <f t="shared" si="170"/>
        <v>0</v>
      </c>
      <c r="ER399">
        <f t="shared" si="171"/>
        <v>0</v>
      </c>
      <c r="EW399">
        <f t="shared" si="172"/>
        <v>0</v>
      </c>
      <c r="FB399">
        <f t="shared" si="135"/>
        <v>0</v>
      </c>
      <c r="FG399">
        <f t="shared" si="173"/>
        <v>0</v>
      </c>
      <c r="FM399">
        <f t="shared" si="163"/>
        <v>0</v>
      </c>
      <c r="FQ399" s="420">
        <f>'EXTRAS (2)'!D332</f>
        <v>0</v>
      </c>
      <c r="FR399" s="420">
        <f>'EXTRAS (2)'!E332</f>
        <v>0</v>
      </c>
      <c r="FU399" s="420">
        <f t="shared" si="133"/>
        <v>0</v>
      </c>
    </row>
    <row r="400" spans="1:177">
      <c r="A400">
        <v>210</v>
      </c>
      <c r="B400" s="399" t="s">
        <v>944</v>
      </c>
      <c r="C400" s="400" t="s">
        <v>0</v>
      </c>
      <c r="AB400">
        <f t="shared" si="162"/>
        <v>0</v>
      </c>
      <c r="AM400">
        <f t="shared" si="152"/>
        <v>0</v>
      </c>
      <c r="BI400">
        <f>SUM(BI$7:BI$28,BP$7:BP$28,BQ$7:BQ$28,BJ$7:BJ$28,BK$28:BK322,BL$7:BL$28,BM$7:BM$28,BN$7:BN$28)*(BH400)</f>
        <v>0</v>
      </c>
      <c r="BT400">
        <f>SUM(BT$7:BT$28,CA$7:CA$28,CB$7:CB$28,BU$7:BU$28,BV$28:BV322,BW$7:BW$28,BX$7:BX$28,BY$7:BY$28)*(BS400)</f>
        <v>0</v>
      </c>
      <c r="CE400">
        <f t="shared" si="165"/>
        <v>0</v>
      </c>
      <c r="CJ400">
        <f t="shared" si="147"/>
        <v>0</v>
      </c>
      <c r="CO400">
        <f t="shared" si="148"/>
        <v>0</v>
      </c>
      <c r="CT400">
        <f t="shared" si="154"/>
        <v>0</v>
      </c>
      <c r="CY400">
        <f t="shared" si="149"/>
        <v>0</v>
      </c>
      <c r="DD400">
        <f t="shared" si="150"/>
        <v>0</v>
      </c>
      <c r="DI400">
        <f t="shared" si="151"/>
        <v>0</v>
      </c>
      <c r="DN400">
        <f t="shared" si="134"/>
        <v>0</v>
      </c>
      <c r="DS400">
        <f t="shared" si="166"/>
        <v>0</v>
      </c>
      <c r="DX400">
        <f t="shared" si="167"/>
        <v>0</v>
      </c>
      <c r="EC400">
        <f t="shared" si="168"/>
        <v>0</v>
      </c>
      <c r="EH400">
        <f t="shared" si="169"/>
        <v>0</v>
      </c>
      <c r="EM400">
        <f t="shared" si="170"/>
        <v>0</v>
      </c>
      <c r="ER400">
        <f t="shared" si="171"/>
        <v>0</v>
      </c>
      <c r="EW400">
        <f t="shared" si="172"/>
        <v>0</v>
      </c>
      <c r="FB400">
        <f t="shared" si="135"/>
        <v>0</v>
      </c>
      <c r="FG400">
        <f t="shared" si="173"/>
        <v>0</v>
      </c>
      <c r="FM400">
        <f t="shared" si="163"/>
        <v>0</v>
      </c>
      <c r="FQ400" s="420">
        <f>'EXTRAS (2)'!D333</f>
        <v>0</v>
      </c>
      <c r="FR400" s="420">
        <f>'EXTRAS (2)'!E333</f>
        <v>0</v>
      </c>
      <c r="FU400" s="420">
        <f t="shared" si="133"/>
        <v>0</v>
      </c>
    </row>
    <row r="401" spans="1:177">
      <c r="A401">
        <v>211</v>
      </c>
      <c r="B401" s="399" t="s">
        <v>945</v>
      </c>
      <c r="C401" s="400" t="s">
        <v>0</v>
      </c>
      <c r="AB401">
        <f t="shared" si="162"/>
        <v>0</v>
      </c>
      <c r="AM401">
        <f t="shared" si="152"/>
        <v>0</v>
      </c>
      <c r="BI401">
        <f>SUM(BI$7:BI$28,BP$7:BP$28,BQ$7:BQ$28,BJ$7:BJ$28,BK$28:BK323,BL$7:BL$28,BM$7:BM$28,BN$7:BN$28)*(BH401)</f>
        <v>0</v>
      </c>
      <c r="BT401">
        <f>SUM(BT$7:BT$28,CA$7:CA$28,CB$7:CB$28,BU$7:BU$28,BV$28:BV323,BW$7:BW$28,BX$7:BX$28,BY$7:BY$28)*(BS401)</f>
        <v>0</v>
      </c>
      <c r="CE401">
        <f t="shared" si="165"/>
        <v>0</v>
      </c>
      <c r="CJ401">
        <f t="shared" si="147"/>
        <v>0</v>
      </c>
      <c r="CO401">
        <f t="shared" si="148"/>
        <v>0</v>
      </c>
      <c r="CT401">
        <f t="shared" si="154"/>
        <v>0</v>
      </c>
      <c r="CY401">
        <f t="shared" si="149"/>
        <v>0</v>
      </c>
      <c r="DD401">
        <f t="shared" si="150"/>
        <v>0</v>
      </c>
      <c r="DI401">
        <f t="shared" si="151"/>
        <v>0</v>
      </c>
      <c r="DN401">
        <f t="shared" si="134"/>
        <v>0</v>
      </c>
      <c r="DS401">
        <f t="shared" si="166"/>
        <v>0</v>
      </c>
      <c r="DX401">
        <f t="shared" si="167"/>
        <v>0</v>
      </c>
      <c r="EC401">
        <f t="shared" si="168"/>
        <v>0</v>
      </c>
      <c r="EH401">
        <f t="shared" si="169"/>
        <v>0</v>
      </c>
      <c r="EM401">
        <f t="shared" si="170"/>
        <v>0</v>
      </c>
      <c r="ER401">
        <f t="shared" si="171"/>
        <v>0</v>
      </c>
      <c r="EW401">
        <f t="shared" si="172"/>
        <v>0</v>
      </c>
      <c r="FB401">
        <f t="shared" si="135"/>
        <v>0</v>
      </c>
      <c r="FG401">
        <f t="shared" si="173"/>
        <v>0</v>
      </c>
      <c r="FM401">
        <f t="shared" si="163"/>
        <v>0</v>
      </c>
      <c r="FQ401" s="420">
        <f>'EXTRAS (2)'!D334</f>
        <v>0</v>
      </c>
      <c r="FR401" s="420">
        <f>'EXTRAS (2)'!E334</f>
        <v>0</v>
      </c>
      <c r="FU401" s="420">
        <f t="shared" ref="FU401:FU464" si="174">CE401+CG401+CF401+CJ401+CO401+CT401+CY401+DD401+DI401+DN401+DS401+DX401+EM401+ER401+EW401+FB401+FG401+FM401+FO401+F401+Q401+AB401+AM401+AX401+BI401+BT401+FQ401-FR401</f>
        <v>0</v>
      </c>
    </row>
    <row r="402" spans="1:177">
      <c r="A402">
        <v>212</v>
      </c>
      <c r="B402" s="399" t="s">
        <v>946</v>
      </c>
      <c r="C402" s="400" t="s">
        <v>0</v>
      </c>
      <c r="AB402">
        <f t="shared" si="162"/>
        <v>0</v>
      </c>
      <c r="AM402">
        <f t="shared" si="152"/>
        <v>0</v>
      </c>
      <c r="BI402">
        <f>SUM(BI$7:BI$28,BP$7:BP$28,BQ$7:BQ$28,BJ$7:BJ$28,BK$28:BK324,BL$7:BL$28,BM$7:BM$28,BN$7:BN$28)*(BH402)</f>
        <v>0</v>
      </c>
      <c r="BT402">
        <f>SUM(BT$7:BT$28,CA$7:CA$28,CB$7:CB$28,BU$7:BU$28,BV$28:BV324,BW$7:BW$28,BX$7:BX$28,BY$7:BY$28)*(BS402)</f>
        <v>0</v>
      </c>
      <c r="CE402">
        <f t="shared" si="165"/>
        <v>0</v>
      </c>
      <c r="CJ402">
        <f t="shared" si="147"/>
        <v>0</v>
      </c>
      <c r="CO402">
        <f t="shared" si="148"/>
        <v>0</v>
      </c>
      <c r="CT402">
        <f t="shared" si="154"/>
        <v>0</v>
      </c>
      <c r="CY402">
        <f t="shared" si="149"/>
        <v>0</v>
      </c>
      <c r="DD402">
        <f t="shared" si="150"/>
        <v>0</v>
      </c>
      <c r="DI402">
        <f t="shared" si="151"/>
        <v>0</v>
      </c>
      <c r="DN402">
        <f t="shared" si="134"/>
        <v>0</v>
      </c>
      <c r="DS402">
        <f t="shared" si="166"/>
        <v>0</v>
      </c>
      <c r="DX402">
        <f t="shared" si="167"/>
        <v>0</v>
      </c>
      <c r="EC402">
        <f t="shared" si="168"/>
        <v>0</v>
      </c>
      <c r="EH402">
        <f t="shared" si="169"/>
        <v>0</v>
      </c>
      <c r="EM402">
        <f t="shared" si="170"/>
        <v>0</v>
      </c>
      <c r="ER402">
        <f t="shared" si="171"/>
        <v>0</v>
      </c>
      <c r="EW402">
        <f t="shared" si="172"/>
        <v>0</v>
      </c>
      <c r="FB402">
        <f t="shared" si="135"/>
        <v>0</v>
      </c>
      <c r="FG402">
        <f t="shared" si="173"/>
        <v>0</v>
      </c>
      <c r="FM402">
        <f t="shared" si="163"/>
        <v>0</v>
      </c>
      <c r="FQ402" s="420">
        <f>'EXTRAS (2)'!D335</f>
        <v>0</v>
      </c>
      <c r="FR402" s="420">
        <f>'EXTRAS (2)'!E335</f>
        <v>0</v>
      </c>
      <c r="FU402" s="420">
        <f t="shared" si="174"/>
        <v>0</v>
      </c>
    </row>
    <row r="403" spans="1:177">
      <c r="A403">
        <v>213</v>
      </c>
      <c r="B403" s="399" t="s">
        <v>947</v>
      </c>
      <c r="C403" s="400" t="s">
        <v>0</v>
      </c>
      <c r="AB403">
        <f t="shared" si="162"/>
        <v>0</v>
      </c>
      <c r="AM403">
        <f t="shared" si="152"/>
        <v>0</v>
      </c>
      <c r="BI403">
        <f>SUM(BI$7:BI$28,BP$7:BP$28,BQ$7:BQ$28,BJ$7:BJ$28,BK$28:BK325,BL$7:BL$28,BM$7:BM$28,BN$7:BN$28)*(BH403)</f>
        <v>0</v>
      </c>
      <c r="BT403">
        <f>SUM(BT$7:BT$28,CA$7:CA$28,CB$7:CB$28,BU$7:BU$28,BV$28:BV325,BW$7:BW$28,BX$7:BX$28,BY$7:BY$28)*(BS403)</f>
        <v>0</v>
      </c>
      <c r="CE403">
        <f t="shared" si="165"/>
        <v>0</v>
      </c>
      <c r="CJ403">
        <f t="shared" si="147"/>
        <v>0</v>
      </c>
      <c r="CO403">
        <f t="shared" si="148"/>
        <v>0</v>
      </c>
      <c r="CT403">
        <f t="shared" si="154"/>
        <v>0</v>
      </c>
      <c r="CY403">
        <f t="shared" si="149"/>
        <v>0</v>
      </c>
      <c r="DD403">
        <f t="shared" si="150"/>
        <v>0</v>
      </c>
      <c r="DI403">
        <f t="shared" si="151"/>
        <v>0</v>
      </c>
      <c r="DN403">
        <f t="shared" si="134"/>
        <v>0</v>
      </c>
      <c r="DS403">
        <f t="shared" si="166"/>
        <v>0</v>
      </c>
      <c r="DX403">
        <f t="shared" si="167"/>
        <v>0</v>
      </c>
      <c r="EC403">
        <f t="shared" si="168"/>
        <v>0</v>
      </c>
      <c r="EH403">
        <f t="shared" si="169"/>
        <v>0</v>
      </c>
      <c r="EM403">
        <f t="shared" si="170"/>
        <v>0</v>
      </c>
      <c r="ER403">
        <f t="shared" si="171"/>
        <v>0</v>
      </c>
      <c r="EW403">
        <f t="shared" si="172"/>
        <v>0</v>
      </c>
      <c r="FB403">
        <f t="shared" si="135"/>
        <v>0</v>
      </c>
      <c r="FG403">
        <f t="shared" si="173"/>
        <v>0</v>
      </c>
      <c r="FM403">
        <f t="shared" si="163"/>
        <v>0</v>
      </c>
      <c r="FQ403" s="420">
        <f>'EXTRAS (2)'!D336</f>
        <v>0</v>
      </c>
      <c r="FR403" s="420">
        <f>'EXTRAS (2)'!E336</f>
        <v>0</v>
      </c>
      <c r="FU403" s="420">
        <f t="shared" si="174"/>
        <v>0</v>
      </c>
    </row>
    <row r="404" spans="1:177">
      <c r="A404">
        <v>214</v>
      </c>
      <c r="B404" s="399" t="s">
        <v>948</v>
      </c>
      <c r="C404" s="400" t="s">
        <v>0</v>
      </c>
      <c r="AB404">
        <f t="shared" si="162"/>
        <v>0</v>
      </c>
      <c r="AM404">
        <f t="shared" si="152"/>
        <v>0</v>
      </c>
      <c r="BI404">
        <f>SUM(BI$7:BI$28,BP$7:BP$28,BQ$7:BQ$28,BJ$7:BJ$28,BK$28:BK326,BL$7:BL$28,BM$7:BM$28,BN$7:BN$28)*(BH404)</f>
        <v>0</v>
      </c>
      <c r="BT404">
        <f>SUM(BT$7:BT$28,CA$7:CA$28,CB$7:CB$28,BU$7:BU$28,BV$28:BV326,BW$7:BW$28,BX$7:BX$28,BY$7:BY$28)*(BS404)</f>
        <v>0</v>
      </c>
      <c r="CE404">
        <f t="shared" si="165"/>
        <v>0</v>
      </c>
      <c r="CJ404">
        <f t="shared" si="147"/>
        <v>0</v>
      </c>
      <c r="CO404">
        <f t="shared" si="148"/>
        <v>0</v>
      </c>
      <c r="CT404">
        <f t="shared" si="154"/>
        <v>0</v>
      </c>
      <c r="CY404">
        <f t="shared" si="149"/>
        <v>0</v>
      </c>
      <c r="DD404">
        <f t="shared" si="150"/>
        <v>0</v>
      </c>
      <c r="DI404">
        <f t="shared" si="151"/>
        <v>0</v>
      </c>
      <c r="DN404">
        <f t="shared" ref="DN404:DN419" si="175">SUM(DN$7:DN$28,DO$7:DO$28,DP$7:DP$28)*(DM404)</f>
        <v>0</v>
      </c>
      <c r="DS404">
        <f t="shared" si="166"/>
        <v>0</v>
      </c>
      <c r="DX404">
        <f t="shared" si="167"/>
        <v>0</v>
      </c>
      <c r="EC404">
        <f t="shared" si="168"/>
        <v>0</v>
      </c>
      <c r="EH404">
        <f t="shared" si="169"/>
        <v>0</v>
      </c>
      <c r="EM404">
        <f t="shared" si="170"/>
        <v>0</v>
      </c>
      <c r="ER404">
        <f t="shared" si="171"/>
        <v>0</v>
      </c>
      <c r="EW404">
        <f t="shared" si="172"/>
        <v>0</v>
      </c>
      <c r="FB404">
        <f t="shared" si="135"/>
        <v>0</v>
      </c>
      <c r="FG404">
        <f t="shared" si="173"/>
        <v>0</v>
      </c>
      <c r="FM404">
        <f t="shared" si="163"/>
        <v>0</v>
      </c>
      <c r="FQ404" s="420">
        <f>'EXTRAS (2)'!D337</f>
        <v>0</v>
      </c>
      <c r="FR404" s="420">
        <f>'EXTRAS (2)'!E337</f>
        <v>0</v>
      </c>
      <c r="FU404" s="420">
        <f t="shared" si="174"/>
        <v>0</v>
      </c>
    </row>
    <row r="405" spans="1:177">
      <c r="A405">
        <v>215</v>
      </c>
      <c r="B405" s="399" t="s">
        <v>19</v>
      </c>
      <c r="C405" s="400" t="s">
        <v>0</v>
      </c>
      <c r="AA405">
        <v>3</v>
      </c>
      <c r="AB405">
        <f t="shared" si="162"/>
        <v>0</v>
      </c>
      <c r="AL405">
        <v>3</v>
      </c>
      <c r="AM405">
        <f t="shared" si="152"/>
        <v>0</v>
      </c>
      <c r="AW405">
        <v>3</v>
      </c>
      <c r="AX405">
        <f>SUM(AX$7:AX$28,AY$7:AY$28,AZ$7:AZ$28,BA$7:BA$28,BB$7:BB$28,BC$7:BC$28,BD$7:BD$28,BE$7:BE$28,BF$7:BF$28)*(AW405)</f>
        <v>0</v>
      </c>
      <c r="BH405">
        <v>6</v>
      </c>
      <c r="BI405">
        <f>SUM(BI$7:BI$28,BP$7:BP$28,BQ$7:BQ$28,BJ$7:BJ$28,BK$28:BK327,BL$7:BL$28,BM$7:BM$28,BN$7:BN$28)*(BH405)</f>
        <v>0</v>
      </c>
      <c r="BS405">
        <v>6</v>
      </c>
      <c r="BT405">
        <f>SUM(BT$7:BT$28,CA$7:CA$28,CB$7:CB$28,BU$7:BU$28,BV$28:BV327,BW$7:BW$28,BX$7:BX$28,BY$7:BY$28)*(BS405)</f>
        <v>0</v>
      </c>
      <c r="CE405">
        <f t="shared" si="165"/>
        <v>0</v>
      </c>
      <c r="CJ405">
        <f t="shared" si="147"/>
        <v>0</v>
      </c>
      <c r="CO405">
        <f t="shared" si="148"/>
        <v>0</v>
      </c>
      <c r="CT405">
        <f t="shared" si="154"/>
        <v>0</v>
      </c>
      <c r="CY405">
        <f t="shared" si="149"/>
        <v>0</v>
      </c>
      <c r="DC405">
        <v>3</v>
      </c>
      <c r="DD405">
        <f t="shared" si="150"/>
        <v>0</v>
      </c>
      <c r="DH405">
        <v>6</v>
      </c>
      <c r="DI405">
        <f t="shared" si="151"/>
        <v>0</v>
      </c>
      <c r="DM405">
        <v>6</v>
      </c>
      <c r="DN405">
        <f t="shared" si="175"/>
        <v>0</v>
      </c>
      <c r="DR405">
        <v>6</v>
      </c>
      <c r="DS405">
        <f t="shared" si="166"/>
        <v>0</v>
      </c>
      <c r="DW405">
        <v>6</v>
      </c>
      <c r="DX405">
        <f t="shared" si="167"/>
        <v>0</v>
      </c>
      <c r="EC405">
        <f t="shared" si="168"/>
        <v>0</v>
      </c>
      <c r="EH405">
        <f t="shared" si="169"/>
        <v>0</v>
      </c>
      <c r="EL405">
        <v>6</v>
      </c>
      <c r="EM405">
        <f t="shared" si="170"/>
        <v>0</v>
      </c>
      <c r="ER405">
        <f t="shared" si="171"/>
        <v>0</v>
      </c>
      <c r="EW405">
        <f t="shared" si="172"/>
        <v>0</v>
      </c>
      <c r="FB405">
        <f t="shared" ref="FB405:FB419" si="176">SUM(FB$7:FB$28,FC$7:FC$28,FD$7:FD$28)*(FA405)</f>
        <v>0</v>
      </c>
      <c r="FF405">
        <v>3</v>
      </c>
      <c r="FG405">
        <f t="shared" si="173"/>
        <v>0</v>
      </c>
      <c r="FL405">
        <v>3</v>
      </c>
      <c r="FM405">
        <f t="shared" si="163"/>
        <v>0</v>
      </c>
      <c r="FQ405" s="420">
        <f>'EXTRAS (2)'!D338</f>
        <v>0</v>
      </c>
      <c r="FR405" s="420">
        <f>'EXTRAS (2)'!E338</f>
        <v>0</v>
      </c>
      <c r="FU405" s="420">
        <f t="shared" si="174"/>
        <v>0</v>
      </c>
    </row>
    <row r="406" spans="1:177">
      <c r="A406">
        <v>216</v>
      </c>
      <c r="B406" s="399" t="s">
        <v>508</v>
      </c>
      <c r="C406" s="400" t="s">
        <v>0</v>
      </c>
      <c r="AB406">
        <f t="shared" si="162"/>
        <v>0</v>
      </c>
      <c r="AM406">
        <f t="shared" si="152"/>
        <v>0</v>
      </c>
      <c r="BI406">
        <f>SUM(BI$7:BI$28,BP$7:BP$28,BQ$7:BQ$28,BJ$7:BJ$28,BK$28:BK328,BL$7:BL$28,BM$7:BM$28,BN$7:BN$28)*(BH406)</f>
        <v>0</v>
      </c>
      <c r="BT406">
        <f>SUM(BT$7:BT$28,CA$7:CA$28,CB$7:CB$28,BU$7:BU$28,BV$28:BV328,BW$7:BW$28,BX$7:BX$28,BY$7:BY$28)*(BS406)</f>
        <v>0</v>
      </c>
      <c r="CE406">
        <f t="shared" si="165"/>
        <v>0</v>
      </c>
      <c r="CJ406">
        <f t="shared" si="147"/>
        <v>0</v>
      </c>
      <c r="CO406">
        <f t="shared" si="148"/>
        <v>0</v>
      </c>
      <c r="CT406">
        <f t="shared" si="154"/>
        <v>0</v>
      </c>
      <c r="CY406">
        <f t="shared" si="149"/>
        <v>0</v>
      </c>
      <c r="DD406">
        <f t="shared" si="150"/>
        <v>0</v>
      </c>
      <c r="DI406">
        <f t="shared" si="151"/>
        <v>0</v>
      </c>
      <c r="DN406">
        <f t="shared" si="175"/>
        <v>0</v>
      </c>
      <c r="DS406">
        <f t="shared" si="166"/>
        <v>0</v>
      </c>
      <c r="DX406">
        <f t="shared" si="167"/>
        <v>0</v>
      </c>
      <c r="EC406">
        <f t="shared" si="168"/>
        <v>0</v>
      </c>
      <c r="EH406">
        <f t="shared" si="169"/>
        <v>0</v>
      </c>
      <c r="EM406">
        <f t="shared" si="170"/>
        <v>0</v>
      </c>
      <c r="ER406">
        <f t="shared" si="171"/>
        <v>0</v>
      </c>
      <c r="EW406">
        <f t="shared" si="172"/>
        <v>0</v>
      </c>
      <c r="FB406">
        <f t="shared" si="176"/>
        <v>0</v>
      </c>
      <c r="FG406">
        <f t="shared" si="173"/>
        <v>0</v>
      </c>
      <c r="FM406">
        <f t="shared" si="163"/>
        <v>0</v>
      </c>
      <c r="FQ406" s="420">
        <f>'EXTRAS (2)'!D339</f>
        <v>0</v>
      </c>
      <c r="FR406" s="420">
        <f>'EXTRAS (2)'!E339</f>
        <v>0</v>
      </c>
      <c r="FU406" s="420">
        <f t="shared" si="174"/>
        <v>0</v>
      </c>
    </row>
    <row r="407" spans="1:177">
      <c r="A407">
        <v>217</v>
      </c>
      <c r="B407" s="399" t="s">
        <v>949</v>
      </c>
      <c r="C407" s="400" t="s">
        <v>0</v>
      </c>
      <c r="AB407">
        <f t="shared" si="162"/>
        <v>0</v>
      </c>
      <c r="AM407">
        <f t="shared" si="152"/>
        <v>0</v>
      </c>
      <c r="AX407">
        <f>SUM(AX$7:AX$28,AY$7:AY$28,AZ$7:AZ$28,BA$7:BA$28,BB$7:BB$28,BC$7:BC$28,BD$7:BD$28,BE$7:BE$28,BF$7:BF$28)*(AW407)</f>
        <v>0</v>
      </c>
      <c r="BH407">
        <v>1</v>
      </c>
      <c r="BI407">
        <f>SUM(BI$7:BI$28,BP$7:BP$28,BQ$7:BQ$28,BJ$7:BJ$28,BK$28:BK329,BL$7:BL$28,BM$7:BM$28,BN$7:BN$28)*(BH407)</f>
        <v>0</v>
      </c>
      <c r="BS407">
        <v>1</v>
      </c>
      <c r="BT407">
        <f>SUM(BT$7:BT$28,CA$7:CA$28,CB$7:CB$28,BU$7:BU$28,BV$28:BV329,BW$7:BW$28,BX$7:BX$28,BY$7:BY$28)*(BS407)</f>
        <v>0</v>
      </c>
      <c r="CE407">
        <f t="shared" si="165"/>
        <v>0</v>
      </c>
      <c r="CJ407">
        <f t="shared" si="147"/>
        <v>0</v>
      </c>
      <c r="CO407">
        <f t="shared" si="148"/>
        <v>0</v>
      </c>
      <c r="CT407">
        <f t="shared" si="154"/>
        <v>0</v>
      </c>
      <c r="CY407">
        <f t="shared" si="149"/>
        <v>0</v>
      </c>
      <c r="DD407">
        <f t="shared" si="150"/>
        <v>0</v>
      </c>
      <c r="DI407">
        <f t="shared" si="151"/>
        <v>0</v>
      </c>
      <c r="DN407">
        <f t="shared" si="175"/>
        <v>0</v>
      </c>
      <c r="DR407">
        <v>2</v>
      </c>
      <c r="DS407">
        <f t="shared" si="166"/>
        <v>0</v>
      </c>
      <c r="DW407">
        <v>2</v>
      </c>
      <c r="DX407">
        <f t="shared" si="167"/>
        <v>0</v>
      </c>
      <c r="EC407">
        <f t="shared" si="168"/>
        <v>0</v>
      </c>
      <c r="EH407">
        <f t="shared" si="169"/>
        <v>0</v>
      </c>
      <c r="EL407">
        <v>2</v>
      </c>
      <c r="EM407">
        <f t="shared" si="170"/>
        <v>0</v>
      </c>
      <c r="EQ407">
        <v>4</v>
      </c>
      <c r="ER407">
        <f t="shared" si="171"/>
        <v>0</v>
      </c>
      <c r="EV407">
        <v>2</v>
      </c>
      <c r="EW407">
        <f t="shared" si="172"/>
        <v>0</v>
      </c>
      <c r="FA407">
        <v>2</v>
      </c>
      <c r="FB407">
        <f t="shared" si="176"/>
        <v>0</v>
      </c>
      <c r="FF407">
        <v>2</v>
      </c>
      <c r="FG407">
        <f t="shared" si="173"/>
        <v>0</v>
      </c>
      <c r="FL407">
        <v>2</v>
      </c>
      <c r="FM407">
        <f t="shared" si="163"/>
        <v>0</v>
      </c>
      <c r="FQ407" s="420">
        <f>'EXTRAS (2)'!D340</f>
        <v>0</v>
      </c>
      <c r="FR407" s="420">
        <f>'EXTRAS (2)'!E340</f>
        <v>0</v>
      </c>
      <c r="FU407" s="420">
        <f t="shared" si="174"/>
        <v>0</v>
      </c>
    </row>
    <row r="408" spans="1:177">
      <c r="A408">
        <v>218</v>
      </c>
      <c r="B408" s="163" t="s">
        <v>950</v>
      </c>
      <c r="C408" s="400" t="s">
        <v>0</v>
      </c>
      <c r="AB408">
        <f t="shared" si="162"/>
        <v>0</v>
      </c>
      <c r="AM408">
        <f t="shared" si="152"/>
        <v>0</v>
      </c>
      <c r="BI408">
        <f>SUM(BI$7:BI$28,BP$7:BP$28,BQ$7:BQ$28,BJ$7:BJ$28,BK$28:BK330,BL$7:BL$28,BM$7:BM$28,BN$7:BN$28)*(BH408)</f>
        <v>0</v>
      </c>
      <c r="BT408">
        <f>SUM(BT$7:BT$28,CA$7:CA$28,CB$7:CB$28,BU$7:BU$28,BV$28:BV330,BW$7:BW$28,BX$7:BX$28,BY$7:BY$28)*(BS408)</f>
        <v>0</v>
      </c>
      <c r="CE408">
        <f t="shared" si="165"/>
        <v>0</v>
      </c>
      <c r="CJ408">
        <f t="shared" si="147"/>
        <v>0</v>
      </c>
      <c r="CO408">
        <f t="shared" si="148"/>
        <v>0</v>
      </c>
      <c r="CT408">
        <f t="shared" si="154"/>
        <v>0</v>
      </c>
      <c r="CY408">
        <f t="shared" si="149"/>
        <v>0</v>
      </c>
      <c r="DD408">
        <f t="shared" si="150"/>
        <v>0</v>
      </c>
      <c r="DI408">
        <f t="shared" si="151"/>
        <v>0</v>
      </c>
      <c r="DN408">
        <f t="shared" si="175"/>
        <v>0</v>
      </c>
      <c r="DS408">
        <f t="shared" si="166"/>
        <v>0</v>
      </c>
      <c r="DX408">
        <f t="shared" si="167"/>
        <v>0</v>
      </c>
      <c r="EC408">
        <f t="shared" si="168"/>
        <v>0</v>
      </c>
      <c r="EH408">
        <f t="shared" si="169"/>
        <v>0</v>
      </c>
      <c r="EM408">
        <f t="shared" si="170"/>
        <v>0</v>
      </c>
      <c r="ER408">
        <f t="shared" si="171"/>
        <v>0</v>
      </c>
      <c r="EW408">
        <f t="shared" si="172"/>
        <v>0</v>
      </c>
      <c r="FB408">
        <f t="shared" si="176"/>
        <v>0</v>
      </c>
      <c r="FG408">
        <f t="shared" si="173"/>
        <v>0</v>
      </c>
      <c r="FM408">
        <f t="shared" si="163"/>
        <v>0</v>
      </c>
      <c r="FQ408" s="420">
        <f>'EXTRAS (2)'!D341</f>
        <v>0</v>
      </c>
      <c r="FR408" s="420">
        <f>'EXTRAS (2)'!E341</f>
        <v>0</v>
      </c>
      <c r="FU408" s="420">
        <f t="shared" si="174"/>
        <v>0</v>
      </c>
    </row>
    <row r="409" spans="1:177">
      <c r="A409">
        <v>219</v>
      </c>
      <c r="B409" s="399" t="s">
        <v>20</v>
      </c>
      <c r="C409" s="400" t="s">
        <v>0</v>
      </c>
      <c r="E409">
        <v>2</v>
      </c>
      <c r="F409">
        <f>SUM(F$7:F$28,M$7:M$28,N$7:N$28,G$7:G$28,H$7:H$28,I$7:I$28,J$7:J$28,K$7:K$28,L$7:L$28)*(E409)</f>
        <v>0</v>
      </c>
      <c r="P409">
        <v>2</v>
      </c>
      <c r="Q409">
        <f>SUM(Q$7:Q$28,X$7:X$28,Y$7:Y$28,R$7:R$28,S$7:S$28,T$7:T$28,U$7:U$28,V$7:V$28,W$7:W$28)*(P409)</f>
        <v>0</v>
      </c>
      <c r="AA409">
        <v>4</v>
      </c>
      <c r="AB409">
        <f t="shared" si="162"/>
        <v>0</v>
      </c>
      <c r="AL409">
        <v>4</v>
      </c>
      <c r="AM409">
        <f t="shared" si="152"/>
        <v>0</v>
      </c>
      <c r="AW409">
        <v>4</v>
      </c>
      <c r="AX409">
        <f>SUM(AX$7:AX$28,AY$7:AY$28,AZ$7:AZ$28,BA$7:BA$28,BB$7:BB$28,BC$7:BC$28,BD$7:BD$28,BE$7:BE$28,BF$7:BF$28)*(AW409)</f>
        <v>0</v>
      </c>
      <c r="BH409">
        <v>4</v>
      </c>
      <c r="BI409">
        <f>SUM(BI$7:BI$28,BP$7:BP$28,BQ$7:BQ$28,BJ$7:BJ$28,BK$28:BK331,BL$7:BL$28,BM$7:BM$28,BN$7:BN$28)*(BH409)</f>
        <v>0</v>
      </c>
      <c r="BS409">
        <v>4</v>
      </c>
      <c r="BT409">
        <f>SUM(BT$7:BT$28,CA$7:CA$28,CB$7:CB$28,BU$7:BU$28,BV$28:BV331,BW$7:BW$28,BX$7:BX$28,BY$7:BY$28)*(BS409)</f>
        <v>0</v>
      </c>
      <c r="CE409">
        <f t="shared" si="165"/>
        <v>0</v>
      </c>
      <c r="CJ409">
        <f t="shared" si="147"/>
        <v>0</v>
      </c>
      <c r="CO409">
        <f t="shared" si="148"/>
        <v>0</v>
      </c>
      <c r="CS409">
        <v>1</v>
      </c>
      <c r="CT409">
        <f t="shared" si="154"/>
        <v>0</v>
      </c>
      <c r="CX409">
        <v>1</v>
      </c>
      <c r="CY409">
        <f t="shared" si="149"/>
        <v>0</v>
      </c>
      <c r="DC409">
        <v>4</v>
      </c>
      <c r="DD409">
        <f t="shared" si="150"/>
        <v>0</v>
      </c>
      <c r="DH409">
        <v>8</v>
      </c>
      <c r="DI409">
        <f t="shared" si="151"/>
        <v>0</v>
      </c>
      <c r="DM409">
        <v>8</v>
      </c>
      <c r="DN409">
        <f t="shared" si="175"/>
        <v>0</v>
      </c>
      <c r="DS409">
        <f t="shared" si="166"/>
        <v>0</v>
      </c>
      <c r="DW409">
        <v>1</v>
      </c>
      <c r="DX409">
        <f t="shared" si="167"/>
        <v>0</v>
      </c>
      <c r="EC409">
        <f t="shared" si="168"/>
        <v>0</v>
      </c>
      <c r="EH409">
        <f t="shared" si="169"/>
        <v>0</v>
      </c>
      <c r="EL409">
        <v>8</v>
      </c>
      <c r="EM409">
        <f t="shared" si="170"/>
        <v>0</v>
      </c>
      <c r="EQ409">
        <v>8</v>
      </c>
      <c r="ER409">
        <f t="shared" si="171"/>
        <v>0</v>
      </c>
      <c r="EW409">
        <f t="shared" si="172"/>
        <v>0</v>
      </c>
      <c r="FB409">
        <f t="shared" si="176"/>
        <v>0</v>
      </c>
      <c r="FF409">
        <v>4</v>
      </c>
      <c r="FG409">
        <f t="shared" si="173"/>
        <v>0</v>
      </c>
      <c r="FL409">
        <v>4</v>
      </c>
      <c r="FM409">
        <f t="shared" si="163"/>
        <v>0</v>
      </c>
      <c r="FQ409" s="420">
        <f>'EXTRAS (2)'!D342</f>
        <v>0</v>
      </c>
      <c r="FR409" s="420">
        <f>'EXTRAS (2)'!E342</f>
        <v>0</v>
      </c>
      <c r="FU409" s="420">
        <f t="shared" si="174"/>
        <v>0</v>
      </c>
    </row>
    <row r="410" spans="1:177">
      <c r="A410">
        <v>220</v>
      </c>
      <c r="B410" s="163" t="s">
        <v>1721</v>
      </c>
      <c r="C410" s="403" t="s">
        <v>574</v>
      </c>
      <c r="AB410">
        <f t="shared" si="162"/>
        <v>0</v>
      </c>
      <c r="AM410">
        <f t="shared" si="152"/>
        <v>0</v>
      </c>
      <c r="BI410">
        <f>SUM(BI$7:BI$28,BP$7:BP$28,BQ$7:BQ$28,BJ$7:BJ$28,BK$28:BK332,BL$7:BL$28,BM$7:BM$28,BN$7:BN$28)*(BH410)</f>
        <v>0</v>
      </c>
      <c r="BT410">
        <f>SUM(BT$7:BT$28,CA$7:CA$28,CB$7:CB$28,BU$7:BU$28,BV$28:BV332,BW$7:BW$28,BX$7:BX$28,BY$7:BY$28)*(BS410)</f>
        <v>0</v>
      </c>
      <c r="CE410">
        <f t="shared" si="165"/>
        <v>0</v>
      </c>
      <c r="CJ410">
        <f t="shared" si="147"/>
        <v>0</v>
      </c>
      <c r="CO410">
        <f t="shared" si="148"/>
        <v>0</v>
      </c>
      <c r="CT410">
        <f t="shared" si="154"/>
        <v>0</v>
      </c>
      <c r="CY410">
        <f t="shared" si="149"/>
        <v>0</v>
      </c>
      <c r="DD410">
        <f t="shared" si="150"/>
        <v>0</v>
      </c>
      <c r="DI410">
        <f t="shared" si="151"/>
        <v>0</v>
      </c>
      <c r="DN410">
        <f t="shared" si="175"/>
        <v>0</v>
      </c>
      <c r="DS410">
        <f t="shared" si="166"/>
        <v>0</v>
      </c>
      <c r="DX410">
        <f t="shared" si="167"/>
        <v>0</v>
      </c>
      <c r="EC410">
        <f t="shared" si="168"/>
        <v>0</v>
      </c>
      <c r="EH410">
        <f t="shared" si="169"/>
        <v>0</v>
      </c>
      <c r="EM410">
        <f t="shared" si="170"/>
        <v>0</v>
      </c>
      <c r="ER410">
        <f t="shared" si="171"/>
        <v>0</v>
      </c>
      <c r="EW410">
        <f t="shared" si="172"/>
        <v>0</v>
      </c>
      <c r="FB410">
        <f t="shared" si="176"/>
        <v>0</v>
      </c>
      <c r="FG410">
        <f t="shared" si="173"/>
        <v>0</v>
      </c>
      <c r="FM410">
        <f t="shared" si="163"/>
        <v>0</v>
      </c>
      <c r="FQ410" s="420">
        <f>'EXTRAS (2)'!D343</f>
        <v>0</v>
      </c>
      <c r="FR410" s="420">
        <f>'EXTRAS (2)'!E343</f>
        <v>0</v>
      </c>
      <c r="FU410" s="420">
        <f t="shared" si="174"/>
        <v>0</v>
      </c>
    </row>
    <row r="411" spans="1:177">
      <c r="A411">
        <v>221</v>
      </c>
      <c r="B411" s="163" t="s">
        <v>22</v>
      </c>
      <c r="C411" s="403" t="s">
        <v>574</v>
      </c>
      <c r="AB411">
        <f t="shared" si="162"/>
        <v>0</v>
      </c>
      <c r="AM411">
        <f t="shared" si="152"/>
        <v>0</v>
      </c>
      <c r="BI411">
        <f>SUM(BI$7:BI$28,BP$7:BP$28,BQ$7:BQ$28,BJ$7:BJ$28,BK$28:BK333,BL$7:BL$28,BM$7:BM$28,BN$7:BN$28)*(BH411)</f>
        <v>0</v>
      </c>
      <c r="BT411">
        <f>SUM(BT$7:BT$28,CA$7:CA$28,CB$7:CB$28,BU$7:BU$28,BV$28:BV333,BW$7:BW$28,BX$7:BX$28,BY$7:BY$28)*(BS411)</f>
        <v>0</v>
      </c>
      <c r="CE411">
        <f t="shared" si="165"/>
        <v>0</v>
      </c>
      <c r="CJ411">
        <f t="shared" si="147"/>
        <v>0</v>
      </c>
      <c r="CO411">
        <f t="shared" si="148"/>
        <v>0</v>
      </c>
      <c r="CT411">
        <f t="shared" si="154"/>
        <v>0</v>
      </c>
      <c r="CY411">
        <f t="shared" si="149"/>
        <v>0</v>
      </c>
      <c r="DD411">
        <f t="shared" si="150"/>
        <v>0</v>
      </c>
      <c r="DI411">
        <f t="shared" si="151"/>
        <v>0</v>
      </c>
      <c r="DN411">
        <f t="shared" si="175"/>
        <v>0</v>
      </c>
      <c r="DS411">
        <f t="shared" si="166"/>
        <v>0</v>
      </c>
      <c r="DX411">
        <f t="shared" si="167"/>
        <v>0</v>
      </c>
      <c r="EC411">
        <f t="shared" si="168"/>
        <v>0</v>
      </c>
      <c r="EH411">
        <f t="shared" si="169"/>
        <v>0</v>
      </c>
      <c r="EM411">
        <f t="shared" si="170"/>
        <v>0</v>
      </c>
      <c r="ER411">
        <f t="shared" si="171"/>
        <v>0</v>
      </c>
      <c r="EW411">
        <f t="shared" si="172"/>
        <v>0</v>
      </c>
      <c r="FB411">
        <f t="shared" si="176"/>
        <v>0</v>
      </c>
      <c r="FG411">
        <f t="shared" si="173"/>
        <v>0</v>
      </c>
      <c r="FM411">
        <f t="shared" si="163"/>
        <v>0</v>
      </c>
      <c r="FQ411" s="420">
        <f>'EXTRAS (2)'!D344</f>
        <v>0</v>
      </c>
      <c r="FR411" s="420">
        <f>'EXTRAS (2)'!E344</f>
        <v>0</v>
      </c>
      <c r="FU411" s="420">
        <f t="shared" si="174"/>
        <v>0</v>
      </c>
    </row>
    <row r="412" spans="1:177">
      <c r="A412">
        <v>222</v>
      </c>
      <c r="B412" s="163" t="s">
        <v>23</v>
      </c>
      <c r="C412" s="403" t="s">
        <v>574</v>
      </c>
      <c r="AB412">
        <f t="shared" si="162"/>
        <v>0</v>
      </c>
      <c r="AM412">
        <f t="shared" si="152"/>
        <v>0</v>
      </c>
      <c r="BI412">
        <f>SUM(BI$7:BI$28,BP$7:BP$28,BQ$7:BQ$28,BJ$7:BJ$28,BK$28:BK334,BL$7:BL$28,BM$7:BM$28,BN$7:BN$28)*(BH412)</f>
        <v>0</v>
      </c>
      <c r="BT412">
        <f>SUM(BT$7:BT$28,CA$7:CA$28,CB$7:CB$28,BU$7:BU$28,BV$28:BV334,BW$7:BW$28,BX$7:BX$28,BY$7:BY$28)*(BS412)</f>
        <v>0</v>
      </c>
      <c r="CE412">
        <f t="shared" si="165"/>
        <v>0</v>
      </c>
      <c r="CJ412">
        <f t="shared" si="147"/>
        <v>0</v>
      </c>
      <c r="CO412">
        <f t="shared" si="148"/>
        <v>0</v>
      </c>
      <c r="CT412">
        <f t="shared" si="154"/>
        <v>0</v>
      </c>
      <c r="CY412">
        <f t="shared" si="149"/>
        <v>0</v>
      </c>
      <c r="DD412">
        <f t="shared" si="150"/>
        <v>0</v>
      </c>
      <c r="DI412">
        <f t="shared" si="151"/>
        <v>0</v>
      </c>
      <c r="DN412">
        <f t="shared" si="175"/>
        <v>0</v>
      </c>
      <c r="DS412">
        <f t="shared" si="166"/>
        <v>0</v>
      </c>
      <c r="DX412">
        <f t="shared" si="167"/>
        <v>0</v>
      </c>
      <c r="EC412">
        <f t="shared" si="168"/>
        <v>0</v>
      </c>
      <c r="EH412">
        <f t="shared" si="169"/>
        <v>0</v>
      </c>
      <c r="EM412">
        <f t="shared" si="170"/>
        <v>0</v>
      </c>
      <c r="ER412">
        <f t="shared" si="171"/>
        <v>0</v>
      </c>
      <c r="EW412">
        <f t="shared" si="172"/>
        <v>0</v>
      </c>
      <c r="FB412">
        <f t="shared" si="176"/>
        <v>0</v>
      </c>
      <c r="FG412">
        <f t="shared" si="173"/>
        <v>0</v>
      </c>
      <c r="FM412">
        <f t="shared" si="163"/>
        <v>0</v>
      </c>
      <c r="FQ412" s="420">
        <f>'EXTRAS (2)'!D345</f>
        <v>0</v>
      </c>
      <c r="FR412" s="420">
        <f>'EXTRAS (2)'!E345</f>
        <v>0</v>
      </c>
      <c r="FU412" s="420">
        <f t="shared" si="174"/>
        <v>0</v>
      </c>
    </row>
    <row r="413" spans="1:177">
      <c r="A413">
        <v>223</v>
      </c>
      <c r="B413" s="163" t="s">
        <v>951</v>
      </c>
      <c r="C413" s="403"/>
      <c r="AB413">
        <f t="shared" si="162"/>
        <v>0</v>
      </c>
      <c r="AM413">
        <f t="shared" si="152"/>
        <v>0</v>
      </c>
      <c r="BI413">
        <f>SUM(BI$7:BI$28,BP$7:BP$28,BQ$7:BQ$28,BJ$7:BJ$28,BK$28:BK335,BL$7:BL$28,BM$7:BM$28,BN$7:BN$28)*(BH413)</f>
        <v>0</v>
      </c>
      <c r="BT413">
        <f>SUM(BT$7:BT$28,CA$7:CA$28,CB$7:CB$28,BU$7:BU$28,BV$28:BV335,BW$7:BW$28,BX$7:BX$28,BY$7:BY$28)*(BS413)</f>
        <v>0</v>
      </c>
      <c r="CE413">
        <f t="shared" si="165"/>
        <v>0</v>
      </c>
      <c r="CJ413">
        <f t="shared" si="147"/>
        <v>0</v>
      </c>
      <c r="CO413">
        <f t="shared" si="148"/>
        <v>0</v>
      </c>
      <c r="CT413">
        <f t="shared" si="154"/>
        <v>0</v>
      </c>
      <c r="CY413">
        <f t="shared" si="149"/>
        <v>0</v>
      </c>
      <c r="DD413">
        <f t="shared" si="150"/>
        <v>0</v>
      </c>
      <c r="DI413">
        <f t="shared" si="151"/>
        <v>0</v>
      </c>
      <c r="DN413">
        <f t="shared" si="175"/>
        <v>0</v>
      </c>
      <c r="DS413">
        <f t="shared" si="166"/>
        <v>0</v>
      </c>
      <c r="DX413">
        <f t="shared" si="167"/>
        <v>0</v>
      </c>
      <c r="EC413">
        <f t="shared" si="168"/>
        <v>0</v>
      </c>
      <c r="EH413">
        <f t="shared" si="169"/>
        <v>0</v>
      </c>
      <c r="EM413">
        <f t="shared" si="170"/>
        <v>0</v>
      </c>
      <c r="ER413">
        <f t="shared" si="171"/>
        <v>0</v>
      </c>
      <c r="EW413">
        <f t="shared" si="172"/>
        <v>0</v>
      </c>
      <c r="FB413">
        <f t="shared" si="176"/>
        <v>0</v>
      </c>
      <c r="FG413">
        <f t="shared" si="173"/>
        <v>0</v>
      </c>
      <c r="FM413">
        <f t="shared" si="163"/>
        <v>0</v>
      </c>
      <c r="FQ413" s="420">
        <f>'EXTRAS (2)'!D346</f>
        <v>0</v>
      </c>
      <c r="FR413" s="420">
        <f>'EXTRAS (2)'!E346</f>
        <v>0</v>
      </c>
      <c r="FU413" s="420">
        <f t="shared" si="174"/>
        <v>0</v>
      </c>
    </row>
    <row r="414" spans="1:177">
      <c r="A414">
        <v>224</v>
      </c>
      <c r="B414" s="210" t="s">
        <v>1204</v>
      </c>
      <c r="C414" s="473" t="s">
        <v>515</v>
      </c>
      <c r="F414" s="333">
        <f>Transformadores!X9</f>
        <v>0</v>
      </c>
      <c r="AB414">
        <f t="shared" si="162"/>
        <v>0</v>
      </c>
      <c r="AM414">
        <f t="shared" si="152"/>
        <v>0</v>
      </c>
      <c r="BI414">
        <f>SUM(BI$7:BI$28,BP$7:BP$28,BQ$7:BQ$28,BJ$7:BJ$28,BK$28:BK336,BL$7:BL$28,BM$7:BM$28,BN$7:BN$28)*(BH414)</f>
        <v>0</v>
      </c>
      <c r="BT414">
        <f>SUM(BT$7:BT$28,CA$7:CA$28,CB$7:CB$28,BU$7:BU$28,BV$28:BV336,BW$7:BW$28,BX$7:BX$28,BY$7:BY$28)*(BS414)</f>
        <v>0</v>
      </c>
      <c r="CE414">
        <f t="shared" si="165"/>
        <v>0</v>
      </c>
      <c r="CJ414">
        <f t="shared" si="147"/>
        <v>0</v>
      </c>
      <c r="CO414">
        <f t="shared" si="148"/>
        <v>0</v>
      </c>
      <c r="CT414">
        <f t="shared" si="154"/>
        <v>0</v>
      </c>
      <c r="CY414">
        <f t="shared" si="149"/>
        <v>0</v>
      </c>
      <c r="DD414">
        <f t="shared" si="150"/>
        <v>0</v>
      </c>
      <c r="DI414">
        <f t="shared" si="151"/>
        <v>0</v>
      </c>
      <c r="DN414">
        <f t="shared" si="175"/>
        <v>0</v>
      </c>
      <c r="DS414">
        <f t="shared" si="166"/>
        <v>0</v>
      </c>
      <c r="DX414">
        <f t="shared" si="167"/>
        <v>0</v>
      </c>
      <c r="EC414">
        <f t="shared" si="168"/>
        <v>0</v>
      </c>
      <c r="EH414">
        <f t="shared" si="169"/>
        <v>0</v>
      </c>
      <c r="EM414">
        <f t="shared" si="170"/>
        <v>0</v>
      </c>
      <c r="ER414">
        <f t="shared" si="171"/>
        <v>0</v>
      </c>
      <c r="EW414">
        <f t="shared" si="172"/>
        <v>0</v>
      </c>
      <c r="FB414">
        <f t="shared" si="176"/>
        <v>0</v>
      </c>
      <c r="FG414">
        <f t="shared" si="173"/>
        <v>0</v>
      </c>
      <c r="FM414">
        <f t="shared" si="163"/>
        <v>0</v>
      </c>
      <c r="FQ414" s="420">
        <f>'EXTRAS (2)'!D347</f>
        <v>0</v>
      </c>
      <c r="FR414" s="420">
        <f>'EXTRAS (2)'!E347</f>
        <v>0</v>
      </c>
      <c r="FU414" s="420">
        <f t="shared" si="174"/>
        <v>0</v>
      </c>
    </row>
    <row r="415" spans="1:177">
      <c r="B415" s="210" t="s">
        <v>1205</v>
      </c>
      <c r="C415" s="473" t="s">
        <v>515</v>
      </c>
      <c r="F415" s="333">
        <f>Transformadores!X12</f>
        <v>0</v>
      </c>
      <c r="AB415">
        <f t="shared" si="162"/>
        <v>0</v>
      </c>
      <c r="AM415">
        <f t="shared" si="152"/>
        <v>0</v>
      </c>
      <c r="BI415">
        <f>SUM(BI$7:BI$28,BP$7:BP$28,BQ$7:BQ$28,BJ$7:BJ$28,BK$28:BK337,BL$7:BL$28,BM$7:BM$28,BN$7:BN$28)*(BH415)</f>
        <v>0</v>
      </c>
      <c r="BT415">
        <f>SUM(BT$7:BT$28,CA$7:CA$28,CB$7:CB$28,BU$7:BU$28,BV$28:BV337,BW$7:BW$28,BX$7:BX$28,BY$7:BY$28)*(BS415)</f>
        <v>0</v>
      </c>
      <c r="CE415">
        <f t="shared" si="165"/>
        <v>0</v>
      </c>
      <c r="CJ415">
        <f t="shared" si="147"/>
        <v>0</v>
      </c>
      <c r="CO415">
        <f t="shared" si="148"/>
        <v>0</v>
      </c>
      <c r="CT415">
        <f t="shared" si="154"/>
        <v>0</v>
      </c>
      <c r="CY415">
        <f t="shared" si="149"/>
        <v>0</v>
      </c>
      <c r="DD415">
        <f t="shared" si="150"/>
        <v>0</v>
      </c>
      <c r="DI415">
        <f t="shared" si="151"/>
        <v>0</v>
      </c>
      <c r="DN415">
        <f t="shared" si="175"/>
        <v>0</v>
      </c>
      <c r="DS415">
        <f t="shared" si="166"/>
        <v>0</v>
      </c>
      <c r="DX415">
        <f t="shared" si="167"/>
        <v>0</v>
      </c>
      <c r="EC415">
        <f t="shared" si="168"/>
        <v>0</v>
      </c>
      <c r="EH415">
        <f t="shared" si="169"/>
        <v>0</v>
      </c>
      <c r="EM415">
        <f t="shared" si="170"/>
        <v>0</v>
      </c>
      <c r="ER415">
        <f t="shared" si="171"/>
        <v>0</v>
      </c>
      <c r="EW415">
        <f t="shared" si="172"/>
        <v>0</v>
      </c>
      <c r="FB415">
        <f t="shared" si="176"/>
        <v>0</v>
      </c>
      <c r="FG415">
        <f>SUM(FG$7:FG$28,FH$7:FH$28,FI$7:FI$28)*(FF415)</f>
        <v>0</v>
      </c>
      <c r="FM415">
        <f>SUM(FM$7:FM$28,FN$7:FN$28,FO$7:FO$28)*(FL415)</f>
        <v>0</v>
      </c>
      <c r="FQ415" s="420">
        <f>'EXTRAS (2)'!D348</f>
        <v>0</v>
      </c>
      <c r="FR415" s="420">
        <f>'EXTRAS (2)'!E348</f>
        <v>0</v>
      </c>
      <c r="FU415" s="420">
        <f t="shared" si="174"/>
        <v>0</v>
      </c>
    </row>
    <row r="416" spans="1:177">
      <c r="B416" s="210" t="s">
        <v>1206</v>
      </c>
      <c r="C416" s="473" t="s">
        <v>515</v>
      </c>
      <c r="F416" s="333">
        <f>Transformadores!Y9</f>
        <v>0</v>
      </c>
      <c r="AB416">
        <f t="shared" si="162"/>
        <v>0</v>
      </c>
      <c r="AM416">
        <f t="shared" si="152"/>
        <v>0</v>
      </c>
      <c r="BI416">
        <f>SUM(BI$7:BI$28,BP$7:BP$28,BQ$7:BQ$28,BJ$7:BJ$28,BK$28:BK338,BL$7:BL$28,BM$7:BM$28,BN$7:BN$28)*(BH416)</f>
        <v>0</v>
      </c>
      <c r="BT416">
        <f>SUM(BT$7:BT$28,CA$7:CA$28,CB$7:CB$28,BU$7:BU$28,BV$28:BV338,BW$7:BW$28,BX$7:BX$28,BY$7:BY$28)*(BS416)</f>
        <v>0</v>
      </c>
      <c r="CE416">
        <f t="shared" si="165"/>
        <v>0</v>
      </c>
      <c r="CJ416">
        <f t="shared" si="147"/>
        <v>0</v>
      </c>
      <c r="CO416">
        <f t="shared" si="148"/>
        <v>0</v>
      </c>
      <c r="CT416">
        <f t="shared" si="154"/>
        <v>0</v>
      </c>
      <c r="CY416">
        <f t="shared" si="149"/>
        <v>0</v>
      </c>
      <c r="DD416">
        <f t="shared" si="150"/>
        <v>0</v>
      </c>
      <c r="DI416">
        <f t="shared" si="151"/>
        <v>0</v>
      </c>
      <c r="DN416">
        <f t="shared" si="175"/>
        <v>0</v>
      </c>
      <c r="DS416">
        <f t="shared" si="166"/>
        <v>0</v>
      </c>
      <c r="DX416">
        <f t="shared" si="167"/>
        <v>0</v>
      </c>
      <c r="EC416">
        <f t="shared" si="168"/>
        <v>0</v>
      </c>
      <c r="EH416">
        <f t="shared" si="169"/>
        <v>0</v>
      </c>
      <c r="EM416">
        <f t="shared" si="170"/>
        <v>0</v>
      </c>
      <c r="ER416">
        <f t="shared" si="171"/>
        <v>0</v>
      </c>
      <c r="EW416">
        <f t="shared" si="172"/>
        <v>0</v>
      </c>
      <c r="FB416">
        <f t="shared" si="176"/>
        <v>0</v>
      </c>
      <c r="FG416">
        <f>SUM(FG$7:FG$28,FH$7:FH$28,FI$7:FI$28)*(FF416)</f>
        <v>0</v>
      </c>
      <c r="FM416">
        <f>SUM(FM$7:FM$28,FN$7:FN$28,FO$7:FO$28)*(FL416)</f>
        <v>0</v>
      </c>
      <c r="FQ416" s="420">
        <f>'EXTRAS (2)'!D349</f>
        <v>0</v>
      </c>
      <c r="FR416" s="420">
        <f>'EXTRAS (2)'!E349</f>
        <v>0</v>
      </c>
      <c r="FU416" s="420">
        <f t="shared" si="174"/>
        <v>0</v>
      </c>
    </row>
    <row r="417" spans="1:177">
      <c r="B417" s="210" t="s">
        <v>1207</v>
      </c>
      <c r="C417" s="473" t="s">
        <v>515</v>
      </c>
      <c r="F417" s="333">
        <f>Transformadores!Y12</f>
        <v>0</v>
      </c>
      <c r="AB417">
        <f t="shared" si="162"/>
        <v>0</v>
      </c>
      <c r="AM417">
        <f t="shared" si="152"/>
        <v>0</v>
      </c>
      <c r="BI417">
        <f>SUM(BI$7:BI$28,BP$7:BP$28,BQ$7:BQ$28,BJ$7:BJ$28,BK$28:BK339,BL$7:BL$28,BM$7:BM$28,BN$7:BN$28)*(BH417)</f>
        <v>0</v>
      </c>
      <c r="BT417">
        <f>SUM(BT$7:BT$28,CA$7:CA$28,CB$7:CB$28,BU$7:BU$28,BV$28:BV339,BW$7:BW$28,BX$7:BX$28,BY$7:BY$28)*(BS417)</f>
        <v>0</v>
      </c>
      <c r="CE417">
        <f t="shared" si="165"/>
        <v>0</v>
      </c>
      <c r="CJ417">
        <f t="shared" si="147"/>
        <v>0</v>
      </c>
      <c r="CO417">
        <f t="shared" si="148"/>
        <v>0</v>
      </c>
      <c r="CT417">
        <f t="shared" si="154"/>
        <v>0</v>
      </c>
      <c r="CY417">
        <f t="shared" si="149"/>
        <v>0</v>
      </c>
      <c r="DD417">
        <f t="shared" si="150"/>
        <v>0</v>
      </c>
      <c r="DI417">
        <f t="shared" si="151"/>
        <v>0</v>
      </c>
      <c r="DN417">
        <f t="shared" si="175"/>
        <v>0</v>
      </c>
      <c r="DS417">
        <f t="shared" si="166"/>
        <v>0</v>
      </c>
      <c r="DX417">
        <f t="shared" si="167"/>
        <v>0</v>
      </c>
      <c r="EC417">
        <f t="shared" si="168"/>
        <v>0</v>
      </c>
      <c r="EH417">
        <f t="shared" si="169"/>
        <v>0</v>
      </c>
      <c r="EM417">
        <f t="shared" si="170"/>
        <v>0</v>
      </c>
      <c r="ER417">
        <f t="shared" si="171"/>
        <v>0</v>
      </c>
      <c r="EW417">
        <f t="shared" si="172"/>
        <v>0</v>
      </c>
      <c r="FB417">
        <f t="shared" si="176"/>
        <v>0</v>
      </c>
      <c r="FG417">
        <f>SUM(FG$7:FG$28,FH$7:FH$28,FI$7:FI$28)*(FF417)</f>
        <v>0</v>
      </c>
      <c r="FM417">
        <f>SUM(FM$7:FM$28,FN$7:FN$28,FO$7:FO$28)*(FL417)</f>
        <v>0</v>
      </c>
      <c r="FQ417" s="420">
        <f>'EXTRAS (2)'!D350</f>
        <v>0</v>
      </c>
      <c r="FR417" s="420">
        <f>'EXTRAS (2)'!E350</f>
        <v>0</v>
      </c>
      <c r="FU417" s="420">
        <f t="shared" si="174"/>
        <v>0</v>
      </c>
    </row>
    <row r="418" spans="1:177">
      <c r="B418" s="210" t="s">
        <v>1543</v>
      </c>
      <c r="C418" s="473" t="s">
        <v>515</v>
      </c>
      <c r="F418" s="333">
        <f>Transformadores!Y15</f>
        <v>0</v>
      </c>
      <c r="AB418">
        <f t="shared" si="162"/>
        <v>0</v>
      </c>
      <c r="AM418">
        <f t="shared" si="152"/>
        <v>0</v>
      </c>
      <c r="BI418">
        <f>SUM(BI$7:BI$28,BP$7:BP$28,BQ$7:BQ$28,BJ$7:BJ$28,BK$28:BK340,BL$7:BL$28,BM$7:BM$28,BN$7:BN$28)*(BH418)</f>
        <v>0</v>
      </c>
      <c r="BT418">
        <f>SUM(BT$7:BT$28,CA$7:CA$28,CB$7:CB$28,BU$7:BU$28,BV$28:BV340,BW$7:BW$28,BX$7:BX$28,BY$7:BY$28)*(BS418)</f>
        <v>0</v>
      </c>
      <c r="CE418">
        <f t="shared" si="165"/>
        <v>0</v>
      </c>
      <c r="CJ418">
        <f t="shared" si="147"/>
        <v>0</v>
      </c>
      <c r="CO418">
        <f t="shared" si="148"/>
        <v>0</v>
      </c>
      <c r="CT418">
        <f t="shared" si="154"/>
        <v>0</v>
      </c>
      <c r="CY418">
        <f t="shared" si="149"/>
        <v>0</v>
      </c>
      <c r="DD418">
        <f t="shared" si="150"/>
        <v>0</v>
      </c>
      <c r="DI418">
        <f t="shared" si="151"/>
        <v>0</v>
      </c>
      <c r="DN418">
        <f t="shared" si="175"/>
        <v>0</v>
      </c>
      <c r="DS418">
        <f t="shared" si="166"/>
        <v>0</v>
      </c>
      <c r="DX418">
        <f t="shared" si="167"/>
        <v>0</v>
      </c>
      <c r="EC418">
        <f t="shared" si="168"/>
        <v>0</v>
      </c>
      <c r="EH418">
        <f t="shared" si="169"/>
        <v>0</v>
      </c>
      <c r="EM418">
        <f t="shared" si="170"/>
        <v>0</v>
      </c>
      <c r="ER418">
        <f t="shared" si="171"/>
        <v>0</v>
      </c>
      <c r="EW418">
        <f t="shared" si="172"/>
        <v>0</v>
      </c>
      <c r="FB418">
        <f t="shared" si="176"/>
        <v>0</v>
      </c>
      <c r="FG418">
        <f>SUM(FG$7:FG$28,FH$7:FH$28,FI$7:FI$28)*(FF418)</f>
        <v>0</v>
      </c>
      <c r="FM418">
        <f>SUM(FM$7:FM$28,FN$7:FN$28,FO$7:FO$28)*(FL418)</f>
        <v>0</v>
      </c>
      <c r="FQ418" s="420">
        <f>'EXTRAS (2)'!D351</f>
        <v>0</v>
      </c>
      <c r="FR418" s="420">
        <f>'EXTRAS (2)'!E351</f>
        <v>0</v>
      </c>
      <c r="FU418" s="420">
        <f t="shared" si="174"/>
        <v>0</v>
      </c>
    </row>
    <row r="419" spans="1:177">
      <c r="B419" s="210" t="s">
        <v>1542</v>
      </c>
      <c r="C419" s="473" t="s">
        <v>515</v>
      </c>
      <c r="F419" s="333">
        <f>Transformadores!X15</f>
        <v>0</v>
      </c>
      <c r="AB419">
        <f t="shared" si="162"/>
        <v>0</v>
      </c>
      <c r="AM419">
        <f t="shared" si="152"/>
        <v>0</v>
      </c>
      <c r="BI419">
        <f>SUM(BI$7:BI$28,BP$7:BP$28,BQ$7:BQ$28,BJ$7:BJ$28,BK$28:BK341,BL$7:BL$28,BM$7:BM$28,BN$7:BN$28)*(BH419)</f>
        <v>0</v>
      </c>
      <c r="BT419">
        <f>SUM(BT$7:BT$28,CA$7:CA$28,CB$7:CB$28,BU$7:BU$28,BV$28:BV341,BW$7:BW$28,BX$7:BX$28,BY$7:BY$28)*(BS419)</f>
        <v>0</v>
      </c>
      <c r="CE419">
        <f t="shared" si="165"/>
        <v>0</v>
      </c>
      <c r="CJ419">
        <f t="shared" si="147"/>
        <v>0</v>
      </c>
      <c r="CO419">
        <f t="shared" si="148"/>
        <v>0</v>
      </c>
      <c r="CT419">
        <f t="shared" si="154"/>
        <v>0</v>
      </c>
      <c r="CY419">
        <f t="shared" si="149"/>
        <v>0</v>
      </c>
      <c r="DD419">
        <f t="shared" si="150"/>
        <v>0</v>
      </c>
      <c r="DI419">
        <f t="shared" si="151"/>
        <v>0</v>
      </c>
      <c r="DN419">
        <f t="shared" si="175"/>
        <v>0</v>
      </c>
      <c r="DS419">
        <f t="shared" si="166"/>
        <v>0</v>
      </c>
      <c r="DX419">
        <f t="shared" si="167"/>
        <v>0</v>
      </c>
      <c r="EC419">
        <f t="shared" si="168"/>
        <v>0</v>
      </c>
      <c r="EH419">
        <f t="shared" si="169"/>
        <v>0</v>
      </c>
      <c r="EM419">
        <f t="shared" si="170"/>
        <v>0</v>
      </c>
      <c r="ER419">
        <f t="shared" si="171"/>
        <v>0</v>
      </c>
      <c r="EW419">
        <f t="shared" si="172"/>
        <v>0</v>
      </c>
      <c r="FB419">
        <f t="shared" si="176"/>
        <v>0</v>
      </c>
      <c r="FG419">
        <f>SUM(FG$7:FG$28,FH$7:FH$28,FI$7:FI$28)*(FF419)</f>
        <v>0</v>
      </c>
      <c r="FM419">
        <f>SUM(FM$7:FM$28,FN$7:FN$28,FO$7:FO$28)*(FL419)</f>
        <v>0</v>
      </c>
      <c r="FQ419" s="420">
        <f>'EXTRAS (2)'!D352</f>
        <v>0</v>
      </c>
      <c r="FR419" s="420">
        <f>'EXTRAS (2)'!E352</f>
        <v>0</v>
      </c>
      <c r="FU419" s="420">
        <f t="shared" si="174"/>
        <v>0</v>
      </c>
    </row>
    <row r="420" spans="1:177">
      <c r="B420" s="399" t="s">
        <v>1003</v>
      </c>
      <c r="C420" s="400" t="s">
        <v>0</v>
      </c>
      <c r="E420">
        <v>2</v>
      </c>
      <c r="F420">
        <f>SUM(F18:N28)*(E420)</f>
        <v>0</v>
      </c>
      <c r="P420">
        <v>2</v>
      </c>
      <c r="Q420">
        <f>SUM(Q18:Y28)*(P420)</f>
        <v>0</v>
      </c>
      <c r="AA420">
        <v>2</v>
      </c>
      <c r="AB420">
        <f>SUM(AB18:AJ28)*(AA420)</f>
        <v>0</v>
      </c>
      <c r="AL420">
        <v>2</v>
      </c>
      <c r="AM420">
        <f>SUM(AM18:AU28)*(AL420)</f>
        <v>0</v>
      </c>
      <c r="AW420">
        <v>2</v>
      </c>
      <c r="AX420">
        <f>SUM(AX18:BF28)*(AW420)</f>
        <v>0</v>
      </c>
      <c r="BH420">
        <v>3</v>
      </c>
      <c r="BI420">
        <f>SUM(BI18:BQ28)*(BH420)</f>
        <v>0</v>
      </c>
      <c r="BS420">
        <v>3</v>
      </c>
      <c r="BT420">
        <f>SUM(BT18:CB28)*(BS420)</f>
        <v>0</v>
      </c>
      <c r="CD420">
        <v>2</v>
      </c>
      <c r="CE420">
        <f>SUM(CE18:CG28)*(CD420)</f>
        <v>0</v>
      </c>
      <c r="CI420">
        <v>2</v>
      </c>
      <c r="CJ420">
        <f>SUM(CJ18:CL28)*(CI420)</f>
        <v>0</v>
      </c>
      <c r="CN420">
        <v>3</v>
      </c>
      <c r="CO420">
        <f>SUM(CO18:CQ28)*(CN420)</f>
        <v>0</v>
      </c>
      <c r="CS420">
        <v>4</v>
      </c>
      <c r="CT420">
        <f>SUM(CT18:CV28)*(CS420)</f>
        <v>0</v>
      </c>
      <c r="CX420">
        <v>3</v>
      </c>
      <c r="CY420">
        <f>SUM(CY18:DA28)*(CX420)</f>
        <v>0</v>
      </c>
      <c r="DC420">
        <v>2</v>
      </c>
      <c r="DD420">
        <f>SUM(DD18:DF28)*(DC420)</f>
        <v>0</v>
      </c>
      <c r="DH420">
        <v>5</v>
      </c>
      <c r="DI420">
        <f>SUM(DI18:DK28)*(DH420)</f>
        <v>0</v>
      </c>
      <c r="DM420">
        <v>5</v>
      </c>
      <c r="DN420">
        <f>SUM(DN18:DP28)*(DM420)</f>
        <v>0</v>
      </c>
      <c r="DR420">
        <v>7</v>
      </c>
      <c r="DS420">
        <f>SUM(DS18:DU28)*(DR420)</f>
        <v>0</v>
      </c>
      <c r="DW420">
        <v>6</v>
      </c>
      <c r="DX420">
        <f>SUM(DX18:DZ28)*(DW420)</f>
        <v>0</v>
      </c>
      <c r="EC420">
        <f>SUM(EC$18:EC$28,ED$18:ED$28,EE$18:EE$28)*(EB420)</f>
        <v>0</v>
      </c>
      <c r="EH420">
        <f>SUM(EH$18:EH$28,EI$18:EI$28,EJ$18:EJ$28)*(EG420)</f>
        <v>0</v>
      </c>
      <c r="EL420">
        <v>6</v>
      </c>
      <c r="EM420">
        <f>SUM(EM18:EO28)*(EL420)</f>
        <v>0</v>
      </c>
      <c r="EQ420">
        <v>8</v>
      </c>
      <c r="ER420">
        <f>SUM(ER18:ET28)*(EQ420)</f>
        <v>0</v>
      </c>
      <c r="EV420">
        <v>6</v>
      </c>
      <c r="EW420">
        <f>SUM(EW18:EY28)*(EV420)</f>
        <v>0</v>
      </c>
      <c r="FA420">
        <v>5</v>
      </c>
      <c r="FB420">
        <f>SUM(FB18:FD28)*(FA420)</f>
        <v>0</v>
      </c>
      <c r="FF420">
        <v>4</v>
      </c>
      <c r="FG420">
        <f>SUM(FG18:FI28)*(FF420)</f>
        <v>0</v>
      </c>
      <c r="FL420">
        <v>4</v>
      </c>
      <c r="FM420">
        <f>SUM(FM18:FO28)*(FL420)</f>
        <v>0</v>
      </c>
      <c r="FQ420" s="420">
        <f>'EXTRAS (2)'!D353</f>
        <v>0</v>
      </c>
      <c r="FR420" s="420">
        <f>'EXTRAS (2)'!E353</f>
        <v>0</v>
      </c>
      <c r="FU420" s="420">
        <f t="shared" si="174"/>
        <v>0</v>
      </c>
    </row>
    <row r="421" spans="1:177">
      <c r="B421" s="399" t="s">
        <v>1004</v>
      </c>
      <c r="C421" s="400" t="s">
        <v>0</v>
      </c>
      <c r="F421">
        <f>SUM(F18:N28)*(E421)</f>
        <v>0</v>
      </c>
      <c r="Q421">
        <f>SUM(Q18:Y28)*(P421)</f>
        <v>0</v>
      </c>
      <c r="AA421">
        <v>1</v>
      </c>
      <c r="AB421">
        <f>SUM(AB18:AJ28)*(AA421)</f>
        <v>0</v>
      </c>
      <c r="AL421">
        <v>1</v>
      </c>
      <c r="AM421">
        <f>SUM(AM18:AU28)*(AL421)</f>
        <v>0</v>
      </c>
      <c r="AX421">
        <f>SUM(AX18:BF28)*(AW421)</f>
        <v>0</v>
      </c>
      <c r="BI421">
        <f>SUM(BI18:BQ28)*(BH421)</f>
        <v>0</v>
      </c>
      <c r="BT421">
        <f>SUM(BT18:CB28)*(BS421)</f>
        <v>0</v>
      </c>
      <c r="CE421">
        <f>SUM(CE$18:CG$28)*(CD421)</f>
        <v>0</v>
      </c>
      <c r="CJ421">
        <f>SUM(CJ$18:CL$28)*(CI421)</f>
        <v>0</v>
      </c>
      <c r="CO421">
        <f>SUM(CO$18:CQ$28)*(CN421)</f>
        <v>0</v>
      </c>
      <c r="CT421">
        <f>SUM(CT$18:CV$28)*(CS421)</f>
        <v>0</v>
      </c>
      <c r="CY421">
        <f>SUM(CY$18:DA$28)*(CX421)</f>
        <v>0</v>
      </c>
      <c r="DC421">
        <v>1</v>
      </c>
      <c r="DD421">
        <f>SUM(DD$18:DF$28)*(DC421)</f>
        <v>0</v>
      </c>
      <c r="DH421">
        <v>1</v>
      </c>
      <c r="DI421">
        <f>SUM(DI$18:DK$28)*(DH421)</f>
        <v>0</v>
      </c>
      <c r="DM421">
        <v>1</v>
      </c>
      <c r="DN421">
        <f>SUM(DN$18:DP$28)*(DM421)</f>
        <v>0</v>
      </c>
      <c r="DS421">
        <f>SUM(DS$18:DU$28)*(DR421)</f>
        <v>0</v>
      </c>
      <c r="DX421">
        <f>SUM(DX$18:DZ$28)*(DW421)</f>
        <v>0</v>
      </c>
      <c r="EC421">
        <f>SUM(EC$18:EC$28,ED$18:ED$28,EE$18:EE$28)*(EB421)</f>
        <v>0</v>
      </c>
      <c r="EH421">
        <f>SUM(EH$18:EH$28,EI$18:EI$28,EJ$18:EJ$28)*(EG421)</f>
        <v>0</v>
      </c>
      <c r="EL421">
        <v>1</v>
      </c>
      <c r="EM421">
        <f>SUM(EM$18:EO$28)*(EL421)</f>
        <v>0</v>
      </c>
      <c r="EQ421">
        <v>1</v>
      </c>
      <c r="ER421">
        <f>SUM(ER$18:ET$28)*(EQ421)</f>
        <v>0</v>
      </c>
      <c r="EW421">
        <f>SUM(EW$18:EY$28)*(EV421)</f>
        <v>0</v>
      </c>
      <c r="FB421">
        <f>SUM(FB$18:FD$28)*(FA421)</f>
        <v>0</v>
      </c>
      <c r="FF421">
        <v>1</v>
      </c>
      <c r="FG421">
        <f>SUM(FG$18:FI$28)*(FF421)</f>
        <v>0</v>
      </c>
      <c r="FL421">
        <v>1</v>
      </c>
      <c r="FM421">
        <f>SUM(FM$18:FO$28)*(FL421)</f>
        <v>0</v>
      </c>
      <c r="FQ421" s="420">
        <f>'EXTRAS (2)'!D354</f>
        <v>0</v>
      </c>
      <c r="FR421" s="420">
        <f>'EXTRAS (2)'!E354</f>
        <v>0</v>
      </c>
      <c r="FU421" s="420">
        <f t="shared" si="174"/>
        <v>0</v>
      </c>
    </row>
    <row r="422" spans="1:177">
      <c r="B422" s="399" t="s">
        <v>1005</v>
      </c>
      <c r="C422" s="400" t="s">
        <v>0</v>
      </c>
      <c r="F422">
        <f>SUM(F18:N28)*(E422)</f>
        <v>0</v>
      </c>
      <c r="Q422">
        <f>SUM(Q18:Y28)*(P422)</f>
        <v>0</v>
      </c>
      <c r="AB422">
        <f>SUM(AB18:AJ28)*(AA422)</f>
        <v>0</v>
      </c>
      <c r="AM422">
        <f>SUM(AM18:AU28)*(AL422)</f>
        <v>0</v>
      </c>
      <c r="AW422">
        <v>2</v>
      </c>
      <c r="AX422">
        <f>SUM(AX18:BF28)*(AW422)</f>
        <v>0</v>
      </c>
      <c r="BH422">
        <v>1</v>
      </c>
      <c r="BI422">
        <f>SUM(BI18:BQ28)*(BH422)</f>
        <v>0</v>
      </c>
      <c r="BS422">
        <v>1</v>
      </c>
      <c r="BT422">
        <f>SUM(BT18:CB28)*(BS422)</f>
        <v>0</v>
      </c>
      <c r="CE422">
        <f t="shared" si="165"/>
        <v>0</v>
      </c>
      <c r="CJ422">
        <f>SUM(CJ$7:CJ$28,CK$7:CK$28,CL$7:CL$28)*(CI422)</f>
        <v>0</v>
      </c>
      <c r="CO422">
        <f>SUM(CO$7:CO$28,CP$7:CP$28,CQ$7:CQ$28)*(CN422)</f>
        <v>0</v>
      </c>
      <c r="CT422">
        <f>SUM(CT18:CV28)*(CS422)</f>
        <v>0</v>
      </c>
      <c r="CY422">
        <f>SUM(CY18:DA28)*(CX422)</f>
        <v>0</v>
      </c>
      <c r="DD422">
        <f>SUM(DD18:DF28)*(DC422)</f>
        <v>0</v>
      </c>
      <c r="DI422">
        <f>SUM(DI18:DK28)*(DH422)</f>
        <v>0</v>
      </c>
      <c r="DN422">
        <f>SUM(DN18:DP28)*(DM422)</f>
        <v>0</v>
      </c>
      <c r="DR422">
        <v>1</v>
      </c>
      <c r="DS422">
        <f>SUM(DS18:DU28)*(DR422)</f>
        <v>0</v>
      </c>
      <c r="DW422">
        <v>1</v>
      </c>
      <c r="DX422">
        <f>SUM(DX18:DZ28)*(DW422)</f>
        <v>0</v>
      </c>
      <c r="EC422">
        <f>SUM(EC$18:EC$28,ED$18:ED$28,EE$18:EE$28)*(EB422)</f>
        <v>0</v>
      </c>
      <c r="EH422">
        <f>SUM(EH$18:EH$28,EI$18:EI$28,EJ$18:EJ$28)*(EG422)</f>
        <v>0</v>
      </c>
      <c r="EL422">
        <v>1</v>
      </c>
      <c r="EM422">
        <f>SUM(EM18:EO28)*(EL422)</f>
        <v>0</v>
      </c>
      <c r="EQ422">
        <v>2</v>
      </c>
      <c r="ER422">
        <f>SUM(ER18:ET28)*(EQ422)</f>
        <v>0</v>
      </c>
      <c r="EV422">
        <v>1</v>
      </c>
      <c r="EW422">
        <f>SUM(EW18:EY28)*(EV422)</f>
        <v>0</v>
      </c>
      <c r="FA422">
        <v>1</v>
      </c>
      <c r="FB422">
        <f>SUM(FB18:FD28)*(FA422)</f>
        <v>0</v>
      </c>
      <c r="FF422">
        <v>1</v>
      </c>
      <c r="FG422">
        <f>SUM(FG18:FI28)*(FF422)</f>
        <v>0</v>
      </c>
      <c r="FL422">
        <v>1</v>
      </c>
      <c r="FM422">
        <f>SUM(FM18:FO28)*(FL422)</f>
        <v>0</v>
      </c>
      <c r="FQ422" s="420">
        <f>'EXTRAS (2)'!D355</f>
        <v>0</v>
      </c>
      <c r="FR422" s="420">
        <f>'EXTRAS (2)'!E355</f>
        <v>0</v>
      </c>
      <c r="FU422" s="420">
        <f t="shared" si="174"/>
        <v>0</v>
      </c>
    </row>
    <row r="423" spans="1:177">
      <c r="B423" s="399" t="s">
        <v>952</v>
      </c>
      <c r="C423" s="400" t="s">
        <v>0</v>
      </c>
      <c r="E423">
        <v>1</v>
      </c>
      <c r="F423">
        <f>SUM(F13:N13)*(E423)</f>
        <v>0</v>
      </c>
      <c r="P423">
        <v>1</v>
      </c>
      <c r="Q423">
        <f>SUM(Q13:Y13)*(P423)</f>
        <v>0</v>
      </c>
      <c r="AA423" s="897">
        <v>2</v>
      </c>
      <c r="AB423" s="897">
        <f t="shared" si="162"/>
        <v>0</v>
      </c>
      <c r="AC423" s="897"/>
      <c r="AD423" s="897"/>
      <c r="AE423" s="897"/>
      <c r="AF423" s="897"/>
      <c r="AG423" s="897"/>
      <c r="AH423" s="897"/>
      <c r="AI423" s="897"/>
      <c r="AJ423" s="897"/>
      <c r="AK423" s="897"/>
      <c r="AL423" s="897">
        <v>2</v>
      </c>
      <c r="AM423" s="897">
        <f t="shared" si="152"/>
        <v>0</v>
      </c>
      <c r="BI423">
        <f>SUM(BI$7:BI$28,BP$7:BP$28,BQ$7:BQ$28,BJ$7:BJ$28,BK$28:BK345,BL$7:BL$28,BM$7:BM$28,BN$7:BN$28)*(BH423)</f>
        <v>0</v>
      </c>
      <c r="BT423">
        <f>SUM(BT$7:BT$28,CA$7:CA$28,CB$7:CB$28,BU$7:BU$28,BV$28:BV345,BW$7:BW$28,BX$7:BX$28,BY$7:BY$28)*(BS423)</f>
        <v>0</v>
      </c>
      <c r="CE423">
        <f t="shared" si="165"/>
        <v>0</v>
      </c>
      <c r="CJ423">
        <f t="shared" si="147"/>
        <v>0</v>
      </c>
      <c r="CN423" s="897">
        <v>1</v>
      </c>
      <c r="CO423" s="897">
        <f t="shared" si="148"/>
        <v>0</v>
      </c>
      <c r="CP423" s="897"/>
      <c r="CQ423" s="897"/>
      <c r="CR423" s="897"/>
      <c r="CS423" s="897">
        <v>1</v>
      </c>
      <c r="CT423" s="897">
        <f t="shared" si="154"/>
        <v>0</v>
      </c>
      <c r="CY423">
        <f t="shared" si="149"/>
        <v>0</v>
      </c>
      <c r="DC423">
        <v>2</v>
      </c>
      <c r="DD423">
        <f t="shared" si="150"/>
        <v>0</v>
      </c>
      <c r="DH423">
        <v>4</v>
      </c>
      <c r="DI423">
        <f t="shared" si="151"/>
        <v>0</v>
      </c>
      <c r="DM423">
        <v>2</v>
      </c>
      <c r="DN423">
        <f>SUM(DN$7:DN$28,DO$7:DO$28,DP$7:DP$28)*(DM423)</f>
        <v>0</v>
      </c>
      <c r="DS423">
        <f>SUM(DS$7:DS$28,DT$7:DT$28,DU$7:DU$28)*(DR423)</f>
        <v>0</v>
      </c>
      <c r="DX423">
        <f>SUM(DX$7:DX$28,DY$7:DY$28,DZ$7:DZ$28)*(DW423)</f>
        <v>0</v>
      </c>
      <c r="EC423">
        <f>SUM(EC$7:EC$28,ED$7:ED$28,EE$7:EE$28)*(EB423)</f>
        <v>0</v>
      </c>
      <c r="EH423">
        <f>SUM(EH$7:EH$28,EI$7:EI$28,EJ$7:EJ$28)*(EG423)</f>
        <v>0</v>
      </c>
      <c r="EL423">
        <v>2</v>
      </c>
      <c r="EM423">
        <f>SUM(EM$7:EM$28,EN$7:EN$28,EO$7:EO$28)*(EL423)</f>
        <v>0</v>
      </c>
      <c r="EQ423">
        <v>2</v>
      </c>
      <c r="ER423">
        <f>SUM(ER$7:ER$28,ES$7:ES$28,ET$7:ET$28)*(EQ423)</f>
        <v>0</v>
      </c>
      <c r="EV423" s="897">
        <v>1</v>
      </c>
      <c r="EW423" s="897">
        <f>SUM(EW$7:EW$28,EX$7:EX$28,EY$7:EY$28)*(EV423)</f>
        <v>0</v>
      </c>
      <c r="EX423" s="897"/>
      <c r="EY423" s="897"/>
      <c r="EZ423" s="897"/>
      <c r="FA423" s="897">
        <v>1</v>
      </c>
      <c r="FB423" s="897">
        <f>SUM(FB$7:FB$28,FC$7:FC$28,FD$7:FD$28)*(FA423)</f>
        <v>0</v>
      </c>
      <c r="FC423" s="897"/>
      <c r="FD423" s="897"/>
      <c r="FE423" s="897"/>
      <c r="FF423" s="897">
        <v>2</v>
      </c>
      <c r="FG423" s="897">
        <f>SUM(FG$7:FG$28,FH$7:FH$28,FI$7:FI$28)*(FF423)</f>
        <v>0</v>
      </c>
      <c r="FH423" s="897"/>
      <c r="FI423" s="897"/>
      <c r="FJ423" s="897"/>
      <c r="FK423" s="897"/>
      <c r="FL423" s="897">
        <v>2</v>
      </c>
      <c r="FM423" s="897">
        <f>SUM(FM$7:FM$28,FN$7:FN$28,FO$7:FO$28)*(FL423)</f>
        <v>0</v>
      </c>
      <c r="FQ423" s="420">
        <f>'EXTRAS (2)'!D356</f>
        <v>0</v>
      </c>
      <c r="FR423" s="420">
        <f>'EXTRAS (2)'!E356</f>
        <v>0</v>
      </c>
      <c r="FU423" s="420">
        <f t="shared" si="174"/>
        <v>0</v>
      </c>
    </row>
    <row r="424" spans="1:177">
      <c r="A424" s="209">
        <v>3632</v>
      </c>
      <c r="B424" s="210" t="s">
        <v>151</v>
      </c>
      <c r="C424" s="390" t="s">
        <v>515</v>
      </c>
      <c r="AB424">
        <f t="shared" si="162"/>
        <v>0</v>
      </c>
      <c r="AM424">
        <f t="shared" si="152"/>
        <v>0</v>
      </c>
      <c r="AW424">
        <v>3</v>
      </c>
      <c r="AX424">
        <f>SUM(AX7:AX28,AY7:AY28,AZ7:AZ28,BA7:BA28,BB7:BB28,BC7:BC28,BD7:BD28,BE7:BE28,BF7:BF28)*AW424</f>
        <v>0</v>
      </c>
      <c r="BH424">
        <v>3</v>
      </c>
      <c r="BI424">
        <f>SUM(BI$7:BI$28,BP$7:BP$28,BQ$7:BQ$28,BJ$7:BJ$28,BK$28:BK346,BL$7:BL$28,BM$7:BM$28,BN$7:BN$28)*(BH424)</f>
        <v>0</v>
      </c>
      <c r="BS424">
        <v>3</v>
      </c>
      <c r="BT424">
        <f>SUM(BT$7:BT$28,CA$7:CA$28,CB$7:CB$28,BU$7:BU$28,BV$28:BV346,BW$7:BW$28,BX$7:BX$28,BY$7:BY$28)*(BS424)</f>
        <v>0</v>
      </c>
      <c r="CD424" s="897">
        <v>1</v>
      </c>
      <c r="CE424" s="897">
        <f t="shared" si="165"/>
        <v>0</v>
      </c>
      <c r="CF424" s="897"/>
      <c r="CG424" s="897"/>
      <c r="CH424" s="897"/>
      <c r="CI424" s="149">
        <v>1</v>
      </c>
      <c r="CJ424" s="897">
        <f t="shared" si="147"/>
        <v>0</v>
      </c>
      <c r="CO424">
        <f t="shared" si="148"/>
        <v>0</v>
      </c>
      <c r="CT424">
        <f t="shared" si="154"/>
        <v>0</v>
      </c>
      <c r="CY424">
        <f t="shared" si="149"/>
        <v>0</v>
      </c>
      <c r="DD424">
        <f t="shared" si="150"/>
        <v>0</v>
      </c>
      <c r="DI424">
        <f t="shared" si="151"/>
        <v>0</v>
      </c>
      <c r="DN424">
        <f>SUM(DN$7:DN$28,DO$7:DO$28,DP$7:DP$28)*(DM424)</f>
        <v>0</v>
      </c>
      <c r="DR424">
        <v>1</v>
      </c>
      <c r="DS424">
        <f>SUM(DS$7:DS$28,DT$7:DT$28,DU$7:DU$28)*(DR424)</f>
        <v>0</v>
      </c>
      <c r="DW424">
        <v>1</v>
      </c>
      <c r="DX424">
        <f>SUM(DX$7:DX$28,DY$7:DY$28,DZ$7:DZ$28)*(DW424)</f>
        <v>0</v>
      </c>
      <c r="EC424">
        <f>SUM(EC$7:EC$28,ED$7:ED$28,EE$7:EE$28)*(EB424)</f>
        <v>0</v>
      </c>
      <c r="EH424">
        <f>SUM(EH$7:EH$28,EI$7:EI$28,EJ$7:EJ$28)*(EG424)</f>
        <v>0</v>
      </c>
      <c r="EL424">
        <v>1</v>
      </c>
      <c r="EM424">
        <f>SUM(EM$7:EM$28,EN$7:EN$28,EO$7:EO$28)*(EL424)</f>
        <v>0</v>
      </c>
      <c r="EQ424">
        <v>1</v>
      </c>
      <c r="ER424">
        <f>SUM(ER$7:ER$17,ES$7:ES$17,ET$7:ET$17)*(EQ424)+SUM(ER$18:ER$28,ES$18:ES$28,ET$18:ET$28)*(EQ424*2)</f>
        <v>0</v>
      </c>
      <c r="EV424" s="897">
        <v>1</v>
      </c>
      <c r="EW424" s="897">
        <f>SUM(EW$7:EW$28,EX$7:EX$28,EY$7:EY$28)*(EV424)</f>
        <v>0</v>
      </c>
      <c r="EX424" s="897"/>
      <c r="EY424" s="897"/>
      <c r="EZ424" s="897"/>
      <c r="FA424" s="897">
        <v>1</v>
      </c>
      <c r="FB424" s="897">
        <f>SUM(FB$7:FB$28,FC$7:FC$28,FD$7:FD$28)*(FA424)</f>
        <v>0</v>
      </c>
      <c r="FC424" s="897"/>
      <c r="FD424" s="897"/>
      <c r="FE424" s="897"/>
      <c r="FF424" s="897">
        <v>1</v>
      </c>
      <c r="FG424" s="897">
        <f>SUM(FG$7:FG$28,FH$7:FH$28,FI$7:FI$28)*(FF424)</f>
        <v>0</v>
      </c>
      <c r="FH424" s="897"/>
      <c r="FI424" s="897"/>
      <c r="FJ424" s="897"/>
      <c r="FK424" s="897"/>
      <c r="FL424" s="897">
        <v>1</v>
      </c>
      <c r="FM424" s="897">
        <f>SUM(FM$7:FM$28,FN$7:FN$28,FO$7:FO$28)*(FL424)</f>
        <v>0</v>
      </c>
      <c r="FQ424" s="420">
        <f>'EXTRAS (2)'!D357</f>
        <v>0</v>
      </c>
      <c r="FR424" s="420">
        <f>'EXTRAS (2)'!E357</f>
        <v>0</v>
      </c>
      <c r="FU424" s="420">
        <f t="shared" si="174"/>
        <v>0</v>
      </c>
    </row>
    <row r="425" spans="1:177">
      <c r="A425" s="209">
        <v>3633</v>
      </c>
      <c r="B425" s="210" t="s">
        <v>219</v>
      </c>
      <c r="C425" s="390" t="s">
        <v>515</v>
      </c>
      <c r="E425">
        <v>1</v>
      </c>
      <c r="F425" s="333">
        <f>SUM(F7:F9,G7:G9,H7:H9,I7:I9,J7:J9,K7:K9,L7:L9,M7:M9,N7:N9,F11:F13,G11:G13,H11:H13,I11:I13,J11:J13,K11:K13,L11:L13,M11:M13,N11:N13,F15:F16,G15:G16,H15:H16,I15:I16,J15:J16,K15:K16,L15:L16,M15:M16,N15:N16)*(E425)</f>
        <v>0</v>
      </c>
      <c r="G425" s="333"/>
      <c r="H425" s="333"/>
      <c r="I425" s="333"/>
      <c r="J425" s="333"/>
      <c r="K425" s="333"/>
      <c r="L425" s="333"/>
      <c r="P425">
        <v>1</v>
      </c>
      <c r="Q425" s="333">
        <f>SUM(Q7:Q9,R7:R9,S7:S9,T7:T9,U7:U9,V7:V9,W7:W9,X7:X9,Y7:Y9,Q11:Q13,R11:R13,S11:S13,T11:T13,U11:U13,V11:V13,W11:W13,X11:X13,Y11:Y13,Q15:Q16,R15:R16,S15:S16,T15:T16,U15:U16,V15:V16,W15:W16,X15:X16,Y15:Y16)*(P425)</f>
        <v>0</v>
      </c>
      <c r="R425" s="333"/>
      <c r="S425" s="333"/>
      <c r="T425" s="333"/>
      <c r="U425" s="333"/>
      <c r="V425" s="333"/>
      <c r="W425" s="333"/>
      <c r="AB425">
        <f t="shared" si="162"/>
        <v>0</v>
      </c>
      <c r="AM425">
        <f t="shared" si="152"/>
        <v>0</v>
      </c>
      <c r="AW425">
        <v>1</v>
      </c>
      <c r="AX425">
        <f>SUM(AX7:BF7,AX11:BF11)*(AW425)</f>
        <v>0</v>
      </c>
      <c r="DH425" s="333">
        <v>2</v>
      </c>
      <c r="DI425" s="333">
        <f>SUM(DI7:DK7,DI11:DK11)*(DH425)</f>
        <v>0</v>
      </c>
      <c r="DR425">
        <v>2</v>
      </c>
      <c r="DS425">
        <f>SUM(DS7:DU7,DS11:DU11)*(DR425)</f>
        <v>0</v>
      </c>
      <c r="DW425" t="s">
        <v>1017</v>
      </c>
      <c r="DX425">
        <f>SUM(DX7:DZ7,DX11:DZ11)*(2)</f>
        <v>0</v>
      </c>
      <c r="EL425" t="s">
        <v>1017</v>
      </c>
      <c r="EM425">
        <f>SUM(EM7:EO7,EM11:EO11)*(2)+SUM(EM8:EM9,EN8:EN9,EO8:EO9,EM12:EM13,EN12:EN13,EO12:EO13,EM15:EM16,EN15:EN16,EO15:EO16)*(1)</f>
        <v>0</v>
      </c>
      <c r="EQ425" t="s">
        <v>1018</v>
      </c>
      <c r="ER425">
        <f>SUM(ER7:ET7,ER11:ET11)*(2)+SUM(ER8:ER9,ES8:ES9,ER12:ER13,ES12:ES13,ET12:ET13,ER15:ER16,ES15:ES16,ET15:ET16)*(1)</f>
        <v>0</v>
      </c>
      <c r="EV425" t="s">
        <v>1018</v>
      </c>
      <c r="EW425">
        <f>SUM(EW7:EY7,EW11:EY11)*(2)</f>
        <v>0</v>
      </c>
      <c r="FA425" t="s">
        <v>1018</v>
      </c>
      <c r="FB425">
        <f>SUM(FB7:FD7,FB11:FD11)*(2)</f>
        <v>0</v>
      </c>
      <c r="FF425" t="s">
        <v>1018</v>
      </c>
      <c r="FG425">
        <f>SUM(FG7:FI7,FG11:FI11)*(1)</f>
        <v>0</v>
      </c>
      <c r="FL425" t="s">
        <v>1018</v>
      </c>
      <c r="FM425">
        <f>SUM(FM7:FO7,FM11:FO11)*(1)</f>
        <v>0</v>
      </c>
      <c r="FQ425" s="420">
        <f>'EXTRAS (2)'!D358</f>
        <v>0</v>
      </c>
      <c r="FR425" s="420">
        <f>'EXTRAS (2)'!E358</f>
        <v>0</v>
      </c>
      <c r="FU425" s="420">
        <f t="shared" si="174"/>
        <v>0</v>
      </c>
    </row>
    <row r="426" spans="1:177">
      <c r="A426" s="209">
        <v>3634</v>
      </c>
      <c r="B426" s="210" t="s">
        <v>25</v>
      </c>
      <c r="C426" s="390" t="s">
        <v>515</v>
      </c>
      <c r="E426" s="333" t="s">
        <v>1017</v>
      </c>
      <c r="F426">
        <f>SUM(F7:F9,G7:G9,H7:H9,I7:I9,J7:J9,K7:K9,L7:L9,M7:M9,N7:N9,F11:F13,G11:G13,H11:H13,I11:I13,J11:J13,K11:K13,L11:L13,M11:M13,N11:N13,F15:F16,G15:G16,H15:H16,I15:I16,J15:J16,K15:K16,L15:L16,M15:M16,N15:N16)*(2)+SUM(F10:N10,F14:N14,F17:N17)*(1)</f>
        <v>0</v>
      </c>
      <c r="P426" s="333" t="s">
        <v>1017</v>
      </c>
      <c r="Q426">
        <f>SUM(Q7:Q9,R7:R9,S7:S9,T7:T9,U7:U9,V7:V9,W7:W9,X7:X9,Y7:Y9,Q11:Q13,R11:R13,S11:S13,T11:T13,U11:U13,V11:V13,W11:W13,X11:X13,Y11:Y13,Q15:Q16,R15:R16,S15:S16,T15:T16,U15:U16,V15:V16,W15:W16,X15:X16,Y15:Y16)*(2)+SUM(Q10:Y10,Q14:Y14,Q17:Y17)*(1)</f>
        <v>0</v>
      </c>
      <c r="AA426" s="333" t="s">
        <v>1017</v>
      </c>
      <c r="AB426">
        <f>SUM(AB7:AJ7,AB11:AJ11)*(2)+SUM(AB8:AJ8,AB9:AJ9,AB12:AJ12,AB13:AJ13,AB15:AJ15,AB16:AJ16)*(1)</f>
        <v>0</v>
      </c>
      <c r="AL426" s="333" t="s">
        <v>1017</v>
      </c>
      <c r="AM426">
        <f>SUM(AM7:AU7,AM11:AU11)*(2)+SUM(AM8:AU8,AM9:AU9,AM12:AU12,AM13:AU13,AM15:AU15,AM16:AU16)*(1)</f>
        <v>0</v>
      </c>
      <c r="AW426">
        <v>1</v>
      </c>
      <c r="AX426">
        <f>SUM(AX8:AX10,AY8:AY10,AZ8:AZ10,BA8:BA10,BB8:BB10,BC8:BC10,BD8:BD10,BE8:BE10,BF8:BF10,AX12:AX17,AY12:AY17,AZ12:AZ17,BA12:BA17,BB12:BB17,BC12:BC17,BD12:BD17,BF12:BF17)*AW426</f>
        <v>0</v>
      </c>
      <c r="BH426" t="s">
        <v>1018</v>
      </c>
      <c r="BI426">
        <f>SUM(BI7:BQ7,BI11:BQ11)*(1)</f>
        <v>0</v>
      </c>
      <c r="BS426" t="s">
        <v>1018</v>
      </c>
      <c r="BT426">
        <f>SUM(BT7:CB7,BT11:CB11)*(1)</f>
        <v>0</v>
      </c>
      <c r="CI426">
        <v>2</v>
      </c>
      <c r="CJ426">
        <f>SUM(CJ7:CJ9,CK7:CK9,CL7:CL9,CJ11:CJ13,CK11:CK13,CL11:CL13,CJ15:CJ16,CK15:CK16,CL15:CL16)*CI426</f>
        <v>0</v>
      </c>
      <c r="CN426">
        <v>3</v>
      </c>
      <c r="CO426">
        <f>SUM(CO7:CO9,CP7:CP9,CQ7:CQ9,CO11:CO13,CP11:CP13,CQ11:CQ13,CO15:CO16,CP15:CP16,CQ15:CQ16)*CN426</f>
        <v>0</v>
      </c>
      <c r="CS426">
        <v>3</v>
      </c>
      <c r="CT426">
        <f>SUM(CT7:CT9,CU7:CU9,CV7:CV9,CT11:CT13,CU11:CU13,CV11:CV13,CT15:CT16,CU15:CU16,CV15:CV16)*CS426</f>
        <v>0</v>
      </c>
      <c r="CX426" s="413" t="s">
        <v>1017</v>
      </c>
      <c r="CY426">
        <f>SUM(CY7:DA7,CY11:DA11)*(3)+SUM(CY8:DA8,CY12:DA12,CY15:DA15,CY9:DA9,CY13:DA13,CY16:DA16)*(1)</f>
        <v>0</v>
      </c>
      <c r="DC426" s="413" t="s">
        <v>1017</v>
      </c>
      <c r="DD426">
        <f>SUM(DD7:DF7,DD11:DF11)*(3)+SUM(DD8:DF8,DD12:DF12,DD15:DF15,DD9:DF9,DD13:DF13,DD16:DF16)*(2)</f>
        <v>0</v>
      </c>
      <c r="DH426" s="333">
        <v>4</v>
      </c>
      <c r="DI426" s="333">
        <f>SUM(DI7:DI9,DI11:DI13,DJ11:DJ13,DK11:DK13,DI15:DI16,DJ15:DJ16,DK15:DK16)*(DH426)+SUM(DI10:DK10,DI14:DK14,DI17:DK17)*(1)</f>
        <v>0</v>
      </c>
      <c r="DM426">
        <v>2</v>
      </c>
      <c r="DN426">
        <f>SUM(DN7:DN9,DO7:DO9,DP7:DP9,DN11:DN13,DP11:DP13,DN15:DN16,DP15:DP16)*(DM426)</f>
        <v>0</v>
      </c>
      <c r="DR426" t="s">
        <v>1018</v>
      </c>
      <c r="DS426">
        <f>SUM(DS7:DU7,DS11:DU11)*(4)+SUM(DS8:DS9,DT8:DT9,DU8:DU9,DS12:DS13,DT12:DT13,DU12:DU13,DS15:DS16,DU15:DU16)*(5)+SUM(DS10:DU10,DS14:DU14,DS17:DU17)*(2)</f>
        <v>0</v>
      </c>
      <c r="DW426" t="s">
        <v>1017</v>
      </c>
      <c r="DX426">
        <f>SUM(DX7:DZ7,DX11:DZ11)*(4)+SUM(DX8:DX9,DY8:DY9,DZ8:DZ9,DX12:DX13,DY12:DY13,DZ12:DZ13,DX15:DX16,DY15:DY16,DZ15:DZ16)*(5)+SUM(DX10:DZ10,DX14:DZ14,DX17:DZ17)*(2)</f>
        <v>0</v>
      </c>
      <c r="EL426" t="s">
        <v>1017</v>
      </c>
      <c r="EM426">
        <f>SUM(EM7:EO7,EM10:EO10,EM11:EO11,EM14:EO14,EM17:EO17)*(2)+SUM(EM8:EM9,EN8:EN9,EO8:EO9,EM12:EM13,EN12:EN13,EO12:EO13,EM15:EM16,EN15:EN16,EO15:EO16)*(3)</f>
        <v>0</v>
      </c>
      <c r="EQ426" t="s">
        <v>1018</v>
      </c>
      <c r="ER426">
        <f>SUM(ER7:ET7,ER10:ET10,ER11:ET11,ER14:ET14,ER17:ET17)*(2)+SUM(ER8:ER9,ES8:ES9,ER12:ER13,ES12:ES13,ET12:ET13,ER15:ER16,ES15:ES16,ET15:ET16)*(3)</f>
        <v>0</v>
      </c>
      <c r="EV426" t="s">
        <v>1018</v>
      </c>
      <c r="EW426">
        <f>SUM(EW7:EY7,EW11:EY11)*(4)+SUM(EW8:EW9,EX8:EX9,EY8:EY9,EW12:EW13,EX12:EX13,EY12:EY13,EW15:EW16,EX15:EX16,EY15:EY16)*(5)+SUM(EW10:EY10,EW14:EY14,EW17:EY17)*(2)</f>
        <v>0</v>
      </c>
      <c r="FA426" t="s">
        <v>1018</v>
      </c>
      <c r="FB426">
        <f>SUM(FB7:FD7,FB11:FD11)*(3)+SUM(FB8:FB9,FC8:FC9,FD8:FD9,FB12:FB13,FC12:FC13,FD12:FD13,FB15:FB16,FC15:FC16,FD15:FD16)*(5)+SUM(FB10:FD10,FB14:FD14,FB17:FD17)*(2)</f>
        <v>0</v>
      </c>
      <c r="FF426" t="s">
        <v>1018</v>
      </c>
      <c r="FG426">
        <f>SUM(FG7:FI7,FG11:FI11)*(5)+SUM(FG8:FG9,FH8:FH9,FI8:FI9,FG12:FG13,FH12:FH13,FI12:FI13,FG15:FG16,FH15:FH16,FI15:FI16)*(4)</f>
        <v>0</v>
      </c>
      <c r="FL426" t="s">
        <v>1018</v>
      </c>
      <c r="FM426">
        <f>SUM(FM7:FO7,FM11:FO11)*(5)+SUM(FM8:FM9,FN8:FN9,FO8:FO9,FM12:FM13,FN12:FN13,FO12:FO13,FM15:FM16,FN15:FN16,FO15:FO16)*(4)</f>
        <v>0</v>
      </c>
      <c r="FQ426" s="420">
        <f>'EXTRAS (2)'!D359</f>
        <v>0</v>
      </c>
      <c r="FR426" s="420">
        <f>'EXTRAS (2)'!E359</f>
        <v>0</v>
      </c>
      <c r="FU426" s="420">
        <f t="shared" si="174"/>
        <v>0</v>
      </c>
    </row>
    <row r="427" spans="1:177">
      <c r="A427" s="209">
        <v>3635</v>
      </c>
      <c r="B427" s="210" t="s">
        <v>26</v>
      </c>
      <c r="C427" s="390" t="s">
        <v>515</v>
      </c>
      <c r="E427">
        <v>2</v>
      </c>
      <c r="F427">
        <f>SUM(F10:N10,F14:N14,F17:N17)*(E427)</f>
        <v>0</v>
      </c>
      <c r="P427">
        <v>2</v>
      </c>
      <c r="Q427">
        <f>SUM(Q10:Y10,Q14:Y14,Q17:Y17)*(P427)</f>
        <v>0</v>
      </c>
      <c r="AA427" s="333" t="s">
        <v>1017</v>
      </c>
      <c r="AB427">
        <f>SUM(AB7:AJ7,AB10:AJ10,AB11:AJ11,AB14:AJ14,AB17:AJ17)*(1)+SUM(AB8:AJ8,AB9:AJ9,AB12:AJ12,AB13:AJ13,AB15:AJ15,AB16:AJ16)*(2)</f>
        <v>0</v>
      </c>
      <c r="AL427" s="333" t="s">
        <v>1017</v>
      </c>
      <c r="AM427">
        <f>SUM(AM7:AU7,AM10:AU10,AM11:AU11,AM14:AU14,AM17:AU17)*(1)+SUM(AM8:AU8,AM9:AU9,AM12:AU12,AM13:AU13,AM15:AU15,AM16:AU16)*(2)</f>
        <v>0</v>
      </c>
      <c r="BH427" t="s">
        <v>1018</v>
      </c>
      <c r="BI427">
        <f>SUM(BI8:BQ8,BI9:BQ9,BI12:BQ12,BI13:BQ13,BI15:BQ15,BI16:BQ16)*(1)</f>
        <v>0</v>
      </c>
      <c r="BS427" t="s">
        <v>1018</v>
      </c>
      <c r="BT427">
        <f>SUM(BT8:CB8,BT9:CB9,BT12:CB12,BT13:CB13,BT15:CB15,BT16:CB16)*(1)</f>
        <v>0</v>
      </c>
      <c r="CD427">
        <v>2</v>
      </c>
      <c r="CE427">
        <f>SUM(CE7:CE9,CF7:CF9,CG7:CG9,CE11:CE13,CF11:CF13,CG11:CG13,CE15:CE16,CF15:CF16,CG15:CG16)*CD427</f>
        <v>0</v>
      </c>
      <c r="CI427">
        <v>2</v>
      </c>
      <c r="CJ427">
        <f>SUM(CJ10:CL10,CJ14:CL14,CJ17:CL17)*CI427</f>
        <v>0</v>
      </c>
      <c r="CN427">
        <v>3</v>
      </c>
      <c r="CO427">
        <f>SUM(CO10:CQ10,CO14:CQ14,CO17:CQ17)*CN427</f>
        <v>0</v>
      </c>
      <c r="CS427">
        <v>3</v>
      </c>
      <c r="CT427">
        <f>SUM(CT10:CV10,CT14:CV14,CT17:CV17)*CS427</f>
        <v>0</v>
      </c>
      <c r="CX427" s="413" t="s">
        <v>1017</v>
      </c>
      <c r="CY427">
        <f>SUM(CY8:CY9,CZ8:CZ9,DA8:DA9,CY12:CY13,DA12:DA13,CY15:CY16,DA15:DA16)*(2)+SUM(CY10:DA10,CY14:DA14,CY17:DA17)*(1)</f>
        <v>0</v>
      </c>
      <c r="DC427" s="413" t="s">
        <v>1017</v>
      </c>
      <c r="DD427">
        <f>SUM(DD8:DD9,DE8:DE9,DF8:DF9,DD12:DD13,DF12:DF13,DD15:DD16,DF15:DF16)*(1)+SUM(DD10:DF10,DD14:DF14,DD17:DF17)*(2)</f>
        <v>0</v>
      </c>
      <c r="DH427" s="333" t="s">
        <v>1017</v>
      </c>
      <c r="DI427">
        <f>SUM(DI8:DI9,DJ8:DJ9,DK8:DK9,DI12:DI13,DJ12:DJ13,DK12:DK13,DI15:DI16,DJ15:DJ16,DK15:DK16)*(2)+SUM(DI10:DK10,DI14:DK14,DI17:DK17)*(3)</f>
        <v>0</v>
      </c>
      <c r="DM427" s="413" t="s">
        <v>1017</v>
      </c>
      <c r="DN427">
        <f>SUM(DN7:DP7,DN11:DP11,DN8:DN9,DO8:DO9,DP8:DP9,DN12:DN13,DP12:DP13,DN15:DN16,DP15:DP16)*(1)+SUM(DN10:DP10,DN14:DP14,DN17:DP17)*(2)</f>
        <v>0</v>
      </c>
      <c r="DR427" t="s">
        <v>1018</v>
      </c>
      <c r="DS427">
        <f>SUM(DS7:DU7,DS11:DU11)*(1)+SUM(DT8:DT9,DU8:DU9,DS12:DS13,DT12:DT13,DS15:DS16,DT15:DT16,DU15:DU16,DS8:DS9,DT8:DT9,DU8:DU9)*(2)+SUM(DS10:DU10,DS14:DU14,DS17:DU17)*(4)</f>
        <v>0</v>
      </c>
      <c r="DW427" t="s">
        <v>1017</v>
      </c>
      <c r="DX427">
        <f>SUM(DX7:DZ7,DX11:DZ11)*(1)+SUM(DX8:DX9,DY8:DY9,DX12:DX13,DY12:DY13,DZ12:DZ13,DX15:DX16,DY15:DY16,DZ15:DZ16)*(2)+SUM(DX10:DZ10,DX14:DZ14,DX17:DZ17)*(4)</f>
        <v>0</v>
      </c>
      <c r="EL427">
        <v>2</v>
      </c>
      <c r="EM427">
        <f>SUM(EM$7:EM$28,EN$7:EN$28,EO$7:EO$28)*(EL427)</f>
        <v>0</v>
      </c>
      <c r="EQ427" t="s">
        <v>1018</v>
      </c>
      <c r="ER427">
        <f>SUM(ER7:ER9,ES7:ES9,ET7:ET9,ER11:ER13,ES11:ES13,ET11:ET13,ER15:ER16,ES15:ES16,ET15:ET16)*(1)+SUM(ER10:ET10,ER14:ET14,ER17:ET17)*(2)</f>
        <v>0</v>
      </c>
      <c r="EV427" t="s">
        <v>1018</v>
      </c>
      <c r="EW427">
        <f>SUM(EW7:EY7,EW11:EY11)*(3)+SUM(EW8:EW9,EX8:EX9,EY8:EY9,EW12:EW13,EX12:EX13,EY12:EY13,EW15:EW16,EX15:EX16,EY15:EY16)*(2)+SUM(EW10:EY10,EW14:EY14,EW17:EY17)*(4)</f>
        <v>0</v>
      </c>
      <c r="FA427" t="s">
        <v>1018</v>
      </c>
      <c r="FB427">
        <f>SUM(FB7:FD7,FB11:FD11)*(3)+SUM(FB8:FB9,FC8:FC9,FD8:FD9,FB12:FB13,FC12:FC13,FD12:FD13,FB15:FB16,FC15:FC16,FD15:FD16)*(1)+SUM(FB10:FD10,FB14:FD14,FB17:FD17)*(3)</f>
        <v>0</v>
      </c>
      <c r="FF427" t="s">
        <v>1018</v>
      </c>
      <c r="FG427">
        <f>SUM(FG7:FI7,FG11:FI11)*(2)+SUM(FG8:FG9,FH8:FH9,FI8:FI9,FG12:FG13,FH12:FH13,FI12:FI13,FG15:FG16,FH15:FH16,FI15:FI16)*(3)+SUM(FG10:FI10,FG14:FI14,FG17:FI17)*(6)</f>
        <v>0</v>
      </c>
      <c r="FL427" t="s">
        <v>1018</v>
      </c>
      <c r="FM427">
        <f>SUM(FM7:FO7,FM11:FO11)*(2)+SUM(FM8:FM9,FN8:FN9,FO8:FO9,FM12:FM13,FN12:FN13,FO12:FO13,FM15:FM16,FN15:FN16,FO15:FO16)*(3)+SUM(FM10:FO10,FM14:FO14,FM17:FO17)*(6)</f>
        <v>0</v>
      </c>
      <c r="FQ427" s="420">
        <f>'EXTRAS (2)'!D360</f>
        <v>0</v>
      </c>
      <c r="FR427" s="420">
        <f>'EXTRAS (2)'!E360</f>
        <v>0</v>
      </c>
      <c r="FU427" s="420">
        <f t="shared" si="174"/>
        <v>0</v>
      </c>
    </row>
    <row r="428" spans="1:177">
      <c r="A428" s="209">
        <v>3636</v>
      </c>
      <c r="B428" s="210" t="s">
        <v>27</v>
      </c>
      <c r="C428" s="390" t="s">
        <v>515</v>
      </c>
      <c r="AA428">
        <v>2</v>
      </c>
      <c r="AB428">
        <f>SUM(AB10:AJ10,AB14:AJ14,AB17:AJ17)*(AA428)</f>
        <v>0</v>
      </c>
      <c r="AL428">
        <v>2</v>
      </c>
      <c r="AM428">
        <f>SUM(AM10:AU10,AM14:AU14,AM17:AU17)*(AL428)</f>
        <v>0</v>
      </c>
      <c r="BH428" t="s">
        <v>1018</v>
      </c>
      <c r="BI428">
        <f>SUM(BI$7:BI$28,BP$7:BP$28,BQ$7:BQ$28,BJ$7:BJ$28,BK$28:BK350,BL$7:BL$28,BM$7:BM$28,BN$7:BN$28)*1</f>
        <v>0</v>
      </c>
      <c r="BS428" t="s">
        <v>1018</v>
      </c>
      <c r="BT428">
        <f>SUM(BT$7:BT$28,CA$7:CA$28,CB$7:CB$28,BU$7:BU$28,BV$28:BV350,BW$7:BW$28,BX$7:BX$28,BY$7:BY$28)*1</f>
        <v>0</v>
      </c>
      <c r="CD428">
        <v>2</v>
      </c>
      <c r="CE428">
        <f>SUM(CE10:CG10,CE14:CG14,CE17:CG17)*CD428</f>
        <v>0</v>
      </c>
      <c r="CX428">
        <v>2</v>
      </c>
      <c r="CY428">
        <f>SUM(CY10:DA10,CY14:DA14,CY17:DA17)*(CX428)</f>
        <v>0</v>
      </c>
      <c r="DC428">
        <v>1</v>
      </c>
      <c r="DD428">
        <f>SUM(DD10:DF10,DD14:DF14,DD17:DF17)*(DC428)</f>
        <v>0</v>
      </c>
      <c r="DH428" s="333">
        <v>1</v>
      </c>
      <c r="DI428">
        <f>SUM(DI10:DK10,DI14:DK14,DI17:DK17)*(DH428)</f>
        <v>0</v>
      </c>
      <c r="DM428">
        <v>1</v>
      </c>
      <c r="DN428">
        <f>SUM(DN10:DP10,DN14:DP14,DN17:DP17)*(DM428)</f>
        <v>0</v>
      </c>
      <c r="DR428" t="s">
        <v>1018</v>
      </c>
      <c r="DS428">
        <f>SUM(DS10:DU10,DS14:DU14,DS17:DU17)*(1)</f>
        <v>0</v>
      </c>
      <c r="DW428" t="s">
        <v>1017</v>
      </c>
      <c r="DX428">
        <f>SUM(DX10:DZ10,DX14:DZ14,DX17:DZ17)*(1)</f>
        <v>0</v>
      </c>
      <c r="EL428" t="s">
        <v>1017</v>
      </c>
      <c r="EM428">
        <f>SUM(EM10:EO10,EM14:EO14,EM17:EO17)*(2)</f>
        <v>0</v>
      </c>
      <c r="EQ428" t="s">
        <v>1018</v>
      </c>
      <c r="ER428">
        <f>SUM(ER10:ET10,ER14:ET14,ER17:ET17)*(1)</f>
        <v>0</v>
      </c>
      <c r="EV428" t="s">
        <v>1018</v>
      </c>
      <c r="EW428">
        <f>SUM(EW8:EW9,EX8:EX9,EY8:EY9,EW12:EW13,EX12:EX13,EY12:EY13,EW15:EW16,EX15:EX16,EY15:EY16)*(2)+SUM(EW10:EY10,EW14:EY14,EW17:EY17)*(2)</f>
        <v>0</v>
      </c>
      <c r="FA428" t="s">
        <v>1018</v>
      </c>
      <c r="FB428">
        <f>SUM(FB8:FB9,FC8:FC9,FD8:FD9,FB12:FB13,FC12:FC13,FD12:FD13,FB15:FB16,FC15:FC16,FD15:FD16)*(2)+SUM(FB10:FD10,FB14:FD14,FB17:FD17)*(2)</f>
        <v>0</v>
      </c>
      <c r="FF428" t="s">
        <v>1018</v>
      </c>
      <c r="FG428">
        <f>SUM(FG8:FG9,FH8:FH9,FI8:FI9,FG12:FG13,FH12:FH13,FI12:FI13,FG15:FG16,FH15:FH16,FI15:FI16)*(1)+SUM(FG10:FI10,FG14:FI14,FG17:FI17)*(1)</f>
        <v>0</v>
      </c>
      <c r="FL428" t="s">
        <v>1018</v>
      </c>
      <c r="FM428">
        <f>SUM(FM8:FM9,FN8:FN9,FO8:FO9,FM12:FM13,FN12:FN13,FO12:FO13,FM15:FM16,FN15:FN16,FO15:FO16)*(1)+SUM(FM10:FO10,FM14:FO14,FM17:FO17)*(1)</f>
        <v>0</v>
      </c>
      <c r="FQ428" s="420">
        <f>'EXTRAS (2)'!D361</f>
        <v>0</v>
      </c>
      <c r="FR428" s="420">
        <f>'EXTRAS (2)'!E361</f>
        <v>0</v>
      </c>
      <c r="FU428" s="420">
        <f t="shared" si="174"/>
        <v>0</v>
      </c>
    </row>
    <row r="429" spans="1:177">
      <c r="A429" s="209">
        <v>3637</v>
      </c>
      <c r="B429" s="210" t="s">
        <v>152</v>
      </c>
      <c r="C429" s="390" t="s">
        <v>515</v>
      </c>
      <c r="AM429">
        <f t="shared" ref="AM429:AM444" si="177">SUM(AM$7:AM$28,AN$7:AN$28,AO$7:AO$28,AP$7:AP$28,AQ$7:AQ$28,AR$7:AR$28,AS$7:AS$28,AT$7:AT$28,AU$7:AU$28)*(AL429)</f>
        <v>0</v>
      </c>
      <c r="BH429" t="s">
        <v>1018</v>
      </c>
      <c r="BI429">
        <f>SUM(BI10:BQ10,BI14:BQ14,BI17:BQ17)*(1)</f>
        <v>0</v>
      </c>
      <c r="BS429" t="s">
        <v>1018</v>
      </c>
      <c r="BT429">
        <f>SUM(BT10:CB10,BT14:CB14,BT17:CB17)*(1)</f>
        <v>0</v>
      </c>
      <c r="EQ429" t="s">
        <v>1018</v>
      </c>
      <c r="ER429">
        <f>SUM(ER7:ER9,ES7:ES9,ET7:ET9,ER11:ER13,ES11:ES13,ET11:ET13,ER15:ER16,ES15:ES16,ET15:ET16)*(1)</f>
        <v>0</v>
      </c>
      <c r="EV429" t="s">
        <v>1018</v>
      </c>
      <c r="EW429">
        <f>SUM(EW10:EY10,EW14:EY14,EW17:EY17)*(12)</f>
        <v>0</v>
      </c>
      <c r="FA429" t="s">
        <v>1018</v>
      </c>
      <c r="FB429">
        <f>SUM(FB10:FD10,FB14:FD14,FB17:FD17)*(12)</f>
        <v>0</v>
      </c>
      <c r="FF429" t="s">
        <v>1018</v>
      </c>
      <c r="FG429">
        <f>SUM(FG10:FI10,FG14:FI14,FG17:FI17)*(12)</f>
        <v>0</v>
      </c>
      <c r="FL429" t="s">
        <v>1018</v>
      </c>
      <c r="FM429">
        <f>SUM(FM10:FO10,FM14:FO14,FM17:FO17)*(12)</f>
        <v>0</v>
      </c>
      <c r="FQ429" s="420">
        <f>'EXTRAS (2)'!D362</f>
        <v>0</v>
      </c>
      <c r="FR429" s="420">
        <f>'EXTRAS (2)'!E362</f>
        <v>0</v>
      </c>
      <c r="FU429" s="420">
        <f t="shared" si="174"/>
        <v>0</v>
      </c>
    </row>
    <row r="430" spans="1:177">
      <c r="A430" s="209"/>
      <c r="B430" s="210" t="s">
        <v>1019</v>
      </c>
      <c r="C430" s="390" t="s">
        <v>0</v>
      </c>
      <c r="AM430">
        <f t="shared" si="177"/>
        <v>0</v>
      </c>
      <c r="BI430">
        <f>SUM(BI$7:BI$28,BP$7:BP$28,BQ$7:BQ$28,BJ$7:BJ$28,BK$28:BK353,BL$7:BL$28,BM$7:BM$28,BN$7:BN$28)*(BH430)</f>
        <v>0</v>
      </c>
      <c r="BT430">
        <f>SUM(BT$7:BT$28,CA$7:CA$28,CB$7:CB$28,BU$7:BU$28,BV$28:BV353,BW$7:BW$28,BX$7:BX$28,BY$7:BY$28)*(BS430)</f>
        <v>0</v>
      </c>
      <c r="EQ430" t="s">
        <v>1018</v>
      </c>
      <c r="ER430">
        <f>SUM(ER10:ET10,ER14:ET14,ER17:ET17)*(1)</f>
        <v>0</v>
      </c>
      <c r="FQ430" s="420">
        <f>'EXTRAS (2)'!D363</f>
        <v>0</v>
      </c>
      <c r="FR430" s="420">
        <f>'EXTRAS (2)'!E363</f>
        <v>0</v>
      </c>
      <c r="FU430" s="420">
        <f t="shared" si="174"/>
        <v>0</v>
      </c>
    </row>
    <row r="431" spans="1:177">
      <c r="A431" s="209">
        <v>3638</v>
      </c>
      <c r="B431" s="210" t="s">
        <v>236</v>
      </c>
      <c r="C431" s="390" t="s">
        <v>515</v>
      </c>
      <c r="AM431">
        <f t="shared" si="177"/>
        <v>0</v>
      </c>
      <c r="AW431" t="s">
        <v>1018</v>
      </c>
      <c r="AX431">
        <f>SUM(AX8:BF8,AX9:BF9,AX10:BF10,AX12:BF12,AX13:BF13,AX14:BF14,AX15:BF15,AX16:BF16,AX17:BF17)*2</f>
        <v>0</v>
      </c>
      <c r="BI431">
        <f>SUM(BI$7:BI$28,BP$7:BP$28,BQ$7:BQ$28,BJ$7:BJ$28,BK$28:BK356,BL$7:BL$28,BM$7:BM$28,BN$7:BN$28)*(BH431)</f>
        <v>0</v>
      </c>
      <c r="BT431">
        <f>SUM(BT$7:BT$28,CA$7:CA$28,CB$7:CB$28,BU$7:BU$28,BV$28:BV356,BW$7:BW$28,BX$7:BX$28,BY$7:BY$28)*(BS431)</f>
        <v>0</v>
      </c>
      <c r="CE431">
        <f t="shared" ref="CE431:CE444" si="178">SUM(CE$7:CE$28,CF$7:CF$28,CG$7:CG$28)*(CD431)</f>
        <v>0</v>
      </c>
      <c r="CJ431">
        <f t="shared" ref="CJ431:CJ444" si="179">SUM(CJ$7:CJ$28,CK$7:CK$28,CL$7:CL$28)*(CI431)</f>
        <v>0</v>
      </c>
      <c r="CO431">
        <f t="shared" ref="CO431:CO444" si="180">SUM(CO$7:CO$28,CP$7:CP$28,CQ$7:CQ$28)*(CN431)</f>
        <v>0</v>
      </c>
      <c r="CT431">
        <f t="shared" ref="CT431:CT444" si="181">SUM(CT$7:CT$28,CU$7:CU$28,CV$7:CV$28)*(CS431)</f>
        <v>0</v>
      </c>
      <c r="CY431">
        <f t="shared" ref="CY431:CY444" si="182">SUM(CY$7:CY$28,CZ$7:CZ$28,DA$7:DA$28)*(CX431)</f>
        <v>0</v>
      </c>
      <c r="DD431">
        <f t="shared" ref="DD431:DD444" si="183">SUM(DD$7:DD$28,DE$7:DE$28,DF$7:DF$28)*(DC431)</f>
        <v>0</v>
      </c>
      <c r="DI431">
        <f t="shared" ref="DI431:DI444" si="184">SUM(DI$7:DI$28,DJ$7:DJ$28,DK$7:DK$28)*(DH431)</f>
        <v>0</v>
      </c>
      <c r="DN431">
        <f t="shared" ref="DN431:DN440" si="185">SUM(DN$7:DN$28,DO$7:DO$28,DP$7:DP$28)*(DM431)</f>
        <v>0</v>
      </c>
      <c r="DX431">
        <f t="shared" ref="DX431:DX444" si="186">SUM(DX$7:DX$28,DY$7:DY$28,DZ$7:DZ$28)*(DW431)</f>
        <v>0</v>
      </c>
      <c r="EC431">
        <f t="shared" ref="EC431:EC474" si="187">SUM(EC$7:EC$28,ED$7:ED$28,EE$7:EE$28)*(EB431)</f>
        <v>0</v>
      </c>
      <c r="EH431">
        <f t="shared" ref="EH431:EH474" si="188">SUM(EH$7:EH$28,EI$7:EI$28,EJ$7:EJ$28)*(EG431)</f>
        <v>0</v>
      </c>
      <c r="EM431">
        <f t="shared" ref="EM431:EM442" si="189">SUM(EM$7:EM$28,EN$7:EN$28,EO$7:EO$28)*(EL431)</f>
        <v>0</v>
      </c>
      <c r="ER431">
        <f t="shared" ref="ER431:ER444" si="190">SUM(ER$7:ER$28,ES$7:ES$28,ET$7:ET$28)*(EQ431)</f>
        <v>0</v>
      </c>
      <c r="EW431">
        <f t="shared" ref="EW431:EW444" si="191">SUM(EW$7:EW$28,EX$7:EX$28,EY$7:EY$28)*(EV431)</f>
        <v>0</v>
      </c>
      <c r="FB431">
        <f t="shared" ref="FB431:FB444" si="192">SUM(FB$7:FB$28,FC$7:FC$28,FD$7:FD$28)*(FA431)</f>
        <v>0</v>
      </c>
      <c r="FG431">
        <f t="shared" ref="FG431:FG444" si="193">SUM(FG$7:FG$28,FH$7:FH$28,FI$7:FI$28)*(FF431)</f>
        <v>0</v>
      </c>
      <c r="FM431">
        <f t="shared" ref="FM431:FM444" si="194">SUM(FM$7:FM$28,FN$7:FN$28,FO$7:FO$28)*(FL431)</f>
        <v>0</v>
      </c>
      <c r="FQ431" s="420">
        <f>'EXTRAS (2)'!D364</f>
        <v>0</v>
      </c>
      <c r="FR431" s="420">
        <f>'EXTRAS (2)'!E364</f>
        <v>0</v>
      </c>
      <c r="FU431" s="420">
        <f t="shared" si="174"/>
        <v>0</v>
      </c>
    </row>
    <row r="432" spans="1:177">
      <c r="A432" s="209">
        <v>3639</v>
      </c>
      <c r="B432" s="210" t="s">
        <v>221</v>
      </c>
      <c r="C432" s="390" t="s">
        <v>515</v>
      </c>
      <c r="AM432">
        <f t="shared" si="177"/>
        <v>0</v>
      </c>
      <c r="AW432" t="s">
        <v>1018</v>
      </c>
      <c r="AX432">
        <f>SUM(AX10:BF10,AX14:BF14,AX17:BF17)*2</f>
        <v>0</v>
      </c>
      <c r="BI432">
        <f>SUM(BI$7:BI$28,BP$7:BP$28,BQ$7:BQ$28,BJ$7:BJ$28,BK$28:BK357,BL$7:BL$28,BM$7:BM$28,BN$7:BN$28)*(BH432)</f>
        <v>0</v>
      </c>
      <c r="BT432">
        <f>SUM(BT$7:BT$28,CA$7:CA$28,CB$7:CB$28,BU$7:BU$28,BV$28:BV357,BW$7:BW$28,BX$7:BX$28,BY$7:BY$28)*(BS432)</f>
        <v>0</v>
      </c>
      <c r="CE432">
        <f t="shared" si="178"/>
        <v>0</v>
      </c>
      <c r="CJ432">
        <f t="shared" si="179"/>
        <v>0</v>
      </c>
      <c r="CO432">
        <f t="shared" si="180"/>
        <v>0</v>
      </c>
      <c r="CT432">
        <f t="shared" si="181"/>
        <v>0</v>
      </c>
      <c r="CY432">
        <f t="shared" si="182"/>
        <v>0</v>
      </c>
      <c r="DD432">
        <f t="shared" si="183"/>
        <v>0</v>
      </c>
      <c r="DI432">
        <f t="shared" si="184"/>
        <v>0</v>
      </c>
      <c r="DN432">
        <f t="shared" si="185"/>
        <v>0</v>
      </c>
      <c r="DX432">
        <f t="shared" si="186"/>
        <v>0</v>
      </c>
      <c r="EC432">
        <f t="shared" si="187"/>
        <v>0</v>
      </c>
      <c r="EH432">
        <f t="shared" si="188"/>
        <v>0</v>
      </c>
      <c r="EM432">
        <f t="shared" si="189"/>
        <v>0</v>
      </c>
      <c r="ER432">
        <f t="shared" si="190"/>
        <v>0</v>
      </c>
      <c r="EW432">
        <f t="shared" si="191"/>
        <v>0</v>
      </c>
      <c r="FB432">
        <f t="shared" si="192"/>
        <v>0</v>
      </c>
      <c r="FG432">
        <f t="shared" si="193"/>
        <v>0</v>
      </c>
      <c r="FM432">
        <f t="shared" si="194"/>
        <v>0</v>
      </c>
      <c r="FQ432" s="420">
        <f>'EXTRAS (2)'!D365</f>
        <v>0</v>
      </c>
      <c r="FR432" s="420">
        <f>'EXTRAS (2)'!E365</f>
        <v>0</v>
      </c>
      <c r="FU432" s="420">
        <f t="shared" si="174"/>
        <v>0</v>
      </c>
    </row>
    <row r="433" spans="1:177">
      <c r="A433" s="209">
        <v>3640</v>
      </c>
      <c r="B433" s="210" t="s">
        <v>222</v>
      </c>
      <c r="C433" s="390" t="s">
        <v>515</v>
      </c>
      <c r="AM433">
        <f t="shared" si="177"/>
        <v>0</v>
      </c>
      <c r="BI433">
        <f>SUM(BI$7:BI$28,BP$7:BP$28,BQ$7:BQ$28,BJ$7:BJ$28,BK$28:BK358,BL$7:BL$28,BM$7:BM$28,BN$7:BN$28)*(BH433)</f>
        <v>0</v>
      </c>
      <c r="BT433">
        <f>SUM(BT$7:BT$28,CA$7:CA$28,CB$7:CB$28,BU$7:BU$28,BV$28:BV358,BW$7:BW$28,BX$7:BX$28,BY$7:BY$28)*(BS433)</f>
        <v>0</v>
      </c>
      <c r="CE433">
        <f t="shared" si="178"/>
        <v>0</v>
      </c>
      <c r="CJ433">
        <f t="shared" si="179"/>
        <v>0</v>
      </c>
      <c r="CO433">
        <f t="shared" si="180"/>
        <v>0</v>
      </c>
      <c r="CT433">
        <f t="shared" si="181"/>
        <v>0</v>
      </c>
      <c r="CY433">
        <f t="shared" si="182"/>
        <v>0</v>
      </c>
      <c r="DD433">
        <f t="shared" si="183"/>
        <v>0</v>
      </c>
      <c r="DI433">
        <f t="shared" si="184"/>
        <v>0</v>
      </c>
      <c r="DN433">
        <f t="shared" si="185"/>
        <v>0</v>
      </c>
      <c r="DS433">
        <f t="shared" ref="DS433:DS444" si="195">SUM(DS$7:DS$28,DT$7:DT$28,DU$7:DU$28)*(DR433)</f>
        <v>0</v>
      </c>
      <c r="DX433">
        <f t="shared" si="186"/>
        <v>0</v>
      </c>
      <c r="EC433">
        <f t="shared" si="187"/>
        <v>0</v>
      </c>
      <c r="EH433">
        <f t="shared" si="188"/>
        <v>0</v>
      </c>
      <c r="EM433">
        <f t="shared" si="189"/>
        <v>0</v>
      </c>
      <c r="ER433">
        <f t="shared" si="190"/>
        <v>0</v>
      </c>
      <c r="EW433">
        <f t="shared" si="191"/>
        <v>0</v>
      </c>
      <c r="FB433">
        <f t="shared" si="192"/>
        <v>0</v>
      </c>
      <c r="FG433">
        <f t="shared" si="193"/>
        <v>0</v>
      </c>
      <c r="FM433">
        <f t="shared" si="194"/>
        <v>0</v>
      </c>
      <c r="FQ433" s="420">
        <f>'EXTRAS (2)'!D366</f>
        <v>0</v>
      </c>
      <c r="FR433" s="420">
        <f>'EXTRAS (2)'!E366</f>
        <v>0</v>
      </c>
      <c r="FU433" s="420">
        <f t="shared" si="174"/>
        <v>0</v>
      </c>
    </row>
    <row r="434" spans="1:177">
      <c r="A434" s="209">
        <v>3641</v>
      </c>
      <c r="B434" s="210" t="s">
        <v>223</v>
      </c>
      <c r="C434" s="390" t="s">
        <v>515</v>
      </c>
      <c r="AM434">
        <f t="shared" si="177"/>
        <v>0</v>
      </c>
      <c r="BI434">
        <f>SUM(BI$7:BI$28,BP$7:BP$28,BQ$7:BQ$28,BJ$7:BJ$28,BK$28:BK359,BL$7:BL$28,BM$7:BM$28,BN$7:BN$28)*(BH434)</f>
        <v>0</v>
      </c>
      <c r="BT434">
        <f>SUM(BT$7:BT$28,CA$7:CA$28,CB$7:CB$28,BU$7:BU$28,BV$28:BV359,BW$7:BW$28,BX$7:BX$28,BY$7:BY$28)*(BS434)</f>
        <v>0</v>
      </c>
      <c r="CE434">
        <f t="shared" si="178"/>
        <v>0</v>
      </c>
      <c r="CJ434">
        <f t="shared" si="179"/>
        <v>0</v>
      </c>
      <c r="CO434">
        <f t="shared" si="180"/>
        <v>0</v>
      </c>
      <c r="CT434">
        <f t="shared" si="181"/>
        <v>0</v>
      </c>
      <c r="CY434">
        <f t="shared" si="182"/>
        <v>0</v>
      </c>
      <c r="DD434">
        <f t="shared" si="183"/>
        <v>0</v>
      </c>
      <c r="DI434">
        <f t="shared" si="184"/>
        <v>0</v>
      </c>
      <c r="DN434">
        <f t="shared" si="185"/>
        <v>0</v>
      </c>
      <c r="DS434">
        <f t="shared" si="195"/>
        <v>0</v>
      </c>
      <c r="DX434">
        <f t="shared" si="186"/>
        <v>0</v>
      </c>
      <c r="EC434">
        <f t="shared" si="187"/>
        <v>0</v>
      </c>
      <c r="EH434">
        <f t="shared" si="188"/>
        <v>0</v>
      </c>
      <c r="EM434">
        <f t="shared" si="189"/>
        <v>0</v>
      </c>
      <c r="ER434">
        <f t="shared" si="190"/>
        <v>0</v>
      </c>
      <c r="EW434">
        <f t="shared" si="191"/>
        <v>0</v>
      </c>
      <c r="FB434">
        <f t="shared" si="192"/>
        <v>0</v>
      </c>
      <c r="FG434">
        <f t="shared" si="193"/>
        <v>0</v>
      </c>
      <c r="FM434">
        <f t="shared" si="194"/>
        <v>0</v>
      </c>
      <c r="FQ434" s="420">
        <f>'EXTRAS (2)'!D367</f>
        <v>0</v>
      </c>
      <c r="FR434" s="420">
        <f>'EXTRAS (2)'!E367</f>
        <v>0</v>
      </c>
      <c r="FU434" s="420">
        <f t="shared" si="174"/>
        <v>0</v>
      </c>
    </row>
    <row r="435" spans="1:177">
      <c r="A435" s="209">
        <v>3642</v>
      </c>
      <c r="B435" s="210" t="s">
        <v>228</v>
      </c>
      <c r="C435" s="390" t="s">
        <v>515</v>
      </c>
      <c r="AM435">
        <f t="shared" si="177"/>
        <v>0</v>
      </c>
      <c r="BI435">
        <f>SUM(BI$7:BI$28,BP$7:BP$28,BQ$7:BQ$28,BJ$7:BJ$28,BK$28:BK360,BL$7:BL$28,BM$7:BM$28,BN$7:BN$28)*(BH435)</f>
        <v>0</v>
      </c>
      <c r="BT435">
        <f>SUM(BT$7:BT$28,CA$7:CA$28,CB$7:CB$28,BU$7:BU$28,BV$28:BV360,BW$7:BW$28,BX$7:BX$28,BY$7:BY$28)*(BS435)</f>
        <v>0</v>
      </c>
      <c r="CE435">
        <f t="shared" si="178"/>
        <v>0</v>
      </c>
      <c r="CJ435">
        <f t="shared" si="179"/>
        <v>0</v>
      </c>
      <c r="CO435">
        <f t="shared" si="180"/>
        <v>0</v>
      </c>
      <c r="CT435">
        <f t="shared" si="181"/>
        <v>0</v>
      </c>
      <c r="CY435">
        <f t="shared" si="182"/>
        <v>0</v>
      </c>
      <c r="DD435">
        <f t="shared" si="183"/>
        <v>0</v>
      </c>
      <c r="DI435">
        <f t="shared" si="184"/>
        <v>0</v>
      </c>
      <c r="DN435">
        <f t="shared" si="185"/>
        <v>0</v>
      </c>
      <c r="DS435">
        <f t="shared" si="195"/>
        <v>0</v>
      </c>
      <c r="DX435">
        <f t="shared" si="186"/>
        <v>0</v>
      </c>
      <c r="EC435">
        <f t="shared" si="187"/>
        <v>0</v>
      </c>
      <c r="EH435">
        <f t="shared" si="188"/>
        <v>0</v>
      </c>
      <c r="EM435">
        <f t="shared" si="189"/>
        <v>0</v>
      </c>
      <c r="ER435">
        <f t="shared" si="190"/>
        <v>0</v>
      </c>
      <c r="EW435">
        <f t="shared" si="191"/>
        <v>0</v>
      </c>
      <c r="FB435">
        <f t="shared" si="192"/>
        <v>0</v>
      </c>
      <c r="FG435">
        <f t="shared" si="193"/>
        <v>0</v>
      </c>
      <c r="FM435">
        <f t="shared" si="194"/>
        <v>0</v>
      </c>
      <c r="FQ435" s="420">
        <f>'EXTRAS (2)'!D368</f>
        <v>0</v>
      </c>
      <c r="FR435" s="420">
        <f>'EXTRAS (2)'!E368</f>
        <v>0</v>
      </c>
      <c r="FU435" s="420">
        <f t="shared" si="174"/>
        <v>0</v>
      </c>
    </row>
    <row r="436" spans="1:177">
      <c r="B436" s="399" t="s">
        <v>953</v>
      </c>
      <c r="C436" s="400" t="s">
        <v>0</v>
      </c>
      <c r="AM436">
        <f t="shared" si="177"/>
        <v>0</v>
      </c>
      <c r="BI436">
        <f>SUM(BI$7:BI$28,BP$7:BP$28,BQ$7:BQ$28,BJ$7:BJ$28,BK$28:BK361,BL$7:BL$28,BM$7:BM$28,BN$7:BN$28)*(BH436)</f>
        <v>0</v>
      </c>
      <c r="BT436">
        <f>SUM(BT$7:BT$28,CA$7:CA$28,CB$7:CB$28,BU$7:BU$28,BV$28:BV361,BW$7:BW$28,BX$7:BX$28,BY$7:BY$28)*(BS436)</f>
        <v>0</v>
      </c>
      <c r="CE436">
        <f t="shared" si="178"/>
        <v>0</v>
      </c>
      <c r="CJ436">
        <f t="shared" si="179"/>
        <v>0</v>
      </c>
      <c r="CO436">
        <f t="shared" si="180"/>
        <v>0</v>
      </c>
      <c r="CT436">
        <f t="shared" si="181"/>
        <v>0</v>
      </c>
      <c r="CY436">
        <f t="shared" si="182"/>
        <v>0</v>
      </c>
      <c r="DD436">
        <f t="shared" si="183"/>
        <v>0</v>
      </c>
      <c r="DI436">
        <f t="shared" si="184"/>
        <v>0</v>
      </c>
      <c r="DN436">
        <f t="shared" si="185"/>
        <v>0</v>
      </c>
      <c r="DS436">
        <f t="shared" si="195"/>
        <v>0</v>
      </c>
      <c r="DX436">
        <f t="shared" si="186"/>
        <v>0</v>
      </c>
      <c r="EC436">
        <f t="shared" si="187"/>
        <v>0</v>
      </c>
      <c r="EH436">
        <f t="shared" si="188"/>
        <v>0</v>
      </c>
      <c r="EM436">
        <f t="shared" si="189"/>
        <v>0</v>
      </c>
      <c r="ER436">
        <f t="shared" si="190"/>
        <v>0</v>
      </c>
      <c r="EW436">
        <f t="shared" si="191"/>
        <v>0</v>
      </c>
      <c r="FB436">
        <f t="shared" si="192"/>
        <v>0</v>
      </c>
      <c r="FG436">
        <f t="shared" si="193"/>
        <v>0</v>
      </c>
      <c r="FM436">
        <f t="shared" si="194"/>
        <v>0</v>
      </c>
      <c r="FQ436" s="420">
        <f>'EXTRAS (2)'!D369</f>
        <v>0</v>
      </c>
      <c r="FR436" s="420">
        <f>'EXTRAS (2)'!E369</f>
        <v>0</v>
      </c>
      <c r="FU436" s="420">
        <f t="shared" si="174"/>
        <v>0</v>
      </c>
    </row>
    <row r="437" spans="1:177">
      <c r="B437" s="399" t="s">
        <v>1002</v>
      </c>
      <c r="C437" s="400" t="s">
        <v>0</v>
      </c>
      <c r="AM437">
        <f t="shared" si="177"/>
        <v>0</v>
      </c>
      <c r="AW437">
        <v>0</v>
      </c>
      <c r="BI437">
        <f>SUM(BI$7:BI$28,BP$7:BP$28,BQ$7:BQ$28,BJ$7:BJ$28,BK$28:BK362,BL$7:BL$28,BM$7:BM$28,BN$7:BN$28)*(BH437)</f>
        <v>0</v>
      </c>
      <c r="BT437">
        <f>SUM(BT$7:BT$28,CA$7:CA$28,CB$7:CB$28,BU$7:BU$28,BV$28:BV362,BW$7:BW$28,BX$7:BX$28,BY$7:BY$28)*(BS437)</f>
        <v>0</v>
      </c>
      <c r="CE437">
        <f t="shared" si="178"/>
        <v>0</v>
      </c>
      <c r="CJ437">
        <f t="shared" si="179"/>
        <v>0</v>
      </c>
      <c r="CO437">
        <f t="shared" si="180"/>
        <v>0</v>
      </c>
      <c r="CT437">
        <f t="shared" si="181"/>
        <v>0</v>
      </c>
      <c r="CY437">
        <f t="shared" si="182"/>
        <v>0</v>
      </c>
      <c r="DD437">
        <f t="shared" si="183"/>
        <v>0</v>
      </c>
      <c r="DI437">
        <f t="shared" si="184"/>
        <v>0</v>
      </c>
      <c r="DN437">
        <f t="shared" si="185"/>
        <v>0</v>
      </c>
      <c r="DS437">
        <f t="shared" si="195"/>
        <v>0</v>
      </c>
      <c r="DX437">
        <f t="shared" si="186"/>
        <v>0</v>
      </c>
      <c r="EC437">
        <f t="shared" si="187"/>
        <v>0</v>
      </c>
      <c r="EH437">
        <f t="shared" si="188"/>
        <v>0</v>
      </c>
      <c r="EM437">
        <f t="shared" si="189"/>
        <v>0</v>
      </c>
      <c r="ER437">
        <f t="shared" si="190"/>
        <v>0</v>
      </c>
      <c r="EV437" s="897">
        <v>3</v>
      </c>
      <c r="EW437" s="897">
        <f t="shared" si="191"/>
        <v>0</v>
      </c>
      <c r="EX437" s="897"/>
      <c r="EY437" s="897"/>
      <c r="EZ437" s="897"/>
      <c r="FA437" s="897">
        <v>3</v>
      </c>
      <c r="FB437" s="897">
        <f t="shared" si="192"/>
        <v>0</v>
      </c>
      <c r="FC437" s="897"/>
      <c r="FD437" s="897"/>
      <c r="FE437" s="897"/>
      <c r="FF437" s="897">
        <v>3</v>
      </c>
      <c r="FG437" s="897">
        <f t="shared" si="193"/>
        <v>0</v>
      </c>
      <c r="FH437" s="897"/>
      <c r="FI437" s="897"/>
      <c r="FJ437" s="897"/>
      <c r="FK437" s="897"/>
      <c r="FL437" s="897">
        <v>3</v>
      </c>
      <c r="FM437">
        <f t="shared" si="194"/>
        <v>0</v>
      </c>
      <c r="FQ437" s="420">
        <f>'EXTRAS (2)'!D370</f>
        <v>0</v>
      </c>
      <c r="FR437" s="420">
        <f>'EXTRAS (2)'!E370</f>
        <v>0</v>
      </c>
      <c r="FU437" s="420">
        <f t="shared" si="174"/>
        <v>0</v>
      </c>
    </row>
    <row r="438" spans="1:177">
      <c r="B438" s="399" t="s">
        <v>1013</v>
      </c>
      <c r="C438" s="400" t="s">
        <v>0</v>
      </c>
      <c r="AA438">
        <v>1</v>
      </c>
      <c r="AB438">
        <f t="shared" ref="AB438:AB444" si="196">SUM(AB$7:AB$28,AC$7:AC$28,AD$7:AD$28,AE$7:AE$28,AF$7:AF$28,AG$7:AG$28,AH$7:AH$28,AI$7:AI$28,AJ$7:AJ$28)*(AA438)</f>
        <v>0</v>
      </c>
      <c r="AL438">
        <v>1</v>
      </c>
      <c r="AM438">
        <f t="shared" si="177"/>
        <v>0</v>
      </c>
      <c r="BI438">
        <f>SUM(BI$7:BI$28,BP$7:BP$28,BQ$7:BQ$28,BJ$7:BJ$28,BK$28:BK363,BL$7:BL$28,BM$7:BM$28,BN$7:BN$28)*(BH438)</f>
        <v>0</v>
      </c>
      <c r="BT438">
        <f>SUM(BT$7:BT$28,CA$7:CA$28,CB$7:CB$28,BU$7:BU$28,BV$28:BV363,BW$7:BW$28,BX$7:BX$28,BY$7:BY$28)*(BS438)</f>
        <v>0</v>
      </c>
      <c r="CE438">
        <f t="shared" si="178"/>
        <v>0</v>
      </c>
      <c r="CJ438">
        <f t="shared" si="179"/>
        <v>0</v>
      </c>
      <c r="CO438">
        <f t="shared" si="180"/>
        <v>0</v>
      </c>
      <c r="CT438">
        <f t="shared" si="181"/>
        <v>0</v>
      </c>
      <c r="CY438">
        <f t="shared" si="182"/>
        <v>0</v>
      </c>
      <c r="DC438">
        <v>1</v>
      </c>
      <c r="DD438">
        <f t="shared" si="183"/>
        <v>0</v>
      </c>
      <c r="DH438">
        <v>2</v>
      </c>
      <c r="DI438">
        <f t="shared" si="184"/>
        <v>0</v>
      </c>
      <c r="DM438">
        <v>1</v>
      </c>
      <c r="DN438">
        <f t="shared" si="185"/>
        <v>0</v>
      </c>
      <c r="DS438">
        <f t="shared" si="195"/>
        <v>0</v>
      </c>
      <c r="DX438">
        <f t="shared" si="186"/>
        <v>0</v>
      </c>
      <c r="EC438">
        <f t="shared" si="187"/>
        <v>0</v>
      </c>
      <c r="EH438">
        <f t="shared" si="188"/>
        <v>0</v>
      </c>
      <c r="EL438">
        <v>1</v>
      </c>
      <c r="EM438">
        <f t="shared" si="189"/>
        <v>0</v>
      </c>
      <c r="EQ438">
        <v>1</v>
      </c>
      <c r="ER438">
        <f t="shared" si="190"/>
        <v>0</v>
      </c>
      <c r="EW438">
        <f t="shared" si="191"/>
        <v>0</v>
      </c>
      <c r="FB438">
        <f t="shared" si="192"/>
        <v>0</v>
      </c>
      <c r="FF438">
        <v>1</v>
      </c>
      <c r="FG438">
        <f t="shared" si="193"/>
        <v>0</v>
      </c>
      <c r="FL438">
        <v>1</v>
      </c>
      <c r="FM438">
        <f t="shared" si="194"/>
        <v>0</v>
      </c>
      <c r="FQ438" s="420">
        <f>'EXTRAS (2)'!D371</f>
        <v>0</v>
      </c>
      <c r="FR438" s="420">
        <f>'EXTRAS (2)'!E371</f>
        <v>0</v>
      </c>
      <c r="FU438" s="420">
        <f t="shared" si="174"/>
        <v>0</v>
      </c>
    </row>
    <row r="439" spans="1:177">
      <c r="B439" s="399" t="s">
        <v>1711</v>
      </c>
      <c r="C439" s="400" t="s">
        <v>0</v>
      </c>
      <c r="E439">
        <v>3</v>
      </c>
      <c r="F439">
        <f>SUM(F$7:F$28,M$7:M$28,N$7:N$28,G$7:G$28,H$7:H$28,I$7:I$28,J$7:J$28,K$7:K$28,L$7:L$28)*(E439)</f>
        <v>0</v>
      </c>
      <c r="P439">
        <v>3</v>
      </c>
      <c r="Q439">
        <f>SUM(Q$7:Q$28,X$7:X$28,Y$7:Y$28,R$7:R$28,S$7:S$28,T$7:T$28,U$7:U$28,V$7:V$28,W$7:W$28)*(P439)</f>
        <v>0</v>
      </c>
      <c r="AB439">
        <f t="shared" si="196"/>
        <v>0</v>
      </c>
      <c r="AM439">
        <f t="shared" si="177"/>
        <v>0</v>
      </c>
      <c r="BI439">
        <f>SUM(BI$7:BI$28,BP$7:BP$28,BQ$7:BQ$28,BJ$7:BJ$28,BK$28:BK364,BL$7:BL$28,BM$7:BM$28,BN$7:BN$28)*(BH439)</f>
        <v>0</v>
      </c>
      <c r="BT439">
        <f>SUM(BT$7:BT$28,CA$7:CA$28,CB$7:CB$28,BU$7:BU$28,BV$28:BV364,BW$7:BW$28,BX$7:BX$28,BY$7:BY$28)*(BS439)</f>
        <v>0</v>
      </c>
      <c r="CE439">
        <f t="shared" si="178"/>
        <v>0</v>
      </c>
      <c r="CJ439">
        <f t="shared" si="179"/>
        <v>0</v>
      </c>
      <c r="CO439">
        <f t="shared" si="180"/>
        <v>0</v>
      </c>
      <c r="CT439">
        <f t="shared" si="181"/>
        <v>0</v>
      </c>
      <c r="CX439">
        <v>3</v>
      </c>
      <c r="CY439">
        <f t="shared" si="182"/>
        <v>0</v>
      </c>
      <c r="DD439">
        <f t="shared" si="183"/>
        <v>0</v>
      </c>
      <c r="DH439">
        <v>1</v>
      </c>
      <c r="DI439">
        <f t="shared" si="184"/>
        <v>0</v>
      </c>
      <c r="DM439">
        <v>2</v>
      </c>
      <c r="DN439">
        <f t="shared" si="185"/>
        <v>0</v>
      </c>
      <c r="DR439">
        <v>3</v>
      </c>
      <c r="DS439">
        <f t="shared" si="195"/>
        <v>0</v>
      </c>
      <c r="DW439">
        <v>3</v>
      </c>
      <c r="DX439">
        <f t="shared" si="186"/>
        <v>0</v>
      </c>
      <c r="EC439">
        <f t="shared" si="187"/>
        <v>0</v>
      </c>
      <c r="EH439">
        <f t="shared" si="188"/>
        <v>0</v>
      </c>
      <c r="EM439">
        <f t="shared" si="189"/>
        <v>0</v>
      </c>
      <c r="ER439">
        <f t="shared" si="190"/>
        <v>0</v>
      </c>
      <c r="EV439" s="897">
        <v>3</v>
      </c>
      <c r="EW439">
        <f t="shared" si="191"/>
        <v>0</v>
      </c>
      <c r="FB439">
        <f t="shared" si="192"/>
        <v>0</v>
      </c>
      <c r="FG439">
        <f t="shared" si="193"/>
        <v>0</v>
      </c>
      <c r="FM439">
        <f t="shared" si="194"/>
        <v>0</v>
      </c>
      <c r="FQ439" s="420">
        <f>'EXTRAS (2)'!D372</f>
        <v>0</v>
      </c>
      <c r="FR439" s="420">
        <f>'EXTRAS (2)'!E372</f>
        <v>0</v>
      </c>
      <c r="FU439" s="420">
        <f t="shared" si="174"/>
        <v>0</v>
      </c>
    </row>
    <row r="440" spans="1:177">
      <c r="B440" s="399" t="s">
        <v>1710</v>
      </c>
      <c r="C440" s="400" t="s">
        <v>0</v>
      </c>
      <c r="AB440">
        <f t="shared" si="196"/>
        <v>0</v>
      </c>
      <c r="AM440">
        <f t="shared" si="177"/>
        <v>0</v>
      </c>
      <c r="AW440">
        <v>3</v>
      </c>
      <c r="AX440">
        <f>SUM(AX7:BF28)*AW440</f>
        <v>0</v>
      </c>
      <c r="BI440">
        <f>SUM(BI$7:BI$28,BP$7:BP$28,BQ$7:BQ$28,BJ$7:BJ$28,BK$28:BK365,BL$7:BL$28,BM$7:BM$28,BN$7:BN$28)*(BH440)</f>
        <v>0</v>
      </c>
      <c r="BT440">
        <f>SUM(BT$7:BT$28,CA$7:CA$28,CB$7:CB$28,BU$7:BU$28,BV$28:BV365,BW$7:BW$28,BX$7:BX$28,BY$7:BY$28)*(BS440)</f>
        <v>0</v>
      </c>
      <c r="CE440">
        <f t="shared" si="178"/>
        <v>0</v>
      </c>
      <c r="CJ440">
        <f t="shared" si="179"/>
        <v>0</v>
      </c>
      <c r="CO440">
        <f t="shared" si="180"/>
        <v>0</v>
      </c>
      <c r="CT440">
        <f t="shared" si="181"/>
        <v>0</v>
      </c>
      <c r="CY440">
        <f t="shared" si="182"/>
        <v>0</v>
      </c>
      <c r="DD440">
        <f t="shared" si="183"/>
        <v>0</v>
      </c>
      <c r="DI440">
        <f t="shared" si="184"/>
        <v>0</v>
      </c>
      <c r="DN440">
        <f t="shared" si="185"/>
        <v>0</v>
      </c>
      <c r="DS440">
        <f t="shared" si="195"/>
        <v>0</v>
      </c>
      <c r="DX440">
        <f t="shared" si="186"/>
        <v>0</v>
      </c>
      <c r="EC440">
        <f t="shared" si="187"/>
        <v>0</v>
      </c>
      <c r="EH440">
        <f t="shared" si="188"/>
        <v>0</v>
      </c>
      <c r="ER440">
        <f t="shared" si="190"/>
        <v>0</v>
      </c>
      <c r="EW440">
        <f t="shared" si="191"/>
        <v>0</v>
      </c>
      <c r="FB440">
        <f t="shared" si="192"/>
        <v>0</v>
      </c>
      <c r="FG440">
        <f t="shared" si="193"/>
        <v>0</v>
      </c>
      <c r="FM440">
        <f t="shared" si="194"/>
        <v>0</v>
      </c>
      <c r="FQ440" s="420">
        <f>'EXTRAS (2)'!D373</f>
        <v>0</v>
      </c>
      <c r="FR440" s="420">
        <f>'EXTRAS (2)'!E373</f>
        <v>0</v>
      </c>
      <c r="FU440" s="420">
        <f t="shared" si="174"/>
        <v>0</v>
      </c>
    </row>
    <row r="441" spans="1:177">
      <c r="A441" s="414">
        <v>10001811</v>
      </c>
      <c r="B441" s="210" t="s">
        <v>1706</v>
      </c>
      <c r="C441" s="473" t="s">
        <v>515</v>
      </c>
      <c r="AB441">
        <f t="shared" si="196"/>
        <v>0</v>
      </c>
      <c r="AM441">
        <f t="shared" si="177"/>
        <v>0</v>
      </c>
      <c r="BI441">
        <f>SUM(BI$7:BI$28,BP$7:BP$28,BQ$7:BQ$28,BJ$7:BJ$28,BK$28:BK366,BL$7:BL$28,BM$7:BM$28,BN$7:BN$28)*(BH441)</f>
        <v>0</v>
      </c>
      <c r="BT441">
        <f>SUM(BT$7:BT$28,CA$7:CA$28,CB$7:CB$28,BU$7:BU$28,BV$28:BV366,BW$7:BW$28,BX$7:BX$28,BY$7:BY$28)*(BS441)</f>
        <v>0</v>
      </c>
      <c r="CE441">
        <f t="shared" si="178"/>
        <v>0</v>
      </c>
      <c r="CJ441">
        <f t="shared" si="179"/>
        <v>0</v>
      </c>
      <c r="CO441">
        <f t="shared" si="180"/>
        <v>0</v>
      </c>
      <c r="CT441">
        <f t="shared" si="181"/>
        <v>0</v>
      </c>
      <c r="CY441">
        <f t="shared" si="182"/>
        <v>0</v>
      </c>
      <c r="DD441">
        <f t="shared" si="183"/>
        <v>0</v>
      </c>
      <c r="DI441">
        <f t="shared" si="184"/>
        <v>0</v>
      </c>
      <c r="DM441">
        <v>1</v>
      </c>
      <c r="DN441">
        <f>SUM(DN18:DP28)*(DM441)</f>
        <v>0</v>
      </c>
      <c r="DS441">
        <f t="shared" si="195"/>
        <v>0</v>
      </c>
      <c r="DX441">
        <f t="shared" si="186"/>
        <v>0</v>
      </c>
      <c r="EC441">
        <f t="shared" si="187"/>
        <v>0</v>
      </c>
      <c r="EH441">
        <f t="shared" si="188"/>
        <v>0</v>
      </c>
      <c r="EM441">
        <f>SUM(EM18:EO28)*(EL441)</f>
        <v>0</v>
      </c>
      <c r="ER441">
        <f t="shared" si="190"/>
        <v>0</v>
      </c>
      <c r="EW441">
        <f t="shared" si="191"/>
        <v>0</v>
      </c>
      <c r="FB441">
        <f t="shared" si="192"/>
        <v>0</v>
      </c>
      <c r="FG441">
        <f t="shared" si="193"/>
        <v>0</v>
      </c>
      <c r="FM441">
        <f t="shared" si="194"/>
        <v>0</v>
      </c>
      <c r="FQ441" s="420">
        <f>'EXTRAS (2)'!D374</f>
        <v>0</v>
      </c>
      <c r="FR441" s="420">
        <f>'EXTRAS (2)'!E374</f>
        <v>0</v>
      </c>
      <c r="FU441" s="420">
        <f t="shared" si="174"/>
        <v>0</v>
      </c>
    </row>
    <row r="442" spans="1:177">
      <c r="A442" s="414"/>
      <c r="B442" s="210" t="s">
        <v>1707</v>
      </c>
      <c r="C442" s="473" t="s">
        <v>515</v>
      </c>
      <c r="AB442">
        <f t="shared" si="196"/>
        <v>0</v>
      </c>
      <c r="AM442">
        <f t="shared" si="177"/>
        <v>0</v>
      </c>
      <c r="BI442">
        <f>SUM(BI$7:BI$28,BP$7:BP$28,BQ$7:BQ$28,BJ$7:BJ$28,BK$28:BK367,BL$7:BL$28,BM$7:BM$28,BN$7:BN$28)*(BH442)</f>
        <v>0</v>
      </c>
      <c r="BT442">
        <f>SUM(BT$7:BT$28,CA$7:CA$28,CB$7:CB$28,BU$7:BU$28,BV$28:BV367,BW$7:BW$28,BX$7:BX$28,BY$7:BY$28)*(BS442)</f>
        <v>0</v>
      </c>
      <c r="CE442">
        <f t="shared" si="178"/>
        <v>0</v>
      </c>
      <c r="CJ442">
        <f t="shared" si="179"/>
        <v>0</v>
      </c>
      <c r="CO442">
        <f t="shared" si="180"/>
        <v>0</v>
      </c>
      <c r="CT442">
        <f t="shared" si="181"/>
        <v>0</v>
      </c>
      <c r="CY442">
        <f t="shared" si="182"/>
        <v>0</v>
      </c>
      <c r="DD442">
        <f t="shared" si="183"/>
        <v>0</v>
      </c>
      <c r="DI442">
        <f t="shared" si="184"/>
        <v>0</v>
      </c>
      <c r="DM442">
        <v>1</v>
      </c>
      <c r="DN442">
        <f>SUM(DN7:DP7,DN11:DP11)*(DM442)</f>
        <v>0</v>
      </c>
      <c r="DS442">
        <f t="shared" si="195"/>
        <v>0</v>
      </c>
      <c r="DX442">
        <f t="shared" si="186"/>
        <v>0</v>
      </c>
      <c r="EC442">
        <f t="shared" si="187"/>
        <v>0</v>
      </c>
      <c r="EH442">
        <f t="shared" si="188"/>
        <v>0</v>
      </c>
      <c r="EM442">
        <f t="shared" si="189"/>
        <v>0</v>
      </c>
      <c r="ER442">
        <f t="shared" si="190"/>
        <v>0</v>
      </c>
      <c r="EW442">
        <f t="shared" si="191"/>
        <v>0</v>
      </c>
      <c r="FB442">
        <f t="shared" si="192"/>
        <v>0</v>
      </c>
      <c r="FG442">
        <f t="shared" si="193"/>
        <v>0</v>
      </c>
      <c r="FL442">
        <v>3</v>
      </c>
      <c r="FM442">
        <f t="shared" si="194"/>
        <v>0</v>
      </c>
      <c r="FQ442" s="420">
        <f>'EXTRAS (2)'!D375</f>
        <v>0</v>
      </c>
      <c r="FR442" s="420">
        <f>'EXTRAS (2)'!E375</f>
        <v>0</v>
      </c>
      <c r="FU442" s="420">
        <f t="shared" si="174"/>
        <v>0</v>
      </c>
    </row>
    <row r="443" spans="1:177">
      <c r="A443" s="414">
        <v>10001808</v>
      </c>
      <c r="B443" s="210" t="s">
        <v>1708</v>
      </c>
      <c r="C443" s="473" t="s">
        <v>515</v>
      </c>
      <c r="E443">
        <v>1</v>
      </c>
      <c r="F443">
        <f>SUM(F$7:F$28,G$7:G$28,H$7:H$28,I$7:I$28,J$7:J$28,K$7:K$28,L$7:L$28,M$7:M$28,N$7:N$28)*(E443)</f>
        <v>0</v>
      </c>
      <c r="AA443">
        <v>1</v>
      </c>
      <c r="AB443">
        <f t="shared" si="196"/>
        <v>0</v>
      </c>
      <c r="AM443">
        <f t="shared" si="177"/>
        <v>0</v>
      </c>
      <c r="BI443">
        <f>SUM(BI$7:BI$28,BP$7:BP$28,BQ$7:BQ$28,BJ$7:BJ$28,BK$28:BK368,BL$7:BL$28,BM$7:BM$28,BN$7:BN$28)*(BH443)</f>
        <v>0</v>
      </c>
      <c r="BT443">
        <f>SUM(BT$7:BT$28,CA$7:CA$28,CB$7:CB$28,BU$7:BU$28,BV$28:BV368,BW$7:BW$28,BX$7:BX$28,BY$7:BY$28)*(BS443)</f>
        <v>0</v>
      </c>
      <c r="CE443">
        <f t="shared" si="178"/>
        <v>0</v>
      </c>
      <c r="CJ443">
        <f t="shared" si="179"/>
        <v>0</v>
      </c>
      <c r="CO443">
        <f t="shared" si="180"/>
        <v>0</v>
      </c>
      <c r="CT443">
        <f t="shared" si="181"/>
        <v>0</v>
      </c>
      <c r="CY443">
        <f t="shared" si="182"/>
        <v>0</v>
      </c>
      <c r="DD443">
        <f t="shared" si="183"/>
        <v>0</v>
      </c>
      <c r="DI443">
        <f t="shared" si="184"/>
        <v>0</v>
      </c>
      <c r="DM443">
        <v>1</v>
      </c>
      <c r="DN443">
        <f>SUM(DN8:DP9,DN12:DP13,DN15:DP16)*(DM443)</f>
        <v>0</v>
      </c>
      <c r="DS443">
        <f t="shared" si="195"/>
        <v>0</v>
      </c>
      <c r="DX443">
        <f t="shared" si="186"/>
        <v>0</v>
      </c>
      <c r="EC443">
        <f t="shared" si="187"/>
        <v>0</v>
      </c>
      <c r="EH443">
        <f t="shared" si="188"/>
        <v>0</v>
      </c>
      <c r="EM443">
        <f>SUM(EM7:EO9,EM11:EO13,EM15:EO16)*(EL443)</f>
        <v>0</v>
      </c>
      <c r="ER443">
        <f t="shared" si="190"/>
        <v>0</v>
      </c>
      <c r="EW443">
        <f t="shared" si="191"/>
        <v>0</v>
      </c>
      <c r="FB443">
        <f t="shared" si="192"/>
        <v>0</v>
      </c>
      <c r="FG443">
        <f t="shared" si="193"/>
        <v>0</v>
      </c>
      <c r="FM443">
        <f t="shared" si="194"/>
        <v>0</v>
      </c>
      <c r="FQ443" s="420">
        <f>'EXTRAS (2)'!D376</f>
        <v>0</v>
      </c>
      <c r="FR443" s="420">
        <f>'EXTRAS (2)'!E376</f>
        <v>0</v>
      </c>
      <c r="FU443" s="420">
        <f t="shared" si="174"/>
        <v>0</v>
      </c>
    </row>
    <row r="444" spans="1:177">
      <c r="A444" s="414"/>
      <c r="B444" s="210" t="s">
        <v>1709</v>
      </c>
      <c r="C444" s="473" t="s">
        <v>515</v>
      </c>
      <c r="AB444">
        <f t="shared" si="196"/>
        <v>0</v>
      </c>
      <c r="AM444">
        <f t="shared" si="177"/>
        <v>0</v>
      </c>
      <c r="BI444">
        <f>SUM(BI$7:BI$28,BP$7:BP$28,BQ$7:BQ$28,BJ$7:BJ$28,BK$28:BK369,BL$7:BL$28,BM$7:BM$28,BN$7:BN$28)*(BH444)</f>
        <v>0</v>
      </c>
      <c r="BT444">
        <f>SUM(BT$7:BT$28,CA$7:CA$28,CB$7:CB$28,BU$7:BU$28,BV$28:BV369,BW$7:BW$28,BX$7:BX$28,BY$7:BY$28)*(BS444)</f>
        <v>0</v>
      </c>
      <c r="CE444">
        <f t="shared" si="178"/>
        <v>0</v>
      </c>
      <c r="CJ444">
        <f t="shared" si="179"/>
        <v>0</v>
      </c>
      <c r="CO444">
        <f t="shared" si="180"/>
        <v>0</v>
      </c>
      <c r="CT444">
        <f t="shared" si="181"/>
        <v>0</v>
      </c>
      <c r="CY444">
        <f t="shared" si="182"/>
        <v>0</v>
      </c>
      <c r="DD444">
        <f t="shared" si="183"/>
        <v>0</v>
      </c>
      <c r="DI444">
        <f t="shared" si="184"/>
        <v>0</v>
      </c>
      <c r="DM444">
        <v>1</v>
      </c>
      <c r="DN444">
        <f>SUM(DN10:DP10,DN14:DP14,DN17:DP17)*(DM444)</f>
        <v>0</v>
      </c>
      <c r="DS444">
        <f t="shared" si="195"/>
        <v>0</v>
      </c>
      <c r="DX444">
        <f t="shared" si="186"/>
        <v>0</v>
      </c>
      <c r="EC444">
        <f t="shared" si="187"/>
        <v>0</v>
      </c>
      <c r="EH444">
        <f t="shared" si="188"/>
        <v>0</v>
      </c>
      <c r="EM444">
        <f>SUM(EM10:EO10,EM14:EO14,EM17:EO17)*EL444</f>
        <v>0</v>
      </c>
      <c r="ER444">
        <f t="shared" si="190"/>
        <v>0</v>
      </c>
      <c r="EW444">
        <f t="shared" si="191"/>
        <v>0</v>
      </c>
      <c r="FB444">
        <f t="shared" si="192"/>
        <v>0</v>
      </c>
      <c r="FG444">
        <f t="shared" si="193"/>
        <v>0</v>
      </c>
      <c r="FM444">
        <f t="shared" si="194"/>
        <v>0</v>
      </c>
      <c r="FQ444" s="420">
        <f>'EXTRAS (2)'!D377</f>
        <v>0</v>
      </c>
      <c r="FR444" s="420">
        <f>'EXTRAS (2)'!E377</f>
        <v>0</v>
      </c>
      <c r="FU444" s="420">
        <f t="shared" si="174"/>
        <v>0</v>
      </c>
    </row>
    <row r="445" spans="1:177">
      <c r="B445" s="399" t="s">
        <v>960</v>
      </c>
      <c r="C445" s="400" t="s">
        <v>0</v>
      </c>
      <c r="BI445">
        <f>SUM(BI$7:BI$28,BP$7:BP$28,BQ$7:BQ$28,BJ$7:BJ$28,BK$28:BK370,BL$7:BL$28,BM$7:BM$28,BN$7:BN$28)*(BH445)</f>
        <v>0</v>
      </c>
      <c r="BT445">
        <f>SUM(BT$7:BT$28,CA$7:CA$28,CB$7:CB$28,BU$7:BU$28,BV$28:BV370,BW$7:BW$28,BX$7:BX$28,BY$7:BY$28)*(BS445)</f>
        <v>0</v>
      </c>
      <c r="CD445" t="s">
        <v>1018</v>
      </c>
      <c r="CE445" s="333">
        <f>SUM(CE8:CG8,CE12:CG12,CE15:CG15,CE19:CG19,CE23:CG23,CE26:CG26)*2+SUM(CE20:CG20,CE21:CG21,CE24:CG24,CE25:CG25,CE27:CG27,CE28:CG28)*2</f>
        <v>0</v>
      </c>
      <c r="CI445" t="s">
        <v>1018</v>
      </c>
      <c r="CJ445" s="333">
        <f>SUM(CJ8:CL8,CJ12:CL12,CJ15:CL15,CJ19:CL19,CJ23:CL23,CJ26:CL26)*2+SUM(CJ20:CL20,CJ21:CL21,CJ24:CL24,CJ25:CL25,CJ27:CL27,CJ28:CL28)*2</f>
        <v>0</v>
      </c>
      <c r="CN445" t="s">
        <v>1018</v>
      </c>
      <c r="CO445" s="333">
        <f>SUM(CO8:CQ8,CO12:CQ12,CO15:CQ15,CO19:CQ19,CO23:CQ23,CO26:CQ26)*2+SUM(CO20:CQ20,CO21:CQ21,CO24:CQ24,CO25:CQ25,CO27:CQ27,CO28:CQ28)*2</f>
        <v>0</v>
      </c>
      <c r="CS445" t="s">
        <v>1018</v>
      </c>
      <c r="CT445" s="333">
        <f>SUM(CT8:CV8,CT12:CV12,CT15:CV15,CT19:CV19,CT23:CV23,CT26:CV26)*2+SUM(CT20:CV20,CT21:CV21,CT24:CV24,CT25:CV25,CT27:CV27,CT28:CV28)*2</f>
        <v>0</v>
      </c>
      <c r="CX445" t="s">
        <v>1018</v>
      </c>
      <c r="CY445" s="333">
        <f>SUM(CY8:DA8,CY12:DA12,CY15:DA15,CY19:DA19,CY23:DA23,CY26:DA26)*2+SUM(CY20:DA20,CY21:DA21,CY24:DA24,CY25:DA25,CY27:DA27,CY28:DA28)*2</f>
        <v>0</v>
      </c>
      <c r="DC445" t="s">
        <v>1018</v>
      </c>
      <c r="DD445" s="333">
        <f>SUM(DD8:DF8,DD12:DF12,DD15:DF15,DD19:DF19,DD23:DF23,DD26:DF26)*2+SUM(DD20:DF20,DD21:DF21,DD24:DF24,DD25:DF25,DD27:DF27,DD28:DF28)*2</f>
        <v>0</v>
      </c>
      <c r="DH445" t="s">
        <v>1018</v>
      </c>
      <c r="DI445" s="333">
        <f>SUM(DI8:DK8,DI12:DK12,DI15:DK15,DI19:DK19,DI23:DK23,DI26:DK26)*2+SUM(DI20:DK20,DI21:DK21,DI24:DK24,DI25:DK25,DI27:DK27,DI28:DK28)*2</f>
        <v>0</v>
      </c>
      <c r="DM445" t="s">
        <v>1018</v>
      </c>
      <c r="DN445" s="333">
        <f>SUM(DN8:DP8,DN12:DP12,DN15:DP15,DN19:DP19,DN23:DP23,DN26:DP26)*2+SUM(DN20:DP20,DN21:DP21,DN24:DP24,DN25:DP25,DN27:DP27,DN28:DP28)*2</f>
        <v>0</v>
      </c>
      <c r="DR445" t="s">
        <v>1018</v>
      </c>
      <c r="DS445" s="333">
        <f>SUM(DS8:DU8,DS12:DU12,DS15:DU15,DS19:DU19,DS23:DU23,DS26:DU26)*2+SUM(DS20:DU20,DS21:DU21,DS24:DU24,DS25:DU25,DS27:DU27,DS28:DU28)*2</f>
        <v>0</v>
      </c>
      <c r="DW445" t="s">
        <v>1018</v>
      </c>
      <c r="DX445" s="333">
        <f>SUM(DX8:DZ8,DX12:DZ12,DX15:DZ15,DX19:DZ19,DX23:DZ23,DX26:DZ26)*2+SUM(DX20:DZ20,DX21:DZ21,DX24:DZ24,DX25:DZ25,DX27:DZ27,DX28:DZ28)*2</f>
        <v>0</v>
      </c>
      <c r="EC445">
        <f t="shared" si="187"/>
        <v>0</v>
      </c>
      <c r="EH445">
        <f t="shared" si="188"/>
        <v>0</v>
      </c>
      <c r="EL445" t="s">
        <v>1018</v>
      </c>
      <c r="EM445" s="333">
        <f>SUM(EM8:EO8,EM12:EO12,EM15:EO15,EM19:EO19,EM23:EO23,EM26:EO26)*2+SUM(EM20:EO20,EM21:EO21,EM24:EO24,EM25:EO25,EM27:EO27,EM28:EO28)*2</f>
        <v>0</v>
      </c>
      <c r="EQ445" t="s">
        <v>1018</v>
      </c>
      <c r="ER445" s="333">
        <f>SUM(ER8:ET8,ER12:ET12,ER15:ET15,ER19:ET19,ER23:ET23,ER26:ET26)*2+SUM(ER20:ET20,ER21:ET21,ER24:ET24,ER25:ET25,ER27:ET27,ER28:ET28)*2</f>
        <v>0</v>
      </c>
      <c r="EV445" t="s">
        <v>1018</v>
      </c>
      <c r="EW445" s="333">
        <f>SUM(EW8:EY8,EW12:EY12,EW15:EY15,EW19:EY19,EW23:EY23,EW26:EY26)*2+SUM(EW20:EY20,EW21:EY21,EW24:EY24,EW25:EY25,EW27:EY27,EW28:EY28)*2</f>
        <v>0</v>
      </c>
      <c r="FA445" t="s">
        <v>1018</v>
      </c>
      <c r="FB445" s="333">
        <f>SUM(FB8:FD8,FB12:FD12,FB15:FD15,FB19:FD19,FB23:FD23,FB26:FD26)*2+SUM(FB20:FD20,FB21:FD21,FB24:FD24,FB25:FD25,FB27:FD27,FB28:FD28)*2</f>
        <v>0</v>
      </c>
      <c r="FF445" t="s">
        <v>1018</v>
      </c>
      <c r="FG445" s="333">
        <f>SUM(FG8:FI8,FG12:FI12,FG15:FI15,FG19:FI19,FG23:FI23,FG26:FI26)*2+SUM(FG20:FI20,FG21:FI21,FG24:FI24,FG25:FI25,FG27:FI27,FG28:FI28)*2</f>
        <v>0</v>
      </c>
      <c r="FL445" t="s">
        <v>1018</v>
      </c>
      <c r="FM445" s="333">
        <f>SUM(FM8:FO8,FM12:FO12,FM15:FO15,FM19:FO19,FM23:FO23,FM26:FO26)*2+SUM(FM20:FO20,FM21:FO21,FM24:FO24,FM25:FO25,FM27:FO27,FM28:FO28)*2</f>
        <v>0</v>
      </c>
      <c r="FQ445" s="420">
        <f>'EXTRAS (2)'!D378</f>
        <v>0</v>
      </c>
      <c r="FR445" s="420">
        <f>'EXTRAS (2)'!E378</f>
        <v>0</v>
      </c>
      <c r="FU445" s="420">
        <f t="shared" si="174"/>
        <v>0</v>
      </c>
    </row>
    <row r="446" spans="1:177" s="212" customFormat="1">
      <c r="A446" s="209">
        <v>4174</v>
      </c>
      <c r="B446" s="210" t="s">
        <v>30</v>
      </c>
      <c r="C446" s="390" t="s">
        <v>515</v>
      </c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>
        <f>SUM(BI$7:BI$28,BP$7:BP$28,BQ$7:BQ$28,BJ$7:BJ$28,BK$28:BK371,BL$7:BL$28,BM$7:BM$28,BN$7:BN$28)*(BH446)</f>
        <v>0</v>
      </c>
      <c r="BJ446"/>
      <c r="BK446"/>
      <c r="BL446"/>
      <c r="BM446"/>
      <c r="BN446"/>
      <c r="BO446"/>
      <c r="BP446"/>
      <c r="BQ446"/>
      <c r="BR446"/>
      <c r="BS446"/>
      <c r="BT446">
        <f>SUM(BT$7:BT$28,CA$7:CA$28,CB$7:CB$28,BU$7:BU$28,BV$28:BV371,BW$7:BW$28,BX$7:BX$28,BY$7:BY$28)*(BS446)</f>
        <v>0</v>
      </c>
      <c r="BU446"/>
      <c r="BV446"/>
      <c r="BW446"/>
      <c r="BX446"/>
      <c r="BY446"/>
      <c r="BZ446"/>
      <c r="CA446"/>
      <c r="CB446"/>
      <c r="CC446"/>
      <c r="CD446" s="211">
        <v>1</v>
      </c>
      <c r="CE446">
        <f t="shared" ref="CE446:CE467" si="197">CE7+CF7+CG7</f>
        <v>0</v>
      </c>
      <c r="CF446"/>
      <c r="CG446"/>
      <c r="CH446"/>
      <c r="CI446"/>
      <c r="CJ446">
        <f t="shared" ref="CJ446:CJ467" si="198">CJ7+CK7+CL7</f>
        <v>0</v>
      </c>
      <c r="CK446"/>
      <c r="CL446"/>
      <c r="CM446"/>
      <c r="CN446"/>
      <c r="CO446">
        <f t="shared" ref="CO446:CO467" si="199">CO7+CP7+CQ7</f>
        <v>0</v>
      </c>
      <c r="CP446"/>
      <c r="CQ446"/>
      <c r="CR446"/>
      <c r="CS446"/>
      <c r="CT446">
        <f t="shared" ref="CT446:CT467" si="200">CT7+CU7+CV7</f>
        <v>0</v>
      </c>
      <c r="CU446"/>
      <c r="CV446"/>
      <c r="CW446"/>
      <c r="CX446"/>
      <c r="CY446">
        <f t="shared" ref="CY446:CY467" si="201">CY7+CZ7+DA7</f>
        <v>0</v>
      </c>
      <c r="CZ446"/>
      <c r="DA446"/>
      <c r="DB446"/>
      <c r="DC446"/>
      <c r="DD446">
        <f t="shared" ref="DD446:DD467" si="202">DD7+DE7+DF7</f>
        <v>0</v>
      </c>
      <c r="DE446"/>
      <c r="DF446"/>
      <c r="DG446"/>
      <c r="DH446"/>
      <c r="DI446">
        <f t="shared" ref="DI446:DI467" si="203">DI7+DJ7+DK7</f>
        <v>0</v>
      </c>
      <c r="DJ446"/>
      <c r="DK446"/>
      <c r="DL446"/>
      <c r="DM446"/>
      <c r="DN446">
        <f t="shared" ref="DN446:DN467" si="204">DN7+DO7+DP7</f>
        <v>0</v>
      </c>
      <c r="DO446"/>
      <c r="DP446"/>
      <c r="DQ446"/>
      <c r="DR446"/>
      <c r="DS446">
        <f t="shared" ref="DS446:DS467" si="205">DS7+DT7+DU7</f>
        <v>0</v>
      </c>
      <c r="DT446"/>
      <c r="DU446"/>
      <c r="DV446"/>
      <c r="DW446"/>
      <c r="DX446">
        <f t="shared" ref="DX446:DX467" si="206">DX7+DY7+DZ7</f>
        <v>0</v>
      </c>
      <c r="DY446"/>
      <c r="DZ446"/>
      <c r="EA446"/>
      <c r="EB446"/>
      <c r="EC446">
        <f t="shared" si="187"/>
        <v>0</v>
      </c>
      <c r="ED446"/>
      <c r="EE446"/>
      <c r="EF446"/>
      <c r="EG446"/>
      <c r="EH446">
        <f t="shared" si="188"/>
        <v>0</v>
      </c>
      <c r="EI446"/>
      <c r="EJ446"/>
      <c r="EK446"/>
      <c r="EL446"/>
      <c r="EM446">
        <f t="shared" ref="EM446:EM467" si="207">EM7+EN7+EO7</f>
        <v>0</v>
      </c>
      <c r="EN446"/>
      <c r="EO446"/>
      <c r="EP446"/>
      <c r="EQ446"/>
      <c r="ER446">
        <f t="shared" ref="ER446:ER467" si="208">ER7+ES7+ET7</f>
        <v>0</v>
      </c>
      <c r="ES446"/>
      <c r="ET446"/>
      <c r="EU446"/>
      <c r="EV446"/>
      <c r="EW446">
        <f t="shared" ref="EW446:EW467" si="209">EW7+EX7+EY7</f>
        <v>0</v>
      </c>
      <c r="EX446"/>
      <c r="EY446"/>
      <c r="FA446"/>
      <c r="FB446">
        <f t="shared" ref="FB446:FB467" si="210">FB7+FC7+FD7</f>
        <v>0</v>
      </c>
      <c r="FC446"/>
      <c r="FD446"/>
      <c r="FF446"/>
      <c r="FG446">
        <f t="shared" ref="FG446:FG467" si="211">FG7+FH7+FI7</f>
        <v>0</v>
      </c>
      <c r="FH446"/>
      <c r="FI446"/>
      <c r="FL446"/>
      <c r="FM446">
        <f t="shared" ref="FM446:FM467" si="212">FM7+FN7+FO7</f>
        <v>0</v>
      </c>
      <c r="FN446"/>
      <c r="FO446"/>
      <c r="FP446"/>
      <c r="FQ446" s="420">
        <f>'EXTRAS (2)'!D379</f>
        <v>0</v>
      </c>
      <c r="FR446" s="420">
        <f>'EXTRAS (2)'!E379</f>
        <v>0</v>
      </c>
      <c r="FS446" s="801"/>
      <c r="FT446" s="801"/>
      <c r="FU446" s="420">
        <f t="shared" si="174"/>
        <v>0</v>
      </c>
    </row>
    <row r="447" spans="1:177" s="212" customFormat="1">
      <c r="A447" s="209">
        <v>4190</v>
      </c>
      <c r="B447" s="210" t="s">
        <v>31</v>
      </c>
      <c r="C447" s="390" t="s">
        <v>515</v>
      </c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>
        <f>SUM(BI$7:BI$28,BP$7:BP$28,BQ$7:BQ$28,BJ$7:BJ$28,BK$28:BK372,BL$7:BL$28,BM$7:BM$28,BN$7:BN$28)*(BH447)</f>
        <v>0</v>
      </c>
      <c r="BJ447"/>
      <c r="BK447"/>
      <c r="BL447"/>
      <c r="BM447"/>
      <c r="BN447"/>
      <c r="BO447"/>
      <c r="BP447"/>
      <c r="BQ447"/>
      <c r="BR447"/>
      <c r="BS447"/>
      <c r="BT447">
        <f>SUM(BT$7:BT$28,CA$7:CA$28,CB$7:CB$28,BU$7:BU$28,BV$28:BV372,BW$7:BW$28,BX$7:BX$28,BY$7:BY$28)*(BS447)</f>
        <v>0</v>
      </c>
      <c r="BU447"/>
      <c r="BV447"/>
      <c r="BW447"/>
      <c r="BX447"/>
      <c r="BY447"/>
      <c r="BZ447"/>
      <c r="CA447"/>
      <c r="CB447"/>
      <c r="CC447"/>
      <c r="CD447" s="211">
        <v>1</v>
      </c>
      <c r="CE447">
        <f t="shared" si="197"/>
        <v>0</v>
      </c>
      <c r="CF447"/>
      <c r="CG447"/>
      <c r="CH447"/>
      <c r="CI447"/>
      <c r="CJ447">
        <f t="shared" si="198"/>
        <v>0</v>
      </c>
      <c r="CK447"/>
      <c r="CL447"/>
      <c r="CM447"/>
      <c r="CN447"/>
      <c r="CO447">
        <f t="shared" si="199"/>
        <v>0</v>
      </c>
      <c r="CP447"/>
      <c r="CQ447"/>
      <c r="CR447"/>
      <c r="CS447"/>
      <c r="CT447">
        <f t="shared" si="200"/>
        <v>0</v>
      </c>
      <c r="CU447"/>
      <c r="CV447"/>
      <c r="CW447"/>
      <c r="CX447"/>
      <c r="CY447">
        <f t="shared" si="201"/>
        <v>0</v>
      </c>
      <c r="CZ447"/>
      <c r="DA447"/>
      <c r="DB447"/>
      <c r="DC447"/>
      <c r="DD447">
        <f t="shared" si="202"/>
        <v>0</v>
      </c>
      <c r="DE447"/>
      <c r="DF447"/>
      <c r="DG447"/>
      <c r="DH447"/>
      <c r="DI447">
        <f t="shared" si="203"/>
        <v>0</v>
      </c>
      <c r="DJ447"/>
      <c r="DK447"/>
      <c r="DL447"/>
      <c r="DM447"/>
      <c r="DN447">
        <f t="shared" si="204"/>
        <v>0</v>
      </c>
      <c r="DO447"/>
      <c r="DP447"/>
      <c r="DQ447"/>
      <c r="DR447"/>
      <c r="DS447">
        <f t="shared" si="205"/>
        <v>0</v>
      </c>
      <c r="DT447"/>
      <c r="DU447"/>
      <c r="DV447"/>
      <c r="DW447"/>
      <c r="DX447">
        <f t="shared" si="206"/>
        <v>0</v>
      </c>
      <c r="DY447"/>
      <c r="DZ447"/>
      <c r="EA447"/>
      <c r="EB447"/>
      <c r="EC447">
        <f t="shared" si="187"/>
        <v>0</v>
      </c>
      <c r="ED447"/>
      <c r="EE447"/>
      <c r="EF447"/>
      <c r="EG447"/>
      <c r="EH447">
        <f t="shared" si="188"/>
        <v>0</v>
      </c>
      <c r="EI447"/>
      <c r="EJ447"/>
      <c r="EK447"/>
      <c r="EL447"/>
      <c r="EM447">
        <f t="shared" si="207"/>
        <v>0</v>
      </c>
      <c r="EN447"/>
      <c r="EO447"/>
      <c r="EP447"/>
      <c r="EQ447"/>
      <c r="ER447">
        <f t="shared" si="208"/>
        <v>0</v>
      </c>
      <c r="ES447"/>
      <c r="ET447"/>
      <c r="EU447"/>
      <c r="EV447"/>
      <c r="EW447">
        <f t="shared" si="209"/>
        <v>0</v>
      </c>
      <c r="EX447"/>
      <c r="EY447"/>
      <c r="FA447"/>
      <c r="FB447">
        <f t="shared" si="210"/>
        <v>0</v>
      </c>
      <c r="FC447"/>
      <c r="FD447"/>
      <c r="FF447"/>
      <c r="FG447">
        <f t="shared" si="211"/>
        <v>0</v>
      </c>
      <c r="FH447"/>
      <c r="FI447"/>
      <c r="FL447"/>
      <c r="FM447">
        <f t="shared" si="212"/>
        <v>0</v>
      </c>
      <c r="FN447"/>
      <c r="FO447"/>
      <c r="FP447"/>
      <c r="FQ447" s="420">
        <f>'EXTRAS (2)'!D380</f>
        <v>0</v>
      </c>
      <c r="FR447" s="420">
        <f>'EXTRAS (2)'!E380</f>
        <v>0</v>
      </c>
      <c r="FS447" s="801"/>
      <c r="FT447" s="801"/>
      <c r="FU447" s="420">
        <f t="shared" si="174"/>
        <v>0</v>
      </c>
    </row>
    <row r="448" spans="1:177" s="212" customFormat="1">
      <c r="A448" s="209">
        <v>3712</v>
      </c>
      <c r="B448" s="210" t="s">
        <v>41</v>
      </c>
      <c r="C448" s="390" t="s">
        <v>515</v>
      </c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>
        <f>SUM(BI$7:BI$28,BP$7:BP$28,BQ$7:BQ$28,BJ$7:BJ$28,BK$28:BK373,BL$7:BL$28,BM$7:BM$28,BN$7:BN$28)*(BH448)</f>
        <v>0</v>
      </c>
      <c r="BJ448"/>
      <c r="BK448"/>
      <c r="BL448"/>
      <c r="BM448"/>
      <c r="BN448"/>
      <c r="BO448"/>
      <c r="BP448"/>
      <c r="BQ448"/>
      <c r="BR448"/>
      <c r="BS448"/>
      <c r="BT448">
        <f>SUM(BT$7:BT$28,CA$7:CA$28,CB$7:CB$28,BU$7:BU$28,BV$28:BV373,BW$7:BW$28,BX$7:BX$28,BY$7:BY$28)*(BS448)</f>
        <v>0</v>
      </c>
      <c r="BU448"/>
      <c r="BV448"/>
      <c r="BW448"/>
      <c r="BX448"/>
      <c r="BY448"/>
      <c r="BZ448"/>
      <c r="CA448"/>
      <c r="CB448"/>
      <c r="CC448"/>
      <c r="CD448" s="211">
        <v>1</v>
      </c>
      <c r="CE448">
        <f t="shared" si="197"/>
        <v>0</v>
      </c>
      <c r="CF448"/>
      <c r="CG448"/>
      <c r="CH448"/>
      <c r="CI448"/>
      <c r="CJ448">
        <f t="shared" si="198"/>
        <v>0</v>
      </c>
      <c r="CK448"/>
      <c r="CL448"/>
      <c r="CM448"/>
      <c r="CN448"/>
      <c r="CO448">
        <f t="shared" si="199"/>
        <v>0</v>
      </c>
      <c r="CP448"/>
      <c r="CQ448"/>
      <c r="CR448"/>
      <c r="CS448"/>
      <c r="CT448">
        <f t="shared" si="200"/>
        <v>0</v>
      </c>
      <c r="CU448"/>
      <c r="CV448"/>
      <c r="CW448"/>
      <c r="CX448"/>
      <c r="CY448">
        <f t="shared" si="201"/>
        <v>0</v>
      </c>
      <c r="CZ448"/>
      <c r="DA448"/>
      <c r="DB448"/>
      <c r="DC448"/>
      <c r="DD448">
        <f t="shared" si="202"/>
        <v>0</v>
      </c>
      <c r="DE448"/>
      <c r="DF448"/>
      <c r="DG448"/>
      <c r="DH448"/>
      <c r="DI448">
        <f t="shared" si="203"/>
        <v>0</v>
      </c>
      <c r="DJ448"/>
      <c r="DK448"/>
      <c r="DL448"/>
      <c r="DM448"/>
      <c r="DN448">
        <f t="shared" si="204"/>
        <v>0</v>
      </c>
      <c r="DO448"/>
      <c r="DP448"/>
      <c r="DQ448"/>
      <c r="DR448"/>
      <c r="DS448">
        <f t="shared" si="205"/>
        <v>0</v>
      </c>
      <c r="DT448"/>
      <c r="DU448"/>
      <c r="DV448"/>
      <c r="DW448"/>
      <c r="DX448">
        <f t="shared" si="206"/>
        <v>0</v>
      </c>
      <c r="DY448"/>
      <c r="DZ448"/>
      <c r="EA448"/>
      <c r="EB448"/>
      <c r="EC448">
        <f t="shared" si="187"/>
        <v>0</v>
      </c>
      <c r="ED448"/>
      <c r="EE448"/>
      <c r="EF448"/>
      <c r="EG448"/>
      <c r="EH448">
        <f t="shared" si="188"/>
        <v>0</v>
      </c>
      <c r="EI448"/>
      <c r="EJ448"/>
      <c r="EK448"/>
      <c r="EL448"/>
      <c r="EM448">
        <f t="shared" si="207"/>
        <v>0</v>
      </c>
      <c r="EN448"/>
      <c r="EO448"/>
      <c r="EP448"/>
      <c r="EQ448"/>
      <c r="ER448">
        <f t="shared" si="208"/>
        <v>0</v>
      </c>
      <c r="ES448"/>
      <c r="ET448"/>
      <c r="EU448"/>
      <c r="EV448"/>
      <c r="EW448">
        <f t="shared" si="209"/>
        <v>0</v>
      </c>
      <c r="EX448"/>
      <c r="EY448"/>
      <c r="FA448"/>
      <c r="FB448">
        <f t="shared" si="210"/>
        <v>0</v>
      </c>
      <c r="FC448"/>
      <c r="FD448"/>
      <c r="FF448"/>
      <c r="FG448">
        <f t="shared" si="211"/>
        <v>0</v>
      </c>
      <c r="FH448"/>
      <c r="FI448"/>
      <c r="FL448"/>
      <c r="FM448">
        <f t="shared" si="212"/>
        <v>0</v>
      </c>
      <c r="FN448"/>
      <c r="FO448"/>
      <c r="FP448"/>
      <c r="FQ448" s="420">
        <f>'EXTRAS (2)'!D381</f>
        <v>0</v>
      </c>
      <c r="FR448" s="420">
        <f>'EXTRAS (2)'!E381</f>
        <v>0</v>
      </c>
      <c r="FS448" s="801"/>
      <c r="FT448" s="801"/>
      <c r="FU448" s="420">
        <f t="shared" si="174"/>
        <v>0</v>
      </c>
    </row>
    <row r="449" spans="1:177" s="212" customFormat="1">
      <c r="A449" s="209">
        <v>3652</v>
      </c>
      <c r="B449" s="210" t="s">
        <v>98</v>
      </c>
      <c r="C449" s="390" t="s">
        <v>515</v>
      </c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>
        <f>SUM(BI$7:BI$28,BP$7:BP$28,BQ$7:BQ$28,BJ$7:BJ$28,BK$28:BK374,BL$7:BL$28,BM$7:BM$28,BN$7:BN$28)*(BH449)</f>
        <v>0</v>
      </c>
      <c r="BJ449"/>
      <c r="BK449"/>
      <c r="BL449"/>
      <c r="BM449"/>
      <c r="BN449"/>
      <c r="BO449"/>
      <c r="BP449"/>
      <c r="BQ449"/>
      <c r="BR449"/>
      <c r="BS449"/>
      <c r="BT449">
        <f>SUM(BT$7:BT$28,CA$7:CA$28,CB$7:CB$28,BU$7:BU$28,BV$28:BV374,BW$7:BW$28,BX$7:BX$28,BY$7:BY$28)*(BS449)</f>
        <v>0</v>
      </c>
      <c r="BU449"/>
      <c r="BV449"/>
      <c r="BW449"/>
      <c r="BX449"/>
      <c r="BY449"/>
      <c r="BZ449"/>
      <c r="CA449"/>
      <c r="CB449"/>
      <c r="CC449"/>
      <c r="CD449" s="211">
        <v>1</v>
      </c>
      <c r="CE449">
        <f t="shared" si="197"/>
        <v>0</v>
      </c>
      <c r="CF449"/>
      <c r="CG449"/>
      <c r="CH449"/>
      <c r="CI449"/>
      <c r="CJ449">
        <f t="shared" si="198"/>
        <v>0</v>
      </c>
      <c r="CK449"/>
      <c r="CL449"/>
      <c r="CM449"/>
      <c r="CN449"/>
      <c r="CO449">
        <f t="shared" si="199"/>
        <v>0</v>
      </c>
      <c r="CP449"/>
      <c r="CQ449"/>
      <c r="CR449"/>
      <c r="CS449"/>
      <c r="CT449">
        <f t="shared" si="200"/>
        <v>0</v>
      </c>
      <c r="CU449"/>
      <c r="CV449"/>
      <c r="CW449"/>
      <c r="CX449"/>
      <c r="CY449">
        <f t="shared" si="201"/>
        <v>0</v>
      </c>
      <c r="CZ449"/>
      <c r="DA449"/>
      <c r="DB449"/>
      <c r="DC449"/>
      <c r="DD449">
        <f t="shared" si="202"/>
        <v>0</v>
      </c>
      <c r="DE449"/>
      <c r="DF449"/>
      <c r="DG449"/>
      <c r="DH449"/>
      <c r="DI449">
        <f t="shared" si="203"/>
        <v>0</v>
      </c>
      <c r="DJ449"/>
      <c r="DK449"/>
      <c r="DL449"/>
      <c r="DM449"/>
      <c r="DN449">
        <f t="shared" si="204"/>
        <v>0</v>
      </c>
      <c r="DO449"/>
      <c r="DP449"/>
      <c r="DQ449"/>
      <c r="DR449"/>
      <c r="DS449">
        <f t="shared" si="205"/>
        <v>0</v>
      </c>
      <c r="DT449"/>
      <c r="DU449"/>
      <c r="DV449"/>
      <c r="DW449"/>
      <c r="DX449">
        <f t="shared" si="206"/>
        <v>0</v>
      </c>
      <c r="DY449"/>
      <c r="DZ449"/>
      <c r="EA449"/>
      <c r="EB449"/>
      <c r="EC449">
        <f t="shared" si="187"/>
        <v>0</v>
      </c>
      <c r="ED449"/>
      <c r="EE449"/>
      <c r="EF449"/>
      <c r="EG449"/>
      <c r="EH449">
        <f t="shared" si="188"/>
        <v>0</v>
      </c>
      <c r="EI449"/>
      <c r="EJ449"/>
      <c r="EK449"/>
      <c r="EL449"/>
      <c r="EM449">
        <f t="shared" si="207"/>
        <v>0</v>
      </c>
      <c r="EN449"/>
      <c r="EO449"/>
      <c r="EP449"/>
      <c r="EQ449"/>
      <c r="ER449">
        <f t="shared" si="208"/>
        <v>0</v>
      </c>
      <c r="ES449"/>
      <c r="ET449"/>
      <c r="EU449"/>
      <c r="EV449"/>
      <c r="EW449">
        <f t="shared" si="209"/>
        <v>0</v>
      </c>
      <c r="EX449"/>
      <c r="EY449"/>
      <c r="FA449"/>
      <c r="FB449">
        <f t="shared" si="210"/>
        <v>0</v>
      </c>
      <c r="FC449"/>
      <c r="FD449"/>
      <c r="FF449"/>
      <c r="FG449">
        <f t="shared" si="211"/>
        <v>0</v>
      </c>
      <c r="FH449"/>
      <c r="FI449"/>
      <c r="FL449"/>
      <c r="FM449">
        <f t="shared" si="212"/>
        <v>0</v>
      </c>
      <c r="FN449"/>
      <c r="FO449"/>
      <c r="FP449"/>
      <c r="FQ449" s="420">
        <f>'EXTRAS (2)'!D382</f>
        <v>0</v>
      </c>
      <c r="FR449" s="420">
        <f>'EXTRAS (2)'!E382</f>
        <v>0</v>
      </c>
      <c r="FS449" s="801"/>
      <c r="FT449" s="801"/>
      <c r="FU449" s="420">
        <f t="shared" si="174"/>
        <v>0</v>
      </c>
    </row>
    <row r="450" spans="1:177" s="212" customFormat="1">
      <c r="A450" s="209">
        <v>3656</v>
      </c>
      <c r="B450" s="210" t="s">
        <v>99</v>
      </c>
      <c r="C450" s="390" t="s">
        <v>515</v>
      </c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>
        <f>SUM(BI$7:BI$28,BP$7:BP$28,BQ$7:BQ$28,BJ$7:BJ$28,BK$28:BK375,BL$7:BL$28,BM$7:BM$28,BN$7:BN$28)*(BH450)</f>
        <v>0</v>
      </c>
      <c r="BJ450"/>
      <c r="BK450"/>
      <c r="BL450"/>
      <c r="BM450"/>
      <c r="BN450"/>
      <c r="BO450"/>
      <c r="BP450"/>
      <c r="BQ450"/>
      <c r="BR450"/>
      <c r="BS450"/>
      <c r="BT450">
        <f>SUM(BT$7:BT$28,CA$7:CA$28,CB$7:CB$28,BU$7:BU$28,BV$28:BV375,BW$7:BW$28,BX$7:BX$28,BY$7:BY$28)*(BS450)</f>
        <v>0</v>
      </c>
      <c r="BU450"/>
      <c r="BV450"/>
      <c r="BW450"/>
      <c r="BX450"/>
      <c r="BY450"/>
      <c r="BZ450"/>
      <c r="CA450"/>
      <c r="CB450"/>
      <c r="CC450"/>
      <c r="CD450" s="211">
        <v>1</v>
      </c>
      <c r="CE450">
        <f t="shared" si="197"/>
        <v>0</v>
      </c>
      <c r="CF450"/>
      <c r="CG450"/>
      <c r="CH450"/>
      <c r="CI450"/>
      <c r="CJ450">
        <f t="shared" si="198"/>
        <v>0</v>
      </c>
      <c r="CK450"/>
      <c r="CL450"/>
      <c r="CM450"/>
      <c r="CN450"/>
      <c r="CO450">
        <f t="shared" si="199"/>
        <v>0</v>
      </c>
      <c r="CP450"/>
      <c r="CQ450"/>
      <c r="CR450"/>
      <c r="CS450"/>
      <c r="CT450">
        <f t="shared" si="200"/>
        <v>0</v>
      </c>
      <c r="CU450"/>
      <c r="CV450"/>
      <c r="CW450"/>
      <c r="CX450"/>
      <c r="CY450">
        <f t="shared" si="201"/>
        <v>0</v>
      </c>
      <c r="CZ450"/>
      <c r="DA450"/>
      <c r="DB450"/>
      <c r="DC450"/>
      <c r="DD450">
        <f t="shared" si="202"/>
        <v>0</v>
      </c>
      <c r="DE450"/>
      <c r="DF450"/>
      <c r="DG450"/>
      <c r="DH450"/>
      <c r="DI450">
        <f t="shared" si="203"/>
        <v>0</v>
      </c>
      <c r="DJ450"/>
      <c r="DK450"/>
      <c r="DL450"/>
      <c r="DM450"/>
      <c r="DN450">
        <f t="shared" si="204"/>
        <v>0</v>
      </c>
      <c r="DO450"/>
      <c r="DP450"/>
      <c r="DQ450"/>
      <c r="DR450"/>
      <c r="DS450">
        <f t="shared" si="205"/>
        <v>0</v>
      </c>
      <c r="DT450"/>
      <c r="DU450"/>
      <c r="DV450"/>
      <c r="DW450"/>
      <c r="DX450">
        <f t="shared" si="206"/>
        <v>0</v>
      </c>
      <c r="DY450"/>
      <c r="DZ450"/>
      <c r="EA450"/>
      <c r="EB450"/>
      <c r="EC450">
        <f t="shared" si="187"/>
        <v>0</v>
      </c>
      <c r="ED450"/>
      <c r="EE450"/>
      <c r="EF450"/>
      <c r="EG450"/>
      <c r="EH450">
        <f t="shared" si="188"/>
        <v>0</v>
      </c>
      <c r="EI450"/>
      <c r="EJ450"/>
      <c r="EK450"/>
      <c r="EL450"/>
      <c r="EM450">
        <f t="shared" si="207"/>
        <v>0</v>
      </c>
      <c r="EN450"/>
      <c r="EO450"/>
      <c r="EP450"/>
      <c r="EQ450"/>
      <c r="ER450">
        <f t="shared" si="208"/>
        <v>0</v>
      </c>
      <c r="ES450"/>
      <c r="ET450"/>
      <c r="EU450"/>
      <c r="EV450"/>
      <c r="EW450">
        <f t="shared" si="209"/>
        <v>0</v>
      </c>
      <c r="EX450"/>
      <c r="EY450"/>
      <c r="FA450"/>
      <c r="FB450">
        <f t="shared" si="210"/>
        <v>0</v>
      </c>
      <c r="FC450"/>
      <c r="FD450"/>
      <c r="FF450"/>
      <c r="FG450">
        <f t="shared" si="211"/>
        <v>0</v>
      </c>
      <c r="FH450"/>
      <c r="FI450"/>
      <c r="FL450"/>
      <c r="FM450">
        <f t="shared" si="212"/>
        <v>0</v>
      </c>
      <c r="FN450"/>
      <c r="FO450"/>
      <c r="FP450"/>
      <c r="FQ450" s="420">
        <f>'EXTRAS (2)'!D383</f>
        <v>0</v>
      </c>
      <c r="FR450" s="420">
        <f>'EXTRAS (2)'!E383</f>
        <v>0</v>
      </c>
      <c r="FS450" s="801"/>
      <c r="FT450" s="801"/>
      <c r="FU450" s="420">
        <f t="shared" si="174"/>
        <v>0</v>
      </c>
    </row>
    <row r="451" spans="1:177" s="212" customFormat="1">
      <c r="A451" s="209">
        <v>3657</v>
      </c>
      <c r="B451" s="210" t="s">
        <v>102</v>
      </c>
      <c r="C451" s="390" t="s">
        <v>515</v>
      </c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>
        <f>SUM(BI$7:BI$28,BP$7:BP$28,BQ$7:BQ$28,BJ$7:BJ$28,BK$28:BK376,BL$7:BL$28,BM$7:BM$28,BN$7:BN$28)*(BH451)</f>
        <v>0</v>
      </c>
      <c r="BJ451"/>
      <c r="BK451"/>
      <c r="BL451"/>
      <c r="BM451"/>
      <c r="BN451"/>
      <c r="BO451"/>
      <c r="BP451"/>
      <c r="BQ451"/>
      <c r="BR451"/>
      <c r="BS451"/>
      <c r="BT451">
        <f>SUM(BT$7:BT$28,CA$7:CA$28,CB$7:CB$28,BU$7:BU$28,BV$28:BV376,BW$7:BW$28,BX$7:BX$28,BY$7:BY$28)*(BS451)</f>
        <v>0</v>
      </c>
      <c r="BU451"/>
      <c r="BV451"/>
      <c r="BW451"/>
      <c r="BX451"/>
      <c r="BY451"/>
      <c r="BZ451"/>
      <c r="CA451"/>
      <c r="CB451"/>
      <c r="CC451"/>
      <c r="CD451" s="211">
        <v>1</v>
      </c>
      <c r="CE451">
        <f t="shared" si="197"/>
        <v>0</v>
      </c>
      <c r="CF451"/>
      <c r="CG451"/>
      <c r="CH451"/>
      <c r="CI451"/>
      <c r="CJ451">
        <f t="shared" si="198"/>
        <v>0</v>
      </c>
      <c r="CK451"/>
      <c r="CL451"/>
      <c r="CM451"/>
      <c r="CN451"/>
      <c r="CO451">
        <f t="shared" si="199"/>
        <v>0</v>
      </c>
      <c r="CP451"/>
      <c r="CQ451"/>
      <c r="CR451"/>
      <c r="CS451"/>
      <c r="CT451">
        <f t="shared" si="200"/>
        <v>0</v>
      </c>
      <c r="CU451"/>
      <c r="CV451"/>
      <c r="CW451"/>
      <c r="CX451"/>
      <c r="CY451">
        <f t="shared" si="201"/>
        <v>0</v>
      </c>
      <c r="CZ451"/>
      <c r="DA451"/>
      <c r="DB451"/>
      <c r="DC451"/>
      <c r="DD451">
        <f t="shared" si="202"/>
        <v>0</v>
      </c>
      <c r="DE451"/>
      <c r="DF451"/>
      <c r="DG451"/>
      <c r="DH451"/>
      <c r="DI451">
        <f t="shared" si="203"/>
        <v>0</v>
      </c>
      <c r="DJ451"/>
      <c r="DK451"/>
      <c r="DL451"/>
      <c r="DM451"/>
      <c r="DN451">
        <f t="shared" si="204"/>
        <v>0</v>
      </c>
      <c r="DO451"/>
      <c r="DP451"/>
      <c r="DQ451"/>
      <c r="DR451"/>
      <c r="DS451">
        <f t="shared" si="205"/>
        <v>0</v>
      </c>
      <c r="DT451"/>
      <c r="DU451"/>
      <c r="DV451"/>
      <c r="DW451"/>
      <c r="DX451">
        <f t="shared" si="206"/>
        <v>0</v>
      </c>
      <c r="DY451"/>
      <c r="DZ451"/>
      <c r="EA451"/>
      <c r="EB451"/>
      <c r="EC451">
        <f t="shared" si="187"/>
        <v>0</v>
      </c>
      <c r="ED451"/>
      <c r="EE451"/>
      <c r="EF451"/>
      <c r="EG451"/>
      <c r="EH451">
        <f t="shared" si="188"/>
        <v>0</v>
      </c>
      <c r="EI451"/>
      <c r="EJ451"/>
      <c r="EK451"/>
      <c r="EL451"/>
      <c r="EM451">
        <f t="shared" si="207"/>
        <v>0</v>
      </c>
      <c r="EN451"/>
      <c r="EO451"/>
      <c r="EP451"/>
      <c r="EQ451"/>
      <c r="ER451">
        <f t="shared" si="208"/>
        <v>0</v>
      </c>
      <c r="ES451"/>
      <c r="ET451"/>
      <c r="EU451"/>
      <c r="EV451"/>
      <c r="EW451">
        <f t="shared" si="209"/>
        <v>0</v>
      </c>
      <c r="EX451"/>
      <c r="EY451"/>
      <c r="FA451"/>
      <c r="FB451">
        <f t="shared" si="210"/>
        <v>0</v>
      </c>
      <c r="FC451"/>
      <c r="FD451"/>
      <c r="FF451"/>
      <c r="FG451">
        <f t="shared" si="211"/>
        <v>0</v>
      </c>
      <c r="FH451"/>
      <c r="FI451"/>
      <c r="FL451"/>
      <c r="FM451">
        <f t="shared" si="212"/>
        <v>0</v>
      </c>
      <c r="FN451"/>
      <c r="FO451"/>
      <c r="FP451"/>
      <c r="FQ451" s="420">
        <f>'EXTRAS (2)'!D384</f>
        <v>0</v>
      </c>
      <c r="FR451" s="420">
        <f>'EXTRAS (2)'!E384</f>
        <v>0</v>
      </c>
      <c r="FS451" s="801"/>
      <c r="FT451" s="801"/>
      <c r="FU451" s="420">
        <f t="shared" si="174"/>
        <v>0</v>
      </c>
    </row>
    <row r="452" spans="1:177" s="212" customFormat="1">
      <c r="A452" s="209">
        <v>3658</v>
      </c>
      <c r="B452" s="210" t="s">
        <v>103</v>
      </c>
      <c r="C452" s="390" t="s">
        <v>515</v>
      </c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>
        <f>SUM(BI$7:BI$28,BP$7:BP$28,BQ$7:BQ$28,BJ$7:BJ$28,BK$28:BK377,BL$7:BL$28,BM$7:BM$28,BN$7:BN$28)*(BH452)</f>
        <v>0</v>
      </c>
      <c r="BJ452"/>
      <c r="BK452"/>
      <c r="BL452"/>
      <c r="BM452"/>
      <c r="BN452"/>
      <c r="BO452"/>
      <c r="BP452"/>
      <c r="BQ452"/>
      <c r="BR452"/>
      <c r="BS452"/>
      <c r="BT452">
        <f>SUM(BT$7:BT$28,CA$7:CA$28,CB$7:CB$28,BU$7:BU$28,BV$28:BV377,BW$7:BW$28,BX$7:BX$28,BY$7:BY$28)*(BS452)</f>
        <v>0</v>
      </c>
      <c r="BU452"/>
      <c r="BV452"/>
      <c r="BW452"/>
      <c r="BX452"/>
      <c r="BY452"/>
      <c r="BZ452"/>
      <c r="CA452"/>
      <c r="CB452"/>
      <c r="CC452"/>
      <c r="CD452" s="211">
        <v>1</v>
      </c>
      <c r="CE452">
        <f t="shared" si="197"/>
        <v>0</v>
      </c>
      <c r="CF452"/>
      <c r="CG452"/>
      <c r="CH452"/>
      <c r="CI452"/>
      <c r="CJ452">
        <f t="shared" si="198"/>
        <v>0</v>
      </c>
      <c r="CK452"/>
      <c r="CL452"/>
      <c r="CM452"/>
      <c r="CN452"/>
      <c r="CO452">
        <f t="shared" si="199"/>
        <v>0</v>
      </c>
      <c r="CP452"/>
      <c r="CQ452"/>
      <c r="CR452"/>
      <c r="CS452"/>
      <c r="CT452">
        <f t="shared" si="200"/>
        <v>0</v>
      </c>
      <c r="CU452"/>
      <c r="CV452"/>
      <c r="CW452"/>
      <c r="CX452"/>
      <c r="CY452">
        <f t="shared" si="201"/>
        <v>0</v>
      </c>
      <c r="CZ452"/>
      <c r="DA452"/>
      <c r="DB452"/>
      <c r="DC452"/>
      <c r="DD452">
        <f t="shared" si="202"/>
        <v>0</v>
      </c>
      <c r="DE452"/>
      <c r="DF452"/>
      <c r="DG452"/>
      <c r="DH452"/>
      <c r="DI452">
        <f t="shared" si="203"/>
        <v>0</v>
      </c>
      <c r="DJ452"/>
      <c r="DK452"/>
      <c r="DL452"/>
      <c r="DM452"/>
      <c r="DN452">
        <f t="shared" si="204"/>
        <v>0</v>
      </c>
      <c r="DO452"/>
      <c r="DP452"/>
      <c r="DQ452"/>
      <c r="DR452"/>
      <c r="DS452">
        <f t="shared" si="205"/>
        <v>0</v>
      </c>
      <c r="DT452"/>
      <c r="DU452"/>
      <c r="DV452"/>
      <c r="DW452"/>
      <c r="DX452">
        <f t="shared" si="206"/>
        <v>0</v>
      </c>
      <c r="DY452"/>
      <c r="DZ452"/>
      <c r="EA452"/>
      <c r="EB452"/>
      <c r="EC452">
        <f t="shared" si="187"/>
        <v>0</v>
      </c>
      <c r="ED452"/>
      <c r="EE452"/>
      <c r="EF452"/>
      <c r="EG452"/>
      <c r="EH452">
        <f t="shared" si="188"/>
        <v>0</v>
      </c>
      <c r="EI452"/>
      <c r="EJ452"/>
      <c r="EK452"/>
      <c r="EL452"/>
      <c r="EM452">
        <f t="shared" si="207"/>
        <v>0</v>
      </c>
      <c r="EN452"/>
      <c r="EO452"/>
      <c r="EP452"/>
      <c r="EQ452"/>
      <c r="ER452">
        <f t="shared" si="208"/>
        <v>0</v>
      </c>
      <c r="ES452"/>
      <c r="ET452"/>
      <c r="EU452"/>
      <c r="EV452"/>
      <c r="EW452">
        <f t="shared" si="209"/>
        <v>0</v>
      </c>
      <c r="EX452"/>
      <c r="EY452"/>
      <c r="FA452"/>
      <c r="FB452">
        <f t="shared" si="210"/>
        <v>0</v>
      </c>
      <c r="FC452"/>
      <c r="FD452"/>
      <c r="FF452"/>
      <c r="FG452">
        <f t="shared" si="211"/>
        <v>0</v>
      </c>
      <c r="FH452"/>
      <c r="FI452"/>
      <c r="FL452"/>
      <c r="FM452">
        <f t="shared" si="212"/>
        <v>0</v>
      </c>
      <c r="FN452"/>
      <c r="FO452"/>
      <c r="FP452"/>
      <c r="FQ452" s="420">
        <f>'EXTRAS (2)'!D385</f>
        <v>0</v>
      </c>
      <c r="FR452" s="420">
        <f>'EXTRAS (2)'!E385</f>
        <v>0</v>
      </c>
      <c r="FS452" s="801"/>
      <c r="FT452" s="801"/>
      <c r="FU452" s="420">
        <f t="shared" si="174"/>
        <v>0</v>
      </c>
    </row>
    <row r="453" spans="1:177" s="212" customFormat="1">
      <c r="A453" s="209">
        <v>3655</v>
      </c>
      <c r="B453" s="210" t="s">
        <v>104</v>
      </c>
      <c r="C453" s="390" t="s">
        <v>515</v>
      </c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>
        <f>SUM(BI$7:BI$28,BP$7:BP$28,BQ$7:BQ$28,BJ$7:BJ$28,BK$28:BK378,BL$7:BL$28,BM$7:BM$28,BN$7:BN$28)*(BH453)</f>
        <v>0</v>
      </c>
      <c r="BJ453"/>
      <c r="BK453"/>
      <c r="BL453"/>
      <c r="BM453"/>
      <c r="BN453"/>
      <c r="BO453"/>
      <c r="BP453"/>
      <c r="BQ453"/>
      <c r="BR453"/>
      <c r="BS453"/>
      <c r="BT453">
        <f>SUM(BT$7:BT$28,CA$7:CA$28,CB$7:CB$28,BU$7:BU$28,BV$28:BV378,BW$7:BW$28,BX$7:BX$28,BY$7:BY$28)*(BS453)</f>
        <v>0</v>
      </c>
      <c r="BU453"/>
      <c r="BV453"/>
      <c r="BW453"/>
      <c r="BX453"/>
      <c r="BY453"/>
      <c r="BZ453"/>
      <c r="CA453"/>
      <c r="CB453"/>
      <c r="CC453"/>
      <c r="CD453" s="211">
        <v>1</v>
      </c>
      <c r="CE453">
        <f t="shared" si="197"/>
        <v>0</v>
      </c>
      <c r="CF453"/>
      <c r="CG453"/>
      <c r="CH453"/>
      <c r="CI453"/>
      <c r="CJ453">
        <f t="shared" si="198"/>
        <v>0</v>
      </c>
      <c r="CK453"/>
      <c r="CL453"/>
      <c r="CM453"/>
      <c r="CN453"/>
      <c r="CO453">
        <f t="shared" si="199"/>
        <v>0</v>
      </c>
      <c r="CP453"/>
      <c r="CQ453"/>
      <c r="CR453"/>
      <c r="CS453"/>
      <c r="CT453">
        <f t="shared" si="200"/>
        <v>0</v>
      </c>
      <c r="CU453"/>
      <c r="CV453"/>
      <c r="CW453"/>
      <c r="CX453"/>
      <c r="CY453">
        <f t="shared" si="201"/>
        <v>0</v>
      </c>
      <c r="CZ453"/>
      <c r="DA453"/>
      <c r="DB453"/>
      <c r="DC453"/>
      <c r="DD453">
        <f t="shared" si="202"/>
        <v>0</v>
      </c>
      <c r="DE453"/>
      <c r="DF453"/>
      <c r="DG453"/>
      <c r="DH453"/>
      <c r="DI453">
        <f t="shared" si="203"/>
        <v>0</v>
      </c>
      <c r="DJ453"/>
      <c r="DK453"/>
      <c r="DL453"/>
      <c r="DM453"/>
      <c r="DN453">
        <f t="shared" si="204"/>
        <v>0</v>
      </c>
      <c r="DO453"/>
      <c r="DP453"/>
      <c r="DQ453"/>
      <c r="DR453"/>
      <c r="DS453">
        <f t="shared" si="205"/>
        <v>0</v>
      </c>
      <c r="DT453"/>
      <c r="DU453"/>
      <c r="DV453"/>
      <c r="DW453"/>
      <c r="DX453">
        <f t="shared" si="206"/>
        <v>0</v>
      </c>
      <c r="DY453"/>
      <c r="DZ453"/>
      <c r="EA453"/>
      <c r="EB453"/>
      <c r="EC453">
        <f t="shared" si="187"/>
        <v>0</v>
      </c>
      <c r="ED453"/>
      <c r="EE453"/>
      <c r="EF453"/>
      <c r="EG453"/>
      <c r="EH453">
        <f t="shared" si="188"/>
        <v>0</v>
      </c>
      <c r="EI453"/>
      <c r="EJ453"/>
      <c r="EK453"/>
      <c r="EL453"/>
      <c r="EM453">
        <f t="shared" si="207"/>
        <v>0</v>
      </c>
      <c r="EN453"/>
      <c r="EO453"/>
      <c r="EP453"/>
      <c r="EQ453"/>
      <c r="ER453">
        <f t="shared" si="208"/>
        <v>0</v>
      </c>
      <c r="ES453"/>
      <c r="ET453"/>
      <c r="EU453"/>
      <c r="EV453"/>
      <c r="EW453">
        <f t="shared" si="209"/>
        <v>0</v>
      </c>
      <c r="EX453"/>
      <c r="EY453"/>
      <c r="FA453"/>
      <c r="FB453">
        <f t="shared" si="210"/>
        <v>0</v>
      </c>
      <c r="FC453"/>
      <c r="FD453"/>
      <c r="FF453"/>
      <c r="FG453">
        <f t="shared" si="211"/>
        <v>0</v>
      </c>
      <c r="FH453"/>
      <c r="FI453"/>
      <c r="FL453"/>
      <c r="FM453">
        <f t="shared" si="212"/>
        <v>0</v>
      </c>
      <c r="FN453"/>
      <c r="FO453"/>
      <c r="FP453"/>
      <c r="FQ453" s="420">
        <f>'EXTRAS (2)'!D386</f>
        <v>0</v>
      </c>
      <c r="FR453" s="420">
        <f>'EXTRAS (2)'!E386</f>
        <v>0</v>
      </c>
      <c r="FS453" s="801"/>
      <c r="FT453" s="801"/>
      <c r="FU453" s="420">
        <f t="shared" si="174"/>
        <v>0</v>
      </c>
    </row>
    <row r="454" spans="1:177" s="212" customFormat="1">
      <c r="A454" s="209">
        <v>3660</v>
      </c>
      <c r="B454" s="210" t="s">
        <v>105</v>
      </c>
      <c r="C454" s="390" t="s">
        <v>515</v>
      </c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>
        <f>SUM(BI$7:BI$28,BP$7:BP$28,BQ$7:BQ$28,BJ$7:BJ$28,BK$28:BK379,BL$7:BL$28,BM$7:BM$28,BN$7:BN$28)*(BH454)</f>
        <v>0</v>
      </c>
      <c r="BJ454"/>
      <c r="BK454"/>
      <c r="BL454"/>
      <c r="BM454"/>
      <c r="BN454"/>
      <c r="BO454"/>
      <c r="BP454"/>
      <c r="BQ454"/>
      <c r="BR454"/>
      <c r="BS454"/>
      <c r="BT454">
        <f>SUM(BT$7:BT$28,CA$7:CA$28,CB$7:CB$28,BU$7:BU$28,BV$28:BV379,BW$7:BW$28,BX$7:BX$28,BY$7:BY$28)*(BS454)</f>
        <v>0</v>
      </c>
      <c r="BU454"/>
      <c r="BV454"/>
      <c r="BW454"/>
      <c r="BX454"/>
      <c r="BY454"/>
      <c r="BZ454"/>
      <c r="CA454"/>
      <c r="CB454"/>
      <c r="CC454"/>
      <c r="CD454" s="211">
        <v>1</v>
      </c>
      <c r="CE454">
        <f t="shared" si="197"/>
        <v>0</v>
      </c>
      <c r="CF454"/>
      <c r="CG454"/>
      <c r="CH454"/>
      <c r="CI454"/>
      <c r="CJ454">
        <f t="shared" si="198"/>
        <v>0</v>
      </c>
      <c r="CK454"/>
      <c r="CL454"/>
      <c r="CM454"/>
      <c r="CN454"/>
      <c r="CO454">
        <f t="shared" si="199"/>
        <v>0</v>
      </c>
      <c r="CP454"/>
      <c r="CQ454"/>
      <c r="CR454"/>
      <c r="CS454"/>
      <c r="CT454">
        <f t="shared" si="200"/>
        <v>0</v>
      </c>
      <c r="CU454"/>
      <c r="CV454"/>
      <c r="CW454"/>
      <c r="CX454"/>
      <c r="CY454">
        <f t="shared" si="201"/>
        <v>0</v>
      </c>
      <c r="CZ454"/>
      <c r="DA454"/>
      <c r="DB454"/>
      <c r="DC454"/>
      <c r="DD454">
        <f t="shared" si="202"/>
        <v>0</v>
      </c>
      <c r="DE454"/>
      <c r="DF454"/>
      <c r="DG454"/>
      <c r="DH454"/>
      <c r="DI454">
        <f t="shared" si="203"/>
        <v>0</v>
      </c>
      <c r="DJ454"/>
      <c r="DK454"/>
      <c r="DL454"/>
      <c r="DM454"/>
      <c r="DN454">
        <f t="shared" si="204"/>
        <v>0</v>
      </c>
      <c r="DO454"/>
      <c r="DP454"/>
      <c r="DQ454"/>
      <c r="DR454"/>
      <c r="DS454">
        <f t="shared" si="205"/>
        <v>0</v>
      </c>
      <c r="DT454"/>
      <c r="DU454"/>
      <c r="DV454"/>
      <c r="DW454"/>
      <c r="DX454">
        <f t="shared" si="206"/>
        <v>0</v>
      </c>
      <c r="DY454"/>
      <c r="DZ454"/>
      <c r="EA454"/>
      <c r="EB454"/>
      <c r="EC454">
        <f t="shared" si="187"/>
        <v>0</v>
      </c>
      <c r="ED454"/>
      <c r="EE454"/>
      <c r="EF454"/>
      <c r="EG454"/>
      <c r="EH454">
        <f t="shared" si="188"/>
        <v>0</v>
      </c>
      <c r="EI454"/>
      <c r="EJ454"/>
      <c r="EK454"/>
      <c r="EL454"/>
      <c r="EM454">
        <f t="shared" si="207"/>
        <v>0</v>
      </c>
      <c r="EN454"/>
      <c r="EO454"/>
      <c r="EP454"/>
      <c r="EQ454"/>
      <c r="ER454">
        <f t="shared" si="208"/>
        <v>0</v>
      </c>
      <c r="ES454"/>
      <c r="ET454"/>
      <c r="EU454"/>
      <c r="EV454"/>
      <c r="EW454">
        <f t="shared" si="209"/>
        <v>0</v>
      </c>
      <c r="EX454"/>
      <c r="EY454"/>
      <c r="FA454"/>
      <c r="FB454">
        <f t="shared" si="210"/>
        <v>0</v>
      </c>
      <c r="FC454"/>
      <c r="FD454"/>
      <c r="FF454"/>
      <c r="FG454">
        <f t="shared" si="211"/>
        <v>0</v>
      </c>
      <c r="FH454"/>
      <c r="FI454"/>
      <c r="FL454"/>
      <c r="FM454">
        <f t="shared" si="212"/>
        <v>0</v>
      </c>
      <c r="FN454"/>
      <c r="FO454"/>
      <c r="FP454"/>
      <c r="FQ454" s="420">
        <f>'EXTRAS (2)'!D387</f>
        <v>0</v>
      </c>
      <c r="FR454" s="420">
        <f>'EXTRAS (2)'!E387</f>
        <v>0</v>
      </c>
      <c r="FS454" s="801"/>
      <c r="FT454" s="801"/>
      <c r="FU454" s="420">
        <f t="shared" si="174"/>
        <v>0</v>
      </c>
    </row>
    <row r="455" spans="1:177" s="212" customFormat="1">
      <c r="A455" s="209">
        <v>3661</v>
      </c>
      <c r="B455" s="210" t="s">
        <v>106</v>
      </c>
      <c r="C455" s="390" t="s">
        <v>515</v>
      </c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>
        <f>SUM(BI$7:BI$28,BP$7:BP$28,BQ$7:BQ$28,BJ$7:BJ$28,BK$28:BK380,BL$7:BL$28,BM$7:BM$28,BN$7:BN$28)*(BH455)</f>
        <v>0</v>
      </c>
      <c r="BJ455"/>
      <c r="BK455"/>
      <c r="BL455"/>
      <c r="BM455"/>
      <c r="BN455"/>
      <c r="BO455"/>
      <c r="BP455"/>
      <c r="BQ455"/>
      <c r="BR455"/>
      <c r="BS455"/>
      <c r="BT455">
        <f>SUM(BT$7:BT$28,CA$7:CA$28,CB$7:CB$28,BU$7:BU$28,BV$28:BV380,BW$7:BW$28,BX$7:BX$28,BY$7:BY$28)*(BS455)</f>
        <v>0</v>
      </c>
      <c r="BU455"/>
      <c r="BV455"/>
      <c r="BW455"/>
      <c r="BX455"/>
      <c r="BY455"/>
      <c r="BZ455"/>
      <c r="CA455"/>
      <c r="CB455"/>
      <c r="CC455"/>
      <c r="CD455" s="211">
        <v>1</v>
      </c>
      <c r="CE455">
        <f t="shared" si="197"/>
        <v>0</v>
      </c>
      <c r="CF455"/>
      <c r="CG455"/>
      <c r="CH455"/>
      <c r="CI455"/>
      <c r="CJ455">
        <f t="shared" si="198"/>
        <v>0</v>
      </c>
      <c r="CK455"/>
      <c r="CL455"/>
      <c r="CM455"/>
      <c r="CN455"/>
      <c r="CO455">
        <f t="shared" si="199"/>
        <v>0</v>
      </c>
      <c r="CP455"/>
      <c r="CQ455"/>
      <c r="CR455"/>
      <c r="CS455"/>
      <c r="CT455">
        <f t="shared" si="200"/>
        <v>0</v>
      </c>
      <c r="CU455"/>
      <c r="CV455"/>
      <c r="CW455"/>
      <c r="CX455"/>
      <c r="CY455">
        <f t="shared" si="201"/>
        <v>0</v>
      </c>
      <c r="CZ455"/>
      <c r="DA455"/>
      <c r="DB455"/>
      <c r="DC455"/>
      <c r="DD455">
        <f t="shared" si="202"/>
        <v>0</v>
      </c>
      <c r="DE455"/>
      <c r="DF455"/>
      <c r="DG455"/>
      <c r="DH455"/>
      <c r="DI455">
        <f t="shared" si="203"/>
        <v>0</v>
      </c>
      <c r="DJ455"/>
      <c r="DK455"/>
      <c r="DL455"/>
      <c r="DM455"/>
      <c r="DN455">
        <f t="shared" si="204"/>
        <v>0</v>
      </c>
      <c r="DO455"/>
      <c r="DP455"/>
      <c r="DQ455"/>
      <c r="DR455"/>
      <c r="DS455">
        <f t="shared" si="205"/>
        <v>0</v>
      </c>
      <c r="DT455"/>
      <c r="DU455"/>
      <c r="DV455"/>
      <c r="DW455"/>
      <c r="DX455">
        <f t="shared" si="206"/>
        <v>0</v>
      </c>
      <c r="DY455"/>
      <c r="DZ455"/>
      <c r="EA455"/>
      <c r="EB455"/>
      <c r="EC455">
        <f t="shared" si="187"/>
        <v>0</v>
      </c>
      <c r="ED455"/>
      <c r="EE455"/>
      <c r="EF455"/>
      <c r="EG455"/>
      <c r="EH455">
        <f t="shared" si="188"/>
        <v>0</v>
      </c>
      <c r="EI455"/>
      <c r="EJ455"/>
      <c r="EK455"/>
      <c r="EL455"/>
      <c r="EM455">
        <f t="shared" si="207"/>
        <v>0</v>
      </c>
      <c r="EN455"/>
      <c r="EO455"/>
      <c r="EP455"/>
      <c r="EQ455"/>
      <c r="ER455">
        <f t="shared" si="208"/>
        <v>0</v>
      </c>
      <c r="ES455"/>
      <c r="ET455"/>
      <c r="EU455"/>
      <c r="EV455"/>
      <c r="EW455">
        <f t="shared" si="209"/>
        <v>0</v>
      </c>
      <c r="EX455"/>
      <c r="EY455"/>
      <c r="FA455"/>
      <c r="FB455">
        <f t="shared" si="210"/>
        <v>0</v>
      </c>
      <c r="FC455"/>
      <c r="FD455"/>
      <c r="FF455"/>
      <c r="FG455">
        <f t="shared" si="211"/>
        <v>0</v>
      </c>
      <c r="FH455"/>
      <c r="FI455"/>
      <c r="FL455"/>
      <c r="FM455">
        <f t="shared" si="212"/>
        <v>0</v>
      </c>
      <c r="FN455"/>
      <c r="FO455"/>
      <c r="FP455"/>
      <c r="FQ455" s="420">
        <f>'EXTRAS (2)'!D388</f>
        <v>0</v>
      </c>
      <c r="FR455" s="420">
        <f>'EXTRAS (2)'!E388</f>
        <v>0</v>
      </c>
      <c r="FS455" s="801"/>
      <c r="FT455" s="801"/>
      <c r="FU455" s="420">
        <f t="shared" si="174"/>
        <v>0</v>
      </c>
    </row>
    <row r="456" spans="1:177" s="212" customFormat="1">
      <c r="A456" s="209">
        <v>3659</v>
      </c>
      <c r="B456" s="210" t="s">
        <v>107</v>
      </c>
      <c r="C456" s="390" t="s">
        <v>515</v>
      </c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>
        <f>SUM(BI$7:BI$28,BP$7:BP$28,BQ$7:BQ$28,BJ$7:BJ$28,BK$28:BK381,BL$7:BL$28,BM$7:BM$28,BN$7:BN$28)*(BH456)</f>
        <v>0</v>
      </c>
      <c r="BJ456"/>
      <c r="BK456"/>
      <c r="BL456"/>
      <c r="BM456"/>
      <c r="BN456"/>
      <c r="BO456"/>
      <c r="BP456"/>
      <c r="BQ456"/>
      <c r="BR456"/>
      <c r="BS456"/>
      <c r="BT456">
        <f>SUM(BT$7:BT$28,CA$7:CA$28,CB$7:CB$28,BU$7:BU$28,BV$28:BV381,BW$7:BW$28,BX$7:BX$28,BY$7:BY$28)*(BS456)</f>
        <v>0</v>
      </c>
      <c r="BU456"/>
      <c r="BV456"/>
      <c r="BW456"/>
      <c r="BX456"/>
      <c r="BY456"/>
      <c r="BZ456"/>
      <c r="CA456"/>
      <c r="CB456"/>
      <c r="CC456"/>
      <c r="CD456" s="211">
        <v>1</v>
      </c>
      <c r="CE456">
        <f t="shared" si="197"/>
        <v>0</v>
      </c>
      <c r="CF456"/>
      <c r="CG456"/>
      <c r="CH456"/>
      <c r="CI456"/>
      <c r="CJ456">
        <f t="shared" si="198"/>
        <v>0</v>
      </c>
      <c r="CK456"/>
      <c r="CL456"/>
      <c r="CM456"/>
      <c r="CN456"/>
      <c r="CO456">
        <f t="shared" si="199"/>
        <v>0</v>
      </c>
      <c r="CP456"/>
      <c r="CQ456"/>
      <c r="CR456"/>
      <c r="CS456"/>
      <c r="CT456">
        <f t="shared" si="200"/>
        <v>0</v>
      </c>
      <c r="CU456"/>
      <c r="CV456"/>
      <c r="CW456"/>
      <c r="CX456"/>
      <c r="CY456">
        <f t="shared" si="201"/>
        <v>0</v>
      </c>
      <c r="CZ456"/>
      <c r="DA456"/>
      <c r="DB456"/>
      <c r="DC456"/>
      <c r="DD456">
        <f t="shared" si="202"/>
        <v>0</v>
      </c>
      <c r="DE456"/>
      <c r="DF456"/>
      <c r="DG456"/>
      <c r="DH456"/>
      <c r="DI456">
        <f t="shared" si="203"/>
        <v>0</v>
      </c>
      <c r="DJ456"/>
      <c r="DK456"/>
      <c r="DL456"/>
      <c r="DM456"/>
      <c r="DN456">
        <f t="shared" si="204"/>
        <v>0</v>
      </c>
      <c r="DO456"/>
      <c r="DP456"/>
      <c r="DQ456"/>
      <c r="DR456"/>
      <c r="DS456">
        <f t="shared" si="205"/>
        <v>0</v>
      </c>
      <c r="DT456"/>
      <c r="DU456"/>
      <c r="DV456"/>
      <c r="DW456"/>
      <c r="DX456">
        <f t="shared" si="206"/>
        <v>0</v>
      </c>
      <c r="DY456"/>
      <c r="DZ456"/>
      <c r="EA456"/>
      <c r="EB456"/>
      <c r="EC456">
        <f t="shared" si="187"/>
        <v>0</v>
      </c>
      <c r="ED456"/>
      <c r="EE456"/>
      <c r="EF456"/>
      <c r="EG456"/>
      <c r="EH456">
        <f t="shared" si="188"/>
        <v>0</v>
      </c>
      <c r="EI456"/>
      <c r="EJ456"/>
      <c r="EK456"/>
      <c r="EL456"/>
      <c r="EM456">
        <f t="shared" si="207"/>
        <v>0</v>
      </c>
      <c r="EN456"/>
      <c r="EO456"/>
      <c r="EP456"/>
      <c r="EQ456"/>
      <c r="ER456">
        <f t="shared" si="208"/>
        <v>0</v>
      </c>
      <c r="ES456"/>
      <c r="ET456"/>
      <c r="EU456"/>
      <c r="EV456"/>
      <c r="EW456">
        <f t="shared" si="209"/>
        <v>0</v>
      </c>
      <c r="EX456"/>
      <c r="EY456"/>
      <c r="FA456"/>
      <c r="FB456">
        <f t="shared" si="210"/>
        <v>0</v>
      </c>
      <c r="FC456"/>
      <c r="FD456"/>
      <c r="FF456"/>
      <c r="FG456">
        <f t="shared" si="211"/>
        <v>0</v>
      </c>
      <c r="FH456"/>
      <c r="FI456"/>
      <c r="FL456"/>
      <c r="FM456">
        <f t="shared" si="212"/>
        <v>0</v>
      </c>
      <c r="FN456"/>
      <c r="FO456"/>
      <c r="FP456"/>
      <c r="FQ456" s="420">
        <f>'EXTRAS (2)'!D389</f>
        <v>0</v>
      </c>
      <c r="FR456" s="420">
        <f>'EXTRAS (2)'!E389</f>
        <v>0</v>
      </c>
      <c r="FS456" s="801"/>
      <c r="FT456" s="801"/>
      <c r="FU456" s="420">
        <f t="shared" si="174"/>
        <v>0</v>
      </c>
    </row>
    <row r="457" spans="1:177" s="212" customFormat="1">
      <c r="A457" s="209"/>
      <c r="B457" s="210" t="s">
        <v>108</v>
      </c>
      <c r="C457" s="390" t="s">
        <v>515</v>
      </c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>
        <f>SUM(BI$7:BI$28,BP$7:BP$28,BQ$7:BQ$28,BJ$7:BJ$28,BK$28:BK382,BL$7:BL$28,BM$7:BM$28,BN$7:BN$28)*(BH457)</f>
        <v>0</v>
      </c>
      <c r="BJ457"/>
      <c r="BK457"/>
      <c r="BL457"/>
      <c r="BM457"/>
      <c r="BN457"/>
      <c r="BO457"/>
      <c r="BP457"/>
      <c r="BQ457"/>
      <c r="BR457"/>
      <c r="BS457"/>
      <c r="BT457">
        <f>SUM(BT$7:BT$28,CA$7:CA$28,CB$7:CB$28,BU$7:BU$28,BV$28:BV382,BW$7:BW$28,BX$7:BX$28,BY$7:BY$28)*(BS457)</f>
        <v>0</v>
      </c>
      <c r="BU457"/>
      <c r="BV457"/>
      <c r="BW457"/>
      <c r="BX457"/>
      <c r="BY457"/>
      <c r="BZ457"/>
      <c r="CA457"/>
      <c r="CB457"/>
      <c r="CC457"/>
      <c r="CD457" s="211">
        <v>1</v>
      </c>
      <c r="CE457">
        <f t="shared" si="197"/>
        <v>0</v>
      </c>
      <c r="CF457"/>
      <c r="CG457"/>
      <c r="CH457"/>
      <c r="CI457"/>
      <c r="CJ457">
        <f t="shared" si="198"/>
        <v>0</v>
      </c>
      <c r="CK457"/>
      <c r="CL457"/>
      <c r="CM457"/>
      <c r="CN457"/>
      <c r="CO457">
        <f t="shared" si="199"/>
        <v>0</v>
      </c>
      <c r="CP457"/>
      <c r="CQ457"/>
      <c r="CR457"/>
      <c r="CS457"/>
      <c r="CT457">
        <f t="shared" si="200"/>
        <v>0</v>
      </c>
      <c r="CU457"/>
      <c r="CV457"/>
      <c r="CW457"/>
      <c r="CX457"/>
      <c r="CY457">
        <f t="shared" si="201"/>
        <v>0</v>
      </c>
      <c r="CZ457"/>
      <c r="DA457"/>
      <c r="DB457"/>
      <c r="DC457"/>
      <c r="DD457">
        <f t="shared" si="202"/>
        <v>0</v>
      </c>
      <c r="DE457"/>
      <c r="DF457"/>
      <c r="DG457"/>
      <c r="DH457"/>
      <c r="DI457">
        <f t="shared" si="203"/>
        <v>0</v>
      </c>
      <c r="DJ457"/>
      <c r="DK457"/>
      <c r="DL457"/>
      <c r="DM457"/>
      <c r="DN457">
        <f t="shared" si="204"/>
        <v>0</v>
      </c>
      <c r="DO457"/>
      <c r="DP457"/>
      <c r="DQ457"/>
      <c r="DR457"/>
      <c r="DS457">
        <f t="shared" si="205"/>
        <v>0</v>
      </c>
      <c r="DT457"/>
      <c r="DU457"/>
      <c r="DV457"/>
      <c r="DW457"/>
      <c r="DX457">
        <f t="shared" si="206"/>
        <v>0</v>
      </c>
      <c r="DY457"/>
      <c r="DZ457"/>
      <c r="EA457"/>
      <c r="EB457"/>
      <c r="EC457">
        <f t="shared" si="187"/>
        <v>0</v>
      </c>
      <c r="ED457"/>
      <c r="EE457"/>
      <c r="EF457"/>
      <c r="EG457"/>
      <c r="EH457">
        <f t="shared" si="188"/>
        <v>0</v>
      </c>
      <c r="EI457"/>
      <c r="EJ457"/>
      <c r="EK457"/>
      <c r="EL457"/>
      <c r="EM457">
        <f t="shared" si="207"/>
        <v>0</v>
      </c>
      <c r="EN457"/>
      <c r="EO457"/>
      <c r="EP457"/>
      <c r="EQ457"/>
      <c r="ER457">
        <f t="shared" si="208"/>
        <v>0</v>
      </c>
      <c r="ES457"/>
      <c r="ET457"/>
      <c r="EU457"/>
      <c r="EV457"/>
      <c r="EW457">
        <f t="shared" si="209"/>
        <v>0</v>
      </c>
      <c r="EX457"/>
      <c r="EY457"/>
      <c r="FA457"/>
      <c r="FB457">
        <f t="shared" si="210"/>
        <v>0</v>
      </c>
      <c r="FC457"/>
      <c r="FD457"/>
      <c r="FF457"/>
      <c r="FG457">
        <f t="shared" si="211"/>
        <v>0</v>
      </c>
      <c r="FH457"/>
      <c r="FI457"/>
      <c r="FL457"/>
      <c r="FM457">
        <f t="shared" si="212"/>
        <v>0</v>
      </c>
      <c r="FN457"/>
      <c r="FO457"/>
      <c r="FP457"/>
      <c r="FQ457" s="420">
        <f>'EXTRAS (2)'!D390</f>
        <v>0</v>
      </c>
      <c r="FR457" s="420">
        <f>'EXTRAS (2)'!E390</f>
        <v>0</v>
      </c>
      <c r="FS457" s="801"/>
      <c r="FT457" s="801"/>
      <c r="FU457" s="420">
        <f t="shared" si="174"/>
        <v>0</v>
      </c>
    </row>
    <row r="458" spans="1:177" s="212" customFormat="1">
      <c r="A458" s="209">
        <v>4043</v>
      </c>
      <c r="B458" s="210" t="s">
        <v>109</v>
      </c>
      <c r="C458" s="390" t="s">
        <v>515</v>
      </c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>
        <f>SUM(BI$7:BI$28,BP$7:BP$28,BQ$7:BQ$28,BJ$7:BJ$28,BK$28:BK383,BL$7:BL$28,BM$7:BM$28,BN$7:BN$28)*(BH458)</f>
        <v>0</v>
      </c>
      <c r="BJ458"/>
      <c r="BK458"/>
      <c r="BL458"/>
      <c r="BM458"/>
      <c r="BN458"/>
      <c r="BO458"/>
      <c r="BP458"/>
      <c r="BQ458"/>
      <c r="BR458"/>
      <c r="BS458"/>
      <c r="BT458">
        <f>SUM(BT$7:BT$28,CA$7:CA$28,CB$7:CB$28,BU$7:BU$28,BV$28:BV383,BW$7:BW$28,BX$7:BX$28,BY$7:BY$28)*(BS458)</f>
        <v>0</v>
      </c>
      <c r="BU458"/>
      <c r="BV458"/>
      <c r="BW458"/>
      <c r="BX458"/>
      <c r="BY458"/>
      <c r="BZ458"/>
      <c r="CA458"/>
      <c r="CB458"/>
      <c r="CC458"/>
      <c r="CD458" s="211">
        <v>1</v>
      </c>
      <c r="CE458">
        <f t="shared" si="197"/>
        <v>0</v>
      </c>
      <c r="CF458"/>
      <c r="CG458"/>
      <c r="CH458"/>
      <c r="CI458"/>
      <c r="CJ458">
        <f t="shared" si="198"/>
        <v>0</v>
      </c>
      <c r="CK458"/>
      <c r="CL458"/>
      <c r="CM458"/>
      <c r="CN458"/>
      <c r="CO458">
        <f t="shared" si="199"/>
        <v>0</v>
      </c>
      <c r="CP458"/>
      <c r="CQ458"/>
      <c r="CR458"/>
      <c r="CS458"/>
      <c r="CT458">
        <f t="shared" si="200"/>
        <v>0</v>
      </c>
      <c r="CU458"/>
      <c r="CV458"/>
      <c r="CW458"/>
      <c r="CX458"/>
      <c r="CY458">
        <f t="shared" si="201"/>
        <v>0</v>
      </c>
      <c r="CZ458"/>
      <c r="DA458"/>
      <c r="DB458"/>
      <c r="DC458"/>
      <c r="DD458">
        <f t="shared" si="202"/>
        <v>0</v>
      </c>
      <c r="DE458"/>
      <c r="DF458"/>
      <c r="DG458"/>
      <c r="DH458"/>
      <c r="DI458">
        <f t="shared" si="203"/>
        <v>0</v>
      </c>
      <c r="DJ458"/>
      <c r="DK458"/>
      <c r="DL458"/>
      <c r="DM458"/>
      <c r="DN458">
        <f t="shared" si="204"/>
        <v>0</v>
      </c>
      <c r="DO458"/>
      <c r="DP458"/>
      <c r="DQ458"/>
      <c r="DR458"/>
      <c r="DS458">
        <f t="shared" si="205"/>
        <v>0</v>
      </c>
      <c r="DT458"/>
      <c r="DU458"/>
      <c r="DV458"/>
      <c r="DW458"/>
      <c r="DX458">
        <f t="shared" si="206"/>
        <v>0</v>
      </c>
      <c r="DY458"/>
      <c r="DZ458"/>
      <c r="EA458"/>
      <c r="EB458"/>
      <c r="EC458">
        <f t="shared" si="187"/>
        <v>0</v>
      </c>
      <c r="ED458"/>
      <c r="EE458"/>
      <c r="EF458"/>
      <c r="EG458"/>
      <c r="EH458">
        <f t="shared" si="188"/>
        <v>0</v>
      </c>
      <c r="EI458"/>
      <c r="EJ458"/>
      <c r="EK458"/>
      <c r="EL458"/>
      <c r="EM458">
        <f t="shared" si="207"/>
        <v>0</v>
      </c>
      <c r="EN458"/>
      <c r="EO458"/>
      <c r="EP458"/>
      <c r="EQ458"/>
      <c r="ER458">
        <f t="shared" si="208"/>
        <v>0</v>
      </c>
      <c r="ES458"/>
      <c r="ET458"/>
      <c r="EU458"/>
      <c r="EV458"/>
      <c r="EW458">
        <f t="shared" si="209"/>
        <v>0</v>
      </c>
      <c r="EX458"/>
      <c r="EY458"/>
      <c r="FA458"/>
      <c r="FB458">
        <f t="shared" si="210"/>
        <v>0</v>
      </c>
      <c r="FC458"/>
      <c r="FD458"/>
      <c r="FF458"/>
      <c r="FG458">
        <f t="shared" si="211"/>
        <v>0</v>
      </c>
      <c r="FH458"/>
      <c r="FI458"/>
      <c r="FL458"/>
      <c r="FM458">
        <f t="shared" si="212"/>
        <v>0</v>
      </c>
      <c r="FN458"/>
      <c r="FO458"/>
      <c r="FP458"/>
      <c r="FQ458" s="420">
        <f>'EXTRAS (2)'!D391</f>
        <v>0</v>
      </c>
      <c r="FR458" s="420">
        <f>'EXTRAS (2)'!E391</f>
        <v>0</v>
      </c>
      <c r="FS458" s="801"/>
      <c r="FT458" s="801"/>
      <c r="FU458" s="420">
        <f t="shared" si="174"/>
        <v>0</v>
      </c>
    </row>
    <row r="459" spans="1:177" s="212" customFormat="1">
      <c r="A459" s="209">
        <v>3663</v>
      </c>
      <c r="B459" s="210" t="s">
        <v>32</v>
      </c>
      <c r="C459" s="390" t="s">
        <v>515</v>
      </c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>
        <f>SUM(BI$7:BI$28,BP$7:BP$28,BQ$7:BQ$28,BJ$7:BJ$28,BK$28:BK384,BL$7:BL$28,BM$7:BM$28,BN$7:BN$28)*(BH459)</f>
        <v>0</v>
      </c>
      <c r="BJ459"/>
      <c r="BK459"/>
      <c r="BL459"/>
      <c r="BM459"/>
      <c r="BN459"/>
      <c r="BO459"/>
      <c r="BP459"/>
      <c r="BQ459"/>
      <c r="BR459"/>
      <c r="BS459"/>
      <c r="BT459">
        <f>SUM(BT$7:BT$28,CA$7:CA$28,CB$7:CB$28,BU$7:BU$28,BV$28:BV384,BW$7:BW$28,BX$7:BX$28,BY$7:BY$28)*(BS459)</f>
        <v>0</v>
      </c>
      <c r="BU459"/>
      <c r="BV459"/>
      <c r="BW459"/>
      <c r="BX459"/>
      <c r="BY459"/>
      <c r="BZ459"/>
      <c r="CA459"/>
      <c r="CB459"/>
      <c r="CC459"/>
      <c r="CD459" s="211">
        <v>1</v>
      </c>
      <c r="CE459">
        <f t="shared" si="197"/>
        <v>0</v>
      </c>
      <c r="CF459"/>
      <c r="CG459"/>
      <c r="CH459"/>
      <c r="CI459"/>
      <c r="CJ459">
        <f t="shared" si="198"/>
        <v>0</v>
      </c>
      <c r="CK459"/>
      <c r="CL459"/>
      <c r="CM459"/>
      <c r="CN459"/>
      <c r="CO459">
        <f t="shared" si="199"/>
        <v>0</v>
      </c>
      <c r="CP459"/>
      <c r="CQ459"/>
      <c r="CR459"/>
      <c r="CS459"/>
      <c r="CT459">
        <f t="shared" si="200"/>
        <v>0</v>
      </c>
      <c r="CU459"/>
      <c r="CV459"/>
      <c r="CW459"/>
      <c r="CX459"/>
      <c r="CY459">
        <f t="shared" si="201"/>
        <v>0</v>
      </c>
      <c r="CZ459"/>
      <c r="DA459"/>
      <c r="DB459"/>
      <c r="DC459"/>
      <c r="DD459">
        <f t="shared" si="202"/>
        <v>0</v>
      </c>
      <c r="DE459"/>
      <c r="DF459"/>
      <c r="DG459"/>
      <c r="DH459"/>
      <c r="DI459">
        <f t="shared" si="203"/>
        <v>0</v>
      </c>
      <c r="DJ459"/>
      <c r="DK459"/>
      <c r="DL459"/>
      <c r="DM459"/>
      <c r="DN459">
        <f t="shared" si="204"/>
        <v>0</v>
      </c>
      <c r="DO459"/>
      <c r="DP459"/>
      <c r="DQ459"/>
      <c r="DR459"/>
      <c r="DS459">
        <f t="shared" si="205"/>
        <v>0</v>
      </c>
      <c r="DT459"/>
      <c r="DU459"/>
      <c r="DV459"/>
      <c r="DW459"/>
      <c r="DX459">
        <f t="shared" si="206"/>
        <v>0</v>
      </c>
      <c r="DY459"/>
      <c r="DZ459"/>
      <c r="EA459"/>
      <c r="EB459"/>
      <c r="EC459">
        <f t="shared" si="187"/>
        <v>0</v>
      </c>
      <c r="ED459"/>
      <c r="EE459"/>
      <c r="EF459"/>
      <c r="EG459"/>
      <c r="EH459">
        <f t="shared" si="188"/>
        <v>0</v>
      </c>
      <c r="EI459"/>
      <c r="EJ459"/>
      <c r="EK459"/>
      <c r="EL459"/>
      <c r="EM459">
        <f t="shared" si="207"/>
        <v>0</v>
      </c>
      <c r="EN459"/>
      <c r="EO459"/>
      <c r="EP459"/>
      <c r="EQ459"/>
      <c r="ER459">
        <f t="shared" si="208"/>
        <v>0</v>
      </c>
      <c r="ES459"/>
      <c r="ET459"/>
      <c r="EU459"/>
      <c r="EV459"/>
      <c r="EW459">
        <f t="shared" si="209"/>
        <v>0</v>
      </c>
      <c r="EX459"/>
      <c r="EY459"/>
      <c r="FA459"/>
      <c r="FB459">
        <f t="shared" si="210"/>
        <v>0</v>
      </c>
      <c r="FC459"/>
      <c r="FD459"/>
      <c r="FF459"/>
      <c r="FG459">
        <f t="shared" si="211"/>
        <v>0</v>
      </c>
      <c r="FH459"/>
      <c r="FI459"/>
      <c r="FL459"/>
      <c r="FM459">
        <f t="shared" si="212"/>
        <v>0</v>
      </c>
      <c r="FN459"/>
      <c r="FO459"/>
      <c r="FP459"/>
      <c r="FQ459" s="420">
        <f>'EXTRAS (2)'!D392</f>
        <v>0</v>
      </c>
      <c r="FR459" s="420">
        <f>'EXTRAS (2)'!E392</f>
        <v>0</v>
      </c>
      <c r="FS459" s="801"/>
      <c r="FT459" s="801"/>
      <c r="FU459" s="420">
        <f t="shared" si="174"/>
        <v>0</v>
      </c>
    </row>
    <row r="460" spans="1:177" s="212" customFormat="1">
      <c r="A460" s="209">
        <v>3662</v>
      </c>
      <c r="B460" s="210" t="s">
        <v>110</v>
      </c>
      <c r="C460" s="390" t="s">
        <v>515</v>
      </c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>
        <f>SUM(BI$7:BI$28,BP$7:BP$28,BQ$7:BQ$28,BJ$7:BJ$28,BK$28:BK385,BL$7:BL$28,BM$7:BM$28,BN$7:BN$28)*(BH460)</f>
        <v>0</v>
      </c>
      <c r="BJ460"/>
      <c r="BK460"/>
      <c r="BL460"/>
      <c r="BM460"/>
      <c r="BN460"/>
      <c r="BO460"/>
      <c r="BP460"/>
      <c r="BQ460"/>
      <c r="BR460"/>
      <c r="BS460"/>
      <c r="BT460">
        <f>SUM(BT$7:BT$28,CA$7:CA$28,CB$7:CB$28,BU$7:BU$28,BV$28:BV385,BW$7:BW$28,BX$7:BX$28,BY$7:BY$28)*(BS460)</f>
        <v>0</v>
      </c>
      <c r="BU460"/>
      <c r="BV460"/>
      <c r="BW460"/>
      <c r="BX460"/>
      <c r="BY460"/>
      <c r="BZ460"/>
      <c r="CA460"/>
      <c r="CB460"/>
      <c r="CC460"/>
      <c r="CD460" s="211">
        <v>1</v>
      </c>
      <c r="CE460">
        <f t="shared" si="197"/>
        <v>0</v>
      </c>
      <c r="CF460"/>
      <c r="CG460"/>
      <c r="CH460"/>
      <c r="CI460"/>
      <c r="CJ460">
        <f t="shared" si="198"/>
        <v>0</v>
      </c>
      <c r="CK460"/>
      <c r="CL460"/>
      <c r="CM460"/>
      <c r="CN460"/>
      <c r="CO460">
        <f t="shared" si="199"/>
        <v>0</v>
      </c>
      <c r="CP460"/>
      <c r="CQ460"/>
      <c r="CR460"/>
      <c r="CS460"/>
      <c r="CT460">
        <f t="shared" si="200"/>
        <v>0</v>
      </c>
      <c r="CU460"/>
      <c r="CV460"/>
      <c r="CW460"/>
      <c r="CX460"/>
      <c r="CY460">
        <f t="shared" si="201"/>
        <v>0</v>
      </c>
      <c r="CZ460"/>
      <c r="DA460"/>
      <c r="DB460"/>
      <c r="DC460"/>
      <c r="DD460">
        <f t="shared" si="202"/>
        <v>0</v>
      </c>
      <c r="DE460"/>
      <c r="DF460"/>
      <c r="DG460"/>
      <c r="DH460"/>
      <c r="DI460">
        <f t="shared" si="203"/>
        <v>0</v>
      </c>
      <c r="DJ460"/>
      <c r="DK460"/>
      <c r="DL460"/>
      <c r="DM460"/>
      <c r="DN460">
        <f t="shared" si="204"/>
        <v>0</v>
      </c>
      <c r="DO460"/>
      <c r="DP460"/>
      <c r="DQ460"/>
      <c r="DR460"/>
      <c r="DS460">
        <f t="shared" si="205"/>
        <v>0</v>
      </c>
      <c r="DT460"/>
      <c r="DU460"/>
      <c r="DV460"/>
      <c r="DW460"/>
      <c r="DX460">
        <f t="shared" si="206"/>
        <v>0</v>
      </c>
      <c r="DY460"/>
      <c r="DZ460"/>
      <c r="EA460"/>
      <c r="EB460"/>
      <c r="EC460">
        <f t="shared" si="187"/>
        <v>0</v>
      </c>
      <c r="ED460"/>
      <c r="EE460"/>
      <c r="EF460"/>
      <c r="EG460"/>
      <c r="EH460">
        <f t="shared" si="188"/>
        <v>0</v>
      </c>
      <c r="EI460"/>
      <c r="EJ460"/>
      <c r="EK460"/>
      <c r="EL460"/>
      <c r="EM460">
        <f t="shared" si="207"/>
        <v>0</v>
      </c>
      <c r="EN460"/>
      <c r="EO460"/>
      <c r="EP460"/>
      <c r="EQ460"/>
      <c r="ER460">
        <f t="shared" si="208"/>
        <v>0</v>
      </c>
      <c r="ES460"/>
      <c r="ET460"/>
      <c r="EU460"/>
      <c r="EV460"/>
      <c r="EW460">
        <f t="shared" si="209"/>
        <v>0</v>
      </c>
      <c r="EX460"/>
      <c r="EY460"/>
      <c r="FA460"/>
      <c r="FB460">
        <f t="shared" si="210"/>
        <v>0</v>
      </c>
      <c r="FC460"/>
      <c r="FD460"/>
      <c r="FF460"/>
      <c r="FG460">
        <f t="shared" si="211"/>
        <v>0</v>
      </c>
      <c r="FH460"/>
      <c r="FI460"/>
      <c r="FL460"/>
      <c r="FM460">
        <f t="shared" si="212"/>
        <v>0</v>
      </c>
      <c r="FN460"/>
      <c r="FO460"/>
      <c r="FP460"/>
      <c r="FQ460" s="420">
        <f>'EXTRAS (2)'!D393</f>
        <v>0</v>
      </c>
      <c r="FR460" s="420">
        <f>'EXTRAS (2)'!E393</f>
        <v>0</v>
      </c>
      <c r="FS460" s="801"/>
      <c r="FT460" s="801"/>
      <c r="FU460" s="420">
        <f t="shared" si="174"/>
        <v>0</v>
      </c>
    </row>
    <row r="461" spans="1:177" s="212" customFormat="1">
      <c r="A461" s="209"/>
      <c r="B461" s="210" t="s">
        <v>111</v>
      </c>
      <c r="C461" s="390" t="s">
        <v>515</v>
      </c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>
        <f>SUM(BI$7:BI$28,BP$7:BP$28,BQ$7:BQ$28,BJ$7:BJ$28,BK$28:BK386,BL$7:BL$28,BM$7:BM$28,BN$7:BN$28)*(BH461)</f>
        <v>0</v>
      </c>
      <c r="BJ461"/>
      <c r="BK461"/>
      <c r="BL461"/>
      <c r="BM461"/>
      <c r="BN461"/>
      <c r="BO461"/>
      <c r="BP461"/>
      <c r="BQ461"/>
      <c r="BR461"/>
      <c r="BS461"/>
      <c r="BT461">
        <f>SUM(BT$7:BT$28,CA$7:CA$28,CB$7:CB$28,BU$7:BU$28,BV$28:BV386,BW$7:BW$28,BX$7:BX$28,BY$7:BY$28)*(BS461)</f>
        <v>0</v>
      </c>
      <c r="BU461"/>
      <c r="BV461"/>
      <c r="BW461"/>
      <c r="BX461"/>
      <c r="BY461"/>
      <c r="BZ461"/>
      <c r="CA461"/>
      <c r="CB461"/>
      <c r="CC461"/>
      <c r="CD461" s="211">
        <v>1</v>
      </c>
      <c r="CE461">
        <f t="shared" si="197"/>
        <v>0</v>
      </c>
      <c r="CF461"/>
      <c r="CG461"/>
      <c r="CH461"/>
      <c r="CI461"/>
      <c r="CJ461">
        <f t="shared" si="198"/>
        <v>0</v>
      </c>
      <c r="CK461"/>
      <c r="CL461"/>
      <c r="CM461"/>
      <c r="CN461"/>
      <c r="CO461">
        <f t="shared" si="199"/>
        <v>0</v>
      </c>
      <c r="CP461"/>
      <c r="CQ461"/>
      <c r="CR461"/>
      <c r="CS461"/>
      <c r="CT461">
        <f t="shared" si="200"/>
        <v>0</v>
      </c>
      <c r="CU461"/>
      <c r="CV461"/>
      <c r="CW461"/>
      <c r="CX461"/>
      <c r="CY461">
        <f t="shared" si="201"/>
        <v>0</v>
      </c>
      <c r="CZ461"/>
      <c r="DA461"/>
      <c r="DB461"/>
      <c r="DC461"/>
      <c r="DD461">
        <f t="shared" si="202"/>
        <v>0</v>
      </c>
      <c r="DE461"/>
      <c r="DF461"/>
      <c r="DG461"/>
      <c r="DH461"/>
      <c r="DI461">
        <f t="shared" si="203"/>
        <v>0</v>
      </c>
      <c r="DJ461"/>
      <c r="DK461"/>
      <c r="DL461"/>
      <c r="DM461"/>
      <c r="DN461">
        <f t="shared" si="204"/>
        <v>0</v>
      </c>
      <c r="DO461"/>
      <c r="DP461"/>
      <c r="DQ461"/>
      <c r="DR461"/>
      <c r="DS461">
        <f t="shared" si="205"/>
        <v>0</v>
      </c>
      <c r="DT461"/>
      <c r="DU461"/>
      <c r="DV461"/>
      <c r="DW461"/>
      <c r="DX461">
        <f t="shared" si="206"/>
        <v>0</v>
      </c>
      <c r="DY461"/>
      <c r="DZ461"/>
      <c r="EA461"/>
      <c r="EB461"/>
      <c r="EC461">
        <f t="shared" si="187"/>
        <v>0</v>
      </c>
      <c r="ED461"/>
      <c r="EE461"/>
      <c r="EF461"/>
      <c r="EG461"/>
      <c r="EH461">
        <f t="shared" si="188"/>
        <v>0</v>
      </c>
      <c r="EI461"/>
      <c r="EJ461"/>
      <c r="EK461"/>
      <c r="EL461"/>
      <c r="EM461">
        <f t="shared" si="207"/>
        <v>0</v>
      </c>
      <c r="EN461"/>
      <c r="EO461"/>
      <c r="EP461"/>
      <c r="EQ461"/>
      <c r="ER461">
        <f t="shared" si="208"/>
        <v>0</v>
      </c>
      <c r="ES461"/>
      <c r="ET461"/>
      <c r="EU461"/>
      <c r="EV461"/>
      <c r="EW461">
        <f t="shared" si="209"/>
        <v>0</v>
      </c>
      <c r="EX461"/>
      <c r="EY461"/>
      <c r="FA461"/>
      <c r="FB461">
        <f t="shared" si="210"/>
        <v>0</v>
      </c>
      <c r="FC461"/>
      <c r="FD461"/>
      <c r="FF461"/>
      <c r="FG461">
        <f t="shared" si="211"/>
        <v>0</v>
      </c>
      <c r="FH461"/>
      <c r="FI461"/>
      <c r="FL461"/>
      <c r="FM461">
        <f t="shared" si="212"/>
        <v>0</v>
      </c>
      <c r="FN461"/>
      <c r="FO461"/>
      <c r="FP461"/>
      <c r="FQ461" s="420">
        <f>'EXTRAS (2)'!D394</f>
        <v>0</v>
      </c>
      <c r="FR461" s="420">
        <f>'EXTRAS (2)'!E394</f>
        <v>0</v>
      </c>
      <c r="FS461" s="801"/>
      <c r="FT461" s="801"/>
      <c r="FU461" s="420">
        <f t="shared" si="174"/>
        <v>0</v>
      </c>
    </row>
    <row r="462" spans="1:177" s="212" customFormat="1">
      <c r="A462" s="209">
        <v>4044</v>
      </c>
      <c r="B462" s="210" t="s">
        <v>112</v>
      </c>
      <c r="C462" s="390" t="s">
        <v>515</v>
      </c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>
        <f>SUM(BI$7:BI$28,BP$7:BP$28,BQ$7:BQ$28,BJ$7:BJ$28,BK$28:BK387,BL$7:BL$28,BM$7:BM$28,BN$7:BN$28)*(BH462)</f>
        <v>0</v>
      </c>
      <c r="BJ462"/>
      <c r="BK462"/>
      <c r="BL462"/>
      <c r="BM462"/>
      <c r="BN462"/>
      <c r="BO462"/>
      <c r="BP462"/>
      <c r="BQ462"/>
      <c r="BR462"/>
      <c r="BS462"/>
      <c r="BT462">
        <f>SUM(BT$7:BT$28,CA$7:CA$28,CB$7:CB$28,BU$7:BU$28,BV$28:BV387,BW$7:BW$28,BX$7:BX$28,BY$7:BY$28)*(BS462)</f>
        <v>0</v>
      </c>
      <c r="BU462"/>
      <c r="BV462"/>
      <c r="BW462"/>
      <c r="BX462"/>
      <c r="BY462"/>
      <c r="BZ462"/>
      <c r="CA462"/>
      <c r="CB462"/>
      <c r="CC462"/>
      <c r="CD462" s="211">
        <v>1</v>
      </c>
      <c r="CE462">
        <f t="shared" si="197"/>
        <v>0</v>
      </c>
      <c r="CF462"/>
      <c r="CG462"/>
      <c r="CH462"/>
      <c r="CI462"/>
      <c r="CJ462">
        <f t="shared" si="198"/>
        <v>0</v>
      </c>
      <c r="CK462"/>
      <c r="CL462"/>
      <c r="CM462"/>
      <c r="CN462"/>
      <c r="CO462">
        <f t="shared" si="199"/>
        <v>0</v>
      </c>
      <c r="CP462"/>
      <c r="CQ462"/>
      <c r="CR462"/>
      <c r="CS462"/>
      <c r="CT462">
        <f t="shared" si="200"/>
        <v>0</v>
      </c>
      <c r="CU462"/>
      <c r="CV462"/>
      <c r="CW462"/>
      <c r="CX462"/>
      <c r="CY462">
        <f t="shared" si="201"/>
        <v>0</v>
      </c>
      <c r="CZ462"/>
      <c r="DA462"/>
      <c r="DB462"/>
      <c r="DC462"/>
      <c r="DD462">
        <f t="shared" si="202"/>
        <v>0</v>
      </c>
      <c r="DE462"/>
      <c r="DF462"/>
      <c r="DG462"/>
      <c r="DH462"/>
      <c r="DI462">
        <f t="shared" si="203"/>
        <v>0</v>
      </c>
      <c r="DJ462"/>
      <c r="DK462"/>
      <c r="DL462"/>
      <c r="DM462"/>
      <c r="DN462">
        <f t="shared" si="204"/>
        <v>0</v>
      </c>
      <c r="DO462"/>
      <c r="DP462"/>
      <c r="DQ462"/>
      <c r="DR462"/>
      <c r="DS462">
        <f t="shared" si="205"/>
        <v>0</v>
      </c>
      <c r="DT462"/>
      <c r="DU462"/>
      <c r="DV462"/>
      <c r="DW462"/>
      <c r="DX462">
        <f t="shared" si="206"/>
        <v>0</v>
      </c>
      <c r="DY462"/>
      <c r="DZ462"/>
      <c r="EA462"/>
      <c r="EB462"/>
      <c r="EC462">
        <f t="shared" si="187"/>
        <v>0</v>
      </c>
      <c r="ED462"/>
      <c r="EE462"/>
      <c r="EF462"/>
      <c r="EG462"/>
      <c r="EH462">
        <f t="shared" si="188"/>
        <v>0</v>
      </c>
      <c r="EI462"/>
      <c r="EJ462"/>
      <c r="EK462"/>
      <c r="EL462"/>
      <c r="EM462">
        <f t="shared" si="207"/>
        <v>0</v>
      </c>
      <c r="EN462"/>
      <c r="EO462"/>
      <c r="EP462"/>
      <c r="EQ462"/>
      <c r="ER462">
        <f t="shared" si="208"/>
        <v>0</v>
      </c>
      <c r="ES462"/>
      <c r="ET462"/>
      <c r="EU462"/>
      <c r="EV462"/>
      <c r="EW462">
        <f t="shared" si="209"/>
        <v>0</v>
      </c>
      <c r="EX462"/>
      <c r="EY462"/>
      <c r="FA462"/>
      <c r="FB462">
        <f t="shared" si="210"/>
        <v>0</v>
      </c>
      <c r="FC462"/>
      <c r="FD462"/>
      <c r="FF462"/>
      <c r="FG462">
        <f t="shared" si="211"/>
        <v>0</v>
      </c>
      <c r="FH462"/>
      <c r="FI462"/>
      <c r="FL462"/>
      <c r="FM462">
        <f t="shared" si="212"/>
        <v>0</v>
      </c>
      <c r="FN462"/>
      <c r="FO462"/>
      <c r="FP462"/>
      <c r="FQ462" s="420">
        <f>'EXTRAS (2)'!D395</f>
        <v>0</v>
      </c>
      <c r="FR462" s="420">
        <f>'EXTRAS (2)'!E395</f>
        <v>0</v>
      </c>
      <c r="FS462" s="801"/>
      <c r="FT462" s="801"/>
      <c r="FU462" s="420">
        <f t="shared" si="174"/>
        <v>0</v>
      </c>
    </row>
    <row r="463" spans="1:177" s="212" customFormat="1">
      <c r="A463" s="209">
        <v>3665</v>
      </c>
      <c r="B463" s="210" t="s">
        <v>38</v>
      </c>
      <c r="C463" s="390" t="s">
        <v>515</v>
      </c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>
        <f>SUM(BI$7:BI$28,BP$7:BP$28,BQ$7:BQ$28,BJ$7:BJ$28,BK$28:BK388,BL$7:BL$28,BM$7:BM$28,BN$7:BN$28)*(BH463)</f>
        <v>0</v>
      </c>
      <c r="BJ463"/>
      <c r="BK463"/>
      <c r="BL463"/>
      <c r="BM463"/>
      <c r="BN463"/>
      <c r="BO463"/>
      <c r="BP463"/>
      <c r="BQ463"/>
      <c r="BR463"/>
      <c r="BS463"/>
      <c r="BT463">
        <f>SUM(BT$7:BT$28,CA$7:CA$28,CB$7:CB$28,BU$7:BU$28,BV$28:BV388,BW$7:BW$28,BX$7:BX$28,BY$7:BY$28)*(BS463)</f>
        <v>0</v>
      </c>
      <c r="BU463"/>
      <c r="BV463"/>
      <c r="BW463"/>
      <c r="BX463"/>
      <c r="BY463"/>
      <c r="BZ463"/>
      <c r="CA463"/>
      <c r="CB463"/>
      <c r="CC463"/>
      <c r="CD463" s="211">
        <v>1</v>
      </c>
      <c r="CE463">
        <f t="shared" si="197"/>
        <v>0</v>
      </c>
      <c r="CF463"/>
      <c r="CG463"/>
      <c r="CH463"/>
      <c r="CI463"/>
      <c r="CJ463">
        <f t="shared" si="198"/>
        <v>0</v>
      </c>
      <c r="CK463"/>
      <c r="CL463"/>
      <c r="CM463"/>
      <c r="CN463"/>
      <c r="CO463">
        <f t="shared" si="199"/>
        <v>0</v>
      </c>
      <c r="CP463"/>
      <c r="CQ463"/>
      <c r="CR463"/>
      <c r="CS463"/>
      <c r="CT463">
        <f t="shared" si="200"/>
        <v>0</v>
      </c>
      <c r="CU463"/>
      <c r="CV463"/>
      <c r="CW463"/>
      <c r="CX463"/>
      <c r="CY463">
        <f t="shared" si="201"/>
        <v>0</v>
      </c>
      <c r="CZ463"/>
      <c r="DA463"/>
      <c r="DB463"/>
      <c r="DC463"/>
      <c r="DD463">
        <f t="shared" si="202"/>
        <v>0</v>
      </c>
      <c r="DE463"/>
      <c r="DF463"/>
      <c r="DG463"/>
      <c r="DH463"/>
      <c r="DI463">
        <f t="shared" si="203"/>
        <v>0</v>
      </c>
      <c r="DJ463"/>
      <c r="DK463"/>
      <c r="DL463"/>
      <c r="DM463"/>
      <c r="DN463">
        <f t="shared" si="204"/>
        <v>0</v>
      </c>
      <c r="DO463"/>
      <c r="DP463"/>
      <c r="DQ463"/>
      <c r="DR463"/>
      <c r="DS463">
        <f t="shared" si="205"/>
        <v>0</v>
      </c>
      <c r="DT463"/>
      <c r="DU463"/>
      <c r="DV463"/>
      <c r="DW463"/>
      <c r="DX463">
        <f t="shared" si="206"/>
        <v>0</v>
      </c>
      <c r="DY463"/>
      <c r="DZ463"/>
      <c r="EA463"/>
      <c r="EB463"/>
      <c r="EC463">
        <f t="shared" si="187"/>
        <v>0</v>
      </c>
      <c r="ED463"/>
      <c r="EE463"/>
      <c r="EF463"/>
      <c r="EG463"/>
      <c r="EH463">
        <f t="shared" si="188"/>
        <v>0</v>
      </c>
      <c r="EI463"/>
      <c r="EJ463"/>
      <c r="EK463"/>
      <c r="EL463"/>
      <c r="EM463">
        <f t="shared" si="207"/>
        <v>0</v>
      </c>
      <c r="EN463"/>
      <c r="EO463"/>
      <c r="EP463"/>
      <c r="EQ463"/>
      <c r="ER463">
        <f t="shared" si="208"/>
        <v>0</v>
      </c>
      <c r="ES463"/>
      <c r="ET463"/>
      <c r="EU463"/>
      <c r="EV463"/>
      <c r="EW463">
        <f t="shared" si="209"/>
        <v>0</v>
      </c>
      <c r="EX463"/>
      <c r="EY463"/>
      <c r="FA463"/>
      <c r="FB463">
        <f t="shared" si="210"/>
        <v>0</v>
      </c>
      <c r="FC463"/>
      <c r="FD463"/>
      <c r="FF463"/>
      <c r="FG463">
        <f t="shared" si="211"/>
        <v>0</v>
      </c>
      <c r="FH463"/>
      <c r="FI463"/>
      <c r="FL463"/>
      <c r="FM463">
        <f t="shared" si="212"/>
        <v>0</v>
      </c>
      <c r="FN463"/>
      <c r="FO463"/>
      <c r="FP463"/>
      <c r="FQ463" s="420">
        <f>'EXTRAS (2)'!D396</f>
        <v>0</v>
      </c>
      <c r="FR463" s="420">
        <f>'EXTRAS (2)'!E396</f>
        <v>0</v>
      </c>
      <c r="FS463" s="801"/>
      <c r="FT463" s="801"/>
      <c r="FU463" s="420">
        <f t="shared" si="174"/>
        <v>0</v>
      </c>
    </row>
    <row r="464" spans="1:177" s="212" customFormat="1">
      <c r="A464" s="209">
        <v>3664</v>
      </c>
      <c r="B464" s="210" t="s">
        <v>113</v>
      </c>
      <c r="C464" s="390" t="s">
        <v>515</v>
      </c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>
        <f>SUM(BI$7:BI$28,BP$7:BP$28,BQ$7:BQ$28,BJ$7:BJ$28,BK$28:BK389,BL$7:BL$28,BM$7:BM$28,BN$7:BN$28)*(BH464)</f>
        <v>0</v>
      </c>
      <c r="BJ464"/>
      <c r="BK464"/>
      <c r="BL464"/>
      <c r="BM464"/>
      <c r="BN464"/>
      <c r="BO464"/>
      <c r="BP464"/>
      <c r="BQ464"/>
      <c r="BR464"/>
      <c r="BS464"/>
      <c r="BT464">
        <f>SUM(BT$7:BT$28,CA$7:CA$28,CB$7:CB$28,BU$7:BU$28,BV$28:BV389,BW$7:BW$28,BX$7:BX$28,BY$7:BY$28)*(BS464)</f>
        <v>0</v>
      </c>
      <c r="BU464"/>
      <c r="BV464"/>
      <c r="BW464"/>
      <c r="BX464"/>
      <c r="BY464"/>
      <c r="BZ464"/>
      <c r="CA464"/>
      <c r="CB464"/>
      <c r="CC464"/>
      <c r="CD464" s="211">
        <v>1</v>
      </c>
      <c r="CE464">
        <f t="shared" si="197"/>
        <v>0</v>
      </c>
      <c r="CF464"/>
      <c r="CG464"/>
      <c r="CH464"/>
      <c r="CI464"/>
      <c r="CJ464">
        <f t="shared" si="198"/>
        <v>0</v>
      </c>
      <c r="CK464"/>
      <c r="CL464"/>
      <c r="CM464"/>
      <c r="CN464"/>
      <c r="CO464">
        <f t="shared" si="199"/>
        <v>0</v>
      </c>
      <c r="CP464"/>
      <c r="CQ464"/>
      <c r="CR464"/>
      <c r="CS464"/>
      <c r="CT464">
        <f t="shared" si="200"/>
        <v>0</v>
      </c>
      <c r="CU464"/>
      <c r="CV464"/>
      <c r="CW464"/>
      <c r="CX464"/>
      <c r="CY464">
        <f t="shared" si="201"/>
        <v>0</v>
      </c>
      <c r="CZ464"/>
      <c r="DA464"/>
      <c r="DB464"/>
      <c r="DC464"/>
      <c r="DD464">
        <f t="shared" si="202"/>
        <v>0</v>
      </c>
      <c r="DE464"/>
      <c r="DF464"/>
      <c r="DG464"/>
      <c r="DH464"/>
      <c r="DI464">
        <f t="shared" si="203"/>
        <v>0</v>
      </c>
      <c r="DJ464"/>
      <c r="DK464"/>
      <c r="DL464"/>
      <c r="DM464"/>
      <c r="DN464">
        <f t="shared" si="204"/>
        <v>0</v>
      </c>
      <c r="DO464"/>
      <c r="DP464"/>
      <c r="DQ464"/>
      <c r="DR464"/>
      <c r="DS464">
        <f t="shared" si="205"/>
        <v>0</v>
      </c>
      <c r="DT464"/>
      <c r="DU464"/>
      <c r="DV464"/>
      <c r="DW464"/>
      <c r="DX464">
        <f t="shared" si="206"/>
        <v>0</v>
      </c>
      <c r="DY464"/>
      <c r="DZ464"/>
      <c r="EA464"/>
      <c r="EB464"/>
      <c r="EC464">
        <f t="shared" si="187"/>
        <v>0</v>
      </c>
      <c r="ED464"/>
      <c r="EE464"/>
      <c r="EF464"/>
      <c r="EG464"/>
      <c r="EH464">
        <f t="shared" si="188"/>
        <v>0</v>
      </c>
      <c r="EI464"/>
      <c r="EJ464"/>
      <c r="EK464"/>
      <c r="EL464"/>
      <c r="EM464">
        <f t="shared" si="207"/>
        <v>0</v>
      </c>
      <c r="EN464"/>
      <c r="EO464"/>
      <c r="EP464"/>
      <c r="EQ464"/>
      <c r="ER464">
        <f t="shared" si="208"/>
        <v>0</v>
      </c>
      <c r="ES464"/>
      <c r="ET464"/>
      <c r="EU464"/>
      <c r="EV464"/>
      <c r="EW464">
        <f t="shared" si="209"/>
        <v>0</v>
      </c>
      <c r="EX464"/>
      <c r="EY464"/>
      <c r="FA464"/>
      <c r="FB464">
        <f t="shared" si="210"/>
        <v>0</v>
      </c>
      <c r="FC464"/>
      <c r="FD464"/>
      <c r="FF464"/>
      <c r="FG464">
        <f t="shared" si="211"/>
        <v>0</v>
      </c>
      <c r="FH464"/>
      <c r="FI464"/>
      <c r="FL464"/>
      <c r="FM464">
        <f t="shared" si="212"/>
        <v>0</v>
      </c>
      <c r="FN464"/>
      <c r="FO464"/>
      <c r="FP464"/>
      <c r="FQ464" s="420">
        <f>'EXTRAS (2)'!D397</f>
        <v>0</v>
      </c>
      <c r="FR464" s="420">
        <f>'EXTRAS (2)'!E397</f>
        <v>0</v>
      </c>
      <c r="FS464" s="801"/>
      <c r="FT464" s="801"/>
      <c r="FU464" s="420">
        <f t="shared" si="174"/>
        <v>0</v>
      </c>
    </row>
    <row r="465" spans="1:177" s="212" customFormat="1">
      <c r="A465" s="209"/>
      <c r="B465" s="210" t="s">
        <v>114</v>
      </c>
      <c r="C465" s="390" t="s">
        <v>515</v>
      </c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>
        <f>SUM(BI$7:BI$28,BP$7:BP$28,BQ$7:BQ$28,BJ$7:BJ$28,BK$28:BK390,BL$7:BL$28,BM$7:BM$28,BN$7:BN$28)*(BH465)</f>
        <v>0</v>
      </c>
      <c r="BJ465"/>
      <c r="BK465"/>
      <c r="BL465"/>
      <c r="BM465"/>
      <c r="BN465"/>
      <c r="BO465"/>
      <c r="BP465"/>
      <c r="BQ465"/>
      <c r="BR465"/>
      <c r="BS465"/>
      <c r="BT465">
        <f>SUM(BT$7:BT$28,CA$7:CA$28,CB$7:CB$28,BU$7:BU$28,BV$28:BV390,BW$7:BW$28,BX$7:BX$28,BY$7:BY$28)*(BS465)</f>
        <v>0</v>
      </c>
      <c r="BU465"/>
      <c r="BV465"/>
      <c r="BW465"/>
      <c r="BX465"/>
      <c r="BY465"/>
      <c r="BZ465"/>
      <c r="CA465"/>
      <c r="CB465"/>
      <c r="CC465"/>
      <c r="CD465" s="211">
        <v>1</v>
      </c>
      <c r="CE465">
        <f t="shared" si="197"/>
        <v>0</v>
      </c>
      <c r="CF465"/>
      <c r="CG465"/>
      <c r="CH465"/>
      <c r="CI465"/>
      <c r="CJ465">
        <f t="shared" si="198"/>
        <v>0</v>
      </c>
      <c r="CK465"/>
      <c r="CL465"/>
      <c r="CM465"/>
      <c r="CN465"/>
      <c r="CO465">
        <f t="shared" si="199"/>
        <v>0</v>
      </c>
      <c r="CP465"/>
      <c r="CQ465"/>
      <c r="CR465"/>
      <c r="CS465"/>
      <c r="CT465">
        <f t="shared" si="200"/>
        <v>0</v>
      </c>
      <c r="CU465"/>
      <c r="CV465"/>
      <c r="CW465"/>
      <c r="CX465"/>
      <c r="CY465">
        <f t="shared" si="201"/>
        <v>0</v>
      </c>
      <c r="CZ465"/>
      <c r="DA465"/>
      <c r="DB465"/>
      <c r="DC465"/>
      <c r="DD465">
        <f t="shared" si="202"/>
        <v>0</v>
      </c>
      <c r="DE465"/>
      <c r="DF465"/>
      <c r="DG465"/>
      <c r="DH465"/>
      <c r="DI465">
        <f t="shared" si="203"/>
        <v>0</v>
      </c>
      <c r="DJ465"/>
      <c r="DK465"/>
      <c r="DL465"/>
      <c r="DM465"/>
      <c r="DN465">
        <f t="shared" si="204"/>
        <v>0</v>
      </c>
      <c r="DO465"/>
      <c r="DP465"/>
      <c r="DQ465"/>
      <c r="DR465"/>
      <c r="DS465">
        <f t="shared" si="205"/>
        <v>0</v>
      </c>
      <c r="DT465"/>
      <c r="DU465"/>
      <c r="DV465"/>
      <c r="DW465"/>
      <c r="DX465">
        <f t="shared" si="206"/>
        <v>0</v>
      </c>
      <c r="DY465"/>
      <c r="DZ465"/>
      <c r="EA465"/>
      <c r="EB465"/>
      <c r="EC465">
        <f t="shared" si="187"/>
        <v>0</v>
      </c>
      <c r="ED465"/>
      <c r="EE465"/>
      <c r="EF465"/>
      <c r="EG465"/>
      <c r="EH465">
        <f t="shared" si="188"/>
        <v>0</v>
      </c>
      <c r="EI465"/>
      <c r="EJ465"/>
      <c r="EK465"/>
      <c r="EL465"/>
      <c r="EM465">
        <f t="shared" si="207"/>
        <v>0</v>
      </c>
      <c r="EN465"/>
      <c r="EO465"/>
      <c r="EP465"/>
      <c r="EQ465"/>
      <c r="ER465">
        <f t="shared" si="208"/>
        <v>0</v>
      </c>
      <c r="ES465"/>
      <c r="ET465"/>
      <c r="EU465"/>
      <c r="EV465"/>
      <c r="EW465">
        <f t="shared" si="209"/>
        <v>0</v>
      </c>
      <c r="EX465"/>
      <c r="EY465"/>
      <c r="FA465"/>
      <c r="FB465">
        <f t="shared" si="210"/>
        <v>0</v>
      </c>
      <c r="FC465"/>
      <c r="FD465"/>
      <c r="FF465"/>
      <c r="FG465">
        <f t="shared" si="211"/>
        <v>0</v>
      </c>
      <c r="FH465"/>
      <c r="FI465"/>
      <c r="FL465"/>
      <c r="FM465">
        <f t="shared" si="212"/>
        <v>0</v>
      </c>
      <c r="FN465"/>
      <c r="FO465"/>
      <c r="FP465"/>
      <c r="FQ465" s="420">
        <f>'EXTRAS (2)'!D398</f>
        <v>0</v>
      </c>
      <c r="FR465" s="420">
        <f>'EXTRAS (2)'!E398</f>
        <v>0</v>
      </c>
      <c r="FS465" s="801"/>
      <c r="FT465" s="801"/>
      <c r="FU465" s="420">
        <f t="shared" ref="FU465:FU560" si="213">CE465+CG465+CF465+CJ465+CO465+CT465+CY465+DD465+DI465+DN465+DS465+DX465+EM465+ER465+EW465+FB465+FG465+FM465+FO465+F465+Q465+AB465+AM465+AX465+BI465+BT465+FQ465-FR465</f>
        <v>0</v>
      </c>
    </row>
    <row r="466" spans="1:177" s="212" customFormat="1">
      <c r="A466" s="209"/>
      <c r="B466" s="210" t="s">
        <v>115</v>
      </c>
      <c r="C466" s="390" t="s">
        <v>515</v>
      </c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>
        <f>SUM(BI$7:BI$28,BP$7:BP$28,BQ$7:BQ$28,BJ$7:BJ$28,BK$28:BK391,BL$7:BL$28,BM$7:BM$28,BN$7:BN$28)*(BH466)</f>
        <v>0</v>
      </c>
      <c r="BJ466"/>
      <c r="BK466"/>
      <c r="BL466"/>
      <c r="BM466"/>
      <c r="BN466"/>
      <c r="BO466"/>
      <c r="BP466"/>
      <c r="BQ466"/>
      <c r="BR466"/>
      <c r="BS466"/>
      <c r="BT466">
        <f>SUM(BT$7:BT$28,CA$7:CA$28,CB$7:CB$28,BU$7:BU$28,BV$28:BV391,BW$7:BW$28,BX$7:BX$28,BY$7:BY$28)*(BS466)</f>
        <v>0</v>
      </c>
      <c r="BU466"/>
      <c r="BV466"/>
      <c r="BW466"/>
      <c r="BX466"/>
      <c r="BY466"/>
      <c r="BZ466"/>
      <c r="CA466"/>
      <c r="CB466"/>
      <c r="CC466"/>
      <c r="CD466" s="211">
        <v>1</v>
      </c>
      <c r="CE466">
        <f t="shared" si="197"/>
        <v>0</v>
      </c>
      <c r="CF466"/>
      <c r="CG466"/>
      <c r="CH466"/>
      <c r="CI466"/>
      <c r="CJ466">
        <f t="shared" si="198"/>
        <v>0</v>
      </c>
      <c r="CK466"/>
      <c r="CL466"/>
      <c r="CM466"/>
      <c r="CN466"/>
      <c r="CO466">
        <f t="shared" si="199"/>
        <v>0</v>
      </c>
      <c r="CP466"/>
      <c r="CQ466"/>
      <c r="CR466"/>
      <c r="CS466"/>
      <c r="CT466">
        <f t="shared" si="200"/>
        <v>0</v>
      </c>
      <c r="CU466"/>
      <c r="CV466"/>
      <c r="CW466"/>
      <c r="CX466"/>
      <c r="CY466">
        <f t="shared" si="201"/>
        <v>0</v>
      </c>
      <c r="CZ466"/>
      <c r="DA466"/>
      <c r="DB466"/>
      <c r="DC466"/>
      <c r="DD466">
        <f t="shared" si="202"/>
        <v>0</v>
      </c>
      <c r="DE466"/>
      <c r="DF466"/>
      <c r="DG466"/>
      <c r="DH466"/>
      <c r="DI466">
        <f t="shared" si="203"/>
        <v>0</v>
      </c>
      <c r="DJ466"/>
      <c r="DK466"/>
      <c r="DL466"/>
      <c r="DM466"/>
      <c r="DN466">
        <f t="shared" si="204"/>
        <v>0</v>
      </c>
      <c r="DO466"/>
      <c r="DP466"/>
      <c r="DQ466"/>
      <c r="DR466"/>
      <c r="DS466">
        <f t="shared" si="205"/>
        <v>0</v>
      </c>
      <c r="DT466"/>
      <c r="DU466"/>
      <c r="DV466"/>
      <c r="DW466"/>
      <c r="DX466">
        <f t="shared" si="206"/>
        <v>0</v>
      </c>
      <c r="DY466"/>
      <c r="DZ466"/>
      <c r="EA466"/>
      <c r="EB466"/>
      <c r="EC466">
        <f t="shared" si="187"/>
        <v>0</v>
      </c>
      <c r="ED466"/>
      <c r="EE466"/>
      <c r="EF466"/>
      <c r="EG466"/>
      <c r="EH466">
        <f t="shared" si="188"/>
        <v>0</v>
      </c>
      <c r="EI466"/>
      <c r="EJ466"/>
      <c r="EK466"/>
      <c r="EL466"/>
      <c r="EM466">
        <f t="shared" si="207"/>
        <v>0</v>
      </c>
      <c r="EN466"/>
      <c r="EO466"/>
      <c r="EP466"/>
      <c r="EQ466"/>
      <c r="ER466">
        <f t="shared" si="208"/>
        <v>0</v>
      </c>
      <c r="ES466"/>
      <c r="ET466"/>
      <c r="EU466"/>
      <c r="EV466"/>
      <c r="EW466">
        <f t="shared" si="209"/>
        <v>0</v>
      </c>
      <c r="EX466"/>
      <c r="EY466"/>
      <c r="FA466"/>
      <c r="FB466">
        <f t="shared" si="210"/>
        <v>0</v>
      </c>
      <c r="FC466"/>
      <c r="FD466"/>
      <c r="FF466"/>
      <c r="FG466">
        <f t="shared" si="211"/>
        <v>0</v>
      </c>
      <c r="FH466"/>
      <c r="FI466"/>
      <c r="FL466"/>
      <c r="FM466">
        <f t="shared" si="212"/>
        <v>0</v>
      </c>
      <c r="FN466"/>
      <c r="FO466"/>
      <c r="FP466"/>
      <c r="FQ466" s="420">
        <f>'EXTRAS (2)'!D399</f>
        <v>0</v>
      </c>
      <c r="FR466" s="420">
        <f>'EXTRAS (2)'!E399</f>
        <v>0</v>
      </c>
      <c r="FS466" s="801"/>
      <c r="FT466" s="801"/>
      <c r="FU466" s="420">
        <f t="shared" si="213"/>
        <v>0</v>
      </c>
    </row>
    <row r="467" spans="1:177" s="212" customFormat="1">
      <c r="A467" s="209"/>
      <c r="B467" s="210" t="s">
        <v>116</v>
      </c>
      <c r="C467" s="390" t="s">
        <v>515</v>
      </c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>
        <f>SUM(BI$7:BI$28,BP$7:BP$28,BQ$7:BQ$28,BJ$7:BJ$28,BK$28:BK392,BL$7:BL$28,BM$7:BM$28,BN$7:BN$28)*(BH467)</f>
        <v>0</v>
      </c>
      <c r="BJ467"/>
      <c r="BK467"/>
      <c r="BL467"/>
      <c r="BM467"/>
      <c r="BN467"/>
      <c r="BO467"/>
      <c r="BP467"/>
      <c r="BQ467"/>
      <c r="BR467"/>
      <c r="BS467"/>
      <c r="BT467">
        <f>SUM(BT$7:BT$28,CA$7:CA$28,CB$7:CB$28,BU$7:BU$28,BV$28:BV392,BW$7:BW$28,BX$7:BX$28,BY$7:BY$28)*(BS467)</f>
        <v>0</v>
      </c>
      <c r="BU467"/>
      <c r="BV467"/>
      <c r="BW467"/>
      <c r="BX467"/>
      <c r="BY467"/>
      <c r="BZ467"/>
      <c r="CA467"/>
      <c r="CB467"/>
      <c r="CC467"/>
      <c r="CD467" s="211">
        <v>1</v>
      </c>
      <c r="CE467">
        <f t="shared" si="197"/>
        <v>0</v>
      </c>
      <c r="CF467"/>
      <c r="CG467"/>
      <c r="CH467"/>
      <c r="CI467"/>
      <c r="CJ467">
        <f t="shared" si="198"/>
        <v>0</v>
      </c>
      <c r="CK467"/>
      <c r="CL467"/>
      <c r="CM467"/>
      <c r="CN467"/>
      <c r="CO467">
        <f t="shared" si="199"/>
        <v>0</v>
      </c>
      <c r="CP467"/>
      <c r="CQ467"/>
      <c r="CR467"/>
      <c r="CS467"/>
      <c r="CT467">
        <f t="shared" si="200"/>
        <v>0</v>
      </c>
      <c r="CU467"/>
      <c r="CV467"/>
      <c r="CW467"/>
      <c r="CX467"/>
      <c r="CY467">
        <f t="shared" si="201"/>
        <v>0</v>
      </c>
      <c r="CZ467"/>
      <c r="DA467"/>
      <c r="DB467"/>
      <c r="DC467"/>
      <c r="DD467">
        <f t="shared" si="202"/>
        <v>0</v>
      </c>
      <c r="DE467"/>
      <c r="DF467"/>
      <c r="DG467"/>
      <c r="DH467"/>
      <c r="DI467">
        <f t="shared" si="203"/>
        <v>0</v>
      </c>
      <c r="DJ467"/>
      <c r="DK467"/>
      <c r="DL467"/>
      <c r="DM467"/>
      <c r="DN467">
        <f t="shared" si="204"/>
        <v>0</v>
      </c>
      <c r="DO467"/>
      <c r="DP467"/>
      <c r="DQ467"/>
      <c r="DR467"/>
      <c r="DS467">
        <f t="shared" si="205"/>
        <v>0</v>
      </c>
      <c r="DT467"/>
      <c r="DU467"/>
      <c r="DV467"/>
      <c r="DW467"/>
      <c r="DX467">
        <f t="shared" si="206"/>
        <v>0</v>
      </c>
      <c r="DY467"/>
      <c r="DZ467"/>
      <c r="EA467"/>
      <c r="EB467"/>
      <c r="EC467">
        <f t="shared" si="187"/>
        <v>0</v>
      </c>
      <c r="ED467"/>
      <c r="EE467"/>
      <c r="EF467"/>
      <c r="EG467"/>
      <c r="EH467">
        <f t="shared" si="188"/>
        <v>0</v>
      </c>
      <c r="EI467"/>
      <c r="EJ467"/>
      <c r="EK467"/>
      <c r="EL467"/>
      <c r="EM467">
        <f t="shared" si="207"/>
        <v>0</v>
      </c>
      <c r="EN467"/>
      <c r="EO467"/>
      <c r="EP467"/>
      <c r="EQ467"/>
      <c r="ER467">
        <f t="shared" si="208"/>
        <v>0</v>
      </c>
      <c r="ES467"/>
      <c r="ET467"/>
      <c r="EU467"/>
      <c r="EV467"/>
      <c r="EW467">
        <f t="shared" si="209"/>
        <v>0</v>
      </c>
      <c r="EX467"/>
      <c r="EY467"/>
      <c r="FA467"/>
      <c r="FB467">
        <f t="shared" si="210"/>
        <v>0</v>
      </c>
      <c r="FC467"/>
      <c r="FD467"/>
      <c r="FF467"/>
      <c r="FG467">
        <f t="shared" si="211"/>
        <v>0</v>
      </c>
      <c r="FH467"/>
      <c r="FI467"/>
      <c r="FL467"/>
      <c r="FM467">
        <f t="shared" si="212"/>
        <v>0</v>
      </c>
      <c r="FN467"/>
      <c r="FO467"/>
      <c r="FP467"/>
      <c r="FQ467" s="420">
        <f>'EXTRAS (2)'!D400</f>
        <v>0</v>
      </c>
      <c r="FR467" s="420">
        <f>'EXTRAS (2)'!E400</f>
        <v>0</v>
      </c>
      <c r="FS467" s="801"/>
      <c r="FT467" s="801"/>
      <c r="FU467" s="420">
        <f t="shared" si="213"/>
        <v>0</v>
      </c>
    </row>
    <row r="468" spans="1:177">
      <c r="B468" s="399" t="s">
        <v>961</v>
      </c>
      <c r="C468" s="400" t="s">
        <v>0</v>
      </c>
      <c r="AB468">
        <f t="shared" ref="AB468:AB557" si="214">SUM(AB$7:AB$28,AC$7:AC$28,AD$7:AD$28,AE$7:AE$28,AF$7:AF$28,AG$7:AG$28,AH$7:AH$28,AI$7:AI$28,AJ$7:AJ$28)*(AA468)</f>
        <v>0</v>
      </c>
      <c r="AM468">
        <f t="shared" ref="AM468:AM557" si="215">SUM(AM$7:AM$28,AN$7:AN$28,AO$7:AO$28,AP$7:AP$28,AQ$7:AQ$28,AR$7:AR$28,AS$7:AS$28,AT$7:AT$28,AU$7:AU$28)*(AL468)</f>
        <v>0</v>
      </c>
      <c r="BI468">
        <f>SUM(BI$7:BI$28,BP$7:BP$28,BQ$7:BQ$28,BJ$7:BJ$28,BK$28:BK393,BL$7:BL$28,BM$7:BM$28,BN$7:BN$28)*(BH468)</f>
        <v>0</v>
      </c>
      <c r="BT468">
        <f>SUM(BT$7:BT$28,CA$7:CA$28,CB$7:CB$28,BU$7:BU$28,BV$28:BV393,BW$7:BW$28,BX$7:BX$28,BY$7:BY$28)*(BS468)</f>
        <v>0</v>
      </c>
      <c r="CE468">
        <f t="shared" ref="CE468:CE474" si="216">SUM(CE$7:CE$28,CF$7:CF$28,CG$7:CG$28)*(CD468)</f>
        <v>0</v>
      </c>
      <c r="CJ468">
        <f t="shared" ref="CJ468:CJ478" si="217">SUM(CJ$7:CJ$28,CK$7:CK$28,CL$7:CL$28)*(CI468)</f>
        <v>0</v>
      </c>
      <c r="CO468">
        <f t="shared" ref="CO468:CO478" si="218">SUM(CO$7:CO$28,CP$7:CP$28,CQ$7:CQ$28)*(CN468)</f>
        <v>0</v>
      </c>
      <c r="CT468">
        <f t="shared" ref="CT468:CT478" si="219">SUM(CT$7:CT$28,CU$7:CU$28,CV$7:CV$28)*(CS468)</f>
        <v>0</v>
      </c>
      <c r="CY468">
        <f t="shared" ref="CY468:CY478" si="220">SUM(CY$7:CY$28,CZ$7:CZ$28,DA$7:DA$28)*(CX468)</f>
        <v>0</v>
      </c>
      <c r="DD468">
        <f t="shared" ref="DD468:DD478" si="221">SUM(DD$7:DD$28,DE$7:DE$28,DF$7:DF$28)*(DC468)</f>
        <v>0</v>
      </c>
      <c r="DI468">
        <f t="shared" ref="DI468:DI478" si="222">SUM(DI$7:DI$28,DJ$7:DJ$28,DK$7:DK$28)*(DH468)</f>
        <v>0</v>
      </c>
      <c r="DN468">
        <f t="shared" ref="DN468:DN474" si="223">SUM(DN$7:DN$28,DO$7:DO$28,DP$7:DP$28)*(DM468)</f>
        <v>0</v>
      </c>
      <c r="DS468">
        <f t="shared" ref="DS468:DS473" si="224">SUM(DS$7:DS$28,DT$7:DT$28,DU$7:DU$28)*(DR468)</f>
        <v>0</v>
      </c>
      <c r="DX468">
        <f t="shared" ref="DX468:DX473" si="225">SUM(DX$7:DX$28,DY$7:DY$28,DZ$7:DZ$28)*(DW468)</f>
        <v>0</v>
      </c>
      <c r="EC468">
        <f t="shared" si="187"/>
        <v>0</v>
      </c>
      <c r="EH468">
        <f t="shared" si="188"/>
        <v>0</v>
      </c>
      <c r="EM468">
        <f t="shared" ref="EM468:EM473" si="226">SUM(EM$7:EM$28,EN$7:EN$28,EO$7:EO$28)*(EL468)</f>
        <v>0</v>
      </c>
      <c r="ER468">
        <f t="shared" ref="ER468:ER473" si="227">SUM(ER$7:ER$28,ES$7:ES$28,ET$7:ET$28)*(EQ468)</f>
        <v>0</v>
      </c>
      <c r="EW468">
        <f t="shared" ref="EW468:EW473" si="228">SUM(EW$7:EW$28,EX$7:EX$28,EY$7:EY$28)*(EV468)</f>
        <v>0</v>
      </c>
      <c r="FB468">
        <f t="shared" ref="FB468:FB473" si="229">SUM(FB$7:FB$28,FC$7:FC$28,FD$7:FD$28)*(FA468)</f>
        <v>0</v>
      </c>
      <c r="FG468">
        <f t="shared" ref="FG468:FG473" si="230">SUM(FG$7:FG$28,FH$7:FH$28,FI$7:FI$28)*(FF468)</f>
        <v>0</v>
      </c>
      <c r="FM468">
        <f t="shared" ref="FM468:FM473" si="231">SUM(FM$7:FM$28,FN$7:FN$28,FO$7:FO$28)*(FL468)</f>
        <v>0</v>
      </c>
      <c r="FQ468" s="420">
        <f>'EXTRAS (2)'!D401</f>
        <v>0</v>
      </c>
      <c r="FR468" s="420">
        <f>'EXTRAS (2)'!E401</f>
        <v>0</v>
      </c>
      <c r="FU468" s="420">
        <f t="shared" si="213"/>
        <v>0</v>
      </c>
    </row>
    <row r="469" spans="1:177">
      <c r="B469" s="399" t="s">
        <v>33</v>
      </c>
      <c r="C469" s="400" t="s">
        <v>0</v>
      </c>
      <c r="AB469">
        <f t="shared" si="214"/>
        <v>0</v>
      </c>
      <c r="AM469">
        <f t="shared" si="215"/>
        <v>0</v>
      </c>
      <c r="BI469">
        <f>SUM(BI$7:BI$28,BP$7:BP$28,BQ$7:BQ$28,BJ$7:BJ$28,BK$28:BK394,BL$7:BL$28,BM$7:BM$28,BN$7:BN$28)*(BH469)</f>
        <v>0</v>
      </c>
      <c r="BT469">
        <f>SUM(BT$7:BT$28,CA$7:CA$28,CB$7:CB$28,BU$7:BU$28,BV$28:BV394,BW$7:BW$28,BX$7:BX$28,BY$7:BY$28)*(BS469)</f>
        <v>0</v>
      </c>
      <c r="CE469">
        <f t="shared" si="216"/>
        <v>0</v>
      </c>
      <c r="CJ469">
        <f t="shared" si="217"/>
        <v>0</v>
      </c>
      <c r="CO469">
        <f t="shared" si="218"/>
        <v>0</v>
      </c>
      <c r="CT469">
        <f t="shared" si="219"/>
        <v>0</v>
      </c>
      <c r="CY469">
        <f t="shared" si="220"/>
        <v>0</v>
      </c>
      <c r="DD469">
        <f t="shared" si="221"/>
        <v>0</v>
      </c>
      <c r="DI469">
        <f t="shared" si="222"/>
        <v>0</v>
      </c>
      <c r="DN469">
        <f t="shared" si="223"/>
        <v>0</v>
      </c>
      <c r="DS469">
        <f t="shared" si="224"/>
        <v>0</v>
      </c>
      <c r="DX469">
        <f t="shared" si="225"/>
        <v>0</v>
      </c>
      <c r="EC469">
        <f t="shared" si="187"/>
        <v>0</v>
      </c>
      <c r="EH469">
        <f t="shared" si="188"/>
        <v>0</v>
      </c>
      <c r="EM469">
        <f t="shared" si="226"/>
        <v>0</v>
      </c>
      <c r="ER469">
        <f t="shared" si="227"/>
        <v>0</v>
      </c>
      <c r="EV469">
        <v>6</v>
      </c>
      <c r="EW469">
        <f t="shared" si="228"/>
        <v>0</v>
      </c>
      <c r="FA469">
        <v>6</v>
      </c>
      <c r="FB469">
        <f t="shared" si="229"/>
        <v>0</v>
      </c>
      <c r="FF469">
        <v>6</v>
      </c>
      <c r="FG469">
        <f t="shared" si="230"/>
        <v>0</v>
      </c>
      <c r="FL469">
        <v>6</v>
      </c>
      <c r="FM469">
        <f t="shared" si="231"/>
        <v>0</v>
      </c>
      <c r="FQ469" s="420">
        <f>'EXTRAS (2)'!D402</f>
        <v>0</v>
      </c>
      <c r="FR469" s="420">
        <f>'EXTRAS (2)'!E402</f>
        <v>0</v>
      </c>
      <c r="FU469" s="420">
        <f t="shared" si="213"/>
        <v>0</v>
      </c>
    </row>
    <row r="470" spans="1:177">
      <c r="B470" s="399" t="s">
        <v>962</v>
      </c>
      <c r="C470" s="400" t="s">
        <v>0</v>
      </c>
      <c r="AB470">
        <f t="shared" si="214"/>
        <v>0</v>
      </c>
      <c r="AM470">
        <f t="shared" si="215"/>
        <v>0</v>
      </c>
      <c r="BI470">
        <f>SUM(BI$7:BI$28,BP$7:BP$28,BQ$7:BQ$28,BJ$7:BJ$28,BK$28:BK395,BL$7:BL$28,BM$7:BM$28,BN$7:BN$28)*(BH470)</f>
        <v>0</v>
      </c>
      <c r="BT470">
        <f>SUM(BT$7:BT$28,CA$7:CA$28,CB$7:CB$28,BU$7:BU$28,BV$28:BV395,BW$7:BW$28,BX$7:BX$28,BY$7:BY$28)*(BS470)</f>
        <v>0</v>
      </c>
      <c r="CE470">
        <f t="shared" si="216"/>
        <v>0</v>
      </c>
      <c r="CJ470">
        <f t="shared" si="217"/>
        <v>0</v>
      </c>
      <c r="CO470">
        <f t="shared" si="218"/>
        <v>0</v>
      </c>
      <c r="CT470">
        <f t="shared" si="219"/>
        <v>0</v>
      </c>
      <c r="CY470">
        <f t="shared" si="220"/>
        <v>0</v>
      </c>
      <c r="DD470">
        <f t="shared" si="221"/>
        <v>0</v>
      </c>
      <c r="DI470">
        <f t="shared" si="222"/>
        <v>0</v>
      </c>
      <c r="DN470">
        <f t="shared" si="223"/>
        <v>0</v>
      </c>
      <c r="DS470">
        <f t="shared" si="224"/>
        <v>0</v>
      </c>
      <c r="DX470">
        <f t="shared" si="225"/>
        <v>0</v>
      </c>
      <c r="EC470">
        <f t="shared" si="187"/>
        <v>0</v>
      </c>
      <c r="EH470">
        <f t="shared" si="188"/>
        <v>0</v>
      </c>
      <c r="EM470">
        <f t="shared" si="226"/>
        <v>0</v>
      </c>
      <c r="ER470">
        <f t="shared" si="227"/>
        <v>0</v>
      </c>
      <c r="EW470">
        <f t="shared" si="228"/>
        <v>0</v>
      </c>
      <c r="FB470">
        <f t="shared" si="229"/>
        <v>0</v>
      </c>
      <c r="FG470">
        <f t="shared" si="230"/>
        <v>0</v>
      </c>
      <c r="FM470">
        <f t="shared" si="231"/>
        <v>0</v>
      </c>
      <c r="FQ470" s="420">
        <f>'EXTRAS (2)'!D403</f>
        <v>0</v>
      </c>
      <c r="FR470" s="420">
        <f>'EXTRAS (2)'!E403</f>
        <v>0</v>
      </c>
      <c r="FU470" s="420">
        <f t="shared" si="213"/>
        <v>0</v>
      </c>
    </row>
    <row r="471" spans="1:177">
      <c r="B471" s="399" t="s">
        <v>225</v>
      </c>
      <c r="C471" s="400" t="s">
        <v>0</v>
      </c>
      <c r="E471">
        <v>2</v>
      </c>
      <c r="F471">
        <f>SUM(F$7:F$28,M$7:M$28,N$7:N$28,G$7:G$28,H$7:H$28,I$7:I$28,J$7:J$28,K$7:K$28,L$7:L$28)*(E471)</f>
        <v>0</v>
      </c>
      <c r="P471">
        <v>2</v>
      </c>
      <c r="Q471">
        <f>SUM(Q$7:Q$28,X$7:X$28,Y$7:Y$28,R$7:R$28,S$7:S$28,T$7:T$28,U$7:U$28,V$7:V$28,W$7:W$28)*(P471)</f>
        <v>0</v>
      </c>
      <c r="AA471">
        <v>1</v>
      </c>
      <c r="AB471">
        <f t="shared" si="214"/>
        <v>0</v>
      </c>
      <c r="AL471">
        <v>1</v>
      </c>
      <c r="AM471">
        <f t="shared" si="215"/>
        <v>0</v>
      </c>
      <c r="AW471">
        <v>1</v>
      </c>
      <c r="AX471">
        <f>SUM(AX7:AX28,AY7:AY28,AZ7:AZ28,BA7:BA28,BB7:BB28,BC7:BC28,BD7:BD28,BE7:BE28,BF7:BF28)*AW471</f>
        <v>0</v>
      </c>
      <c r="BH471">
        <v>1</v>
      </c>
      <c r="BI471">
        <f>SUM(BI$7:BI$28,BP$7:BP$28,BQ$7:BQ$28,BJ$7:BJ$28,BK$28:BK396,BL$7:BL$28,BM$7:BM$28,BN$7:BN$28)*(BH471)</f>
        <v>0</v>
      </c>
      <c r="BS471">
        <v>1</v>
      </c>
      <c r="BT471">
        <f>SUM(BT$7:BT$28,CA$7:CA$28,CB$7:CB$28,BU$7:BU$28,BV$28:BV396,BW$7:BW$28,BX$7:BX$28,BY$7:BY$28)*(BS471)</f>
        <v>0</v>
      </c>
      <c r="CE471">
        <f t="shared" si="216"/>
        <v>0</v>
      </c>
      <c r="CJ471">
        <f t="shared" si="217"/>
        <v>0</v>
      </c>
      <c r="CO471">
        <f t="shared" si="218"/>
        <v>0</v>
      </c>
      <c r="CS471">
        <v>2</v>
      </c>
      <c r="CT471">
        <f t="shared" si="219"/>
        <v>0</v>
      </c>
      <c r="CX471">
        <v>2</v>
      </c>
      <c r="CY471">
        <f t="shared" si="220"/>
        <v>0</v>
      </c>
      <c r="DC471">
        <v>1</v>
      </c>
      <c r="DD471">
        <f t="shared" si="221"/>
        <v>0</v>
      </c>
      <c r="DH471">
        <v>2</v>
      </c>
      <c r="DI471">
        <f t="shared" si="222"/>
        <v>0</v>
      </c>
      <c r="DM471">
        <v>2</v>
      </c>
      <c r="DN471">
        <f t="shared" si="223"/>
        <v>0</v>
      </c>
      <c r="DR471">
        <v>2</v>
      </c>
      <c r="DS471">
        <f t="shared" si="224"/>
        <v>0</v>
      </c>
      <c r="DW471">
        <v>2</v>
      </c>
      <c r="DX471">
        <f t="shared" si="225"/>
        <v>0</v>
      </c>
      <c r="EC471">
        <f t="shared" si="187"/>
        <v>0</v>
      </c>
      <c r="EH471">
        <f t="shared" si="188"/>
        <v>0</v>
      </c>
      <c r="EL471">
        <v>2</v>
      </c>
      <c r="EM471">
        <f t="shared" si="226"/>
        <v>0</v>
      </c>
      <c r="EQ471">
        <v>2</v>
      </c>
      <c r="ER471">
        <f t="shared" si="227"/>
        <v>0</v>
      </c>
      <c r="EW471">
        <f t="shared" si="228"/>
        <v>0</v>
      </c>
      <c r="FB471">
        <f t="shared" si="229"/>
        <v>0</v>
      </c>
      <c r="FF471">
        <v>1</v>
      </c>
      <c r="FG471">
        <f t="shared" si="230"/>
        <v>0</v>
      </c>
      <c r="FL471">
        <v>1</v>
      </c>
      <c r="FM471">
        <f t="shared" si="231"/>
        <v>0</v>
      </c>
      <c r="FQ471" s="420">
        <f>'EXTRAS (2)'!D404</f>
        <v>0</v>
      </c>
      <c r="FR471" s="420">
        <f>'EXTRAS (2)'!E404</f>
        <v>0</v>
      </c>
      <c r="FU471" s="420">
        <f t="shared" si="213"/>
        <v>0</v>
      </c>
    </row>
    <row r="472" spans="1:177">
      <c r="B472" s="399" t="s">
        <v>963</v>
      </c>
      <c r="C472" s="400" t="s">
        <v>0</v>
      </c>
      <c r="AB472">
        <f t="shared" si="214"/>
        <v>0</v>
      </c>
      <c r="AM472">
        <f t="shared" si="215"/>
        <v>0</v>
      </c>
      <c r="BI472">
        <f>SUM(BI$7:BI$28,BP$7:BP$28,BQ$7:BQ$28,BJ$7:BJ$28,BK$28:BK397,BL$7:BL$28,BM$7:BM$28,BN$7:BN$28)*(BH472)</f>
        <v>0</v>
      </c>
      <c r="BT472">
        <f>SUM(BT$7:BT$28,CA$7:CA$28,CB$7:CB$28,BU$7:BU$28,BV$28:BV397,BW$7:BW$28,BX$7:BX$28,BY$7:BY$28)*(BS472)</f>
        <v>0</v>
      </c>
      <c r="CE472">
        <f t="shared" si="216"/>
        <v>0</v>
      </c>
      <c r="CJ472">
        <f t="shared" si="217"/>
        <v>0</v>
      </c>
      <c r="CO472">
        <f t="shared" si="218"/>
        <v>0</v>
      </c>
      <c r="CT472">
        <f t="shared" si="219"/>
        <v>0</v>
      </c>
      <c r="CY472">
        <f t="shared" si="220"/>
        <v>0</v>
      </c>
      <c r="DD472">
        <f t="shared" si="221"/>
        <v>0</v>
      </c>
      <c r="DI472">
        <f t="shared" si="222"/>
        <v>0</v>
      </c>
      <c r="DN472">
        <f t="shared" si="223"/>
        <v>0</v>
      </c>
      <c r="DS472">
        <f t="shared" si="224"/>
        <v>0</v>
      </c>
      <c r="DX472">
        <f t="shared" si="225"/>
        <v>0</v>
      </c>
      <c r="EC472">
        <f t="shared" si="187"/>
        <v>0</v>
      </c>
      <c r="EH472">
        <f t="shared" si="188"/>
        <v>0</v>
      </c>
      <c r="EM472">
        <f t="shared" si="226"/>
        <v>0</v>
      </c>
      <c r="ER472">
        <f t="shared" si="227"/>
        <v>0</v>
      </c>
      <c r="EW472">
        <f t="shared" si="228"/>
        <v>0</v>
      </c>
      <c r="FB472">
        <f t="shared" si="229"/>
        <v>0</v>
      </c>
      <c r="FG472">
        <f t="shared" si="230"/>
        <v>0</v>
      </c>
      <c r="FM472">
        <f t="shared" si="231"/>
        <v>0</v>
      </c>
      <c r="FQ472" s="420">
        <f>'EXTRAS (2)'!D405</f>
        <v>0</v>
      </c>
      <c r="FR472" s="420">
        <f>'EXTRAS (2)'!E405</f>
        <v>0</v>
      </c>
      <c r="FU472" s="420">
        <f t="shared" si="213"/>
        <v>0</v>
      </c>
    </row>
    <row r="473" spans="1:177">
      <c r="B473" s="399" t="s">
        <v>34</v>
      </c>
      <c r="C473" s="400" t="s">
        <v>0</v>
      </c>
      <c r="AB473">
        <f t="shared" si="214"/>
        <v>0</v>
      </c>
      <c r="AM473">
        <f t="shared" si="215"/>
        <v>0</v>
      </c>
      <c r="BI473">
        <f>SUM(BI$7:BI$28,BP$7:BP$28,BQ$7:BQ$28,BJ$7:BJ$28,BK$28:BK398,BL$7:BL$28,BM$7:BM$28,BN$7:BN$28)*(BH473)</f>
        <v>0</v>
      </c>
      <c r="BT473">
        <f>SUM(BT$7:BT$28,CA$7:CA$28,CB$7:CB$28,BU$7:BU$28,BV$28:BV398,BW$7:BW$28,BX$7:BX$28,BY$7:BY$28)*(BS473)</f>
        <v>0</v>
      </c>
      <c r="CE473">
        <f t="shared" si="216"/>
        <v>0</v>
      </c>
      <c r="CJ473">
        <f t="shared" si="217"/>
        <v>0</v>
      </c>
      <c r="CO473">
        <f t="shared" si="218"/>
        <v>0</v>
      </c>
      <c r="CT473">
        <f t="shared" si="219"/>
        <v>0</v>
      </c>
      <c r="CY473">
        <f t="shared" si="220"/>
        <v>0</v>
      </c>
      <c r="DD473">
        <f t="shared" si="221"/>
        <v>0</v>
      </c>
      <c r="DI473">
        <f t="shared" si="222"/>
        <v>0</v>
      </c>
      <c r="DN473">
        <f t="shared" si="223"/>
        <v>0</v>
      </c>
      <c r="DS473">
        <f t="shared" si="224"/>
        <v>0</v>
      </c>
      <c r="DX473">
        <f t="shared" si="225"/>
        <v>0</v>
      </c>
      <c r="EC473">
        <f t="shared" si="187"/>
        <v>0</v>
      </c>
      <c r="EH473">
        <f t="shared" si="188"/>
        <v>0</v>
      </c>
      <c r="EM473">
        <f t="shared" si="226"/>
        <v>0</v>
      </c>
      <c r="ER473">
        <f t="shared" si="227"/>
        <v>0</v>
      </c>
      <c r="EW473">
        <f t="shared" si="228"/>
        <v>0</v>
      </c>
      <c r="FB473">
        <f t="shared" si="229"/>
        <v>0</v>
      </c>
      <c r="FG473">
        <f t="shared" si="230"/>
        <v>0</v>
      </c>
      <c r="FM473">
        <f t="shared" si="231"/>
        <v>0</v>
      </c>
      <c r="FQ473" s="420">
        <f>'EXTRAS (2)'!D406</f>
        <v>0</v>
      </c>
      <c r="FR473" s="420">
        <f>'EXTRAS (2)'!E406</f>
        <v>0</v>
      </c>
      <c r="FU473" s="420">
        <f t="shared" si="213"/>
        <v>0</v>
      </c>
    </row>
    <row r="474" spans="1:177" s="333" customFormat="1">
      <c r="B474" s="407" t="s">
        <v>964</v>
      </c>
      <c r="C474" s="408" t="s">
        <v>0</v>
      </c>
      <c r="D474"/>
      <c r="Z474"/>
      <c r="AB474">
        <f t="shared" si="214"/>
        <v>0</v>
      </c>
      <c r="AK474"/>
      <c r="AM474">
        <f t="shared" si="215"/>
        <v>0</v>
      </c>
      <c r="AV474"/>
      <c r="BG474"/>
      <c r="BH474" s="333">
        <v>1</v>
      </c>
      <c r="BI474">
        <f>SUM(BI$18:BQ$28)*(BH474)</f>
        <v>0</v>
      </c>
      <c r="BS474" s="333">
        <v>1</v>
      </c>
      <c r="BT474">
        <f>SUM(BT$18:CB$28)*(BS474)</f>
        <v>0</v>
      </c>
      <c r="CE474" s="333">
        <f t="shared" si="216"/>
        <v>0</v>
      </c>
      <c r="CJ474" s="333">
        <f t="shared" si="217"/>
        <v>0</v>
      </c>
      <c r="CO474" s="333">
        <f t="shared" si="218"/>
        <v>0</v>
      </c>
      <c r="CT474" s="333">
        <f t="shared" si="219"/>
        <v>0</v>
      </c>
      <c r="CY474" s="333">
        <f t="shared" si="220"/>
        <v>0</v>
      </c>
      <c r="DD474" s="333">
        <f t="shared" si="221"/>
        <v>0</v>
      </c>
      <c r="DI474" s="333">
        <f t="shared" si="222"/>
        <v>0</v>
      </c>
      <c r="DL474"/>
      <c r="DN474" s="333">
        <f t="shared" si="223"/>
        <v>0</v>
      </c>
      <c r="DR474" s="333">
        <v>1</v>
      </c>
      <c r="DS474" s="333">
        <f>SUM(DS$18:DS$28,DT$18:DT$28,DU$18:DU$28)*(DR474)</f>
        <v>0</v>
      </c>
      <c r="DW474" s="333">
        <v>1</v>
      </c>
      <c r="DX474" s="333">
        <f>SUM(DX$18:DX$28,DY$18:DY$28,DZ$18:DZ$28)*(DW474)</f>
        <v>0</v>
      </c>
      <c r="EC474" s="333">
        <f t="shared" si="187"/>
        <v>0</v>
      </c>
      <c r="EH474" s="333">
        <f t="shared" si="188"/>
        <v>0</v>
      </c>
      <c r="EL474" s="333">
        <v>1</v>
      </c>
      <c r="EM474" s="333">
        <f>SUM(EM$18:EM$28,EN$18:EN$28,EO$18:EO$28)*(EL474)</f>
        <v>0</v>
      </c>
      <c r="EQ474" s="333">
        <v>2</v>
      </c>
      <c r="ER474" s="333">
        <f>SUM(ER$18:ER$28,ES$18:ES$28,ET$18:ET$28)*(EQ474)</f>
        <v>0</v>
      </c>
      <c r="EV474" s="333">
        <v>1</v>
      </c>
      <c r="EW474" s="333">
        <f>SUM(EW$18:EW$28,EX$18:EX$28,EY$18:EY$28)*(EV474)</f>
        <v>0</v>
      </c>
      <c r="FA474" s="333">
        <v>1</v>
      </c>
      <c r="FB474" s="333">
        <f>SUM(FB$18:FB$28,FC$18:FC$28,FD$18:FD$28)*(FA474)</f>
        <v>0</v>
      </c>
      <c r="FF474" s="333">
        <v>1</v>
      </c>
      <c r="FG474" s="333">
        <f>SUM(FG$18:FG$28,FH$18:FH$28,FI$18:FI$28)*(FF474)</f>
        <v>0</v>
      </c>
      <c r="FL474" s="333">
        <v>1</v>
      </c>
      <c r="FM474" s="333">
        <f>SUM(FM$18:FM$28,FN$18:FN$28,FO$18:FO$28)*(FL474)</f>
        <v>0</v>
      </c>
      <c r="FP474"/>
      <c r="FQ474" s="420">
        <f>'EXTRAS (2)'!D407</f>
        <v>0</v>
      </c>
      <c r="FR474" s="420">
        <f>'EXTRAS (2)'!E407</f>
        <v>0</v>
      </c>
      <c r="FS474" s="799"/>
      <c r="FT474" s="799"/>
      <c r="FU474" s="420">
        <f t="shared" si="213"/>
        <v>0</v>
      </c>
    </row>
    <row r="475" spans="1:177">
      <c r="B475" s="399" t="s">
        <v>1059</v>
      </c>
      <c r="C475" s="400" t="s">
        <v>0</v>
      </c>
      <c r="AB475">
        <f t="shared" si="214"/>
        <v>0</v>
      </c>
      <c r="AM475">
        <f t="shared" si="215"/>
        <v>0</v>
      </c>
      <c r="BI475">
        <f>SUM(BI$7:BI$28,BP$7:BP$28,BQ$7:BQ$28,BJ$7:BJ$28,BK$28:BK400,BL$7:BL$28,BM$7:BM$28,BN$7:BN$28)*(BH475)</f>
        <v>0</v>
      </c>
      <c r="BT475">
        <f>SUM(BT$7:BT$28,CA$7:CA$28,CB$7:CB$28,BU$7:BU$28,BV$28:BV400,BW$7:BW$28,BX$7:BX$28,BY$7:BY$28)*(BS475)</f>
        <v>0</v>
      </c>
      <c r="CD475" t="s">
        <v>1018</v>
      </c>
      <c r="CG475">
        <f>SUM(C12:C14)*4</f>
        <v>0</v>
      </c>
      <c r="FQ475" s="420">
        <f>'EXTRAS (2)'!D408</f>
        <v>0</v>
      </c>
      <c r="FR475" s="420">
        <f>'EXTRAS (2)'!E408</f>
        <v>0</v>
      </c>
      <c r="FU475" s="420">
        <f t="shared" si="213"/>
        <v>0</v>
      </c>
    </row>
    <row r="476" spans="1:177">
      <c r="B476" s="399" t="s">
        <v>965</v>
      </c>
      <c r="C476" s="400" t="s">
        <v>0</v>
      </c>
      <c r="AB476">
        <f t="shared" si="214"/>
        <v>0</v>
      </c>
      <c r="AM476">
        <f t="shared" si="215"/>
        <v>0</v>
      </c>
      <c r="BI476">
        <f>SUM(BI$7:BI$28,BP$7:BP$28,BQ$7:BQ$28,BJ$7:BJ$28,BK$28:BK401,BL$7:BL$28,BM$7:BM$28,BN$7:BN$28)*(BH476)</f>
        <v>0</v>
      </c>
      <c r="BT476">
        <f>SUM(BT$7:BT$28,CA$7:CA$28,CB$7:CB$28,BU$7:BU$28,BV$28:BV401,BW$7:BW$28,BX$7:BX$28,BY$7:BY$28)*(BS476)</f>
        <v>0</v>
      </c>
      <c r="CE476">
        <f>SUM(CE$7:CE$28,CF$7:CF$28,CG$7:CG$28)*(CD476)</f>
        <v>0</v>
      </c>
      <c r="CJ476">
        <f t="shared" si="217"/>
        <v>0</v>
      </c>
      <c r="CO476">
        <f t="shared" si="218"/>
        <v>0</v>
      </c>
      <c r="CT476">
        <f t="shared" si="219"/>
        <v>0</v>
      </c>
      <c r="CY476">
        <f t="shared" si="220"/>
        <v>0</v>
      </c>
      <c r="DD476">
        <f t="shared" si="221"/>
        <v>0</v>
      </c>
      <c r="DI476">
        <f t="shared" si="222"/>
        <v>0</v>
      </c>
      <c r="DN476">
        <f>SUM(DN$7:DN$28,DO$7:DO$28,DP$7:DP$28)*(DM476)</f>
        <v>0</v>
      </c>
      <c r="DS476">
        <f>SUM(DS$7:DS$28,DT$7:DT$28,DU$7:DU$28)*(DR476)</f>
        <v>0</v>
      </c>
      <c r="DX476">
        <f>SUM(DX$7:DX$28,DY$7:DY$28,DZ$7:DZ$28)*(DW476)</f>
        <v>0</v>
      </c>
      <c r="EC476">
        <f>SUM(EC$7:EC$28,ED$7:ED$28,EE$7:EE$28)*(EB476)</f>
        <v>0</v>
      </c>
      <c r="EH476">
        <f>SUM(EH$7:EH$28,EI$7:EI$28,EJ$7:EJ$28)*(EG476)</f>
        <v>0</v>
      </c>
      <c r="EM476">
        <f>SUM(EM$7:EM$28,EN$7:EN$28,EO$7:EO$28)*(EL476)</f>
        <v>0</v>
      </c>
      <c r="ER476">
        <f>SUM(ER$7:ER$28,ES$7:ES$28,ET$7:ET$28)*(EQ476)</f>
        <v>0</v>
      </c>
      <c r="EW476">
        <f>SUM(EW$7:EW$28,EX$7:EX$28,EY$7:EY$28)*(EV476)</f>
        <v>0</v>
      </c>
      <c r="FB476">
        <f>SUM(FB$7:FB$28,FC$7:FC$28,FD$7:FD$28)*(FA476)</f>
        <v>0</v>
      </c>
      <c r="FG476">
        <f>SUM(FG$7:FG$28,FH$7:FH$28,FI$7:FI$28)*(FF476)</f>
        <v>0</v>
      </c>
      <c r="FM476">
        <f>SUM(FM$7:FM$28,FN$7:FN$28,FO$7:FO$28)*(FL476)</f>
        <v>0</v>
      </c>
      <c r="FQ476" s="420">
        <f>'EXTRAS (2)'!D409</f>
        <v>0</v>
      </c>
      <c r="FR476" s="420">
        <f>'EXTRAS (2)'!E409</f>
        <v>0</v>
      </c>
      <c r="FU476" s="420">
        <f t="shared" si="213"/>
        <v>0</v>
      </c>
    </row>
    <row r="477" spans="1:177">
      <c r="B477" s="399" t="s">
        <v>966</v>
      </c>
      <c r="C477" s="400" t="s">
        <v>0</v>
      </c>
      <c r="AB477">
        <f t="shared" si="214"/>
        <v>0</v>
      </c>
      <c r="AM477">
        <f t="shared" si="215"/>
        <v>0</v>
      </c>
      <c r="BI477">
        <f>SUM(BI$7:BI$28,BP$7:BP$28,BQ$7:BQ$28,BJ$7:BJ$28,BK$28:BK402,BL$7:BL$28,BM$7:BM$28,BN$7:BN$28)*(BH477)</f>
        <v>0</v>
      </c>
      <c r="BT477">
        <f>SUM(BT$7:BT$28,CA$7:CA$28,CB$7:CB$28,BU$7:BU$28,BV$28:BV402,BW$7:BW$28,BX$7:BX$28,BY$7:BY$28)*(BS477)</f>
        <v>0</v>
      </c>
      <c r="CE477">
        <f>SUM(CE$7:CE$28,CF$7:CF$28,CG$7:CG$28)*(CD477)</f>
        <v>0</v>
      </c>
      <c r="CJ477">
        <f t="shared" si="217"/>
        <v>0</v>
      </c>
      <c r="CO477">
        <f t="shared" si="218"/>
        <v>0</v>
      </c>
      <c r="CT477">
        <f t="shared" si="219"/>
        <v>0</v>
      </c>
      <c r="CY477">
        <f t="shared" si="220"/>
        <v>0</v>
      </c>
      <c r="DD477">
        <f t="shared" si="221"/>
        <v>0</v>
      </c>
      <c r="DI477">
        <f t="shared" si="222"/>
        <v>0</v>
      </c>
      <c r="DN477">
        <f>SUM(DN$7:DN$28,DO$7:DO$28,DP$7:DP$28)*(DM477)</f>
        <v>0</v>
      </c>
      <c r="DS477">
        <f>SUM(DS$7:DS$28,DT$7:DT$28,DU$7:DU$28)*(DR477)</f>
        <v>0</v>
      </c>
      <c r="DX477">
        <f>SUM(DX$7:DX$28,DY$7:DY$28,DZ$7:DZ$28)*(DW477)</f>
        <v>0</v>
      </c>
      <c r="EC477">
        <f>SUM(EC$7:EC$28,ED$7:ED$28,EE$7:EE$28)*(EB477)</f>
        <v>0</v>
      </c>
      <c r="EH477">
        <f>SUM(EH$7:EH$28,EI$7:EI$28,EJ$7:EJ$28)*(EG477)</f>
        <v>0</v>
      </c>
      <c r="EM477">
        <f>SUM(EM$7:EM$28,EN$7:EN$28,EO$7:EO$28)*(EL477)</f>
        <v>0</v>
      </c>
      <c r="ER477">
        <f>SUM(ER$7:ER$28,ES$7:ES$28,ET$7:ET$28)*(EQ477)</f>
        <v>0</v>
      </c>
      <c r="EW477">
        <f>SUM(EW$7:EW$28,EX$7:EX$28,EY$7:EY$28)*(EV477)</f>
        <v>0</v>
      </c>
      <c r="FB477">
        <f>SUM(FB$7:FB$28,FC$7:FC$28,FD$7:FD$28)*(FA477)</f>
        <v>0</v>
      </c>
      <c r="FG477">
        <f>SUM(FG$7:FG$28,FH$7:FH$28,FI$7:FI$28)*(FF477)</f>
        <v>0</v>
      </c>
      <c r="FM477">
        <f>SUM(FM$7:FM$28,FN$7:FN$28,FO$7:FO$28)*(FL477)</f>
        <v>0</v>
      </c>
      <c r="FQ477" s="420">
        <f>'EXTRAS (2)'!D410</f>
        <v>0</v>
      </c>
      <c r="FR477" s="420">
        <f>'EXTRAS (2)'!E410</f>
        <v>0</v>
      </c>
      <c r="FU477" s="420">
        <f t="shared" si="213"/>
        <v>0</v>
      </c>
    </row>
    <row r="478" spans="1:177">
      <c r="A478" s="333"/>
      <c r="B478" s="407" t="s">
        <v>1021</v>
      </c>
      <c r="C478" s="408" t="s">
        <v>0</v>
      </c>
      <c r="AB478">
        <f t="shared" si="214"/>
        <v>0</v>
      </c>
      <c r="AM478">
        <f t="shared" si="215"/>
        <v>0</v>
      </c>
      <c r="BI478">
        <f>SUM(BI$7:BI$28,BP$7:BP$28,BQ$7:BQ$28,BJ$7:BJ$28,BK$28:BK403,BL$7:BL$28,BM$7:BM$28,BN$7:BN$28)*(BH478)</f>
        <v>0</v>
      </c>
      <c r="BT478">
        <f>SUM(BT$7:BT$28,CA$7:CA$28,CB$7:CB$28,BU$7:BU$28,BV$28:BV403,BW$7:BW$28,BX$7:BX$28,BY$7:BY$28)*(BS478)</f>
        <v>0</v>
      </c>
      <c r="CE478">
        <f>SUM(CE$7:CE$28,CF$7:CF$28,CG$7:CG$28)*(CD478)</f>
        <v>0</v>
      </c>
      <c r="CJ478">
        <f t="shared" si="217"/>
        <v>0</v>
      </c>
      <c r="CO478">
        <f t="shared" si="218"/>
        <v>0</v>
      </c>
      <c r="CT478">
        <f t="shared" si="219"/>
        <v>0</v>
      </c>
      <c r="CY478">
        <f t="shared" si="220"/>
        <v>0</v>
      </c>
      <c r="DD478">
        <f t="shared" si="221"/>
        <v>0</v>
      </c>
      <c r="DI478">
        <f t="shared" si="222"/>
        <v>0</v>
      </c>
      <c r="DN478">
        <f>SUM(DN$7:DN$28,DO$7:DO$28,DP$7:DP$28)*(DM478)</f>
        <v>0</v>
      </c>
      <c r="DS478">
        <f>SUM(DS$7:DS$28,DT$7:DT$28,DU$7:DU$28)*(DR478)</f>
        <v>0</v>
      </c>
      <c r="DX478">
        <f>SUM(DX$7:DX$28,DY$7:DY$28,DZ$7:DZ$28)*(DW478)</f>
        <v>0</v>
      </c>
      <c r="EC478">
        <f>SUM(EC$7:EC$28,ED$7:ED$28,EE$7:EE$28)*(EB478)</f>
        <v>0</v>
      </c>
      <c r="EH478">
        <f>SUM(EH$7:EH$28,EI$7:EI$28,EJ$7:EJ$28)*(EG478)</f>
        <v>0</v>
      </c>
      <c r="EM478">
        <f>SUM(EM$7:EM$28,EN$7:EN$28,EO$7:EO$28)*(EL478)</f>
        <v>0</v>
      </c>
      <c r="ER478">
        <f>SUM(ER$7:ER$28,ES$7:ES$28,ET$7:ET$28)*(EQ478)</f>
        <v>0</v>
      </c>
      <c r="FF478" t="s">
        <v>1018</v>
      </c>
      <c r="FG478">
        <f>SUM(FG18:FI18,FG22:FI22)*(1)</f>
        <v>0</v>
      </c>
      <c r="FL478" t="s">
        <v>1018</v>
      </c>
      <c r="FM478">
        <f>SUM(FM18:FO18,FM22:FO22)*(1)</f>
        <v>0</v>
      </c>
      <c r="FQ478" s="420">
        <f>'EXTRAS (2)'!D411</f>
        <v>0</v>
      </c>
      <c r="FR478" s="420">
        <f>'EXTRAS (2)'!E411</f>
        <v>0</v>
      </c>
      <c r="FU478" s="420">
        <f t="shared" si="213"/>
        <v>0</v>
      </c>
    </row>
    <row r="479" spans="1:177">
      <c r="A479" s="333"/>
      <c r="B479" s="407" t="s">
        <v>1022</v>
      </c>
      <c r="C479" s="408" t="s">
        <v>0</v>
      </c>
      <c r="AB479">
        <f t="shared" si="214"/>
        <v>0</v>
      </c>
      <c r="AM479">
        <f t="shared" si="215"/>
        <v>0</v>
      </c>
      <c r="BI479">
        <f>SUM(BI$7:BI$28,BP$7:BP$28,BQ$7:BQ$28,BJ$7:BJ$28,BK$28:BK404,BL$7:BL$28,BM$7:BM$28,BN$7:BN$28)*(BH479)</f>
        <v>0</v>
      </c>
      <c r="BT479">
        <f>SUM(BT$7:BT$28,CA$7:CA$28,CB$7:CB$28,BU$7:BU$28,BV$28:BV404,BW$7:BW$28,BX$7:BX$28,BY$7:BY$28)*(BS479)</f>
        <v>0</v>
      </c>
      <c r="EV479" t="s">
        <v>1018</v>
      </c>
      <c r="EW479">
        <f>SUM(EW18:EY18,EW22:EY22)*(1)</f>
        <v>0</v>
      </c>
      <c r="FA479" t="s">
        <v>1018</v>
      </c>
      <c r="FB479">
        <f>SUM(FB18:FD18,FB22:FD22)*(1)</f>
        <v>0</v>
      </c>
      <c r="FF479" t="s">
        <v>1018</v>
      </c>
      <c r="FG479">
        <f>SUM(FG18:FI18,FG22:FI22)*(1)</f>
        <v>0</v>
      </c>
      <c r="FL479" t="s">
        <v>1018</v>
      </c>
      <c r="FM479">
        <f>SUM(FM18:FO18,FM22:FO22)*(1)</f>
        <v>0</v>
      </c>
      <c r="FQ479" s="420">
        <f>'EXTRAS (2)'!D412</f>
        <v>0</v>
      </c>
      <c r="FR479" s="420">
        <f>'EXTRAS (2)'!E412</f>
        <v>0</v>
      </c>
      <c r="FU479" s="420">
        <f t="shared" si="213"/>
        <v>0</v>
      </c>
    </row>
    <row r="480" spans="1:177">
      <c r="A480" s="333"/>
      <c r="B480" s="407" t="s">
        <v>238</v>
      </c>
      <c r="C480" s="408" t="s">
        <v>0</v>
      </c>
      <c r="AB480">
        <f t="shared" si="214"/>
        <v>0</v>
      </c>
      <c r="AM480">
        <f t="shared" si="215"/>
        <v>0</v>
      </c>
      <c r="BI480">
        <f>SUM(BI$7:BI$28,BP$7:BP$28,BQ$7:BQ$28,BJ$7:BJ$28,BK$28:BK405,BL$7:BL$28,BM$7:BM$28,BN$7:BN$28)*(BH480)</f>
        <v>0</v>
      </c>
      <c r="BT480">
        <f>SUM(BT$7:BT$28,CA$7:CA$28,CB$7:CB$28,BU$7:BU$28,BV$28:BV405,BW$7:BW$28,BX$7:BX$28,BY$7:BY$28)*(BS480)</f>
        <v>0</v>
      </c>
      <c r="EV480" t="s">
        <v>1018</v>
      </c>
      <c r="EW480">
        <f>SUM(EW18:EY18,EW22:EY22)*(1)</f>
        <v>0</v>
      </c>
      <c r="FA480" t="s">
        <v>1018</v>
      </c>
      <c r="FB480">
        <f>SUM(FB18:FD18,FB22:FD22)*(1)</f>
        <v>0</v>
      </c>
      <c r="FQ480" s="420">
        <f>'EXTRAS (2)'!D413</f>
        <v>0</v>
      </c>
      <c r="FR480" s="420">
        <f>'EXTRAS (2)'!E413</f>
        <v>0</v>
      </c>
      <c r="FU480" s="420">
        <f t="shared" si="213"/>
        <v>0</v>
      </c>
    </row>
    <row r="481" spans="1:177">
      <c r="A481" s="333"/>
      <c r="B481" s="407" t="s">
        <v>239</v>
      </c>
      <c r="C481" s="408" t="s">
        <v>0</v>
      </c>
      <c r="AB481">
        <f t="shared" si="214"/>
        <v>0</v>
      </c>
      <c r="AM481">
        <f t="shared" si="215"/>
        <v>0</v>
      </c>
      <c r="BI481">
        <f>SUM(BI$7:BI$28,BP$7:BP$28,BQ$7:BQ$28,BJ$7:BJ$28,BK$28:BK406,BL$7:BL$28,BM$7:BM$28,BN$7:BN$28)*(BH481)</f>
        <v>0</v>
      </c>
      <c r="BT481">
        <f>SUM(BT$7:BT$28,CA$7:CA$28,CB$7:CB$28,BU$7:BU$28,BV$28:BV406,BW$7:BW$28,BX$7:BX$28,BY$7:BY$28)*(BS481)</f>
        <v>0</v>
      </c>
      <c r="FF481" t="s">
        <v>1018</v>
      </c>
      <c r="FG481">
        <f>SUM(FG19:FI19,FG23:FI23,FG26:FI26)*(1)</f>
        <v>0</v>
      </c>
      <c r="FL481" t="s">
        <v>1018</v>
      </c>
      <c r="FM481">
        <f>SUM(FM19:FO19,FM23:FO23,FM26:FO26)*(1)</f>
        <v>0</v>
      </c>
      <c r="FQ481" s="420">
        <f>'EXTRAS (2)'!D414</f>
        <v>0</v>
      </c>
      <c r="FR481" s="420">
        <f>'EXTRAS (2)'!E414</f>
        <v>0</v>
      </c>
      <c r="FU481" s="420">
        <f t="shared" si="213"/>
        <v>0</v>
      </c>
    </row>
    <row r="482" spans="1:177">
      <c r="A482" s="333"/>
      <c r="B482" s="407" t="s">
        <v>1023</v>
      </c>
      <c r="C482" s="408" t="s">
        <v>0</v>
      </c>
      <c r="AB482">
        <f t="shared" si="214"/>
        <v>0</v>
      </c>
      <c r="AM482">
        <f t="shared" si="215"/>
        <v>0</v>
      </c>
      <c r="BI482">
        <f>SUM(BI$7:BI$28,BP$7:BP$28,BQ$7:BQ$28,BJ$7:BJ$28,BK$28:BK407,BL$7:BL$28,BM$7:BM$28,BN$7:BN$28)*(BH482)</f>
        <v>0</v>
      </c>
      <c r="BT482">
        <f>SUM(BT$7:BT$28,CA$7:CA$28,CB$7:CB$28,BU$7:BU$28,BV$28:BV407,BW$7:BW$28,BX$7:BX$28,BY$7:BY$28)*(BS482)</f>
        <v>0</v>
      </c>
      <c r="EV482" t="s">
        <v>1018</v>
      </c>
      <c r="EW482">
        <f>SUM(EW19:EY19,EW23:EY23,EW26:EY26)*(1)</f>
        <v>0</v>
      </c>
      <c r="FA482" t="s">
        <v>1018</v>
      </c>
      <c r="FB482">
        <f>SUM(FB19:FD19,FB23:FD23,FB26:FD26)*(1)</f>
        <v>0</v>
      </c>
      <c r="FF482" t="s">
        <v>1018</v>
      </c>
      <c r="FG482">
        <f>SUM(FG19:FI19,FG23:FI23,FG26:FI26)*(1)</f>
        <v>0</v>
      </c>
      <c r="FL482" t="s">
        <v>1018</v>
      </c>
      <c r="FM482">
        <f>SUM(FM19:FO19,FM23:FO23,FM26:FO26)*(1)</f>
        <v>0</v>
      </c>
      <c r="FQ482" s="420">
        <f>'EXTRAS (2)'!D415</f>
        <v>0</v>
      </c>
      <c r="FR482" s="420">
        <f>'EXTRAS (2)'!E415</f>
        <v>0</v>
      </c>
      <c r="FU482" s="420">
        <f t="shared" si="213"/>
        <v>0</v>
      </c>
    </row>
    <row r="483" spans="1:177">
      <c r="A483" s="333"/>
      <c r="B483" s="407" t="s">
        <v>1024</v>
      </c>
      <c r="C483" s="408" t="s">
        <v>0</v>
      </c>
      <c r="AB483">
        <f t="shared" si="214"/>
        <v>0</v>
      </c>
      <c r="AM483">
        <f t="shared" si="215"/>
        <v>0</v>
      </c>
      <c r="BI483">
        <f>SUM(BI$7:BI$28,BP$7:BP$28,BQ$7:BQ$28,BJ$7:BJ$28,BK$28:BK408,BL$7:BL$28,BM$7:BM$28,BN$7:BN$28)*(BH483)</f>
        <v>0</v>
      </c>
      <c r="BT483">
        <f>SUM(BT$7:BT$28,CA$7:CA$28,CB$7:CB$28,BU$7:BU$28,BV$28:BV408,BW$7:BW$28,BX$7:BX$28,BY$7:BY$28)*(BS483)</f>
        <v>0</v>
      </c>
      <c r="EV483" t="s">
        <v>1018</v>
      </c>
      <c r="EW483">
        <f>SUM(EW19:EY19,EW23:EY23,EW26:EY26)*(1)</f>
        <v>0</v>
      </c>
      <c r="FA483" t="s">
        <v>1018</v>
      </c>
      <c r="FB483">
        <f>SUM(FB19:FD19,FB23:FD23,FB26:FD26)*(1)</f>
        <v>0</v>
      </c>
      <c r="FF483" t="s">
        <v>1018</v>
      </c>
      <c r="FG483">
        <f>SUM(FG20:FI20,FG24:FI24,FG27:FI27)*(1)</f>
        <v>0</v>
      </c>
      <c r="FL483" t="s">
        <v>1018</v>
      </c>
      <c r="FM483">
        <f>SUM(FM20:FO20,FM24:FO24,FM27:FO27)*(1)</f>
        <v>0</v>
      </c>
      <c r="FQ483" s="420">
        <f>'EXTRAS (2)'!D416</f>
        <v>0</v>
      </c>
      <c r="FR483" s="420">
        <f>'EXTRAS (2)'!E416</f>
        <v>0</v>
      </c>
      <c r="FU483" s="420">
        <f t="shared" si="213"/>
        <v>0</v>
      </c>
    </row>
    <row r="484" spans="1:177">
      <c r="A484" s="333"/>
      <c r="B484" s="407" t="s">
        <v>240</v>
      </c>
      <c r="C484" s="408" t="s">
        <v>0</v>
      </c>
      <c r="AB484">
        <f t="shared" si="214"/>
        <v>0</v>
      </c>
      <c r="AM484">
        <f t="shared" si="215"/>
        <v>0</v>
      </c>
      <c r="BI484">
        <f>SUM(BI$7:BI$28,BP$7:BP$28,BQ$7:BQ$28,BJ$7:BJ$28,BK$28:BK409,BL$7:BL$28,BM$7:BM$28,BN$7:BN$28)*(BH484)</f>
        <v>0</v>
      </c>
      <c r="BT484">
        <f>SUM(BT$7:BT$28,CA$7:CA$28,CB$7:CB$28,BU$7:BU$28,BV$28:BV409,BW$7:BW$28,BX$7:BX$28,BY$7:BY$28)*(BS484)</f>
        <v>0</v>
      </c>
      <c r="EV484" t="s">
        <v>1018</v>
      </c>
      <c r="EW484">
        <f>SUM(EW20:EY20,EW24:EY24,EW27:EY27)*(1)</f>
        <v>0</v>
      </c>
      <c r="FA484" t="s">
        <v>1018</v>
      </c>
      <c r="FB484">
        <f>SUM(FB20:FD20,FB24:FD24,FB27:FD27)*(1)</f>
        <v>0</v>
      </c>
      <c r="FF484" t="s">
        <v>1018</v>
      </c>
      <c r="FG484">
        <f>SUM(FG20:FI20,FG24:FI24,FG27:FI27)*(1)</f>
        <v>0</v>
      </c>
      <c r="FL484" t="s">
        <v>1018</v>
      </c>
      <c r="FM484">
        <f>SUM(FM20:FO20,FM24:FO24,FM27:FO27)*(1)</f>
        <v>0</v>
      </c>
      <c r="FQ484" s="420">
        <f>'EXTRAS (2)'!D417</f>
        <v>0</v>
      </c>
      <c r="FR484" s="420">
        <f>'EXTRAS (2)'!E417</f>
        <v>0</v>
      </c>
      <c r="FU484" s="420">
        <f t="shared" si="213"/>
        <v>0</v>
      </c>
    </row>
    <row r="485" spans="1:177">
      <c r="A485" s="333"/>
      <c r="B485" s="407" t="s">
        <v>1025</v>
      </c>
      <c r="C485" s="408" t="s">
        <v>0</v>
      </c>
      <c r="AB485">
        <f t="shared" si="214"/>
        <v>0</v>
      </c>
      <c r="AM485">
        <f t="shared" si="215"/>
        <v>0</v>
      </c>
      <c r="BI485">
        <f>SUM(BI$7:BI$28,BP$7:BP$28,BQ$7:BQ$28,BJ$7:BJ$28,BK$28:BK410,BL$7:BL$28,BM$7:BM$28,BN$7:BN$28)*(BH485)</f>
        <v>0</v>
      </c>
      <c r="BT485">
        <f>SUM(BT$7:BT$28,CA$7:CA$28,CB$7:CB$28,BU$7:BU$28,BV$28:BV410,BW$7:BW$28,BX$7:BX$28,BY$7:BY$28)*(BS485)</f>
        <v>0</v>
      </c>
      <c r="EV485" t="s">
        <v>1018</v>
      </c>
      <c r="EW485">
        <f>SUM(EW20:EY20,EW24:EY24,EW27:EY27)*(1)</f>
        <v>0</v>
      </c>
      <c r="FA485" t="s">
        <v>1018</v>
      </c>
      <c r="FB485">
        <f>SUM(FB20:FD20,FB24:FD24,FB27:FD27)*(1)</f>
        <v>0</v>
      </c>
      <c r="FQ485" s="420">
        <f>'EXTRAS (2)'!D418</f>
        <v>0</v>
      </c>
      <c r="FR485" s="420">
        <f>'EXTRAS (2)'!E418</f>
        <v>0</v>
      </c>
      <c r="FU485" s="420">
        <f t="shared" si="213"/>
        <v>0</v>
      </c>
    </row>
    <row r="486" spans="1:177">
      <c r="A486" s="333"/>
      <c r="B486" s="407" t="s">
        <v>1026</v>
      </c>
      <c r="C486" s="408" t="s">
        <v>0</v>
      </c>
      <c r="AB486">
        <f t="shared" si="214"/>
        <v>0</v>
      </c>
      <c r="AM486">
        <f t="shared" si="215"/>
        <v>0</v>
      </c>
      <c r="BI486">
        <f>SUM(BI$7:BI$28,BP$7:BP$28,BQ$7:BQ$28,BJ$7:BJ$28,BK$28:BK411,BL$7:BL$28,BM$7:BM$28,BN$7:BN$28)*(BH486)</f>
        <v>0</v>
      </c>
      <c r="BT486">
        <f>SUM(BT$7:BT$28,CA$7:CA$28,CB$7:CB$28,BU$7:BU$28,BV$28:BV411,BW$7:BW$28,BX$7:BX$28,BY$7:BY$28)*(BS486)</f>
        <v>0</v>
      </c>
      <c r="FF486" t="s">
        <v>1018</v>
      </c>
      <c r="FG486">
        <f>SUM(FG21:FI21,FG25:FI25,FG28:FI28)*(1)</f>
        <v>0</v>
      </c>
      <c r="FL486" t="s">
        <v>1018</v>
      </c>
      <c r="FM486">
        <f>SUM(FM21:FO21,FM25:FO25,FM28:FO28)*(1)</f>
        <v>0</v>
      </c>
      <c r="FQ486" s="420">
        <f>'EXTRAS (2)'!D419</f>
        <v>0</v>
      </c>
      <c r="FR486" s="420">
        <f>'EXTRAS (2)'!E419</f>
        <v>0</v>
      </c>
      <c r="FU486" s="420">
        <f t="shared" si="213"/>
        <v>0</v>
      </c>
    </row>
    <row r="487" spans="1:177">
      <c r="A487" s="333"/>
      <c r="B487" s="407" t="s">
        <v>1027</v>
      </c>
      <c r="C487" s="408" t="s">
        <v>0</v>
      </c>
      <c r="AB487">
        <f t="shared" si="214"/>
        <v>0</v>
      </c>
      <c r="AM487">
        <f t="shared" si="215"/>
        <v>0</v>
      </c>
      <c r="BI487">
        <f>SUM(BI$7:BI$28,BP$7:BP$28,BQ$7:BQ$28,BJ$7:BJ$28,BK$28:BK412,BL$7:BL$28,BM$7:BM$28,BN$7:BN$28)*(BH487)</f>
        <v>0</v>
      </c>
      <c r="BT487">
        <f>SUM(BT$7:BT$28,CA$7:CA$28,CB$7:CB$28,BU$7:BU$28,BV$28:BV412,BW$7:BW$28,BX$7:BX$28,BY$7:BY$28)*(BS487)</f>
        <v>0</v>
      </c>
      <c r="EV487" t="s">
        <v>1018</v>
      </c>
      <c r="EW487">
        <f>SUM(EW21:EY21,EW25:EY25,EW28:EY28)*(1)</f>
        <v>0</v>
      </c>
      <c r="FA487" t="s">
        <v>1018</v>
      </c>
      <c r="FB487">
        <f>SUM(FB21:FD21,FB25:FD25,FB28:FD28)*(1)</f>
        <v>0</v>
      </c>
      <c r="FF487" t="s">
        <v>1018</v>
      </c>
      <c r="FG487">
        <f>SUM(FG21:FI21,FG25:FI25,FG28:FI28)*(1)</f>
        <v>0</v>
      </c>
      <c r="FL487" t="s">
        <v>1018</v>
      </c>
      <c r="FM487">
        <f>SUM(FM21:FO21,FM25:FO25,FM28:FO28)*(1)</f>
        <v>0</v>
      </c>
      <c r="FQ487" s="420">
        <f>'EXTRAS (2)'!D420</f>
        <v>0</v>
      </c>
      <c r="FR487" s="420">
        <f>'EXTRAS (2)'!E420</f>
        <v>0</v>
      </c>
      <c r="FU487" s="420">
        <f t="shared" si="213"/>
        <v>0</v>
      </c>
    </row>
    <row r="488" spans="1:177">
      <c r="A488" s="333"/>
      <c r="B488" s="407" t="s">
        <v>1028</v>
      </c>
      <c r="C488" s="408" t="s">
        <v>0</v>
      </c>
      <c r="AB488">
        <f t="shared" si="214"/>
        <v>0</v>
      </c>
      <c r="AM488">
        <f t="shared" si="215"/>
        <v>0</v>
      </c>
      <c r="BI488">
        <f>SUM(BI$7:BI$28,BP$7:BP$28,BQ$7:BQ$28,BJ$7:BJ$28,BK$28:BK413,BL$7:BL$28,BM$7:BM$28,BN$7:BN$28)*(BH488)</f>
        <v>0</v>
      </c>
      <c r="BT488">
        <f>SUM(BT$7:BT$28,CA$7:CA$28,CB$7:CB$28,BU$7:BU$28,BV$28:BV413,BW$7:BW$28,BX$7:BX$28,BY$7:BY$28)*(BS488)</f>
        <v>0</v>
      </c>
      <c r="EV488" t="s">
        <v>1018</v>
      </c>
      <c r="EW488">
        <f>SUM(EW21:EY21,EW25:EY25,EW28:EY28)*(1)</f>
        <v>0</v>
      </c>
      <c r="FA488" t="s">
        <v>1018</v>
      </c>
      <c r="FB488">
        <f>SUM(FB21:FD21,FB25:FD25,FB28:FD28)*(1)</f>
        <v>0</v>
      </c>
      <c r="FQ488" s="420">
        <f>'EXTRAS (2)'!D421</f>
        <v>0</v>
      </c>
      <c r="FR488" s="420">
        <f>'EXTRAS (2)'!E421</f>
        <v>0</v>
      </c>
      <c r="FU488" s="420">
        <f t="shared" si="213"/>
        <v>0</v>
      </c>
    </row>
    <row r="489" spans="1:177">
      <c r="B489" s="399" t="s">
        <v>967</v>
      </c>
      <c r="C489" s="400" t="s">
        <v>0</v>
      </c>
      <c r="D489" s="186"/>
      <c r="E489" s="411"/>
      <c r="F489" s="410"/>
      <c r="G489" s="410"/>
      <c r="H489" s="410"/>
      <c r="I489" s="410"/>
      <c r="J489" s="410"/>
      <c r="K489" s="410"/>
      <c r="L489" s="410"/>
      <c r="M489" s="411"/>
      <c r="N489" s="411"/>
      <c r="O489" s="411"/>
      <c r="P489" s="411"/>
      <c r="Q489" s="410"/>
      <c r="R489" s="410"/>
      <c r="S489" s="410"/>
      <c r="T489" s="410"/>
      <c r="U489" s="410"/>
      <c r="V489" s="410"/>
      <c r="W489" s="410"/>
      <c r="X489" s="411"/>
      <c r="Y489" s="411"/>
      <c r="Z489" s="186"/>
      <c r="AA489" s="411"/>
      <c r="AB489">
        <f t="shared" si="214"/>
        <v>0</v>
      </c>
      <c r="AC489" s="411"/>
      <c r="AD489" s="411"/>
      <c r="AE489" s="411"/>
      <c r="AF489" s="411"/>
      <c r="AG489" s="411"/>
      <c r="AH489" s="411"/>
      <c r="AI489" s="411"/>
      <c r="AJ489" s="411"/>
      <c r="AK489" s="186"/>
      <c r="AL489" s="411"/>
      <c r="AM489">
        <f t="shared" si="215"/>
        <v>0</v>
      </c>
      <c r="AN489" s="411"/>
      <c r="AO489" s="411"/>
      <c r="AP489" s="411"/>
      <c r="AQ489" s="411"/>
      <c r="AR489" s="411"/>
      <c r="AS489" s="411"/>
      <c r="AT489" s="411"/>
      <c r="AU489" s="411"/>
      <c r="AV489" s="186"/>
      <c r="AW489" s="411"/>
      <c r="AX489" s="411"/>
      <c r="AY489" s="411"/>
      <c r="AZ489" s="411"/>
      <c r="BA489" s="411"/>
      <c r="BB489" s="411"/>
      <c r="BC489" s="410"/>
      <c r="BD489" s="410"/>
      <c r="BE489" s="411"/>
      <c r="BF489" s="411"/>
      <c r="BG489" s="186"/>
      <c r="BH489" s="411"/>
      <c r="BI489">
        <f>SUM(BI$7:BI$28,BP$7:BP$28,BQ$7:BQ$28,BJ$7:BJ$28,BK$28:BK414,BL$7:BL$28,BM$7:BM$28,BN$7:BN$28)*(BH489)</f>
        <v>0</v>
      </c>
      <c r="BJ489" s="410"/>
      <c r="BK489" s="410"/>
      <c r="BL489" s="410"/>
      <c r="BM489" s="410"/>
      <c r="BN489" s="410"/>
      <c r="BO489" s="410"/>
      <c r="BP489" s="411"/>
      <c r="BQ489" s="411"/>
      <c r="BR489" s="411"/>
      <c r="BS489" s="411"/>
      <c r="BT489">
        <f>SUM(BT$7:BT$28,CA$7:CA$28,CB$7:CB$28,BU$7:BU$28,BV$28:BV414,BW$7:BW$28,BX$7:BX$28,BY$7:BY$28)*(BS489)</f>
        <v>0</v>
      </c>
      <c r="BU489" s="410"/>
      <c r="BV489" s="410"/>
      <c r="BW489" s="410"/>
      <c r="BX489" s="410"/>
      <c r="BY489" s="410"/>
      <c r="BZ489" s="410"/>
      <c r="CA489" s="411"/>
      <c r="CB489" s="411"/>
      <c r="CC489" s="411"/>
      <c r="CD489" s="410"/>
      <c r="CE489" s="410">
        <f>SUM(CE$7:CE$17,CF$7:CF$17,CG$7:CG$17)*(CD489)</f>
        <v>0</v>
      </c>
      <c r="CF489" s="411"/>
      <c r="CG489" s="411"/>
      <c r="CH489" s="411"/>
      <c r="CI489" s="411"/>
      <c r="CJ489" s="410">
        <f>SUM(CJ$7:CJ$17,CK$7:CK$17,CL$7:CL$17)*(CI489)</f>
        <v>0</v>
      </c>
      <c r="CK489" s="411"/>
      <c r="CL489" s="411"/>
      <c r="CM489" s="411"/>
      <c r="CN489" s="411"/>
      <c r="CO489" s="410">
        <f>SUM(CO$7:CO$17,CP$7:CP$17,CQ$7:CQ$17)*(CN489)</f>
        <v>0</v>
      </c>
      <c r="CP489" s="411"/>
      <c r="CQ489" s="411"/>
      <c r="CR489" s="411"/>
      <c r="CS489" s="411"/>
      <c r="CT489" s="410">
        <f>SUM(CT$7:CT$17,CU$7:CU$17,CV$7:CV$17)*(CS489)</f>
        <v>0</v>
      </c>
      <c r="CU489" s="411"/>
      <c r="CV489" s="411"/>
      <c r="CW489" s="411"/>
      <c r="CX489" s="411"/>
      <c r="CY489" s="410">
        <f>SUM(CY$7:CY$17,CZ$7:CZ$17,DA$7:DA$17)*(CX489)</f>
        <v>0</v>
      </c>
      <c r="CZ489" s="411"/>
      <c r="DA489" s="411"/>
      <c r="DB489" s="411"/>
      <c r="DC489" s="411"/>
      <c r="DD489" s="410">
        <f>SUM(DD$7:DD$17,DE$7:DE$17,DF$7:DF$17)*(DC489)</f>
        <v>0</v>
      </c>
      <c r="DE489" s="411"/>
      <c r="DF489" s="411"/>
      <c r="DG489" s="411"/>
      <c r="DH489" s="411"/>
      <c r="DI489" s="410">
        <f>SUM(DI$7:DI$17,DJ$7:DJ$17,DK$7:DK$17)*(DH489)</f>
        <v>0</v>
      </c>
      <c r="DJ489" s="411"/>
      <c r="DK489" s="411"/>
      <c r="DL489" s="186"/>
      <c r="DM489" s="411"/>
      <c r="DN489" s="410">
        <f>SUM(DN$7:DN$17,DO$7:DO$17,DP$7:DP$17)*(DM489)</f>
        <v>0</v>
      </c>
      <c r="DO489" s="411"/>
      <c r="DP489" s="411"/>
      <c r="DQ489" s="411"/>
      <c r="DR489" s="411"/>
      <c r="DS489" s="410">
        <f>SUM(DS$7:DS$17,DT$7:DT$17,DU$7:DU$17)*(DR489)</f>
        <v>0</v>
      </c>
      <c r="DT489" s="411"/>
      <c r="DU489" s="411"/>
      <c r="DV489" s="411"/>
      <c r="DW489" s="411"/>
      <c r="DX489" s="410">
        <f>SUM(DX$7:DX$17,DY$7:DY$17,DZ$7:DZ$17)*(DW489)</f>
        <v>0</v>
      </c>
      <c r="DY489" s="411"/>
      <c r="DZ489" s="411"/>
      <c r="EA489" s="411"/>
      <c r="EB489" s="411"/>
      <c r="EC489" s="410">
        <f>SUM(EC$7:EC$17,ED$7:ED$17,EE$7:EE$17)*(EB489)</f>
        <v>0</v>
      </c>
      <c r="ED489" s="411"/>
      <c r="EE489" s="411"/>
      <c r="EF489" s="411"/>
      <c r="EG489" s="411"/>
      <c r="EH489" s="410">
        <f>SUM(EH$7:EH$17,EI$7:EI$17,EJ$7:EJ$17)*(EG489)</f>
        <v>0</v>
      </c>
      <c r="EI489" s="411"/>
      <c r="EJ489" s="411"/>
      <c r="EK489" s="411"/>
      <c r="EL489" s="411"/>
      <c r="EM489" s="410">
        <f>SUM(EM$7:EM$17,EN$7:EN$17,EO$7:EO$17)*(EL489)</f>
        <v>0</v>
      </c>
      <c r="EN489" s="411"/>
      <c r="EO489" s="411"/>
      <c r="EP489" s="411"/>
      <c r="EQ489" s="411"/>
      <c r="ER489" s="410">
        <f>SUM(ER$7:ER$17,ES$7:ES$17,ET$7:ET$17)*(EQ489)</f>
        <v>0</v>
      </c>
      <c r="ES489" s="411"/>
      <c r="ET489" s="411"/>
      <c r="EU489" s="411"/>
      <c r="EV489" s="411">
        <v>2</v>
      </c>
      <c r="EW489" s="410">
        <f>SUM(EW$7:EW$17,EX$7:EX$17,EY$7:EY$17)*(EV489)</f>
        <v>0</v>
      </c>
      <c r="EX489" s="411"/>
      <c r="EY489" s="411"/>
      <c r="EZ489" s="411"/>
      <c r="FA489" s="411">
        <v>2</v>
      </c>
      <c r="FB489" s="410">
        <f>SUM(FB$7:FB$17,FC$7:FC$17,FD$7:FD$17)*(FA489)</f>
        <v>0</v>
      </c>
      <c r="FC489" s="411"/>
      <c r="FD489" s="411"/>
      <c r="FE489" s="411"/>
      <c r="FF489" s="411">
        <v>2</v>
      </c>
      <c r="FG489" s="410">
        <f>SUM(FG$7:FG$17,FH$7:FH$17,FI$7:FI$17)*(FF489)</f>
        <v>0</v>
      </c>
      <c r="FH489" s="411"/>
      <c r="FI489" s="411"/>
      <c r="FJ489" s="411"/>
      <c r="FK489" s="411"/>
      <c r="FL489" s="411">
        <v>2</v>
      </c>
      <c r="FM489" s="410">
        <f>SUM(FM$7:FM$17,FN$7:FN$17,FO$7:FO$17)*(FL489)</f>
        <v>0</v>
      </c>
      <c r="FN489" s="411"/>
      <c r="FO489" s="411"/>
      <c r="FP489" s="186"/>
      <c r="FQ489" s="420">
        <f>'EXTRAS (2)'!D422</f>
        <v>0</v>
      </c>
      <c r="FR489" s="420">
        <f>'EXTRAS (2)'!E422</f>
        <v>0</v>
      </c>
      <c r="FU489" s="420">
        <f t="shared" si="213"/>
        <v>0</v>
      </c>
    </row>
    <row r="490" spans="1:177">
      <c r="B490" s="399" t="s">
        <v>1006</v>
      </c>
      <c r="C490" s="400" t="s">
        <v>0</v>
      </c>
      <c r="AB490">
        <f t="shared" si="214"/>
        <v>0</v>
      </c>
      <c r="AM490">
        <f t="shared" si="215"/>
        <v>0</v>
      </c>
      <c r="BI490">
        <f>SUM(BI$7:BI$28,BP$7:BP$28,BQ$7:BQ$28,BJ$7:BJ$28,BK$28:BK415,BL$7:BL$28,BM$7:BM$28,BN$7:BN$28)*(BH490)</f>
        <v>0</v>
      </c>
      <c r="BT490">
        <f>SUM(BT$7:BT$28,CA$7:CA$28,CB$7:CB$28,BU$7:BU$28,BV$28:BV415,BW$7:BW$28,BX$7:BX$28,BY$7:BY$28)*(BS490)</f>
        <v>0</v>
      </c>
      <c r="CE490">
        <f t="shared" ref="CE490:CE552" si="232">SUM(CE$7:CE$28,CF$7:CF$28,CG$7:CG$28)*(CD490)</f>
        <v>0</v>
      </c>
      <c r="CJ490">
        <f t="shared" ref="CJ490:CJ503" si="233">SUM(CJ$7:CJ$28,CK$7:CK$28,CL$7:CL$28)*(CI490)</f>
        <v>0</v>
      </c>
      <c r="CO490">
        <f t="shared" ref="CO490:CO503" si="234">SUM(CO$7:CO$28,CP$7:CP$28,CQ$7:CQ$28)*(CN490)</f>
        <v>0</v>
      </c>
      <c r="CT490">
        <f t="shared" ref="CT490:CT503" si="235">SUM(CT$7:CT$28,CU$7:CU$28,CV$7:CV$28)*(CS490)</f>
        <v>0</v>
      </c>
      <c r="CY490">
        <f t="shared" ref="CY490:CY503" si="236">SUM(CY$7:CY$28,CZ$7:CZ$28,DA$7:DA$28)*(CX490)</f>
        <v>0</v>
      </c>
      <c r="DD490">
        <f t="shared" ref="DD490:DD503" si="237">SUM(DD$7:DD$28,DE$7:DE$28,DF$7:DF$28)*(DC490)</f>
        <v>0</v>
      </c>
      <c r="DI490">
        <f t="shared" ref="DI490:DI503" si="238">SUM(DI$7:DI$28,DJ$7:DJ$28,DK$7:DK$28)*(DH490)</f>
        <v>0</v>
      </c>
      <c r="DN490">
        <f>SUM(DN$7:DN$28,DO$7:DO$28,DP$7:DP$28)*(DM490)</f>
        <v>0</v>
      </c>
      <c r="DS490">
        <f t="shared" ref="DS490:DS552" si="239">SUM(DS$7:DS$28,DT$7:DT$28,DU$7:DU$28)*(DR490)</f>
        <v>0</v>
      </c>
      <c r="DX490">
        <f t="shared" ref="DX490:DX552" si="240">SUM(DX$7:DX$28,DY$7:DY$28,DZ$7:DZ$28)*(DW490)</f>
        <v>0</v>
      </c>
      <c r="EC490">
        <f t="shared" ref="EC490:EC552" si="241">SUM(EC$7:EC$28,ED$7:ED$28,EE$7:EE$28)*(EB490)</f>
        <v>0</v>
      </c>
      <c r="EH490">
        <f t="shared" ref="EH490:EH552" si="242">SUM(EH$7:EH$28,EI$7:EI$28,EJ$7:EJ$28)*(EG490)</f>
        <v>0</v>
      </c>
      <c r="EM490">
        <f t="shared" ref="EM490:EM552" si="243">SUM(EM$7:EM$28,EN$7:EN$28,EO$7:EO$28)*(EL490)</f>
        <v>0</v>
      </c>
      <c r="ER490">
        <f t="shared" ref="ER490:ER552" si="244">SUM(ER$7:ER$28,ES$7:ES$28,ET$7:ET$28)*(EQ490)</f>
        <v>0</v>
      </c>
      <c r="EW490">
        <f t="shared" ref="EW490:EW518" si="245">SUM(EW$7:EW$28,EX$7:EX$28,EY$7:EY$28)*(EV490)</f>
        <v>0</v>
      </c>
      <c r="FB490">
        <f t="shared" ref="FB490:FB518" si="246">SUM(FB$7:FB$28,FC$7:FC$28,FD$7:FD$28)*(FA490)</f>
        <v>0</v>
      </c>
      <c r="FG490">
        <f t="shared" ref="FG490:FG518" si="247">SUM(FG$7:FG$28,FH$7:FH$28,FI$7:FI$28)*(FF490)</f>
        <v>0</v>
      </c>
      <c r="FM490">
        <f t="shared" ref="FM490:FM518" si="248">SUM(FM$7:FM$28,FN$7:FN$28,FO$7:FO$28)*(FL490)</f>
        <v>0</v>
      </c>
      <c r="FQ490" s="420">
        <f>'EXTRAS (2)'!D423</f>
        <v>0</v>
      </c>
      <c r="FR490" s="420">
        <f>'EXTRAS (2)'!E423</f>
        <v>0</v>
      </c>
      <c r="FU490" s="420">
        <f t="shared" si="213"/>
        <v>0</v>
      </c>
    </row>
    <row r="491" spans="1:177">
      <c r="B491" s="399" t="s">
        <v>968</v>
      </c>
      <c r="C491" s="400" t="s">
        <v>0</v>
      </c>
      <c r="AB491">
        <f t="shared" si="214"/>
        <v>0</v>
      </c>
      <c r="AM491">
        <f t="shared" si="215"/>
        <v>0</v>
      </c>
      <c r="BI491">
        <f>SUM(BI$7:BI$28,BP$7:BP$28,BQ$7:BQ$28,BJ$7:BJ$28,BK$28:BK416,BL$7:BL$28,BM$7:BM$28,BN$7:BN$28)*(BH491)</f>
        <v>0</v>
      </c>
      <c r="BT491">
        <f>SUM(BT$7:BT$28,CA$7:CA$28,CB$7:CB$28,BU$7:BU$28,BV$28:BV416,BW$7:BW$28,BX$7:BX$28,BY$7:BY$28)*(BS491)</f>
        <v>0</v>
      </c>
      <c r="CE491">
        <f t="shared" si="232"/>
        <v>0</v>
      </c>
      <c r="CJ491">
        <f t="shared" si="233"/>
        <v>0</v>
      </c>
      <c r="CO491">
        <f t="shared" si="234"/>
        <v>0</v>
      </c>
      <c r="CT491">
        <f t="shared" si="235"/>
        <v>0</v>
      </c>
      <c r="CX491">
        <v>1</v>
      </c>
      <c r="CY491">
        <f t="shared" si="236"/>
        <v>0</v>
      </c>
      <c r="DD491">
        <f t="shared" si="237"/>
        <v>0</v>
      </c>
      <c r="DI491">
        <f t="shared" si="238"/>
        <v>0</v>
      </c>
      <c r="DN491">
        <f>SUM(DN$7:DN$28,DO$7:DO$28,DP$7:DP$28)*(DM491)</f>
        <v>0</v>
      </c>
      <c r="DS491">
        <f t="shared" si="239"/>
        <v>0</v>
      </c>
      <c r="DX491">
        <f t="shared" si="240"/>
        <v>0</v>
      </c>
      <c r="EC491">
        <f t="shared" si="241"/>
        <v>0</v>
      </c>
      <c r="EH491">
        <f t="shared" si="242"/>
        <v>0</v>
      </c>
      <c r="EM491">
        <f t="shared" si="243"/>
        <v>0</v>
      </c>
      <c r="ER491">
        <f t="shared" si="244"/>
        <v>0</v>
      </c>
      <c r="EW491">
        <f t="shared" si="245"/>
        <v>0</v>
      </c>
      <c r="FB491">
        <f t="shared" si="246"/>
        <v>0</v>
      </c>
      <c r="FG491">
        <f t="shared" si="247"/>
        <v>0</v>
      </c>
      <c r="FM491">
        <f t="shared" si="248"/>
        <v>0</v>
      </c>
      <c r="FQ491" s="420">
        <f>'EXTRAS (2)'!D424</f>
        <v>0</v>
      </c>
      <c r="FR491" s="420">
        <f>'EXTRAS (2)'!E424</f>
        <v>0</v>
      </c>
      <c r="FU491" s="420">
        <f t="shared" si="213"/>
        <v>0</v>
      </c>
    </row>
    <row r="492" spans="1:177">
      <c r="B492" s="399" t="s">
        <v>1015</v>
      </c>
      <c r="C492" s="400" t="s">
        <v>0</v>
      </c>
      <c r="AB492">
        <f t="shared" si="214"/>
        <v>0</v>
      </c>
      <c r="AM492">
        <f t="shared" si="215"/>
        <v>0</v>
      </c>
      <c r="BI492">
        <f>SUM(BI$7:BI$28,BP$7:BP$28,BQ$7:BQ$28,BJ$7:BJ$28,BK$28:BK417,BL$7:BL$28,BM$7:BM$28,BN$7:BN$28)*(BH492)</f>
        <v>0</v>
      </c>
      <c r="BT492">
        <f>SUM(BT$7:BT$28,CA$7:CA$28,CB$7:CB$28,BU$7:BU$28,BV$28:BV417,BW$7:BW$28,BX$7:BX$28,BY$7:BY$28)*(BS492)</f>
        <v>0</v>
      </c>
      <c r="CE492">
        <f t="shared" si="232"/>
        <v>0</v>
      </c>
      <c r="CJ492">
        <f t="shared" si="233"/>
        <v>0</v>
      </c>
      <c r="CO492">
        <f t="shared" si="234"/>
        <v>0</v>
      </c>
      <c r="CT492">
        <f t="shared" si="235"/>
        <v>0</v>
      </c>
      <c r="CY492">
        <f t="shared" si="236"/>
        <v>0</v>
      </c>
      <c r="DD492">
        <f t="shared" si="237"/>
        <v>0</v>
      </c>
      <c r="DI492">
        <f t="shared" si="238"/>
        <v>0</v>
      </c>
      <c r="DN492">
        <f>SUM(DN$7:DN$28,DO$7:DO$28,DP$7:DP$28)*(DM492)</f>
        <v>0</v>
      </c>
      <c r="DR492">
        <v>1</v>
      </c>
      <c r="DS492">
        <f t="shared" si="239"/>
        <v>0</v>
      </c>
      <c r="DW492">
        <v>1</v>
      </c>
      <c r="DX492">
        <f t="shared" si="240"/>
        <v>0</v>
      </c>
      <c r="EC492">
        <f t="shared" si="241"/>
        <v>0</v>
      </c>
      <c r="EH492">
        <f t="shared" si="242"/>
        <v>0</v>
      </c>
      <c r="EM492">
        <f t="shared" si="243"/>
        <v>0</v>
      </c>
      <c r="ER492">
        <f t="shared" si="244"/>
        <v>0</v>
      </c>
      <c r="EV492">
        <v>1</v>
      </c>
      <c r="EW492">
        <f t="shared" si="245"/>
        <v>0</v>
      </c>
      <c r="FB492">
        <f t="shared" si="246"/>
        <v>0</v>
      </c>
      <c r="FG492">
        <f t="shared" si="247"/>
        <v>0</v>
      </c>
      <c r="FM492">
        <f t="shared" si="248"/>
        <v>0</v>
      </c>
      <c r="FQ492" s="420">
        <f>'EXTRAS (2)'!D425</f>
        <v>0</v>
      </c>
      <c r="FR492" s="420">
        <f>'EXTRAS (2)'!E425</f>
        <v>0</v>
      </c>
      <c r="FU492" s="420">
        <f t="shared" si="213"/>
        <v>0</v>
      </c>
    </row>
    <row r="493" spans="1:177">
      <c r="B493" s="399" t="s">
        <v>1731</v>
      </c>
      <c r="C493" s="400" t="s">
        <v>0</v>
      </c>
      <c r="AB493">
        <f t="shared" si="214"/>
        <v>0</v>
      </c>
      <c r="AM493">
        <f t="shared" si="215"/>
        <v>0</v>
      </c>
      <c r="BI493">
        <f>SUM(BI$7:BI$28,BP$7:BP$28,BQ$7:BQ$28,BJ$7:BJ$28,BK$28:BK418,BL$7:BL$28,BM$7:BM$28,BN$7:BN$28)*(BH493)</f>
        <v>0</v>
      </c>
      <c r="BT493">
        <f>SUM(BT$7:BT$28,CA$7:CA$28,CB$7:CB$28,BU$7:BU$28,BV$28:BV418,BW$7:BW$28,BX$7:BX$28,BY$7:BY$28)*(BS493)</f>
        <v>0</v>
      </c>
      <c r="CE493">
        <f t="shared" si="232"/>
        <v>0</v>
      </c>
      <c r="CI493">
        <v>1</v>
      </c>
      <c r="CJ493">
        <f t="shared" si="233"/>
        <v>0</v>
      </c>
      <c r="CN493">
        <v>1</v>
      </c>
      <c r="CO493">
        <f t="shared" si="234"/>
        <v>0</v>
      </c>
      <c r="CS493">
        <v>1</v>
      </c>
      <c r="CT493">
        <f t="shared" si="235"/>
        <v>0</v>
      </c>
      <c r="CY493">
        <f t="shared" si="236"/>
        <v>0</v>
      </c>
      <c r="DD493">
        <f t="shared" si="237"/>
        <v>0</v>
      </c>
      <c r="DI493">
        <f t="shared" si="238"/>
        <v>0</v>
      </c>
      <c r="DN493">
        <f t="shared" ref="DN493:DN557" si="249">SUM(DN$7:DN$28,DO$7:DO$28,DP$7:DP$28)*(DM493)</f>
        <v>0</v>
      </c>
      <c r="DR493">
        <v>1</v>
      </c>
      <c r="DS493">
        <f t="shared" si="239"/>
        <v>0</v>
      </c>
      <c r="DX493">
        <f t="shared" si="240"/>
        <v>0</v>
      </c>
      <c r="EC493">
        <f t="shared" si="241"/>
        <v>0</v>
      </c>
      <c r="EH493">
        <f t="shared" si="242"/>
        <v>0</v>
      </c>
      <c r="EM493">
        <f t="shared" si="243"/>
        <v>0</v>
      </c>
      <c r="ER493">
        <f t="shared" si="244"/>
        <v>0</v>
      </c>
      <c r="EV493" s="897">
        <v>1</v>
      </c>
      <c r="EW493" s="897">
        <f t="shared" si="245"/>
        <v>0</v>
      </c>
      <c r="EX493" s="897"/>
      <c r="EY493" s="897"/>
      <c r="EZ493" s="897"/>
      <c r="FA493" s="897">
        <v>1</v>
      </c>
      <c r="FB493" s="897">
        <f t="shared" si="246"/>
        <v>0</v>
      </c>
      <c r="FC493" s="897"/>
      <c r="FD493" s="897"/>
      <c r="FE493" s="897"/>
      <c r="FF493" s="897"/>
      <c r="FG493" s="897">
        <f t="shared" si="247"/>
        <v>0</v>
      </c>
      <c r="FH493" s="897"/>
      <c r="FI493" s="897"/>
      <c r="FJ493" s="897"/>
      <c r="FK493" s="897"/>
      <c r="FL493" s="897"/>
      <c r="FM493" s="897">
        <f t="shared" si="248"/>
        <v>0</v>
      </c>
      <c r="FQ493" s="420">
        <f>'EXTRAS (2)'!D426</f>
        <v>0</v>
      </c>
      <c r="FR493" s="420">
        <f>'EXTRAS (2)'!E426</f>
        <v>0</v>
      </c>
      <c r="FU493" s="420">
        <f t="shared" si="213"/>
        <v>0</v>
      </c>
    </row>
    <row r="494" spans="1:177">
      <c r="B494" s="399" t="s">
        <v>997</v>
      </c>
      <c r="C494" s="400" t="s">
        <v>0</v>
      </c>
      <c r="AB494">
        <f t="shared" si="214"/>
        <v>0</v>
      </c>
      <c r="AM494">
        <f t="shared" si="215"/>
        <v>0</v>
      </c>
      <c r="BI494">
        <f>SUM(BI$7:BI$28,BP$7:BP$28,BQ$7:BQ$28,BJ$7:BJ$28,BK$28:BK419,BL$7:BL$28,BM$7:BM$28,BN$7:BN$28)*(BH494)</f>
        <v>0</v>
      </c>
      <c r="BT494">
        <f>SUM(BT$7:BT$28,CA$7:CA$28,CB$7:CB$28,BU$7:BU$28,BV$28:BV419,BW$7:BW$28,BX$7:BX$28,BY$7:BY$28)*(BS494)</f>
        <v>0</v>
      </c>
      <c r="CD494">
        <v>1</v>
      </c>
      <c r="CE494">
        <f t="shared" si="232"/>
        <v>0</v>
      </c>
      <c r="CJ494">
        <f t="shared" si="233"/>
        <v>0</v>
      </c>
      <c r="CO494">
        <f t="shared" si="234"/>
        <v>0</v>
      </c>
      <c r="CT494">
        <f t="shared" si="235"/>
        <v>0</v>
      </c>
      <c r="CY494">
        <f t="shared" si="236"/>
        <v>0</v>
      </c>
      <c r="DD494">
        <f t="shared" si="237"/>
        <v>0</v>
      </c>
      <c r="DI494">
        <f t="shared" si="238"/>
        <v>0</v>
      </c>
      <c r="DN494">
        <f t="shared" si="249"/>
        <v>0</v>
      </c>
      <c r="DS494">
        <f t="shared" si="239"/>
        <v>0</v>
      </c>
      <c r="DX494">
        <f t="shared" si="240"/>
        <v>0</v>
      </c>
      <c r="EC494">
        <f t="shared" si="241"/>
        <v>0</v>
      </c>
      <c r="EH494">
        <f t="shared" si="242"/>
        <v>0</v>
      </c>
      <c r="EM494">
        <f t="shared" si="243"/>
        <v>0</v>
      </c>
      <c r="ER494">
        <f t="shared" si="244"/>
        <v>0</v>
      </c>
      <c r="EW494">
        <f t="shared" si="245"/>
        <v>0</v>
      </c>
      <c r="FB494">
        <f t="shared" si="246"/>
        <v>0</v>
      </c>
      <c r="FG494">
        <f t="shared" si="247"/>
        <v>0</v>
      </c>
      <c r="FM494">
        <f t="shared" si="248"/>
        <v>0</v>
      </c>
      <c r="FQ494" s="420">
        <f>'EXTRAS (2)'!D427</f>
        <v>0</v>
      </c>
      <c r="FR494" s="420">
        <f>'EXTRAS (2)'!E427</f>
        <v>0</v>
      </c>
      <c r="FU494" s="420">
        <f t="shared" si="213"/>
        <v>0</v>
      </c>
    </row>
    <row r="495" spans="1:177">
      <c r="B495" s="399" t="s">
        <v>35</v>
      </c>
      <c r="C495" s="400" t="s">
        <v>0</v>
      </c>
      <c r="AB495">
        <f t="shared" si="214"/>
        <v>0</v>
      </c>
      <c r="AM495">
        <f t="shared" si="215"/>
        <v>0</v>
      </c>
      <c r="BI495">
        <f>SUM(BI$7:BI$28,BP$7:BP$28,BQ$7:BQ$28,BJ$7:BJ$28,BK$28:BK420,BL$7:BL$28,BM$7:BM$28,BN$7:BN$28)*(BH495)</f>
        <v>0</v>
      </c>
      <c r="BT495">
        <f>SUM(BT$7:BT$28,CA$7:CA$28,CB$7:CB$28,BU$7:BU$28,BV$28:BV420,BW$7:BW$28,BX$7:BX$28,BY$7:BY$28)*(BS495)</f>
        <v>0</v>
      </c>
      <c r="CE495">
        <f t="shared" si="232"/>
        <v>0</v>
      </c>
      <c r="CJ495">
        <f t="shared" si="233"/>
        <v>0</v>
      </c>
      <c r="CO495">
        <f t="shared" si="234"/>
        <v>0</v>
      </c>
      <c r="CT495">
        <f t="shared" si="235"/>
        <v>0</v>
      </c>
      <c r="CY495">
        <f t="shared" si="236"/>
        <v>0</v>
      </c>
      <c r="DD495">
        <f t="shared" si="237"/>
        <v>0</v>
      </c>
      <c r="DI495">
        <f t="shared" si="238"/>
        <v>0</v>
      </c>
      <c r="DN495">
        <f t="shared" si="249"/>
        <v>0</v>
      </c>
      <c r="DS495">
        <f t="shared" si="239"/>
        <v>0</v>
      </c>
      <c r="DX495">
        <f t="shared" si="240"/>
        <v>0</v>
      </c>
      <c r="EC495">
        <f t="shared" si="241"/>
        <v>0</v>
      </c>
      <c r="EH495">
        <f t="shared" si="242"/>
        <v>0</v>
      </c>
      <c r="EM495">
        <f t="shared" si="243"/>
        <v>0</v>
      </c>
      <c r="ER495">
        <f t="shared" si="244"/>
        <v>0</v>
      </c>
      <c r="EW495">
        <f t="shared" si="245"/>
        <v>0</v>
      </c>
      <c r="FB495">
        <f t="shared" si="246"/>
        <v>0</v>
      </c>
      <c r="FG495">
        <f t="shared" si="247"/>
        <v>0</v>
      </c>
      <c r="FM495">
        <f t="shared" si="248"/>
        <v>0</v>
      </c>
      <c r="FQ495" s="420">
        <f>'EXTRAS (2)'!D428</f>
        <v>0</v>
      </c>
      <c r="FR495" s="420">
        <f>'EXTRAS (2)'!E428</f>
        <v>0</v>
      </c>
      <c r="FU495" s="420">
        <f t="shared" si="213"/>
        <v>0</v>
      </c>
    </row>
    <row r="496" spans="1:177">
      <c r="B496" s="399" t="s">
        <v>970</v>
      </c>
      <c r="C496" s="400" t="s">
        <v>0</v>
      </c>
      <c r="AB496">
        <f t="shared" si="214"/>
        <v>0</v>
      </c>
      <c r="AM496">
        <f t="shared" si="215"/>
        <v>0</v>
      </c>
      <c r="BI496">
        <f>SUM(BI$7:BI$28,BP$7:BP$28,BQ$7:BQ$28,BJ$7:BJ$28,BK$28:BK421,BL$7:BL$28,BM$7:BM$28,BN$7:BN$28)*(BH496)</f>
        <v>0</v>
      </c>
      <c r="BT496">
        <f>SUM(BT$7:BT$28,CA$7:CA$28,CB$7:CB$28,BU$7:BU$28,BV$28:BV421,BW$7:BW$28,BX$7:BX$28,BY$7:BY$28)*(BS496)</f>
        <v>0</v>
      </c>
      <c r="CE496">
        <f t="shared" si="232"/>
        <v>0</v>
      </c>
      <c r="CJ496">
        <f t="shared" si="233"/>
        <v>0</v>
      </c>
      <c r="CO496">
        <f t="shared" si="234"/>
        <v>0</v>
      </c>
      <c r="CT496">
        <f t="shared" si="235"/>
        <v>0</v>
      </c>
      <c r="CY496">
        <f t="shared" si="236"/>
        <v>0</v>
      </c>
      <c r="DD496">
        <f t="shared" si="237"/>
        <v>0</v>
      </c>
      <c r="DI496">
        <f t="shared" si="238"/>
        <v>0</v>
      </c>
      <c r="DN496">
        <f t="shared" si="249"/>
        <v>0</v>
      </c>
      <c r="DS496">
        <f t="shared" si="239"/>
        <v>0</v>
      </c>
      <c r="DX496">
        <f t="shared" si="240"/>
        <v>0</v>
      </c>
      <c r="EC496">
        <f t="shared" si="241"/>
        <v>0</v>
      </c>
      <c r="EH496">
        <f t="shared" si="242"/>
        <v>0</v>
      </c>
      <c r="EM496">
        <f t="shared" si="243"/>
        <v>0</v>
      </c>
      <c r="ER496">
        <f t="shared" si="244"/>
        <v>0</v>
      </c>
      <c r="EW496">
        <f t="shared" si="245"/>
        <v>0</v>
      </c>
      <c r="FB496">
        <f t="shared" si="246"/>
        <v>0</v>
      </c>
      <c r="FG496">
        <f t="shared" si="247"/>
        <v>0</v>
      </c>
      <c r="FM496">
        <f t="shared" si="248"/>
        <v>0</v>
      </c>
      <c r="FQ496" s="420">
        <f>'EXTRAS (2)'!D429</f>
        <v>0</v>
      </c>
      <c r="FR496" s="420">
        <f>'EXTRAS (2)'!E429</f>
        <v>0</v>
      </c>
      <c r="FU496" s="420">
        <f t="shared" si="213"/>
        <v>0</v>
      </c>
    </row>
    <row r="497" spans="2:177">
      <c r="B497" s="399" t="s">
        <v>971</v>
      </c>
      <c r="C497" s="400" t="s">
        <v>0</v>
      </c>
      <c r="AB497">
        <f t="shared" si="214"/>
        <v>0</v>
      </c>
      <c r="AM497">
        <f t="shared" si="215"/>
        <v>0</v>
      </c>
      <c r="BI497">
        <f>SUM(BI$7:BI$28,BP$7:BP$28,BQ$7:BQ$28,BJ$7:BJ$28,BK$28:BK422,BL$7:BL$28,BM$7:BM$28,BN$7:BN$28)*(BH497)</f>
        <v>0</v>
      </c>
      <c r="BT497">
        <f>SUM(BT$7:BT$28,CA$7:CA$28,CB$7:CB$28,BU$7:BU$28,BV$28:BV422,BW$7:BW$28,BX$7:BX$28,BY$7:BY$28)*(BS497)</f>
        <v>0</v>
      </c>
      <c r="CE497">
        <f t="shared" si="232"/>
        <v>0</v>
      </c>
      <c r="CJ497">
        <f t="shared" si="233"/>
        <v>0</v>
      </c>
      <c r="CO497">
        <f t="shared" si="234"/>
        <v>0</v>
      </c>
      <c r="CT497">
        <f t="shared" si="235"/>
        <v>0</v>
      </c>
      <c r="CY497">
        <f t="shared" si="236"/>
        <v>0</v>
      </c>
      <c r="DD497">
        <f t="shared" si="237"/>
        <v>0</v>
      </c>
      <c r="DI497">
        <f t="shared" si="238"/>
        <v>0</v>
      </c>
      <c r="DN497">
        <f t="shared" si="249"/>
        <v>0</v>
      </c>
      <c r="DS497">
        <f t="shared" si="239"/>
        <v>0</v>
      </c>
      <c r="DX497">
        <f t="shared" si="240"/>
        <v>0</v>
      </c>
      <c r="EC497">
        <f t="shared" si="241"/>
        <v>0</v>
      </c>
      <c r="EH497">
        <f t="shared" si="242"/>
        <v>0</v>
      </c>
      <c r="EM497">
        <f t="shared" si="243"/>
        <v>0</v>
      </c>
      <c r="ER497">
        <f t="shared" si="244"/>
        <v>0</v>
      </c>
      <c r="EW497">
        <f t="shared" si="245"/>
        <v>0</v>
      </c>
      <c r="FB497">
        <f t="shared" si="246"/>
        <v>0</v>
      </c>
      <c r="FG497">
        <f t="shared" si="247"/>
        <v>0</v>
      </c>
      <c r="FM497">
        <f t="shared" si="248"/>
        <v>0</v>
      </c>
      <c r="FQ497" s="420">
        <f>'EXTRAS (2)'!D430</f>
        <v>0</v>
      </c>
      <c r="FR497" s="420">
        <f>'EXTRAS (2)'!E430</f>
        <v>0</v>
      </c>
      <c r="FU497" s="420">
        <f t="shared" si="213"/>
        <v>0</v>
      </c>
    </row>
    <row r="498" spans="2:177">
      <c r="B498" s="399" t="s">
        <v>972</v>
      </c>
      <c r="C498" s="400" t="s">
        <v>0</v>
      </c>
      <c r="AB498">
        <f t="shared" si="214"/>
        <v>0</v>
      </c>
      <c r="AM498">
        <f t="shared" si="215"/>
        <v>0</v>
      </c>
      <c r="BI498">
        <f>SUM(BI$7:BI$28,BP$7:BP$28,BQ$7:BQ$28,BJ$7:BJ$28,BK$28:BK423,BL$7:BL$28,BM$7:BM$28,BN$7:BN$28)*(BH498)</f>
        <v>0</v>
      </c>
      <c r="BT498">
        <f>SUM(BT$7:BT$28,CA$7:CA$28,CB$7:CB$28,BU$7:BU$28,BV$28:BV423,BW$7:BW$28,BX$7:BX$28,BY$7:BY$28)*(BS498)</f>
        <v>0</v>
      </c>
      <c r="CE498">
        <f t="shared" si="232"/>
        <v>0</v>
      </c>
      <c r="CJ498">
        <f t="shared" si="233"/>
        <v>0</v>
      </c>
      <c r="CO498">
        <f t="shared" si="234"/>
        <v>0</v>
      </c>
      <c r="CT498">
        <f t="shared" si="235"/>
        <v>0</v>
      </c>
      <c r="CY498">
        <f t="shared" si="236"/>
        <v>0</v>
      </c>
      <c r="DD498">
        <f t="shared" si="237"/>
        <v>0</v>
      </c>
      <c r="DI498">
        <f t="shared" si="238"/>
        <v>0</v>
      </c>
      <c r="DN498">
        <f t="shared" si="249"/>
        <v>0</v>
      </c>
      <c r="DS498">
        <f t="shared" si="239"/>
        <v>0</v>
      </c>
      <c r="DX498">
        <f t="shared" si="240"/>
        <v>0</v>
      </c>
      <c r="EC498">
        <f t="shared" si="241"/>
        <v>0</v>
      </c>
      <c r="EH498">
        <f t="shared" si="242"/>
        <v>0</v>
      </c>
      <c r="EM498">
        <f t="shared" si="243"/>
        <v>0</v>
      </c>
      <c r="ER498">
        <f t="shared" si="244"/>
        <v>0</v>
      </c>
      <c r="EW498">
        <f t="shared" si="245"/>
        <v>0</v>
      </c>
      <c r="FB498">
        <f t="shared" si="246"/>
        <v>0</v>
      </c>
      <c r="FG498">
        <f t="shared" si="247"/>
        <v>0</v>
      </c>
      <c r="FM498">
        <f t="shared" si="248"/>
        <v>0</v>
      </c>
      <c r="FQ498" s="420">
        <f>'EXTRAS (2)'!D431</f>
        <v>0</v>
      </c>
      <c r="FR498" s="420">
        <f>'EXTRAS (2)'!E431</f>
        <v>0</v>
      </c>
      <c r="FU498" s="420">
        <f t="shared" si="213"/>
        <v>0</v>
      </c>
    </row>
    <row r="499" spans="2:177">
      <c r="B499" s="399" t="s">
        <v>973</v>
      </c>
      <c r="C499" s="400" t="s">
        <v>0</v>
      </c>
      <c r="AB499">
        <f t="shared" si="214"/>
        <v>0</v>
      </c>
      <c r="AM499">
        <f t="shared" si="215"/>
        <v>0</v>
      </c>
      <c r="BI499">
        <f>SUM(BI$7:BI$28,BP$7:BP$28,BQ$7:BQ$28,BJ$7:BJ$28,BK$28:BK424,BL$7:BL$28,BM$7:BM$28,BN$7:BN$28)*(BH499)</f>
        <v>0</v>
      </c>
      <c r="BT499">
        <f>SUM(BT$7:BT$28,CA$7:CA$28,CB$7:CB$28,BU$7:BU$28,BV$28:BV424,BW$7:BW$28,BX$7:BX$28,BY$7:BY$28)*(BS499)</f>
        <v>0</v>
      </c>
      <c r="CE499">
        <f t="shared" si="232"/>
        <v>0</v>
      </c>
      <c r="CJ499">
        <f t="shared" si="233"/>
        <v>0</v>
      </c>
      <c r="CO499">
        <f t="shared" si="234"/>
        <v>0</v>
      </c>
      <c r="CT499">
        <f t="shared" si="235"/>
        <v>0</v>
      </c>
      <c r="CY499">
        <f t="shared" si="236"/>
        <v>0</v>
      </c>
      <c r="DD499">
        <f t="shared" si="237"/>
        <v>0</v>
      </c>
      <c r="DI499">
        <f t="shared" si="238"/>
        <v>0</v>
      </c>
      <c r="DN499">
        <f t="shared" si="249"/>
        <v>0</v>
      </c>
      <c r="DS499">
        <f t="shared" si="239"/>
        <v>0</v>
      </c>
      <c r="DX499">
        <f t="shared" si="240"/>
        <v>0</v>
      </c>
      <c r="EC499">
        <f t="shared" si="241"/>
        <v>0</v>
      </c>
      <c r="EH499">
        <f t="shared" si="242"/>
        <v>0</v>
      </c>
      <c r="EM499">
        <f t="shared" si="243"/>
        <v>0</v>
      </c>
      <c r="ER499">
        <f t="shared" si="244"/>
        <v>0</v>
      </c>
      <c r="EW499">
        <f t="shared" si="245"/>
        <v>0</v>
      </c>
      <c r="FB499">
        <f t="shared" si="246"/>
        <v>0</v>
      </c>
      <c r="FG499">
        <f t="shared" si="247"/>
        <v>0</v>
      </c>
      <c r="FM499">
        <f t="shared" si="248"/>
        <v>0</v>
      </c>
      <c r="FQ499" s="420">
        <f>'EXTRAS (2)'!D432</f>
        <v>0</v>
      </c>
      <c r="FR499" s="420">
        <f>'EXTRAS (2)'!E432</f>
        <v>0</v>
      </c>
      <c r="FU499" s="420">
        <f t="shared" si="213"/>
        <v>0</v>
      </c>
    </row>
    <row r="500" spans="2:177">
      <c r="B500" s="399" t="s">
        <v>974</v>
      </c>
      <c r="C500" s="400" t="s">
        <v>0</v>
      </c>
      <c r="AB500">
        <f t="shared" si="214"/>
        <v>0</v>
      </c>
      <c r="AM500">
        <f t="shared" si="215"/>
        <v>0</v>
      </c>
      <c r="BI500">
        <f>SUM(BI$7:BI$28,BP$7:BP$28,BQ$7:BQ$28,BJ$7:BJ$28,BK$28:BK425,BL$7:BL$28,BM$7:BM$28,BN$7:BN$28)*(BH500)</f>
        <v>0</v>
      </c>
      <c r="BT500">
        <f>SUM(BT$7:BT$28,CA$7:CA$28,CB$7:CB$28,BU$7:BU$28,BV$28:BV425,BW$7:BW$28,BX$7:BX$28,BY$7:BY$28)*(BS500)</f>
        <v>0</v>
      </c>
      <c r="CE500">
        <f t="shared" si="232"/>
        <v>0</v>
      </c>
      <c r="CJ500">
        <f t="shared" si="233"/>
        <v>0</v>
      </c>
      <c r="CO500">
        <f t="shared" si="234"/>
        <v>0</v>
      </c>
      <c r="CT500">
        <f t="shared" si="235"/>
        <v>0</v>
      </c>
      <c r="CY500">
        <f t="shared" si="236"/>
        <v>0</v>
      </c>
      <c r="DD500">
        <f t="shared" si="237"/>
        <v>0</v>
      </c>
      <c r="DI500">
        <f t="shared" si="238"/>
        <v>0</v>
      </c>
      <c r="DN500">
        <f t="shared" si="249"/>
        <v>0</v>
      </c>
      <c r="DS500">
        <f t="shared" si="239"/>
        <v>0</v>
      </c>
      <c r="DX500">
        <f t="shared" si="240"/>
        <v>0</v>
      </c>
      <c r="EC500">
        <f t="shared" si="241"/>
        <v>0</v>
      </c>
      <c r="EH500">
        <f t="shared" si="242"/>
        <v>0</v>
      </c>
      <c r="EM500">
        <f t="shared" si="243"/>
        <v>0</v>
      </c>
      <c r="ER500">
        <f t="shared" si="244"/>
        <v>0</v>
      </c>
      <c r="EW500">
        <f t="shared" si="245"/>
        <v>0</v>
      </c>
      <c r="FB500">
        <f t="shared" si="246"/>
        <v>0</v>
      </c>
      <c r="FG500">
        <f t="shared" si="247"/>
        <v>0</v>
      </c>
      <c r="FM500">
        <f t="shared" si="248"/>
        <v>0</v>
      </c>
      <c r="FQ500" s="420">
        <f>'EXTRAS (2)'!D433</f>
        <v>0</v>
      </c>
      <c r="FR500" s="420">
        <f>'EXTRAS (2)'!E433</f>
        <v>0</v>
      </c>
      <c r="FU500" s="420">
        <f t="shared" si="213"/>
        <v>0</v>
      </c>
    </row>
    <row r="501" spans="2:177">
      <c r="B501" s="399" t="s">
        <v>975</v>
      </c>
      <c r="C501" s="400" t="s">
        <v>0</v>
      </c>
      <c r="AB501">
        <f t="shared" si="214"/>
        <v>0</v>
      </c>
      <c r="AM501">
        <f t="shared" si="215"/>
        <v>0</v>
      </c>
      <c r="BI501">
        <f>SUM(BI$7:BI$28,BP$7:BP$28,BQ$7:BQ$28,BJ$7:BJ$28,BK$28:BK426,BL$7:BL$28,BM$7:BM$28,BN$7:BN$28)*(BH501)</f>
        <v>0</v>
      </c>
      <c r="BT501">
        <f>SUM(BT$7:BT$28,CA$7:CA$28,CB$7:CB$28,BU$7:BU$28,BV$28:BV426,BW$7:BW$28,BX$7:BX$28,BY$7:BY$28)*(BS501)</f>
        <v>0</v>
      </c>
      <c r="CE501">
        <f t="shared" si="232"/>
        <v>0</v>
      </c>
      <c r="CJ501">
        <f t="shared" si="233"/>
        <v>0</v>
      </c>
      <c r="CO501">
        <f t="shared" si="234"/>
        <v>0</v>
      </c>
      <c r="CT501">
        <f t="shared" si="235"/>
        <v>0</v>
      </c>
      <c r="CY501">
        <f t="shared" si="236"/>
        <v>0</v>
      </c>
      <c r="DD501">
        <f t="shared" si="237"/>
        <v>0</v>
      </c>
      <c r="DI501">
        <f t="shared" si="238"/>
        <v>0</v>
      </c>
      <c r="DN501">
        <f t="shared" si="249"/>
        <v>0</v>
      </c>
      <c r="DS501">
        <f t="shared" si="239"/>
        <v>0</v>
      </c>
      <c r="DX501">
        <f t="shared" si="240"/>
        <v>0</v>
      </c>
      <c r="EC501">
        <f t="shared" si="241"/>
        <v>0</v>
      </c>
      <c r="EH501">
        <f t="shared" si="242"/>
        <v>0</v>
      </c>
      <c r="EM501">
        <f t="shared" si="243"/>
        <v>0</v>
      </c>
      <c r="ER501">
        <f t="shared" si="244"/>
        <v>0</v>
      </c>
      <c r="EW501">
        <f t="shared" si="245"/>
        <v>0</v>
      </c>
      <c r="FB501">
        <f t="shared" si="246"/>
        <v>0</v>
      </c>
      <c r="FG501">
        <f t="shared" si="247"/>
        <v>0</v>
      </c>
      <c r="FM501">
        <f t="shared" si="248"/>
        <v>0</v>
      </c>
      <c r="FQ501" s="420">
        <f>'EXTRAS (2)'!D434</f>
        <v>0</v>
      </c>
      <c r="FR501" s="420">
        <f>'EXTRAS (2)'!E434</f>
        <v>0</v>
      </c>
      <c r="FU501" s="420">
        <f t="shared" si="213"/>
        <v>0</v>
      </c>
    </row>
    <row r="502" spans="2:177">
      <c r="B502" s="399" t="s">
        <v>976</v>
      </c>
      <c r="C502" s="400" t="s">
        <v>0</v>
      </c>
      <c r="AB502">
        <f t="shared" si="214"/>
        <v>0</v>
      </c>
      <c r="AM502">
        <f t="shared" si="215"/>
        <v>0</v>
      </c>
      <c r="BI502">
        <f>SUM(BI$7:BI$28,BP$7:BP$28,BQ$7:BQ$28,BJ$7:BJ$28,BK$28:BK427,BL$7:BL$28,BM$7:BM$28,BN$7:BN$28)*(BH502)</f>
        <v>0</v>
      </c>
      <c r="BT502">
        <f>SUM(BT$7:BT$28,CA$7:CA$28,CB$7:CB$28,BU$7:BU$28,BV$28:BV427,BW$7:BW$28,BX$7:BX$28,BY$7:BY$28)*(BS502)</f>
        <v>0</v>
      </c>
      <c r="CE502">
        <f t="shared" si="232"/>
        <v>0</v>
      </c>
      <c r="CJ502">
        <f t="shared" si="233"/>
        <v>0</v>
      </c>
      <c r="CO502">
        <f t="shared" si="234"/>
        <v>0</v>
      </c>
      <c r="CT502">
        <f t="shared" si="235"/>
        <v>0</v>
      </c>
      <c r="CY502">
        <f t="shared" si="236"/>
        <v>0</v>
      </c>
      <c r="DD502">
        <f t="shared" si="237"/>
        <v>0</v>
      </c>
      <c r="DI502">
        <f t="shared" si="238"/>
        <v>0</v>
      </c>
      <c r="DN502">
        <f t="shared" si="249"/>
        <v>0</v>
      </c>
      <c r="DS502">
        <f t="shared" si="239"/>
        <v>0</v>
      </c>
      <c r="DX502">
        <f t="shared" si="240"/>
        <v>0</v>
      </c>
      <c r="EC502">
        <f t="shared" si="241"/>
        <v>0</v>
      </c>
      <c r="EH502">
        <f t="shared" si="242"/>
        <v>0</v>
      </c>
      <c r="EM502">
        <f t="shared" si="243"/>
        <v>0</v>
      </c>
      <c r="ER502">
        <f t="shared" si="244"/>
        <v>0</v>
      </c>
      <c r="EW502">
        <f t="shared" si="245"/>
        <v>0</v>
      </c>
      <c r="FB502">
        <f t="shared" si="246"/>
        <v>0</v>
      </c>
      <c r="FG502">
        <f t="shared" si="247"/>
        <v>0</v>
      </c>
      <c r="FM502">
        <f t="shared" si="248"/>
        <v>0</v>
      </c>
      <c r="FQ502" s="420">
        <f>'EXTRAS (2)'!D435</f>
        <v>0</v>
      </c>
      <c r="FR502" s="420">
        <f>'EXTRAS (2)'!E435</f>
        <v>0</v>
      </c>
      <c r="FU502" s="420">
        <f t="shared" si="213"/>
        <v>0</v>
      </c>
    </row>
    <row r="503" spans="2:177">
      <c r="B503" s="399" t="s">
        <v>977</v>
      </c>
      <c r="C503" s="400" t="s">
        <v>0</v>
      </c>
      <c r="AB503">
        <f t="shared" si="214"/>
        <v>0</v>
      </c>
      <c r="AM503">
        <f t="shared" si="215"/>
        <v>0</v>
      </c>
      <c r="BI503">
        <f>SUM(BI$7:BI$28,BP$7:BP$28,BQ$7:BQ$28,BJ$7:BJ$28,BK$28:BK428,BL$7:BL$28,BM$7:BM$28,BN$7:BN$28)*(BH503)</f>
        <v>0</v>
      </c>
      <c r="BT503">
        <f>SUM(BT$7:BT$28,CA$7:CA$28,CB$7:CB$28,BU$7:BU$28,BV$28:BV428,BW$7:BW$28,BX$7:BX$28,BY$7:BY$28)*(BS503)</f>
        <v>0</v>
      </c>
      <c r="CE503">
        <f t="shared" si="232"/>
        <v>0</v>
      </c>
      <c r="CJ503">
        <f t="shared" si="233"/>
        <v>0</v>
      </c>
      <c r="CO503">
        <f t="shared" si="234"/>
        <v>0</v>
      </c>
      <c r="CT503">
        <f t="shared" si="235"/>
        <v>0</v>
      </c>
      <c r="CY503">
        <f t="shared" si="236"/>
        <v>0</v>
      </c>
      <c r="DD503">
        <f t="shared" si="237"/>
        <v>0</v>
      </c>
      <c r="DI503">
        <f t="shared" si="238"/>
        <v>0</v>
      </c>
      <c r="DN503">
        <f t="shared" si="249"/>
        <v>0</v>
      </c>
      <c r="DS503">
        <f t="shared" si="239"/>
        <v>0</v>
      </c>
      <c r="DX503">
        <f t="shared" si="240"/>
        <v>0</v>
      </c>
      <c r="EC503">
        <f t="shared" si="241"/>
        <v>0</v>
      </c>
      <c r="EH503">
        <f t="shared" si="242"/>
        <v>0</v>
      </c>
      <c r="EM503">
        <f t="shared" si="243"/>
        <v>0</v>
      </c>
      <c r="ER503">
        <f t="shared" si="244"/>
        <v>0</v>
      </c>
      <c r="EW503">
        <f t="shared" si="245"/>
        <v>0</v>
      </c>
      <c r="FB503">
        <f t="shared" si="246"/>
        <v>0</v>
      </c>
      <c r="FG503">
        <f t="shared" si="247"/>
        <v>0</v>
      </c>
      <c r="FM503">
        <f t="shared" si="248"/>
        <v>0</v>
      </c>
      <c r="FQ503" s="420">
        <f>'EXTRAS (2)'!D436</f>
        <v>0</v>
      </c>
      <c r="FR503" s="420">
        <f>'EXTRAS (2)'!E436</f>
        <v>0</v>
      </c>
      <c r="FU503" s="420">
        <f t="shared" si="213"/>
        <v>0</v>
      </c>
    </row>
    <row r="504" spans="2:177">
      <c r="B504" s="399" t="s">
        <v>978</v>
      </c>
      <c r="C504" s="400" t="s">
        <v>0</v>
      </c>
      <c r="AB504">
        <f t="shared" si="214"/>
        <v>0</v>
      </c>
      <c r="AM504">
        <f t="shared" si="215"/>
        <v>0</v>
      </c>
      <c r="BI504">
        <f>SUM(BI$7:BI$28,BP$7:BP$28,BQ$7:BQ$28,BJ$7:BJ$28,BK$28:BK429,BL$7:BL$28,BM$7:BM$28,BN$7:BN$28)*(BH504)</f>
        <v>0</v>
      </c>
      <c r="BT504">
        <f>SUM(BT$7:BT$28,CA$7:CA$28,CB$7:CB$28,BU$7:BU$28,BV$28:BV429,BW$7:BW$28,BX$7:BX$28,BY$7:BY$28)*(BS504)</f>
        <v>0</v>
      </c>
      <c r="CE504">
        <f t="shared" si="232"/>
        <v>0</v>
      </c>
      <c r="CJ504">
        <f t="shared" ref="CJ504:CJ518" si="250">SUM(CJ$7:CJ$28,CK$7:CK$28,CL$7:CL$28)*(CI504)</f>
        <v>0</v>
      </c>
      <c r="CO504">
        <f t="shared" ref="CO504:CO518" si="251">SUM(CO$7:CO$28,CP$7:CP$28,CQ$7:CQ$28)*(CN504)</f>
        <v>0</v>
      </c>
      <c r="CT504">
        <f t="shared" ref="CT504:CT518" si="252">SUM(CT$7:CT$28,CU$7:CU$28,CV$7:CV$28)*(CS504)</f>
        <v>0</v>
      </c>
      <c r="CY504">
        <f t="shared" ref="CY504:CY518" si="253">SUM(CY$7:CY$28,CZ$7:CZ$28,DA$7:DA$28)*(CX504)</f>
        <v>0</v>
      </c>
      <c r="DD504">
        <f t="shared" ref="DD504:DD518" si="254">SUM(DD$7:DD$28,DE$7:DE$28,DF$7:DF$28)*(DC504)</f>
        <v>0</v>
      </c>
      <c r="DI504">
        <f t="shared" ref="DI504:DI518" si="255">SUM(DI$7:DI$28,DJ$7:DJ$28,DK$7:DK$28)*(DH504)</f>
        <v>0</v>
      </c>
      <c r="DN504">
        <f t="shared" si="249"/>
        <v>0</v>
      </c>
      <c r="DS504">
        <f t="shared" si="239"/>
        <v>0</v>
      </c>
      <c r="DX504">
        <f t="shared" si="240"/>
        <v>0</v>
      </c>
      <c r="EC504">
        <f t="shared" si="241"/>
        <v>0</v>
      </c>
      <c r="EH504">
        <f t="shared" si="242"/>
        <v>0</v>
      </c>
      <c r="EM504">
        <f t="shared" si="243"/>
        <v>0</v>
      </c>
      <c r="ER504">
        <f t="shared" si="244"/>
        <v>0</v>
      </c>
      <c r="EW504">
        <f t="shared" si="245"/>
        <v>0</v>
      </c>
      <c r="FB504">
        <f t="shared" si="246"/>
        <v>0</v>
      </c>
      <c r="FG504">
        <f t="shared" si="247"/>
        <v>0</v>
      </c>
      <c r="FM504">
        <f t="shared" si="248"/>
        <v>0</v>
      </c>
      <c r="FQ504" s="420">
        <f>'EXTRAS (2)'!D437</f>
        <v>0</v>
      </c>
      <c r="FR504" s="420">
        <f>'EXTRAS (2)'!E437</f>
        <v>0</v>
      </c>
      <c r="FU504" s="420">
        <f t="shared" si="213"/>
        <v>0</v>
      </c>
    </row>
    <row r="505" spans="2:177">
      <c r="B505" s="399" t="s">
        <v>979</v>
      </c>
      <c r="C505" s="400" t="s">
        <v>0</v>
      </c>
      <c r="AB505">
        <f t="shared" si="214"/>
        <v>0</v>
      </c>
      <c r="AM505">
        <f t="shared" si="215"/>
        <v>0</v>
      </c>
      <c r="BI505">
        <f>SUM(BI$7:BI$28,BP$7:BP$28,BQ$7:BQ$28,BJ$7:BJ$28,BK$28:BK430,BL$7:BL$28,BM$7:BM$28,BN$7:BN$28)*(BH505)</f>
        <v>0</v>
      </c>
      <c r="BT505">
        <f>SUM(BT$7:BT$28,CA$7:CA$28,CB$7:CB$28,BU$7:BU$28,BV$28:BV430,BW$7:BW$28,BX$7:BX$28,BY$7:BY$28)*(BS505)</f>
        <v>0</v>
      </c>
      <c r="CE505">
        <f t="shared" si="232"/>
        <v>0</v>
      </c>
      <c r="CJ505">
        <f t="shared" si="250"/>
        <v>0</v>
      </c>
      <c r="CO505">
        <f t="shared" si="251"/>
        <v>0</v>
      </c>
      <c r="CT505">
        <f t="shared" si="252"/>
        <v>0</v>
      </c>
      <c r="CY505">
        <f t="shared" si="253"/>
        <v>0</v>
      </c>
      <c r="DD505">
        <f t="shared" si="254"/>
        <v>0</v>
      </c>
      <c r="DI505">
        <f t="shared" si="255"/>
        <v>0</v>
      </c>
      <c r="DN505">
        <f t="shared" si="249"/>
        <v>0</v>
      </c>
      <c r="DS505">
        <f t="shared" si="239"/>
        <v>0</v>
      </c>
      <c r="DX505">
        <f t="shared" si="240"/>
        <v>0</v>
      </c>
      <c r="EC505">
        <f t="shared" si="241"/>
        <v>0</v>
      </c>
      <c r="EH505">
        <f t="shared" si="242"/>
        <v>0</v>
      </c>
      <c r="EM505">
        <f t="shared" si="243"/>
        <v>0</v>
      </c>
      <c r="ER505">
        <f t="shared" si="244"/>
        <v>0</v>
      </c>
      <c r="EW505">
        <f t="shared" si="245"/>
        <v>0</v>
      </c>
      <c r="FB505">
        <f t="shared" si="246"/>
        <v>0</v>
      </c>
      <c r="FG505">
        <f t="shared" si="247"/>
        <v>0</v>
      </c>
      <c r="FM505">
        <f t="shared" si="248"/>
        <v>0</v>
      </c>
      <c r="FQ505" s="420">
        <f>'EXTRAS (2)'!D438</f>
        <v>0</v>
      </c>
      <c r="FR505" s="420">
        <f>'EXTRAS (2)'!E438</f>
        <v>0</v>
      </c>
      <c r="FU505" s="420">
        <f t="shared" si="213"/>
        <v>0</v>
      </c>
    </row>
    <row r="506" spans="2:177">
      <c r="B506" s="399" t="s">
        <v>980</v>
      </c>
      <c r="C506" s="400" t="s">
        <v>0</v>
      </c>
      <c r="AB506">
        <f t="shared" si="214"/>
        <v>0</v>
      </c>
      <c r="AM506">
        <f t="shared" si="215"/>
        <v>0</v>
      </c>
      <c r="BI506">
        <f>SUM(BI$7:BI$28,BP$7:BP$28,BQ$7:BQ$28,BJ$7:BJ$28,BK$28:BK430,BL$7:BL$28,BM$7:BM$28,BN$7:BN$28)*(BH506)</f>
        <v>0</v>
      </c>
      <c r="BT506">
        <f>SUM(BT$7:BT$28,CA$7:CA$28,CB$7:CB$28,BU$7:BU$28,BV$28:BV430,BW$7:BW$28,BX$7:BX$28,BY$7:BY$28)*(BS506)</f>
        <v>0</v>
      </c>
      <c r="CE506">
        <f t="shared" si="232"/>
        <v>0</v>
      </c>
      <c r="CJ506">
        <f t="shared" si="250"/>
        <v>0</v>
      </c>
      <c r="CO506">
        <f t="shared" si="251"/>
        <v>0</v>
      </c>
      <c r="CT506">
        <f t="shared" si="252"/>
        <v>0</v>
      </c>
      <c r="CY506">
        <f t="shared" si="253"/>
        <v>0</v>
      </c>
      <c r="DD506">
        <f t="shared" si="254"/>
        <v>0</v>
      </c>
      <c r="DI506">
        <f t="shared" si="255"/>
        <v>0</v>
      </c>
      <c r="DN506">
        <f t="shared" si="249"/>
        <v>0</v>
      </c>
      <c r="DS506">
        <f t="shared" si="239"/>
        <v>0</v>
      </c>
      <c r="DX506">
        <f t="shared" si="240"/>
        <v>0</v>
      </c>
      <c r="EC506">
        <f t="shared" si="241"/>
        <v>0</v>
      </c>
      <c r="EH506">
        <f t="shared" si="242"/>
        <v>0</v>
      </c>
      <c r="EM506">
        <f t="shared" si="243"/>
        <v>0</v>
      </c>
      <c r="ER506">
        <f t="shared" si="244"/>
        <v>0</v>
      </c>
      <c r="EW506">
        <f t="shared" si="245"/>
        <v>0</v>
      </c>
      <c r="FB506">
        <f t="shared" si="246"/>
        <v>0</v>
      </c>
      <c r="FG506">
        <f t="shared" si="247"/>
        <v>0</v>
      </c>
      <c r="FM506">
        <f t="shared" si="248"/>
        <v>0</v>
      </c>
      <c r="FQ506" s="420">
        <f>'EXTRAS (2)'!D439</f>
        <v>0</v>
      </c>
      <c r="FR506" s="420">
        <f>'EXTRAS (2)'!E439</f>
        <v>0</v>
      </c>
      <c r="FU506" s="420">
        <f t="shared" si="213"/>
        <v>0</v>
      </c>
    </row>
    <row r="507" spans="2:177">
      <c r="B507" s="399" t="s">
        <v>981</v>
      </c>
      <c r="C507" s="400" t="s">
        <v>0</v>
      </c>
      <c r="AB507">
        <f t="shared" si="214"/>
        <v>0</v>
      </c>
      <c r="AM507">
        <f t="shared" si="215"/>
        <v>0</v>
      </c>
      <c r="BI507">
        <f>SUM(BI$7:BI$28,BP$7:BP$28,BQ$7:BQ$28,BJ$7:BJ$28,BK$28:BK430,BL$7:BL$28,BM$7:BM$28,BN$7:BN$28)*(BH507)</f>
        <v>0</v>
      </c>
      <c r="BT507">
        <f>SUM(BT$7:BT$28,CA$7:CA$28,CB$7:CB$28,BU$7:BU$28,BV$28:BV430,BW$7:BW$28,BX$7:BX$28,BY$7:BY$28)*(BS507)</f>
        <v>0</v>
      </c>
      <c r="CE507">
        <f t="shared" si="232"/>
        <v>0</v>
      </c>
      <c r="CJ507">
        <f t="shared" si="250"/>
        <v>0</v>
      </c>
      <c r="CO507">
        <f t="shared" si="251"/>
        <v>0</v>
      </c>
      <c r="CT507">
        <f t="shared" si="252"/>
        <v>0</v>
      </c>
      <c r="CY507">
        <f t="shared" si="253"/>
        <v>0</v>
      </c>
      <c r="DD507">
        <f t="shared" si="254"/>
        <v>0</v>
      </c>
      <c r="DI507">
        <f t="shared" si="255"/>
        <v>0</v>
      </c>
      <c r="DN507">
        <f t="shared" si="249"/>
        <v>0</v>
      </c>
      <c r="DS507">
        <f t="shared" si="239"/>
        <v>0</v>
      </c>
      <c r="DX507">
        <f t="shared" si="240"/>
        <v>0</v>
      </c>
      <c r="EC507">
        <f t="shared" si="241"/>
        <v>0</v>
      </c>
      <c r="EH507">
        <f t="shared" si="242"/>
        <v>0</v>
      </c>
      <c r="EM507">
        <f t="shared" si="243"/>
        <v>0</v>
      </c>
      <c r="ER507">
        <f t="shared" si="244"/>
        <v>0</v>
      </c>
      <c r="EW507">
        <f t="shared" si="245"/>
        <v>0</v>
      </c>
      <c r="FB507">
        <f t="shared" si="246"/>
        <v>0</v>
      </c>
      <c r="FG507">
        <f t="shared" si="247"/>
        <v>0</v>
      </c>
      <c r="FM507">
        <f t="shared" si="248"/>
        <v>0</v>
      </c>
      <c r="FQ507" s="420">
        <f>'EXTRAS (2)'!D440</f>
        <v>0</v>
      </c>
      <c r="FR507" s="420">
        <f>'EXTRAS (2)'!E440</f>
        <v>0</v>
      </c>
      <c r="FU507" s="420">
        <f t="shared" si="213"/>
        <v>0</v>
      </c>
    </row>
    <row r="508" spans="2:177">
      <c r="B508" s="399" t="s">
        <v>982</v>
      </c>
      <c r="C508" s="400" t="s">
        <v>0</v>
      </c>
      <c r="AB508">
        <f t="shared" si="214"/>
        <v>0</v>
      </c>
      <c r="AM508">
        <f t="shared" si="215"/>
        <v>0</v>
      </c>
      <c r="BI508">
        <f>SUM(BI$7:BI$28,BP$7:BP$28,BQ$7:BQ$28,BJ$7:BJ$28,BK$28:BK431,BL$7:BL$28,BM$7:BM$28,BN$7:BN$28)*(BH508)</f>
        <v>0</v>
      </c>
      <c r="BT508">
        <f>SUM(BT$7:BT$28,CA$7:CA$28,CB$7:CB$28,BU$7:BU$28,BV$28:BV431,BW$7:BW$28,BX$7:BX$28,BY$7:BY$28)*(BS508)</f>
        <v>0</v>
      </c>
      <c r="CE508">
        <f t="shared" si="232"/>
        <v>0</v>
      </c>
      <c r="CJ508">
        <f t="shared" si="250"/>
        <v>0</v>
      </c>
      <c r="CO508">
        <f t="shared" si="251"/>
        <v>0</v>
      </c>
      <c r="CT508">
        <f t="shared" si="252"/>
        <v>0</v>
      </c>
      <c r="CY508">
        <f t="shared" si="253"/>
        <v>0</v>
      </c>
      <c r="DD508">
        <f t="shared" si="254"/>
        <v>0</v>
      </c>
      <c r="DI508">
        <f t="shared" si="255"/>
        <v>0</v>
      </c>
      <c r="DN508">
        <f t="shared" si="249"/>
        <v>0</v>
      </c>
      <c r="DS508">
        <f t="shared" si="239"/>
        <v>0</v>
      </c>
      <c r="DX508">
        <f t="shared" si="240"/>
        <v>0</v>
      </c>
      <c r="EC508">
        <f t="shared" si="241"/>
        <v>0</v>
      </c>
      <c r="EH508">
        <f t="shared" si="242"/>
        <v>0</v>
      </c>
      <c r="EM508">
        <f t="shared" si="243"/>
        <v>0</v>
      </c>
      <c r="ER508">
        <f t="shared" si="244"/>
        <v>0</v>
      </c>
      <c r="EW508">
        <f t="shared" si="245"/>
        <v>0</v>
      </c>
      <c r="FB508">
        <f t="shared" si="246"/>
        <v>0</v>
      </c>
      <c r="FG508">
        <f t="shared" si="247"/>
        <v>0</v>
      </c>
      <c r="FM508">
        <f t="shared" si="248"/>
        <v>0</v>
      </c>
      <c r="FQ508" s="420">
        <f>'EXTRAS (2)'!D441</f>
        <v>0</v>
      </c>
      <c r="FR508" s="420">
        <f>'EXTRAS (2)'!E441</f>
        <v>0</v>
      </c>
      <c r="FU508" s="420">
        <f t="shared" si="213"/>
        <v>0</v>
      </c>
    </row>
    <row r="509" spans="2:177">
      <c r="B509" s="399" t="s">
        <v>983</v>
      </c>
      <c r="C509" s="400" t="s">
        <v>0</v>
      </c>
      <c r="AB509">
        <f t="shared" si="214"/>
        <v>0</v>
      </c>
      <c r="AM509">
        <f t="shared" si="215"/>
        <v>0</v>
      </c>
      <c r="BI509">
        <f>SUM(BI$7:BI$28,BP$7:BP$28,BQ$7:BQ$28,BJ$7:BJ$28,BK$28:BK432,BL$7:BL$28,BM$7:BM$28,BN$7:BN$28)*(BH509)</f>
        <v>0</v>
      </c>
      <c r="BT509">
        <f>SUM(BT$7:BT$28,CA$7:CA$28,CB$7:CB$28,BU$7:BU$28,BV$28:BV432,BW$7:BW$28,BX$7:BX$28,BY$7:BY$28)*(BS509)</f>
        <v>0</v>
      </c>
      <c r="CE509">
        <f t="shared" si="232"/>
        <v>0</v>
      </c>
      <c r="CJ509">
        <f t="shared" si="250"/>
        <v>0</v>
      </c>
      <c r="CO509">
        <f t="shared" si="251"/>
        <v>0</v>
      </c>
      <c r="CT509">
        <f t="shared" si="252"/>
        <v>0</v>
      </c>
      <c r="CY509">
        <f t="shared" si="253"/>
        <v>0</v>
      </c>
      <c r="DD509">
        <f t="shared" si="254"/>
        <v>0</v>
      </c>
      <c r="DI509">
        <f t="shared" si="255"/>
        <v>0</v>
      </c>
      <c r="DN509">
        <f t="shared" si="249"/>
        <v>0</v>
      </c>
      <c r="DS509">
        <f t="shared" si="239"/>
        <v>0</v>
      </c>
      <c r="DX509">
        <f t="shared" si="240"/>
        <v>0</v>
      </c>
      <c r="EC509">
        <f t="shared" si="241"/>
        <v>0</v>
      </c>
      <c r="EH509">
        <f t="shared" si="242"/>
        <v>0</v>
      </c>
      <c r="EM509">
        <f t="shared" si="243"/>
        <v>0</v>
      </c>
      <c r="ER509">
        <f t="shared" si="244"/>
        <v>0</v>
      </c>
      <c r="EW509">
        <f t="shared" si="245"/>
        <v>0</v>
      </c>
      <c r="FB509">
        <f t="shared" si="246"/>
        <v>0</v>
      </c>
      <c r="FG509">
        <f t="shared" si="247"/>
        <v>0</v>
      </c>
      <c r="FM509">
        <f t="shared" si="248"/>
        <v>0</v>
      </c>
      <c r="FQ509" s="420">
        <f>'EXTRAS (2)'!D442</f>
        <v>0</v>
      </c>
      <c r="FR509" s="420">
        <f>'EXTRAS (2)'!E442</f>
        <v>0</v>
      </c>
      <c r="FU509" s="420">
        <f t="shared" si="213"/>
        <v>0</v>
      </c>
    </row>
    <row r="510" spans="2:177">
      <c r="B510" s="399" t="s">
        <v>984</v>
      </c>
      <c r="C510" s="400" t="s">
        <v>0</v>
      </c>
      <c r="AB510">
        <f t="shared" si="214"/>
        <v>0</v>
      </c>
      <c r="AM510">
        <f t="shared" si="215"/>
        <v>0</v>
      </c>
      <c r="BI510">
        <f>SUM(BI$7:BI$28,BP$7:BP$28,BQ$7:BQ$28,BJ$7:BJ$28,BK$28:BK433,BL$7:BL$28,BM$7:BM$28,BN$7:BN$28)*(BH510)</f>
        <v>0</v>
      </c>
      <c r="BT510">
        <f>SUM(BT$7:BT$28,CA$7:CA$28,CB$7:CB$28,BU$7:BU$28,BV$28:BV433,BW$7:BW$28,BX$7:BX$28,BY$7:BY$28)*(BS510)</f>
        <v>0</v>
      </c>
      <c r="CE510">
        <f t="shared" si="232"/>
        <v>0</v>
      </c>
      <c r="CJ510">
        <f t="shared" si="250"/>
        <v>0</v>
      </c>
      <c r="CO510">
        <f t="shared" si="251"/>
        <v>0</v>
      </c>
      <c r="CT510">
        <f t="shared" si="252"/>
        <v>0</v>
      </c>
      <c r="CY510">
        <f t="shared" si="253"/>
        <v>0</v>
      </c>
      <c r="DD510">
        <f t="shared" si="254"/>
        <v>0</v>
      </c>
      <c r="DI510">
        <f t="shared" si="255"/>
        <v>0</v>
      </c>
      <c r="DN510">
        <f t="shared" si="249"/>
        <v>0</v>
      </c>
      <c r="DS510">
        <f t="shared" si="239"/>
        <v>0</v>
      </c>
      <c r="DX510">
        <f t="shared" si="240"/>
        <v>0</v>
      </c>
      <c r="EC510">
        <f t="shared" si="241"/>
        <v>0</v>
      </c>
      <c r="EH510">
        <f t="shared" si="242"/>
        <v>0</v>
      </c>
      <c r="EM510">
        <f t="shared" si="243"/>
        <v>0</v>
      </c>
      <c r="ER510">
        <f t="shared" si="244"/>
        <v>0</v>
      </c>
      <c r="EW510">
        <f t="shared" si="245"/>
        <v>0</v>
      </c>
      <c r="FB510">
        <f t="shared" si="246"/>
        <v>0</v>
      </c>
      <c r="FG510">
        <f t="shared" si="247"/>
        <v>0</v>
      </c>
      <c r="FM510">
        <f t="shared" si="248"/>
        <v>0</v>
      </c>
      <c r="FQ510" s="420">
        <f>'EXTRAS (2)'!D443</f>
        <v>0</v>
      </c>
      <c r="FR510" s="420">
        <f>'EXTRAS (2)'!E443</f>
        <v>0</v>
      </c>
      <c r="FU510" s="420">
        <f t="shared" si="213"/>
        <v>0</v>
      </c>
    </row>
    <row r="511" spans="2:177">
      <c r="B511" s="163" t="s">
        <v>985</v>
      </c>
      <c r="C511" s="400" t="s">
        <v>0</v>
      </c>
      <c r="AB511">
        <f t="shared" si="214"/>
        <v>0</v>
      </c>
      <c r="AM511">
        <f t="shared" si="215"/>
        <v>0</v>
      </c>
      <c r="BI511">
        <f>SUM(BI$7:BI$28,BP$7:BP$28,BQ$7:BQ$28,BJ$7:BJ$28,BK$28:BK434,BL$7:BL$28,BM$7:BM$28,BN$7:BN$28)*(BH511)</f>
        <v>0</v>
      </c>
      <c r="BT511">
        <f>SUM(BT$7:BT$28,CA$7:CA$28,CB$7:CB$28,BU$7:BU$28,BV$28:BV434,BW$7:BW$28,BX$7:BX$28,BY$7:BY$28)*(BS511)</f>
        <v>0</v>
      </c>
      <c r="CE511">
        <f t="shared" si="232"/>
        <v>0</v>
      </c>
      <c r="CJ511">
        <f t="shared" si="250"/>
        <v>0</v>
      </c>
      <c r="CO511">
        <f t="shared" si="251"/>
        <v>0</v>
      </c>
      <c r="CT511">
        <f t="shared" si="252"/>
        <v>0</v>
      </c>
      <c r="CY511">
        <f t="shared" si="253"/>
        <v>0</v>
      </c>
      <c r="DD511">
        <f t="shared" si="254"/>
        <v>0</v>
      </c>
      <c r="DI511">
        <f t="shared" si="255"/>
        <v>0</v>
      </c>
      <c r="DN511">
        <f t="shared" si="249"/>
        <v>0</v>
      </c>
      <c r="DS511">
        <f t="shared" si="239"/>
        <v>0</v>
      </c>
      <c r="DX511">
        <f t="shared" si="240"/>
        <v>0</v>
      </c>
      <c r="EC511">
        <f t="shared" si="241"/>
        <v>0</v>
      </c>
      <c r="EH511">
        <f t="shared" si="242"/>
        <v>0</v>
      </c>
      <c r="EM511">
        <f t="shared" si="243"/>
        <v>0</v>
      </c>
      <c r="ER511">
        <f t="shared" si="244"/>
        <v>0</v>
      </c>
      <c r="EW511">
        <f t="shared" si="245"/>
        <v>0</v>
      </c>
      <c r="FB511">
        <f t="shared" si="246"/>
        <v>0</v>
      </c>
      <c r="FG511">
        <f t="shared" si="247"/>
        <v>0</v>
      </c>
      <c r="FM511">
        <f t="shared" si="248"/>
        <v>0</v>
      </c>
      <c r="FQ511" s="420">
        <f>'EXTRAS (2)'!D444</f>
        <v>0</v>
      </c>
      <c r="FR511" s="420">
        <f>'EXTRAS (2)'!E444</f>
        <v>0</v>
      </c>
      <c r="FU511" s="420">
        <f t="shared" si="213"/>
        <v>0</v>
      </c>
    </row>
    <row r="512" spans="2:177">
      <c r="B512" s="163" t="s">
        <v>426</v>
      </c>
      <c r="C512" s="400" t="s">
        <v>0</v>
      </c>
      <c r="AB512">
        <f t="shared" si="214"/>
        <v>0</v>
      </c>
      <c r="AM512">
        <f t="shared" si="215"/>
        <v>0</v>
      </c>
      <c r="BI512">
        <f>SUM(BI$7:BI$28,BP$7:BP$28,BQ$7:BQ$28,BJ$7:BJ$28,BK$28:BK435,BL$7:BL$28,BM$7:BM$28,BN$7:BN$28)*(BH512)</f>
        <v>0</v>
      </c>
      <c r="BT512">
        <f>SUM(BT$7:BT$28,CA$7:CA$28,CB$7:CB$28,BU$7:BU$28,BV$28:BV435,BW$7:BW$28,BX$7:BX$28,BY$7:BY$28)*(BS512)</f>
        <v>0</v>
      </c>
      <c r="CE512">
        <f t="shared" si="232"/>
        <v>0</v>
      </c>
      <c r="CJ512">
        <f t="shared" si="250"/>
        <v>0</v>
      </c>
      <c r="CO512">
        <f t="shared" si="251"/>
        <v>0</v>
      </c>
      <c r="CT512">
        <f t="shared" si="252"/>
        <v>0</v>
      </c>
      <c r="CY512">
        <f t="shared" si="253"/>
        <v>0</v>
      </c>
      <c r="DD512">
        <f t="shared" si="254"/>
        <v>0</v>
      </c>
      <c r="DI512">
        <f t="shared" si="255"/>
        <v>0</v>
      </c>
      <c r="DN512">
        <f t="shared" si="249"/>
        <v>0</v>
      </c>
      <c r="DS512">
        <f t="shared" si="239"/>
        <v>0</v>
      </c>
      <c r="DX512">
        <f t="shared" si="240"/>
        <v>0</v>
      </c>
      <c r="EC512">
        <f t="shared" si="241"/>
        <v>0</v>
      </c>
      <c r="EH512">
        <f t="shared" si="242"/>
        <v>0</v>
      </c>
      <c r="EM512">
        <f t="shared" si="243"/>
        <v>0</v>
      </c>
      <c r="ER512">
        <f t="shared" si="244"/>
        <v>0</v>
      </c>
      <c r="EW512">
        <f t="shared" si="245"/>
        <v>0</v>
      </c>
      <c r="FB512">
        <f t="shared" si="246"/>
        <v>0</v>
      </c>
      <c r="FG512">
        <f t="shared" si="247"/>
        <v>0</v>
      </c>
      <c r="FM512">
        <f t="shared" si="248"/>
        <v>0</v>
      </c>
      <c r="FQ512" s="420">
        <f>'EXTRAS (2)'!D445</f>
        <v>0</v>
      </c>
      <c r="FR512" s="420">
        <f>'EXTRAS (2)'!E445</f>
        <v>0</v>
      </c>
      <c r="FU512" s="420">
        <f t="shared" si="213"/>
        <v>0</v>
      </c>
    </row>
    <row r="513" spans="2:177">
      <c r="B513" s="163" t="s">
        <v>471</v>
      </c>
      <c r="C513" s="400" t="s">
        <v>0</v>
      </c>
      <c r="AB513">
        <f t="shared" si="214"/>
        <v>0</v>
      </c>
      <c r="AM513">
        <f t="shared" si="215"/>
        <v>0</v>
      </c>
      <c r="BI513">
        <f>SUM(BI$7:BI$28,BP$7:BP$28,BQ$7:BQ$28,BJ$7:BJ$28,BK$28:BK436,BL$7:BL$28,BM$7:BM$28,BN$7:BN$28)*(BH513)</f>
        <v>0</v>
      </c>
      <c r="BT513">
        <f>SUM(BT$7:BT$28,CA$7:CA$28,CB$7:CB$28,BU$7:BU$28,BV$28:BV436,BW$7:BW$28,BX$7:BX$28,BY$7:BY$28)*(BS513)</f>
        <v>0</v>
      </c>
      <c r="CE513">
        <f t="shared" si="232"/>
        <v>0</v>
      </c>
      <c r="CJ513">
        <f t="shared" si="250"/>
        <v>0</v>
      </c>
      <c r="CO513">
        <f t="shared" si="251"/>
        <v>0</v>
      </c>
      <c r="CT513">
        <f t="shared" si="252"/>
        <v>0</v>
      </c>
      <c r="CY513">
        <f t="shared" si="253"/>
        <v>0</v>
      </c>
      <c r="DD513">
        <f t="shared" si="254"/>
        <v>0</v>
      </c>
      <c r="DI513">
        <f t="shared" si="255"/>
        <v>0</v>
      </c>
      <c r="DN513">
        <f t="shared" si="249"/>
        <v>0</v>
      </c>
      <c r="DS513">
        <f t="shared" si="239"/>
        <v>0</v>
      </c>
      <c r="DX513">
        <f t="shared" si="240"/>
        <v>0</v>
      </c>
      <c r="EC513">
        <f t="shared" si="241"/>
        <v>0</v>
      </c>
      <c r="EH513">
        <f t="shared" si="242"/>
        <v>0</v>
      </c>
      <c r="EM513">
        <f t="shared" si="243"/>
        <v>0</v>
      </c>
      <c r="ER513">
        <f t="shared" si="244"/>
        <v>0</v>
      </c>
      <c r="EW513">
        <f t="shared" si="245"/>
        <v>0</v>
      </c>
      <c r="FB513">
        <f t="shared" si="246"/>
        <v>0</v>
      </c>
      <c r="FG513">
        <f t="shared" si="247"/>
        <v>0</v>
      </c>
      <c r="FM513">
        <f t="shared" si="248"/>
        <v>0</v>
      </c>
      <c r="FQ513" s="420">
        <f>'EXTRAS (2)'!D446</f>
        <v>0</v>
      </c>
      <c r="FR513" s="420">
        <f>'EXTRAS (2)'!E446</f>
        <v>0</v>
      </c>
      <c r="FU513" s="420">
        <f t="shared" si="213"/>
        <v>0</v>
      </c>
    </row>
    <row r="514" spans="2:177">
      <c r="B514" s="399" t="s">
        <v>986</v>
      </c>
      <c r="C514" s="400" t="s">
        <v>0</v>
      </c>
      <c r="AB514">
        <f t="shared" si="214"/>
        <v>0</v>
      </c>
      <c r="AM514">
        <f t="shared" si="215"/>
        <v>0</v>
      </c>
      <c r="BI514">
        <f>SUM(BI$7:BI$28,BP$7:BP$28,BQ$7:BQ$28,BJ$7:BJ$28,BK$28:BK437,BL$7:BL$28,BM$7:BM$28,BN$7:BN$28)*(BH514)</f>
        <v>0</v>
      </c>
      <c r="BT514">
        <f>SUM(BT$7:BT$28,CA$7:CA$28,CB$7:CB$28,BU$7:BU$28,BV$28:BV437,BW$7:BW$28,BX$7:BX$28,BY$7:BY$28)*(BS514)</f>
        <v>0</v>
      </c>
      <c r="CE514">
        <f t="shared" si="232"/>
        <v>0</v>
      </c>
      <c r="CJ514">
        <f t="shared" si="250"/>
        <v>0</v>
      </c>
      <c r="CO514">
        <f t="shared" si="251"/>
        <v>0</v>
      </c>
      <c r="CT514">
        <f t="shared" si="252"/>
        <v>0</v>
      </c>
      <c r="CY514">
        <f t="shared" si="253"/>
        <v>0</v>
      </c>
      <c r="DD514">
        <f t="shared" si="254"/>
        <v>0</v>
      </c>
      <c r="DI514">
        <f t="shared" si="255"/>
        <v>0</v>
      </c>
      <c r="DN514">
        <f t="shared" si="249"/>
        <v>0</v>
      </c>
      <c r="DS514">
        <f t="shared" si="239"/>
        <v>0</v>
      </c>
      <c r="DX514">
        <f t="shared" si="240"/>
        <v>0</v>
      </c>
      <c r="EC514">
        <f t="shared" si="241"/>
        <v>0</v>
      </c>
      <c r="EH514">
        <f t="shared" si="242"/>
        <v>0</v>
      </c>
      <c r="EM514">
        <f t="shared" si="243"/>
        <v>0</v>
      </c>
      <c r="ER514">
        <f t="shared" si="244"/>
        <v>0</v>
      </c>
      <c r="EW514">
        <f t="shared" si="245"/>
        <v>0</v>
      </c>
      <c r="FB514">
        <f t="shared" si="246"/>
        <v>0</v>
      </c>
      <c r="FG514">
        <f t="shared" si="247"/>
        <v>0</v>
      </c>
      <c r="FM514">
        <f t="shared" si="248"/>
        <v>0</v>
      </c>
      <c r="FQ514" s="420">
        <f>'EXTRAS (2)'!D447</f>
        <v>0</v>
      </c>
      <c r="FR514" s="420">
        <f>'EXTRAS (2)'!E447</f>
        <v>0</v>
      </c>
      <c r="FU514" s="420">
        <f t="shared" si="213"/>
        <v>0</v>
      </c>
    </row>
    <row r="515" spans="2:177">
      <c r="B515" s="399" t="s">
        <v>987</v>
      </c>
      <c r="C515" s="400" t="s">
        <v>0</v>
      </c>
      <c r="AB515">
        <f t="shared" si="214"/>
        <v>0</v>
      </c>
      <c r="AM515">
        <f t="shared" si="215"/>
        <v>0</v>
      </c>
      <c r="BI515">
        <f>SUM(BI$7:BI$28,BP$7:BP$28,BQ$7:BQ$28,BJ$7:BJ$28,BK$28:BK438,BL$7:BL$28,BM$7:BM$28,BN$7:BN$28)*(BH515)</f>
        <v>0</v>
      </c>
      <c r="BT515">
        <f>SUM(BT$7:BT$28,CA$7:CA$28,CB$7:CB$28,BU$7:BU$28,BV$28:BV438,BW$7:BW$28,BX$7:BX$28,BY$7:BY$28)*(BS515)</f>
        <v>0</v>
      </c>
      <c r="CE515">
        <f t="shared" si="232"/>
        <v>0</v>
      </c>
      <c r="CJ515">
        <f t="shared" si="250"/>
        <v>0</v>
      </c>
      <c r="CO515">
        <f t="shared" si="251"/>
        <v>0</v>
      </c>
      <c r="CT515">
        <f t="shared" si="252"/>
        <v>0</v>
      </c>
      <c r="CY515">
        <f t="shared" si="253"/>
        <v>0</v>
      </c>
      <c r="DD515">
        <f t="shared" si="254"/>
        <v>0</v>
      </c>
      <c r="DI515">
        <f t="shared" si="255"/>
        <v>0</v>
      </c>
      <c r="DN515">
        <f t="shared" si="249"/>
        <v>0</v>
      </c>
      <c r="DS515">
        <f t="shared" si="239"/>
        <v>0</v>
      </c>
      <c r="DX515">
        <f t="shared" si="240"/>
        <v>0</v>
      </c>
      <c r="EC515">
        <f t="shared" si="241"/>
        <v>0</v>
      </c>
      <c r="EH515">
        <f t="shared" si="242"/>
        <v>0</v>
      </c>
      <c r="EM515">
        <f t="shared" si="243"/>
        <v>0</v>
      </c>
      <c r="ER515">
        <f t="shared" si="244"/>
        <v>0</v>
      </c>
      <c r="EW515">
        <f t="shared" si="245"/>
        <v>0</v>
      </c>
      <c r="FB515">
        <f t="shared" si="246"/>
        <v>0</v>
      </c>
      <c r="FG515">
        <f t="shared" si="247"/>
        <v>0</v>
      </c>
      <c r="FM515">
        <f t="shared" si="248"/>
        <v>0</v>
      </c>
      <c r="FQ515" s="420">
        <f>'EXTRAS (2)'!D448</f>
        <v>0</v>
      </c>
      <c r="FR515" s="420">
        <f>'EXTRAS (2)'!E448</f>
        <v>0</v>
      </c>
      <c r="FU515" s="420">
        <f t="shared" si="213"/>
        <v>0</v>
      </c>
    </row>
    <row r="516" spans="2:177">
      <c r="B516" s="399" t="s">
        <v>988</v>
      </c>
      <c r="C516" s="400" t="s">
        <v>0</v>
      </c>
      <c r="AB516">
        <f t="shared" si="214"/>
        <v>0</v>
      </c>
      <c r="AM516">
        <f t="shared" si="215"/>
        <v>0</v>
      </c>
      <c r="BI516">
        <f>SUM(BI$7:BI$28,BP$7:BP$28,BQ$7:BQ$28,BJ$7:BJ$28,BK$28:BK439,BL$7:BL$28,BM$7:BM$28,BN$7:BN$28)*(BH516)</f>
        <v>0</v>
      </c>
      <c r="BT516">
        <f>SUM(BT$7:BT$28,CA$7:CA$28,CB$7:CB$28,BU$7:BU$28,BV$28:BV439,BW$7:BW$28,BX$7:BX$28,BY$7:BY$28)*(BS516)</f>
        <v>0</v>
      </c>
      <c r="CE516">
        <f t="shared" si="232"/>
        <v>0</v>
      </c>
      <c r="CJ516">
        <f t="shared" si="250"/>
        <v>0</v>
      </c>
      <c r="CO516">
        <f t="shared" si="251"/>
        <v>0</v>
      </c>
      <c r="CT516">
        <f t="shared" si="252"/>
        <v>0</v>
      </c>
      <c r="CY516">
        <f t="shared" si="253"/>
        <v>0</v>
      </c>
      <c r="DD516">
        <f t="shared" si="254"/>
        <v>0</v>
      </c>
      <c r="DI516">
        <f t="shared" si="255"/>
        <v>0</v>
      </c>
      <c r="DN516">
        <f t="shared" si="249"/>
        <v>0</v>
      </c>
      <c r="DS516">
        <f t="shared" si="239"/>
        <v>0</v>
      </c>
      <c r="DX516">
        <f t="shared" si="240"/>
        <v>0</v>
      </c>
      <c r="EC516">
        <f t="shared" si="241"/>
        <v>0</v>
      </c>
      <c r="EH516">
        <f t="shared" si="242"/>
        <v>0</v>
      </c>
      <c r="EM516">
        <f t="shared" si="243"/>
        <v>0</v>
      </c>
      <c r="ER516">
        <f t="shared" si="244"/>
        <v>0</v>
      </c>
      <c r="EW516">
        <f t="shared" si="245"/>
        <v>0</v>
      </c>
      <c r="FB516">
        <f t="shared" si="246"/>
        <v>0</v>
      </c>
      <c r="FG516">
        <f t="shared" si="247"/>
        <v>0</v>
      </c>
      <c r="FM516">
        <f t="shared" si="248"/>
        <v>0</v>
      </c>
      <c r="FQ516" s="420">
        <f>'EXTRAS (2)'!D449</f>
        <v>0</v>
      </c>
      <c r="FR516" s="420">
        <f>'EXTRAS (2)'!E449</f>
        <v>0</v>
      </c>
      <c r="FU516" s="420">
        <f t="shared" si="213"/>
        <v>0</v>
      </c>
    </row>
    <row r="517" spans="2:177">
      <c r="B517" s="399" t="s">
        <v>989</v>
      </c>
      <c r="C517" s="400" t="s">
        <v>0</v>
      </c>
      <c r="AB517">
        <f t="shared" si="214"/>
        <v>0</v>
      </c>
      <c r="AM517">
        <f t="shared" si="215"/>
        <v>0</v>
      </c>
      <c r="BI517">
        <f>SUM(BI$7:BI$28,BP$7:BP$28,BQ$7:BQ$28,BJ$7:BJ$28,BK$28:BK440,BL$7:BL$28,BM$7:BM$28,BN$7:BN$28)*(BH517)</f>
        <v>0</v>
      </c>
      <c r="BT517">
        <f>SUM(BT$7:BT$28,CA$7:CA$28,CB$7:CB$28,BU$7:BU$28,BV$28:BV440,BW$7:BW$28,BX$7:BX$28,BY$7:BY$28)*(BS517)</f>
        <v>0</v>
      </c>
      <c r="CE517">
        <f t="shared" si="232"/>
        <v>0</v>
      </c>
      <c r="CJ517">
        <f t="shared" si="250"/>
        <v>0</v>
      </c>
      <c r="CO517">
        <f t="shared" si="251"/>
        <v>0</v>
      </c>
      <c r="CT517">
        <f t="shared" si="252"/>
        <v>0</v>
      </c>
      <c r="CY517">
        <f t="shared" si="253"/>
        <v>0</v>
      </c>
      <c r="DD517">
        <f t="shared" si="254"/>
        <v>0</v>
      </c>
      <c r="DI517">
        <f t="shared" si="255"/>
        <v>0</v>
      </c>
      <c r="DN517">
        <f t="shared" si="249"/>
        <v>0</v>
      </c>
      <c r="DS517">
        <f t="shared" si="239"/>
        <v>0</v>
      </c>
      <c r="DX517">
        <f t="shared" si="240"/>
        <v>0</v>
      </c>
      <c r="EC517">
        <f t="shared" si="241"/>
        <v>0</v>
      </c>
      <c r="EH517">
        <f t="shared" si="242"/>
        <v>0</v>
      </c>
      <c r="EM517">
        <f t="shared" si="243"/>
        <v>0</v>
      </c>
      <c r="ER517">
        <f t="shared" si="244"/>
        <v>0</v>
      </c>
      <c r="EW517">
        <f t="shared" si="245"/>
        <v>0</v>
      </c>
      <c r="FB517">
        <f t="shared" si="246"/>
        <v>0</v>
      </c>
      <c r="FG517">
        <f t="shared" si="247"/>
        <v>0</v>
      </c>
      <c r="FM517">
        <f t="shared" si="248"/>
        <v>0</v>
      </c>
      <c r="FQ517" s="420">
        <f>'EXTRAS (2)'!D450</f>
        <v>0</v>
      </c>
      <c r="FR517" s="420">
        <f>'EXTRAS (2)'!E450</f>
        <v>0</v>
      </c>
      <c r="FU517" s="420">
        <f t="shared" si="213"/>
        <v>0</v>
      </c>
    </row>
    <row r="518" spans="2:177">
      <c r="B518" s="399" t="s">
        <v>990</v>
      </c>
      <c r="C518" s="400" t="s">
        <v>0</v>
      </c>
      <c r="AB518">
        <f t="shared" si="214"/>
        <v>0</v>
      </c>
      <c r="AM518">
        <f t="shared" si="215"/>
        <v>0</v>
      </c>
      <c r="BI518">
        <f>SUM(BI$7:BI$28,BP$7:BP$28,BQ$7:BQ$28,BJ$7:BJ$28,BK$28:BK441,BL$7:BL$28,BM$7:BM$28,BN$7:BN$28)*(BH518)</f>
        <v>0</v>
      </c>
      <c r="BT518">
        <f>SUM(BT$7:BT$28,CA$7:CA$28,CB$7:CB$28,BU$7:BU$28,BV$28:BV441,BW$7:BW$28,BX$7:BX$28,BY$7:BY$28)*(BS518)</f>
        <v>0</v>
      </c>
      <c r="CE518">
        <f t="shared" si="232"/>
        <v>0</v>
      </c>
      <c r="CJ518">
        <f t="shared" si="250"/>
        <v>0</v>
      </c>
      <c r="CO518">
        <f t="shared" si="251"/>
        <v>0</v>
      </c>
      <c r="CT518">
        <f t="shared" si="252"/>
        <v>0</v>
      </c>
      <c r="CY518">
        <f t="shared" si="253"/>
        <v>0</v>
      </c>
      <c r="DD518">
        <f t="shared" si="254"/>
        <v>0</v>
      </c>
      <c r="DI518">
        <f t="shared" si="255"/>
        <v>0</v>
      </c>
      <c r="DN518">
        <f t="shared" si="249"/>
        <v>0</v>
      </c>
      <c r="DS518">
        <f t="shared" si="239"/>
        <v>0</v>
      </c>
      <c r="DX518">
        <f t="shared" si="240"/>
        <v>0</v>
      </c>
      <c r="EC518">
        <f t="shared" si="241"/>
        <v>0</v>
      </c>
      <c r="EH518">
        <f t="shared" si="242"/>
        <v>0</v>
      </c>
      <c r="EM518">
        <f t="shared" si="243"/>
        <v>0</v>
      </c>
      <c r="ER518">
        <f t="shared" si="244"/>
        <v>0</v>
      </c>
      <c r="EW518">
        <f t="shared" si="245"/>
        <v>0</v>
      </c>
      <c r="FB518">
        <f t="shared" si="246"/>
        <v>0</v>
      </c>
      <c r="FG518">
        <f t="shared" si="247"/>
        <v>0</v>
      </c>
      <c r="FM518">
        <f t="shared" si="248"/>
        <v>0</v>
      </c>
      <c r="FQ518" s="420">
        <f>'EXTRAS (2)'!D451</f>
        <v>0</v>
      </c>
      <c r="FR518" s="420">
        <f>'EXTRAS (2)'!E451</f>
        <v>0</v>
      </c>
      <c r="FU518" s="420">
        <f t="shared" si="213"/>
        <v>0</v>
      </c>
    </row>
    <row r="519" spans="2:177" ht="15.75">
      <c r="B519" s="1" t="s">
        <v>315</v>
      </c>
      <c r="C519" s="400" t="s">
        <v>0</v>
      </c>
      <c r="F519">
        <f>Transformadores!W91</f>
        <v>0</v>
      </c>
      <c r="FQ519" s="420">
        <f>'EXTRAS (2)'!D452</f>
        <v>0</v>
      </c>
      <c r="FR519" s="420">
        <f>'EXTRAS (2)'!E452</f>
        <v>0</v>
      </c>
      <c r="FU519" s="420">
        <f t="shared" ref="FU519:FU550" si="256">CE519+CG519+CF519+CJ519+CO519+CT519+CY519+DD519+DI519+DN519+DS519+DX519+EM519+ER519+EW519+FB519+FG519+FM519+FO519+F519+Q519+AB519+AM519+AX519+BI519+BT519+FQ519-FR519</f>
        <v>0</v>
      </c>
    </row>
    <row r="520" spans="2:177" ht="15.75">
      <c r="B520" s="1350" t="s">
        <v>255</v>
      </c>
      <c r="C520" s="400" t="s">
        <v>0</v>
      </c>
      <c r="F520">
        <f>Transformadores!W92</f>
        <v>0</v>
      </c>
      <c r="FQ520" s="420">
        <f>'EXTRAS (2)'!D453</f>
        <v>0</v>
      </c>
      <c r="FR520" s="420">
        <f>'EXTRAS (2)'!E453</f>
        <v>0</v>
      </c>
      <c r="FU520" s="420">
        <f t="shared" si="256"/>
        <v>0</v>
      </c>
    </row>
    <row r="521" spans="2:177" ht="15.75">
      <c r="B521" s="1" t="s">
        <v>256</v>
      </c>
      <c r="C521" s="400" t="s">
        <v>0</v>
      </c>
      <c r="F521">
        <f>Transformadores!W93</f>
        <v>0</v>
      </c>
      <c r="FQ521" s="420">
        <f>'EXTRAS (2)'!D454</f>
        <v>0</v>
      </c>
      <c r="FR521" s="420">
        <f>'EXTRAS (2)'!E454</f>
        <v>0</v>
      </c>
      <c r="FU521" s="420">
        <f t="shared" si="256"/>
        <v>0</v>
      </c>
    </row>
    <row r="522" spans="2:177" ht="15.75">
      <c r="B522" s="1350" t="s">
        <v>257</v>
      </c>
      <c r="C522" s="400" t="s">
        <v>0</v>
      </c>
      <c r="F522">
        <f>Transformadores!W94</f>
        <v>0</v>
      </c>
      <c r="FQ522" s="420">
        <f>'EXTRAS (2)'!D455</f>
        <v>0</v>
      </c>
      <c r="FR522" s="420">
        <f>'EXTRAS (2)'!E455</f>
        <v>0</v>
      </c>
      <c r="FU522" s="420">
        <f t="shared" si="256"/>
        <v>0</v>
      </c>
    </row>
    <row r="523" spans="2:177" ht="15.75">
      <c r="B523" s="1" t="s">
        <v>258</v>
      </c>
      <c r="C523" s="400" t="s">
        <v>0</v>
      </c>
      <c r="F523">
        <f>Transformadores!W95</f>
        <v>0</v>
      </c>
      <c r="FQ523" s="420">
        <f>'EXTRAS (2)'!D456</f>
        <v>0</v>
      </c>
      <c r="FR523" s="420">
        <f>'EXTRAS (2)'!E456</f>
        <v>0</v>
      </c>
      <c r="FU523" s="420">
        <f t="shared" si="256"/>
        <v>0</v>
      </c>
    </row>
    <row r="524" spans="2:177" ht="15.75">
      <c r="B524" s="1350" t="s">
        <v>259</v>
      </c>
      <c r="C524" s="400" t="s">
        <v>0</v>
      </c>
      <c r="F524">
        <f>Transformadores!W96</f>
        <v>0</v>
      </c>
      <c r="FQ524" s="420">
        <f>'EXTRAS (2)'!D457</f>
        <v>0</v>
      </c>
      <c r="FR524" s="420">
        <f>'EXTRAS (2)'!E457</f>
        <v>0</v>
      </c>
      <c r="FU524" s="420">
        <f t="shared" si="256"/>
        <v>0</v>
      </c>
    </row>
    <row r="525" spans="2:177" ht="15.75">
      <c r="B525" s="1" t="s">
        <v>260</v>
      </c>
      <c r="C525" s="400" t="s">
        <v>0</v>
      </c>
      <c r="F525">
        <f>Transformadores!W97</f>
        <v>0</v>
      </c>
      <c r="FQ525" s="420">
        <f>'EXTRAS (2)'!D458</f>
        <v>0</v>
      </c>
      <c r="FR525" s="420">
        <f>'EXTRAS (2)'!E458</f>
        <v>0</v>
      </c>
      <c r="FU525" s="420">
        <f t="shared" si="256"/>
        <v>0</v>
      </c>
    </row>
    <row r="526" spans="2:177" ht="15.75">
      <c r="B526" s="1350" t="s">
        <v>261</v>
      </c>
      <c r="C526" s="400" t="s">
        <v>0</v>
      </c>
      <c r="F526">
        <f>Transformadores!W98</f>
        <v>0</v>
      </c>
      <c r="FQ526" s="420">
        <f>'EXTRAS (2)'!D459</f>
        <v>0</v>
      </c>
      <c r="FR526" s="420">
        <f>'EXTRAS (2)'!E459</f>
        <v>0</v>
      </c>
      <c r="FU526" s="420">
        <f t="shared" si="256"/>
        <v>0</v>
      </c>
    </row>
    <row r="527" spans="2:177" ht="15.75">
      <c r="B527" s="1" t="s">
        <v>1725</v>
      </c>
      <c r="C527" s="400" t="s">
        <v>0</v>
      </c>
      <c r="F527">
        <f>Transformadores!W99</f>
        <v>0</v>
      </c>
      <c r="FQ527" s="420">
        <f>'EXTRAS (2)'!D460</f>
        <v>0</v>
      </c>
      <c r="FR527" s="420">
        <f>'EXTRAS (2)'!E460</f>
        <v>0</v>
      </c>
      <c r="FU527" s="420">
        <f t="shared" si="256"/>
        <v>0</v>
      </c>
    </row>
    <row r="528" spans="2:177" ht="15.75">
      <c r="B528" s="1350" t="s">
        <v>1726</v>
      </c>
      <c r="C528" s="400" t="s">
        <v>0</v>
      </c>
      <c r="F528">
        <f>Transformadores!W100</f>
        <v>0</v>
      </c>
      <c r="FQ528" s="420">
        <f>'EXTRAS (2)'!D461</f>
        <v>0</v>
      </c>
      <c r="FR528" s="420">
        <f>'EXTRAS (2)'!E461</f>
        <v>0</v>
      </c>
      <c r="FU528" s="420">
        <f t="shared" si="256"/>
        <v>0</v>
      </c>
    </row>
    <row r="529" spans="2:177" ht="15.75">
      <c r="B529" s="1" t="s">
        <v>264</v>
      </c>
      <c r="C529" s="400" t="s">
        <v>0</v>
      </c>
      <c r="F529">
        <f>Transformadores!W101</f>
        <v>0</v>
      </c>
      <c r="FQ529" s="420">
        <f>'EXTRAS (2)'!D462</f>
        <v>0</v>
      </c>
      <c r="FR529" s="420">
        <f>'EXTRAS (2)'!E462</f>
        <v>0</v>
      </c>
      <c r="FU529" s="420">
        <f t="shared" si="256"/>
        <v>0</v>
      </c>
    </row>
    <row r="530" spans="2:177" ht="15.75">
      <c r="B530" s="1350" t="s">
        <v>265</v>
      </c>
      <c r="C530" s="400" t="s">
        <v>0</v>
      </c>
      <c r="F530">
        <f>Transformadores!W102</f>
        <v>0</v>
      </c>
      <c r="FQ530" s="420">
        <f>'EXTRAS (2)'!D463</f>
        <v>0</v>
      </c>
      <c r="FR530" s="420">
        <f>'EXTRAS (2)'!E463</f>
        <v>0</v>
      </c>
      <c r="FU530" s="420">
        <f t="shared" si="256"/>
        <v>0</v>
      </c>
    </row>
    <row r="531" spans="2:177" ht="15.75">
      <c r="B531" s="1" t="s">
        <v>266</v>
      </c>
      <c r="C531" s="400" t="s">
        <v>0</v>
      </c>
      <c r="F531">
        <f>Transformadores!W103</f>
        <v>0</v>
      </c>
      <c r="FQ531" s="420">
        <f>'EXTRAS (2)'!D464</f>
        <v>0</v>
      </c>
      <c r="FR531" s="420">
        <f>'EXTRAS (2)'!E464</f>
        <v>0</v>
      </c>
      <c r="FU531" s="420">
        <f t="shared" si="256"/>
        <v>0</v>
      </c>
    </row>
    <row r="532" spans="2:177" ht="15.75">
      <c r="B532" s="1350" t="s">
        <v>267</v>
      </c>
      <c r="C532" s="400" t="s">
        <v>0</v>
      </c>
      <c r="F532">
        <f>Transformadores!W104</f>
        <v>0</v>
      </c>
      <c r="FQ532" s="420">
        <f>'EXTRAS (2)'!D465</f>
        <v>0</v>
      </c>
      <c r="FR532" s="420">
        <f>'EXTRAS (2)'!E465</f>
        <v>0</v>
      </c>
      <c r="FU532" s="420">
        <f t="shared" si="256"/>
        <v>0</v>
      </c>
    </row>
    <row r="533" spans="2:177" ht="15.75">
      <c r="B533" s="1" t="s">
        <v>268</v>
      </c>
      <c r="C533" s="400" t="s">
        <v>0</v>
      </c>
      <c r="F533">
        <f>Transformadores!W105</f>
        <v>0</v>
      </c>
      <c r="FQ533" s="420">
        <f>'EXTRAS (2)'!D466</f>
        <v>0</v>
      </c>
      <c r="FR533" s="420">
        <f>'EXTRAS (2)'!E466</f>
        <v>0</v>
      </c>
      <c r="FU533" s="420">
        <f t="shared" si="256"/>
        <v>0</v>
      </c>
    </row>
    <row r="534" spans="2:177" ht="15.75">
      <c r="B534" s="1350" t="s">
        <v>269</v>
      </c>
      <c r="C534" s="400" t="s">
        <v>0</v>
      </c>
      <c r="F534">
        <f>Transformadores!W106</f>
        <v>0</v>
      </c>
      <c r="FQ534" s="420">
        <f>'EXTRAS (2)'!D467</f>
        <v>0</v>
      </c>
      <c r="FR534" s="420">
        <f>'EXTRAS (2)'!E467</f>
        <v>0</v>
      </c>
      <c r="FU534" s="420">
        <f t="shared" si="256"/>
        <v>0</v>
      </c>
    </row>
    <row r="535" spans="2:177" ht="15.75">
      <c r="B535" s="1" t="s">
        <v>270</v>
      </c>
      <c r="C535" s="400" t="s">
        <v>0</v>
      </c>
      <c r="F535">
        <f>Transformadores!W107</f>
        <v>0</v>
      </c>
      <c r="FQ535" s="420">
        <f>'EXTRAS (2)'!D468</f>
        <v>0</v>
      </c>
      <c r="FR535" s="420">
        <f>'EXTRAS (2)'!E468</f>
        <v>0</v>
      </c>
      <c r="FU535" s="420">
        <f t="shared" si="256"/>
        <v>0</v>
      </c>
    </row>
    <row r="536" spans="2:177" ht="15.75">
      <c r="B536" s="1350" t="s">
        <v>271</v>
      </c>
      <c r="C536" s="400" t="s">
        <v>0</v>
      </c>
      <c r="F536">
        <f>Transformadores!W108</f>
        <v>0</v>
      </c>
      <c r="FQ536" s="420">
        <f>'EXTRAS (2)'!D469</f>
        <v>0</v>
      </c>
      <c r="FR536" s="420">
        <f>'EXTRAS (2)'!E469</f>
        <v>0</v>
      </c>
      <c r="FU536" s="420">
        <f t="shared" si="256"/>
        <v>0</v>
      </c>
    </row>
    <row r="537" spans="2:177" ht="15.75">
      <c r="B537" s="1" t="s">
        <v>272</v>
      </c>
      <c r="C537" s="400" t="s">
        <v>0</v>
      </c>
      <c r="F537">
        <f>Transformadores!W109</f>
        <v>0</v>
      </c>
      <c r="FQ537" s="420">
        <f>'EXTRAS (2)'!D470</f>
        <v>0</v>
      </c>
      <c r="FR537" s="420">
        <f>'EXTRAS (2)'!E470</f>
        <v>0</v>
      </c>
      <c r="FU537" s="420">
        <f t="shared" si="256"/>
        <v>0</v>
      </c>
    </row>
    <row r="538" spans="2:177" ht="15.75">
      <c r="B538" s="1350" t="s">
        <v>273</v>
      </c>
      <c r="C538" s="400" t="s">
        <v>0</v>
      </c>
      <c r="F538">
        <f>Transformadores!W110</f>
        <v>0</v>
      </c>
      <c r="FQ538" s="420">
        <f>'EXTRAS (2)'!D471</f>
        <v>0</v>
      </c>
      <c r="FR538" s="420">
        <f>'EXTRAS (2)'!E471</f>
        <v>0</v>
      </c>
      <c r="FU538" s="420">
        <f t="shared" si="256"/>
        <v>0</v>
      </c>
    </row>
    <row r="539" spans="2:177" ht="15.75">
      <c r="B539" s="1" t="s">
        <v>274</v>
      </c>
      <c r="C539" s="400" t="s">
        <v>0</v>
      </c>
      <c r="F539">
        <f>Transformadores!W111</f>
        <v>0</v>
      </c>
      <c r="FQ539" s="420">
        <f>'EXTRAS (2)'!D472</f>
        <v>0</v>
      </c>
      <c r="FR539" s="420">
        <f>'EXTRAS (2)'!E472</f>
        <v>0</v>
      </c>
      <c r="FU539" s="420">
        <f t="shared" si="256"/>
        <v>0</v>
      </c>
    </row>
    <row r="540" spans="2:177" ht="15.75">
      <c r="B540" s="1350" t="s">
        <v>275</v>
      </c>
      <c r="C540" s="400" t="s">
        <v>0</v>
      </c>
      <c r="F540">
        <f>Transformadores!W112</f>
        <v>0</v>
      </c>
      <c r="FQ540" s="420">
        <f>'EXTRAS (2)'!D473</f>
        <v>0</v>
      </c>
      <c r="FR540" s="420">
        <f>'EXTRAS (2)'!E473</f>
        <v>0</v>
      </c>
      <c r="FU540" s="420">
        <f t="shared" si="256"/>
        <v>0</v>
      </c>
    </row>
    <row r="541" spans="2:177" ht="15.75">
      <c r="B541" s="1" t="s">
        <v>276</v>
      </c>
      <c r="C541" s="400" t="s">
        <v>0</v>
      </c>
      <c r="F541">
        <f>Transformadores!W113</f>
        <v>0</v>
      </c>
      <c r="FQ541" s="420">
        <f>'EXTRAS (2)'!D474</f>
        <v>0</v>
      </c>
      <c r="FR541" s="420">
        <f>'EXTRAS (2)'!E474</f>
        <v>0</v>
      </c>
      <c r="FU541" s="420">
        <f t="shared" si="256"/>
        <v>0</v>
      </c>
    </row>
    <row r="542" spans="2:177" ht="15.75">
      <c r="B542" s="1350" t="s">
        <v>277</v>
      </c>
      <c r="C542" s="400" t="s">
        <v>0</v>
      </c>
      <c r="F542">
        <f>Transformadores!W114</f>
        <v>0</v>
      </c>
      <c r="FQ542" s="420">
        <f>'EXTRAS (2)'!D475</f>
        <v>0</v>
      </c>
      <c r="FR542" s="420">
        <f>'EXTRAS (2)'!E475</f>
        <v>0</v>
      </c>
      <c r="FU542" s="420">
        <f t="shared" si="256"/>
        <v>0</v>
      </c>
    </row>
    <row r="543" spans="2:177" ht="15.75">
      <c r="B543" s="1" t="s">
        <v>278</v>
      </c>
      <c r="C543" s="400" t="s">
        <v>0</v>
      </c>
      <c r="F543">
        <f>Transformadores!W115</f>
        <v>0</v>
      </c>
      <c r="FQ543" s="420">
        <f>'EXTRAS (2)'!D476</f>
        <v>0</v>
      </c>
      <c r="FR543" s="420">
        <f>'EXTRAS (2)'!E476</f>
        <v>0</v>
      </c>
      <c r="FU543" s="420">
        <f t="shared" si="256"/>
        <v>0</v>
      </c>
    </row>
    <row r="544" spans="2:177" ht="15.75">
      <c r="B544" s="1350" t="s">
        <v>279</v>
      </c>
      <c r="C544" s="400" t="s">
        <v>0</v>
      </c>
      <c r="F544">
        <f>Transformadores!W116</f>
        <v>0</v>
      </c>
      <c r="FQ544" s="420">
        <f>'EXTRAS (2)'!D477</f>
        <v>0</v>
      </c>
      <c r="FR544" s="420">
        <f>'EXTRAS (2)'!E477</f>
        <v>0</v>
      </c>
      <c r="FU544" s="420">
        <f t="shared" si="256"/>
        <v>0</v>
      </c>
    </row>
    <row r="545" spans="2:177" ht="15.75">
      <c r="B545" s="1" t="s">
        <v>280</v>
      </c>
      <c r="C545" s="400" t="s">
        <v>0</v>
      </c>
      <c r="F545">
        <f>Transformadores!W117</f>
        <v>0</v>
      </c>
      <c r="FQ545" s="420">
        <f>'EXTRAS (2)'!D478</f>
        <v>0</v>
      </c>
      <c r="FR545" s="420">
        <f>'EXTRAS (2)'!E478</f>
        <v>0</v>
      </c>
      <c r="FU545" s="420">
        <f t="shared" si="256"/>
        <v>0</v>
      </c>
    </row>
    <row r="546" spans="2:177" ht="15.75">
      <c r="B546" s="1350" t="s">
        <v>281</v>
      </c>
      <c r="C546" s="400" t="s">
        <v>0</v>
      </c>
      <c r="F546">
        <f>Transformadores!W118</f>
        <v>0</v>
      </c>
      <c r="FQ546" s="420">
        <f>'EXTRAS (2)'!D479</f>
        <v>0</v>
      </c>
      <c r="FR546" s="420">
        <f>'EXTRAS (2)'!E479</f>
        <v>0</v>
      </c>
      <c r="FU546" s="420">
        <f t="shared" si="256"/>
        <v>0</v>
      </c>
    </row>
    <row r="547" spans="2:177" ht="15.75">
      <c r="B547" s="1" t="s">
        <v>282</v>
      </c>
      <c r="C547" s="400" t="s">
        <v>0</v>
      </c>
      <c r="F547">
        <f>Transformadores!W119</f>
        <v>0</v>
      </c>
      <c r="FQ547" s="420">
        <f>'EXTRAS (2)'!D480</f>
        <v>0</v>
      </c>
      <c r="FR547" s="420">
        <f>'EXTRAS (2)'!E480</f>
        <v>0</v>
      </c>
      <c r="FU547" s="420">
        <f t="shared" si="256"/>
        <v>0</v>
      </c>
    </row>
    <row r="548" spans="2:177" ht="15.75">
      <c r="B548" s="1350" t="s">
        <v>283</v>
      </c>
      <c r="C548" s="400" t="s">
        <v>0</v>
      </c>
      <c r="F548">
        <f>Transformadores!W120</f>
        <v>0</v>
      </c>
      <c r="FQ548" s="420">
        <f>'EXTRAS (2)'!D481</f>
        <v>0</v>
      </c>
      <c r="FR548" s="420">
        <f>'EXTRAS (2)'!E481</f>
        <v>0</v>
      </c>
      <c r="FU548" s="420">
        <f t="shared" si="256"/>
        <v>0</v>
      </c>
    </row>
    <row r="549" spans="2:177" ht="15.75">
      <c r="B549" s="1" t="s">
        <v>284</v>
      </c>
      <c r="C549" s="400" t="s">
        <v>0</v>
      </c>
      <c r="F549">
        <f>Transformadores!W121</f>
        <v>0</v>
      </c>
      <c r="FQ549" s="420">
        <f>'EXTRAS (2)'!D482</f>
        <v>0</v>
      </c>
      <c r="FR549" s="420">
        <f>'EXTRAS (2)'!E482</f>
        <v>0</v>
      </c>
      <c r="FU549" s="420">
        <f t="shared" si="256"/>
        <v>0</v>
      </c>
    </row>
    <row r="550" spans="2:177" ht="15.75">
      <c r="B550" s="1350" t="s">
        <v>285</v>
      </c>
      <c r="C550" s="400" t="s">
        <v>0</v>
      </c>
      <c r="F550">
        <f>Transformadores!W122</f>
        <v>0</v>
      </c>
      <c r="FQ550" s="420">
        <f>'EXTRAS (2)'!D483</f>
        <v>0</v>
      </c>
      <c r="FR550" s="420">
        <f>'EXTRAS (2)'!E483</f>
        <v>0</v>
      </c>
      <c r="FU550" s="420">
        <f t="shared" si="256"/>
        <v>0</v>
      </c>
    </row>
    <row r="551" spans="2:177">
      <c r="B551" s="399" t="s">
        <v>991</v>
      </c>
      <c r="C551" s="400" t="s">
        <v>0</v>
      </c>
      <c r="AB551">
        <f t="shared" si="214"/>
        <v>0</v>
      </c>
      <c r="AM551">
        <f t="shared" si="215"/>
        <v>0</v>
      </c>
      <c r="BI551">
        <f>SUM(BI$7:BI$28,BP$7:BP$28,BQ$7:BQ$28,BJ$7:BJ$28,BK$28:BK442,BL$7:BL$28,BM$7:BM$28,BN$7:BN$28)*(BH551)</f>
        <v>0</v>
      </c>
      <c r="BT551">
        <f>SUM(BT$7:BT$28,CA$7:CA$28,CB$7:CB$28,BU$7:BU$28,BV$28:BV442,BW$7:BW$28,BX$7:BX$28,BY$7:BY$28)*(BS551)</f>
        <v>0</v>
      </c>
      <c r="CE551">
        <f t="shared" si="232"/>
        <v>0</v>
      </c>
      <c r="CJ551">
        <f>SUM(CJ$7:CJ$28,CK$7:CK$28,CL$7:CL$28)*(CI551)</f>
        <v>0</v>
      </c>
      <c r="CO551">
        <f>SUM(CO$7:CO$28,CP$7:CP$28,CQ$7:CQ$28)*(CN551)</f>
        <v>0</v>
      </c>
      <c r="CT551">
        <f>SUM(CT$7:CT$28,CU$7:CU$28,CV$7:CV$28)*(CS551)</f>
        <v>0</v>
      </c>
      <c r="CY551">
        <f>SUM(CY$7:CY$28,CZ$7:CZ$28,DA$7:DA$28)*(CX551)</f>
        <v>0</v>
      </c>
      <c r="DD551">
        <f>SUM(DD$7:DD$28,DE$7:DE$28,DF$7:DF$28)*(DC551)</f>
        <v>0</v>
      </c>
      <c r="DI551">
        <f>SUM(DI$7:DI$28,DJ$7:DJ$28,DK$7:DK$28)*(DH551)</f>
        <v>0</v>
      </c>
      <c r="DN551">
        <f t="shared" si="249"/>
        <v>0</v>
      </c>
      <c r="DS551">
        <f t="shared" si="239"/>
        <v>0</v>
      </c>
      <c r="DX551">
        <f t="shared" si="240"/>
        <v>0</v>
      </c>
      <c r="EC551">
        <f t="shared" si="241"/>
        <v>0</v>
      </c>
      <c r="EH551">
        <f t="shared" si="242"/>
        <v>0</v>
      </c>
      <c r="EM551">
        <f t="shared" si="243"/>
        <v>0</v>
      </c>
      <c r="ER551">
        <f t="shared" si="244"/>
        <v>0</v>
      </c>
      <c r="EW551">
        <f>SUM(EW$7:EW$28,EX$7:EX$28,EY$7:EY$28)*(EV551)</f>
        <v>0</v>
      </c>
      <c r="FB551">
        <f>SUM(FB$7:FB$28,FC$7:FC$28,FD$7:FD$28)*(FA551)</f>
        <v>0</v>
      </c>
      <c r="FG551">
        <f>SUM(FG$7:FG$28,FH$7:FH$28,FI$7:FI$28)*(FF551)</f>
        <v>0</v>
      </c>
      <c r="FM551">
        <f>SUM(FM$7:FM$28,FN$7:FN$28,FO$7:FO$28)*(FL551)</f>
        <v>0</v>
      </c>
      <c r="FQ551" s="420">
        <f>'EXTRAS (2)'!D484</f>
        <v>0</v>
      </c>
      <c r="FR551" s="420">
        <f>'EXTRAS (2)'!E484</f>
        <v>0</v>
      </c>
      <c r="FU551" s="420">
        <f t="shared" si="213"/>
        <v>0</v>
      </c>
    </row>
    <row r="552" spans="2:177">
      <c r="B552" s="399" t="s">
        <v>992</v>
      </c>
      <c r="C552" s="400" t="s">
        <v>0</v>
      </c>
      <c r="AB552">
        <f t="shared" si="214"/>
        <v>0</v>
      </c>
      <c r="AM552">
        <f t="shared" si="215"/>
        <v>0</v>
      </c>
      <c r="BI552">
        <f>SUM(BI$7:BI$28,BP$7:BP$28,BQ$7:BQ$28,BJ$7:BJ$28,BK$28:BK443,BL$7:BL$28,BM$7:BM$28,BN$7:BN$28)*(BH552)</f>
        <v>0</v>
      </c>
      <c r="BT552">
        <f>SUM(BT$7:BT$28,CA$7:CA$28,CB$7:CB$28,BU$7:BU$28,BV$28:BV443,BW$7:BW$28,BX$7:BX$28,BY$7:BY$28)*(BS552)</f>
        <v>0</v>
      </c>
      <c r="CE552">
        <f t="shared" si="232"/>
        <v>0</v>
      </c>
      <c r="CJ552">
        <f>SUM(CJ$7:CJ$28,CK$7:CK$28,CL$7:CL$28)*(CI552)</f>
        <v>0</v>
      </c>
      <c r="CO552">
        <f>SUM(CO$7:CO$28,CP$7:CP$28,CQ$7:CQ$28)*(CN552)</f>
        <v>0</v>
      </c>
      <c r="CT552">
        <f>SUM(CT$7:CT$28,CU$7:CU$28,CV$7:CV$28)*(CS552)</f>
        <v>0</v>
      </c>
      <c r="CY552">
        <f>SUM(CY$7:CY$28,CZ$7:CZ$28,DA$7:DA$28)*(CX552)</f>
        <v>0</v>
      </c>
      <c r="DD552">
        <f>SUM(DD$7:DD$28,DE$7:DE$28,DF$7:DF$28)*(DC552)</f>
        <v>0</v>
      </c>
      <c r="DI552">
        <f>SUM(DI$7:DI$28,DJ$7:DJ$28,DK$7:DK$28)*(DH552)</f>
        <v>0</v>
      </c>
      <c r="DN552">
        <f t="shared" si="249"/>
        <v>0</v>
      </c>
      <c r="DS552">
        <f t="shared" si="239"/>
        <v>0</v>
      </c>
      <c r="DX552">
        <f t="shared" si="240"/>
        <v>0</v>
      </c>
      <c r="EC552">
        <f t="shared" si="241"/>
        <v>0</v>
      </c>
      <c r="EH552">
        <f t="shared" si="242"/>
        <v>0</v>
      </c>
      <c r="EM552">
        <f t="shared" si="243"/>
        <v>0</v>
      </c>
      <c r="ER552">
        <f t="shared" si="244"/>
        <v>0</v>
      </c>
      <c r="EW552">
        <f>SUM(EW$7:EW$28,EX$7:EX$28,EY$7:EY$28)*(EV552)</f>
        <v>0</v>
      </c>
      <c r="FB552">
        <f>SUM(FB$7:FB$28,FC$7:FC$28,FD$7:FD$28)*(FA552)</f>
        <v>0</v>
      </c>
      <c r="FG552">
        <f>SUM(FG$7:FG$28,FH$7:FH$28,FI$7:FI$28)*(FF552)</f>
        <v>0</v>
      </c>
      <c r="FM552">
        <f>SUM(FM$7:FM$28,FN$7:FN$28,FO$7:FO$28)*(FL552)</f>
        <v>0</v>
      </c>
      <c r="FQ552" s="420">
        <f>'EXTRAS (2)'!D485</f>
        <v>0</v>
      </c>
      <c r="FR552" s="420">
        <f>'EXTRAS (2)'!E485</f>
        <v>0</v>
      </c>
      <c r="FU552" s="420">
        <f t="shared" si="213"/>
        <v>0</v>
      </c>
    </row>
    <row r="553" spans="2:177">
      <c r="B553" s="404" t="s">
        <v>1080</v>
      </c>
      <c r="C553" s="405" t="s">
        <v>0</v>
      </c>
      <c r="AB553">
        <f t="shared" si="214"/>
        <v>0</v>
      </c>
      <c r="AM553">
        <f t="shared" si="215"/>
        <v>0</v>
      </c>
      <c r="BI553">
        <f>SUM(BI$7:BI$28,BP$7:BP$28,BQ$7:BQ$28,BJ$7:BJ$28,BK$28:BK444,BL$7:BL$28,BM$7:BM$28,BN$7:BN$28)*(BH553)</f>
        <v>0</v>
      </c>
      <c r="BT553">
        <f>SUM(BT$7:BT$28,CA$7:CA$28,CB$7:CB$28,BU$7:BU$28,BV$28:BV444,BW$7:BW$28,BX$7:BX$28,BY$7:BY$28)*(BS553)</f>
        <v>0</v>
      </c>
      <c r="FQ553" s="420">
        <f>'EXTRAS (2)'!D486</f>
        <v>0</v>
      </c>
      <c r="FR553" s="420">
        <f>'EXTRAS (2)'!E486</f>
        <v>0</v>
      </c>
      <c r="FU553" s="420">
        <f t="shared" si="213"/>
        <v>0</v>
      </c>
    </row>
    <row r="554" spans="2:177">
      <c r="B554" s="404" t="s">
        <v>993</v>
      </c>
      <c r="C554" s="405" t="s">
        <v>0</v>
      </c>
      <c r="AB554">
        <f t="shared" si="214"/>
        <v>0</v>
      </c>
      <c r="AM554">
        <f t="shared" si="215"/>
        <v>0</v>
      </c>
      <c r="BI554">
        <f>SUM(BI$7:BI$28,BP$7:BP$28,BQ$7:BQ$28,BJ$7:BJ$28,BK$28:BK445,BL$7:BL$28,BM$7:BM$28,BN$7:BN$28)*(BH554)</f>
        <v>0</v>
      </c>
      <c r="BT554">
        <f>SUM(BT$7:BT$28,CA$7:CA$28,CB$7:CB$28,BU$7:BU$28,BV$28:BV445,BW$7:BW$28,BX$7:BX$28,BY$7:BY$28)*(BS554)</f>
        <v>0</v>
      </c>
      <c r="CE554">
        <f>SUM(CE$7:CE$28,CF$7:CF$28,CG$7:CG$28)*(CD554)</f>
        <v>0</v>
      </c>
      <c r="CJ554">
        <f>SUM(CJ$7:CJ$28,CK$7:CK$28,CL$7:CL$28)*(CI554)</f>
        <v>0</v>
      </c>
      <c r="CO554">
        <f>SUM(CO$7:CO$28,CP$7:CP$28,CQ$7:CQ$28)*(CN554)</f>
        <v>0</v>
      </c>
      <c r="CT554">
        <f>SUM(CT$7:CT$28,CU$7:CU$28,CV$7:CV$28)*(CS554)</f>
        <v>0</v>
      </c>
      <c r="CY554">
        <f>SUM(CY$7:CY$28,CZ$7:CZ$28,DA$7:DA$28)*(CX554)</f>
        <v>0</v>
      </c>
      <c r="DD554">
        <f>SUM(DD$7:DD$28,DE$7:DE$28,DF$7:DF$28)*(DC554)</f>
        <v>0</v>
      </c>
      <c r="DI554">
        <f>SUM(DI$7:DI$28,DJ$7:DJ$28,DK$7:DK$28)*(DH554)</f>
        <v>0</v>
      </c>
      <c r="DN554">
        <f t="shared" si="249"/>
        <v>0</v>
      </c>
      <c r="DS554">
        <f>SUM(DS$7:DS$28,DT$7:DT$28,DU$7:DU$28)*(DR554)</f>
        <v>0</v>
      </c>
      <c r="DX554">
        <f>SUM(DX$7:DX$28,DY$7:DY$28,DZ$7:DZ$28)*(DW554)</f>
        <v>0</v>
      </c>
      <c r="EC554">
        <f>SUM(EC$7:EC$28,ED$7:ED$28,EE$7:EE$28)*(EB554)</f>
        <v>0</v>
      </c>
      <c r="EH554">
        <f>SUM(EH$7:EH$28,EI$7:EI$28,EJ$7:EJ$28)*(EG554)</f>
        <v>0</v>
      </c>
      <c r="EM554">
        <f>SUM(EM$7:EM$28,EN$7:EN$28,EO$7:EO$28)*(EL554)</f>
        <v>0</v>
      </c>
      <c r="ER554">
        <f>SUM(ER$7:ER$28,ES$7:ES$28,ET$7:ET$28)*(EQ554)</f>
        <v>0</v>
      </c>
      <c r="EW554">
        <f>SUM(EW$7:EW$28,EX$7:EX$28,EY$7:EY$28)*(EV554)</f>
        <v>0</v>
      </c>
      <c r="FB554">
        <f>SUM(FB$7:FB$28,FC$7:FC$28,FD$7:FD$28)*(FA554)</f>
        <v>0</v>
      </c>
      <c r="FG554">
        <f>SUM(FG$7:FG$28,FH$7:FH$28,FI$7:FI$28)*(FF554)</f>
        <v>0</v>
      </c>
      <c r="FM554">
        <f>SUM(FM$7:FM$28,FN$7:FN$28,FO$7:FO$28)*(FL554)</f>
        <v>0</v>
      </c>
      <c r="FQ554" s="420">
        <f>'EXTRAS (2)'!D487</f>
        <v>0</v>
      </c>
      <c r="FR554" s="420">
        <f>'EXTRAS (2)'!E487</f>
        <v>0</v>
      </c>
      <c r="FU554" s="420">
        <f t="shared" si="213"/>
        <v>0</v>
      </c>
    </row>
    <row r="555" spans="2:177">
      <c r="B555" s="404" t="s">
        <v>994</v>
      </c>
      <c r="C555" s="405" t="s">
        <v>0</v>
      </c>
      <c r="AB555">
        <f t="shared" si="214"/>
        <v>0</v>
      </c>
      <c r="AM555">
        <f t="shared" si="215"/>
        <v>0</v>
      </c>
      <c r="BI555">
        <f>SUM(BI$7:BI$28,BP$7:BP$28,BQ$7:BQ$28,BJ$7:BJ$28,BK$28:BK446,BL$7:BL$28,BM$7:BM$28,BN$7:BN$28)*(BH555)</f>
        <v>0</v>
      </c>
      <c r="BT555">
        <f>SUM(BT$7:BT$28,CA$7:CA$28,CB$7:CB$28,BU$7:BU$28,BV$28:BV446,BW$7:BW$28,BX$7:BX$28,BY$7:BY$28)*(BS555)</f>
        <v>0</v>
      </c>
      <c r="CE555">
        <f>SUM(CE$7:CE$28,CF$7:CF$28,CG$7:CG$28)*(CD555)</f>
        <v>0</v>
      </c>
      <c r="CJ555">
        <f>SUM(CJ$7:CJ$28,CK$7:CK$28,CL$7:CL$28)*(CI555)</f>
        <v>0</v>
      </c>
      <c r="CO555">
        <f>SUM(CO$7:CO$28,CP$7:CP$28,CQ$7:CQ$28)*(CN555)</f>
        <v>0</v>
      </c>
      <c r="CT555">
        <f>SUM(CT$7:CT$28,CU$7:CU$28,CV$7:CV$28)*(CS555)</f>
        <v>0</v>
      </c>
      <c r="CY555">
        <f>SUM(CY$7:CY$28,CZ$7:CZ$28,DA$7:DA$28)*(CX555)</f>
        <v>0</v>
      </c>
      <c r="DD555">
        <f>SUM(DD$7:DD$28,DE$7:DE$28,DF$7:DF$28)*(DC555)</f>
        <v>0</v>
      </c>
      <c r="DI555">
        <f>SUM(DI$7:DI$28,DJ$7:DJ$28,DK$7:DK$28)*(DH555)</f>
        <v>0</v>
      </c>
      <c r="DN555">
        <f t="shared" si="249"/>
        <v>0</v>
      </c>
      <c r="DS555">
        <f>SUM(DS$7:DS$28,DT$7:DT$28,DU$7:DU$28)*(DR555)</f>
        <v>0</v>
      </c>
      <c r="DX555">
        <f>SUM(DX$7:DX$28,DY$7:DY$28,DZ$7:DZ$28)*(DW555)</f>
        <v>0</v>
      </c>
      <c r="EC555">
        <f>SUM(EC$7:EC$28,ED$7:ED$28,EE$7:EE$28)*(EB555)</f>
        <v>0</v>
      </c>
      <c r="EH555">
        <f>SUM(EH$7:EH$28,EI$7:EI$28,EJ$7:EJ$28)*(EG555)</f>
        <v>0</v>
      </c>
      <c r="EM555">
        <f>SUM(EM$7:EM$28,EN$7:EN$28,EO$7:EO$28)*(EL555)</f>
        <v>0</v>
      </c>
      <c r="ER555">
        <f>SUM(ER$7:ER$28,ES$7:ES$28,ET$7:ET$28)*(EQ555)</f>
        <v>0</v>
      </c>
      <c r="EW555">
        <f>SUM(EW$7:EW$28,EX$7:EX$28,EY$7:EY$28)*(EV555)</f>
        <v>0</v>
      </c>
      <c r="FB555">
        <f>SUM(FB$7:FB$28,FC$7:FC$28,FD$7:FD$28)*(FA555)</f>
        <v>0</v>
      </c>
      <c r="FG555">
        <f>SUM(FG$7:FG$28,FH$7:FH$28,FI$7:FI$28)*(FF555)</f>
        <v>0</v>
      </c>
      <c r="FM555">
        <f>SUM(FM$7:FM$28,FN$7:FN$28,FO$7:FO$28)*(FL555)</f>
        <v>0</v>
      </c>
      <c r="FQ555" s="420">
        <f>'EXTRAS (2)'!D488</f>
        <v>0</v>
      </c>
      <c r="FR555" s="420">
        <f>'EXTRAS (2)'!E488</f>
        <v>0</v>
      </c>
      <c r="FU555" s="420">
        <f t="shared" si="213"/>
        <v>0</v>
      </c>
    </row>
    <row r="556" spans="2:177">
      <c r="B556" s="404" t="s">
        <v>995</v>
      </c>
      <c r="C556" s="405" t="s">
        <v>168</v>
      </c>
      <c r="AB556">
        <f t="shared" si="214"/>
        <v>0</v>
      </c>
      <c r="AM556">
        <f t="shared" si="215"/>
        <v>0</v>
      </c>
      <c r="BI556">
        <f>SUM(BI$7:BI$28,BP$7:BP$28,BQ$7:BQ$28,BJ$7:BJ$28,BK$28:BK447,BL$7:BL$28,BM$7:BM$28,BN$7:BN$28)*(BH556)</f>
        <v>0</v>
      </c>
      <c r="BT556">
        <f>SUM(BT$7:BT$28,CA$7:CA$28,CB$7:CB$28,BU$7:BU$28,BV$28:BV447,BW$7:BW$28,BX$7:BX$28,BY$7:BY$28)*(BS556)</f>
        <v>0</v>
      </c>
      <c r="CE556">
        <f>SUM(CE$7:CE$28,CF$7:CF$28,CG$7:CG$28)*(CD556)</f>
        <v>0</v>
      </c>
      <c r="CJ556">
        <f>SUM(CJ$7:CJ$28,CK$7:CK$28,CL$7:CL$28)*(CI556)</f>
        <v>0</v>
      </c>
      <c r="CO556">
        <f>SUM(CO$7:CO$28,CP$7:CP$28,CQ$7:CQ$28)*(CN556)</f>
        <v>0</v>
      </c>
      <c r="CT556">
        <f>SUM(CT$7:CT$28,CU$7:CU$28,CV$7:CV$28)*(CS556)</f>
        <v>0</v>
      </c>
      <c r="CY556">
        <f>SUM(CY$7:CY$28,CZ$7:CZ$28,DA$7:DA$28)*(CX556)</f>
        <v>0</v>
      </c>
      <c r="DD556">
        <f>SUM(DD$7:DD$28,DE$7:DE$28,DF$7:DF$28)*(DC556)</f>
        <v>0</v>
      </c>
      <c r="DI556">
        <f>SUM(DI$7:DI$28,DJ$7:DJ$28,DK$7:DK$28)*(DH556)</f>
        <v>0</v>
      </c>
      <c r="DN556">
        <f t="shared" si="249"/>
        <v>0</v>
      </c>
      <c r="DS556">
        <f>SUM(DS$7:DS$28,DT$7:DT$28,DU$7:DU$28)*(DR556)</f>
        <v>0</v>
      </c>
      <c r="DX556">
        <f>SUM(DX$7:DX$28,DY$7:DY$28,DZ$7:DZ$28)*(DW556)</f>
        <v>0</v>
      </c>
      <c r="EC556">
        <f>SUM(EC$7:EC$28,ED$7:ED$28,EE$7:EE$28)*(EB556)</f>
        <v>0</v>
      </c>
      <c r="EH556">
        <f>SUM(EH$7:EH$28,EI$7:EI$28,EJ$7:EJ$28)*(EG556)</f>
        <v>0</v>
      </c>
      <c r="EM556">
        <f>SUM(EM$7:EM$28,EN$7:EN$28,EO$7:EO$28)*(EL556)</f>
        <v>0</v>
      </c>
      <c r="ER556">
        <f>SUM(ER$7:ER$28,ES$7:ES$28,ET$7:ET$28)*(EQ556)</f>
        <v>0</v>
      </c>
      <c r="EW556">
        <f>SUM(EW$7:EW$28,EX$7:EX$28,EY$7:EY$28)*(EV556)</f>
        <v>0</v>
      </c>
      <c r="FB556">
        <f>SUM(FB$7:FB$28,FC$7:FC$28,FD$7:FD$28)*(FA556)</f>
        <v>0</v>
      </c>
      <c r="FG556">
        <f>SUM(FG$7:FG$28,FH$7:FH$28,FI$7:FI$28)*(FF556)</f>
        <v>0</v>
      </c>
      <c r="FM556">
        <f>SUM(FM$7:FM$28,FN$7:FN$28,FO$7:FO$28)*(FL556)</f>
        <v>0</v>
      </c>
      <c r="FQ556" s="420">
        <f>'EXTRAS (2)'!D489</f>
        <v>0</v>
      </c>
      <c r="FR556" s="420">
        <f>'EXTRAS (2)'!E489</f>
        <v>0</v>
      </c>
      <c r="FU556" s="420">
        <f t="shared" si="213"/>
        <v>0</v>
      </c>
    </row>
    <row r="557" spans="2:177">
      <c r="B557" s="404" t="s">
        <v>996</v>
      </c>
      <c r="C557" s="405" t="s">
        <v>168</v>
      </c>
      <c r="AB557">
        <f t="shared" si="214"/>
        <v>0</v>
      </c>
      <c r="AM557">
        <f t="shared" si="215"/>
        <v>0</v>
      </c>
      <c r="BI557">
        <f>SUM(BI$7:BI$28,BP$7:BP$28,BQ$7:BQ$28,BJ$7:BJ$28,BK$28:BK448,BL$7:BL$28,BM$7:BM$28,BN$7:BN$28)*(BH557)</f>
        <v>0</v>
      </c>
      <c r="BT557">
        <f>SUM(BT$7:BT$28,CA$7:CA$28,CB$7:CB$28,BU$7:BU$28,BV$28:BV448,BW$7:BW$28,BX$7:BX$28,BY$7:BY$28)*(BS557)</f>
        <v>0</v>
      </c>
      <c r="CE557">
        <f>SUM(CE$7:CE$28,CF$7:CF$28,CG$7:CG$28)*(CD557)</f>
        <v>0</v>
      </c>
      <c r="CJ557">
        <f>SUM(CJ$7:CJ$28,CK$7:CK$28,CL$7:CL$28)*(CI557)</f>
        <v>0</v>
      </c>
      <c r="CO557">
        <f>SUM(CO$7:CO$28,CP$7:CP$28,CQ$7:CQ$28)*(CN557)</f>
        <v>0</v>
      </c>
      <c r="CT557">
        <f>SUM(CT$7:CT$28,CU$7:CU$28,CV$7:CV$28)*(CS557)</f>
        <v>0</v>
      </c>
      <c r="CY557">
        <f>SUM(CY$7:CY$28,CZ$7:CZ$28,DA$7:DA$28)*(CX557)</f>
        <v>0</v>
      </c>
      <c r="DD557">
        <f>SUM(DD$7:DD$28,DE$7:DE$28,DF$7:DF$28)*(DC557)</f>
        <v>0</v>
      </c>
      <c r="DI557">
        <f>SUM(DI$7:DI$28,DJ$7:DJ$28,DK$7:DK$28)*(DH557)</f>
        <v>0</v>
      </c>
      <c r="DN557">
        <f t="shared" si="249"/>
        <v>0</v>
      </c>
      <c r="DS557">
        <f>SUM(DS$7:DS$28,DT$7:DT$28,DU$7:DU$28)*(DR557)</f>
        <v>0</v>
      </c>
      <c r="DX557">
        <f>SUM(DX$7:DX$28,DY$7:DY$28,DZ$7:DZ$28)*(DW557)</f>
        <v>0</v>
      </c>
      <c r="EC557">
        <f>SUM(EC$7:EC$28,ED$7:ED$28,EE$7:EE$28)*(EB557)</f>
        <v>0</v>
      </c>
      <c r="EH557">
        <f>SUM(EH$7:EH$28,EI$7:EI$28,EJ$7:EJ$28)*(EG557)</f>
        <v>0</v>
      </c>
      <c r="EM557">
        <f>SUM(EM$7:EM$28,EN$7:EN$28,EO$7:EO$28)*(EL557)</f>
        <v>0</v>
      </c>
      <c r="ER557">
        <f>SUM(ER$7:ER$28,ES$7:ES$28,ET$7:ET$28)*(EQ557)</f>
        <v>0</v>
      </c>
      <c r="EW557">
        <f>SUM(EW$7:EW$28,EX$7:EX$28,EY$7:EY$28)*(EV557)</f>
        <v>0</v>
      </c>
      <c r="FB557">
        <f>SUM(FB$7:FB$28,FC$7:FC$28,FD$7:FD$28)*(FA557)</f>
        <v>0</v>
      </c>
      <c r="FG557">
        <f>SUM(FG$7:FG$28,FH$7:FH$28,FI$7:FI$28)*(FF557)</f>
        <v>0</v>
      </c>
      <c r="FM557">
        <f>SUM(FM$7:FM$28,FN$7:FN$28,FO$7:FO$28)*(FL557)</f>
        <v>0</v>
      </c>
      <c r="FQ557" s="420">
        <f>'EXTRAS (2)'!D490</f>
        <v>0</v>
      </c>
      <c r="FR557" s="420">
        <f>'EXTRAS (2)'!E490</f>
        <v>0</v>
      </c>
      <c r="FU557" s="420">
        <f t="shared" si="213"/>
        <v>0</v>
      </c>
    </row>
    <row r="558" spans="2:177">
      <c r="B558" s="463" t="s">
        <v>1156</v>
      </c>
      <c r="C558" s="175" t="s">
        <v>0</v>
      </c>
      <c r="FQ558" s="420">
        <f>'EXTRAS (2)'!D491</f>
        <v>0</v>
      </c>
      <c r="FR558" s="420">
        <f>'EXTRAS (2)'!E491</f>
        <v>0</v>
      </c>
      <c r="FU558" s="420">
        <f t="shared" si="213"/>
        <v>0</v>
      </c>
    </row>
    <row r="559" spans="2:177">
      <c r="B559" s="463" t="s">
        <v>1157</v>
      </c>
      <c r="C559" s="176" t="s">
        <v>386</v>
      </c>
      <c r="FQ559" s="420">
        <f>'EXTRAS (2)'!D492</f>
        <v>0</v>
      </c>
      <c r="FR559" s="420">
        <f>'EXTRAS (2)'!E492</f>
        <v>0</v>
      </c>
      <c r="FU559" s="420">
        <f t="shared" si="213"/>
        <v>0</v>
      </c>
    </row>
    <row r="560" spans="2:177">
      <c r="B560" s="463" t="s">
        <v>1158</v>
      </c>
      <c r="C560" s="175" t="s">
        <v>0</v>
      </c>
      <c r="FQ560" s="420">
        <f>'EXTRAS (2)'!D493</f>
        <v>0</v>
      </c>
      <c r="FR560" s="420">
        <f>'EXTRAS (2)'!E493</f>
        <v>0</v>
      </c>
      <c r="FU560" s="420">
        <f t="shared" si="213"/>
        <v>0</v>
      </c>
    </row>
    <row r="561" spans="2:177">
      <c r="B561" s="463" t="s">
        <v>1159</v>
      </c>
      <c r="C561" s="176" t="s">
        <v>0</v>
      </c>
      <c r="FQ561" s="420">
        <f>'EXTRAS (2)'!D494</f>
        <v>0</v>
      </c>
      <c r="FR561" s="420">
        <f>'EXTRAS (2)'!E494</f>
        <v>0</v>
      </c>
      <c r="FU561" s="420">
        <f t="shared" ref="FU561:FU566" si="257">CE561+CG561+CF561+CJ561+CO561+CT561+CY561+DD561+DI561+DN561+DS561+DX561+EM561+ER561+EW561+FB561+FG561+FM561+FO561+F561+Q561+AB561+AM561+AX561+BI561+BT561+FQ561-FR561</f>
        <v>0</v>
      </c>
    </row>
    <row r="562" spans="2:177">
      <c r="B562" s="463" t="s">
        <v>1160</v>
      </c>
      <c r="C562" s="176" t="s">
        <v>0</v>
      </c>
      <c r="FQ562" s="420">
        <f>'EXTRAS (2)'!D495</f>
        <v>0</v>
      </c>
      <c r="FR562" s="420">
        <f>'EXTRAS (2)'!E495</f>
        <v>0</v>
      </c>
      <c r="FU562" s="420">
        <f t="shared" si="257"/>
        <v>0</v>
      </c>
    </row>
    <row r="563" spans="2:177">
      <c r="B563" s="185" t="s">
        <v>1161</v>
      </c>
      <c r="C563" s="176" t="s">
        <v>0</v>
      </c>
      <c r="FQ563" s="420">
        <f>'EXTRAS (2)'!D496</f>
        <v>0</v>
      </c>
      <c r="FR563" s="420">
        <f>'EXTRAS (2)'!E496</f>
        <v>0</v>
      </c>
      <c r="FU563" s="420">
        <f t="shared" si="257"/>
        <v>0</v>
      </c>
    </row>
    <row r="564" spans="2:177">
      <c r="B564" s="465" t="s">
        <v>1162</v>
      </c>
      <c r="C564" s="464" t="s">
        <v>0</v>
      </c>
      <c r="FQ564" s="420">
        <f>'EXTRAS (2)'!D497</f>
        <v>0</v>
      </c>
      <c r="FR564" s="420">
        <f>'EXTRAS (2)'!E497</f>
        <v>0</v>
      </c>
      <c r="FU564" s="420">
        <f t="shared" si="257"/>
        <v>0</v>
      </c>
    </row>
    <row r="565" spans="2:177">
      <c r="B565" s="465" t="s">
        <v>1163</v>
      </c>
      <c r="C565" s="464" t="s">
        <v>0</v>
      </c>
      <c r="FQ565" s="420">
        <f>'EXTRAS (2)'!D498</f>
        <v>0</v>
      </c>
      <c r="FR565" s="420">
        <f>'EXTRAS (2)'!E498</f>
        <v>0</v>
      </c>
      <c r="FU565" s="420">
        <f t="shared" si="257"/>
        <v>0</v>
      </c>
    </row>
    <row r="566" spans="2:177">
      <c r="B566" s="463" t="s">
        <v>1164</v>
      </c>
      <c r="C566" s="175" t="s">
        <v>0</v>
      </c>
      <c r="FQ566" s="420">
        <f>'EXTRAS (2)'!D499</f>
        <v>0</v>
      </c>
      <c r="FR566" s="420">
        <f>'EXTRAS (2)'!E499</f>
        <v>0</v>
      </c>
      <c r="FU566" s="420">
        <f t="shared" si="257"/>
        <v>0</v>
      </c>
    </row>
  </sheetData>
  <sheetProtection selectLockedCells="1"/>
  <mergeCells count="146">
    <mergeCell ref="AS5:AS6"/>
    <mergeCell ref="AA2:AJ2"/>
    <mergeCell ref="AL2:AU2"/>
    <mergeCell ref="AP4:AR4"/>
    <mergeCell ref="P2:Y2"/>
    <mergeCell ref="Q4:S4"/>
    <mergeCell ref="AM3:AO3"/>
    <mergeCell ref="AP3:AR3"/>
    <mergeCell ref="W5:W6"/>
    <mergeCell ref="AB4:AD4"/>
    <mergeCell ref="FF5:FI5"/>
    <mergeCell ref="CX5:DA5"/>
    <mergeCell ref="AH4:AJ4"/>
    <mergeCell ref="FF2:FI4"/>
    <mergeCell ref="BZ4:CB4"/>
    <mergeCell ref="AO5:AO6"/>
    <mergeCell ref="AP5:AP6"/>
    <mergeCell ref="FA5:FD5"/>
    <mergeCell ref="BT3:BV3"/>
    <mergeCell ref="EV5:EY5"/>
    <mergeCell ref="BS3:BS5"/>
    <mergeCell ref="BD3:BF3"/>
    <mergeCell ref="BN5:BN6"/>
    <mergeCell ref="BL3:BN3"/>
    <mergeCell ref="BO3:BQ3"/>
    <mergeCell ref="FL2:FO4"/>
    <mergeCell ref="EB5:EE5"/>
    <mergeCell ref="EG5:EJ5"/>
    <mergeCell ref="EL5:EO5"/>
    <mergeCell ref="EQ5:ET5"/>
    <mergeCell ref="BZ5:BZ6"/>
    <mergeCell ref="BZ3:CB3"/>
    <mergeCell ref="BA5:BA6"/>
    <mergeCell ref="CS5:CV5"/>
    <mergeCell ref="BO4:BQ4"/>
    <mergeCell ref="BA4:BC4"/>
    <mergeCell ref="CD5:CG5"/>
    <mergeCell ref="BX5:BX6"/>
    <mergeCell ref="BM5:BM6"/>
    <mergeCell ref="BU5:BU6"/>
    <mergeCell ref="BQ5:BQ6"/>
    <mergeCell ref="BO5:BO6"/>
    <mergeCell ref="AZ5:AZ6"/>
    <mergeCell ref="W4:Y4"/>
    <mergeCell ref="CN5:CQ5"/>
    <mergeCell ref="DM5:DP5"/>
    <mergeCell ref="FL5:FO5"/>
    <mergeCell ref="BS2:CB2"/>
    <mergeCell ref="BC5:BC6"/>
    <mergeCell ref="BD5:BD6"/>
    <mergeCell ref="BH2:BQ2"/>
    <mergeCell ref="AW2:BF2"/>
    <mergeCell ref="DH5:DK5"/>
    <mergeCell ref="CA5:CA6"/>
    <mergeCell ref="CB5:CB6"/>
    <mergeCell ref="BP5:BP6"/>
    <mergeCell ref="AE5:AE6"/>
    <mergeCell ref="AL3:AL5"/>
    <mergeCell ref="BW4:BY4"/>
    <mergeCell ref="BJ5:BJ6"/>
    <mergeCell ref="BY5:BY6"/>
    <mergeCell ref="BB5:BB6"/>
    <mergeCell ref="BA3:BC3"/>
    <mergeCell ref="DR5:DU5"/>
    <mergeCell ref="DW5:DZ5"/>
    <mergeCell ref="CI5:CL5"/>
    <mergeCell ref="Y39:AI39"/>
    <mergeCell ref="BT5:BT6"/>
    <mergeCell ref="BE5:BE6"/>
    <mergeCell ref="BF5:BF6"/>
    <mergeCell ref="BI5:BI6"/>
    <mergeCell ref="AH5:AH6"/>
    <mergeCell ref="AM5:AM6"/>
    <mergeCell ref="AT5:AT6"/>
    <mergeCell ref="BT4:BV4"/>
    <mergeCell ref="AI5:AI6"/>
    <mergeCell ref="AJ5:AJ6"/>
    <mergeCell ref="BW5:BW6"/>
    <mergeCell ref="AX4:AZ4"/>
    <mergeCell ref="BV5:BV6"/>
    <mergeCell ref="BL4:BN4"/>
    <mergeCell ref="BL5:BL6"/>
    <mergeCell ref="DC5:DF5"/>
    <mergeCell ref="BW3:BY3"/>
    <mergeCell ref="AA3:AA5"/>
    <mergeCell ref="AD5:AD6"/>
    <mergeCell ref="BH3:BH5"/>
    <mergeCell ref="BI3:BK3"/>
    <mergeCell ref="BD4:BF4"/>
    <mergeCell ref="AB5:AB6"/>
    <mergeCell ref="AB3:AD3"/>
    <mergeCell ref="AE3:AG3"/>
    <mergeCell ref="S5:S6"/>
    <mergeCell ref="T5:T6"/>
    <mergeCell ref="U5:U6"/>
    <mergeCell ref="Q3:S3"/>
    <mergeCell ref="T3:V3"/>
    <mergeCell ref="E2:N2"/>
    <mergeCell ref="AQ5:AQ6"/>
    <mergeCell ref="AU5:AU6"/>
    <mergeCell ref="W3:Y3"/>
    <mergeCell ref="AN5:AN6"/>
    <mergeCell ref="T4:V4"/>
    <mergeCell ref="V5:V6"/>
    <mergeCell ref="X5:X6"/>
    <mergeCell ref="AM4:AO4"/>
    <mergeCell ref="AH3:AJ3"/>
    <mergeCell ref="AE4:AG4"/>
    <mergeCell ref="B1:C1"/>
    <mergeCell ref="B2:C4"/>
    <mergeCell ref="G5:G6"/>
    <mergeCell ref="H5:H6"/>
    <mergeCell ref="BK5:BK6"/>
    <mergeCell ref="AF5:AF6"/>
    <mergeCell ref="AG5:AG6"/>
    <mergeCell ref="AR5:AR6"/>
    <mergeCell ref="BI4:BK4"/>
    <mergeCell ref="AS4:AU4"/>
    <mergeCell ref="L4:N4"/>
    <mergeCell ref="B22:C24"/>
    <mergeCell ref="F5:F6"/>
    <mergeCell ref="I5:I6"/>
    <mergeCell ref="J5:J6"/>
    <mergeCell ref="K5:K6"/>
    <mergeCell ref="L5:L6"/>
    <mergeCell ref="B5:C5"/>
    <mergeCell ref="Y5:Y6"/>
    <mergeCell ref="A25:C28"/>
    <mergeCell ref="N5:N6"/>
    <mergeCell ref="E3:E5"/>
    <mergeCell ref="F3:H3"/>
    <mergeCell ref="I3:K3"/>
    <mergeCell ref="L3:N3"/>
    <mergeCell ref="F4:H4"/>
    <mergeCell ref="M5:M6"/>
    <mergeCell ref="I4:K4"/>
    <mergeCell ref="O5:O28"/>
    <mergeCell ref="Q5:Q6"/>
    <mergeCell ref="AX3:AZ3"/>
    <mergeCell ref="AC5:AC6"/>
    <mergeCell ref="AX5:AX6"/>
    <mergeCell ref="AY5:AY6"/>
    <mergeCell ref="AW3:AW5"/>
    <mergeCell ref="AS3:AU3"/>
    <mergeCell ref="P3:P5"/>
    <mergeCell ref="R5:R6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29" r:id="rId4" name="Button 2897">
              <controlPr defaultSize="0" print="0" autoFill="0" autoPict="0" macro="[0]!Macro10">
                <anchor moveWithCells="1" sizeWithCells="1">
                  <from>
                    <xdr:col>0</xdr:col>
                    <xdr:colOff>38100</xdr:colOff>
                    <xdr:row>1</xdr:row>
                    <xdr:rowOff>9525</xdr:rowOff>
                  </from>
                  <to>
                    <xdr:col>0</xdr:col>
                    <xdr:colOff>771525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6" r:id="rId5" name="Button 2904">
              <controlPr defaultSize="0" print="0" autoFill="0" autoPict="0" macro="[0]!Macro15">
                <anchor moveWithCells="1" sizeWithCells="1">
                  <from>
                    <xdr:col>0</xdr:col>
                    <xdr:colOff>47625</xdr:colOff>
                    <xdr:row>4</xdr:row>
                    <xdr:rowOff>104775</xdr:rowOff>
                  </from>
                  <to>
                    <xdr:col>0</xdr:col>
                    <xdr:colOff>771525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9" r:id="rId6" name="Button 2907">
              <controlPr locked="0" defaultSize="0" print="0" autoFill="0" autoPict="0" macro="[0]!Transformadores" altText="TRAFOS DA COMPACTA e BT  ">
                <anchor moveWithCells="1" sizeWithCells="1">
                  <from>
                    <xdr:col>0</xdr:col>
                    <xdr:colOff>47625</xdr:colOff>
                    <xdr:row>5</xdr:row>
                    <xdr:rowOff>171450</xdr:rowOff>
                  </from>
                  <to>
                    <xdr:col>0</xdr:col>
                    <xdr:colOff>771525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0" r:id="rId7" name="Button 2908">
              <controlPr defaultSize="0" print="0" autoFill="0" autoPict="0" macro="[0]!EXTRACOMBT">
                <anchor moveWithCells="1" sizeWithCells="1">
                  <from>
                    <xdr:col>0</xdr:col>
                    <xdr:colOff>47625</xdr:colOff>
                    <xdr:row>11</xdr:row>
                    <xdr:rowOff>19050</xdr:rowOff>
                  </from>
                  <to>
                    <xdr:col>0</xdr:col>
                    <xdr:colOff>771525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1" r:id="rId8" name="Button 2909">
              <controlPr defaultSize="0" print="0" autoFill="0" autoPict="0" macro="[0]!Macro17gg">
                <anchor moveWithCells="1" sizeWithCells="1">
                  <from>
                    <xdr:col>0</xdr:col>
                    <xdr:colOff>38100</xdr:colOff>
                    <xdr:row>3</xdr:row>
                    <xdr:rowOff>28575</xdr:rowOff>
                  </from>
                  <to>
                    <xdr:col>0</xdr:col>
                    <xdr:colOff>781050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2" r:id="rId9" name="Button 2910">
              <controlPr defaultSize="0" print="0" autoFill="0" autoPict="0" macro="[0]!Macro18">
                <anchor moveWithCells="1" sizeWithCells="1">
                  <from>
                    <xdr:col>1</xdr:col>
                    <xdr:colOff>28575</xdr:colOff>
                    <xdr:row>18</xdr:row>
                    <xdr:rowOff>28575</xdr:rowOff>
                  </from>
                  <to>
                    <xdr:col>2</xdr:col>
                    <xdr:colOff>581025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4" r:id="rId10" name="Button 2912">
              <controlPr defaultSize="0" print="0" autoFill="0" autoPict="0" macro="[0]!Macro18">
                <anchor moveWithCells="1" sizeWithCells="1">
                  <from>
                    <xdr:col>0</xdr:col>
                    <xdr:colOff>57150</xdr:colOff>
                    <xdr:row>16</xdr:row>
                    <xdr:rowOff>38100</xdr:rowOff>
                  </from>
                  <to>
                    <xdr:col>0</xdr:col>
                    <xdr:colOff>771525</xdr:colOff>
                    <xdr:row>17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73A4D-BABC-4BD2-975F-7E3F1FAEBF09}">
  <sheetPr codeName="Plan13"/>
  <dimension ref="A1:BN566"/>
  <sheetViews>
    <sheetView showGridLines="0" zoomScale="80" zoomScaleNormal="80" workbookViewId="0">
      <pane xSplit="2" ySplit="22" topLeftCell="C23" activePane="bottomRight" state="frozen"/>
      <selection pane="topRight" activeCell="C1" sqref="C1"/>
      <selection pane="bottomLeft" activeCell="A23" sqref="A23"/>
      <selection pane="bottomRight" activeCell="BM138" sqref="BM138"/>
    </sheetView>
  </sheetViews>
  <sheetFormatPr defaultRowHeight="15"/>
  <cols>
    <col min="1" max="1" width="11.5703125" customWidth="1"/>
    <col min="2" max="2" width="63.28515625" customWidth="1"/>
    <col min="3" max="3" width="10.7109375" customWidth="1"/>
    <col min="4" max="4" width="2" customWidth="1"/>
    <col min="5" max="5" width="12.140625" customWidth="1"/>
    <col min="6" max="6" width="11.7109375" customWidth="1"/>
    <col min="7" max="7" width="9.7109375" customWidth="1"/>
    <col min="8" max="9" width="9.140625" customWidth="1"/>
    <col min="10" max="10" width="2" customWidth="1"/>
    <col min="11" max="11" width="13.7109375" customWidth="1"/>
    <col min="12" max="12" width="10.42578125" customWidth="1"/>
    <col min="13" max="13" width="11" customWidth="1"/>
    <col min="14" max="14" width="2" customWidth="1"/>
    <col min="15" max="15" width="13" customWidth="1"/>
    <col min="16" max="18" width="9.140625" customWidth="1"/>
    <col min="19" max="19" width="1.7109375" customWidth="1"/>
    <col min="20" max="20" width="12.7109375" customWidth="1"/>
    <col min="21" max="23" width="9.140625" customWidth="1"/>
    <col min="24" max="24" width="2.28515625" customWidth="1"/>
    <col min="25" max="25" width="12.42578125" customWidth="1"/>
    <col min="26" max="28" width="9.140625" customWidth="1"/>
    <col min="29" max="29" width="2.140625" customWidth="1"/>
    <col min="30" max="30" width="12.7109375" customWidth="1"/>
    <col min="31" max="33" width="9.140625" customWidth="1"/>
    <col min="34" max="34" width="2.140625" customWidth="1"/>
    <col min="35" max="35" width="12.28515625" customWidth="1"/>
    <col min="36" max="38" width="9.140625" customWidth="1"/>
    <col min="39" max="39" width="1.85546875" customWidth="1"/>
    <col min="40" max="40" width="12.28515625" customWidth="1"/>
    <col min="41" max="44" width="9.140625" customWidth="1"/>
    <col min="45" max="45" width="1.7109375" customWidth="1"/>
    <col min="46" max="46" width="12.7109375" customWidth="1"/>
    <col min="47" max="50" width="9.140625" customWidth="1"/>
    <col min="51" max="51" width="1.7109375" customWidth="1"/>
    <col min="52" max="52" width="12.28515625" customWidth="1"/>
    <col min="56" max="56" width="2" customWidth="1"/>
    <col min="57" max="57" width="12.28515625" customWidth="1"/>
    <col min="62" max="62" width="1.42578125" customWidth="1"/>
    <col min="63" max="63" width="13.140625" customWidth="1"/>
    <col min="64" max="64" width="10.5703125" customWidth="1"/>
    <col min="65" max="65" width="2.140625" customWidth="1"/>
  </cols>
  <sheetData>
    <row r="1" spans="1:64" ht="3.75" customHeight="1" thickBot="1">
      <c r="A1" s="227"/>
      <c r="B1" s="453"/>
      <c r="C1" s="453"/>
      <c r="D1" s="440" t="s">
        <v>1053</v>
      </c>
      <c r="E1" s="204"/>
      <c r="F1" s="204"/>
      <c r="G1" s="204"/>
      <c r="H1" s="204"/>
      <c r="I1" s="204"/>
      <c r="J1" s="204"/>
      <c r="K1" s="204"/>
      <c r="L1" s="204"/>
      <c r="M1" s="204"/>
      <c r="N1" s="204"/>
      <c r="O1" s="204"/>
      <c r="P1" s="204"/>
      <c r="Q1" s="204"/>
      <c r="R1" s="204"/>
      <c r="T1" s="451"/>
      <c r="U1" s="450"/>
      <c r="V1" s="450"/>
      <c r="W1" s="450"/>
      <c r="X1" s="204"/>
      <c r="Y1" s="204"/>
      <c r="Z1" s="204"/>
      <c r="AA1" s="204"/>
      <c r="AB1" s="204"/>
      <c r="AC1" s="204"/>
      <c r="AD1" s="204"/>
      <c r="AE1" s="204"/>
      <c r="AF1" s="204"/>
      <c r="AG1" s="204"/>
      <c r="AH1" s="204"/>
      <c r="AI1" s="204"/>
      <c r="AJ1" s="204"/>
      <c r="AK1" s="204"/>
      <c r="AL1" s="204"/>
      <c r="AM1" s="204"/>
      <c r="AN1" s="204"/>
      <c r="AO1" s="204"/>
      <c r="AP1" s="204"/>
      <c r="AQ1" s="204"/>
      <c r="AR1" s="204"/>
      <c r="AT1" s="449"/>
      <c r="AU1" s="450"/>
      <c r="AV1" s="450"/>
      <c r="AW1" s="450"/>
      <c r="AX1" s="450"/>
      <c r="AY1" s="256"/>
      <c r="AZ1" s="204"/>
      <c r="BA1" s="204"/>
      <c r="BB1" s="204"/>
      <c r="BC1" s="204"/>
      <c r="BD1" s="204"/>
      <c r="BE1" s="204"/>
      <c r="BF1" s="204"/>
      <c r="BG1" s="204"/>
      <c r="BH1" s="204"/>
      <c r="BI1" s="204"/>
    </row>
    <row r="2" spans="1:64" ht="15.75" customHeight="1" thickBot="1">
      <c r="A2" s="1217"/>
      <c r="B2" s="1901" t="s">
        <v>1620</v>
      </c>
      <c r="C2" s="1902"/>
      <c r="D2" s="1218"/>
      <c r="E2" s="1219"/>
      <c r="F2" s="1219"/>
      <c r="G2" s="1219"/>
      <c r="H2" s="1219"/>
      <c r="I2" s="1220"/>
      <c r="J2" s="1220"/>
      <c r="K2" s="1908"/>
      <c r="L2" s="1908"/>
      <c r="M2" s="1908"/>
      <c r="N2" s="1220"/>
      <c r="O2" s="1220"/>
      <c r="P2" s="1219"/>
      <c r="Q2" s="1219"/>
      <c r="R2" s="1219"/>
      <c r="S2" s="1220"/>
      <c r="T2" s="1221"/>
      <c r="U2" s="1221"/>
      <c r="V2" s="1221"/>
      <c r="W2" s="1221"/>
      <c r="X2" s="1219"/>
      <c r="Y2" s="1219"/>
      <c r="Z2" s="1219"/>
      <c r="AA2" s="1219"/>
      <c r="AB2" s="1219"/>
      <c r="AC2" s="1219"/>
      <c r="AD2" s="1219"/>
      <c r="AE2" s="1219"/>
      <c r="AF2" s="1219"/>
      <c r="AG2" s="1219"/>
      <c r="AH2" s="1219"/>
      <c r="AI2" s="1219"/>
      <c r="AJ2" s="1219"/>
      <c r="AK2" s="1219"/>
      <c r="AL2" s="1219"/>
      <c r="AM2" s="1219"/>
      <c r="AN2" s="1219"/>
      <c r="AO2" s="1219"/>
      <c r="AP2" s="1219"/>
      <c r="AQ2" s="1219"/>
      <c r="AR2" s="1219"/>
      <c r="AS2" s="1220"/>
      <c r="AT2" s="1221"/>
      <c r="AU2" s="1221"/>
      <c r="AV2" s="1221"/>
      <c r="AW2" s="1221"/>
      <c r="AX2" s="1221"/>
      <c r="AY2" s="1222"/>
      <c r="AZ2" s="1219"/>
      <c r="BA2" s="1219"/>
      <c r="BB2" s="1219"/>
      <c r="BC2" s="1219"/>
      <c r="BD2" s="1219"/>
      <c r="BE2" s="1219"/>
      <c r="BF2" s="1219"/>
      <c r="BG2" s="1219"/>
      <c r="BH2" s="1219"/>
      <c r="BI2" s="1219"/>
      <c r="BJ2" s="1220"/>
      <c r="BK2" s="1913" t="s">
        <v>1619</v>
      </c>
      <c r="BL2" s="1914"/>
    </row>
    <row r="3" spans="1:64" ht="20.25" customHeight="1" thickBot="1">
      <c r="A3" s="1217"/>
      <c r="B3" s="1903"/>
      <c r="C3" s="1904"/>
      <c r="D3" s="1218"/>
      <c r="E3" s="1606" t="s">
        <v>1077</v>
      </c>
      <c r="F3" s="1842"/>
      <c r="G3" s="1842"/>
      <c r="H3" s="1842"/>
      <c r="I3" s="1843"/>
      <c r="J3" s="1223"/>
      <c r="K3" s="1905" t="s">
        <v>1627</v>
      </c>
      <c r="L3" s="1906"/>
      <c r="M3" s="1907"/>
      <c r="N3" s="1223"/>
      <c r="O3" s="1606" t="s">
        <v>1069</v>
      </c>
      <c r="P3" s="1842"/>
      <c r="Q3" s="1842"/>
      <c r="R3" s="1843"/>
      <c r="S3" s="1075"/>
      <c r="T3" s="1586" t="s">
        <v>1291</v>
      </c>
      <c r="U3" s="1587"/>
      <c r="V3" s="1587"/>
      <c r="W3" s="1588"/>
      <c r="X3" s="1064"/>
      <c r="Y3" s="1842" t="s">
        <v>1070</v>
      </c>
      <c r="Z3" s="1842"/>
      <c r="AA3" s="1842"/>
      <c r="AB3" s="1843"/>
      <c r="AC3" s="1064"/>
      <c r="AD3" s="1842" t="s">
        <v>1071</v>
      </c>
      <c r="AE3" s="1842"/>
      <c r="AF3" s="1842"/>
      <c r="AG3" s="1843"/>
      <c r="AH3" s="1071"/>
      <c r="AI3" s="1586" t="s">
        <v>1072</v>
      </c>
      <c r="AJ3" s="1587"/>
      <c r="AK3" s="1587"/>
      <c r="AL3" s="1588"/>
      <c r="AM3" s="1075"/>
      <c r="AN3" s="1586" t="s">
        <v>1485</v>
      </c>
      <c r="AO3" s="1587"/>
      <c r="AP3" s="1842"/>
      <c r="AQ3" s="1842"/>
      <c r="AR3" s="1588"/>
      <c r="AS3" s="1075"/>
      <c r="AT3" s="1586" t="s">
        <v>1292</v>
      </c>
      <c r="AU3" s="1587"/>
      <c r="AV3" s="1842"/>
      <c r="AW3" s="1842"/>
      <c r="AX3" s="1588"/>
      <c r="AY3" s="1075"/>
      <c r="AZ3" s="1586" t="s">
        <v>1073</v>
      </c>
      <c r="BA3" s="1587"/>
      <c r="BB3" s="1587"/>
      <c r="BC3" s="1588"/>
      <c r="BD3" s="1072"/>
      <c r="BE3" s="1586" t="s">
        <v>1333</v>
      </c>
      <c r="BF3" s="1587"/>
      <c r="BG3" s="1587"/>
      <c r="BH3" s="1587"/>
      <c r="BI3" s="1588"/>
      <c r="BJ3" s="1220"/>
      <c r="BK3" s="1915"/>
      <c r="BL3" s="1916"/>
    </row>
    <row r="4" spans="1:64" ht="21" customHeight="1" thickBot="1">
      <c r="A4" s="1217"/>
      <c r="B4" s="1911" t="s">
        <v>1621</v>
      </c>
      <c r="C4" s="1912"/>
      <c r="D4" s="1218"/>
      <c r="E4" s="1224" t="s">
        <v>206</v>
      </c>
      <c r="F4" s="1225" t="s">
        <v>137</v>
      </c>
      <c r="G4" s="1225" t="s">
        <v>570</v>
      </c>
      <c r="H4" s="1225" t="s">
        <v>1067</v>
      </c>
      <c r="I4" s="1226" t="s">
        <v>1068</v>
      </c>
      <c r="J4" s="1227"/>
      <c r="K4" s="1921" t="s">
        <v>1628</v>
      </c>
      <c r="L4" s="1922"/>
      <c r="M4" s="1923"/>
      <c r="N4" s="1227"/>
      <c r="O4" s="1228" t="s">
        <v>206</v>
      </c>
      <c r="P4" s="1229" t="s">
        <v>570</v>
      </c>
      <c r="Q4" s="1229" t="s">
        <v>1067</v>
      </c>
      <c r="R4" s="1230" t="s">
        <v>1068</v>
      </c>
      <c r="S4" s="1170"/>
      <c r="T4" s="1231" t="s">
        <v>206</v>
      </c>
      <c r="U4" s="1232" t="s">
        <v>1330</v>
      </c>
      <c r="V4" s="1233" t="s">
        <v>1332</v>
      </c>
      <c r="W4" s="1234" t="s">
        <v>1331</v>
      </c>
      <c r="X4" s="1083"/>
      <c r="Y4" s="1235" t="s">
        <v>206</v>
      </c>
      <c r="Z4" s="1235" t="s">
        <v>570</v>
      </c>
      <c r="AA4" s="1235" t="s">
        <v>1067</v>
      </c>
      <c r="AB4" s="1235" t="s">
        <v>1068</v>
      </c>
      <c r="AC4" s="1072"/>
      <c r="AD4" s="1235" t="s">
        <v>206</v>
      </c>
      <c r="AE4" s="1235" t="s">
        <v>570</v>
      </c>
      <c r="AF4" s="1235" t="s">
        <v>1067</v>
      </c>
      <c r="AG4" s="1235" t="s">
        <v>1068</v>
      </c>
      <c r="AH4" s="1088"/>
      <c r="AI4" s="1235" t="s">
        <v>206</v>
      </c>
      <c r="AJ4" s="1235" t="s">
        <v>570</v>
      </c>
      <c r="AK4" s="1235" t="s">
        <v>1067</v>
      </c>
      <c r="AL4" s="1235" t="s">
        <v>1068</v>
      </c>
      <c r="AM4" s="1170"/>
      <c r="AN4" s="1235" t="s">
        <v>206</v>
      </c>
      <c r="AO4" s="1236" t="s">
        <v>1330</v>
      </c>
      <c r="AP4" s="1237" t="s">
        <v>1370</v>
      </c>
      <c r="AQ4" s="1237" t="s">
        <v>1371</v>
      </c>
      <c r="AR4" s="1236" t="s">
        <v>1331</v>
      </c>
      <c r="AS4" s="1170"/>
      <c r="AT4" s="1238" t="s">
        <v>206</v>
      </c>
      <c r="AU4" s="1236" t="s">
        <v>1330</v>
      </c>
      <c r="AV4" s="1237" t="s">
        <v>1370</v>
      </c>
      <c r="AW4" s="1237" t="s">
        <v>1371</v>
      </c>
      <c r="AX4" s="1236" t="s">
        <v>1331</v>
      </c>
      <c r="AY4" s="1170"/>
      <c r="AZ4" s="1235" t="s">
        <v>206</v>
      </c>
      <c r="BA4" s="1235" t="s">
        <v>570</v>
      </c>
      <c r="BB4" s="1235" t="s">
        <v>1067</v>
      </c>
      <c r="BC4" s="1235" t="s">
        <v>1068</v>
      </c>
      <c r="BD4" s="1089"/>
      <c r="BE4" s="1235" t="s">
        <v>206</v>
      </c>
      <c r="BF4" s="1236" t="s">
        <v>1330</v>
      </c>
      <c r="BG4" s="1237" t="s">
        <v>1370</v>
      </c>
      <c r="BH4" s="1237" t="s">
        <v>1371</v>
      </c>
      <c r="BI4" s="1236" t="s">
        <v>1372</v>
      </c>
      <c r="BJ4" s="1220"/>
      <c r="BK4" s="1917"/>
      <c r="BL4" s="1918"/>
    </row>
    <row r="5" spans="1:64" ht="15.75" customHeight="1" thickBot="1">
      <c r="A5" s="1217"/>
      <c r="B5" s="1239" t="s">
        <v>1578</v>
      </c>
      <c r="C5" s="1240">
        <v>0</v>
      </c>
      <c r="D5" s="1218"/>
      <c r="E5" s="1909" t="s">
        <v>1078</v>
      </c>
      <c r="F5" s="1241" t="s">
        <v>1074</v>
      </c>
      <c r="G5" s="1242"/>
      <c r="H5" s="1242"/>
      <c r="I5" s="1243"/>
      <c r="J5" s="1244"/>
      <c r="K5" s="1231" t="s">
        <v>206</v>
      </c>
      <c r="L5" s="1245" t="s">
        <v>570</v>
      </c>
      <c r="M5" s="1246" t="s">
        <v>1331</v>
      </c>
      <c r="N5" s="1244"/>
      <c r="O5" s="1247" t="s">
        <v>74</v>
      </c>
      <c r="P5" s="1180"/>
      <c r="Q5" s="1181"/>
      <c r="R5" s="1248"/>
      <c r="S5" s="1114"/>
      <c r="T5" s="1183" t="s">
        <v>74</v>
      </c>
      <c r="U5" s="1180"/>
      <c r="V5" s="1181"/>
      <c r="W5" s="1182"/>
      <c r="X5" s="1112"/>
      <c r="Y5" s="1125" t="s">
        <v>74</v>
      </c>
      <c r="Z5" s="1180"/>
      <c r="AA5" s="1181"/>
      <c r="AB5" s="1182"/>
      <c r="AC5" s="1114"/>
      <c r="AD5" s="1125" t="s">
        <v>74</v>
      </c>
      <c r="AE5" s="1180"/>
      <c r="AF5" s="1181"/>
      <c r="AG5" s="1182"/>
      <c r="AH5" s="1112"/>
      <c r="AI5" s="1125" t="s">
        <v>74</v>
      </c>
      <c r="AJ5" s="1180"/>
      <c r="AK5" s="1181"/>
      <c r="AL5" s="1182"/>
      <c r="AM5" s="1114"/>
      <c r="AN5" s="1125" t="s">
        <v>74</v>
      </c>
      <c r="AO5" s="1249"/>
      <c r="AP5" s="1250"/>
      <c r="AQ5" s="1251"/>
      <c r="AR5" s="1252"/>
      <c r="AS5" s="1114"/>
      <c r="AT5" s="1125" t="s">
        <v>74</v>
      </c>
      <c r="AU5" s="1180"/>
      <c r="AV5" s="1253"/>
      <c r="AW5" s="1181"/>
      <c r="AX5" s="1182"/>
      <c r="AY5" s="1114"/>
      <c r="AZ5" s="1125" t="s">
        <v>74</v>
      </c>
      <c r="BA5" s="1180"/>
      <c r="BB5" s="1181"/>
      <c r="BC5" s="1182"/>
      <c r="BD5" s="1114"/>
      <c r="BE5" s="1125" t="s">
        <v>74</v>
      </c>
      <c r="BF5" s="1180"/>
      <c r="BG5" s="1253"/>
      <c r="BH5" s="1181"/>
      <c r="BI5" s="1182"/>
      <c r="BJ5" s="1220"/>
      <c r="BK5" s="1247" t="s">
        <v>74</v>
      </c>
      <c r="BL5" s="1254"/>
    </row>
    <row r="6" spans="1:64" ht="15.75" customHeight="1">
      <c r="A6" s="1217"/>
      <c r="B6" s="1255" t="s">
        <v>1577</v>
      </c>
      <c r="C6" s="1240">
        <v>0</v>
      </c>
      <c r="D6" s="1218"/>
      <c r="E6" s="1909"/>
      <c r="F6" s="1256" t="s">
        <v>1075</v>
      </c>
      <c r="G6" s="1111"/>
      <c r="H6" s="1111"/>
      <c r="I6" s="1257"/>
      <c r="J6" s="1244"/>
      <c r="K6" s="1247" t="s">
        <v>1580</v>
      </c>
      <c r="L6" s="1186"/>
      <c r="M6" s="1258"/>
      <c r="N6" s="1244"/>
      <c r="O6" s="1259" t="s">
        <v>75</v>
      </c>
      <c r="P6" s="1184"/>
      <c r="Q6" s="1111"/>
      <c r="R6" s="1260"/>
      <c r="S6" s="1114"/>
      <c r="T6" s="1193" t="s">
        <v>75</v>
      </c>
      <c r="U6" s="1180"/>
      <c r="V6" s="1111"/>
      <c r="W6" s="1185"/>
      <c r="X6" s="1112"/>
      <c r="Y6" s="1193" t="s">
        <v>75</v>
      </c>
      <c r="Z6" s="1184"/>
      <c r="AA6" s="1111"/>
      <c r="AB6" s="1185"/>
      <c r="AC6" s="1114"/>
      <c r="AD6" s="1193" t="s">
        <v>75</v>
      </c>
      <c r="AE6" s="1180"/>
      <c r="AF6" s="1111"/>
      <c r="AG6" s="1185"/>
      <c r="AH6" s="1112"/>
      <c r="AI6" s="1193" t="s">
        <v>75</v>
      </c>
      <c r="AJ6" s="1184"/>
      <c r="AK6" s="1111"/>
      <c r="AL6" s="1185"/>
      <c r="AM6" s="1114"/>
      <c r="AN6" s="1193" t="s">
        <v>75</v>
      </c>
      <c r="AO6" s="1261"/>
      <c r="AP6" s="1262"/>
      <c r="AQ6" s="1263"/>
      <c r="AR6" s="1264"/>
      <c r="AS6" s="1114"/>
      <c r="AT6" s="1193" t="s">
        <v>75</v>
      </c>
      <c r="AU6" s="1184"/>
      <c r="AV6" s="1265"/>
      <c r="AW6" s="1111"/>
      <c r="AX6" s="1185"/>
      <c r="AY6" s="1114"/>
      <c r="AZ6" s="1193" t="s">
        <v>75</v>
      </c>
      <c r="BA6" s="1184"/>
      <c r="BB6" s="1111"/>
      <c r="BC6" s="1185"/>
      <c r="BD6" s="1114"/>
      <c r="BE6" s="1193" t="s">
        <v>75</v>
      </c>
      <c r="BF6" s="1184"/>
      <c r="BG6" s="1265"/>
      <c r="BH6" s="1111"/>
      <c r="BI6" s="1185"/>
      <c r="BJ6" s="1220"/>
      <c r="BK6" s="1259" t="s">
        <v>75</v>
      </c>
      <c r="BL6" s="1266"/>
    </row>
    <row r="7" spans="1:64" ht="16.5" customHeight="1" thickBot="1">
      <c r="A7" s="1217"/>
      <c r="B7" s="1239" t="s">
        <v>1579</v>
      </c>
      <c r="C7" s="1240">
        <v>0</v>
      </c>
      <c r="D7" s="1218"/>
      <c r="E7" s="1910"/>
      <c r="F7" s="1267" t="s">
        <v>1076</v>
      </c>
      <c r="G7" s="1156"/>
      <c r="H7" s="1156"/>
      <c r="I7" s="1268"/>
      <c r="J7" s="1244"/>
      <c r="K7" s="1259" t="s">
        <v>1581</v>
      </c>
      <c r="L7" s="1110"/>
      <c r="M7" s="1257"/>
      <c r="N7" s="1244"/>
      <c r="O7" s="1269" t="s">
        <v>76</v>
      </c>
      <c r="P7" s="1184"/>
      <c r="Q7" s="1111"/>
      <c r="R7" s="1260"/>
      <c r="S7" s="1114"/>
      <c r="T7" s="1125" t="s">
        <v>76</v>
      </c>
      <c r="U7" s="1184"/>
      <c r="V7" s="1111"/>
      <c r="W7" s="1185"/>
      <c r="X7" s="1112"/>
      <c r="Y7" s="1125" t="s">
        <v>76</v>
      </c>
      <c r="Z7" s="1184"/>
      <c r="AA7" s="1111"/>
      <c r="AB7" s="1185"/>
      <c r="AC7" s="1114"/>
      <c r="AD7" s="1125" t="s">
        <v>76</v>
      </c>
      <c r="AE7" s="1184"/>
      <c r="AF7" s="1111"/>
      <c r="AG7" s="1185"/>
      <c r="AH7" s="1112"/>
      <c r="AI7" s="1125" t="s">
        <v>76</v>
      </c>
      <c r="AJ7" s="1184"/>
      <c r="AK7" s="1111"/>
      <c r="AL7" s="1185"/>
      <c r="AM7" s="1114"/>
      <c r="AN7" s="1125" t="s">
        <v>76</v>
      </c>
      <c r="AO7" s="1261"/>
      <c r="AP7" s="1262"/>
      <c r="AQ7" s="1263"/>
      <c r="AR7" s="1264"/>
      <c r="AS7" s="1114"/>
      <c r="AT7" s="1125" t="s">
        <v>76</v>
      </c>
      <c r="AU7" s="1184"/>
      <c r="AV7" s="1265"/>
      <c r="AW7" s="1111"/>
      <c r="AX7" s="1185"/>
      <c r="AY7" s="1114"/>
      <c r="AZ7" s="1125" t="s">
        <v>76</v>
      </c>
      <c r="BA7" s="1184"/>
      <c r="BB7" s="1111"/>
      <c r="BC7" s="1185"/>
      <c r="BD7" s="1114"/>
      <c r="BE7" s="1125" t="s">
        <v>76</v>
      </c>
      <c r="BF7" s="1184"/>
      <c r="BG7" s="1265"/>
      <c r="BH7" s="1111"/>
      <c r="BI7" s="1185"/>
      <c r="BJ7" s="1220"/>
      <c r="BK7" s="1269" t="s">
        <v>76</v>
      </c>
      <c r="BL7" s="1266"/>
    </row>
    <row r="8" spans="1:64" ht="15.75" customHeight="1" thickBot="1">
      <c r="A8" s="1217"/>
      <c r="B8" s="1270" t="s">
        <v>1093</v>
      </c>
      <c r="C8" s="1240">
        <v>0</v>
      </c>
      <c r="D8" s="1218"/>
      <c r="E8" s="1271"/>
      <c r="F8" s="1272"/>
      <c r="G8" s="1273"/>
      <c r="H8" s="1273"/>
      <c r="I8" s="1273"/>
      <c r="J8" s="1244"/>
      <c r="K8" s="1269" t="s">
        <v>1582</v>
      </c>
      <c r="L8" s="1110"/>
      <c r="M8" s="1257"/>
      <c r="N8" s="1244"/>
      <c r="O8" s="1259" t="s">
        <v>77</v>
      </c>
      <c r="P8" s="1184"/>
      <c r="Q8" s="1111"/>
      <c r="R8" s="1260"/>
      <c r="S8" s="1114"/>
      <c r="T8" s="1193" t="s">
        <v>77</v>
      </c>
      <c r="U8" s="1184"/>
      <c r="V8" s="1111"/>
      <c r="W8" s="1185"/>
      <c r="X8" s="1112"/>
      <c r="Y8" s="1193" t="s">
        <v>77</v>
      </c>
      <c r="Z8" s="1184"/>
      <c r="AA8" s="1111"/>
      <c r="AB8" s="1185"/>
      <c r="AC8" s="1114"/>
      <c r="AD8" s="1193" t="s">
        <v>77</v>
      </c>
      <c r="AE8" s="1184"/>
      <c r="AF8" s="1111"/>
      <c r="AG8" s="1185"/>
      <c r="AH8" s="1112"/>
      <c r="AI8" s="1193" t="s">
        <v>77</v>
      </c>
      <c r="AJ8" s="1184"/>
      <c r="AK8" s="1111"/>
      <c r="AL8" s="1185"/>
      <c r="AM8" s="1114"/>
      <c r="AN8" s="1193" t="s">
        <v>77</v>
      </c>
      <c r="AO8" s="1261"/>
      <c r="AP8" s="1262"/>
      <c r="AQ8" s="1263"/>
      <c r="AR8" s="1264"/>
      <c r="AS8" s="1114"/>
      <c r="AT8" s="1193" t="s">
        <v>77</v>
      </c>
      <c r="AU8" s="1184"/>
      <c r="AV8" s="1265"/>
      <c r="AW8" s="1111"/>
      <c r="AX8" s="1185"/>
      <c r="AY8" s="1114"/>
      <c r="AZ8" s="1193" t="s">
        <v>77</v>
      </c>
      <c r="BA8" s="1184"/>
      <c r="BB8" s="1111"/>
      <c r="BC8" s="1185"/>
      <c r="BD8" s="1114"/>
      <c r="BE8" s="1193" t="s">
        <v>77</v>
      </c>
      <c r="BF8" s="1184"/>
      <c r="BG8" s="1265"/>
      <c r="BH8" s="1111"/>
      <c r="BI8" s="1185"/>
      <c r="BJ8" s="1220"/>
      <c r="BK8" s="1259" t="s">
        <v>77</v>
      </c>
      <c r="BL8" s="1266"/>
    </row>
    <row r="9" spans="1:64" ht="15.75" customHeight="1" thickBot="1">
      <c r="A9" s="1217"/>
      <c r="B9" s="1123" t="s">
        <v>1092</v>
      </c>
      <c r="C9" s="1240">
        <v>0</v>
      </c>
      <c r="D9" s="1218"/>
      <c r="E9" s="1875" t="s">
        <v>1079</v>
      </c>
      <c r="F9" s="1241" t="s">
        <v>1074</v>
      </c>
      <c r="G9" s="1242"/>
      <c r="H9" s="1242"/>
      <c r="I9" s="1243"/>
      <c r="J9" s="1244"/>
      <c r="K9" s="1274" t="s">
        <v>1583</v>
      </c>
      <c r="L9" s="1156"/>
      <c r="M9" s="1275"/>
      <c r="N9" s="1244"/>
      <c r="O9" s="1269" t="s">
        <v>100</v>
      </c>
      <c r="P9" s="1184"/>
      <c r="Q9" s="1111"/>
      <c r="R9" s="1260"/>
      <c r="S9" s="1114"/>
      <c r="T9" s="1125" t="s">
        <v>100</v>
      </c>
      <c r="U9" s="1184"/>
      <c r="V9" s="1111"/>
      <c r="W9" s="1185"/>
      <c r="X9" s="1112"/>
      <c r="Y9" s="1125" t="s">
        <v>100</v>
      </c>
      <c r="Z9" s="1184"/>
      <c r="AA9" s="1111"/>
      <c r="AB9" s="1185"/>
      <c r="AC9" s="1114"/>
      <c r="AD9" s="1125" t="s">
        <v>100</v>
      </c>
      <c r="AE9" s="1184"/>
      <c r="AF9" s="1111"/>
      <c r="AG9" s="1185"/>
      <c r="AH9" s="1112"/>
      <c r="AI9" s="1125" t="s">
        <v>100</v>
      </c>
      <c r="AJ9" s="1184"/>
      <c r="AK9" s="1111"/>
      <c r="AL9" s="1185"/>
      <c r="AM9" s="1114"/>
      <c r="AN9" s="1125" t="s">
        <v>100</v>
      </c>
      <c r="AO9" s="1261"/>
      <c r="AP9" s="1262"/>
      <c r="AQ9" s="1263"/>
      <c r="AR9" s="1264"/>
      <c r="AS9" s="1114"/>
      <c r="AT9" s="1125" t="s">
        <v>100</v>
      </c>
      <c r="AU9" s="1184"/>
      <c r="AV9" s="1265"/>
      <c r="AW9" s="1111"/>
      <c r="AX9" s="1185"/>
      <c r="AY9" s="1114"/>
      <c r="AZ9" s="1125" t="s">
        <v>100</v>
      </c>
      <c r="BA9" s="1184"/>
      <c r="BB9" s="1111"/>
      <c r="BC9" s="1185"/>
      <c r="BD9" s="1114"/>
      <c r="BE9" s="1125" t="s">
        <v>100</v>
      </c>
      <c r="BF9" s="1184"/>
      <c r="BG9" s="1265"/>
      <c r="BH9" s="1111"/>
      <c r="BI9" s="1185"/>
      <c r="BJ9" s="1220"/>
      <c r="BK9" s="1269" t="s">
        <v>100</v>
      </c>
      <c r="BL9" s="1266"/>
    </row>
    <row r="10" spans="1:64" ht="16.5" customHeight="1" thickBot="1">
      <c r="A10" s="1217"/>
      <c r="B10" s="1270" t="s">
        <v>1091</v>
      </c>
      <c r="C10" s="1240">
        <v>0</v>
      </c>
      <c r="D10" s="1218"/>
      <c r="E10" s="1876"/>
      <c r="F10" s="1256" t="s">
        <v>1075</v>
      </c>
      <c r="G10" s="1111"/>
      <c r="H10" s="1111"/>
      <c r="I10" s="1257"/>
      <c r="J10" s="1244"/>
      <c r="K10" s="1276"/>
      <c r="L10" s="1276"/>
      <c r="M10" s="1276"/>
      <c r="N10" s="1244"/>
      <c r="O10" s="1259" t="s">
        <v>78</v>
      </c>
      <c r="P10" s="1184"/>
      <c r="Q10" s="1111"/>
      <c r="R10" s="1260"/>
      <c r="S10" s="1114"/>
      <c r="T10" s="1193" t="s">
        <v>78</v>
      </c>
      <c r="U10" s="1184"/>
      <c r="V10" s="1111"/>
      <c r="W10" s="1185"/>
      <c r="X10" s="1112"/>
      <c r="Y10" s="1193" t="s">
        <v>78</v>
      </c>
      <c r="Z10" s="1184"/>
      <c r="AA10" s="1111"/>
      <c r="AB10" s="1185"/>
      <c r="AC10" s="1114"/>
      <c r="AD10" s="1193" t="s">
        <v>78</v>
      </c>
      <c r="AE10" s="1184"/>
      <c r="AF10" s="1111"/>
      <c r="AG10" s="1185"/>
      <c r="AH10" s="1112"/>
      <c r="AI10" s="1193" t="s">
        <v>78</v>
      </c>
      <c r="AJ10" s="1184"/>
      <c r="AK10" s="1111"/>
      <c r="AL10" s="1185"/>
      <c r="AM10" s="1114"/>
      <c r="AN10" s="1193" t="s">
        <v>78</v>
      </c>
      <c r="AO10" s="1261"/>
      <c r="AP10" s="1262"/>
      <c r="AQ10" s="1263"/>
      <c r="AR10" s="1264"/>
      <c r="AS10" s="1114"/>
      <c r="AT10" s="1193" t="s">
        <v>78</v>
      </c>
      <c r="AU10" s="1184"/>
      <c r="AV10" s="1265"/>
      <c r="AW10" s="1111"/>
      <c r="AX10" s="1185"/>
      <c r="AY10" s="1114"/>
      <c r="AZ10" s="1193" t="s">
        <v>78</v>
      </c>
      <c r="BA10" s="1184"/>
      <c r="BB10" s="1111"/>
      <c r="BC10" s="1185"/>
      <c r="BD10" s="1114"/>
      <c r="BE10" s="1193" t="s">
        <v>78</v>
      </c>
      <c r="BF10" s="1184"/>
      <c r="BG10" s="1265"/>
      <c r="BH10" s="1111"/>
      <c r="BI10" s="1185"/>
      <c r="BJ10" s="1220"/>
      <c r="BK10" s="1259" t="s">
        <v>78</v>
      </c>
      <c r="BL10" s="1266"/>
    </row>
    <row r="11" spans="1:64" ht="16.5" customHeight="1" thickBot="1">
      <c r="A11" s="1217"/>
      <c r="B11" s="1123" t="s">
        <v>1089</v>
      </c>
      <c r="C11" s="1240">
        <v>0</v>
      </c>
      <c r="D11" s="1218"/>
      <c r="E11" s="1877"/>
      <c r="F11" s="1267" t="s">
        <v>1076</v>
      </c>
      <c r="G11" s="1156"/>
      <c r="H11" s="1156"/>
      <c r="I11" s="1268"/>
      <c r="J11" s="1244"/>
      <c r="K11" s="1933" t="s">
        <v>1624</v>
      </c>
      <c r="L11" s="1934"/>
      <c r="M11" s="1935"/>
      <c r="N11" s="1244"/>
      <c r="O11" s="1269" t="s">
        <v>79</v>
      </c>
      <c r="P11" s="1184"/>
      <c r="Q11" s="1111"/>
      <c r="R11" s="1260"/>
      <c r="S11" s="1114"/>
      <c r="T11" s="1125" t="s">
        <v>79</v>
      </c>
      <c r="U11" s="1184"/>
      <c r="V11" s="1111"/>
      <c r="W11" s="1185"/>
      <c r="X11" s="1112"/>
      <c r="Y11" s="1125" t="s">
        <v>79</v>
      </c>
      <c r="Z11" s="1184"/>
      <c r="AA11" s="1111"/>
      <c r="AB11" s="1185"/>
      <c r="AC11" s="1114"/>
      <c r="AD11" s="1125" t="s">
        <v>79</v>
      </c>
      <c r="AE11" s="1184"/>
      <c r="AF11" s="1111"/>
      <c r="AG11" s="1185"/>
      <c r="AH11" s="1112"/>
      <c r="AI11" s="1125" t="s">
        <v>79</v>
      </c>
      <c r="AJ11" s="1184"/>
      <c r="AK11" s="1111"/>
      <c r="AL11" s="1185"/>
      <c r="AM11" s="1114"/>
      <c r="AN11" s="1125" t="s">
        <v>79</v>
      </c>
      <c r="AO11" s="1261"/>
      <c r="AP11" s="1262"/>
      <c r="AQ11" s="1263"/>
      <c r="AR11" s="1264"/>
      <c r="AS11" s="1114"/>
      <c r="AT11" s="1125" t="s">
        <v>79</v>
      </c>
      <c r="AU11" s="1184"/>
      <c r="AV11" s="1265"/>
      <c r="AW11" s="1111"/>
      <c r="AX11" s="1185"/>
      <c r="AY11" s="1114"/>
      <c r="AZ11" s="1125" t="s">
        <v>79</v>
      </c>
      <c r="BA11" s="1184"/>
      <c r="BB11" s="1111"/>
      <c r="BC11" s="1185"/>
      <c r="BD11" s="1114"/>
      <c r="BE11" s="1125" t="s">
        <v>79</v>
      </c>
      <c r="BF11" s="1184"/>
      <c r="BG11" s="1265"/>
      <c r="BH11" s="1111"/>
      <c r="BI11" s="1185"/>
      <c r="BJ11" s="1220"/>
      <c r="BK11" s="1269" t="s">
        <v>79</v>
      </c>
      <c r="BL11" s="1266"/>
    </row>
    <row r="12" spans="1:64" ht="15.75" customHeight="1" thickBot="1">
      <c r="A12" s="1217"/>
      <c r="B12" s="1270" t="s">
        <v>1589</v>
      </c>
      <c r="C12" s="1240">
        <v>0</v>
      </c>
      <c r="D12" s="1218"/>
      <c r="E12" s="1277"/>
      <c r="F12" s="1272"/>
      <c r="G12" s="1273"/>
      <c r="H12" s="1273"/>
      <c r="I12" s="1273"/>
      <c r="J12" s="1244"/>
      <c r="K12" s="1936"/>
      <c r="L12" s="1937"/>
      <c r="M12" s="1938"/>
      <c r="N12" s="1244"/>
      <c r="O12" s="1259" t="s">
        <v>80</v>
      </c>
      <c r="P12" s="1184"/>
      <c r="Q12" s="1111"/>
      <c r="R12" s="1260"/>
      <c r="S12" s="1114"/>
      <c r="T12" s="1193" t="s">
        <v>80</v>
      </c>
      <c r="U12" s="1184"/>
      <c r="V12" s="1111"/>
      <c r="W12" s="1185"/>
      <c r="X12" s="1112"/>
      <c r="Y12" s="1193" t="s">
        <v>80</v>
      </c>
      <c r="Z12" s="1184"/>
      <c r="AA12" s="1111"/>
      <c r="AB12" s="1185"/>
      <c r="AC12" s="1114"/>
      <c r="AD12" s="1193" t="s">
        <v>80</v>
      </c>
      <c r="AE12" s="1184"/>
      <c r="AF12" s="1111"/>
      <c r="AG12" s="1185"/>
      <c r="AH12" s="1112"/>
      <c r="AI12" s="1193" t="s">
        <v>80</v>
      </c>
      <c r="AJ12" s="1184"/>
      <c r="AK12" s="1111"/>
      <c r="AL12" s="1185"/>
      <c r="AM12" s="1114"/>
      <c r="AN12" s="1193" t="s">
        <v>80</v>
      </c>
      <c r="AO12" s="1261"/>
      <c r="AP12" s="1262"/>
      <c r="AQ12" s="1263"/>
      <c r="AR12" s="1264"/>
      <c r="AS12" s="1114"/>
      <c r="AT12" s="1193" t="s">
        <v>80</v>
      </c>
      <c r="AU12" s="1184"/>
      <c r="AV12" s="1265"/>
      <c r="AW12" s="1111"/>
      <c r="AX12" s="1185"/>
      <c r="AY12" s="1114"/>
      <c r="AZ12" s="1193" t="s">
        <v>80</v>
      </c>
      <c r="BA12" s="1184"/>
      <c r="BB12" s="1111"/>
      <c r="BC12" s="1185"/>
      <c r="BD12" s="1114"/>
      <c r="BE12" s="1193" t="s">
        <v>80</v>
      </c>
      <c r="BF12" s="1184"/>
      <c r="BG12" s="1265"/>
      <c r="BH12" s="1111"/>
      <c r="BI12" s="1185"/>
      <c r="BJ12" s="1220"/>
      <c r="BK12" s="1259" t="s">
        <v>80</v>
      </c>
      <c r="BL12" s="1266"/>
    </row>
    <row r="13" spans="1:64" ht="15.75" customHeight="1">
      <c r="A13" s="1217"/>
      <c r="B13" s="1880">
        <v>0</v>
      </c>
      <c r="C13" s="1881"/>
      <c r="D13" s="1278"/>
      <c r="E13" s="1886" t="s">
        <v>1622</v>
      </c>
      <c r="F13" s="1887"/>
      <c r="G13" s="1887"/>
      <c r="H13" s="1887"/>
      <c r="I13" s="1888"/>
      <c r="J13" s="1244"/>
      <c r="K13" s="1930" t="s">
        <v>1626</v>
      </c>
      <c r="L13" s="1931"/>
      <c r="M13" s="1932"/>
      <c r="N13" s="1244"/>
      <c r="O13" s="1269" t="s">
        <v>81</v>
      </c>
      <c r="P13" s="1184"/>
      <c r="Q13" s="1111"/>
      <c r="R13" s="1260"/>
      <c r="S13" s="1114"/>
      <c r="T13" s="1125" t="s">
        <v>81</v>
      </c>
      <c r="U13" s="1184"/>
      <c r="V13" s="1111"/>
      <c r="W13" s="1185"/>
      <c r="X13" s="1112"/>
      <c r="Y13" s="1125" t="s">
        <v>81</v>
      </c>
      <c r="Z13" s="1184"/>
      <c r="AA13" s="1111"/>
      <c r="AB13" s="1185"/>
      <c r="AC13" s="1114"/>
      <c r="AD13" s="1125" t="s">
        <v>81</v>
      </c>
      <c r="AE13" s="1184"/>
      <c r="AF13" s="1111"/>
      <c r="AG13" s="1185"/>
      <c r="AH13" s="1112"/>
      <c r="AI13" s="1125" t="s">
        <v>81</v>
      </c>
      <c r="AJ13" s="1184"/>
      <c r="AK13" s="1111"/>
      <c r="AL13" s="1185"/>
      <c r="AM13" s="1114"/>
      <c r="AN13" s="1125" t="s">
        <v>81</v>
      </c>
      <c r="AO13" s="1261"/>
      <c r="AP13" s="1262"/>
      <c r="AQ13" s="1263"/>
      <c r="AR13" s="1264"/>
      <c r="AS13" s="1114"/>
      <c r="AT13" s="1125" t="s">
        <v>81</v>
      </c>
      <c r="AU13" s="1184"/>
      <c r="AV13" s="1265"/>
      <c r="AW13" s="1111"/>
      <c r="AX13" s="1185"/>
      <c r="AY13" s="1114"/>
      <c r="AZ13" s="1125" t="s">
        <v>81</v>
      </c>
      <c r="BA13" s="1184"/>
      <c r="BB13" s="1111"/>
      <c r="BC13" s="1185"/>
      <c r="BD13" s="1114"/>
      <c r="BE13" s="1125" t="s">
        <v>81</v>
      </c>
      <c r="BF13" s="1184"/>
      <c r="BG13" s="1265"/>
      <c r="BH13" s="1111"/>
      <c r="BI13" s="1185"/>
      <c r="BJ13" s="1220"/>
      <c r="BK13" s="1269" t="s">
        <v>81</v>
      </c>
      <c r="BL13" s="1266"/>
    </row>
    <row r="14" spans="1:64" ht="15.75" customHeight="1">
      <c r="A14" s="1217"/>
      <c r="B14" s="1882"/>
      <c r="C14" s="1883"/>
      <c r="D14" s="1279"/>
      <c r="E14" s="1889"/>
      <c r="F14" s="1890"/>
      <c r="G14" s="1890"/>
      <c r="H14" s="1890"/>
      <c r="I14" s="1891"/>
      <c r="J14" s="1244"/>
      <c r="K14" s="1930"/>
      <c r="L14" s="1931"/>
      <c r="M14" s="1932"/>
      <c r="N14" s="1244"/>
      <c r="O14" s="1259" t="s">
        <v>82</v>
      </c>
      <c r="P14" s="1184"/>
      <c r="Q14" s="1111"/>
      <c r="R14" s="1260"/>
      <c r="S14" s="1114"/>
      <c r="T14" s="1193" t="s">
        <v>82</v>
      </c>
      <c r="U14" s="1184"/>
      <c r="V14" s="1111"/>
      <c r="W14" s="1185"/>
      <c r="X14" s="1112"/>
      <c r="Y14" s="1193" t="s">
        <v>82</v>
      </c>
      <c r="Z14" s="1184"/>
      <c r="AA14" s="1111"/>
      <c r="AB14" s="1185"/>
      <c r="AC14" s="1114"/>
      <c r="AD14" s="1193" t="s">
        <v>82</v>
      </c>
      <c r="AE14" s="1184"/>
      <c r="AF14" s="1111"/>
      <c r="AG14" s="1185"/>
      <c r="AH14" s="1112"/>
      <c r="AI14" s="1193" t="s">
        <v>82</v>
      </c>
      <c r="AJ14" s="1184"/>
      <c r="AK14" s="1111"/>
      <c r="AL14" s="1185"/>
      <c r="AM14" s="1114"/>
      <c r="AN14" s="1193" t="s">
        <v>82</v>
      </c>
      <c r="AO14" s="1261"/>
      <c r="AP14" s="1262"/>
      <c r="AQ14" s="1263"/>
      <c r="AR14" s="1264"/>
      <c r="AS14" s="1114"/>
      <c r="AT14" s="1193" t="s">
        <v>82</v>
      </c>
      <c r="AU14" s="1184"/>
      <c r="AV14" s="1265"/>
      <c r="AW14" s="1111"/>
      <c r="AX14" s="1185"/>
      <c r="AY14" s="1114"/>
      <c r="AZ14" s="1193" t="s">
        <v>82</v>
      </c>
      <c r="BA14" s="1184"/>
      <c r="BB14" s="1111"/>
      <c r="BC14" s="1185"/>
      <c r="BD14" s="1114"/>
      <c r="BE14" s="1193" t="s">
        <v>82</v>
      </c>
      <c r="BF14" s="1184"/>
      <c r="BG14" s="1265"/>
      <c r="BH14" s="1111"/>
      <c r="BI14" s="1185"/>
      <c r="BJ14" s="1220"/>
      <c r="BK14" s="1259" t="s">
        <v>82</v>
      </c>
      <c r="BL14" s="1266"/>
    </row>
    <row r="15" spans="1:64" ht="15.75" customHeight="1" thickBot="1">
      <c r="A15" s="1217"/>
      <c r="B15" s="1884"/>
      <c r="C15" s="1885"/>
      <c r="D15" s="1279"/>
      <c r="E15" s="1892" t="s">
        <v>1623</v>
      </c>
      <c r="F15" s="1893"/>
      <c r="G15" s="1893"/>
      <c r="H15" s="1893"/>
      <c r="I15" s="1894"/>
      <c r="J15" s="1244"/>
      <c r="K15" s="1930"/>
      <c r="L15" s="1931"/>
      <c r="M15" s="1932"/>
      <c r="N15" s="1244"/>
      <c r="O15" s="1269" t="s">
        <v>83</v>
      </c>
      <c r="P15" s="1184"/>
      <c r="Q15" s="1111"/>
      <c r="R15" s="1260"/>
      <c r="S15" s="1114"/>
      <c r="T15" s="1125" t="s">
        <v>83</v>
      </c>
      <c r="U15" s="1184"/>
      <c r="V15" s="1111"/>
      <c r="W15" s="1185"/>
      <c r="X15" s="1112"/>
      <c r="Y15" s="1125" t="s">
        <v>83</v>
      </c>
      <c r="Z15" s="1184"/>
      <c r="AA15" s="1111"/>
      <c r="AB15" s="1185"/>
      <c r="AC15" s="1114"/>
      <c r="AD15" s="1125" t="s">
        <v>83</v>
      </c>
      <c r="AE15" s="1184"/>
      <c r="AF15" s="1111"/>
      <c r="AG15" s="1185"/>
      <c r="AH15" s="1112"/>
      <c r="AI15" s="1125" t="s">
        <v>83</v>
      </c>
      <c r="AJ15" s="1184"/>
      <c r="AK15" s="1111"/>
      <c r="AL15" s="1185"/>
      <c r="AM15" s="1114"/>
      <c r="AN15" s="1125" t="s">
        <v>83</v>
      </c>
      <c r="AO15" s="1261"/>
      <c r="AP15" s="1262"/>
      <c r="AQ15" s="1263"/>
      <c r="AR15" s="1264"/>
      <c r="AS15" s="1114"/>
      <c r="AT15" s="1125" t="s">
        <v>83</v>
      </c>
      <c r="AU15" s="1184"/>
      <c r="AV15" s="1265"/>
      <c r="AW15" s="1111"/>
      <c r="AX15" s="1185"/>
      <c r="AY15" s="1114"/>
      <c r="AZ15" s="1125" t="s">
        <v>83</v>
      </c>
      <c r="BA15" s="1184"/>
      <c r="BB15" s="1111"/>
      <c r="BC15" s="1185"/>
      <c r="BD15" s="1114"/>
      <c r="BE15" s="1125" t="s">
        <v>83</v>
      </c>
      <c r="BF15" s="1184"/>
      <c r="BG15" s="1265"/>
      <c r="BH15" s="1111"/>
      <c r="BI15" s="1185"/>
      <c r="BJ15" s="1220"/>
      <c r="BK15" s="1269" t="s">
        <v>83</v>
      </c>
      <c r="BL15" s="1266"/>
    </row>
    <row r="16" spans="1:64" ht="18.75" customHeight="1" thickBot="1">
      <c r="A16" s="1217"/>
      <c r="B16" s="1878" t="s">
        <v>1335</v>
      </c>
      <c r="C16" s="1879"/>
      <c r="D16" s="1279"/>
      <c r="E16" s="1892"/>
      <c r="F16" s="1893"/>
      <c r="G16" s="1893"/>
      <c r="H16" s="1893"/>
      <c r="I16" s="1894"/>
      <c r="J16" s="1244"/>
      <c r="K16" s="1930"/>
      <c r="L16" s="1931"/>
      <c r="M16" s="1932"/>
      <c r="N16" s="1244"/>
      <c r="O16" s="1259" t="s">
        <v>85</v>
      </c>
      <c r="P16" s="1184"/>
      <c r="Q16" s="1111"/>
      <c r="R16" s="1260"/>
      <c r="S16" s="1114"/>
      <c r="T16" s="1193" t="s">
        <v>85</v>
      </c>
      <c r="U16" s="1184"/>
      <c r="V16" s="1111"/>
      <c r="W16" s="1185"/>
      <c r="X16" s="1112"/>
      <c r="Y16" s="1193" t="s">
        <v>85</v>
      </c>
      <c r="Z16" s="1184"/>
      <c r="AA16" s="1111"/>
      <c r="AB16" s="1185"/>
      <c r="AC16" s="1114"/>
      <c r="AD16" s="1193" t="s">
        <v>85</v>
      </c>
      <c r="AE16" s="1184"/>
      <c r="AF16" s="1111"/>
      <c r="AG16" s="1185"/>
      <c r="AH16" s="1112"/>
      <c r="AI16" s="1193" t="s">
        <v>85</v>
      </c>
      <c r="AJ16" s="1184"/>
      <c r="AK16" s="1111"/>
      <c r="AL16" s="1185"/>
      <c r="AM16" s="1114"/>
      <c r="AN16" s="1193" t="s">
        <v>85</v>
      </c>
      <c r="AO16" s="1261"/>
      <c r="AP16" s="1262"/>
      <c r="AQ16" s="1263"/>
      <c r="AR16" s="1264"/>
      <c r="AS16" s="1114"/>
      <c r="AT16" s="1193" t="s">
        <v>85</v>
      </c>
      <c r="AU16" s="1184"/>
      <c r="AV16" s="1265"/>
      <c r="AW16" s="1111"/>
      <c r="AX16" s="1185"/>
      <c r="AY16" s="1114"/>
      <c r="AZ16" s="1193" t="s">
        <v>85</v>
      </c>
      <c r="BA16" s="1184"/>
      <c r="BB16" s="1111"/>
      <c r="BC16" s="1185"/>
      <c r="BD16" s="1114"/>
      <c r="BE16" s="1193" t="s">
        <v>85</v>
      </c>
      <c r="BF16" s="1184"/>
      <c r="BG16" s="1265"/>
      <c r="BH16" s="1111"/>
      <c r="BI16" s="1185"/>
      <c r="BJ16" s="1220"/>
      <c r="BK16" s="1259" t="s">
        <v>85</v>
      </c>
      <c r="BL16" s="1266"/>
    </row>
    <row r="17" spans="1:64" ht="15.75" customHeight="1">
      <c r="A17" s="1217"/>
      <c r="B17" s="1280" t="s">
        <v>1576</v>
      </c>
      <c r="C17" s="1281"/>
      <c r="D17" s="1279"/>
      <c r="E17" s="1892"/>
      <c r="F17" s="1893"/>
      <c r="G17" s="1893"/>
      <c r="H17" s="1893"/>
      <c r="I17" s="1894"/>
      <c r="J17" s="1244"/>
      <c r="K17" s="1930"/>
      <c r="L17" s="1931"/>
      <c r="M17" s="1932"/>
      <c r="N17" s="1244"/>
      <c r="O17" s="1269" t="s">
        <v>84</v>
      </c>
      <c r="P17" s="1184"/>
      <c r="Q17" s="1111"/>
      <c r="R17" s="1260"/>
      <c r="S17" s="1114"/>
      <c r="T17" s="1125" t="s">
        <v>84</v>
      </c>
      <c r="U17" s="1184"/>
      <c r="V17" s="1111"/>
      <c r="W17" s="1185"/>
      <c r="X17" s="1112"/>
      <c r="Y17" s="1125" t="s">
        <v>84</v>
      </c>
      <c r="Z17" s="1184"/>
      <c r="AA17" s="1111"/>
      <c r="AB17" s="1185"/>
      <c r="AC17" s="1114"/>
      <c r="AD17" s="1125" t="s">
        <v>84</v>
      </c>
      <c r="AE17" s="1184"/>
      <c r="AF17" s="1111"/>
      <c r="AG17" s="1185"/>
      <c r="AH17" s="1112"/>
      <c r="AI17" s="1125" t="s">
        <v>84</v>
      </c>
      <c r="AJ17" s="1184"/>
      <c r="AK17" s="1111"/>
      <c r="AL17" s="1185"/>
      <c r="AM17" s="1114"/>
      <c r="AN17" s="1125" t="s">
        <v>84</v>
      </c>
      <c r="AO17" s="1261"/>
      <c r="AP17" s="1262"/>
      <c r="AQ17" s="1263"/>
      <c r="AR17" s="1264"/>
      <c r="AS17" s="1114"/>
      <c r="AT17" s="1125" t="s">
        <v>84</v>
      </c>
      <c r="AU17" s="1184"/>
      <c r="AV17" s="1265"/>
      <c r="AW17" s="1111"/>
      <c r="AX17" s="1185"/>
      <c r="AY17" s="1114"/>
      <c r="AZ17" s="1125" t="s">
        <v>84</v>
      </c>
      <c r="BA17" s="1184"/>
      <c r="BB17" s="1111"/>
      <c r="BC17" s="1185"/>
      <c r="BD17" s="1114"/>
      <c r="BE17" s="1125" t="s">
        <v>84</v>
      </c>
      <c r="BF17" s="1184"/>
      <c r="BG17" s="1265"/>
      <c r="BH17" s="1111"/>
      <c r="BI17" s="1185"/>
      <c r="BJ17" s="1220"/>
      <c r="BK17" s="1269" t="s">
        <v>84</v>
      </c>
      <c r="BL17" s="1266"/>
    </row>
    <row r="18" spans="1:64" ht="15.75" customHeight="1">
      <c r="A18" s="1217"/>
      <c r="B18" s="1282" t="s">
        <v>1376</v>
      </c>
      <c r="C18" s="1283"/>
      <c r="D18" s="1279"/>
      <c r="E18" s="1892"/>
      <c r="F18" s="1893"/>
      <c r="G18" s="1893"/>
      <c r="H18" s="1893"/>
      <c r="I18" s="1894"/>
      <c r="J18" s="1244"/>
      <c r="K18" s="1930"/>
      <c r="L18" s="1931"/>
      <c r="M18" s="1932"/>
      <c r="N18" s="1244"/>
      <c r="O18" s="1259" t="s">
        <v>86</v>
      </c>
      <c r="P18" s="1184"/>
      <c r="Q18" s="1111"/>
      <c r="R18" s="1260"/>
      <c r="S18" s="1114"/>
      <c r="T18" s="1193" t="s">
        <v>86</v>
      </c>
      <c r="U18" s="1184"/>
      <c r="V18" s="1111"/>
      <c r="W18" s="1185"/>
      <c r="X18" s="1112"/>
      <c r="Y18" s="1193" t="s">
        <v>86</v>
      </c>
      <c r="Z18" s="1184"/>
      <c r="AA18" s="1111"/>
      <c r="AB18" s="1185"/>
      <c r="AC18" s="1114"/>
      <c r="AD18" s="1193" t="s">
        <v>86</v>
      </c>
      <c r="AE18" s="1184"/>
      <c r="AF18" s="1111"/>
      <c r="AG18" s="1185"/>
      <c r="AH18" s="1112"/>
      <c r="AI18" s="1193" t="s">
        <v>86</v>
      </c>
      <c r="AJ18" s="1184"/>
      <c r="AK18" s="1111"/>
      <c r="AL18" s="1185"/>
      <c r="AM18" s="1114"/>
      <c r="AN18" s="1193" t="s">
        <v>86</v>
      </c>
      <c r="AO18" s="1261"/>
      <c r="AP18" s="1262"/>
      <c r="AQ18" s="1263"/>
      <c r="AR18" s="1264"/>
      <c r="AS18" s="1114"/>
      <c r="AT18" s="1193" t="s">
        <v>86</v>
      </c>
      <c r="AU18" s="1184"/>
      <c r="AV18" s="1265"/>
      <c r="AW18" s="1111"/>
      <c r="AX18" s="1185"/>
      <c r="AY18" s="1114"/>
      <c r="AZ18" s="1193" t="s">
        <v>86</v>
      </c>
      <c r="BA18" s="1184"/>
      <c r="BB18" s="1111"/>
      <c r="BC18" s="1185"/>
      <c r="BD18" s="1114"/>
      <c r="BE18" s="1193" t="s">
        <v>86</v>
      </c>
      <c r="BF18" s="1184"/>
      <c r="BG18" s="1265"/>
      <c r="BH18" s="1111"/>
      <c r="BI18" s="1185"/>
      <c r="BJ18" s="1220"/>
      <c r="BK18" s="1259" t="s">
        <v>86</v>
      </c>
      <c r="BL18" s="1266"/>
    </row>
    <row r="19" spans="1:64" ht="16.5" customHeight="1">
      <c r="A19" s="1217"/>
      <c r="B19" s="1282" t="s">
        <v>1334</v>
      </c>
      <c r="C19" s="1283"/>
      <c r="D19" s="1279"/>
      <c r="E19" s="1892"/>
      <c r="F19" s="1893"/>
      <c r="G19" s="1893"/>
      <c r="H19" s="1893"/>
      <c r="I19" s="1894"/>
      <c r="J19" s="1244"/>
      <c r="K19" s="1930"/>
      <c r="L19" s="1931"/>
      <c r="M19" s="1932"/>
      <c r="N19" s="1244"/>
      <c r="O19" s="1269" t="s">
        <v>87</v>
      </c>
      <c r="P19" s="1184"/>
      <c r="Q19" s="1111"/>
      <c r="R19" s="1260"/>
      <c r="S19" s="1114"/>
      <c r="T19" s="1125" t="s">
        <v>87</v>
      </c>
      <c r="U19" s="1184"/>
      <c r="V19" s="1111"/>
      <c r="W19" s="1185"/>
      <c r="X19" s="1112"/>
      <c r="Y19" s="1125" t="s">
        <v>87</v>
      </c>
      <c r="Z19" s="1184"/>
      <c r="AA19" s="1111"/>
      <c r="AB19" s="1185"/>
      <c r="AC19" s="1114"/>
      <c r="AD19" s="1125" t="s">
        <v>87</v>
      </c>
      <c r="AE19" s="1184"/>
      <c r="AF19" s="1111"/>
      <c r="AG19" s="1185"/>
      <c r="AH19" s="1112"/>
      <c r="AI19" s="1125" t="s">
        <v>87</v>
      </c>
      <c r="AJ19" s="1184"/>
      <c r="AK19" s="1111"/>
      <c r="AL19" s="1185"/>
      <c r="AM19" s="1114"/>
      <c r="AN19" s="1125" t="s">
        <v>87</v>
      </c>
      <c r="AO19" s="1261"/>
      <c r="AP19" s="1262"/>
      <c r="AQ19" s="1263"/>
      <c r="AR19" s="1264"/>
      <c r="AS19" s="1114"/>
      <c r="AT19" s="1125" t="s">
        <v>87</v>
      </c>
      <c r="AU19" s="1184"/>
      <c r="AV19" s="1265"/>
      <c r="AW19" s="1111"/>
      <c r="AX19" s="1185"/>
      <c r="AY19" s="1114"/>
      <c r="AZ19" s="1125" t="s">
        <v>87</v>
      </c>
      <c r="BA19" s="1184"/>
      <c r="BB19" s="1111"/>
      <c r="BC19" s="1185"/>
      <c r="BD19" s="1114"/>
      <c r="BE19" s="1125" t="s">
        <v>87</v>
      </c>
      <c r="BF19" s="1184"/>
      <c r="BG19" s="1265"/>
      <c r="BH19" s="1111"/>
      <c r="BI19" s="1185"/>
      <c r="BJ19" s="1220"/>
      <c r="BK19" s="1269" t="s">
        <v>87</v>
      </c>
      <c r="BL19" s="1266"/>
    </row>
    <row r="20" spans="1:64" ht="15.75" customHeight="1" thickBot="1">
      <c r="A20" s="1217"/>
      <c r="B20" s="1284" t="s">
        <v>1336</v>
      </c>
      <c r="C20" s="1285"/>
      <c r="D20" s="1279"/>
      <c r="E20" s="1892"/>
      <c r="F20" s="1893"/>
      <c r="G20" s="1893"/>
      <c r="H20" s="1893"/>
      <c r="I20" s="1894"/>
      <c r="J20" s="1244"/>
      <c r="K20" s="1930"/>
      <c r="L20" s="1931"/>
      <c r="M20" s="1932"/>
      <c r="N20" s="1244"/>
      <c r="O20" s="1259" t="s">
        <v>101</v>
      </c>
      <c r="P20" s="1184"/>
      <c r="Q20" s="1111"/>
      <c r="R20" s="1260"/>
      <c r="S20" s="1114"/>
      <c r="T20" s="1193" t="s">
        <v>101</v>
      </c>
      <c r="U20" s="1184"/>
      <c r="V20" s="1111"/>
      <c r="W20" s="1185"/>
      <c r="X20" s="1112"/>
      <c r="Y20" s="1193" t="s">
        <v>101</v>
      </c>
      <c r="Z20" s="1184"/>
      <c r="AA20" s="1111"/>
      <c r="AB20" s="1185"/>
      <c r="AC20" s="1114"/>
      <c r="AD20" s="1193" t="s">
        <v>101</v>
      </c>
      <c r="AE20" s="1184"/>
      <c r="AF20" s="1111"/>
      <c r="AG20" s="1185"/>
      <c r="AH20" s="1112"/>
      <c r="AI20" s="1193" t="s">
        <v>101</v>
      </c>
      <c r="AJ20" s="1184"/>
      <c r="AK20" s="1111"/>
      <c r="AL20" s="1185"/>
      <c r="AM20" s="1114"/>
      <c r="AN20" s="1193" t="s">
        <v>101</v>
      </c>
      <c r="AO20" s="1261"/>
      <c r="AP20" s="1262"/>
      <c r="AQ20" s="1263"/>
      <c r="AR20" s="1264"/>
      <c r="AS20" s="1114"/>
      <c r="AT20" s="1193" t="s">
        <v>101</v>
      </c>
      <c r="AU20" s="1184"/>
      <c r="AV20" s="1265"/>
      <c r="AW20" s="1111"/>
      <c r="AX20" s="1185"/>
      <c r="AY20" s="1114"/>
      <c r="AZ20" s="1193" t="s">
        <v>101</v>
      </c>
      <c r="BA20" s="1184"/>
      <c r="BB20" s="1111"/>
      <c r="BC20" s="1185"/>
      <c r="BD20" s="1114"/>
      <c r="BE20" s="1193" t="s">
        <v>101</v>
      </c>
      <c r="BF20" s="1184"/>
      <c r="BG20" s="1265"/>
      <c r="BH20" s="1111"/>
      <c r="BI20" s="1185"/>
      <c r="BJ20" s="1220"/>
      <c r="BK20" s="1259" t="s">
        <v>101</v>
      </c>
      <c r="BL20" s="1266"/>
    </row>
    <row r="21" spans="1:64" ht="15.75" customHeight="1">
      <c r="A21" s="1217"/>
      <c r="B21" s="1871" t="s">
        <v>359</v>
      </c>
      <c r="C21" s="1872"/>
      <c r="D21" s="1279"/>
      <c r="E21" s="1892"/>
      <c r="F21" s="1893"/>
      <c r="G21" s="1893"/>
      <c r="H21" s="1893"/>
      <c r="I21" s="1894"/>
      <c r="J21" s="1244"/>
      <c r="K21" s="1930"/>
      <c r="L21" s="1931"/>
      <c r="M21" s="1932"/>
      <c r="N21" s="1244"/>
      <c r="O21" s="1269" t="s">
        <v>88</v>
      </c>
      <c r="P21" s="1184"/>
      <c r="Q21" s="1111"/>
      <c r="R21" s="1260"/>
      <c r="S21" s="1114"/>
      <c r="T21" s="1125" t="s">
        <v>88</v>
      </c>
      <c r="U21" s="1184"/>
      <c r="V21" s="1111"/>
      <c r="W21" s="1185"/>
      <c r="X21" s="1112"/>
      <c r="Y21" s="1125" t="s">
        <v>88</v>
      </c>
      <c r="Z21" s="1184"/>
      <c r="AA21" s="1111"/>
      <c r="AB21" s="1185"/>
      <c r="AC21" s="1114"/>
      <c r="AD21" s="1125" t="s">
        <v>88</v>
      </c>
      <c r="AE21" s="1184"/>
      <c r="AF21" s="1111"/>
      <c r="AG21" s="1185"/>
      <c r="AH21" s="1112"/>
      <c r="AI21" s="1125" t="s">
        <v>88</v>
      </c>
      <c r="AJ21" s="1184"/>
      <c r="AK21" s="1111"/>
      <c r="AL21" s="1185"/>
      <c r="AM21" s="1114"/>
      <c r="AN21" s="1125" t="s">
        <v>88</v>
      </c>
      <c r="AO21" s="1261"/>
      <c r="AP21" s="1262"/>
      <c r="AQ21" s="1263"/>
      <c r="AR21" s="1264"/>
      <c r="AS21" s="1114"/>
      <c r="AT21" s="1125" t="s">
        <v>88</v>
      </c>
      <c r="AU21" s="1184"/>
      <c r="AV21" s="1265"/>
      <c r="AW21" s="1111"/>
      <c r="AX21" s="1185"/>
      <c r="AY21" s="1114"/>
      <c r="AZ21" s="1125" t="s">
        <v>88</v>
      </c>
      <c r="BA21" s="1184"/>
      <c r="BB21" s="1111"/>
      <c r="BC21" s="1185"/>
      <c r="BD21" s="1114"/>
      <c r="BE21" s="1125" t="s">
        <v>88</v>
      </c>
      <c r="BF21" s="1184"/>
      <c r="BG21" s="1265"/>
      <c r="BH21" s="1111"/>
      <c r="BI21" s="1185"/>
      <c r="BJ21" s="1220"/>
      <c r="BK21" s="1269" t="s">
        <v>88</v>
      </c>
      <c r="BL21" s="1266"/>
    </row>
    <row r="22" spans="1:64" ht="15.75" customHeight="1" thickBot="1">
      <c r="A22" s="1217"/>
      <c r="B22" s="1873"/>
      <c r="C22" s="1874"/>
      <c r="D22" s="1279"/>
      <c r="E22" s="1892"/>
      <c r="F22" s="1893"/>
      <c r="G22" s="1893"/>
      <c r="H22" s="1893"/>
      <c r="I22" s="1894"/>
      <c r="J22" s="1244"/>
      <c r="K22" s="1930"/>
      <c r="L22" s="1931"/>
      <c r="M22" s="1932"/>
      <c r="N22" s="1244"/>
      <c r="O22" s="1259" t="s">
        <v>89</v>
      </c>
      <c r="P22" s="1184"/>
      <c r="Q22" s="1111"/>
      <c r="R22" s="1260"/>
      <c r="S22" s="1114"/>
      <c r="T22" s="1193" t="s">
        <v>89</v>
      </c>
      <c r="U22" s="1184"/>
      <c r="V22" s="1111"/>
      <c r="W22" s="1185"/>
      <c r="X22" s="1112"/>
      <c r="Y22" s="1193" t="s">
        <v>89</v>
      </c>
      <c r="Z22" s="1184"/>
      <c r="AA22" s="1111"/>
      <c r="AB22" s="1185"/>
      <c r="AC22" s="1114"/>
      <c r="AD22" s="1193" t="s">
        <v>89</v>
      </c>
      <c r="AE22" s="1184"/>
      <c r="AF22" s="1111"/>
      <c r="AG22" s="1185"/>
      <c r="AH22" s="1112"/>
      <c r="AI22" s="1193" t="s">
        <v>89</v>
      </c>
      <c r="AJ22" s="1184"/>
      <c r="AK22" s="1111"/>
      <c r="AL22" s="1185"/>
      <c r="AM22" s="1114"/>
      <c r="AN22" s="1193" t="s">
        <v>89</v>
      </c>
      <c r="AO22" s="1261"/>
      <c r="AP22" s="1262"/>
      <c r="AQ22" s="1263"/>
      <c r="AR22" s="1264"/>
      <c r="AS22" s="1114"/>
      <c r="AT22" s="1193" t="s">
        <v>89</v>
      </c>
      <c r="AU22" s="1184"/>
      <c r="AV22" s="1265"/>
      <c r="AW22" s="1111"/>
      <c r="AX22" s="1185"/>
      <c r="AY22" s="1114"/>
      <c r="AZ22" s="1193" t="s">
        <v>89</v>
      </c>
      <c r="BA22" s="1184"/>
      <c r="BB22" s="1111"/>
      <c r="BC22" s="1185"/>
      <c r="BD22" s="1114"/>
      <c r="BE22" s="1193" t="s">
        <v>89</v>
      </c>
      <c r="BF22" s="1184"/>
      <c r="BG22" s="1265"/>
      <c r="BH22" s="1111"/>
      <c r="BI22" s="1185"/>
      <c r="BJ22" s="1220"/>
      <c r="BK22" s="1259" t="s">
        <v>89</v>
      </c>
      <c r="BL22" s="1266"/>
    </row>
    <row r="23" spans="1:64" ht="15.75" customHeight="1">
      <c r="A23" s="1862"/>
      <c r="B23" s="1863"/>
      <c r="C23" s="1864"/>
      <c r="D23" s="1279"/>
      <c r="E23" s="1895" t="s">
        <v>1625</v>
      </c>
      <c r="F23" s="1896"/>
      <c r="G23" s="1896"/>
      <c r="H23" s="1896"/>
      <c r="I23" s="1897"/>
      <c r="J23" s="1244"/>
      <c r="K23" s="1924" t="s">
        <v>1618</v>
      </c>
      <c r="L23" s="1925"/>
      <c r="M23" s="1926"/>
      <c r="N23" s="1244"/>
      <c r="O23" s="1269" t="s">
        <v>90</v>
      </c>
      <c r="P23" s="1184"/>
      <c r="Q23" s="1111"/>
      <c r="R23" s="1260"/>
      <c r="S23" s="1114"/>
      <c r="T23" s="1125" t="s">
        <v>90</v>
      </c>
      <c r="U23" s="1184"/>
      <c r="V23" s="1111"/>
      <c r="W23" s="1185"/>
      <c r="X23" s="1112"/>
      <c r="Y23" s="1125" t="s">
        <v>90</v>
      </c>
      <c r="Z23" s="1184"/>
      <c r="AA23" s="1111"/>
      <c r="AB23" s="1185"/>
      <c r="AC23" s="1114"/>
      <c r="AD23" s="1125" t="s">
        <v>90</v>
      </c>
      <c r="AE23" s="1184"/>
      <c r="AF23" s="1111"/>
      <c r="AG23" s="1185"/>
      <c r="AH23" s="1112"/>
      <c r="AI23" s="1125" t="s">
        <v>90</v>
      </c>
      <c r="AJ23" s="1184"/>
      <c r="AK23" s="1111"/>
      <c r="AL23" s="1185"/>
      <c r="AM23" s="1114"/>
      <c r="AN23" s="1125" t="s">
        <v>90</v>
      </c>
      <c r="AO23" s="1261"/>
      <c r="AP23" s="1262"/>
      <c r="AQ23" s="1263"/>
      <c r="AR23" s="1264"/>
      <c r="AS23" s="1114"/>
      <c r="AT23" s="1125" t="s">
        <v>90</v>
      </c>
      <c r="AU23" s="1184"/>
      <c r="AV23" s="1265"/>
      <c r="AW23" s="1111"/>
      <c r="AX23" s="1185"/>
      <c r="AY23" s="1114"/>
      <c r="AZ23" s="1125" t="s">
        <v>90</v>
      </c>
      <c r="BA23" s="1184"/>
      <c r="BB23" s="1111"/>
      <c r="BC23" s="1185"/>
      <c r="BD23" s="1114"/>
      <c r="BE23" s="1125" t="s">
        <v>90</v>
      </c>
      <c r="BF23" s="1184"/>
      <c r="BG23" s="1265"/>
      <c r="BH23" s="1111"/>
      <c r="BI23" s="1185"/>
      <c r="BJ23" s="1220"/>
      <c r="BK23" s="1269" t="s">
        <v>90</v>
      </c>
      <c r="BL23" s="1266"/>
    </row>
    <row r="24" spans="1:64" ht="15.75" customHeight="1">
      <c r="A24" s="1865"/>
      <c r="B24" s="1866"/>
      <c r="C24" s="1867"/>
      <c r="D24" s="1279"/>
      <c r="E24" s="1895"/>
      <c r="F24" s="1896"/>
      <c r="G24" s="1896"/>
      <c r="H24" s="1896"/>
      <c r="I24" s="1897"/>
      <c r="J24" s="1244"/>
      <c r="K24" s="1924"/>
      <c r="L24" s="1925"/>
      <c r="M24" s="1926"/>
      <c r="N24" s="1244"/>
      <c r="O24" s="1259" t="s">
        <v>93</v>
      </c>
      <c r="P24" s="1184"/>
      <c r="Q24" s="1111"/>
      <c r="R24" s="1260"/>
      <c r="S24" s="1114"/>
      <c r="T24" s="1193" t="s">
        <v>93</v>
      </c>
      <c r="U24" s="1184"/>
      <c r="V24" s="1111"/>
      <c r="W24" s="1185"/>
      <c r="X24" s="1112"/>
      <c r="Y24" s="1193" t="s">
        <v>93</v>
      </c>
      <c r="Z24" s="1184"/>
      <c r="AA24" s="1111"/>
      <c r="AB24" s="1185"/>
      <c r="AC24" s="1114"/>
      <c r="AD24" s="1193" t="s">
        <v>93</v>
      </c>
      <c r="AE24" s="1184"/>
      <c r="AF24" s="1111"/>
      <c r="AG24" s="1185"/>
      <c r="AH24" s="1112"/>
      <c r="AI24" s="1193" t="s">
        <v>93</v>
      </c>
      <c r="AJ24" s="1184"/>
      <c r="AK24" s="1111"/>
      <c r="AL24" s="1185"/>
      <c r="AM24" s="1114"/>
      <c r="AN24" s="1193" t="s">
        <v>93</v>
      </c>
      <c r="AO24" s="1261"/>
      <c r="AP24" s="1262"/>
      <c r="AQ24" s="1263"/>
      <c r="AR24" s="1264"/>
      <c r="AS24" s="1114"/>
      <c r="AT24" s="1193" t="s">
        <v>93</v>
      </c>
      <c r="AU24" s="1184"/>
      <c r="AV24" s="1265"/>
      <c r="AW24" s="1111"/>
      <c r="AX24" s="1185"/>
      <c r="AY24" s="1114"/>
      <c r="AZ24" s="1193" t="s">
        <v>93</v>
      </c>
      <c r="BA24" s="1184"/>
      <c r="BB24" s="1111"/>
      <c r="BC24" s="1185"/>
      <c r="BD24" s="1114"/>
      <c r="BE24" s="1193" t="s">
        <v>93</v>
      </c>
      <c r="BF24" s="1184"/>
      <c r="BG24" s="1265"/>
      <c r="BH24" s="1111"/>
      <c r="BI24" s="1185"/>
      <c r="BJ24" s="1220"/>
      <c r="BK24" s="1259" t="s">
        <v>93</v>
      </c>
      <c r="BL24" s="1266"/>
    </row>
    <row r="25" spans="1:64" ht="15.75" customHeight="1">
      <c r="A25" s="1865"/>
      <c r="B25" s="1866"/>
      <c r="C25" s="1867"/>
      <c r="D25" s="1279"/>
      <c r="E25" s="1895"/>
      <c r="F25" s="1896"/>
      <c r="G25" s="1896"/>
      <c r="H25" s="1896"/>
      <c r="I25" s="1897"/>
      <c r="J25" s="1244"/>
      <c r="K25" s="1924"/>
      <c r="L25" s="1925"/>
      <c r="M25" s="1926"/>
      <c r="N25" s="1244"/>
      <c r="O25" s="1269" t="s">
        <v>91</v>
      </c>
      <c r="P25" s="1184"/>
      <c r="Q25" s="1111"/>
      <c r="R25" s="1260"/>
      <c r="S25" s="1114"/>
      <c r="T25" s="1125" t="s">
        <v>91</v>
      </c>
      <c r="U25" s="1184"/>
      <c r="V25" s="1111"/>
      <c r="W25" s="1185"/>
      <c r="X25" s="1112"/>
      <c r="Y25" s="1125" t="s">
        <v>91</v>
      </c>
      <c r="Z25" s="1110"/>
      <c r="AA25" s="1111"/>
      <c r="AB25" s="1185"/>
      <c r="AC25" s="1114"/>
      <c r="AD25" s="1125" t="s">
        <v>91</v>
      </c>
      <c r="AE25" s="1184"/>
      <c r="AF25" s="1111"/>
      <c r="AG25" s="1185"/>
      <c r="AH25" s="1112"/>
      <c r="AI25" s="1125" t="s">
        <v>91</v>
      </c>
      <c r="AJ25" s="1184"/>
      <c r="AK25" s="1111"/>
      <c r="AL25" s="1185"/>
      <c r="AM25" s="1114"/>
      <c r="AN25" s="1125" t="s">
        <v>91</v>
      </c>
      <c r="AO25" s="1261"/>
      <c r="AP25" s="1262"/>
      <c r="AQ25" s="1263"/>
      <c r="AR25" s="1264"/>
      <c r="AS25" s="1114"/>
      <c r="AT25" s="1125" t="s">
        <v>91</v>
      </c>
      <c r="AU25" s="1184"/>
      <c r="AV25" s="1265"/>
      <c r="AW25" s="1111"/>
      <c r="AX25" s="1185"/>
      <c r="AY25" s="1114"/>
      <c r="AZ25" s="1125" t="s">
        <v>91</v>
      </c>
      <c r="BA25" s="1184"/>
      <c r="BB25" s="1111"/>
      <c r="BC25" s="1185"/>
      <c r="BD25" s="1114"/>
      <c r="BE25" s="1125" t="s">
        <v>91</v>
      </c>
      <c r="BF25" s="1184"/>
      <c r="BG25" s="1265"/>
      <c r="BH25" s="1111"/>
      <c r="BI25" s="1185"/>
      <c r="BJ25" s="1220"/>
      <c r="BK25" s="1269" t="s">
        <v>91</v>
      </c>
      <c r="BL25" s="1266"/>
    </row>
    <row r="26" spans="1:64" ht="16.5" customHeight="1" thickBot="1">
      <c r="A26" s="1868"/>
      <c r="B26" s="1869"/>
      <c r="C26" s="1870"/>
      <c r="D26" s="1218"/>
      <c r="E26" s="1898"/>
      <c r="F26" s="1899"/>
      <c r="G26" s="1899"/>
      <c r="H26" s="1899"/>
      <c r="I26" s="1900"/>
      <c r="J26" s="1244"/>
      <c r="K26" s="1927"/>
      <c r="L26" s="1928"/>
      <c r="M26" s="1929"/>
      <c r="N26" s="1244"/>
      <c r="O26" s="1274" t="s">
        <v>92</v>
      </c>
      <c r="P26" s="1156"/>
      <c r="Q26" s="1286"/>
      <c r="R26" s="1287"/>
      <c r="S26" s="1114"/>
      <c r="T26" s="1193" t="s">
        <v>92</v>
      </c>
      <c r="U26" s="1110"/>
      <c r="V26" s="1111"/>
      <c r="W26" s="1185"/>
      <c r="X26" s="1112"/>
      <c r="Y26" s="1193" t="s">
        <v>92</v>
      </c>
      <c r="Z26" s="1110"/>
      <c r="AA26" s="1111"/>
      <c r="AB26" s="1185"/>
      <c r="AC26" s="1114"/>
      <c r="AD26" s="1193" t="s">
        <v>92</v>
      </c>
      <c r="AE26" s="1110"/>
      <c r="AF26" s="1111"/>
      <c r="AG26" s="1185"/>
      <c r="AH26" s="1112"/>
      <c r="AI26" s="1193" t="s">
        <v>92</v>
      </c>
      <c r="AJ26" s="1110"/>
      <c r="AK26" s="1111"/>
      <c r="AL26" s="1185"/>
      <c r="AM26" s="1114"/>
      <c r="AN26" s="1193" t="s">
        <v>92</v>
      </c>
      <c r="AO26" s="1288"/>
      <c r="AP26" s="1289"/>
      <c r="AQ26" s="1263"/>
      <c r="AR26" s="1264"/>
      <c r="AS26" s="1114"/>
      <c r="AT26" s="1193" t="s">
        <v>92</v>
      </c>
      <c r="AU26" s="1110"/>
      <c r="AV26" s="1290"/>
      <c r="AW26" s="1111"/>
      <c r="AX26" s="1185"/>
      <c r="AY26" s="1114"/>
      <c r="AZ26" s="1193" t="s">
        <v>92</v>
      </c>
      <c r="BA26" s="1110"/>
      <c r="BB26" s="1111"/>
      <c r="BC26" s="1185"/>
      <c r="BD26" s="1114"/>
      <c r="BE26" s="1193" t="s">
        <v>92</v>
      </c>
      <c r="BF26" s="1110"/>
      <c r="BG26" s="1290"/>
      <c r="BH26" s="1111"/>
      <c r="BI26" s="1185"/>
      <c r="BJ26" s="1220"/>
      <c r="BK26" s="1274" t="s">
        <v>92</v>
      </c>
      <c r="BL26" s="1268"/>
    </row>
    <row r="27" spans="1:64" ht="32.25">
      <c r="A27" s="112"/>
      <c r="B27" s="432"/>
      <c r="C27" s="432"/>
      <c r="D27" s="676"/>
      <c r="E27" s="130"/>
      <c r="F27" s="130"/>
      <c r="G27" s="38"/>
      <c r="H27" s="38"/>
      <c r="I27" s="38"/>
      <c r="J27" s="37"/>
      <c r="K27" s="58"/>
      <c r="L27" s="58"/>
      <c r="M27" s="58"/>
      <c r="N27" s="37"/>
      <c r="O27" s="130"/>
      <c r="P27" s="38"/>
      <c r="Q27" s="38"/>
      <c r="R27" s="38"/>
      <c r="S27" s="38"/>
      <c r="T27" s="130"/>
      <c r="U27" s="38"/>
      <c r="V27" s="38"/>
      <c r="W27" s="38"/>
      <c r="X27" s="37"/>
      <c r="Y27" s="130"/>
      <c r="Z27" s="38"/>
      <c r="AA27" s="38"/>
      <c r="AB27" s="38"/>
      <c r="AC27" s="38"/>
      <c r="AD27" s="130"/>
      <c r="AE27" s="38"/>
      <c r="AF27" s="38"/>
      <c r="AG27" s="38"/>
      <c r="AH27" s="37"/>
      <c r="AI27" s="130"/>
      <c r="AJ27" s="38"/>
      <c r="AK27" s="38"/>
      <c r="AL27" s="38"/>
      <c r="AM27" s="38"/>
      <c r="AN27" s="130"/>
      <c r="AO27" s="38"/>
      <c r="AP27" s="38"/>
      <c r="AQ27" s="38"/>
      <c r="AR27" s="38"/>
      <c r="AS27" s="38"/>
      <c r="AT27" s="130"/>
      <c r="AU27" s="38"/>
      <c r="AV27" s="38"/>
      <c r="AW27" s="38"/>
      <c r="AX27" s="38"/>
      <c r="AY27" s="38"/>
      <c r="AZ27" s="130"/>
      <c r="BA27" s="38"/>
      <c r="BB27" s="38"/>
      <c r="BC27" s="38"/>
      <c r="BD27" s="38"/>
      <c r="BE27" s="130"/>
      <c r="BF27" s="38"/>
      <c r="BG27" s="38"/>
      <c r="BH27" s="38"/>
      <c r="BI27" s="38"/>
    </row>
    <row r="28" spans="1:64" ht="32.25">
      <c r="A28" s="112"/>
      <c r="B28" s="432"/>
      <c r="C28" s="432"/>
      <c r="D28" s="676"/>
      <c r="E28" s="130"/>
      <c r="F28" s="130"/>
      <c r="G28" s="38"/>
      <c r="H28" s="38"/>
      <c r="I28" s="38"/>
      <c r="J28" s="37"/>
      <c r="K28" s="130"/>
      <c r="L28" s="38"/>
      <c r="M28" s="38"/>
      <c r="N28" s="37"/>
      <c r="O28" s="130"/>
      <c r="P28" s="38"/>
      <c r="Q28" s="38"/>
      <c r="R28" s="38"/>
      <c r="S28" s="38"/>
      <c r="T28" s="130"/>
      <c r="U28" s="38"/>
      <c r="V28" s="38"/>
      <c r="W28" s="38"/>
      <c r="X28" s="37"/>
      <c r="Y28" s="130"/>
      <c r="Z28" s="38"/>
      <c r="AA28" s="38"/>
      <c r="AB28" s="38"/>
      <c r="AC28" s="38"/>
      <c r="AD28" s="130"/>
      <c r="AE28" s="38"/>
      <c r="AF28" s="38"/>
      <c r="AG28" s="38"/>
      <c r="AH28" s="37"/>
      <c r="AI28" s="130"/>
      <c r="AJ28" s="38"/>
      <c r="AK28" s="38"/>
      <c r="AL28" s="38"/>
      <c r="AM28" s="38"/>
      <c r="AN28" s="130"/>
      <c r="AO28" s="38"/>
      <c r="AP28" s="38"/>
      <c r="AQ28" s="38"/>
      <c r="AR28" s="38"/>
      <c r="AS28" s="38"/>
      <c r="AT28" s="130"/>
      <c r="AU28" s="38"/>
      <c r="AV28" s="38"/>
      <c r="AW28" s="38"/>
      <c r="AX28" s="38"/>
      <c r="AY28" s="38"/>
      <c r="AZ28" s="130"/>
      <c r="BA28" s="38"/>
      <c r="BB28" s="38"/>
      <c r="BC28" s="38"/>
      <c r="BD28" s="38"/>
      <c r="BE28" s="130"/>
      <c r="BF28" s="38"/>
      <c r="BG28" s="38"/>
      <c r="BH28" s="38"/>
      <c r="BI28" s="38"/>
    </row>
    <row r="29" spans="1:64" ht="32.25">
      <c r="A29" s="112"/>
      <c r="B29" s="432"/>
      <c r="C29" s="432"/>
      <c r="D29" s="676"/>
      <c r="E29" s="130"/>
      <c r="F29" s="130"/>
      <c r="G29" s="38"/>
      <c r="H29" s="38"/>
      <c r="I29" s="38"/>
      <c r="J29" s="37"/>
      <c r="K29" s="130"/>
      <c r="L29" s="38"/>
      <c r="M29" s="38"/>
      <c r="N29" s="37"/>
      <c r="O29" s="130"/>
      <c r="P29" s="38"/>
      <c r="Q29" s="38"/>
      <c r="R29" s="38"/>
      <c r="S29" s="38"/>
      <c r="T29" s="130"/>
      <c r="U29" s="38"/>
      <c r="V29" s="38"/>
      <c r="W29" s="38"/>
      <c r="X29" s="37"/>
      <c r="Y29" s="130"/>
      <c r="Z29" s="38"/>
      <c r="AA29" s="38"/>
      <c r="AB29" s="38"/>
      <c r="AC29" s="38"/>
      <c r="AD29" s="130"/>
      <c r="AE29" s="38"/>
      <c r="AF29" s="38"/>
      <c r="AG29" s="38"/>
      <c r="AH29" s="37"/>
      <c r="AI29" s="130"/>
      <c r="AJ29" s="38"/>
      <c r="AK29" s="38"/>
      <c r="AL29" s="38"/>
      <c r="AM29" s="38"/>
      <c r="AN29" s="130"/>
      <c r="AO29" s="38"/>
      <c r="AP29" s="38"/>
      <c r="AQ29" s="38"/>
      <c r="AR29" s="38"/>
      <c r="AS29" s="38"/>
      <c r="AT29" s="130"/>
      <c r="AU29" s="38"/>
      <c r="AV29" s="38"/>
      <c r="AW29" s="38"/>
      <c r="AX29" s="38"/>
      <c r="AY29" s="38"/>
      <c r="AZ29" s="130"/>
      <c r="BA29" s="38"/>
      <c r="BB29" s="38"/>
      <c r="BC29" s="38"/>
      <c r="BD29" s="38"/>
      <c r="BE29" s="130"/>
      <c r="BF29" s="38"/>
      <c r="BG29" s="38"/>
      <c r="BH29" s="38"/>
      <c r="BI29" s="38"/>
    </row>
    <row r="30" spans="1:64" ht="32.25">
      <c r="A30" s="112"/>
      <c r="B30" s="432"/>
      <c r="C30" s="432"/>
      <c r="D30" s="676"/>
      <c r="E30" s="130"/>
      <c r="F30" s="130"/>
      <c r="G30" s="38"/>
      <c r="H30" s="38"/>
      <c r="I30" s="38"/>
      <c r="J30" s="37"/>
      <c r="K30" s="130"/>
      <c r="L30" s="38"/>
      <c r="M30" s="38"/>
      <c r="N30" s="37"/>
      <c r="O30" s="130"/>
      <c r="P30" s="38"/>
      <c r="Q30" s="38"/>
      <c r="R30" s="38"/>
      <c r="S30" s="38"/>
      <c r="T30" s="130"/>
      <c r="U30" s="38"/>
      <c r="V30" s="38"/>
      <c r="W30" s="38"/>
      <c r="X30" s="37"/>
      <c r="Y30" s="130"/>
      <c r="Z30" s="38"/>
      <c r="AA30" s="38"/>
      <c r="AB30" s="38"/>
      <c r="AC30" s="38"/>
      <c r="AD30" s="130"/>
      <c r="AE30" s="38"/>
      <c r="AF30" s="38"/>
      <c r="AG30" s="38"/>
      <c r="AH30" s="37"/>
      <c r="AI30" s="130"/>
      <c r="AJ30" s="38"/>
      <c r="AK30" s="38"/>
      <c r="AL30" s="38"/>
      <c r="AM30" s="38"/>
      <c r="AN30" s="130"/>
      <c r="AO30" s="38"/>
      <c r="AP30" s="38"/>
      <c r="AQ30" s="38"/>
      <c r="AR30" s="38"/>
      <c r="AS30" s="38"/>
      <c r="AT30" s="130"/>
      <c r="AU30" s="38"/>
      <c r="AV30" s="38"/>
      <c r="AW30" s="38"/>
      <c r="AX30" s="38"/>
      <c r="AY30" s="38"/>
      <c r="AZ30" s="130"/>
      <c r="BA30" s="38"/>
      <c r="BB30" s="38"/>
      <c r="BC30" s="38"/>
      <c r="BD30" s="38"/>
      <c r="BE30" s="130"/>
      <c r="BF30" s="38"/>
      <c r="BG30" s="38"/>
      <c r="BH30" s="38"/>
      <c r="BI30" s="38"/>
    </row>
    <row r="31" spans="1:64" ht="32.25">
      <c r="A31" s="112"/>
      <c r="B31" s="432"/>
      <c r="C31" s="432"/>
      <c r="D31" s="676"/>
      <c r="E31" s="130"/>
      <c r="F31" s="130"/>
      <c r="G31" s="38"/>
      <c r="H31" s="38"/>
      <c r="I31" s="38"/>
      <c r="J31" s="37"/>
      <c r="K31" s="130"/>
      <c r="L31" s="38"/>
      <c r="M31" s="38"/>
      <c r="N31" s="37"/>
      <c r="O31" s="130"/>
      <c r="P31" s="38"/>
      <c r="Q31" s="38"/>
      <c r="R31" s="38"/>
      <c r="S31" s="38"/>
      <c r="T31" s="130"/>
      <c r="U31" s="38"/>
      <c r="V31" s="38"/>
      <c r="W31" s="38"/>
      <c r="X31" s="37"/>
      <c r="Y31" s="130"/>
      <c r="Z31" s="38"/>
      <c r="AA31" s="38"/>
      <c r="AB31" s="38"/>
      <c r="AC31" s="38"/>
      <c r="AD31" s="130"/>
      <c r="AE31" s="38"/>
      <c r="AF31" s="38"/>
      <c r="AG31" s="38"/>
      <c r="AH31" s="37"/>
      <c r="AI31" s="130"/>
      <c r="AJ31" s="38"/>
      <c r="AK31" s="38"/>
      <c r="AL31" s="38"/>
      <c r="AM31" s="38"/>
      <c r="AN31" s="130"/>
      <c r="AO31" s="38"/>
      <c r="AP31" s="38"/>
      <c r="AQ31" s="38"/>
      <c r="AR31" s="38"/>
      <c r="AS31" s="38"/>
      <c r="AT31" s="130"/>
      <c r="AU31" s="38"/>
      <c r="AV31" s="38"/>
      <c r="AW31" s="38"/>
      <c r="AX31" s="38"/>
      <c r="AY31" s="38"/>
      <c r="AZ31" s="130"/>
      <c r="BA31" s="38"/>
      <c r="BB31" s="38"/>
      <c r="BC31" s="38"/>
      <c r="BD31" s="38"/>
      <c r="BE31" s="130"/>
      <c r="BF31" s="38"/>
      <c r="BG31" s="38"/>
      <c r="BH31" s="38"/>
      <c r="BI31" s="38"/>
    </row>
    <row r="32" spans="1:64" ht="32.25">
      <c r="A32" s="112"/>
      <c r="B32" s="432"/>
      <c r="C32" s="432"/>
      <c r="D32" s="676"/>
      <c r="E32" s="130"/>
      <c r="F32" s="130"/>
      <c r="G32" s="38"/>
      <c r="H32" s="38"/>
      <c r="I32" s="38"/>
      <c r="J32" s="37"/>
      <c r="K32" s="1919"/>
      <c r="L32" s="1919"/>
      <c r="M32" s="1919"/>
      <c r="N32" s="37"/>
      <c r="O32" s="130"/>
      <c r="P32" s="38"/>
      <c r="Q32" s="38"/>
      <c r="R32" s="38"/>
      <c r="S32" s="38"/>
      <c r="T32" s="130"/>
      <c r="U32" s="38"/>
      <c r="V32" s="38"/>
      <c r="W32" s="38"/>
      <c r="X32" s="37"/>
      <c r="Y32" s="130"/>
      <c r="Z32" s="38"/>
      <c r="AA32" s="38"/>
      <c r="AB32" s="38"/>
      <c r="AC32" s="38"/>
      <c r="AD32" s="130"/>
      <c r="AE32" s="38"/>
      <c r="AF32" s="38"/>
      <c r="AG32" s="38"/>
      <c r="AH32" s="37"/>
      <c r="AI32" s="130"/>
      <c r="AJ32" s="38"/>
      <c r="AK32" s="38"/>
      <c r="AL32" s="38"/>
      <c r="AM32" s="38"/>
      <c r="AN32" s="130"/>
      <c r="AO32" s="38"/>
      <c r="AP32" s="38"/>
      <c r="AQ32" s="38"/>
      <c r="AR32" s="38"/>
      <c r="AS32" s="38"/>
      <c r="AT32" s="130"/>
      <c r="AU32" s="38"/>
      <c r="AV32" s="38"/>
      <c r="AW32" s="38"/>
      <c r="AX32" s="38"/>
      <c r="AY32" s="38"/>
      <c r="AZ32" s="130"/>
      <c r="BA32" s="38"/>
      <c r="BB32" s="38"/>
      <c r="BC32" s="38"/>
      <c r="BD32" s="38"/>
      <c r="BE32" s="130"/>
      <c r="BF32" s="38"/>
      <c r="BG32" s="38"/>
      <c r="BH32" s="38"/>
      <c r="BI32" s="38"/>
    </row>
    <row r="33" spans="1:61" ht="32.25">
      <c r="A33" s="112"/>
      <c r="B33" s="432"/>
      <c r="C33" s="432"/>
      <c r="D33" s="676"/>
      <c r="E33" s="130"/>
      <c r="F33" s="130"/>
      <c r="G33" s="38"/>
      <c r="H33" s="38"/>
      <c r="I33" s="38"/>
      <c r="J33" s="37"/>
      <c r="K33" s="1920"/>
      <c r="L33" s="1920"/>
      <c r="M33" s="1920"/>
      <c r="N33" s="37"/>
      <c r="O33" s="130"/>
      <c r="P33" s="38"/>
      <c r="Q33" s="38"/>
      <c r="R33" s="38"/>
      <c r="S33" s="38"/>
      <c r="T33" s="130"/>
      <c r="U33" s="38"/>
      <c r="V33" s="38"/>
      <c r="W33" s="38"/>
      <c r="X33" s="37"/>
      <c r="Y33" s="130"/>
      <c r="Z33" s="38"/>
      <c r="AA33" s="38"/>
      <c r="AB33" s="38"/>
      <c r="AC33" s="38"/>
      <c r="AD33" s="130"/>
      <c r="AE33" s="38"/>
      <c r="AF33" s="38"/>
      <c r="AG33" s="38"/>
      <c r="AH33" s="37"/>
      <c r="AI33" s="130"/>
      <c r="AJ33" s="38"/>
      <c r="AK33" s="38"/>
      <c r="AL33" s="38"/>
      <c r="AM33" s="38"/>
      <c r="AN33" s="130"/>
      <c r="AO33" s="38"/>
      <c r="AP33" s="38"/>
      <c r="AQ33" s="38"/>
      <c r="AR33" s="38"/>
      <c r="AS33" s="38"/>
      <c r="AT33" s="130"/>
      <c r="AU33" s="38"/>
      <c r="AV33" s="38"/>
      <c r="AW33" s="38"/>
      <c r="AX33" s="38"/>
      <c r="AY33" s="38"/>
      <c r="AZ33" s="130"/>
      <c r="BA33" s="38"/>
      <c r="BB33" s="38"/>
      <c r="BC33" s="38"/>
      <c r="BD33" s="38"/>
      <c r="BE33" s="130"/>
      <c r="BF33" s="38"/>
      <c r="BG33" s="38"/>
      <c r="BH33" s="38"/>
      <c r="BI33" s="38"/>
    </row>
    <row r="34" spans="1:61" ht="32.25">
      <c r="A34" s="112"/>
      <c r="B34" s="432"/>
      <c r="C34" s="432"/>
      <c r="D34" s="676"/>
      <c r="E34" s="130"/>
      <c r="F34" s="130"/>
      <c r="G34" s="38"/>
      <c r="H34" s="38"/>
      <c r="I34" s="38"/>
      <c r="J34" s="37"/>
      <c r="K34" s="1920"/>
      <c r="L34" s="1920"/>
      <c r="M34" s="1920"/>
      <c r="N34" s="37"/>
      <c r="O34" s="130"/>
      <c r="P34" s="38"/>
      <c r="Q34" s="38"/>
      <c r="R34" s="38"/>
      <c r="S34" s="38"/>
      <c r="T34" s="130"/>
      <c r="U34" s="38"/>
      <c r="V34" s="38"/>
      <c r="W34" s="38"/>
      <c r="X34" s="37"/>
      <c r="Y34" s="130"/>
      <c r="Z34" s="38"/>
      <c r="AA34" s="38"/>
      <c r="AB34" s="38"/>
      <c r="AC34" s="38"/>
      <c r="AD34" s="130"/>
      <c r="AE34" s="38"/>
      <c r="AF34" s="38"/>
      <c r="AG34" s="38"/>
      <c r="AH34" s="37"/>
      <c r="AI34" s="130"/>
      <c r="AJ34" s="38"/>
      <c r="AK34" s="38"/>
      <c r="AL34" s="38"/>
      <c r="AM34" s="38"/>
      <c r="AN34" s="130"/>
      <c r="AO34" s="38"/>
      <c r="AP34" s="38"/>
      <c r="AQ34" s="38"/>
      <c r="AR34" s="38"/>
      <c r="AS34" s="38"/>
      <c r="AT34" s="130"/>
      <c r="AU34" s="38"/>
      <c r="AV34" s="38"/>
      <c r="AW34" s="38"/>
      <c r="AX34" s="38"/>
      <c r="AY34" s="38"/>
      <c r="AZ34" s="130"/>
      <c r="BA34" s="38"/>
      <c r="BB34" s="38"/>
      <c r="BC34" s="38"/>
      <c r="BD34" s="38"/>
      <c r="BE34" s="130"/>
      <c r="BF34" s="38"/>
      <c r="BG34" s="38"/>
      <c r="BH34" s="38"/>
      <c r="BI34" s="38"/>
    </row>
    <row r="35" spans="1:61" ht="32.25">
      <c r="A35" s="112"/>
      <c r="B35" s="432"/>
      <c r="C35" s="432"/>
      <c r="D35" s="676"/>
      <c r="E35" s="130"/>
      <c r="F35" s="130"/>
      <c r="G35" s="38"/>
      <c r="H35" s="38"/>
      <c r="I35" s="38"/>
      <c r="J35" s="37"/>
      <c r="K35" s="1920"/>
      <c r="L35" s="1920"/>
      <c r="M35" s="1920"/>
      <c r="N35" s="37"/>
      <c r="O35" s="130"/>
      <c r="P35" s="38"/>
      <c r="Q35" s="38"/>
      <c r="R35" s="38"/>
      <c r="S35" s="38"/>
      <c r="T35" s="130"/>
      <c r="U35" s="38"/>
      <c r="V35" s="38"/>
      <c r="W35" s="38"/>
      <c r="X35" s="37"/>
      <c r="Y35" s="130"/>
      <c r="Z35" s="38"/>
      <c r="AA35" s="38"/>
      <c r="AB35" s="38"/>
      <c r="AC35" s="38"/>
      <c r="AD35" s="130"/>
      <c r="AE35" s="38"/>
      <c r="AF35" s="38"/>
      <c r="AG35" s="38"/>
      <c r="AH35" s="37"/>
      <c r="AI35" s="130"/>
      <c r="AJ35" s="38"/>
      <c r="AK35" s="38"/>
      <c r="AL35" s="38"/>
      <c r="AM35" s="38"/>
      <c r="AN35" s="130"/>
      <c r="AO35" s="38"/>
      <c r="AP35" s="38"/>
      <c r="AQ35" s="38"/>
      <c r="AR35" s="38"/>
      <c r="AS35" s="38"/>
      <c r="AT35" s="130"/>
      <c r="AU35" s="38"/>
      <c r="AV35" s="38"/>
      <c r="AW35" s="38"/>
      <c r="AX35" s="38"/>
      <c r="AY35" s="38"/>
      <c r="AZ35" s="130"/>
      <c r="BA35" s="38"/>
      <c r="BB35" s="38"/>
      <c r="BC35" s="38"/>
      <c r="BD35" s="38"/>
      <c r="BE35" s="130"/>
      <c r="BF35" s="38"/>
      <c r="BG35" s="38"/>
      <c r="BH35" s="38"/>
      <c r="BI35" s="38"/>
    </row>
    <row r="36" spans="1:61" ht="32.25">
      <c r="A36" s="112"/>
      <c r="B36" s="432"/>
      <c r="C36" s="432"/>
      <c r="D36" s="676"/>
      <c r="E36" s="130"/>
      <c r="F36" s="130"/>
      <c r="G36" s="38"/>
      <c r="H36" s="38"/>
      <c r="I36" s="38"/>
      <c r="J36" s="37"/>
      <c r="K36" s="1920"/>
      <c r="L36" s="1920"/>
      <c r="M36" s="1920"/>
      <c r="N36" s="37"/>
      <c r="O36" s="130"/>
      <c r="P36" s="38"/>
      <c r="Q36" s="38"/>
      <c r="R36" s="38"/>
      <c r="S36" s="38"/>
      <c r="T36" s="130"/>
      <c r="U36" s="38"/>
      <c r="V36" s="38"/>
      <c r="W36" s="38"/>
      <c r="X36" s="37"/>
      <c r="Y36" s="130"/>
      <c r="Z36" s="38"/>
      <c r="AA36" s="38"/>
      <c r="AB36" s="38"/>
      <c r="AC36" s="38"/>
      <c r="AD36" s="130"/>
      <c r="AE36" s="38"/>
      <c r="AF36" s="38"/>
      <c r="AG36" s="38"/>
      <c r="AH36" s="37"/>
      <c r="AI36" s="130"/>
      <c r="AJ36" s="38"/>
      <c r="AK36" s="38"/>
      <c r="AL36" s="38"/>
      <c r="AM36" s="38"/>
      <c r="AN36" s="130"/>
      <c r="AO36" s="38"/>
      <c r="AP36" s="38"/>
      <c r="AQ36" s="38"/>
      <c r="AR36" s="38"/>
      <c r="AS36" s="38"/>
      <c r="AT36" s="130"/>
      <c r="AU36" s="38"/>
      <c r="AV36" s="38"/>
      <c r="AW36" s="38"/>
      <c r="AX36" s="38"/>
      <c r="AY36" s="38"/>
      <c r="AZ36" s="130"/>
      <c r="BA36" s="38"/>
      <c r="BB36" s="38"/>
      <c r="BC36" s="38"/>
      <c r="BD36" s="38"/>
      <c r="BE36" s="130"/>
      <c r="BF36" s="38"/>
      <c r="BG36" s="38"/>
      <c r="BH36" s="38"/>
      <c r="BI36" s="38"/>
    </row>
    <row r="37" spans="1:61" ht="32.25">
      <c r="A37" s="112"/>
      <c r="B37" s="432"/>
      <c r="C37" s="432"/>
      <c r="D37" s="676"/>
      <c r="E37" s="130"/>
      <c r="F37" s="130"/>
      <c r="G37" s="38"/>
      <c r="H37" s="38"/>
      <c r="I37" s="38"/>
      <c r="J37" s="37"/>
      <c r="K37" s="1920"/>
      <c r="L37" s="1920"/>
      <c r="M37" s="1920"/>
      <c r="N37" s="37"/>
      <c r="O37" s="130"/>
      <c r="P37" s="38"/>
      <c r="Q37" s="38"/>
      <c r="R37" s="38"/>
      <c r="S37" s="38"/>
      <c r="T37" s="130"/>
      <c r="U37" s="38"/>
      <c r="V37" s="38"/>
      <c r="W37" s="38"/>
      <c r="X37" s="37"/>
      <c r="Y37" s="130"/>
      <c r="Z37" s="38"/>
      <c r="AA37" s="38"/>
      <c r="AB37" s="38"/>
      <c r="AC37" s="38"/>
      <c r="AD37" s="130"/>
      <c r="AE37" s="38"/>
      <c r="AF37" s="38"/>
      <c r="AG37" s="38"/>
      <c r="AH37" s="37"/>
      <c r="AI37" s="130"/>
      <c r="AJ37" s="38"/>
      <c r="AK37" s="38"/>
      <c r="AL37" s="38"/>
      <c r="AM37" s="38"/>
      <c r="AN37" s="130"/>
      <c r="AO37" s="38"/>
      <c r="AP37" s="38"/>
      <c r="AQ37" s="38"/>
      <c r="AR37" s="38"/>
      <c r="AS37" s="38"/>
      <c r="AT37" s="130"/>
      <c r="AU37" s="38"/>
      <c r="AV37" s="38"/>
      <c r="AW37" s="38"/>
      <c r="AX37" s="38"/>
      <c r="AY37" s="38"/>
      <c r="AZ37" s="130"/>
      <c r="BA37" s="38"/>
      <c r="BB37" s="38"/>
      <c r="BC37" s="38"/>
      <c r="BD37" s="38"/>
      <c r="BE37" s="130"/>
      <c r="BF37" s="38"/>
      <c r="BG37" s="38"/>
      <c r="BH37" s="38"/>
      <c r="BI37" s="38"/>
    </row>
    <row r="38" spans="1:61" ht="32.25">
      <c r="A38" s="112"/>
      <c r="B38" s="432"/>
      <c r="C38" s="432"/>
      <c r="D38" s="676"/>
      <c r="E38" s="130"/>
      <c r="F38" s="130"/>
      <c r="G38" s="38"/>
      <c r="H38" s="38"/>
      <c r="I38" s="38"/>
      <c r="J38" s="37"/>
      <c r="K38" s="1920"/>
      <c r="L38" s="1920"/>
      <c r="M38" s="1920"/>
      <c r="N38" s="37"/>
      <c r="O38" s="130"/>
      <c r="P38" s="38"/>
      <c r="Q38" s="38"/>
      <c r="R38" s="38"/>
      <c r="S38" s="38"/>
      <c r="T38" s="130"/>
      <c r="U38" s="38"/>
      <c r="V38" s="38"/>
      <c r="W38" s="38"/>
      <c r="X38" s="37"/>
      <c r="Y38" s="130"/>
      <c r="Z38" s="38"/>
      <c r="AA38" s="38"/>
      <c r="AB38" s="38"/>
      <c r="AC38" s="38"/>
      <c r="AD38" s="130"/>
      <c r="AE38" s="38"/>
      <c r="AF38" s="38"/>
      <c r="AG38" s="38"/>
      <c r="AH38" s="37"/>
      <c r="AI38" s="130"/>
      <c r="AJ38" s="38"/>
      <c r="AK38" s="38"/>
      <c r="AL38" s="38"/>
      <c r="AM38" s="38"/>
      <c r="AN38" s="130"/>
      <c r="AO38" s="38"/>
      <c r="AP38" s="38"/>
      <c r="AQ38" s="38"/>
      <c r="AR38" s="38"/>
      <c r="AS38" s="38"/>
      <c r="AT38" s="130"/>
      <c r="AU38" s="38"/>
      <c r="AV38" s="38"/>
      <c r="AW38" s="38"/>
      <c r="AX38" s="38"/>
      <c r="AY38" s="38"/>
      <c r="AZ38" s="130"/>
      <c r="BA38" s="38"/>
      <c r="BB38" s="38"/>
      <c r="BC38" s="38"/>
      <c r="BD38" s="38"/>
      <c r="BE38" s="130"/>
      <c r="BF38" s="38"/>
      <c r="BG38" s="38"/>
      <c r="BH38" s="38"/>
      <c r="BI38" s="38"/>
    </row>
    <row r="39" spans="1:61" ht="32.25">
      <c r="A39" s="112"/>
      <c r="B39" s="432"/>
      <c r="C39" s="432"/>
      <c r="D39" s="676"/>
      <c r="E39" s="130"/>
      <c r="F39" s="130"/>
      <c r="G39" s="38"/>
      <c r="H39" s="38"/>
      <c r="I39" s="38"/>
      <c r="J39" s="37"/>
      <c r="K39" s="1920"/>
      <c r="L39" s="1920"/>
      <c r="M39" s="1920"/>
      <c r="N39" s="37"/>
      <c r="O39" s="130"/>
      <c r="P39" s="38"/>
      <c r="Q39" s="38"/>
      <c r="R39" s="38"/>
      <c r="S39" s="38"/>
      <c r="T39" s="130"/>
      <c r="U39" s="38"/>
      <c r="V39" s="38"/>
      <c r="W39" s="38"/>
      <c r="X39" s="37"/>
      <c r="Y39" s="130"/>
      <c r="Z39" s="38"/>
      <c r="AA39" s="38"/>
      <c r="AB39" s="38"/>
      <c r="AC39" s="38"/>
      <c r="AD39" s="130"/>
      <c r="AE39" s="38"/>
      <c r="AF39" s="38"/>
      <c r="AG39" s="38"/>
      <c r="AH39" s="37"/>
      <c r="AI39" s="130"/>
      <c r="AJ39" s="38"/>
      <c r="AK39" s="38"/>
      <c r="AL39" s="38"/>
      <c r="AM39" s="38"/>
      <c r="AN39" s="130"/>
      <c r="AO39" s="38"/>
      <c r="AP39" s="38"/>
      <c r="AQ39" s="38"/>
      <c r="AR39" s="38"/>
      <c r="AS39" s="38"/>
      <c r="AT39" s="130"/>
      <c r="AU39" s="38"/>
      <c r="AV39" s="38"/>
      <c r="AW39" s="38"/>
      <c r="AX39" s="38"/>
      <c r="AY39" s="38"/>
      <c r="AZ39" s="130"/>
      <c r="BA39" s="38"/>
      <c r="BB39" s="38"/>
      <c r="BC39" s="38"/>
      <c r="BD39" s="38"/>
      <c r="BE39" s="130"/>
      <c r="BF39" s="38"/>
      <c r="BG39" s="38"/>
      <c r="BH39" s="38"/>
      <c r="BI39" s="38"/>
    </row>
    <row r="40" spans="1:61" ht="32.25">
      <c r="A40" s="112"/>
      <c r="B40" s="432"/>
      <c r="C40" s="432"/>
      <c r="D40" s="676"/>
      <c r="E40" s="130"/>
      <c r="F40" s="130"/>
      <c r="G40" s="38"/>
      <c r="H40" s="38"/>
      <c r="I40" s="38"/>
      <c r="J40" s="37"/>
      <c r="K40" s="1920"/>
      <c r="L40" s="1920"/>
      <c r="M40" s="1920"/>
      <c r="N40" s="37"/>
      <c r="O40" s="130"/>
      <c r="P40" s="38"/>
      <c r="Q40" s="38"/>
      <c r="R40" s="38"/>
      <c r="S40" s="38"/>
      <c r="T40" s="130"/>
      <c r="U40" s="38"/>
      <c r="V40" s="38"/>
      <c r="W40" s="38"/>
      <c r="X40" s="37"/>
      <c r="Y40" s="130"/>
      <c r="Z40" s="38"/>
      <c r="AA40" s="38"/>
      <c r="AB40" s="38"/>
      <c r="AC40" s="38"/>
      <c r="AD40" s="130"/>
      <c r="AE40" s="38"/>
      <c r="AF40" s="38"/>
      <c r="AG40" s="38"/>
      <c r="AH40" s="37"/>
      <c r="AI40" s="130"/>
      <c r="AJ40" s="38"/>
      <c r="AK40" s="38"/>
      <c r="AL40" s="38"/>
      <c r="AM40" s="38"/>
      <c r="AN40" s="130"/>
      <c r="AO40" s="38"/>
      <c r="AP40" s="38"/>
      <c r="AQ40" s="38"/>
      <c r="AR40" s="38"/>
      <c r="AS40" s="38"/>
      <c r="AT40" s="130"/>
      <c r="AU40" s="38"/>
      <c r="AV40" s="38"/>
      <c r="AW40" s="38"/>
      <c r="AX40" s="38"/>
      <c r="AY40" s="38"/>
      <c r="AZ40" s="130"/>
      <c r="BA40" s="38"/>
      <c r="BB40" s="38"/>
      <c r="BC40" s="38"/>
      <c r="BD40" s="38"/>
      <c r="BE40" s="130"/>
      <c r="BF40" s="38"/>
      <c r="BG40" s="38"/>
      <c r="BH40" s="38"/>
      <c r="BI40" s="38"/>
    </row>
    <row r="41" spans="1:61" ht="32.25">
      <c r="A41" s="112"/>
      <c r="B41" s="432"/>
      <c r="C41" s="432"/>
      <c r="D41" s="676"/>
      <c r="E41" s="130"/>
      <c r="F41" s="130"/>
      <c r="G41" s="38"/>
      <c r="H41" s="38"/>
      <c r="I41" s="38"/>
      <c r="J41" s="37"/>
      <c r="K41" s="1920"/>
      <c r="L41" s="1920"/>
      <c r="M41" s="1920"/>
      <c r="N41" s="37"/>
      <c r="O41" s="130"/>
      <c r="P41" s="38"/>
      <c r="Q41" s="38"/>
      <c r="R41" s="38"/>
      <c r="S41" s="38"/>
      <c r="T41" s="130"/>
      <c r="U41" s="38"/>
      <c r="V41" s="38"/>
      <c r="W41" s="38"/>
      <c r="X41" s="37"/>
      <c r="Y41" s="130"/>
      <c r="Z41" s="38"/>
      <c r="AA41" s="38"/>
      <c r="AB41" s="38"/>
      <c r="AC41" s="38"/>
      <c r="AD41" s="130"/>
      <c r="AE41" s="38"/>
      <c r="AF41" s="38"/>
      <c r="AG41" s="38"/>
      <c r="AH41" s="37"/>
      <c r="AI41" s="130"/>
      <c r="AJ41" s="38"/>
      <c r="AK41" s="38"/>
      <c r="AL41" s="38"/>
      <c r="AM41" s="38"/>
      <c r="AN41" s="130"/>
      <c r="AO41" s="38"/>
      <c r="AP41" s="38"/>
      <c r="AQ41" s="38"/>
      <c r="AR41" s="38"/>
      <c r="AS41" s="38"/>
      <c r="AT41" s="130"/>
      <c r="AU41" s="38"/>
      <c r="AV41" s="38"/>
      <c r="AW41" s="38"/>
      <c r="AX41" s="38"/>
      <c r="AY41" s="38"/>
      <c r="AZ41" s="130"/>
      <c r="BA41" s="38"/>
      <c r="BB41" s="38"/>
      <c r="BC41" s="38"/>
      <c r="BD41" s="38"/>
      <c r="BE41" s="130"/>
      <c r="BF41" s="38"/>
      <c r="BG41" s="38"/>
      <c r="BH41" s="38"/>
      <c r="BI41" s="38"/>
    </row>
    <row r="42" spans="1:61" ht="32.25">
      <c r="A42" s="112"/>
      <c r="B42" s="432"/>
      <c r="C42" s="432"/>
      <c r="D42" s="676"/>
      <c r="E42" s="130"/>
      <c r="F42" s="130"/>
      <c r="G42" s="38"/>
      <c r="H42" s="38"/>
      <c r="I42" s="38"/>
      <c r="J42" s="37"/>
      <c r="K42" s="1920"/>
      <c r="L42" s="1920"/>
      <c r="M42" s="1920"/>
      <c r="N42" s="37"/>
      <c r="O42" s="130"/>
      <c r="P42" s="38"/>
      <c r="Q42" s="38"/>
      <c r="R42" s="38"/>
      <c r="S42" s="38"/>
      <c r="T42" s="130"/>
      <c r="U42" s="38"/>
      <c r="V42" s="38"/>
      <c r="W42" s="38"/>
      <c r="X42" s="37"/>
      <c r="Y42" s="130"/>
      <c r="Z42" s="38"/>
      <c r="AA42" s="38"/>
      <c r="AB42" s="38"/>
      <c r="AC42" s="38"/>
      <c r="AD42" s="130"/>
      <c r="AE42" s="38"/>
      <c r="AF42" s="38"/>
      <c r="AG42" s="38"/>
      <c r="AH42" s="37"/>
      <c r="AI42" s="130"/>
      <c r="AJ42" s="38"/>
      <c r="AK42" s="38"/>
      <c r="AL42" s="38"/>
      <c r="AM42" s="38"/>
      <c r="AN42" s="130"/>
      <c r="AO42" s="38"/>
      <c r="AP42" s="38"/>
      <c r="AQ42" s="38"/>
      <c r="AR42" s="38"/>
      <c r="AS42" s="38"/>
      <c r="AT42" s="130"/>
      <c r="AU42" s="38"/>
      <c r="AV42" s="38"/>
      <c r="AW42" s="38"/>
      <c r="AX42" s="38"/>
      <c r="AY42" s="38"/>
      <c r="AZ42" s="130"/>
      <c r="BA42" s="38"/>
      <c r="BB42" s="38"/>
      <c r="BC42" s="38"/>
      <c r="BD42" s="38"/>
      <c r="BE42" s="130"/>
      <c r="BF42" s="38"/>
      <c r="BG42" s="38"/>
      <c r="BH42" s="38"/>
      <c r="BI42" s="38"/>
    </row>
    <row r="43" spans="1:61" ht="32.25">
      <c r="A43" s="112"/>
      <c r="B43" s="432"/>
      <c r="C43" s="432"/>
      <c r="D43" s="676"/>
      <c r="E43" s="130"/>
      <c r="F43" s="130"/>
      <c r="G43" s="38"/>
      <c r="H43" s="38"/>
      <c r="I43" s="38"/>
      <c r="J43" s="37"/>
      <c r="K43" s="1920"/>
      <c r="L43" s="1920"/>
      <c r="M43" s="1920"/>
      <c r="N43" s="37"/>
      <c r="O43" s="130"/>
      <c r="P43" s="38"/>
      <c r="Q43" s="38"/>
      <c r="R43" s="38"/>
      <c r="S43" s="38"/>
      <c r="T43" s="130"/>
      <c r="U43" s="38"/>
      <c r="V43" s="38"/>
      <c r="W43" s="38"/>
      <c r="X43" s="37"/>
      <c r="Y43" s="130"/>
      <c r="Z43" s="38"/>
      <c r="AA43" s="38"/>
      <c r="AB43" s="38"/>
      <c r="AC43" s="38"/>
      <c r="AD43" s="130"/>
      <c r="AE43" s="38"/>
      <c r="AF43" s="38"/>
      <c r="AG43" s="38"/>
      <c r="AH43" s="37"/>
      <c r="AI43" s="130"/>
      <c r="AJ43" s="38"/>
      <c r="AK43" s="38"/>
      <c r="AL43" s="38"/>
      <c r="AM43" s="38"/>
      <c r="AN43" s="130"/>
      <c r="AO43" s="38"/>
      <c r="AP43" s="38"/>
      <c r="AQ43" s="38"/>
      <c r="AR43" s="38"/>
      <c r="AS43" s="38"/>
      <c r="AT43" s="130"/>
      <c r="AU43" s="38"/>
      <c r="AV43" s="38"/>
      <c r="AW43" s="38"/>
      <c r="AX43" s="38"/>
      <c r="AY43" s="38"/>
      <c r="AZ43" s="130"/>
      <c r="BA43" s="38"/>
      <c r="BB43" s="38"/>
      <c r="BC43" s="38"/>
      <c r="BD43" s="38"/>
      <c r="BE43" s="130"/>
      <c r="BF43" s="38"/>
      <c r="BG43" s="38"/>
      <c r="BH43" s="38"/>
      <c r="BI43" s="38"/>
    </row>
    <row r="44" spans="1:61" ht="32.25">
      <c r="A44" s="112"/>
      <c r="B44" s="432"/>
      <c r="C44" s="432"/>
      <c r="D44" s="676"/>
      <c r="E44" s="130"/>
      <c r="F44" s="130"/>
      <c r="G44" s="38"/>
      <c r="H44" s="38"/>
      <c r="I44" s="38"/>
      <c r="J44" s="37"/>
      <c r="K44" s="1920"/>
      <c r="L44" s="1920"/>
      <c r="M44" s="1920"/>
      <c r="N44" s="37"/>
      <c r="O44" s="130"/>
      <c r="P44" s="38"/>
      <c r="Q44" s="38"/>
      <c r="R44" s="38"/>
      <c r="S44" s="38"/>
      <c r="T44" s="130"/>
      <c r="U44" s="38"/>
      <c r="V44" s="38"/>
      <c r="W44" s="38"/>
      <c r="X44" s="37"/>
      <c r="Y44" s="130"/>
      <c r="Z44" s="38"/>
      <c r="AA44" s="38"/>
      <c r="AB44" s="38"/>
      <c r="AC44" s="38"/>
      <c r="AD44" s="130"/>
      <c r="AE44" s="38"/>
      <c r="AF44" s="38"/>
      <c r="AG44" s="38"/>
      <c r="AH44" s="37"/>
      <c r="AI44" s="130"/>
      <c r="AJ44" s="38"/>
      <c r="AK44" s="38"/>
      <c r="AL44" s="38"/>
      <c r="AM44" s="38"/>
      <c r="AN44" s="130"/>
      <c r="AO44" s="38"/>
      <c r="AP44" s="38"/>
      <c r="AQ44" s="38"/>
      <c r="AR44" s="38"/>
      <c r="AS44" s="38"/>
      <c r="AT44" s="130"/>
      <c r="AU44" s="38"/>
      <c r="AV44" s="38"/>
      <c r="AW44" s="38"/>
      <c r="AX44" s="38"/>
      <c r="AY44" s="38"/>
      <c r="AZ44" s="130"/>
      <c r="BA44" s="38"/>
      <c r="BB44" s="38"/>
      <c r="BC44" s="38"/>
      <c r="BD44" s="38"/>
      <c r="BE44" s="130"/>
      <c r="BF44" s="38"/>
      <c r="BG44" s="38"/>
      <c r="BH44" s="38"/>
      <c r="BI44" s="38"/>
    </row>
    <row r="45" spans="1:61" ht="32.25">
      <c r="A45" s="112"/>
      <c r="B45" s="432"/>
      <c r="C45" s="432"/>
      <c r="D45" s="676"/>
      <c r="E45" s="130"/>
      <c r="F45" s="130"/>
      <c r="G45" s="38"/>
      <c r="H45" s="38"/>
      <c r="I45" s="38"/>
      <c r="J45" s="37"/>
      <c r="K45" s="37"/>
      <c r="L45" s="37"/>
      <c r="M45" s="37"/>
      <c r="N45" s="37"/>
      <c r="O45" s="130"/>
      <c r="P45" s="38"/>
      <c r="Q45" s="38"/>
      <c r="R45" s="38"/>
      <c r="S45" s="38"/>
      <c r="T45" s="130"/>
      <c r="U45" s="38"/>
      <c r="V45" s="38"/>
      <c r="W45" s="38"/>
      <c r="X45" s="37"/>
      <c r="Y45" s="130"/>
      <c r="Z45" s="38"/>
      <c r="AA45" s="38"/>
      <c r="AB45" s="38"/>
      <c r="AC45" s="38"/>
      <c r="AD45" s="130"/>
      <c r="AE45" s="38"/>
      <c r="AF45" s="38"/>
      <c r="AG45" s="38"/>
      <c r="AH45" s="37"/>
      <c r="AI45" s="130"/>
      <c r="AJ45" s="38"/>
      <c r="AK45" s="38"/>
      <c r="AL45" s="38"/>
      <c r="AM45" s="38"/>
      <c r="AN45" s="130"/>
      <c r="AO45" s="38"/>
      <c r="AP45" s="38"/>
      <c r="AQ45" s="38"/>
      <c r="AR45" s="38"/>
      <c r="AS45" s="38"/>
      <c r="AT45" s="130"/>
      <c r="AU45" s="38"/>
      <c r="AV45" s="38"/>
      <c r="AW45" s="38"/>
      <c r="AX45" s="38"/>
      <c r="AY45" s="38"/>
      <c r="AZ45" s="130"/>
      <c r="BA45" s="38"/>
      <c r="BB45" s="38"/>
      <c r="BC45" s="38"/>
      <c r="BD45" s="38"/>
      <c r="BE45" s="130"/>
      <c r="BF45" s="38"/>
      <c r="BG45" s="38"/>
      <c r="BH45" s="38"/>
      <c r="BI45" s="38"/>
    </row>
    <row r="46" spans="1:61" ht="32.25">
      <c r="A46" s="112"/>
      <c r="B46" s="432"/>
      <c r="C46" s="432"/>
      <c r="D46" s="676"/>
      <c r="E46" s="130"/>
      <c r="F46" s="130"/>
      <c r="G46" s="38"/>
      <c r="H46" s="38"/>
      <c r="I46" s="38"/>
      <c r="J46" s="37"/>
      <c r="K46" s="37"/>
      <c r="L46" s="37"/>
      <c r="M46" s="37"/>
      <c r="N46" s="37"/>
      <c r="O46" s="130"/>
      <c r="P46" s="38"/>
      <c r="Q46" s="38"/>
      <c r="R46" s="38"/>
      <c r="S46" s="38"/>
      <c r="T46" s="130"/>
      <c r="U46" s="38"/>
      <c r="V46" s="38"/>
      <c r="W46" s="38"/>
      <c r="X46" s="37"/>
      <c r="Y46" s="130"/>
      <c r="Z46" s="38"/>
      <c r="AA46" s="38"/>
      <c r="AB46" s="38"/>
      <c r="AC46" s="38"/>
      <c r="AD46" s="130"/>
      <c r="AE46" s="38"/>
      <c r="AF46" s="38"/>
      <c r="AG46" s="38"/>
      <c r="AH46" s="37"/>
      <c r="AI46" s="130"/>
      <c r="AJ46" s="38"/>
      <c r="AK46" s="38"/>
      <c r="AL46" s="38"/>
      <c r="AM46" s="38"/>
      <c r="AN46" s="130"/>
      <c r="AO46" s="38"/>
      <c r="AP46" s="38"/>
      <c r="AQ46" s="38"/>
      <c r="AR46" s="38"/>
      <c r="AS46" s="38"/>
      <c r="AT46" s="130"/>
      <c r="AU46" s="38"/>
      <c r="AV46" s="38"/>
      <c r="AW46" s="38"/>
      <c r="AX46" s="38"/>
      <c r="AY46" s="38"/>
      <c r="AZ46" s="130"/>
      <c r="BA46" s="38"/>
      <c r="BB46" s="38"/>
      <c r="BC46" s="38"/>
      <c r="BD46" s="38"/>
      <c r="BE46" s="130"/>
      <c r="BF46" s="38"/>
      <c r="BG46" s="38"/>
      <c r="BH46" s="38"/>
      <c r="BI46" s="38"/>
    </row>
    <row r="47" spans="1:61" ht="32.25">
      <c r="A47" s="112"/>
      <c r="B47" s="432"/>
      <c r="C47" s="432"/>
      <c r="D47" s="676"/>
      <c r="E47" s="130"/>
      <c r="F47" s="130"/>
      <c r="G47" s="38"/>
      <c r="H47" s="38"/>
      <c r="I47" s="38"/>
      <c r="J47" s="37"/>
      <c r="K47" s="37"/>
      <c r="L47" s="37"/>
      <c r="M47" s="37"/>
      <c r="N47" s="37"/>
      <c r="O47" s="130"/>
      <c r="P47" s="38"/>
      <c r="Q47" s="38"/>
      <c r="R47" s="38"/>
      <c r="S47" s="38"/>
      <c r="T47" s="130"/>
      <c r="U47" s="38"/>
      <c r="V47" s="38"/>
      <c r="W47" s="38"/>
      <c r="X47" s="37"/>
      <c r="Y47" s="130"/>
      <c r="Z47" s="38"/>
      <c r="AA47" s="38"/>
      <c r="AB47" s="38"/>
      <c r="AC47" s="38"/>
      <c r="AD47" s="130"/>
      <c r="AE47" s="38"/>
      <c r="AF47" s="38"/>
      <c r="AG47" s="38"/>
      <c r="AH47" s="37"/>
      <c r="AI47" s="130"/>
      <c r="AJ47" s="38"/>
      <c r="AK47" s="38"/>
      <c r="AL47" s="38"/>
      <c r="AM47" s="38"/>
      <c r="AN47" s="130"/>
      <c r="AO47" s="38"/>
      <c r="AP47" s="38"/>
      <c r="AQ47" s="38"/>
      <c r="AR47" s="38"/>
      <c r="AS47" s="38"/>
      <c r="AT47" s="130"/>
      <c r="AU47" s="38"/>
      <c r="AV47" s="38"/>
      <c r="AW47" s="38"/>
      <c r="AX47" s="38"/>
      <c r="AY47" s="38"/>
      <c r="AZ47" s="130"/>
      <c r="BA47" s="38"/>
      <c r="BB47" s="38"/>
      <c r="BC47" s="38"/>
      <c r="BD47" s="38"/>
      <c r="BE47" s="130"/>
      <c r="BF47" s="38"/>
      <c r="BG47" s="38"/>
      <c r="BH47" s="38"/>
      <c r="BI47" s="38"/>
    </row>
    <row r="48" spans="1:61" ht="32.25">
      <c r="A48" s="112"/>
      <c r="B48" s="432"/>
      <c r="C48" s="432"/>
      <c r="D48" s="676"/>
      <c r="E48" s="130"/>
      <c r="F48" s="130"/>
      <c r="G48" s="38"/>
      <c r="H48" s="38"/>
      <c r="I48" s="38"/>
      <c r="J48" s="37"/>
      <c r="K48" s="37"/>
      <c r="L48" s="37"/>
      <c r="M48" s="37"/>
      <c r="N48" s="37"/>
      <c r="O48" s="130"/>
      <c r="P48" s="38"/>
      <c r="Q48" s="38"/>
      <c r="R48" s="38"/>
      <c r="S48" s="38"/>
      <c r="T48" s="130"/>
      <c r="U48" s="38"/>
      <c r="V48" s="38"/>
      <c r="W48" s="38"/>
      <c r="X48" s="37"/>
      <c r="Y48" s="130"/>
      <c r="Z48" s="38"/>
      <c r="AA48" s="38"/>
      <c r="AB48" s="38"/>
      <c r="AC48" s="38"/>
      <c r="AD48" s="130"/>
      <c r="AE48" s="38"/>
      <c r="AF48" s="38"/>
      <c r="AG48" s="38"/>
      <c r="AH48" s="37"/>
      <c r="AI48" s="130"/>
      <c r="AJ48" s="38"/>
      <c r="AK48" s="38"/>
      <c r="AL48" s="38"/>
      <c r="AM48" s="38"/>
      <c r="AN48" s="130"/>
      <c r="AO48" s="38"/>
      <c r="AP48" s="38"/>
      <c r="AQ48" s="38"/>
      <c r="AR48" s="38"/>
      <c r="AS48" s="38"/>
      <c r="AT48" s="130"/>
      <c r="AU48" s="38"/>
      <c r="AV48" s="38"/>
      <c r="AW48" s="38"/>
      <c r="AX48" s="38"/>
      <c r="AY48" s="38"/>
      <c r="AZ48" s="130"/>
      <c r="BA48" s="38"/>
      <c r="BB48" s="38"/>
      <c r="BC48" s="38"/>
      <c r="BD48" s="38"/>
      <c r="BE48" s="130"/>
      <c r="BF48" s="38"/>
      <c r="BG48" s="38"/>
      <c r="BH48" s="38"/>
      <c r="BI48" s="38"/>
    </row>
    <row r="49" spans="1:61" ht="32.25">
      <c r="A49" s="112"/>
      <c r="B49" s="432"/>
      <c r="C49" s="432"/>
      <c r="D49" s="676"/>
      <c r="E49" s="130"/>
      <c r="F49" s="130"/>
      <c r="G49" s="38"/>
      <c r="H49" s="38"/>
      <c r="I49" s="38"/>
      <c r="J49" s="37"/>
      <c r="K49" s="37"/>
      <c r="L49" s="37"/>
      <c r="M49" s="37"/>
      <c r="N49" s="37"/>
      <c r="O49" s="130"/>
      <c r="P49" s="38"/>
      <c r="Q49" s="38"/>
      <c r="R49" s="38"/>
      <c r="S49" s="38"/>
      <c r="T49" s="130"/>
      <c r="U49" s="38"/>
      <c r="V49" s="38"/>
      <c r="W49" s="38"/>
      <c r="X49" s="37"/>
      <c r="Y49" s="130"/>
      <c r="Z49" s="38"/>
      <c r="AA49" s="38"/>
      <c r="AB49" s="38"/>
      <c r="AC49" s="38"/>
      <c r="AD49" s="130"/>
      <c r="AE49" s="38"/>
      <c r="AF49" s="38"/>
      <c r="AG49" s="38"/>
      <c r="AH49" s="37"/>
      <c r="AI49" s="130"/>
      <c r="AJ49" s="38"/>
      <c r="AK49" s="38"/>
      <c r="AL49" s="38"/>
      <c r="AM49" s="38"/>
      <c r="AN49" s="130"/>
      <c r="AO49" s="38"/>
      <c r="AP49" s="38"/>
      <c r="AQ49" s="38"/>
      <c r="AR49" s="38"/>
      <c r="AS49" s="38"/>
      <c r="AT49" s="130"/>
      <c r="AU49" s="38"/>
      <c r="AV49" s="38"/>
      <c r="AW49" s="38"/>
      <c r="AX49" s="38"/>
      <c r="AY49" s="38"/>
      <c r="AZ49" s="130"/>
      <c r="BA49" s="38"/>
      <c r="BB49" s="38"/>
      <c r="BC49" s="38"/>
      <c r="BD49" s="38"/>
      <c r="BE49" s="130"/>
      <c r="BF49" s="38"/>
      <c r="BG49" s="38"/>
      <c r="BH49" s="38"/>
      <c r="BI49" s="38"/>
    </row>
    <row r="50" spans="1:61" ht="32.25">
      <c r="A50" s="112"/>
      <c r="B50" s="432"/>
      <c r="C50" s="432"/>
      <c r="D50" s="676"/>
      <c r="E50" s="130"/>
      <c r="F50" s="130"/>
      <c r="G50" s="38"/>
      <c r="H50" s="38"/>
      <c r="I50" s="38"/>
      <c r="J50" s="37"/>
      <c r="K50" s="37"/>
      <c r="L50" s="37"/>
      <c r="M50" s="37"/>
      <c r="N50" s="37"/>
      <c r="O50" s="130"/>
      <c r="P50" s="38"/>
      <c r="Q50" s="38"/>
      <c r="R50" s="38"/>
      <c r="S50" s="38"/>
      <c r="T50" s="130"/>
      <c r="U50" s="38"/>
      <c r="V50" s="38"/>
      <c r="W50" s="38"/>
      <c r="X50" s="37"/>
      <c r="Y50" s="130"/>
      <c r="Z50" s="38"/>
      <c r="AA50" s="38"/>
      <c r="AB50" s="38"/>
      <c r="AC50" s="38"/>
      <c r="AD50" s="130"/>
      <c r="AE50" s="38"/>
      <c r="AF50" s="38"/>
      <c r="AG50" s="38"/>
      <c r="AH50" s="37"/>
      <c r="AI50" s="130"/>
      <c r="AJ50" s="38"/>
      <c r="AK50" s="38"/>
      <c r="AL50" s="38"/>
      <c r="AM50" s="38"/>
      <c r="AN50" s="130"/>
      <c r="AO50" s="38"/>
      <c r="AP50" s="38"/>
      <c r="AQ50" s="38"/>
      <c r="AR50" s="38"/>
      <c r="AS50" s="38"/>
      <c r="AT50" s="130"/>
      <c r="AU50" s="38"/>
      <c r="AV50" s="38"/>
      <c r="AW50" s="38"/>
      <c r="AX50" s="38"/>
      <c r="AY50" s="38"/>
      <c r="AZ50" s="130"/>
      <c r="BA50" s="38"/>
      <c r="BB50" s="38"/>
      <c r="BC50" s="38"/>
      <c r="BD50" s="38"/>
      <c r="BE50" s="130"/>
      <c r="BF50" s="38"/>
      <c r="BG50" s="38"/>
      <c r="BH50" s="38"/>
      <c r="BI50" s="38"/>
    </row>
    <row r="51" spans="1:61" ht="32.25">
      <c r="A51" s="112"/>
      <c r="B51" s="432"/>
      <c r="C51" s="432"/>
      <c r="D51" s="676"/>
      <c r="E51" s="130"/>
      <c r="F51" s="130"/>
      <c r="G51" s="38"/>
      <c r="H51" s="38"/>
      <c r="I51" s="38"/>
      <c r="J51" s="37"/>
      <c r="K51" s="37"/>
      <c r="L51" s="37"/>
      <c r="M51" s="37"/>
      <c r="N51" s="37"/>
      <c r="O51" s="130"/>
      <c r="P51" s="38"/>
      <c r="Q51" s="38"/>
      <c r="R51" s="38"/>
      <c r="S51" s="38"/>
      <c r="T51" s="130"/>
      <c r="U51" s="38"/>
      <c r="V51" s="38"/>
      <c r="W51" s="38"/>
      <c r="X51" s="37"/>
      <c r="Y51" s="130"/>
      <c r="Z51" s="38"/>
      <c r="AA51" s="38"/>
      <c r="AB51" s="38"/>
      <c r="AC51" s="38"/>
      <c r="AD51" s="130"/>
      <c r="AE51" s="38"/>
      <c r="AF51" s="38"/>
      <c r="AG51" s="38"/>
      <c r="AH51" s="37"/>
      <c r="AI51" s="130"/>
      <c r="AJ51" s="38"/>
      <c r="AK51" s="38"/>
      <c r="AL51" s="38"/>
      <c r="AM51" s="38"/>
      <c r="AN51" s="130"/>
      <c r="AO51" s="38"/>
      <c r="AP51" s="38"/>
      <c r="AQ51" s="38"/>
      <c r="AR51" s="38"/>
      <c r="AS51" s="38"/>
      <c r="AT51" s="130"/>
      <c r="AU51" s="38"/>
      <c r="AV51" s="38"/>
      <c r="AW51" s="38"/>
      <c r="AX51" s="38"/>
      <c r="AY51" s="38"/>
      <c r="AZ51" s="130"/>
      <c r="BA51" s="38"/>
      <c r="BB51" s="38"/>
      <c r="BC51" s="38"/>
      <c r="BD51" s="38"/>
      <c r="BE51" s="130"/>
      <c r="BF51" s="38"/>
      <c r="BG51" s="38"/>
      <c r="BH51" s="38"/>
      <c r="BI51" s="38"/>
    </row>
    <row r="52" spans="1:61" ht="32.25">
      <c r="A52" s="112"/>
      <c r="B52" s="432"/>
      <c r="C52" s="432"/>
      <c r="D52" s="676"/>
      <c r="E52" s="130"/>
      <c r="F52" s="130"/>
      <c r="G52" s="38"/>
      <c r="H52" s="38"/>
      <c r="I52" s="38"/>
      <c r="J52" s="37"/>
      <c r="K52" s="37"/>
      <c r="L52" s="37"/>
      <c r="M52" s="37"/>
      <c r="N52" s="37"/>
      <c r="O52" s="130"/>
      <c r="P52" s="38"/>
      <c r="Q52" s="38"/>
      <c r="R52" s="38"/>
      <c r="S52" s="38"/>
      <c r="T52" s="130"/>
      <c r="U52" s="38"/>
      <c r="V52" s="38"/>
      <c r="W52" s="38"/>
      <c r="X52" s="37"/>
      <c r="Y52" s="130"/>
      <c r="Z52" s="38"/>
      <c r="AA52" s="38"/>
      <c r="AB52" s="38"/>
      <c r="AC52" s="38"/>
      <c r="AD52" s="130"/>
      <c r="AE52" s="38"/>
      <c r="AF52" s="38"/>
      <c r="AG52" s="38"/>
      <c r="AH52" s="37"/>
      <c r="AI52" s="130"/>
      <c r="AJ52" s="38"/>
      <c r="AK52" s="38"/>
      <c r="AL52" s="38"/>
      <c r="AM52" s="38"/>
      <c r="AN52" s="130"/>
      <c r="AO52" s="38"/>
      <c r="AP52" s="38"/>
      <c r="AQ52" s="38"/>
      <c r="AR52" s="38"/>
      <c r="AS52" s="38"/>
      <c r="AT52" s="130"/>
      <c r="AU52" s="38"/>
      <c r="AV52" s="38"/>
      <c r="AW52" s="38"/>
      <c r="AX52" s="38"/>
      <c r="AY52" s="38"/>
      <c r="AZ52" s="130"/>
      <c r="BA52" s="38"/>
      <c r="BB52" s="38"/>
      <c r="BC52" s="38"/>
      <c r="BD52" s="38"/>
      <c r="BE52" s="130"/>
      <c r="BF52" s="38"/>
      <c r="BG52" s="38"/>
      <c r="BH52" s="38"/>
      <c r="BI52" s="38"/>
    </row>
    <row r="53" spans="1:61" ht="32.25">
      <c r="A53" s="112"/>
      <c r="B53" s="432"/>
      <c r="C53" s="432"/>
      <c r="D53" s="676"/>
      <c r="E53" s="130"/>
      <c r="F53" s="130"/>
      <c r="G53" s="38"/>
      <c r="H53" s="38"/>
      <c r="I53" s="38"/>
      <c r="J53" s="37"/>
      <c r="K53" s="37"/>
      <c r="L53" s="37"/>
      <c r="M53" s="37"/>
      <c r="N53" s="37"/>
      <c r="O53" s="130"/>
      <c r="P53" s="38"/>
      <c r="Q53" s="38"/>
      <c r="R53" s="38"/>
      <c r="S53" s="38"/>
      <c r="T53" s="130"/>
      <c r="U53" s="38"/>
      <c r="V53" s="38"/>
      <c r="W53" s="38"/>
      <c r="X53" s="37"/>
      <c r="Y53" s="130"/>
      <c r="Z53" s="38"/>
      <c r="AA53" s="38"/>
      <c r="AB53" s="38"/>
      <c r="AC53" s="38"/>
      <c r="AD53" s="130"/>
      <c r="AE53" s="38"/>
      <c r="AF53" s="38"/>
      <c r="AG53" s="38"/>
      <c r="AH53" s="37"/>
      <c r="AI53" s="130"/>
      <c r="AJ53" s="38"/>
      <c r="AK53" s="38"/>
      <c r="AL53" s="38"/>
      <c r="AM53" s="38"/>
      <c r="AN53" s="130"/>
      <c r="AO53" s="38"/>
      <c r="AP53" s="38"/>
      <c r="AQ53" s="38"/>
      <c r="AR53" s="38"/>
      <c r="AS53" s="38"/>
      <c r="AT53" s="130"/>
      <c r="AU53" s="38"/>
      <c r="AV53" s="38"/>
      <c r="AW53" s="38"/>
      <c r="AX53" s="38"/>
      <c r="AY53" s="38"/>
      <c r="AZ53" s="130"/>
      <c r="BA53" s="38"/>
      <c r="BB53" s="38"/>
      <c r="BC53" s="38"/>
      <c r="BD53" s="38"/>
      <c r="BE53" s="130"/>
      <c r="BF53" s="38"/>
      <c r="BG53" s="38"/>
      <c r="BH53" s="38"/>
      <c r="BI53" s="38"/>
    </row>
    <row r="54" spans="1:61" ht="32.25">
      <c r="A54" s="112"/>
      <c r="B54" s="432"/>
      <c r="C54" s="432"/>
      <c r="D54" s="676"/>
      <c r="E54" s="130"/>
      <c r="F54" s="130"/>
      <c r="G54" s="38"/>
      <c r="H54" s="38"/>
      <c r="I54" s="38"/>
      <c r="J54" s="37"/>
      <c r="K54" s="37"/>
      <c r="L54" s="37"/>
      <c r="M54" s="37"/>
      <c r="N54" s="37"/>
      <c r="O54" s="130"/>
      <c r="P54" s="38"/>
      <c r="Q54" s="38"/>
      <c r="R54" s="38"/>
      <c r="S54" s="38"/>
      <c r="T54" s="130"/>
      <c r="U54" s="38"/>
      <c r="V54" s="38"/>
      <c r="W54" s="38"/>
      <c r="X54" s="37"/>
      <c r="Y54" s="130"/>
      <c r="Z54" s="38"/>
      <c r="AA54" s="38"/>
      <c r="AB54" s="38"/>
      <c r="AC54" s="38"/>
      <c r="AD54" s="130"/>
      <c r="AE54" s="38"/>
      <c r="AF54" s="38"/>
      <c r="AG54" s="38"/>
      <c r="AH54" s="37"/>
      <c r="AI54" s="130"/>
      <c r="AJ54" s="38"/>
      <c r="AK54" s="38"/>
      <c r="AL54" s="38"/>
      <c r="AM54" s="38"/>
      <c r="AN54" s="130"/>
      <c r="AO54" s="38"/>
      <c r="AP54" s="38"/>
      <c r="AQ54" s="38"/>
      <c r="AR54" s="38"/>
      <c r="AS54" s="38"/>
      <c r="AT54" s="130"/>
      <c r="AU54" s="38"/>
      <c r="AV54" s="38"/>
      <c r="AW54" s="38"/>
      <c r="AX54" s="38"/>
      <c r="AY54" s="38"/>
      <c r="AZ54" s="130"/>
      <c r="BA54" s="38"/>
      <c r="BB54" s="38"/>
      <c r="BC54" s="38"/>
      <c r="BD54" s="38"/>
      <c r="BE54" s="130"/>
      <c r="BF54" s="38"/>
      <c r="BG54" s="38"/>
      <c r="BH54" s="38"/>
      <c r="BI54" s="38"/>
    </row>
    <row r="55" spans="1:61" ht="32.25">
      <c r="A55" s="112"/>
      <c r="B55" s="432"/>
      <c r="C55" s="432"/>
      <c r="D55" s="676"/>
      <c r="E55" s="130"/>
      <c r="F55" s="130"/>
      <c r="G55" s="38"/>
      <c r="H55" s="38"/>
      <c r="I55" s="38"/>
      <c r="J55" s="37"/>
      <c r="K55" s="37"/>
      <c r="L55" s="37"/>
      <c r="M55" s="37"/>
      <c r="N55" s="37"/>
      <c r="O55" s="130"/>
      <c r="P55" s="38"/>
      <c r="Q55" s="38"/>
      <c r="R55" s="38"/>
      <c r="S55" s="38"/>
      <c r="T55" s="130"/>
      <c r="U55" s="38"/>
      <c r="V55" s="38"/>
      <c r="W55" s="38"/>
      <c r="X55" s="37"/>
      <c r="Y55" s="130"/>
      <c r="Z55" s="38"/>
      <c r="AA55" s="38"/>
      <c r="AB55" s="38"/>
      <c r="AC55" s="38"/>
      <c r="AD55" s="130"/>
      <c r="AE55" s="38"/>
      <c r="AF55" s="38"/>
      <c r="AG55" s="38"/>
      <c r="AH55" s="37"/>
      <c r="AI55" s="130"/>
      <c r="AJ55" s="38"/>
      <c r="AK55" s="38"/>
      <c r="AL55" s="38"/>
      <c r="AM55" s="38"/>
      <c r="AN55" s="130"/>
      <c r="AO55" s="38"/>
      <c r="AP55" s="38"/>
      <c r="AQ55" s="38"/>
      <c r="AR55" s="38"/>
      <c r="AS55" s="38"/>
      <c r="AT55" s="130"/>
      <c r="AU55" s="38"/>
      <c r="AV55" s="38"/>
      <c r="AW55" s="38"/>
      <c r="AX55" s="38"/>
      <c r="AY55" s="38"/>
      <c r="AZ55" s="130"/>
      <c r="BA55" s="38"/>
      <c r="BB55" s="38"/>
      <c r="BC55" s="38"/>
      <c r="BD55" s="38"/>
      <c r="BE55" s="130"/>
      <c r="BF55" s="38"/>
      <c r="BG55" s="38"/>
      <c r="BH55" s="38"/>
      <c r="BI55" s="38"/>
    </row>
    <row r="56" spans="1:61" ht="32.25">
      <c r="A56" s="112"/>
      <c r="B56" s="432"/>
      <c r="C56" s="432"/>
      <c r="D56" s="676"/>
      <c r="E56" s="130"/>
      <c r="F56" s="130"/>
      <c r="G56" s="38"/>
      <c r="H56" s="38"/>
      <c r="I56" s="38"/>
      <c r="J56" s="37"/>
      <c r="K56" s="37"/>
      <c r="L56" s="37"/>
      <c r="M56" s="37"/>
      <c r="N56" s="37"/>
      <c r="O56" s="130"/>
      <c r="P56" s="38"/>
      <c r="Q56" s="38"/>
      <c r="R56" s="38"/>
      <c r="S56" s="38"/>
      <c r="T56" s="130"/>
      <c r="U56" s="38"/>
      <c r="V56" s="38"/>
      <c r="W56" s="38"/>
      <c r="X56" s="37"/>
      <c r="Y56" s="130"/>
      <c r="Z56" s="38"/>
      <c r="AA56" s="38"/>
      <c r="AB56" s="38"/>
      <c r="AC56" s="38"/>
      <c r="AD56" s="130"/>
      <c r="AE56" s="38"/>
      <c r="AF56" s="38"/>
      <c r="AG56" s="38"/>
      <c r="AH56" s="37"/>
      <c r="AI56" s="130"/>
      <c r="AJ56" s="38"/>
      <c r="AK56" s="38"/>
      <c r="AL56" s="38"/>
      <c r="AM56" s="38"/>
      <c r="AN56" s="130"/>
      <c r="AO56" s="38"/>
      <c r="AP56" s="38"/>
      <c r="AQ56" s="38"/>
      <c r="AR56" s="38"/>
      <c r="AS56" s="38"/>
      <c r="AT56" s="130"/>
      <c r="AU56" s="38"/>
      <c r="AV56" s="38"/>
      <c r="AW56" s="38"/>
      <c r="AX56" s="38"/>
      <c r="AY56" s="38"/>
      <c r="AZ56" s="130"/>
      <c r="BA56" s="38"/>
      <c r="BB56" s="38"/>
      <c r="BC56" s="38"/>
      <c r="BD56" s="38"/>
      <c r="BE56" s="130"/>
      <c r="BF56" s="38"/>
      <c r="BG56" s="38"/>
      <c r="BH56" s="38"/>
      <c r="BI56" s="38"/>
    </row>
    <row r="57" spans="1:61" ht="32.25">
      <c r="A57" s="112"/>
      <c r="B57" s="432"/>
      <c r="C57" s="432"/>
      <c r="D57" s="676"/>
      <c r="E57" s="130"/>
      <c r="F57" s="130"/>
      <c r="G57" s="38"/>
      <c r="H57" s="38"/>
      <c r="I57" s="38"/>
      <c r="J57" s="37"/>
      <c r="K57" s="37"/>
      <c r="L57" s="37"/>
      <c r="M57" s="37"/>
      <c r="N57" s="37"/>
      <c r="O57" s="130"/>
      <c r="P57" s="38"/>
      <c r="Q57" s="38"/>
      <c r="R57" s="38"/>
      <c r="S57" s="38"/>
      <c r="T57" s="130"/>
      <c r="U57" s="38"/>
      <c r="V57" s="38"/>
      <c r="W57" s="38"/>
      <c r="X57" s="37"/>
      <c r="Y57" s="130"/>
      <c r="Z57" s="38"/>
      <c r="AA57" s="38"/>
      <c r="AB57" s="38"/>
      <c r="AC57" s="38"/>
      <c r="AD57" s="130"/>
      <c r="AE57" s="38"/>
      <c r="AF57" s="38"/>
      <c r="AG57" s="38"/>
      <c r="AH57" s="37"/>
      <c r="AI57" s="130"/>
      <c r="AJ57" s="38"/>
      <c r="AK57" s="38"/>
      <c r="AL57" s="38"/>
      <c r="AM57" s="38"/>
      <c r="AN57" s="130"/>
      <c r="AO57" s="38"/>
      <c r="AP57" s="38"/>
      <c r="AQ57" s="38"/>
      <c r="AR57" s="38"/>
      <c r="AS57" s="38"/>
      <c r="AT57" s="130"/>
      <c r="AU57" s="38"/>
      <c r="AV57" s="38"/>
      <c r="AW57" s="38"/>
      <c r="AX57" s="38"/>
      <c r="AY57" s="38"/>
      <c r="AZ57" s="130"/>
      <c r="BA57" s="38"/>
      <c r="BB57" s="38"/>
      <c r="BC57" s="38"/>
      <c r="BD57" s="38"/>
      <c r="BE57" s="130"/>
      <c r="BF57" s="38"/>
      <c r="BG57" s="38"/>
      <c r="BH57" s="38"/>
      <c r="BI57" s="38"/>
    </row>
    <row r="58" spans="1:61" ht="32.25">
      <c r="A58" s="112"/>
      <c r="B58" s="432"/>
      <c r="C58" s="432"/>
      <c r="D58" s="676"/>
      <c r="E58" s="130"/>
      <c r="F58" s="130"/>
      <c r="G58" s="38"/>
      <c r="H58" s="38"/>
      <c r="I58" s="38"/>
      <c r="J58" s="37"/>
      <c r="K58" s="37"/>
      <c r="L58" s="37"/>
      <c r="M58" s="37"/>
      <c r="N58" s="37"/>
      <c r="O58" s="130"/>
      <c r="P58" s="38"/>
      <c r="Q58" s="38"/>
      <c r="R58" s="38"/>
      <c r="S58" s="38"/>
      <c r="T58" s="130"/>
      <c r="U58" s="38"/>
      <c r="V58" s="38"/>
      <c r="W58" s="38"/>
      <c r="X58" s="37"/>
      <c r="Y58" s="130"/>
      <c r="Z58" s="38"/>
      <c r="AA58" s="38"/>
      <c r="AB58" s="38"/>
      <c r="AC58" s="38"/>
      <c r="AD58" s="130"/>
      <c r="AE58" s="38"/>
      <c r="AF58" s="38"/>
      <c r="AG58" s="38"/>
      <c r="AH58" s="37"/>
      <c r="AI58" s="130"/>
      <c r="AJ58" s="38"/>
      <c r="AK58" s="38"/>
      <c r="AL58" s="38"/>
      <c r="AM58" s="38"/>
      <c r="AN58" s="130"/>
      <c r="AO58" s="38"/>
      <c r="AP58" s="38"/>
      <c r="AQ58" s="38"/>
      <c r="AR58" s="38"/>
      <c r="AS58" s="38"/>
      <c r="AT58" s="130"/>
      <c r="AU58" s="38"/>
      <c r="AV58" s="38"/>
      <c r="AW58" s="38"/>
      <c r="AX58" s="38"/>
      <c r="AY58" s="38"/>
      <c r="AZ58" s="130"/>
      <c r="BA58" s="38"/>
      <c r="BB58" s="38"/>
      <c r="BC58" s="38"/>
      <c r="BD58" s="38"/>
      <c r="BE58" s="130"/>
      <c r="BF58" s="38"/>
      <c r="BG58" s="38"/>
      <c r="BH58" s="38"/>
      <c r="BI58" s="38"/>
    </row>
    <row r="59" spans="1:61" ht="32.25">
      <c r="A59" s="112"/>
      <c r="B59" s="432"/>
      <c r="C59" s="432"/>
      <c r="D59" s="676"/>
      <c r="E59" s="130"/>
      <c r="F59" s="130"/>
      <c r="G59" s="38"/>
      <c r="H59" s="38"/>
      <c r="I59" s="38"/>
      <c r="J59" s="37"/>
      <c r="K59" s="37"/>
      <c r="L59" s="37"/>
      <c r="M59" s="37"/>
      <c r="N59" s="37"/>
      <c r="O59" s="130"/>
      <c r="P59" s="38"/>
      <c r="Q59" s="38"/>
      <c r="R59" s="38"/>
      <c r="S59" s="38"/>
      <c r="T59" s="130"/>
      <c r="U59" s="38"/>
      <c r="V59" s="38"/>
      <c r="W59" s="38"/>
      <c r="X59" s="37"/>
      <c r="Y59" s="130"/>
      <c r="Z59" s="38"/>
      <c r="AA59" s="38"/>
      <c r="AB59" s="38"/>
      <c r="AC59" s="38"/>
      <c r="AD59" s="130"/>
      <c r="AE59" s="38"/>
      <c r="AF59" s="38"/>
      <c r="AG59" s="38"/>
      <c r="AH59" s="37"/>
      <c r="AI59" s="130"/>
      <c r="AJ59" s="38"/>
      <c r="AK59" s="38"/>
      <c r="AL59" s="38"/>
      <c r="AM59" s="38"/>
      <c r="AN59" s="130"/>
      <c r="AO59" s="38"/>
      <c r="AP59" s="38"/>
      <c r="AQ59" s="38"/>
      <c r="AR59" s="38"/>
      <c r="AS59" s="38"/>
      <c r="AT59" s="130"/>
      <c r="AU59" s="38"/>
      <c r="AV59" s="38"/>
      <c r="AW59" s="38"/>
      <c r="AX59" s="38"/>
      <c r="AY59" s="38"/>
      <c r="AZ59" s="130"/>
      <c r="BA59" s="38"/>
      <c r="BB59" s="38"/>
      <c r="BC59" s="38"/>
      <c r="BD59" s="38"/>
      <c r="BE59" s="130"/>
      <c r="BF59" s="38"/>
      <c r="BG59" s="38"/>
      <c r="BH59" s="38"/>
      <c r="BI59" s="38"/>
    </row>
    <row r="60" spans="1:61" ht="32.25">
      <c r="A60" s="112"/>
      <c r="B60" s="432"/>
      <c r="C60" s="432"/>
      <c r="D60" s="676"/>
      <c r="E60" s="130"/>
      <c r="F60" s="130"/>
      <c r="G60" s="38"/>
      <c r="H60" s="38"/>
      <c r="I60" s="38"/>
      <c r="J60" s="37"/>
      <c r="K60" s="37"/>
      <c r="L60" s="37"/>
      <c r="M60" s="37"/>
      <c r="N60" s="37"/>
      <c r="O60" s="130"/>
      <c r="P60" s="38"/>
      <c r="Q60" s="38"/>
      <c r="R60" s="38"/>
      <c r="S60" s="38"/>
      <c r="T60" s="130"/>
      <c r="U60" s="38"/>
      <c r="V60" s="38"/>
      <c r="W60" s="38"/>
      <c r="X60" s="37"/>
      <c r="Y60" s="130"/>
      <c r="Z60" s="38"/>
      <c r="AA60" s="38"/>
      <c r="AB60" s="38"/>
      <c r="AC60" s="38"/>
      <c r="AD60" s="130"/>
      <c r="AE60" s="38"/>
      <c r="AF60" s="38"/>
      <c r="AG60" s="38"/>
      <c r="AH60" s="37"/>
      <c r="AI60" s="130"/>
      <c r="AJ60" s="38"/>
      <c r="AK60" s="38"/>
      <c r="AL60" s="38"/>
      <c r="AM60" s="38"/>
      <c r="AN60" s="130"/>
      <c r="AO60" s="38"/>
      <c r="AP60" s="38"/>
      <c r="AQ60" s="38"/>
      <c r="AR60" s="38"/>
      <c r="AS60" s="38"/>
      <c r="AT60" s="130"/>
      <c r="AU60" s="38"/>
      <c r="AV60" s="38"/>
      <c r="AW60" s="38"/>
      <c r="AX60" s="38"/>
      <c r="AY60" s="38"/>
      <c r="AZ60" s="130"/>
      <c r="BA60" s="38"/>
      <c r="BB60" s="38"/>
      <c r="BC60" s="38"/>
      <c r="BD60" s="38"/>
      <c r="BE60" s="130"/>
      <c r="BF60" s="38"/>
      <c r="BG60" s="38"/>
      <c r="BH60" s="38"/>
      <c r="BI60" s="38"/>
    </row>
    <row r="61" spans="1:61" ht="32.25">
      <c r="A61" s="112"/>
      <c r="B61" s="432"/>
      <c r="C61" s="432"/>
      <c r="D61" s="676"/>
      <c r="E61" s="130"/>
      <c r="F61" s="130"/>
      <c r="G61" s="38"/>
      <c r="H61" s="38"/>
      <c r="I61" s="38"/>
      <c r="J61" s="37"/>
      <c r="K61" s="37"/>
      <c r="L61" s="37"/>
      <c r="M61" s="37"/>
      <c r="N61" s="37"/>
      <c r="O61" s="130"/>
      <c r="P61" s="38"/>
      <c r="Q61" s="38"/>
      <c r="R61" s="38"/>
      <c r="S61" s="38"/>
      <c r="T61" s="130"/>
      <c r="U61" s="38"/>
      <c r="V61" s="38"/>
      <c r="W61" s="38"/>
      <c r="X61" s="37"/>
      <c r="Y61" s="130"/>
      <c r="Z61" s="38"/>
      <c r="AA61" s="38"/>
      <c r="AB61" s="38"/>
      <c r="AC61" s="38"/>
      <c r="AD61" s="130"/>
      <c r="AE61" s="38"/>
      <c r="AF61" s="38"/>
      <c r="AG61" s="38"/>
      <c r="AH61" s="37"/>
      <c r="AI61" s="130"/>
      <c r="AJ61" s="38"/>
      <c r="AK61" s="38"/>
      <c r="AL61" s="38"/>
      <c r="AM61" s="38"/>
      <c r="AN61" s="130"/>
      <c r="AO61" s="38"/>
      <c r="AP61" s="38"/>
      <c r="AQ61" s="38"/>
      <c r="AR61" s="38"/>
      <c r="AS61" s="38"/>
      <c r="AT61" s="130"/>
      <c r="AU61" s="38"/>
      <c r="AV61" s="38"/>
      <c r="AW61" s="38"/>
      <c r="AX61" s="38"/>
      <c r="AY61" s="38"/>
      <c r="AZ61" s="130"/>
      <c r="BA61" s="38"/>
      <c r="BB61" s="38"/>
      <c r="BC61" s="38"/>
      <c r="BD61" s="38"/>
      <c r="BE61" s="130"/>
      <c r="BF61" s="38"/>
      <c r="BG61" s="38"/>
      <c r="BH61" s="38"/>
      <c r="BI61" s="38"/>
    </row>
    <row r="62" spans="1:61" ht="32.25">
      <c r="A62" s="112"/>
      <c r="B62" s="432"/>
      <c r="C62" s="432"/>
      <c r="D62" s="676"/>
      <c r="E62" s="130"/>
      <c r="F62" s="130"/>
      <c r="G62" s="38"/>
      <c r="H62" s="38"/>
      <c r="I62" s="38"/>
      <c r="J62" s="37"/>
      <c r="K62" s="37"/>
      <c r="L62" s="37"/>
      <c r="M62" s="37"/>
      <c r="N62" s="37"/>
      <c r="O62" s="130"/>
      <c r="P62" s="38"/>
      <c r="Q62" s="38"/>
      <c r="R62" s="38"/>
      <c r="S62" s="38"/>
      <c r="T62" s="130"/>
      <c r="U62" s="38"/>
      <c r="V62" s="38"/>
      <c r="W62" s="38"/>
      <c r="X62" s="37"/>
      <c r="Y62" s="130"/>
      <c r="Z62" s="38"/>
      <c r="AA62" s="38"/>
      <c r="AB62" s="38"/>
      <c r="AC62" s="38"/>
      <c r="AD62" s="130"/>
      <c r="AE62" s="38"/>
      <c r="AF62" s="38"/>
      <c r="AG62" s="38"/>
      <c r="AH62" s="37"/>
      <c r="AI62" s="130"/>
      <c r="AJ62" s="38"/>
      <c r="AK62" s="38"/>
      <c r="AL62" s="38"/>
      <c r="AM62" s="38"/>
      <c r="AN62" s="130"/>
      <c r="AO62" s="38"/>
      <c r="AP62" s="38"/>
      <c r="AQ62" s="38"/>
      <c r="AR62" s="38"/>
      <c r="AS62" s="38"/>
      <c r="AT62" s="130"/>
      <c r="AU62" s="38"/>
      <c r="AV62" s="38"/>
      <c r="AW62" s="38"/>
      <c r="AX62" s="38"/>
      <c r="AY62" s="38"/>
      <c r="AZ62" s="130"/>
      <c r="BA62" s="38"/>
      <c r="BB62" s="38"/>
      <c r="BC62" s="38"/>
      <c r="BD62" s="38"/>
      <c r="BE62" s="130"/>
      <c r="BF62" s="38"/>
      <c r="BG62" s="38"/>
      <c r="BH62" s="38"/>
      <c r="BI62" s="38"/>
    </row>
    <row r="63" spans="1:61" ht="32.25">
      <c r="A63" s="112"/>
      <c r="B63" s="432"/>
      <c r="C63" s="432"/>
      <c r="D63" s="676"/>
      <c r="E63" s="130"/>
      <c r="F63" s="130"/>
      <c r="G63" s="38"/>
      <c r="H63" s="38"/>
      <c r="I63" s="38"/>
      <c r="J63" s="37"/>
      <c r="K63" s="37"/>
      <c r="L63" s="37"/>
      <c r="M63" s="37"/>
      <c r="N63" s="37"/>
      <c r="O63" s="130"/>
      <c r="P63" s="38"/>
      <c r="Q63" s="38"/>
      <c r="R63" s="38"/>
      <c r="S63" s="38"/>
      <c r="T63" s="130"/>
      <c r="U63" s="38"/>
      <c r="V63" s="38"/>
      <c r="W63" s="38"/>
      <c r="X63" s="37"/>
      <c r="Y63" s="130"/>
      <c r="Z63" s="38"/>
      <c r="AA63" s="38"/>
      <c r="AB63" s="38"/>
      <c r="AC63" s="38"/>
      <c r="AD63" s="130"/>
      <c r="AE63" s="38"/>
      <c r="AF63" s="38"/>
      <c r="AG63" s="38"/>
      <c r="AH63" s="37"/>
      <c r="AI63" s="130"/>
      <c r="AJ63" s="38"/>
      <c r="AK63" s="38"/>
      <c r="AL63" s="38"/>
      <c r="AM63" s="38"/>
      <c r="AN63" s="130"/>
      <c r="AO63" s="38"/>
      <c r="AP63" s="38"/>
      <c r="AQ63" s="38"/>
      <c r="AR63" s="38"/>
      <c r="AS63" s="38"/>
      <c r="AT63" s="130"/>
      <c r="AU63" s="38"/>
      <c r="AV63" s="38"/>
      <c r="AW63" s="38"/>
      <c r="AX63" s="38"/>
      <c r="AY63" s="38"/>
      <c r="AZ63" s="130"/>
      <c r="BA63" s="38"/>
      <c r="BB63" s="38"/>
      <c r="BC63" s="38"/>
      <c r="BD63" s="38"/>
      <c r="BE63" s="130"/>
      <c r="BF63" s="38"/>
      <c r="BG63" s="38"/>
      <c r="BH63" s="38"/>
      <c r="BI63" s="38"/>
    </row>
    <row r="64" spans="1:61" ht="32.25">
      <c r="A64" s="112"/>
      <c r="B64" s="432"/>
      <c r="C64" s="432"/>
      <c r="D64" s="676"/>
      <c r="E64" s="130"/>
      <c r="F64" s="130"/>
      <c r="G64" s="38"/>
      <c r="H64" s="38"/>
      <c r="I64" s="38"/>
      <c r="J64" s="37"/>
      <c r="K64" s="37"/>
      <c r="L64" s="37"/>
      <c r="M64" s="37"/>
      <c r="N64" s="37"/>
      <c r="O64" s="130"/>
      <c r="P64" s="38"/>
      <c r="Q64" s="38"/>
      <c r="R64" s="38"/>
      <c r="S64" s="38"/>
      <c r="T64" s="130"/>
      <c r="U64" s="38"/>
      <c r="V64" s="38"/>
      <c r="W64" s="38"/>
      <c r="X64" s="37"/>
      <c r="Y64" s="130"/>
      <c r="Z64" s="38"/>
      <c r="AA64" s="38"/>
      <c r="AB64" s="38"/>
      <c r="AC64" s="38"/>
      <c r="AD64" s="130"/>
      <c r="AE64" s="38"/>
      <c r="AF64" s="38"/>
      <c r="AG64" s="38"/>
      <c r="AH64" s="37"/>
      <c r="AI64" s="130"/>
      <c r="AJ64" s="38"/>
      <c r="AK64" s="38"/>
      <c r="AL64" s="38"/>
      <c r="AM64" s="38"/>
      <c r="AN64" s="130"/>
      <c r="AO64" s="38"/>
      <c r="AP64" s="38"/>
      <c r="AQ64" s="38"/>
      <c r="AR64" s="38"/>
      <c r="AS64" s="38"/>
      <c r="AT64" s="130"/>
      <c r="AU64" s="38"/>
      <c r="AV64" s="38"/>
      <c r="AW64" s="38"/>
      <c r="AX64" s="38"/>
      <c r="AY64" s="38"/>
      <c r="AZ64" s="130"/>
      <c r="BA64" s="38"/>
      <c r="BB64" s="38"/>
      <c r="BC64" s="38"/>
      <c r="BD64" s="38"/>
      <c r="BE64" s="130"/>
      <c r="BF64" s="38"/>
      <c r="BG64" s="38"/>
      <c r="BH64" s="38"/>
      <c r="BI64" s="38"/>
    </row>
    <row r="65" spans="1:66" ht="32.25">
      <c r="A65" s="112"/>
      <c r="B65" s="432"/>
      <c r="C65" s="432"/>
      <c r="D65" s="676"/>
      <c r="E65" s="130"/>
      <c r="F65" s="130"/>
      <c r="G65" s="38"/>
      <c r="H65" s="38"/>
      <c r="I65" s="38"/>
      <c r="J65" s="37"/>
      <c r="K65" s="37"/>
      <c r="L65" s="37"/>
      <c r="M65" s="37"/>
      <c r="N65" s="37"/>
      <c r="O65" s="130"/>
      <c r="P65" s="38"/>
      <c r="Q65" s="38"/>
      <c r="R65" s="38"/>
      <c r="S65" s="38"/>
      <c r="T65" s="130"/>
      <c r="U65" s="38"/>
      <c r="V65" s="38"/>
      <c r="W65" s="38"/>
      <c r="X65" s="37"/>
      <c r="Y65" s="130"/>
      <c r="Z65" s="38"/>
      <c r="AA65" s="38"/>
      <c r="AB65" s="38"/>
      <c r="AC65" s="38"/>
      <c r="AD65" s="130"/>
      <c r="AE65" s="38"/>
      <c r="AF65" s="38"/>
      <c r="AG65" s="38"/>
      <c r="AH65" s="37"/>
      <c r="AI65" s="130"/>
      <c r="AJ65" s="38"/>
      <c r="AK65" s="38"/>
      <c r="AL65" s="38"/>
      <c r="AM65" s="38"/>
      <c r="AN65" s="130"/>
      <c r="AO65" s="38"/>
      <c r="AP65" s="38"/>
      <c r="AQ65" s="38"/>
      <c r="AR65" s="38"/>
      <c r="AS65" s="38"/>
      <c r="AT65" s="130"/>
      <c r="AU65" s="38"/>
      <c r="AV65" s="38"/>
      <c r="AW65" s="38"/>
      <c r="AX65" s="38"/>
      <c r="AY65" s="38"/>
      <c r="AZ65" s="130"/>
      <c r="BA65" s="38"/>
      <c r="BB65" s="38"/>
      <c r="BC65" s="38"/>
      <c r="BD65" s="38"/>
      <c r="BE65" s="130"/>
      <c r="BF65" s="38"/>
      <c r="BG65" s="38"/>
      <c r="BH65" s="38"/>
      <c r="BI65" s="38"/>
    </row>
    <row r="66" spans="1:66" ht="32.25">
      <c r="A66" s="112"/>
      <c r="B66" s="432"/>
      <c r="C66" s="432"/>
      <c r="D66" s="676"/>
      <c r="E66" s="130"/>
      <c r="F66" s="130"/>
      <c r="G66" s="38"/>
      <c r="H66" s="38"/>
      <c r="I66" s="38"/>
      <c r="J66" s="37"/>
      <c r="K66" s="37"/>
      <c r="L66" s="37"/>
      <c r="M66" s="37"/>
      <c r="N66" s="37"/>
      <c r="O66" s="130"/>
      <c r="P66" s="38"/>
      <c r="Q66" s="38"/>
      <c r="R66" s="38"/>
      <c r="S66" s="38"/>
      <c r="T66" s="130"/>
      <c r="U66" s="38"/>
      <c r="V66" s="38"/>
      <c r="W66" s="38"/>
      <c r="X66" s="37"/>
      <c r="Y66" s="130"/>
      <c r="Z66" s="38"/>
      <c r="AA66" s="38"/>
      <c r="AB66" s="38"/>
      <c r="AC66" s="38"/>
      <c r="AD66" s="130"/>
      <c r="AE66" s="38"/>
      <c r="AF66" s="38"/>
      <c r="AG66" s="38"/>
      <c r="AH66" s="37"/>
      <c r="AI66" s="130"/>
      <c r="AJ66" s="38"/>
      <c r="AK66" s="38"/>
      <c r="AL66" s="38"/>
      <c r="AM66" s="38"/>
      <c r="AN66" s="130"/>
      <c r="AO66" s="38"/>
      <c r="AP66" s="38"/>
      <c r="AQ66" s="38"/>
      <c r="AR66" s="38"/>
      <c r="AS66" s="38"/>
      <c r="AT66" s="130"/>
      <c r="AU66" s="38"/>
      <c r="AV66" s="38"/>
      <c r="AW66" s="38"/>
      <c r="AX66" s="38"/>
      <c r="AY66" s="38"/>
      <c r="AZ66" s="130"/>
      <c r="BA66" s="38"/>
      <c r="BB66" s="38"/>
      <c r="BC66" s="38"/>
      <c r="BD66" s="38"/>
      <c r="BE66" s="130"/>
      <c r="BF66" s="38"/>
      <c r="BG66" s="38"/>
      <c r="BH66" s="38"/>
      <c r="BI66" s="38"/>
    </row>
    <row r="67" spans="1:66" ht="32.25">
      <c r="A67" s="112"/>
      <c r="B67" s="432"/>
      <c r="C67" s="432"/>
      <c r="D67" s="676"/>
      <c r="E67" s="130"/>
      <c r="F67" s="130"/>
      <c r="G67" s="38"/>
      <c r="H67" s="38"/>
      <c r="I67" s="38"/>
      <c r="J67" s="37"/>
      <c r="K67" s="37"/>
      <c r="L67" s="37"/>
      <c r="M67" s="37"/>
      <c r="N67" s="37"/>
      <c r="O67" s="130"/>
      <c r="P67" s="38"/>
      <c r="Q67" s="38"/>
      <c r="R67" s="38"/>
      <c r="S67" s="38"/>
      <c r="T67" s="130"/>
      <c r="U67" s="38"/>
      <c r="V67" s="38"/>
      <c r="W67" s="38"/>
      <c r="X67" s="37"/>
      <c r="Y67" s="130"/>
      <c r="Z67" s="38"/>
      <c r="AA67" s="38"/>
      <c r="AB67" s="38"/>
      <c r="AC67" s="38"/>
      <c r="AD67" s="130"/>
      <c r="AE67" s="38"/>
      <c r="AF67" s="38"/>
      <c r="AG67" s="38"/>
      <c r="AH67" s="37"/>
      <c r="AI67" s="130"/>
      <c r="AJ67" s="38"/>
      <c r="AK67" s="38"/>
      <c r="AL67" s="38"/>
      <c r="AM67" s="38"/>
      <c r="AN67" s="130"/>
      <c r="AO67" s="38"/>
      <c r="AP67" s="38"/>
      <c r="AQ67" s="38"/>
      <c r="AR67" s="38"/>
      <c r="AS67" s="38"/>
      <c r="AT67" s="130"/>
      <c r="AU67" s="38"/>
      <c r="AV67" s="38"/>
      <c r="AW67" s="38"/>
      <c r="AX67" s="38"/>
      <c r="AY67" s="38"/>
      <c r="AZ67" s="130"/>
      <c r="BA67" s="38"/>
      <c r="BB67" s="38"/>
      <c r="BC67" s="38"/>
      <c r="BD67" s="38"/>
      <c r="BE67" s="130"/>
      <c r="BF67" s="38"/>
      <c r="BG67" s="38"/>
      <c r="BH67" s="38"/>
      <c r="BI67" s="38"/>
    </row>
    <row r="68" spans="1:66" ht="32.25">
      <c r="A68" s="112"/>
      <c r="B68" s="432"/>
      <c r="C68" s="432"/>
      <c r="D68" s="676"/>
      <c r="E68" s="130"/>
      <c r="F68" s="130"/>
      <c r="G68" s="38"/>
      <c r="H68" s="38"/>
      <c r="I68" s="38"/>
      <c r="J68" s="37"/>
      <c r="K68" s="37"/>
      <c r="L68" s="37"/>
      <c r="M68" s="37"/>
      <c r="N68" s="37"/>
      <c r="O68" s="130"/>
      <c r="P68" s="38"/>
      <c r="Q68" s="38"/>
      <c r="R68" s="38"/>
      <c r="S68" s="38"/>
      <c r="T68" s="130"/>
      <c r="U68" s="38"/>
      <c r="V68" s="38"/>
      <c r="W68" s="38"/>
      <c r="X68" s="37"/>
      <c r="Y68" s="130"/>
      <c r="Z68" s="38"/>
      <c r="AA68" s="38"/>
      <c r="AB68" s="38"/>
      <c r="AC68" s="38"/>
      <c r="AD68" s="130"/>
      <c r="AE68" s="38"/>
      <c r="AF68" s="38"/>
      <c r="AG68" s="38"/>
      <c r="AH68" s="37"/>
      <c r="AI68" s="130"/>
      <c r="AJ68" s="38"/>
      <c r="AK68" s="38"/>
      <c r="AL68" s="38"/>
      <c r="AM68" s="38"/>
      <c r="AN68" s="130"/>
      <c r="AO68" s="38"/>
      <c r="AP68" s="38"/>
      <c r="AQ68" s="38"/>
      <c r="AR68" s="38"/>
      <c r="AS68" s="38"/>
      <c r="AT68" s="130"/>
      <c r="AU68" s="38"/>
      <c r="AV68" s="38"/>
      <c r="AW68" s="38"/>
      <c r="AX68" s="38"/>
      <c r="AY68" s="38"/>
      <c r="AZ68" s="130"/>
      <c r="BA68" s="38"/>
      <c r="BB68" s="38"/>
      <c r="BC68" s="38"/>
      <c r="BD68" s="38"/>
      <c r="BE68" s="130"/>
      <c r="BF68" s="38"/>
      <c r="BG68" s="38"/>
      <c r="BH68" s="38"/>
      <c r="BI68" s="38"/>
    </row>
    <row r="69" spans="1:66" ht="32.25">
      <c r="A69" s="112"/>
      <c r="B69" s="432"/>
      <c r="C69" s="432"/>
      <c r="D69" s="676"/>
      <c r="E69" s="130"/>
      <c r="F69" s="130"/>
      <c r="G69" s="38"/>
      <c r="H69" s="38"/>
      <c r="I69" s="38"/>
      <c r="J69" s="37"/>
      <c r="K69" s="37"/>
      <c r="L69" s="37"/>
      <c r="M69" s="37"/>
      <c r="N69" s="37"/>
      <c r="O69" s="130"/>
      <c r="P69" s="38"/>
      <c r="Q69" s="38"/>
      <c r="R69" s="38"/>
      <c r="S69" s="38"/>
      <c r="T69" s="130"/>
      <c r="U69" s="38"/>
      <c r="V69" s="38"/>
      <c r="W69" s="38"/>
      <c r="X69" s="37"/>
      <c r="Y69" s="130"/>
      <c r="Z69" s="38"/>
      <c r="AA69" s="38"/>
      <c r="AB69" s="38"/>
      <c r="AC69" s="38"/>
      <c r="AD69" s="130"/>
      <c r="AE69" s="38"/>
      <c r="AF69" s="38"/>
      <c r="AG69" s="38"/>
      <c r="AH69" s="37"/>
      <c r="AI69" s="130"/>
      <c r="AJ69" s="38"/>
      <c r="AK69" s="38"/>
      <c r="AL69" s="38"/>
      <c r="AM69" s="38"/>
      <c r="AN69" s="130"/>
      <c r="AO69" s="38"/>
      <c r="AP69" s="38"/>
      <c r="AQ69" s="38"/>
      <c r="AR69" s="38"/>
      <c r="AS69" s="38"/>
      <c r="AT69" s="130"/>
      <c r="AU69" s="38"/>
      <c r="AV69" s="38"/>
      <c r="AW69" s="38"/>
      <c r="AX69" s="38"/>
      <c r="AY69" s="38"/>
      <c r="AZ69" s="130"/>
      <c r="BA69" s="38"/>
      <c r="BB69" s="38"/>
      <c r="BC69" s="38"/>
      <c r="BD69" s="38"/>
      <c r="BE69" s="130"/>
      <c r="BF69" s="38"/>
      <c r="BG69" s="38"/>
      <c r="BH69" s="38"/>
      <c r="BI69" s="38"/>
    </row>
    <row r="70" spans="1:66" ht="32.25">
      <c r="A70" s="112"/>
      <c r="B70" s="432"/>
      <c r="C70" s="432"/>
      <c r="D70" s="676"/>
      <c r="E70" s="130"/>
      <c r="F70" s="130"/>
      <c r="G70" s="38"/>
      <c r="H70" s="38"/>
      <c r="I70" s="38"/>
      <c r="J70" s="37"/>
      <c r="K70" s="37"/>
      <c r="L70" s="37"/>
      <c r="M70" s="37"/>
      <c r="N70" s="37"/>
      <c r="O70" s="130"/>
      <c r="P70" s="38"/>
      <c r="Q70" s="38"/>
      <c r="R70" s="38"/>
      <c r="S70" s="38"/>
      <c r="T70" s="130"/>
      <c r="U70" s="38"/>
      <c r="V70" s="38"/>
      <c r="W70" s="38"/>
      <c r="X70" s="37"/>
      <c r="Y70" s="130"/>
      <c r="Z70" s="38"/>
      <c r="AA70" s="38"/>
      <c r="AB70" s="38"/>
      <c r="AC70" s="38"/>
      <c r="AD70" s="130"/>
      <c r="AE70" s="38"/>
      <c r="AF70" s="38"/>
      <c r="AG70" s="38"/>
      <c r="AH70" s="37"/>
      <c r="AI70" s="130"/>
      <c r="AJ70" s="38"/>
      <c r="AK70" s="38"/>
      <c r="AL70" s="38"/>
      <c r="AM70" s="38"/>
      <c r="AN70" s="130"/>
      <c r="AO70" s="38"/>
      <c r="AP70" s="38"/>
      <c r="AQ70" s="38"/>
      <c r="AR70" s="38"/>
      <c r="AS70" s="38"/>
      <c r="AT70" s="130"/>
      <c r="AU70" s="38"/>
      <c r="AV70" s="38"/>
      <c r="AW70" s="38"/>
      <c r="AX70" s="38"/>
      <c r="AY70" s="38"/>
      <c r="AZ70" s="130"/>
      <c r="BA70" s="38"/>
      <c r="BB70" s="38"/>
      <c r="BC70" s="38"/>
      <c r="BD70" s="38"/>
      <c r="BE70" s="130"/>
      <c r="BF70" s="38"/>
      <c r="BG70" s="38"/>
      <c r="BH70" s="38"/>
      <c r="BI70" s="38"/>
    </row>
    <row r="72" spans="1:66">
      <c r="B72" s="404" t="s">
        <v>770</v>
      </c>
      <c r="C72" s="405" t="s">
        <v>0</v>
      </c>
      <c r="D72" s="423"/>
      <c r="BN72">
        <f>F72+G72+P72+U72+Z72+AE72+AJ72+AO72+AU72+BF72+BL72+BA72+L72+'ILUMINAÇÃO PUBLICA'!K72</f>
        <v>0</v>
      </c>
    </row>
    <row r="73" spans="1:66">
      <c r="B73" s="404" t="s">
        <v>771</v>
      </c>
      <c r="C73" s="405" t="s">
        <v>0</v>
      </c>
      <c r="D73" s="423"/>
      <c r="BN73">
        <f>F73+G73+P73+U73+Z73+AE73+AJ73+AO73+AU73+BF73+BL73+BA73+L73+'ILUMINAÇÃO PUBLICA'!K73</f>
        <v>0</v>
      </c>
    </row>
    <row r="74" spans="1:66">
      <c r="B74" s="404" t="s">
        <v>772</v>
      </c>
      <c r="C74" s="405" t="s">
        <v>0</v>
      </c>
      <c r="D74" s="423"/>
      <c r="BN74">
        <f>F74+G74+P74+U74+Z74+AE74+AJ74+AO74+AU74+BF74+BL74+BA74+L74+'ILUMINAÇÃO PUBLICA'!K74</f>
        <v>0</v>
      </c>
    </row>
    <row r="75" spans="1:66">
      <c r="B75" s="404" t="s">
        <v>1695</v>
      </c>
      <c r="C75" s="405"/>
      <c r="D75" s="423"/>
    </row>
    <row r="76" spans="1:66">
      <c r="B76" s="404" t="s">
        <v>773</v>
      </c>
      <c r="C76" s="405" t="s">
        <v>0</v>
      </c>
      <c r="D76" s="423"/>
      <c r="E76">
        <v>1</v>
      </c>
      <c r="F76">
        <f>SUM(H5:H7,H9:H11,I5:I7,I9:I11)*(E76)</f>
        <v>0</v>
      </c>
      <c r="T76" t="s">
        <v>1085</v>
      </c>
      <c r="U76">
        <f>SUM(V5:V26,W5:W26)*(1)</f>
        <v>0</v>
      </c>
      <c r="AD76" t="s">
        <v>1085</v>
      </c>
      <c r="AE76">
        <f>SUM(AF5:AF26,AG5:AG26)*(1)</f>
        <v>0</v>
      </c>
      <c r="AI76" t="s">
        <v>1085</v>
      </c>
      <c r="AJ76">
        <f>SUM(AK5:AK26,AL5:AL26)*(2)</f>
        <v>0</v>
      </c>
      <c r="AN76" t="s">
        <v>1085</v>
      </c>
      <c r="AO76">
        <f>SUM(AQ5:AQ26,AP5:AP26)*(1)+SUM(AR5:AR26)*(2)</f>
        <v>0</v>
      </c>
      <c r="AT76" t="s">
        <v>1085</v>
      </c>
      <c r="AU76">
        <f>SUM(AW5:AW26)*(2)+SUM(AX5:AX26)*(3)+SUM(AV5:AV26)</f>
        <v>0</v>
      </c>
      <c r="BE76" t="s">
        <v>1085</v>
      </c>
      <c r="BF76">
        <f>SUM(BG5:BG26,BI5:BI26)*(1)</f>
        <v>0</v>
      </c>
      <c r="BN76">
        <f>F76+G76+P76+U76+Z76+AE76+AJ76+AO76+AU76+BF76+BL76+BA76+L76+'ILUMINAÇÃO PUBLICA'!K76</f>
        <v>0</v>
      </c>
    </row>
    <row r="77" spans="1:66">
      <c r="B77" s="404" t="s">
        <v>774</v>
      </c>
      <c r="C77" s="405" t="s">
        <v>0</v>
      </c>
      <c r="D77" s="423"/>
      <c r="E77">
        <v>1</v>
      </c>
      <c r="F77">
        <f>SUM(G5:G7,G9:G11)*(E77)</f>
        <v>0</v>
      </c>
      <c r="T77" t="s">
        <v>1085</v>
      </c>
      <c r="U77">
        <f>SUM(U5:U26)*(1)</f>
        <v>0</v>
      </c>
      <c r="AD77" t="s">
        <v>1085</v>
      </c>
      <c r="AE77">
        <f>SUM(AE5:AE26)*(1)</f>
        <v>0</v>
      </c>
      <c r="AI77" t="s">
        <v>1085</v>
      </c>
      <c r="AJ77">
        <f>SUM(AJ5:AJ26)*(2)</f>
        <v>0</v>
      </c>
      <c r="AN77" t="s">
        <v>1085</v>
      </c>
      <c r="AO77">
        <f>SUM(AO5:AO26,AP5:AP26)*(2)+SUM(AQ5:AQ26)*1</f>
        <v>0</v>
      </c>
      <c r="AT77" t="s">
        <v>1085</v>
      </c>
      <c r="AU77">
        <f>SUM(AU5:AU26)*(3)+SUM(AW5:AW26)+SUM(AV5:AV26)*2</f>
        <v>0</v>
      </c>
      <c r="BE77" t="s">
        <v>1085</v>
      </c>
      <c r="BF77">
        <f>SUM(BF5:BF26,BH5:BH26)*(1)</f>
        <v>0</v>
      </c>
      <c r="BN77">
        <f>F77+G77+P77+U77+Z77+AE77+AJ77+AO77+AU77+BF77+BL77+BA77+L77+'ILUMINAÇÃO PUBLICA'!K77</f>
        <v>0</v>
      </c>
    </row>
    <row r="78" spans="1:66">
      <c r="B78" s="404" t="s">
        <v>775</v>
      </c>
      <c r="C78" s="405" t="s">
        <v>0</v>
      </c>
      <c r="D78" s="423"/>
      <c r="BN78">
        <f>F78+G78+P78+U78+Z78+AE78+AJ78+AO78+AU78+BF78+BL78+BA78+L78+'ILUMINAÇÃO PUBLICA'!K78</f>
        <v>0</v>
      </c>
    </row>
    <row r="79" spans="1:66">
      <c r="B79" s="404" t="s">
        <v>776</v>
      </c>
      <c r="C79" s="405" t="s">
        <v>0</v>
      </c>
      <c r="D79" s="423"/>
      <c r="BN79">
        <f>F79+G79+P79+U79+Z79+AE79+AJ79+AO79+AU79+BF79+BL79+BA79+L79+'ILUMINAÇÃO PUBLICA'!K79</f>
        <v>0</v>
      </c>
    </row>
    <row r="80" spans="1:66">
      <c r="B80" s="934" t="s">
        <v>1030</v>
      </c>
      <c r="C80" s="405" t="s">
        <v>0</v>
      </c>
      <c r="D80" s="423"/>
      <c r="BN80">
        <f>F80+G80+P80+U80+Z80+AE80+AJ80+AO80+AU80+BF80+BL80+BA80+L80+'ILUMINAÇÃO PUBLICA'!K80</f>
        <v>0</v>
      </c>
    </row>
    <row r="81" spans="2:66">
      <c r="B81" s="934" t="s">
        <v>1031</v>
      </c>
      <c r="C81" s="405" t="s">
        <v>0</v>
      </c>
      <c r="D81" s="423"/>
      <c r="BN81">
        <f>F81+G81+P81+U81+Z81+AE81+AJ81+AO81+AU81+BF81+BL81+BA81+L81+'ILUMINAÇÃO PUBLICA'!K81</f>
        <v>0</v>
      </c>
    </row>
    <row r="82" spans="2:66">
      <c r="B82" s="404" t="s">
        <v>1000</v>
      </c>
      <c r="C82" s="405" t="s">
        <v>0</v>
      </c>
      <c r="D82" s="423"/>
      <c r="H82" s="420"/>
      <c r="BN82">
        <f>F82+G82+P82+U82+Z82+AE82+AJ82+AO82+AU82+BF82+BL82+BA82+L82+'ILUMINAÇÃO PUBLICA'!K82</f>
        <v>0</v>
      </c>
    </row>
    <row r="83" spans="2:66">
      <c r="B83" s="404" t="s">
        <v>777</v>
      </c>
      <c r="C83" s="405" t="s">
        <v>386</v>
      </c>
      <c r="D83" s="423"/>
      <c r="BN83">
        <f>F83+G83+P83+U83+Z83+AE83+AJ83+AO83+AU83+BF83+BL83+BA83+L83+'ILUMINAÇÃO PUBLICA'!K83</f>
        <v>0</v>
      </c>
    </row>
    <row r="84" spans="2:66">
      <c r="B84" s="404" t="s">
        <v>1082</v>
      </c>
      <c r="C84" s="405" t="s">
        <v>0</v>
      </c>
      <c r="D84" s="423"/>
      <c r="E84">
        <v>1</v>
      </c>
      <c r="F84">
        <f>SUM(G5:G7,H5:H7,I5:I7,G9:G11,H9:H11,I9:I11)*(E84)</f>
        <v>0</v>
      </c>
      <c r="T84" t="s">
        <v>1085</v>
      </c>
      <c r="U84">
        <f>SUM(U5:U26,V5:V26,W5:W26)*(1)</f>
        <v>0</v>
      </c>
      <c r="AD84" t="s">
        <v>1085</v>
      </c>
      <c r="AE84">
        <f>SUM(AE5:AE15,AF5:AF15,AG5:AG15)*(2)</f>
        <v>0</v>
      </c>
      <c r="AI84" t="s">
        <v>1085</v>
      </c>
      <c r="AJ84">
        <f>SUM(AJ5:AJ15,AK5:AK15,AL5:AL15)*(3)+SUM(AJ16:AJ26,AK16:AK26,AL26)*(3)</f>
        <v>0</v>
      </c>
      <c r="AN84" t="s">
        <v>1085</v>
      </c>
      <c r="AO84">
        <f>SUM(AO5:AO15,AQ5:AQ15,AR5:AR15,AP5:AP15)*(3)</f>
        <v>0</v>
      </c>
      <c r="AT84" t="s">
        <v>1085</v>
      </c>
      <c r="AU84">
        <f>SUM(AU5:AU26,AW5:AW26,AX5:AX26,AV5:AV26)*(2)</f>
        <v>0</v>
      </c>
      <c r="BE84" t="s">
        <v>1085</v>
      </c>
      <c r="BF84">
        <f>SUM(BF5:BF26,BH5:BH26,BI5:BI26,BG5:BG26)*(1)</f>
        <v>0</v>
      </c>
      <c r="BN84">
        <f>F84+G84+P84+U84+Z84+AE84+AJ84+AO84+AU84+BF84+BL84+BA84+L84+'ILUMINAÇÃO PUBLICA'!K84</f>
        <v>0</v>
      </c>
    </row>
    <row r="85" spans="2:66">
      <c r="B85" s="404" t="s">
        <v>1083</v>
      </c>
      <c r="C85" s="405" t="s">
        <v>0</v>
      </c>
      <c r="D85" s="423"/>
      <c r="O85">
        <v>1</v>
      </c>
      <c r="P85">
        <f>SUM(P5:P26,Q5:Q26,R5:R26)*(O85)</f>
        <v>0</v>
      </c>
      <c r="T85" t="s">
        <v>1085</v>
      </c>
      <c r="U85">
        <f>SUM(U5:U26,V5:V26,W5:W26)*(1)</f>
        <v>0</v>
      </c>
      <c r="Y85">
        <v>1</v>
      </c>
      <c r="Z85">
        <f>SUM(Z5:Z26,AA5:AA26,AB5:AB26)*(Y85)</f>
        <v>0</v>
      </c>
      <c r="AD85" t="s">
        <v>1085</v>
      </c>
      <c r="AE85">
        <f>SUM(AE16:AE26,AF16:AF26,AG16:AG26)*(1)</f>
        <v>0</v>
      </c>
      <c r="AN85" t="s">
        <v>1085</v>
      </c>
      <c r="AO85">
        <f>SUM(AO16:AO26,AQ16:AQ26,AR16:AR26,AP16:AP26)*(2)</f>
        <v>0</v>
      </c>
      <c r="AT85" t="s">
        <v>1085</v>
      </c>
      <c r="AU85">
        <f>SUM(AU5:AU26,AW5:AW26,AX5:AX26,AV5:AV26)*(1)</f>
        <v>0</v>
      </c>
      <c r="AZ85" t="s">
        <v>1085</v>
      </c>
      <c r="BA85">
        <f>SUM(BA5:BA26,BB5:BB26,BC5:BC26)*(1)</f>
        <v>0</v>
      </c>
      <c r="BE85" t="s">
        <v>1085</v>
      </c>
      <c r="BF85">
        <f>SUM(BF5:BF26,BH5:BH26,BI5:BI26,BG5:BG26)*(1)</f>
        <v>0</v>
      </c>
      <c r="BN85">
        <f>F85+G85+P85+U85+Z85+AE85+AJ85+AO85+AU85+BF85+BL85+BA85+L85+'ILUMINAÇÃO PUBLICA'!K85</f>
        <v>0</v>
      </c>
    </row>
    <row r="86" spans="2:66">
      <c r="B86" s="404" t="s">
        <v>778</v>
      </c>
      <c r="C86" s="405" t="s">
        <v>0</v>
      </c>
      <c r="D86" s="423"/>
      <c r="BN86">
        <f>F86+G86+P86+U86+Z86+AE86+AJ86+AO86+AU86+BF86+BL86+BA86+L86+'ILUMINAÇÃO PUBLICA'!K86</f>
        <v>0</v>
      </c>
    </row>
    <row r="87" spans="2:66">
      <c r="B87" s="404" t="s">
        <v>779</v>
      </c>
      <c r="C87" s="405" t="s">
        <v>0</v>
      </c>
      <c r="D87" s="423"/>
      <c r="BN87">
        <f>F87+G87+P87+U87+Z87+AE87+AJ87+AO87+AU87+BF87+BL87+BA87+L87+'ILUMINAÇÃO PUBLICA'!K87</f>
        <v>0</v>
      </c>
    </row>
    <row r="88" spans="2:66">
      <c r="B88" s="404" t="s">
        <v>780</v>
      </c>
      <c r="C88" s="405" t="s">
        <v>0</v>
      </c>
      <c r="D88" s="423"/>
      <c r="BN88">
        <f>F88+G88+P88+U88+Z88+AE88+AJ88+AO88+AU88+BF88+BL88+BA88+L88+'ILUMINAÇÃO PUBLICA'!K88</f>
        <v>0</v>
      </c>
    </row>
    <row r="89" spans="2:66">
      <c r="B89" s="404" t="s">
        <v>781</v>
      </c>
      <c r="C89" s="405" t="s">
        <v>0</v>
      </c>
      <c r="D89" s="423"/>
      <c r="BN89">
        <f>F89+G89+P89+U89+Z89+AE89+AJ89+AO89+AU89+BF89+BL89+BA89+L89+'ILUMINAÇÃO PUBLICA'!K89</f>
        <v>0</v>
      </c>
    </row>
    <row r="90" spans="2:66">
      <c r="B90" s="404" t="s">
        <v>782</v>
      </c>
      <c r="C90" s="405" t="s">
        <v>0</v>
      </c>
      <c r="D90" s="423"/>
      <c r="BN90">
        <f>F90+G90+P90+U90+Z90+AE90+AJ90+AO90+AU90+BF90+BL90+BA90+L90+'ILUMINAÇÃO PUBLICA'!K90</f>
        <v>0</v>
      </c>
    </row>
    <row r="91" spans="2:66">
      <c r="B91" s="404" t="s">
        <v>783</v>
      </c>
      <c r="C91" s="405" t="s">
        <v>0</v>
      </c>
      <c r="D91" s="423"/>
      <c r="BN91">
        <f>F91+G91+P91+U91+Z91+AE91+AJ91+AO91+AU91+BF91+BL91+BA91+L91+'ILUMINAÇÃO PUBLICA'!K91</f>
        <v>0</v>
      </c>
    </row>
    <row r="92" spans="2:66">
      <c r="B92" s="404" t="s">
        <v>784</v>
      </c>
      <c r="C92" s="405" t="s">
        <v>0</v>
      </c>
      <c r="D92" s="423"/>
      <c r="BN92">
        <f>F92+G92+P92+U92+Z92+AE92+AJ92+AO92+AU92+BF92+BL92+BA92+L92+'ILUMINAÇÃO PUBLICA'!K92</f>
        <v>0</v>
      </c>
    </row>
    <row r="93" spans="2:66">
      <c r="B93" s="404" t="s">
        <v>785</v>
      </c>
      <c r="C93" s="405" t="s">
        <v>0</v>
      </c>
      <c r="D93" s="423"/>
      <c r="BN93">
        <f>F93+G93+P93+U93+Z93+AE93+AJ93+AO93+AU93+BF93+BL93+BA93+L93+'ILUMINAÇÃO PUBLICA'!K93</f>
        <v>0</v>
      </c>
    </row>
    <row r="94" spans="2:66">
      <c r="B94" s="404" t="s">
        <v>786</v>
      </c>
      <c r="C94" s="405" t="s">
        <v>0</v>
      </c>
      <c r="D94" s="423"/>
      <c r="BN94">
        <f>F94+G94+P94+U94+Z94+AE94+AJ94+AO94+AU94+BF94+BL94+BA94+L94+'ILUMINAÇÃO PUBLICA'!K94</f>
        <v>0</v>
      </c>
    </row>
    <row r="95" spans="2:66">
      <c r="B95" s="404" t="s">
        <v>787</v>
      </c>
      <c r="C95" s="405" t="s">
        <v>0</v>
      </c>
      <c r="D95" s="423"/>
      <c r="BN95">
        <f>F95+G95+P95+U95+Z95+AE95+AJ95+AO95+AU95+BF95+BL95+BA95+L95+'ILUMINAÇÃO PUBLICA'!K95</f>
        <v>0</v>
      </c>
    </row>
    <row r="96" spans="2:66">
      <c r="B96" s="404" t="s">
        <v>788</v>
      </c>
      <c r="C96" s="405" t="s">
        <v>0</v>
      </c>
      <c r="D96" s="423"/>
      <c r="E96" s="406"/>
      <c r="F96" s="406"/>
      <c r="BN96">
        <f>F96+G96+P96+U96+Z96+AE96+AJ96+AO96+AU96+BF96+BL96+BA96+L96+'ILUMINAÇÃO PUBLICA'!K96</f>
        <v>0</v>
      </c>
    </row>
    <row r="97" spans="1:66">
      <c r="B97" s="404" t="s">
        <v>1009</v>
      </c>
      <c r="C97" s="405" t="s">
        <v>0</v>
      </c>
      <c r="D97" s="423"/>
      <c r="E97" s="406"/>
      <c r="F97" s="406"/>
      <c r="BN97">
        <f>F97+G97+P97+U97+Z97+AE97+AJ97+AO97+AU97+BF97+BL97+BA97+L97+'ILUMINAÇÃO PUBLICA'!K97</f>
        <v>0</v>
      </c>
    </row>
    <row r="98" spans="1:66">
      <c r="B98" s="404" t="s">
        <v>789</v>
      </c>
      <c r="C98" s="405" t="s">
        <v>0</v>
      </c>
      <c r="D98" s="423"/>
      <c r="E98" s="406"/>
      <c r="F98" s="406"/>
      <c r="BN98">
        <f>F98+G98+P98+U98+Z98+AE98+AJ98+AO98+AU98+BF98+BL98+BA98+L98+'ILUMINAÇÃO PUBLICA'!K98</f>
        <v>0</v>
      </c>
    </row>
    <row r="99" spans="1:66">
      <c r="B99" s="404" t="s">
        <v>790</v>
      </c>
      <c r="C99" s="405" t="s">
        <v>0</v>
      </c>
      <c r="D99" s="423"/>
      <c r="E99" s="406"/>
      <c r="F99" s="406"/>
      <c r="BN99">
        <f>F99+G99+P99+U99+Z99+AE99+AJ99+AO99+AU99+BF99+BL99+BA99+L99+'ILUMINAÇÃO PUBLICA'!K99</f>
        <v>0</v>
      </c>
    </row>
    <row r="100" spans="1:66" s="186" customFormat="1">
      <c r="A100" s="412"/>
      <c r="B100" s="935" t="s">
        <v>2</v>
      </c>
      <c r="C100" s="405" t="s">
        <v>0</v>
      </c>
      <c r="D100" s="445"/>
      <c r="E100" s="410"/>
      <c r="F100" s="410"/>
      <c r="G100" s="410"/>
      <c r="H100" s="411"/>
      <c r="I100" s="411"/>
      <c r="J100" s="411"/>
      <c r="K100" s="411"/>
      <c r="L100" s="411"/>
      <c r="M100" s="411"/>
      <c r="N100" s="411"/>
      <c r="O100" s="411"/>
      <c r="P100" s="411">
        <f>SUM(P5:P15,Q5:Q15,R5:R15)*(2)</f>
        <v>0</v>
      </c>
      <c r="Q100" s="411"/>
      <c r="R100" s="411"/>
      <c r="T100" s="411" t="s">
        <v>1085</v>
      </c>
      <c r="U100" s="411">
        <f>SUM(U5:U15,V5:V15,W5:W15)*(2)</f>
        <v>0</v>
      </c>
      <c r="V100" s="411"/>
      <c r="W100" s="411"/>
      <c r="X100" s="411"/>
      <c r="Y100" s="411" t="s">
        <v>1085</v>
      </c>
      <c r="Z100" s="411">
        <f>SUM(Z5:Z15,AA5:AA15,AB5:AB15)*(2)</f>
        <v>0</v>
      </c>
      <c r="AA100" s="411"/>
      <c r="AB100" s="411"/>
      <c r="AC100" s="411"/>
      <c r="AD100" s="411" t="s">
        <v>1085</v>
      </c>
      <c r="AE100" s="411">
        <f>SUM(AE5:AE15,AF5:AF15,AG5:AG15)*(2)</f>
        <v>0</v>
      </c>
      <c r="AF100" s="411"/>
      <c r="AG100" s="411"/>
      <c r="AH100" s="411"/>
      <c r="AI100" s="411" t="s">
        <v>1085</v>
      </c>
      <c r="AJ100" s="411">
        <f>SUM(AJ5:AJ15,AK5:AK15,AL5:AL15)*(2)</f>
        <v>0</v>
      </c>
      <c r="AK100" s="411"/>
      <c r="AL100" s="411"/>
      <c r="AM100" s="411"/>
      <c r="AN100" s="411" t="s">
        <v>1085</v>
      </c>
      <c r="AO100" s="411">
        <f>SUM(AO5:AO15,AQ5:AQ15,AR5:AR15,AP5:AP15)*(3)</f>
        <v>0</v>
      </c>
      <c r="AP100" s="411"/>
      <c r="AQ100" s="411"/>
      <c r="AR100" s="411"/>
      <c r="AT100" s="411" t="s">
        <v>1085</v>
      </c>
      <c r="AU100" s="411">
        <f>SUM(AU5:AU15,AW5:AW15,AX5:AX15,AV5:AV15)*(4)</f>
        <v>0</v>
      </c>
      <c r="AV100" s="411"/>
      <c r="AW100" s="411"/>
      <c r="AX100" s="411"/>
      <c r="AZ100" s="411" t="s">
        <v>1085</v>
      </c>
      <c r="BA100" s="411">
        <f>SUM(BA5:BA15,BB5:BB15,BC5:BC15)*(5)</f>
        <v>0</v>
      </c>
      <c r="BB100" s="411"/>
      <c r="BC100" s="411"/>
      <c r="BD100" s="411"/>
      <c r="BE100" s="411" t="s">
        <v>1085</v>
      </c>
      <c r="BF100" s="411">
        <f>SUM(BF5:BF15,BH5:BH15,BI5:BI15,BG5:BG15)*(6)</f>
        <v>0</v>
      </c>
      <c r="BG100" s="411"/>
      <c r="BH100" s="411"/>
      <c r="BI100" s="411"/>
      <c r="BN100">
        <f>F100+G100+P100+U100+Z100+AE100+AJ100+AO100+AU100+BF100+BL100+BA100+L100+'ILUMINAÇÃO PUBLICA'!K100</f>
        <v>0</v>
      </c>
    </row>
    <row r="101" spans="1:66">
      <c r="B101" s="404" t="s">
        <v>791</v>
      </c>
      <c r="C101" s="405" t="s">
        <v>0</v>
      </c>
      <c r="D101" s="423"/>
      <c r="E101" s="406"/>
      <c r="F101" s="406"/>
      <c r="BN101">
        <f>F101+G101+P101+U101+Z101+AE101+AJ101+AO101+AU101+BF101+BL101+BA101+L101+'ILUMINAÇÃO PUBLICA'!K101</f>
        <v>0</v>
      </c>
    </row>
    <row r="102" spans="1:66">
      <c r="B102" s="404" t="s">
        <v>1007</v>
      </c>
      <c r="C102" s="405" t="s">
        <v>0</v>
      </c>
      <c r="D102" s="423"/>
      <c r="E102" s="406"/>
      <c r="F102" s="406"/>
      <c r="BN102">
        <f>F102+G102+P102+U102+Z102+AE102+AJ102+AO102+AU102+BF102+BL102+BA102+L102+'ILUMINAÇÃO PUBLICA'!K102</f>
        <v>0</v>
      </c>
    </row>
    <row r="103" spans="1:66">
      <c r="B103" s="404" t="s">
        <v>792</v>
      </c>
      <c r="C103" s="405" t="s">
        <v>0</v>
      </c>
      <c r="D103" s="423"/>
      <c r="E103" s="406"/>
      <c r="F103" s="406"/>
      <c r="BN103">
        <f>F103+G103+P103+U103+Z103+AE103+AJ103+AO103+AU103+BF103+BL103+BA103+L103+'ILUMINAÇÃO PUBLICA'!K103</f>
        <v>0</v>
      </c>
    </row>
    <row r="104" spans="1:66">
      <c r="B104" s="404" t="s">
        <v>793</v>
      </c>
      <c r="C104" s="405" t="s">
        <v>0</v>
      </c>
      <c r="D104" s="423"/>
      <c r="E104" s="406"/>
      <c r="F104" s="406"/>
      <c r="BN104">
        <f>F104+G104+P104+U104+Z104+AE104+AJ104+AO104+AU104+BF104+BL104+BA104+L104+'ILUMINAÇÃO PUBLICA'!K104</f>
        <v>0</v>
      </c>
    </row>
    <row r="105" spans="1:66">
      <c r="B105" s="404" t="s">
        <v>794</v>
      </c>
      <c r="C105" s="405" t="s">
        <v>0</v>
      </c>
      <c r="D105" s="423"/>
      <c r="E105" s="406"/>
      <c r="F105" s="406"/>
      <c r="BN105">
        <f>F105+G105+P105+U105+Z105+AE105+AJ105+AO105+AU105+BF105+BL105+BA105+L105+'ILUMINAÇÃO PUBLICA'!K105</f>
        <v>0</v>
      </c>
    </row>
    <row r="106" spans="1:66">
      <c r="B106" s="404" t="s">
        <v>795</v>
      </c>
      <c r="C106" s="405" t="s">
        <v>0</v>
      </c>
      <c r="D106" s="423"/>
      <c r="E106" s="406"/>
      <c r="F106" s="406"/>
      <c r="BN106">
        <f>F106+G106+P106+U106+Z106+AE106+AJ106+AO106+AU106+BF106+BL106+BA106+L106+'ILUMINAÇÃO PUBLICA'!K106</f>
        <v>0</v>
      </c>
    </row>
    <row r="107" spans="1:66">
      <c r="B107" s="404" t="s">
        <v>796</v>
      </c>
      <c r="C107" s="405" t="s">
        <v>0</v>
      </c>
      <c r="D107" s="423"/>
      <c r="E107" s="406"/>
      <c r="F107" s="406"/>
      <c r="BN107">
        <f>F107+G107+P107+U107+Z107+AE107+AJ107+AO107+AU107+BF107+BL107+BA107+L107+'ILUMINAÇÃO PUBLICA'!K107</f>
        <v>0</v>
      </c>
    </row>
    <row r="108" spans="1:66">
      <c r="B108" s="404" t="s">
        <v>797</v>
      </c>
      <c r="C108" s="405" t="s">
        <v>0</v>
      </c>
      <c r="D108" s="423"/>
      <c r="E108" s="406"/>
      <c r="F108" s="406"/>
      <c r="BN108">
        <f>F108+G108+P108+U108+Z108+AE108+AJ108+AO108+AU108+BF108+BL108+BA108+L108+'ILUMINAÇÃO PUBLICA'!K108</f>
        <v>0</v>
      </c>
    </row>
    <row r="109" spans="1:66">
      <c r="B109" s="404" t="s">
        <v>798</v>
      </c>
      <c r="C109" s="405" t="s">
        <v>0</v>
      </c>
      <c r="D109" s="423"/>
      <c r="E109" s="406"/>
      <c r="F109" s="406"/>
      <c r="BN109">
        <f>F109+G109+P109+U109+Z109+AE109+AJ109+AO109+AU109+BF109+BL109+BA109+L109+'ILUMINAÇÃO PUBLICA'!K109</f>
        <v>0</v>
      </c>
    </row>
    <row r="110" spans="1:66">
      <c r="B110" s="404" t="s">
        <v>799</v>
      </c>
      <c r="C110" s="405" t="s">
        <v>0</v>
      </c>
      <c r="D110" s="423"/>
      <c r="E110" s="406"/>
      <c r="F110" s="406"/>
      <c r="BN110">
        <f>F110+G110+P110+U110+Z110+AE110+AJ110+AO110+AU110+BF110+BL110+BA110+L110+'ILUMINAÇÃO PUBLICA'!K110</f>
        <v>0</v>
      </c>
    </row>
    <row r="111" spans="1:66">
      <c r="B111" s="404" t="s">
        <v>800</v>
      </c>
      <c r="C111" s="405" t="s">
        <v>0</v>
      </c>
      <c r="D111" s="423"/>
      <c r="E111" s="406"/>
      <c r="F111" s="406"/>
      <c r="BN111">
        <f>F111+G111+P111+U111+Z111+AE111+AJ111+AO111+AU111+BF111+BL111+BA111+L111+'ILUMINAÇÃO PUBLICA'!K111</f>
        <v>0</v>
      </c>
    </row>
    <row r="112" spans="1:66">
      <c r="B112" s="936" t="s">
        <v>464</v>
      </c>
      <c r="C112" s="405" t="s">
        <v>0</v>
      </c>
      <c r="D112" s="423"/>
      <c r="E112" s="406"/>
      <c r="F112" s="406"/>
      <c r="BN112">
        <f>F112+G112+P112+U112+Z112+AE112+AJ112+AO112+AU112+BF112+BL112+BA112+L112+'ILUMINAÇÃO PUBLICA'!K112</f>
        <v>0</v>
      </c>
    </row>
    <row r="113" spans="2:66">
      <c r="B113" s="936" t="s">
        <v>440</v>
      </c>
      <c r="C113" s="405" t="s">
        <v>0</v>
      </c>
      <c r="D113" s="423"/>
      <c r="E113" s="406"/>
      <c r="F113" s="406"/>
      <c r="BN113">
        <f>F113+G113+P113+U113+Z113+AE113+AJ113+AO113+AU113+BF113+BL113+BA113+L113+'ILUMINAÇÃO PUBLICA'!K113</f>
        <v>0</v>
      </c>
    </row>
    <row r="114" spans="2:66">
      <c r="B114" s="404" t="s">
        <v>801</v>
      </c>
      <c r="C114" s="405" t="s">
        <v>0</v>
      </c>
      <c r="D114" s="423"/>
      <c r="E114" s="406"/>
      <c r="F114" s="406"/>
      <c r="BN114">
        <f>F114+G114+P114+U114+Z114+AE114+AJ114+AO114+AU114+BF114+BL114+BA114+L114+'ILUMINAÇÃO PUBLICA'!K114</f>
        <v>0</v>
      </c>
    </row>
    <row r="115" spans="2:66">
      <c r="B115" s="404" t="s">
        <v>802</v>
      </c>
      <c r="C115" s="405" t="s">
        <v>0</v>
      </c>
      <c r="D115" s="423"/>
      <c r="E115" s="406"/>
      <c r="F115" s="406"/>
      <c r="BN115">
        <f>F115+G115+P115+U115+Z115+AE115+AJ115+AO115+AU115+BF115+BL115+BA115+L115+'ILUMINAÇÃO PUBLICA'!K115</f>
        <v>0</v>
      </c>
    </row>
    <row r="116" spans="2:66">
      <c r="B116" s="404" t="s">
        <v>803</v>
      </c>
      <c r="C116" s="405" t="s">
        <v>0</v>
      </c>
      <c r="D116" s="423"/>
      <c r="E116" s="406"/>
      <c r="F116" s="406"/>
      <c r="BN116">
        <f>F116+G116+P116+U116+Z116+AE116+AJ116+AO116+AU116+BF116+BL116+BA116+L116+'ILUMINAÇÃO PUBLICA'!K116</f>
        <v>0</v>
      </c>
    </row>
    <row r="117" spans="2:66">
      <c r="B117" s="404" t="s">
        <v>804</v>
      </c>
      <c r="C117" s="405" t="s">
        <v>0</v>
      </c>
      <c r="D117" s="423"/>
      <c r="E117" s="406"/>
      <c r="F117" s="406"/>
      <c r="BN117">
        <f>F117+G117+P117+U117+Z117+AE117+AJ117+AO117+AU117+BF117+BL117+BA117+L117+'ILUMINAÇÃO PUBLICA'!K117</f>
        <v>0</v>
      </c>
    </row>
    <row r="118" spans="2:66">
      <c r="B118" s="404" t="s">
        <v>805</v>
      </c>
      <c r="C118" s="405" t="s">
        <v>0</v>
      </c>
      <c r="D118" s="423"/>
      <c r="E118" s="406"/>
      <c r="F118" s="406"/>
      <c r="BN118">
        <f>F118+G118+P118+U118+Z118+AE118+AJ118+AO118+AU118+BF118+BL118+BA118+L118+'ILUMINAÇÃO PUBLICA'!K118</f>
        <v>0</v>
      </c>
    </row>
    <row r="119" spans="2:66">
      <c r="B119" s="404" t="s">
        <v>806</v>
      </c>
      <c r="C119" s="405" t="s">
        <v>0</v>
      </c>
      <c r="D119" s="423"/>
      <c r="E119" s="406"/>
      <c r="F119" s="406"/>
      <c r="BN119">
        <f>F119+G119+P119+U119+Z119+AE119+AJ119+AO119+AU119+BF119+BL119+BA119+L119+'ILUMINAÇÃO PUBLICA'!K119</f>
        <v>0</v>
      </c>
    </row>
    <row r="120" spans="2:66">
      <c r="B120" s="404" t="s">
        <v>807</v>
      </c>
      <c r="C120" s="405" t="s">
        <v>0</v>
      </c>
      <c r="D120" s="423"/>
      <c r="E120" s="406"/>
      <c r="F120" s="406"/>
      <c r="BN120">
        <f>F120+G120+P120+U120+Z120+AE120+AJ120+AO120+AU120+BF120+BL120+BA120+L120+'ILUMINAÇÃO PUBLICA'!K120</f>
        <v>0</v>
      </c>
    </row>
    <row r="121" spans="2:66">
      <c r="B121" s="404" t="s">
        <v>808</v>
      </c>
      <c r="C121" s="405" t="s">
        <v>0</v>
      </c>
      <c r="D121" s="423"/>
      <c r="E121" s="406"/>
      <c r="F121" s="406"/>
      <c r="BN121">
        <f>F121+G121+P121+U121+Z121+AE121+AJ121+AO121+AU121+BF121+BL121+BA121+L121+'ILUMINAÇÃO PUBLICA'!K121</f>
        <v>0</v>
      </c>
    </row>
    <row r="122" spans="2:66">
      <c r="B122" s="404" t="s">
        <v>810</v>
      </c>
      <c r="C122" s="405" t="s">
        <v>386</v>
      </c>
      <c r="D122" s="423"/>
      <c r="F122">
        <f>C8*0.4</f>
        <v>0</v>
      </c>
      <c r="G122">
        <f>C5*3%+C5</f>
        <v>0</v>
      </c>
      <c r="O122">
        <v>1.2</v>
      </c>
      <c r="P122">
        <f>SUM(P5:P26,Q5:Q26,R5:R26)*1.3</f>
        <v>0</v>
      </c>
      <c r="T122">
        <v>1.2</v>
      </c>
      <c r="U122">
        <f>SUM(U5:U26,V5:V26,W5:W26)*1.3</f>
        <v>0</v>
      </c>
      <c r="Y122">
        <v>2.4</v>
      </c>
      <c r="Z122">
        <f>SUM(Z5:Z26,AA5:AA26,AB5:AB26)*2.6</f>
        <v>0</v>
      </c>
      <c r="AD122">
        <v>1.2</v>
      </c>
      <c r="AE122">
        <f>SUM(AE5:AE26,AF5:AF26,AG5:AG26)*1.3</f>
        <v>0</v>
      </c>
      <c r="AI122">
        <v>1.2</v>
      </c>
      <c r="AJ122">
        <f>SUM(AJ5:AJ26,AK5:AK26,AL5:AL26)*1.3</f>
        <v>0</v>
      </c>
      <c r="AN122">
        <v>2.4</v>
      </c>
      <c r="AO122">
        <f>SUM(AO5:AO26,AQ5:AQ26,AR5:AR26,AP5:AP26)*2.6</f>
        <v>0</v>
      </c>
      <c r="AT122">
        <v>1.2</v>
      </c>
      <c r="AU122">
        <f>SUM(AU5:AU26,AW5:AW26,AX5:AX26,AV5:AV26)*1.3</f>
        <v>0</v>
      </c>
      <c r="AZ122">
        <v>1.2</v>
      </c>
      <c r="BA122">
        <f>SUM(BA5:BA26,BB5:BB26,BC5:BC26)*1.3</f>
        <v>0</v>
      </c>
      <c r="BE122">
        <v>1.2</v>
      </c>
      <c r="BF122">
        <f>SUM(BF5:BF26,BH5:BH26,BI5:BI26,BG5:BG26)*1.3</f>
        <v>0</v>
      </c>
      <c r="BN122">
        <f>F122+G122+P122+U122+Z122+AE122+AJ122+AO122+AU122+BF122+BL122+BA122+L122+'ILUMINAÇÃO PUBLICA'!K122</f>
        <v>0</v>
      </c>
    </row>
    <row r="123" spans="2:66">
      <c r="B123" s="404" t="s">
        <v>811</v>
      </c>
      <c r="C123" s="405" t="s">
        <v>386</v>
      </c>
      <c r="D123" s="423"/>
      <c r="E123" s="406"/>
      <c r="F123">
        <f>C9*0.4</f>
        <v>0</v>
      </c>
      <c r="G123">
        <f>C6*3%+C6</f>
        <v>0</v>
      </c>
      <c r="BN123">
        <f>F123+G123+P123+U123+Z123+AE123+AJ123+AO123+AU123+BF123+BL123+BA123+L123+'ILUMINAÇÃO PUBLICA'!K123</f>
        <v>0</v>
      </c>
    </row>
    <row r="124" spans="2:66">
      <c r="B124" s="404" t="s">
        <v>809</v>
      </c>
      <c r="C124" s="405" t="s">
        <v>386</v>
      </c>
      <c r="D124" s="423"/>
      <c r="E124" s="406"/>
      <c r="F124">
        <f>C10*0.4</f>
        <v>0</v>
      </c>
      <c r="G124">
        <f>C7*3%+C7</f>
        <v>0</v>
      </c>
      <c r="BN124">
        <f>F124+G124+P124+U124+Z124+AE124+AJ124+AO124+AU124+BF124+BL124+BA124+L124+'ILUMINAÇÃO PUBLICA'!K124</f>
        <v>0</v>
      </c>
    </row>
    <row r="125" spans="2:66">
      <c r="B125" s="404" t="s">
        <v>1716</v>
      </c>
      <c r="C125" s="405" t="s">
        <v>168</v>
      </c>
      <c r="D125" s="423"/>
      <c r="E125" s="406"/>
    </row>
    <row r="126" spans="2:66">
      <c r="B126" s="404" t="s">
        <v>1717</v>
      </c>
      <c r="C126" s="405" t="s">
        <v>168</v>
      </c>
      <c r="D126" s="423"/>
      <c r="E126" s="406"/>
    </row>
    <row r="127" spans="2:66">
      <c r="B127" s="404" t="s">
        <v>1718</v>
      </c>
      <c r="C127" s="405" t="s">
        <v>168</v>
      </c>
      <c r="D127" s="423"/>
      <c r="E127" s="406"/>
    </row>
    <row r="128" spans="2:66">
      <c r="B128" s="404" t="s">
        <v>1719</v>
      </c>
      <c r="C128" s="405" t="s">
        <v>168</v>
      </c>
      <c r="D128" s="423"/>
      <c r="E128" s="406"/>
    </row>
    <row r="129" spans="2:66">
      <c r="B129" s="404" t="s">
        <v>1383</v>
      </c>
      <c r="C129" s="405" t="s">
        <v>168</v>
      </c>
      <c r="D129" s="423"/>
      <c r="E129" s="406"/>
      <c r="BN129">
        <f>F129+G129+P129+U129+Z129+AE129+AJ129+AO129+AU129+BF129+BL129+BA129+L129+'ILUMINAÇÃO PUBLICA'!K129</f>
        <v>0</v>
      </c>
    </row>
    <row r="130" spans="2:66">
      <c r="B130" s="404" t="s">
        <v>1381</v>
      </c>
      <c r="C130" s="405" t="s">
        <v>168</v>
      </c>
      <c r="D130" s="423"/>
      <c r="E130" s="406"/>
      <c r="BN130">
        <f>F130+G130+P130+U130+Z130+AE130+AJ130+AO130+AU130+BF130+BL130+BA130+L130+'ILUMINAÇÃO PUBLICA'!K130</f>
        <v>0</v>
      </c>
    </row>
    <row r="131" spans="2:66">
      <c r="B131" s="404" t="s">
        <v>812</v>
      </c>
      <c r="C131" s="405" t="s">
        <v>0</v>
      </c>
      <c r="D131" s="423"/>
      <c r="BN131">
        <f>F131+G131+P131+U131+Z131+AE131+AJ131+AO131+AU131+BF131+BL131+BA131+L131+'ILUMINAÇÃO PUBLICA'!K131</f>
        <v>0</v>
      </c>
    </row>
    <row r="132" spans="2:66">
      <c r="B132" s="404" t="s">
        <v>813</v>
      </c>
      <c r="C132" s="405" t="s">
        <v>0</v>
      </c>
      <c r="D132" s="423"/>
      <c r="BN132">
        <f>F132+G132+P132+U132+Z132+AE132+AJ132+AO132+AU132+BF132+BL132+BA132+L132+'ILUMINAÇÃO PUBLICA'!K132</f>
        <v>0</v>
      </c>
    </row>
    <row r="133" spans="2:66">
      <c r="B133" s="404" t="s">
        <v>814</v>
      </c>
      <c r="C133" s="405" t="s">
        <v>0</v>
      </c>
      <c r="D133" s="423"/>
      <c r="BN133">
        <f>F133+G133+P133+U133+Z133+AE133+AJ133+AO133+AU133+BF133+BL133+BA133+L133+'ILUMINAÇÃO PUBLICA'!K133</f>
        <v>0</v>
      </c>
    </row>
    <row r="134" spans="2:66">
      <c r="B134" s="404" t="s">
        <v>1050</v>
      </c>
      <c r="C134" s="405" t="s">
        <v>4</v>
      </c>
      <c r="D134" s="423"/>
      <c r="G134" s="420"/>
      <c r="BN134">
        <f>F134+G134+P134+U134+Z134+AE134+AJ134+AO134+AU134+BF134+BL134+BA134+L134+'ILUMINAÇÃO PUBLICA'!K134</f>
        <v>0</v>
      </c>
    </row>
    <row r="135" spans="2:66">
      <c r="B135" s="404" t="s">
        <v>1051</v>
      </c>
      <c r="C135" s="405" t="s">
        <v>4</v>
      </c>
      <c r="D135" s="423"/>
      <c r="G135" s="420"/>
      <c r="BN135">
        <f>F135+G135+P135+U135+Z135+AE135+AJ135+AO135+AU135+BF135+BL135+BA135+L135+'ILUMINAÇÃO PUBLICA'!K135</f>
        <v>0</v>
      </c>
    </row>
    <row r="136" spans="2:66">
      <c r="B136" s="404" t="s">
        <v>1052</v>
      </c>
      <c r="C136" s="405" t="s">
        <v>4</v>
      </c>
      <c r="D136" s="423"/>
      <c r="G136" s="420"/>
      <c r="BN136">
        <f>F136+G136+P136+U136+Z136+AE136+AJ136+AO136+AU136+BF136+BL136+BA136+L136+'ILUMINAÇÃO PUBLICA'!K136</f>
        <v>0</v>
      </c>
    </row>
    <row r="137" spans="2:66">
      <c r="B137" s="404" t="s">
        <v>815</v>
      </c>
      <c r="C137" s="405" t="s">
        <v>386</v>
      </c>
      <c r="D137" s="423"/>
      <c r="BN137">
        <f>F137+G137+P137+U137+Z137+AE137+AJ137+AO137+AU137+BF137+BL137+BA137+L137+'ILUMINAÇÃO PUBLICA'!K137</f>
        <v>0</v>
      </c>
    </row>
    <row r="138" spans="2:66">
      <c r="B138" s="404" t="s">
        <v>816</v>
      </c>
      <c r="C138" s="405" t="s">
        <v>4</v>
      </c>
      <c r="D138" s="425" t="s">
        <v>1055</v>
      </c>
      <c r="F138">
        <f>C8+C11*0.3</f>
        <v>0</v>
      </c>
      <c r="I138" s="333"/>
      <c r="K138" t="s">
        <v>1573</v>
      </c>
      <c r="L138">
        <f>SUM(L9:M9)*13+SUM(L6:M6)*10+SUM(L7:M7)*11+SUM(L8:M8)*12</f>
        <v>0</v>
      </c>
      <c r="Y138" t="s">
        <v>1085</v>
      </c>
      <c r="Z138">
        <f>SUM(Z5:Z8,AA5:AA8,AB5:AB8)*(10)+SUM(Z9:Z12,AA9:AA12,AB9:AB12)*(11)+SUM(Z13:Z15,AA13:AA15,AB13:AB15)*(12)+SUM(Z16:Z19,AA16:AA19,AB16:AB19)*(10)+SUM(Z20:Z23,AA20:AA23,AB20:AB23)*(11)+SUM(Z24:Z26,AA24:AA26,AB24:AB26)*(12)</f>
        <v>0</v>
      </c>
      <c r="AD138" t="s">
        <v>1085</v>
      </c>
      <c r="AE138">
        <f>SUM(AE5:AE8,AF5:AF8,AG5:AG8)*(10)+SUM(AE9:AE12,AF9:AF12,AG9:AG12)*(11)+SUM(AE13:AE15,AF13:AF15,AG13:AG15)*(12)+SUM(AE16:AE19,AF16:AF19,AG16:AG19)*(10)+SUM(AE20:AE23,AF20:AF23,AG20:AG23)*(11)+SUM(AE24:AE26,AF24:AF26,AG24:AG26)*(12)</f>
        <v>0</v>
      </c>
      <c r="BN138">
        <f>F138+G138+P138+U138+Z138+AE138+AJ138+AO138+AU138+BF138+BL138+BA138+L138+'ILUMINAÇÃO PUBLICA'!K138</f>
        <v>0</v>
      </c>
    </row>
    <row r="139" spans="2:66">
      <c r="B139" s="404" t="s">
        <v>1739</v>
      </c>
      <c r="C139" s="405"/>
      <c r="D139" s="425"/>
      <c r="I139" s="333"/>
    </row>
    <row r="140" spans="2:66">
      <c r="B140" s="404" t="s">
        <v>1168</v>
      </c>
      <c r="C140" s="405" t="s">
        <v>4</v>
      </c>
      <c r="D140" s="423" t="s">
        <v>1055</v>
      </c>
      <c r="F140">
        <f>C9+C10+C12*0.3</f>
        <v>0</v>
      </c>
      <c r="I140" s="333"/>
      <c r="BN140">
        <f>F140+G140+P140+U140+Z140+AE140+AJ140+AO140+AU140+BF140+BL140+BA140+L140+'ILUMINAÇÃO PUBLICA'!K140</f>
        <v>0</v>
      </c>
    </row>
    <row r="141" spans="2:66">
      <c r="B141" s="404" t="s">
        <v>3</v>
      </c>
      <c r="C141" s="405" t="s">
        <v>0</v>
      </c>
      <c r="D141" s="423"/>
      <c r="BN141">
        <f>F141+G141+P141+U141+Z141+AE141+AJ141+AO141+AU141+BF141+BL141+BA141+L141+'ILUMINAÇÃO PUBLICA'!K141</f>
        <v>0</v>
      </c>
    </row>
    <row r="142" spans="2:66">
      <c r="B142" s="404" t="s">
        <v>817</v>
      </c>
      <c r="C142" s="405" t="s">
        <v>0</v>
      </c>
      <c r="D142" s="423"/>
      <c r="BN142">
        <f>F142+G142+P142+U142+Z142+AE142+AJ142+AO142+AU142+BF142+BL142+BA142+L142+'ILUMINAÇÃO PUBLICA'!K142</f>
        <v>0</v>
      </c>
    </row>
    <row r="143" spans="2:66">
      <c r="B143" s="404" t="s">
        <v>818</v>
      </c>
      <c r="C143" s="405" t="s">
        <v>0</v>
      </c>
      <c r="D143" s="423"/>
      <c r="BN143">
        <f>F143+G143+P143+U143+Z143+AE143+AJ143+AO143+AU143+BF143+BL143+BA143+L143+'ILUMINAÇÃO PUBLICA'!K143</f>
        <v>0</v>
      </c>
    </row>
    <row r="144" spans="2:66">
      <c r="B144" s="404" t="s">
        <v>819</v>
      </c>
      <c r="C144" s="405" t="s">
        <v>0</v>
      </c>
      <c r="D144" s="423"/>
      <c r="BN144">
        <f>F144+G144+P144+U144+Z144+AE144+AJ144+AO144+AU144+BF144+BL144+BA144+L144+'ILUMINAÇÃO PUBLICA'!K144</f>
        <v>0</v>
      </c>
    </row>
    <row r="145" spans="1:66">
      <c r="B145" s="404" t="s">
        <v>820</v>
      </c>
      <c r="C145" s="405" t="s">
        <v>0</v>
      </c>
      <c r="D145" s="423"/>
      <c r="BN145">
        <f>F145+G145+P145+U145+Z145+AE145+AJ145+AO145+AU145+BF145+BL145+BA145+L145+'ILUMINAÇÃO PUBLICA'!K145</f>
        <v>0</v>
      </c>
    </row>
    <row r="146" spans="1:66">
      <c r="B146" s="399" t="s">
        <v>1713</v>
      </c>
      <c r="C146" s="400" t="s">
        <v>168</v>
      </c>
      <c r="D146" s="423"/>
    </row>
    <row r="147" spans="1:66">
      <c r="B147" s="399" t="s">
        <v>1714</v>
      </c>
      <c r="C147" s="400" t="s">
        <v>168</v>
      </c>
      <c r="D147" s="423"/>
    </row>
    <row r="148" spans="1:66">
      <c r="B148" s="399" t="s">
        <v>1691</v>
      </c>
      <c r="C148" s="405"/>
      <c r="D148" s="423"/>
    </row>
    <row r="149" spans="1:66">
      <c r="A149">
        <v>10009219</v>
      </c>
      <c r="B149" s="404" t="s">
        <v>1040</v>
      </c>
      <c r="C149" s="405" t="s">
        <v>0</v>
      </c>
      <c r="D149" s="423"/>
      <c r="BN149">
        <f>F149+G149+P149+U149+Z149+AE149+AJ149+AO149+AU149+BF149+BL149+BA149+L149+'ILUMINAÇÃO PUBLICA'!K149</f>
        <v>0</v>
      </c>
    </row>
    <row r="150" spans="1:66">
      <c r="A150">
        <v>10000889</v>
      </c>
      <c r="B150" s="404" t="s">
        <v>8</v>
      </c>
      <c r="C150" s="405" t="s">
        <v>0</v>
      </c>
      <c r="D150" s="423"/>
      <c r="BN150">
        <f>F150+G150+P150+U150+Z150+AE150+AJ150+AO150+AU150+BF150+BL150+BA150+L150+'ILUMINAÇÃO PUBLICA'!K150</f>
        <v>0</v>
      </c>
    </row>
    <row r="151" spans="1:66">
      <c r="B151" s="404" t="s">
        <v>1041</v>
      </c>
      <c r="C151" s="405" t="s">
        <v>0</v>
      </c>
      <c r="D151" s="423"/>
      <c r="BN151">
        <f>F151+G151+P151+U151+Z151+AE151+AJ151+AO151+AU151+BF151+BL151+BA151+L151+'ILUMINAÇÃO PUBLICA'!K151</f>
        <v>0</v>
      </c>
    </row>
    <row r="152" spans="1:66">
      <c r="A152">
        <v>10009216</v>
      </c>
      <c r="B152" s="404" t="s">
        <v>1042</v>
      </c>
      <c r="C152" s="405" t="s">
        <v>0</v>
      </c>
      <c r="D152" s="423"/>
      <c r="BN152">
        <f>F152+G152+P152+U152+Z152+AE152+AJ152+AO152+AU152+BF152+BL152+BA152+L152+'ILUMINAÇÃO PUBLICA'!K152</f>
        <v>0</v>
      </c>
    </row>
    <row r="153" spans="1:66">
      <c r="A153">
        <v>10009217</v>
      </c>
      <c r="B153" s="404" t="s">
        <v>1043</v>
      </c>
      <c r="C153" s="405" t="s">
        <v>0</v>
      </c>
      <c r="D153" s="423"/>
      <c r="BN153">
        <f>F153+G153+P153+U153+Z153+AE153+AJ153+AO153+AU153+BF153+BL153+BA153+L153+'ILUMINAÇÃO PUBLICA'!K153</f>
        <v>0</v>
      </c>
    </row>
    <row r="154" spans="1:66">
      <c r="B154" s="404" t="s">
        <v>1044</v>
      </c>
      <c r="C154" s="405" t="s">
        <v>0</v>
      </c>
      <c r="D154" s="423"/>
      <c r="BN154">
        <f>F154+G154+P154+U154+Z154+AE154+AJ154+AO154+AU154+BF154+BL154+BA154+L154+'ILUMINAÇÃO PUBLICA'!K154</f>
        <v>0</v>
      </c>
    </row>
    <row r="155" spans="1:66">
      <c r="B155" s="404" t="s">
        <v>1045</v>
      </c>
      <c r="C155" s="405" t="s">
        <v>0</v>
      </c>
      <c r="D155" s="423"/>
      <c r="BN155">
        <f>F155+G155+P155+U155+Z155+AE155+AJ155+AO155+AU155+BF155+BL155+BA155+L155+'ILUMINAÇÃO PUBLICA'!K155</f>
        <v>0</v>
      </c>
    </row>
    <row r="156" spans="1:66">
      <c r="B156" s="404" t="s">
        <v>1046</v>
      </c>
      <c r="C156" s="405" t="s">
        <v>0</v>
      </c>
      <c r="D156" s="423"/>
      <c r="BN156">
        <f>F156+G156+P156+U156+Z156+AE156+AJ156+AO156+AU156+BF156+BL156+BA156+L156+'ILUMINAÇÃO PUBLICA'!K156</f>
        <v>0</v>
      </c>
    </row>
    <row r="157" spans="1:66">
      <c r="B157" s="404" t="s">
        <v>1047</v>
      </c>
      <c r="C157" s="405" t="s">
        <v>0</v>
      </c>
      <c r="D157" s="423"/>
      <c r="BN157">
        <f>F157+G157+P157+U157+Z157+AE157+AJ157+AO157+AU157+BF157+BL157+BA157+L157+'ILUMINAÇÃO PUBLICA'!K157</f>
        <v>0</v>
      </c>
    </row>
    <row r="158" spans="1:66">
      <c r="B158" s="404" t="s">
        <v>1048</v>
      </c>
      <c r="C158" s="405" t="s">
        <v>0</v>
      </c>
      <c r="D158" s="423"/>
      <c r="BN158">
        <f>F158+G158+P158+U158+Z158+AE158+AJ158+AO158+AU158+BF158+BL158+BA158+L158+'ILUMINAÇÃO PUBLICA'!K158</f>
        <v>0</v>
      </c>
    </row>
    <row r="159" spans="1:66">
      <c r="B159" s="404" t="s">
        <v>1049</v>
      </c>
      <c r="C159" s="405" t="s">
        <v>0</v>
      </c>
      <c r="D159" s="423"/>
      <c r="BN159">
        <f>F159+G159+P159+U159+Z159+AE159+AJ159+AO159+AU159+BF159+BL159+BA159+L159+'ILUMINAÇÃO PUBLICA'!K159</f>
        <v>0</v>
      </c>
    </row>
    <row r="160" spans="1:66">
      <c r="A160" s="414">
        <v>3965</v>
      </c>
      <c r="B160" s="748" t="s">
        <v>461</v>
      </c>
      <c r="C160" s="405" t="s">
        <v>0</v>
      </c>
      <c r="D160" s="423"/>
      <c r="BN160">
        <f>F160+G160+P160+U160+Z160+AE160+AJ160+AO160+AU160+BF160+BL160+BA160+L160+'ILUMINAÇÃO PUBLICA'!K160</f>
        <v>0</v>
      </c>
    </row>
    <row r="161" spans="2:66">
      <c r="B161" s="404" t="s">
        <v>821</v>
      </c>
      <c r="C161" s="405" t="s">
        <v>0</v>
      </c>
      <c r="D161" s="423"/>
      <c r="BN161">
        <f>F161+G161+P161+U161+Z161+AE161+AJ161+AO161+AU161+BF161+BL161+BA161+L161+'ILUMINAÇÃO PUBLICA'!K161</f>
        <v>0</v>
      </c>
    </row>
    <row r="162" spans="2:66">
      <c r="B162" s="404" t="s">
        <v>822</v>
      </c>
      <c r="C162" s="405" t="s">
        <v>0</v>
      </c>
      <c r="D162" s="423"/>
      <c r="BN162">
        <f>F162+G162+P162+U162+Z162+AE162+AJ162+AO162+AU162+BF162+BL162+BA162+L162+'ILUMINAÇÃO PUBLICA'!K162</f>
        <v>0</v>
      </c>
    </row>
    <row r="163" spans="2:66">
      <c r="B163" s="404" t="s">
        <v>823</v>
      </c>
      <c r="C163" s="405" t="s">
        <v>0</v>
      </c>
      <c r="D163" s="423"/>
      <c r="BN163">
        <f>F163+G163+P163+U163+Z163+AE163+AJ163+AO163+AU163+BF163+BL163+BA163+L163+'ILUMINAÇÃO PUBLICA'!K163</f>
        <v>0</v>
      </c>
    </row>
    <row r="164" spans="2:66">
      <c r="B164" s="404" t="s">
        <v>824</v>
      </c>
      <c r="C164" s="405" t="s">
        <v>0</v>
      </c>
      <c r="D164" s="423"/>
      <c r="BN164">
        <f>F164+G164+P164+U164+Z164+AE164+AJ164+AO164+AU164+BF164+BL164+BA164+L164+'ILUMINAÇÃO PUBLICA'!K164</f>
        <v>0</v>
      </c>
    </row>
    <row r="165" spans="2:66">
      <c r="B165" s="404" t="s">
        <v>5</v>
      </c>
      <c r="C165" s="405" t="s">
        <v>0</v>
      </c>
      <c r="D165" s="423"/>
      <c r="BN165">
        <f>F165+G165+P165+U165+Z165+AE165+AJ165+AO165+AU165+BF165+BL165+BA165+L165+'ILUMINAÇÃO PUBLICA'!K165</f>
        <v>0</v>
      </c>
    </row>
    <row r="166" spans="2:66">
      <c r="B166" s="404" t="s">
        <v>825</v>
      </c>
      <c r="C166" s="405" t="s">
        <v>0</v>
      </c>
      <c r="D166" s="423"/>
      <c r="BN166">
        <f>F166+G166+P166+U166+Z166+AE166+AJ166+AO166+AU166+BF166+BL166+BA166+L166+'ILUMINAÇÃO PUBLICA'!K166</f>
        <v>0</v>
      </c>
    </row>
    <row r="167" spans="2:66">
      <c r="B167" s="404" t="s">
        <v>826</v>
      </c>
      <c r="C167" s="405" t="s">
        <v>0</v>
      </c>
      <c r="D167" s="423"/>
      <c r="BN167">
        <f>F167+G167+P167+U167+Z167+AE167+AJ167+AO167+AU167+BF167+BL167+BA167+L167+'ILUMINAÇÃO PUBLICA'!K167</f>
        <v>0</v>
      </c>
    </row>
    <row r="168" spans="2:66">
      <c r="B168" s="404" t="s">
        <v>827</v>
      </c>
      <c r="C168" s="405" t="s">
        <v>0</v>
      </c>
      <c r="D168" s="423"/>
      <c r="BN168">
        <f>F168+G168+P168+U168+Z168+AE168+AJ168+AO168+AU168+BF168+BL168+BA168+L168+'ILUMINAÇÃO PUBLICA'!K168</f>
        <v>0</v>
      </c>
    </row>
    <row r="169" spans="2:66">
      <c r="B169" s="404" t="s">
        <v>828</v>
      </c>
      <c r="C169" s="405" t="s">
        <v>0</v>
      </c>
      <c r="D169" s="423"/>
      <c r="BN169">
        <f>F169+G169+P169+U169+Z169+AE169+AJ169+AO169+AU169+BF169+BL169+BA169+L169+'ILUMINAÇÃO PUBLICA'!K169</f>
        <v>0</v>
      </c>
    </row>
    <row r="170" spans="2:66">
      <c r="B170" s="404" t="s">
        <v>829</v>
      </c>
      <c r="C170" s="405" t="s">
        <v>0</v>
      </c>
      <c r="D170" s="423"/>
      <c r="BN170">
        <f>F170+G170+P170+U170+Z170+AE170+AJ170+AO170+AU170+BF170+BL170+BA170+L170+'ILUMINAÇÃO PUBLICA'!K170</f>
        <v>0</v>
      </c>
    </row>
    <row r="171" spans="2:66">
      <c r="B171" s="404" t="s">
        <v>830</v>
      </c>
      <c r="C171" s="405" t="s">
        <v>0</v>
      </c>
      <c r="D171" s="423"/>
      <c r="BN171">
        <f>F171+G171+P171+U171+Z171+AE171+AJ171+AO171+AU171+BF171+BL171+BA171+L171+'ILUMINAÇÃO PUBLICA'!K171</f>
        <v>0</v>
      </c>
    </row>
    <row r="172" spans="2:66">
      <c r="B172" s="404" t="s">
        <v>831</v>
      </c>
      <c r="C172" s="405" t="s">
        <v>0</v>
      </c>
      <c r="D172" s="423"/>
      <c r="BN172">
        <f>F172+G172+P172+U172+Z172+AE172+AJ172+AO172+AU172+BF172+BL172+BA172+L172+'ILUMINAÇÃO PUBLICA'!K172</f>
        <v>0</v>
      </c>
    </row>
    <row r="173" spans="2:66">
      <c r="B173" s="404" t="s">
        <v>832</v>
      </c>
      <c r="C173" s="405" t="s">
        <v>0</v>
      </c>
      <c r="D173" s="423"/>
      <c r="BN173">
        <f>F173+G173+P173+U173+Z173+AE173+AJ173+AO173+AU173+BF173+BL173+BA173+L173+'ILUMINAÇÃO PUBLICA'!K173</f>
        <v>0</v>
      </c>
    </row>
    <row r="174" spans="2:66">
      <c r="B174" s="404" t="s">
        <v>833</v>
      </c>
      <c r="C174" s="405" t="s">
        <v>0</v>
      </c>
      <c r="D174" s="423"/>
      <c r="BN174">
        <f>F174+G174+P174+U174+Z174+AE174+AJ174+AO174+AU174+BF174+BL174+BA174+L174+'ILUMINAÇÃO PUBLICA'!K174</f>
        <v>0</v>
      </c>
    </row>
    <row r="175" spans="2:66">
      <c r="B175" s="404" t="s">
        <v>1086</v>
      </c>
      <c r="C175" s="405" t="s">
        <v>386</v>
      </c>
      <c r="D175" s="423"/>
      <c r="BN175">
        <f>F175+G175+P175+U175+Z175+AE175+AJ175+AO175+AU175+BF175+BL175+BA175+L175+'ILUMINAÇÃO PUBLICA'!K175</f>
        <v>0</v>
      </c>
    </row>
    <row r="176" spans="2:66">
      <c r="B176" s="404" t="s">
        <v>1087</v>
      </c>
      <c r="C176" s="405" t="s">
        <v>386</v>
      </c>
      <c r="D176" s="423"/>
      <c r="BN176">
        <f>F176+G176+P176+U176+Z176+AE176+AJ176+AO176+AU176+BF176+BL176+BA176+L176+'ILUMINAÇÃO PUBLICA'!K176</f>
        <v>0</v>
      </c>
    </row>
    <row r="177" spans="2:66">
      <c r="B177" s="404" t="s">
        <v>1088</v>
      </c>
      <c r="C177" s="405" t="s">
        <v>386</v>
      </c>
      <c r="D177" s="423"/>
      <c r="BN177">
        <f>F177+G177+P177+U177+Z177+AE177+AJ177+AO177+AU177+BF177+BL177+BA177+L177+'ILUMINAÇÃO PUBLICA'!K177</f>
        <v>0</v>
      </c>
    </row>
    <row r="178" spans="2:66">
      <c r="B178" s="404" t="s">
        <v>1571</v>
      </c>
      <c r="C178" s="405" t="s">
        <v>386</v>
      </c>
      <c r="D178" s="423"/>
      <c r="AZ178" t="s">
        <v>1085</v>
      </c>
      <c r="BA178">
        <f>IF(SUM('Trifásico 13,8kv '!EN5:EQ12,'Trifásico 34,5kv'!EN5:EQ12)&gt;=1,0,SUM(BA5:BC26)*(4.5))</f>
        <v>0</v>
      </c>
      <c r="BE178" t="s">
        <v>1085</v>
      </c>
      <c r="BF178">
        <f>IF(SUM('Trifásico 13,8kv '!EN5:EQ12,'Trifásico 34,5kv'!EN5:EQ12)&gt;=1,0,SUM(BF5:BI26)*(4.5))</f>
        <v>0</v>
      </c>
      <c r="BN178">
        <f>F178+G178+P178+U178+Z178+AE178+AJ178+AO178+AU178+BF178+BL178+BA178+L178+'ILUMINAÇÃO PUBLICA'!K178</f>
        <v>0</v>
      </c>
    </row>
    <row r="179" spans="2:66">
      <c r="B179" s="404" t="s">
        <v>834</v>
      </c>
      <c r="C179" s="405" t="s">
        <v>0</v>
      </c>
      <c r="D179" s="423"/>
      <c r="BN179">
        <f>F179+G179+P179+U179+Z179+AE179+AJ179+AO179+AU179+BF179+BL179+BA179+L179+'ILUMINAÇÃO PUBLICA'!K179</f>
        <v>0</v>
      </c>
    </row>
    <row r="180" spans="2:66">
      <c r="B180" s="404" t="s">
        <v>835</v>
      </c>
      <c r="C180" s="405" t="s">
        <v>0</v>
      </c>
      <c r="D180" s="423"/>
      <c r="BN180">
        <f>F180+G180+P180+U180+Z180+AE180+AJ180+AO180+AU180+BF180+BL180+BA180+L180+'ILUMINAÇÃO PUBLICA'!K180</f>
        <v>0</v>
      </c>
    </row>
    <row r="181" spans="2:66">
      <c r="B181" s="404" t="s">
        <v>836</v>
      </c>
      <c r="C181" s="405" t="s">
        <v>0</v>
      </c>
      <c r="D181" s="423"/>
      <c r="BN181">
        <f>F181+G181+P181+U181+Z181+AE181+AJ181+AO181+AU181+BF181+BL181+BA181+L181+'ILUMINAÇÃO PUBLICA'!K181</f>
        <v>0</v>
      </c>
    </row>
    <row r="182" spans="2:66">
      <c r="B182" s="404" t="s">
        <v>837</v>
      </c>
      <c r="C182" s="405" t="s">
        <v>0</v>
      </c>
      <c r="D182" s="423"/>
      <c r="BN182">
        <f>F182+G182+P182+U182+Z182+AE182+AJ182+AO182+AU182+BF182+BL182+BA182+L182+'ILUMINAÇÃO PUBLICA'!K182</f>
        <v>0</v>
      </c>
    </row>
    <row r="183" spans="2:66">
      <c r="B183" s="404" t="s">
        <v>838</v>
      </c>
      <c r="C183" s="405" t="s">
        <v>0</v>
      </c>
      <c r="D183" s="423"/>
      <c r="BN183">
        <f>F183+G183+P183+U183+Z183+AE183+AJ183+AO183+AU183+BF183+BL183+BA183+L183+'ILUMINAÇÃO PUBLICA'!K183</f>
        <v>0</v>
      </c>
    </row>
    <row r="184" spans="2:66">
      <c r="B184" s="404" t="s">
        <v>1039</v>
      </c>
      <c r="C184" s="405" t="s">
        <v>0</v>
      </c>
      <c r="D184" s="423"/>
      <c r="BN184">
        <f>F184+G184+P184+U184+Z184+AE184+AJ184+AO184+AU184+BF184+BL184+BA184+L184+'ILUMINAÇÃO PUBLICA'!K184</f>
        <v>0</v>
      </c>
    </row>
    <row r="185" spans="2:66">
      <c r="B185" s="404" t="s">
        <v>839</v>
      </c>
      <c r="C185" s="405" t="s">
        <v>0</v>
      </c>
      <c r="D185" s="423"/>
      <c r="BN185">
        <f>F185+G185+P185+U185+Z185+AE185+AJ185+AO185+AU185+BF185+BL185+BA185+L185+'ILUMINAÇÃO PUBLICA'!K185</f>
        <v>0</v>
      </c>
    </row>
    <row r="186" spans="2:66">
      <c r="B186" s="404" t="s">
        <v>840</v>
      </c>
      <c r="C186" s="405" t="s">
        <v>0</v>
      </c>
      <c r="D186" s="423"/>
      <c r="BN186">
        <f>F186+G186+P186+U186+Z186+AE186+AJ186+AO186+AU186+BF186+BL186+BA186+L186+'ILUMINAÇÃO PUBLICA'!K186</f>
        <v>0</v>
      </c>
    </row>
    <row r="187" spans="2:66">
      <c r="B187" s="404" t="s">
        <v>841</v>
      </c>
      <c r="C187" s="405" t="s">
        <v>0</v>
      </c>
      <c r="D187" s="423"/>
      <c r="BN187">
        <f>F187+G187+P187+U187+Z187+AE187+AJ187+AO187+AU187+BF187+BL187+BA187+L187+'ILUMINAÇÃO PUBLICA'!K187</f>
        <v>0</v>
      </c>
    </row>
    <row r="188" spans="2:66">
      <c r="B188" s="404" t="s">
        <v>842</v>
      </c>
      <c r="C188" s="405" t="s">
        <v>0</v>
      </c>
      <c r="D188" s="423"/>
      <c r="BN188">
        <f>F188+G188+P188+U188+Z188+AE188+AJ188+AO188+AU188+BF188+BL188+BA188+L188+'ILUMINAÇÃO PUBLICA'!K188</f>
        <v>0</v>
      </c>
    </row>
    <row r="189" spans="2:66">
      <c r="B189" s="937" t="s">
        <v>843</v>
      </c>
      <c r="C189" s="405" t="s">
        <v>0</v>
      </c>
      <c r="D189" s="423"/>
      <c r="BN189">
        <f>F189+G189+P189+U189+Z189+AE189+AJ189+AO189+AU189+BF189+BL189+BA189+L189+'ILUMINAÇÃO PUBLICA'!K189</f>
        <v>0</v>
      </c>
    </row>
    <row r="190" spans="2:66">
      <c r="B190" s="937" t="s">
        <v>844</v>
      </c>
      <c r="C190" s="405" t="s">
        <v>0</v>
      </c>
      <c r="D190" s="423"/>
      <c r="BN190">
        <f>F190+G190+P190+U190+Z190+AE190+AJ190+AO190+AU190+BF190+BL190+BA190+L190+'ILUMINAÇÃO PUBLICA'!K190</f>
        <v>0</v>
      </c>
    </row>
    <row r="191" spans="2:66">
      <c r="B191" s="404" t="s">
        <v>845</v>
      </c>
      <c r="C191" s="405" t="s">
        <v>0</v>
      </c>
      <c r="D191" s="423"/>
      <c r="BN191">
        <f>F191+G191+P191+U191+Z191+AE191+AJ191+AO191+AU191+BF191+BL191+BA191+L191+'ILUMINAÇÃO PUBLICA'!K191</f>
        <v>0</v>
      </c>
    </row>
    <row r="192" spans="2:66">
      <c r="B192" s="404" t="s">
        <v>1016</v>
      </c>
      <c r="C192" s="405" t="s">
        <v>0</v>
      </c>
      <c r="D192" s="423"/>
      <c r="BN192">
        <f>F192+G192+P192+U192+Z192+AE192+AJ192+AO192+AU192+BF192+BL192+BA192+L192+'ILUMINAÇÃO PUBLICA'!K192</f>
        <v>0</v>
      </c>
    </row>
    <row r="193" spans="1:66">
      <c r="B193" s="404" t="s">
        <v>846</v>
      </c>
      <c r="C193" s="405" t="s">
        <v>0</v>
      </c>
      <c r="D193" s="423"/>
      <c r="BN193">
        <f>F193+G193+P193+U193+Z193+AE193+AJ193+AO193+AU193+BF193+BL193+BA193+L193+'ILUMINAÇÃO PUBLICA'!K193</f>
        <v>0</v>
      </c>
    </row>
    <row r="194" spans="1:66">
      <c r="B194" s="404" t="s">
        <v>847</v>
      </c>
      <c r="C194" s="405" t="s">
        <v>0</v>
      </c>
      <c r="D194" s="423"/>
      <c r="BN194">
        <f>F194+G194+P194+U194+Z194+AE194+AJ194+AO194+AU194+BF194+BL194+BA194+L194+'ILUMINAÇÃO PUBLICA'!K194</f>
        <v>0</v>
      </c>
    </row>
    <row r="195" spans="1:66">
      <c r="A195" s="416">
        <v>3541</v>
      </c>
      <c r="B195" s="938" t="s">
        <v>117</v>
      </c>
      <c r="C195" s="405" t="s">
        <v>0</v>
      </c>
      <c r="D195" s="423"/>
      <c r="E195" s="418"/>
      <c r="F195" s="418"/>
      <c r="G195" s="418"/>
      <c r="H195" s="418"/>
      <c r="I195" s="418"/>
      <c r="J195" s="418"/>
      <c r="K195" s="418"/>
      <c r="L195" s="418"/>
      <c r="M195" s="418"/>
      <c r="N195" s="418"/>
      <c r="O195" s="418"/>
      <c r="P195" s="418"/>
      <c r="Q195" s="418"/>
      <c r="R195" s="418"/>
      <c r="S195" s="419"/>
      <c r="T195" s="418"/>
      <c r="U195" s="418"/>
      <c r="V195" s="418"/>
      <c r="W195" s="418"/>
      <c r="X195" s="418"/>
      <c r="Y195" s="418"/>
      <c r="Z195" s="418"/>
      <c r="AA195" s="418"/>
      <c r="AB195" s="418"/>
      <c r="AC195" s="418"/>
      <c r="AD195" s="418"/>
      <c r="AE195" s="418"/>
      <c r="AF195" s="418"/>
      <c r="AG195" s="418"/>
      <c r="AH195" s="418"/>
      <c r="AI195" s="418"/>
      <c r="AJ195" s="418"/>
      <c r="AK195" s="418"/>
      <c r="AL195" s="418"/>
      <c r="AM195" s="418"/>
      <c r="AN195" s="418"/>
      <c r="AO195" s="418"/>
      <c r="AP195" s="418"/>
      <c r="AQ195" s="418"/>
      <c r="AR195" s="418"/>
      <c r="AS195" s="419"/>
      <c r="AT195" s="418"/>
      <c r="AU195" s="418"/>
      <c r="AV195" s="418"/>
      <c r="AW195" s="418"/>
      <c r="AX195" s="418"/>
      <c r="AY195" s="419"/>
      <c r="AZ195" s="418"/>
      <c r="BA195" s="418"/>
      <c r="BB195" s="418"/>
      <c r="BC195" s="418"/>
      <c r="BD195" s="418"/>
      <c r="BE195" s="418"/>
      <c r="BF195" s="418"/>
      <c r="BG195" s="418"/>
      <c r="BH195" s="418"/>
      <c r="BI195" s="418"/>
      <c r="BN195">
        <f>F195+G195+P195+U195+Z195+AE195+AJ195+AO195+AU195+BF195+BL195+BA195+L195+'ILUMINAÇÃO PUBLICA'!K195</f>
        <v>0</v>
      </c>
    </row>
    <row r="196" spans="1:66">
      <c r="A196" s="416">
        <v>3542</v>
      </c>
      <c r="B196" s="938" t="s">
        <v>118</v>
      </c>
      <c r="C196" s="405" t="s">
        <v>0</v>
      </c>
      <c r="D196" s="423"/>
      <c r="E196" s="418"/>
      <c r="F196" s="418"/>
      <c r="G196" s="418"/>
      <c r="H196" s="418"/>
      <c r="I196" s="418"/>
      <c r="J196" s="418"/>
      <c r="K196" s="418"/>
      <c r="L196" s="418"/>
      <c r="M196" s="418"/>
      <c r="N196" s="418"/>
      <c r="O196" s="418" t="s">
        <v>1085</v>
      </c>
      <c r="P196" s="418">
        <f>SUM(P16:R16,P20:R20)*(2)</f>
        <v>0</v>
      </c>
      <c r="Q196" s="418"/>
      <c r="R196" s="418"/>
      <c r="S196" s="419"/>
      <c r="T196" s="418" t="s">
        <v>1085</v>
      </c>
      <c r="U196" s="418">
        <f>SUM(U16:W16,U20:W20)*(3)</f>
        <v>0</v>
      </c>
      <c r="V196" s="418"/>
      <c r="W196" s="418"/>
      <c r="X196" s="418"/>
      <c r="Y196" s="418" t="s">
        <v>1085</v>
      </c>
      <c r="Z196" s="418">
        <f>SUM(Z16:AB16,Z20:AB20)*(2)</f>
        <v>0</v>
      </c>
      <c r="AA196" s="418"/>
      <c r="AB196" s="418"/>
      <c r="AC196" s="418"/>
      <c r="AD196" s="418" t="s">
        <v>1085</v>
      </c>
      <c r="AE196" s="418">
        <f>SUM(AE16:AG16,AE20:AG20)*(2)</f>
        <v>0</v>
      </c>
      <c r="AF196" s="418"/>
      <c r="AG196" s="418"/>
      <c r="AH196" s="418"/>
      <c r="AI196" s="418" t="s">
        <v>1085</v>
      </c>
      <c r="AJ196" s="418">
        <f>SUM(AJ16:AL16,AJ20:AL20)*(2)</f>
        <v>0</v>
      </c>
      <c r="AK196" s="418"/>
      <c r="AL196" s="418"/>
      <c r="AM196" s="418"/>
      <c r="AN196" s="418" t="s">
        <v>1085</v>
      </c>
      <c r="AO196" s="418">
        <f>SUM(AO16:AR16,AO20:AR20)*(2)</f>
        <v>0</v>
      </c>
      <c r="AP196" s="418"/>
      <c r="AQ196" s="418"/>
      <c r="AR196" s="418"/>
      <c r="AS196" s="419"/>
      <c r="AT196" s="418" t="s">
        <v>1085</v>
      </c>
      <c r="AU196" s="418">
        <f>SUM(AU16:AX16,AU20:AX20)*(4)</f>
        <v>0</v>
      </c>
      <c r="AV196" s="418"/>
      <c r="AW196" s="418"/>
      <c r="AX196" s="418"/>
      <c r="AY196" s="419"/>
      <c r="AZ196" s="418" t="s">
        <v>1085</v>
      </c>
      <c r="BA196" s="418">
        <f>SUM(BA16:BC16,BA20:BC20)*(2)</f>
        <v>0</v>
      </c>
      <c r="BB196" s="418"/>
      <c r="BC196" s="418"/>
      <c r="BD196" s="418"/>
      <c r="BE196" s="418" t="s">
        <v>1085</v>
      </c>
      <c r="BF196" s="418">
        <f>SUM(BF16:BI16,BF20:BI20)*(3)</f>
        <v>0</v>
      </c>
      <c r="BG196" s="418"/>
      <c r="BH196" s="418"/>
      <c r="BI196" s="418"/>
      <c r="BN196">
        <f>F196+G196+P196+U196+Z196+AE196+AJ196+AO196+AU196+BF196+BL196+BA196+L196+'ILUMINAÇÃO PUBLICA'!K196</f>
        <v>0</v>
      </c>
    </row>
    <row r="197" spans="1:66">
      <c r="A197" s="416">
        <v>3543</v>
      </c>
      <c r="B197" s="938" t="s">
        <v>119</v>
      </c>
      <c r="C197" s="405" t="s">
        <v>0</v>
      </c>
      <c r="D197" s="423"/>
      <c r="E197" s="418"/>
      <c r="F197" s="418"/>
      <c r="G197" s="418"/>
      <c r="H197" s="418"/>
      <c r="I197" s="418"/>
      <c r="J197" s="418"/>
      <c r="K197" s="418"/>
      <c r="L197" s="418"/>
      <c r="M197" s="418"/>
      <c r="N197" s="418"/>
      <c r="O197" s="418"/>
      <c r="P197" s="418"/>
      <c r="Q197" s="418"/>
      <c r="R197" s="418"/>
      <c r="S197" s="419"/>
      <c r="T197" s="418"/>
      <c r="U197" s="418"/>
      <c r="V197" s="418"/>
      <c r="W197" s="418"/>
      <c r="X197" s="418"/>
      <c r="Y197" s="418"/>
      <c r="Z197" s="418"/>
      <c r="AA197" s="418"/>
      <c r="AB197" s="418"/>
      <c r="AC197" s="418"/>
      <c r="AD197" s="418"/>
      <c r="AE197" s="418"/>
      <c r="AF197" s="418"/>
      <c r="AG197" s="418"/>
      <c r="AH197" s="418"/>
      <c r="AI197" s="418"/>
      <c r="AJ197" s="418"/>
      <c r="AK197" s="418"/>
      <c r="AL197" s="418"/>
      <c r="AM197" s="418"/>
      <c r="AN197" s="418"/>
      <c r="AO197" s="418"/>
      <c r="AP197" s="418"/>
      <c r="AQ197" s="418"/>
      <c r="AR197" s="418"/>
      <c r="AS197" s="419"/>
      <c r="AT197" s="418"/>
      <c r="AU197" s="418"/>
      <c r="AV197" s="418"/>
      <c r="AW197" s="418"/>
      <c r="AX197" s="418"/>
      <c r="AY197" s="419"/>
      <c r="AZ197" s="418"/>
      <c r="BA197" s="418"/>
      <c r="BB197" s="418"/>
      <c r="BC197" s="418"/>
      <c r="BD197" s="418"/>
      <c r="BE197" s="418"/>
      <c r="BF197" s="418"/>
      <c r="BG197" s="418"/>
      <c r="BH197" s="418"/>
      <c r="BI197" s="418"/>
      <c r="BN197">
        <f>F197+G197+P197+U197+Z197+AE197+AJ197+AO197+AU197+BF197+BL197+BA197+L197+'ILUMINAÇÃO PUBLICA'!K197</f>
        <v>0</v>
      </c>
    </row>
    <row r="198" spans="1:66">
      <c r="A198" s="416">
        <v>3544</v>
      </c>
      <c r="B198" s="938" t="s">
        <v>120</v>
      </c>
      <c r="C198" s="405" t="s">
        <v>0</v>
      </c>
      <c r="D198" s="423"/>
      <c r="E198" s="418"/>
      <c r="F198" s="418"/>
      <c r="G198" s="418"/>
      <c r="H198" s="418"/>
      <c r="I198" s="418"/>
      <c r="J198" s="418"/>
      <c r="K198" s="418"/>
      <c r="L198" s="418"/>
      <c r="M198" s="418"/>
      <c r="N198" s="418"/>
      <c r="O198" s="418" t="s">
        <v>1085</v>
      </c>
      <c r="P198" s="418">
        <f>SUM(P17:R17,P21:R21)*(2)</f>
        <v>0</v>
      </c>
      <c r="Q198" s="418"/>
      <c r="R198" s="418"/>
      <c r="S198" s="419"/>
      <c r="T198" s="418" t="s">
        <v>1085</v>
      </c>
      <c r="U198" s="418">
        <f>SUM(U17:W17,U21:W21)*(3)</f>
        <v>0</v>
      </c>
      <c r="V198" s="418"/>
      <c r="W198" s="418"/>
      <c r="X198" s="418"/>
      <c r="Y198" s="418" t="s">
        <v>1085</v>
      </c>
      <c r="Z198" s="418">
        <f>SUM(Z17:AB17,Z21:AB21)*(2)</f>
        <v>0</v>
      </c>
      <c r="AA198" s="418"/>
      <c r="AB198" s="418"/>
      <c r="AC198" s="418"/>
      <c r="AD198" s="418" t="s">
        <v>1085</v>
      </c>
      <c r="AE198" s="418">
        <f>SUM(AE17:AG17,AE21:AG21)*(2)</f>
        <v>0</v>
      </c>
      <c r="AF198" s="418"/>
      <c r="AG198" s="418"/>
      <c r="AH198" s="418"/>
      <c r="AI198" s="418" t="s">
        <v>1085</v>
      </c>
      <c r="AJ198" s="418">
        <f>SUM(AJ17:AL17,AJ21:AL21)*(2)</f>
        <v>0</v>
      </c>
      <c r="AK198" s="418"/>
      <c r="AL198" s="418"/>
      <c r="AM198" s="418"/>
      <c r="AN198" s="418" t="s">
        <v>1085</v>
      </c>
      <c r="AO198" s="418">
        <f>SUM(AO17:AR17,AO21:AR21)*(2)</f>
        <v>0</v>
      </c>
      <c r="AP198" s="418"/>
      <c r="AQ198" s="418"/>
      <c r="AR198" s="418"/>
      <c r="AS198" s="419"/>
      <c r="AT198" s="418" t="s">
        <v>1085</v>
      </c>
      <c r="AU198" s="418">
        <f>SUM(AU17:AX17,AU21:AX21)*(4)</f>
        <v>0</v>
      </c>
      <c r="AV198" s="418"/>
      <c r="AW198" s="418"/>
      <c r="AX198" s="418"/>
      <c r="AY198" s="419"/>
      <c r="AZ198" s="418" t="s">
        <v>1085</v>
      </c>
      <c r="BA198" s="418">
        <f>SUM(BA17:BC17,BA21:BC21)*(2)</f>
        <v>0</v>
      </c>
      <c r="BB198" s="418"/>
      <c r="BC198" s="418"/>
      <c r="BD198" s="418"/>
      <c r="BE198" s="418" t="s">
        <v>1085</v>
      </c>
      <c r="BF198" s="418">
        <f>SUM(BF17:BI17,BF21:BI21)*(3)</f>
        <v>0</v>
      </c>
      <c r="BG198" s="418"/>
      <c r="BH198" s="418"/>
      <c r="BI198" s="418"/>
      <c r="BN198">
        <f>F198+G198+P198+U198+Z198+AE198+AJ198+AO198+AU198+BF198+BL198+BA198+L198+'ILUMINAÇÃO PUBLICA'!K198</f>
        <v>0</v>
      </c>
    </row>
    <row r="199" spans="1:66">
      <c r="A199" s="416">
        <v>3545</v>
      </c>
      <c r="B199" s="938" t="s">
        <v>121</v>
      </c>
      <c r="C199" s="405" t="s">
        <v>0</v>
      </c>
      <c r="D199" s="423"/>
      <c r="E199" s="418"/>
      <c r="F199" s="418"/>
      <c r="G199" s="418"/>
      <c r="H199" s="418"/>
      <c r="I199" s="418"/>
      <c r="J199" s="418"/>
      <c r="K199" s="418"/>
      <c r="L199" s="418"/>
      <c r="M199" s="418"/>
      <c r="N199" s="418"/>
      <c r="O199" s="418"/>
      <c r="P199" s="418"/>
      <c r="Q199" s="418"/>
      <c r="R199" s="418"/>
      <c r="S199" s="419"/>
      <c r="T199" s="418"/>
      <c r="U199" s="418"/>
      <c r="V199" s="418"/>
      <c r="W199" s="418"/>
      <c r="X199" s="418"/>
      <c r="Y199" s="418"/>
      <c r="Z199" s="418"/>
      <c r="AA199" s="418"/>
      <c r="AB199" s="418"/>
      <c r="AC199" s="418"/>
      <c r="AD199" s="418"/>
      <c r="AE199" s="418"/>
      <c r="AF199" s="418"/>
      <c r="AG199" s="418"/>
      <c r="AH199" s="418"/>
      <c r="AI199" s="418"/>
      <c r="AJ199" s="418"/>
      <c r="AK199" s="418"/>
      <c r="AL199" s="418"/>
      <c r="AM199" s="418"/>
      <c r="AN199" s="418"/>
      <c r="AO199" s="418"/>
      <c r="AP199" s="418"/>
      <c r="AQ199" s="418"/>
      <c r="AR199" s="418"/>
      <c r="AS199" s="419"/>
      <c r="AT199" s="418"/>
      <c r="AU199" s="418"/>
      <c r="AV199" s="418"/>
      <c r="AW199" s="418"/>
      <c r="AX199" s="418"/>
      <c r="AY199" s="419"/>
      <c r="AZ199" s="418"/>
      <c r="BA199" s="418"/>
      <c r="BB199" s="418"/>
      <c r="BC199" s="418"/>
      <c r="BD199" s="418"/>
      <c r="BE199" s="418"/>
      <c r="BF199" s="418"/>
      <c r="BG199" s="418"/>
      <c r="BH199" s="418"/>
      <c r="BI199" s="418"/>
      <c r="BN199">
        <f>F199+G199+P199+U199+Z199+AE199+AJ199+AO199+AU199+BF199+BL199+BA199+L199+'ILUMINAÇÃO PUBLICA'!K199</f>
        <v>0</v>
      </c>
    </row>
    <row r="200" spans="1:66">
      <c r="A200" s="416">
        <v>3546</v>
      </c>
      <c r="B200" s="938" t="s">
        <v>122</v>
      </c>
      <c r="C200" s="405" t="s">
        <v>0</v>
      </c>
      <c r="D200" s="423"/>
      <c r="E200" s="418"/>
      <c r="F200" s="418"/>
      <c r="G200" s="418"/>
      <c r="H200" s="418"/>
      <c r="I200" s="418"/>
      <c r="J200" s="418"/>
      <c r="K200" s="418"/>
      <c r="L200" s="418"/>
      <c r="M200" s="418"/>
      <c r="N200" s="418"/>
      <c r="O200" s="418" t="s">
        <v>1085</v>
      </c>
      <c r="P200" s="418">
        <f>SUM(P24:R24)*(2)</f>
        <v>0</v>
      </c>
      <c r="Q200" s="418"/>
      <c r="R200" s="418"/>
      <c r="S200" s="419"/>
      <c r="T200" s="418" t="s">
        <v>1085</v>
      </c>
      <c r="U200" s="418">
        <f>SUM(U24:W24)*(3)</f>
        <v>0</v>
      </c>
      <c r="V200" s="418"/>
      <c r="W200" s="418"/>
      <c r="X200" s="418"/>
      <c r="Y200" s="418" t="s">
        <v>1085</v>
      </c>
      <c r="Z200" s="418">
        <f>SUM(Z24:AB24)*(2)</f>
        <v>0</v>
      </c>
      <c r="AA200" s="418"/>
      <c r="AB200" s="418"/>
      <c r="AC200" s="418"/>
      <c r="AD200" s="418" t="s">
        <v>1085</v>
      </c>
      <c r="AE200" s="418">
        <f>SUM(AE24:AG24)*(2)</f>
        <v>0</v>
      </c>
      <c r="AF200" s="418"/>
      <c r="AG200" s="418"/>
      <c r="AH200" s="418"/>
      <c r="AI200" s="418" t="s">
        <v>1085</v>
      </c>
      <c r="AJ200" s="418">
        <f>SUM(AJ24:AL24)*(2)</f>
        <v>0</v>
      </c>
      <c r="AK200" s="418"/>
      <c r="AL200" s="418"/>
      <c r="AM200" s="418"/>
      <c r="AN200" s="418" t="s">
        <v>1085</v>
      </c>
      <c r="AO200" s="418">
        <f>SUM(AO24:AR24)*(2)</f>
        <v>0</v>
      </c>
      <c r="AP200" s="418"/>
      <c r="AQ200" s="418"/>
      <c r="AR200" s="418"/>
      <c r="AS200" s="419"/>
      <c r="AT200" s="418" t="s">
        <v>1085</v>
      </c>
      <c r="AU200" s="418">
        <f>SUM(AU24:AX24)*(4)</f>
        <v>0</v>
      </c>
      <c r="AV200" s="418"/>
      <c r="AW200" s="418"/>
      <c r="AX200" s="418"/>
      <c r="AY200" s="419"/>
      <c r="AZ200" s="418" t="s">
        <v>1085</v>
      </c>
      <c r="BA200" s="418">
        <f>SUM(BA24:BC24)*(2)</f>
        <v>0</v>
      </c>
      <c r="BB200" s="418"/>
      <c r="BC200" s="418"/>
      <c r="BD200" s="418"/>
      <c r="BE200" s="418" t="s">
        <v>1085</v>
      </c>
      <c r="BF200" s="418">
        <f>SUM(BF24:BI24)*(3)</f>
        <v>0</v>
      </c>
      <c r="BG200" s="418"/>
      <c r="BH200" s="418"/>
      <c r="BI200" s="418"/>
      <c r="BN200">
        <f>F200+G200+P200+U200+Z200+AE200+AJ200+AO200+AU200+BF200+BL200+BA200+L200+'ILUMINAÇÃO PUBLICA'!K200</f>
        <v>0</v>
      </c>
    </row>
    <row r="201" spans="1:66">
      <c r="A201" s="416">
        <v>3547</v>
      </c>
      <c r="B201" s="938" t="s">
        <v>123</v>
      </c>
      <c r="C201" s="405" t="s">
        <v>0</v>
      </c>
      <c r="D201" s="423"/>
      <c r="E201" s="418"/>
      <c r="F201" s="418"/>
      <c r="G201" s="418"/>
      <c r="H201" s="418"/>
      <c r="I201" s="418"/>
      <c r="J201" s="418"/>
      <c r="K201" s="418"/>
      <c r="L201" s="418"/>
      <c r="M201" s="418"/>
      <c r="N201" s="418"/>
      <c r="O201" s="418"/>
      <c r="P201" s="418"/>
      <c r="Q201" s="418"/>
      <c r="R201" s="418"/>
      <c r="S201" s="419"/>
      <c r="T201" s="418"/>
      <c r="U201" s="418"/>
      <c r="V201" s="418"/>
      <c r="W201" s="418"/>
      <c r="X201" s="418"/>
      <c r="Y201" s="418"/>
      <c r="Z201" s="418"/>
      <c r="AA201" s="418"/>
      <c r="AB201" s="418"/>
      <c r="AC201" s="418"/>
      <c r="AD201" s="418"/>
      <c r="AE201" s="418"/>
      <c r="AF201" s="418"/>
      <c r="AG201" s="418"/>
      <c r="AH201" s="418"/>
      <c r="AI201" s="418"/>
      <c r="AJ201" s="418"/>
      <c r="AK201" s="418"/>
      <c r="AL201" s="418"/>
      <c r="AM201" s="418"/>
      <c r="AN201" s="418"/>
      <c r="AO201" s="418"/>
      <c r="AP201" s="418"/>
      <c r="AQ201" s="418"/>
      <c r="AR201" s="418"/>
      <c r="AS201" s="419"/>
      <c r="AT201" s="418"/>
      <c r="AU201" s="418"/>
      <c r="AV201" s="418"/>
      <c r="AW201" s="418"/>
      <c r="AX201" s="418"/>
      <c r="AY201" s="419"/>
      <c r="AZ201" s="418"/>
      <c r="BA201" s="418"/>
      <c r="BB201" s="418"/>
      <c r="BC201" s="418"/>
      <c r="BD201" s="418"/>
      <c r="BE201" s="418"/>
      <c r="BF201" s="418"/>
      <c r="BG201" s="418"/>
      <c r="BH201" s="418"/>
      <c r="BI201" s="418"/>
      <c r="BN201">
        <f>F201+G201+P201+U201+Z201+AE201+AJ201+AO201+AU201+BF201+BL201+BA201+L201+'ILUMINAÇÃO PUBLICA'!K201</f>
        <v>0</v>
      </c>
    </row>
    <row r="202" spans="1:66">
      <c r="A202" s="416">
        <v>3548</v>
      </c>
      <c r="B202" s="938" t="s">
        <v>124</v>
      </c>
      <c r="C202" s="405" t="s">
        <v>0</v>
      </c>
      <c r="D202" s="423"/>
      <c r="E202" s="418"/>
      <c r="F202" s="418"/>
      <c r="G202" s="418"/>
      <c r="H202" s="418"/>
      <c r="I202" s="418"/>
      <c r="J202" s="418"/>
      <c r="K202" s="418"/>
      <c r="L202" s="418"/>
      <c r="M202" s="418"/>
      <c r="N202" s="418"/>
      <c r="O202" s="418"/>
      <c r="P202" s="418"/>
      <c r="Q202" s="418"/>
      <c r="R202" s="418"/>
      <c r="S202" s="419"/>
      <c r="T202" s="418"/>
      <c r="U202" s="418"/>
      <c r="V202" s="418"/>
      <c r="W202" s="418"/>
      <c r="X202" s="418"/>
      <c r="Y202" s="418"/>
      <c r="Z202" s="418"/>
      <c r="AA202" s="418"/>
      <c r="AB202" s="418"/>
      <c r="AC202" s="418"/>
      <c r="AD202" s="418"/>
      <c r="AE202" s="418"/>
      <c r="AF202" s="418"/>
      <c r="AG202" s="418"/>
      <c r="AH202" s="418"/>
      <c r="AI202" s="418"/>
      <c r="AJ202" s="418"/>
      <c r="AK202" s="418"/>
      <c r="AL202" s="418"/>
      <c r="AM202" s="418"/>
      <c r="AN202" s="418"/>
      <c r="AO202" s="418"/>
      <c r="AP202" s="418"/>
      <c r="AQ202" s="418"/>
      <c r="AR202" s="418"/>
      <c r="AS202" s="419"/>
      <c r="AT202" s="418"/>
      <c r="AU202" s="418"/>
      <c r="AV202" s="418"/>
      <c r="AW202" s="418"/>
      <c r="AX202" s="418"/>
      <c r="AY202" s="419"/>
      <c r="AZ202" s="418"/>
      <c r="BA202" s="418"/>
      <c r="BB202" s="418"/>
      <c r="BC202" s="418"/>
      <c r="BD202" s="418"/>
      <c r="BE202" s="418"/>
      <c r="BF202" s="418"/>
      <c r="BG202" s="418"/>
      <c r="BH202" s="418"/>
      <c r="BI202" s="418"/>
      <c r="BN202">
        <f>F202+G202+P202+U202+Z202+AE202+AJ202+AO202+AU202+BF202+BL202+BA202+L202+'ILUMINAÇÃO PUBLICA'!K202</f>
        <v>0</v>
      </c>
    </row>
    <row r="203" spans="1:66">
      <c r="A203" s="416">
        <v>3549</v>
      </c>
      <c r="B203" s="938" t="s">
        <v>125</v>
      </c>
      <c r="C203" s="405" t="s">
        <v>0</v>
      </c>
      <c r="D203" s="423"/>
      <c r="E203" s="418"/>
      <c r="F203" s="418"/>
      <c r="G203" s="418"/>
      <c r="H203" s="418"/>
      <c r="I203" s="418"/>
      <c r="J203" s="418"/>
      <c r="K203" s="418"/>
      <c r="L203" s="418"/>
      <c r="M203" s="418"/>
      <c r="N203" s="418"/>
      <c r="O203" s="418" t="s">
        <v>1085</v>
      </c>
      <c r="P203" s="418">
        <f>SUM(P18:R18,P22:R22)*(2)</f>
        <v>0</v>
      </c>
      <c r="Q203" s="418"/>
      <c r="R203" s="418"/>
      <c r="S203" s="419"/>
      <c r="T203" s="418" t="s">
        <v>1085</v>
      </c>
      <c r="U203" s="418">
        <f>SUM(U18:W18,U22:W22)*(3)</f>
        <v>0</v>
      </c>
      <c r="V203" s="418"/>
      <c r="W203" s="418"/>
      <c r="X203" s="418"/>
      <c r="Y203" s="418" t="s">
        <v>1085</v>
      </c>
      <c r="Z203" s="418">
        <f>SUM(Z18:AB18,Z22:AB22)*(2)</f>
        <v>0</v>
      </c>
      <c r="AA203" s="418"/>
      <c r="AB203" s="418"/>
      <c r="AC203" s="418"/>
      <c r="AD203" s="418" t="s">
        <v>1085</v>
      </c>
      <c r="AE203" s="418">
        <f>SUM(AE18:AG18,AE22:AG22)*(2)</f>
        <v>0</v>
      </c>
      <c r="AF203" s="418"/>
      <c r="AG203" s="418"/>
      <c r="AH203" s="418"/>
      <c r="AI203" s="418" t="s">
        <v>1085</v>
      </c>
      <c r="AJ203" s="418">
        <f>SUM(AJ18:AL18,AJ22:AL22)*(2)</f>
        <v>0</v>
      </c>
      <c r="AK203" s="418"/>
      <c r="AL203" s="418"/>
      <c r="AM203" s="418"/>
      <c r="AN203" s="418" t="s">
        <v>1085</v>
      </c>
      <c r="AO203" s="418">
        <f>SUM(AO18:AR18,AO22:AR22)*(2)</f>
        <v>0</v>
      </c>
      <c r="AP203" s="418"/>
      <c r="AQ203" s="418"/>
      <c r="AR203" s="418"/>
      <c r="AS203" s="419"/>
      <c r="AT203" s="418" t="s">
        <v>1085</v>
      </c>
      <c r="AU203" s="418">
        <f>SUM(AU18:AX18,AU22:AX22)*(4)</f>
        <v>0</v>
      </c>
      <c r="AV203" s="418"/>
      <c r="AW203" s="418"/>
      <c r="AX203" s="418"/>
      <c r="AY203" s="419"/>
      <c r="AZ203" s="418" t="s">
        <v>1085</v>
      </c>
      <c r="BA203" s="418">
        <f>SUM(BA18:BC18,BA22:BC22)*(2)</f>
        <v>0</v>
      </c>
      <c r="BB203" s="418"/>
      <c r="BC203" s="418"/>
      <c r="BD203" s="418"/>
      <c r="BE203" s="418" t="s">
        <v>1085</v>
      </c>
      <c r="BF203" s="418">
        <f>SUM(BF18:BI18,BF22:BI22)*(3)</f>
        <v>0</v>
      </c>
      <c r="BG203" s="418"/>
      <c r="BH203" s="418"/>
      <c r="BI203" s="418"/>
      <c r="BN203">
        <f>F203+G203+P203+U203+Z203+AE203+AJ203+AO203+AU203+BF203+BL203+BA203+L203+'ILUMINAÇÃO PUBLICA'!K203</f>
        <v>0</v>
      </c>
    </row>
    <row r="204" spans="1:66">
      <c r="A204" s="416">
        <v>3550</v>
      </c>
      <c r="B204" s="938" t="s">
        <v>126</v>
      </c>
      <c r="C204" s="405" t="s">
        <v>0</v>
      </c>
      <c r="D204" s="423"/>
      <c r="E204" s="418"/>
      <c r="F204" s="418"/>
      <c r="G204" s="418"/>
      <c r="H204" s="418"/>
      <c r="I204" s="418"/>
      <c r="J204" s="418"/>
      <c r="K204" s="418"/>
      <c r="L204" s="418"/>
      <c r="M204" s="418"/>
      <c r="N204" s="418"/>
      <c r="O204" s="418" t="s">
        <v>1085</v>
      </c>
      <c r="P204" s="418">
        <f>SUM(P25:R25)*(2)</f>
        <v>0</v>
      </c>
      <c r="Q204" s="418"/>
      <c r="R204" s="418"/>
      <c r="S204" s="419"/>
      <c r="T204" s="418" t="s">
        <v>1085</v>
      </c>
      <c r="U204" s="418">
        <f>SUM(U25:W25)*(3)</f>
        <v>0</v>
      </c>
      <c r="V204" s="418"/>
      <c r="W204" s="418"/>
      <c r="X204" s="418"/>
      <c r="Y204" s="418" t="s">
        <v>1085</v>
      </c>
      <c r="Z204" s="418">
        <f>SUM(Z25:AB25)*(2)</f>
        <v>0</v>
      </c>
      <c r="AA204" s="418"/>
      <c r="AB204" s="418"/>
      <c r="AC204" s="418"/>
      <c r="AD204" s="418" t="s">
        <v>1085</v>
      </c>
      <c r="AE204" s="418">
        <f>SUM(AE25:AG25)*(2)</f>
        <v>0</v>
      </c>
      <c r="AF204" s="418"/>
      <c r="AG204" s="418"/>
      <c r="AH204" s="418"/>
      <c r="AI204" s="418" t="s">
        <v>1085</v>
      </c>
      <c r="AJ204" s="418">
        <f>SUM(AJ25:AL25)*(2)</f>
        <v>0</v>
      </c>
      <c r="AK204" s="418"/>
      <c r="AL204" s="418"/>
      <c r="AM204" s="418"/>
      <c r="AN204" s="418" t="s">
        <v>1085</v>
      </c>
      <c r="AO204" s="418">
        <f>SUM(AO25:AR25)*(2)</f>
        <v>0</v>
      </c>
      <c r="AP204" s="418"/>
      <c r="AQ204" s="418"/>
      <c r="AR204" s="418"/>
      <c r="AS204" s="419"/>
      <c r="AT204" s="418" t="s">
        <v>1085</v>
      </c>
      <c r="AU204" s="418">
        <f>SUM(AU25:AX25)*(4)</f>
        <v>0</v>
      </c>
      <c r="AV204" s="418"/>
      <c r="AW204" s="418"/>
      <c r="AX204" s="418"/>
      <c r="AY204" s="419"/>
      <c r="AZ204" s="418" t="s">
        <v>1085</v>
      </c>
      <c r="BA204" s="418">
        <f>SUM(BA25:BC25)*(2)</f>
        <v>0</v>
      </c>
      <c r="BB204" s="418"/>
      <c r="BC204" s="418"/>
      <c r="BD204" s="418"/>
      <c r="BE204" s="418" t="s">
        <v>1085</v>
      </c>
      <c r="BF204" s="418">
        <f>SUM(BF25:BI25)*(3)</f>
        <v>0</v>
      </c>
      <c r="BG204" s="418"/>
      <c r="BH204" s="418"/>
      <c r="BI204" s="418"/>
      <c r="BN204">
        <f>F204+G204+P204+U204+Z204+AE204+AJ204+AO204+AU204+BF204+BL204+BA204+L204+'ILUMINAÇÃO PUBLICA'!K204</f>
        <v>0</v>
      </c>
    </row>
    <row r="205" spans="1:66">
      <c r="A205" s="416">
        <v>3551</v>
      </c>
      <c r="B205" s="938" t="s">
        <v>127</v>
      </c>
      <c r="C205" s="405" t="s">
        <v>0</v>
      </c>
      <c r="D205" s="423"/>
      <c r="E205" s="418"/>
      <c r="F205" s="418"/>
      <c r="G205" s="418"/>
      <c r="H205" s="418"/>
      <c r="I205" s="418"/>
      <c r="J205" s="418"/>
      <c r="K205" s="418"/>
      <c r="L205" s="418"/>
      <c r="M205" s="418"/>
      <c r="N205" s="418"/>
      <c r="O205" s="418"/>
      <c r="P205" s="418"/>
      <c r="Q205" s="418"/>
      <c r="R205" s="418"/>
      <c r="S205" s="419"/>
      <c r="T205" s="418"/>
      <c r="U205" s="418"/>
      <c r="V205" s="418"/>
      <c r="W205" s="418"/>
      <c r="X205" s="418"/>
      <c r="Y205" s="418"/>
      <c r="Z205" s="418"/>
      <c r="AA205" s="418"/>
      <c r="AB205" s="418"/>
      <c r="AC205" s="418"/>
      <c r="AD205" s="418"/>
      <c r="AE205" s="418"/>
      <c r="AF205" s="418"/>
      <c r="AG205" s="418"/>
      <c r="AH205" s="418"/>
      <c r="AI205" s="418"/>
      <c r="AJ205" s="418"/>
      <c r="AK205" s="418"/>
      <c r="AL205" s="418"/>
      <c r="AM205" s="418"/>
      <c r="AN205" s="418"/>
      <c r="AO205" s="418"/>
      <c r="AP205" s="418"/>
      <c r="AQ205" s="418"/>
      <c r="AR205" s="418"/>
      <c r="AS205" s="419"/>
      <c r="AT205" s="418"/>
      <c r="AU205" s="418"/>
      <c r="AV205" s="418"/>
      <c r="AW205" s="418"/>
      <c r="AX205" s="418"/>
      <c r="AY205" s="419"/>
      <c r="AZ205" s="418"/>
      <c r="BA205" s="418"/>
      <c r="BB205" s="418"/>
      <c r="BC205" s="418"/>
      <c r="BD205" s="418"/>
      <c r="BE205" s="418"/>
      <c r="BF205" s="418"/>
      <c r="BG205" s="418"/>
      <c r="BH205" s="418"/>
      <c r="BI205" s="418"/>
      <c r="BN205">
        <f>F205+G205+P205+U205+Z205+AE205+AJ205+AO205+AU205+BF205+BL205+BA205+L205+'ILUMINAÇÃO PUBLICA'!K205</f>
        <v>0</v>
      </c>
    </row>
    <row r="206" spans="1:66">
      <c r="A206" s="416">
        <v>3552</v>
      </c>
      <c r="B206" s="938" t="s">
        <v>211</v>
      </c>
      <c r="C206" s="405" t="s">
        <v>0</v>
      </c>
      <c r="D206" s="423"/>
      <c r="E206" s="418"/>
      <c r="F206" s="418"/>
      <c r="G206" s="418"/>
      <c r="H206" s="418"/>
      <c r="I206" s="418"/>
      <c r="J206" s="418"/>
      <c r="K206" s="418"/>
      <c r="L206" s="418"/>
      <c r="M206" s="418"/>
      <c r="N206" s="418"/>
      <c r="O206" s="418"/>
      <c r="P206" s="418"/>
      <c r="Q206" s="418"/>
      <c r="R206" s="418"/>
      <c r="S206" s="419"/>
      <c r="T206" s="418"/>
      <c r="U206" s="418"/>
      <c r="V206" s="418"/>
      <c r="W206" s="418"/>
      <c r="X206" s="418"/>
      <c r="Y206" s="418"/>
      <c r="Z206" s="418"/>
      <c r="AA206" s="418"/>
      <c r="AB206" s="418"/>
      <c r="AC206" s="418"/>
      <c r="AD206" s="418"/>
      <c r="AE206" s="418"/>
      <c r="AF206" s="418"/>
      <c r="AG206" s="418"/>
      <c r="AH206" s="418"/>
      <c r="AI206" s="418"/>
      <c r="AJ206" s="418"/>
      <c r="AK206" s="418"/>
      <c r="AL206" s="418"/>
      <c r="AM206" s="418"/>
      <c r="AN206" s="418"/>
      <c r="AO206" s="418"/>
      <c r="AP206" s="418"/>
      <c r="AQ206" s="418"/>
      <c r="AR206" s="418"/>
      <c r="AS206" s="419"/>
      <c r="AT206" s="418"/>
      <c r="AU206" s="418"/>
      <c r="AV206" s="418"/>
      <c r="AW206" s="418"/>
      <c r="AX206" s="418"/>
      <c r="AY206" s="419"/>
      <c r="AZ206" s="418"/>
      <c r="BA206" s="418"/>
      <c r="BB206" s="418"/>
      <c r="BC206" s="418"/>
      <c r="BD206" s="418"/>
      <c r="BE206" s="418"/>
      <c r="BF206" s="418"/>
      <c r="BG206" s="418"/>
      <c r="BH206" s="418"/>
      <c r="BI206" s="418"/>
      <c r="BN206">
        <f>F206+G206+P206+U206+Z206+AE206+AJ206+AO206+AU206+BF206+BL206+BA206+L206+'ILUMINAÇÃO PUBLICA'!K206</f>
        <v>0</v>
      </c>
    </row>
    <row r="207" spans="1:66">
      <c r="A207" s="333"/>
      <c r="B207" s="939" t="s">
        <v>1020</v>
      </c>
      <c r="C207" s="405" t="s">
        <v>0</v>
      </c>
      <c r="D207" s="423"/>
      <c r="E207" s="333"/>
      <c r="F207" s="333"/>
      <c r="G207" s="333"/>
      <c r="H207" s="333"/>
      <c r="I207" s="333"/>
      <c r="J207" s="333"/>
      <c r="K207" s="333"/>
      <c r="L207" s="333"/>
      <c r="M207" s="333"/>
      <c r="N207" s="333"/>
      <c r="O207" s="418" t="s">
        <v>1085</v>
      </c>
      <c r="P207" s="418">
        <f>SUM(P26:R26)*(2)</f>
        <v>0</v>
      </c>
      <c r="Q207" s="333"/>
      <c r="R207" s="333"/>
      <c r="T207" s="418" t="s">
        <v>1085</v>
      </c>
      <c r="U207" s="418">
        <f>SUM(U26:W26)*(3)</f>
        <v>0</v>
      </c>
      <c r="V207" s="333"/>
      <c r="W207" s="333"/>
      <c r="X207" s="333"/>
      <c r="Y207" s="418" t="s">
        <v>1085</v>
      </c>
      <c r="Z207" s="418">
        <f>SUM(Z26:AB26)*(2)</f>
        <v>0</v>
      </c>
      <c r="AA207" s="333"/>
      <c r="AB207" s="333"/>
      <c r="AC207" s="333"/>
      <c r="AD207" s="418" t="s">
        <v>1085</v>
      </c>
      <c r="AE207" s="418">
        <f>SUM(AE26:AG26)*(2)</f>
        <v>0</v>
      </c>
      <c r="AF207" s="333"/>
      <c r="AG207" s="333"/>
      <c r="AH207" s="333"/>
      <c r="AI207" s="418" t="s">
        <v>1085</v>
      </c>
      <c r="AJ207" s="418">
        <f>SUM(AJ26:AL26)*(2)</f>
        <v>0</v>
      </c>
      <c r="AK207" s="333"/>
      <c r="AL207" s="333"/>
      <c r="AM207" s="333"/>
      <c r="AN207" s="418" t="s">
        <v>1085</v>
      </c>
      <c r="AO207" s="418">
        <f>SUM(AO26:AR26)*(2)</f>
        <v>0</v>
      </c>
      <c r="AP207" s="418"/>
      <c r="AQ207" s="333"/>
      <c r="AR207" s="333"/>
      <c r="AT207" s="418" t="s">
        <v>1085</v>
      </c>
      <c r="AU207" s="418">
        <f>SUM(AU26:AX26)*(4)</f>
        <v>0</v>
      </c>
      <c r="AV207" s="418"/>
      <c r="AW207" s="333"/>
      <c r="AX207" s="333"/>
      <c r="AZ207" s="418" t="s">
        <v>1085</v>
      </c>
      <c r="BA207" s="418">
        <f>SUM(BA26:BC26)*(2)</f>
        <v>0</v>
      </c>
      <c r="BB207" s="333"/>
      <c r="BC207" s="333"/>
      <c r="BD207" s="333"/>
      <c r="BE207" s="418" t="s">
        <v>1085</v>
      </c>
      <c r="BF207" s="418">
        <f>SUM(BF26:BI26)*(3)</f>
        <v>0</v>
      </c>
      <c r="BG207" s="418"/>
      <c r="BH207" s="333"/>
      <c r="BI207" s="333"/>
      <c r="BN207">
        <f>F207+G207+P207+U207+Z207+AE207+AJ207+AO207+AU207+BF207+BL207+BA207+L207+'ILUMINAÇÃO PUBLICA'!K207</f>
        <v>0</v>
      </c>
    </row>
    <row r="208" spans="1:66">
      <c r="A208" s="333"/>
      <c r="B208" s="417" t="s">
        <v>1255</v>
      </c>
      <c r="C208" s="400" t="s">
        <v>0</v>
      </c>
      <c r="D208" s="423"/>
      <c r="E208" s="333"/>
      <c r="F208" s="333"/>
      <c r="G208" s="333"/>
      <c r="H208" s="333"/>
      <c r="I208" s="333"/>
      <c r="J208" s="333"/>
      <c r="K208" s="333"/>
      <c r="L208" s="333"/>
      <c r="M208" s="333"/>
      <c r="N208" s="333"/>
      <c r="O208" s="418"/>
      <c r="P208" s="418"/>
      <c r="Q208" s="333"/>
      <c r="R208" s="333"/>
      <c r="T208" s="418"/>
      <c r="U208" s="418"/>
      <c r="V208" s="333"/>
      <c r="W208" s="333"/>
      <c r="X208" s="333"/>
      <c r="Y208" s="418"/>
      <c r="Z208" s="418"/>
      <c r="AA208" s="333"/>
      <c r="AB208" s="333"/>
      <c r="AC208" s="333"/>
      <c r="AD208" s="418"/>
      <c r="AE208" s="418"/>
      <c r="AF208" s="333"/>
      <c r="AG208" s="333"/>
      <c r="AH208" s="333"/>
      <c r="AI208" s="418"/>
      <c r="AJ208" s="418"/>
      <c r="AK208" s="333"/>
      <c r="AL208" s="333"/>
      <c r="AM208" s="333"/>
      <c r="AN208" s="418"/>
      <c r="AO208" s="418"/>
      <c r="AP208" s="418"/>
      <c r="AQ208" s="333"/>
      <c r="AR208" s="333"/>
      <c r="AT208" s="418"/>
      <c r="AU208" s="418"/>
      <c r="AV208" s="418"/>
      <c r="AW208" s="333"/>
      <c r="AX208" s="333"/>
      <c r="AZ208" s="418"/>
      <c r="BA208" s="418"/>
      <c r="BB208" s="333"/>
      <c r="BC208" s="333"/>
      <c r="BD208" s="333"/>
      <c r="BE208" s="418"/>
      <c r="BF208" s="418"/>
      <c r="BG208" s="418"/>
      <c r="BH208" s="333"/>
      <c r="BI208" s="333"/>
      <c r="BN208">
        <f>F208+G208+P208+U208+Z208+AE208+AJ208+AO208+AU208+BF208+BL208+BA208+L208+'ILUMINAÇÃO PUBLICA'!K208</f>
        <v>0</v>
      </c>
    </row>
    <row r="209" spans="1:66">
      <c r="A209" s="333"/>
      <c r="B209" s="417" t="s">
        <v>1256</v>
      </c>
      <c r="C209" s="400" t="s">
        <v>0</v>
      </c>
      <c r="D209" s="423"/>
      <c r="E209" s="333"/>
      <c r="F209" s="333"/>
      <c r="G209" s="333"/>
      <c r="H209" s="333"/>
      <c r="I209" s="333"/>
      <c r="J209" s="333"/>
      <c r="K209" s="333"/>
      <c r="L209" s="333"/>
      <c r="M209" s="333"/>
      <c r="N209" s="333"/>
      <c r="O209" s="418"/>
      <c r="P209" s="418"/>
      <c r="Q209" s="333"/>
      <c r="R209" s="333"/>
      <c r="T209" s="418"/>
      <c r="U209" s="418"/>
      <c r="V209" s="333"/>
      <c r="W209" s="333"/>
      <c r="X209" s="333"/>
      <c r="Y209" s="418"/>
      <c r="Z209" s="418"/>
      <c r="AA209" s="333"/>
      <c r="AB209" s="333"/>
      <c r="AC209" s="333"/>
      <c r="AD209" s="418"/>
      <c r="AE209" s="418"/>
      <c r="AF209" s="333"/>
      <c r="AG209" s="333"/>
      <c r="AH209" s="333"/>
      <c r="AI209" s="418"/>
      <c r="AJ209" s="418"/>
      <c r="AK209" s="333"/>
      <c r="AL209" s="333"/>
      <c r="AM209" s="333"/>
      <c r="AN209" s="418"/>
      <c r="AO209" s="418"/>
      <c r="AP209" s="418"/>
      <c r="AQ209" s="333"/>
      <c r="AR209" s="333"/>
      <c r="AT209" s="418"/>
      <c r="AU209" s="418"/>
      <c r="AV209" s="418"/>
      <c r="AW209" s="333"/>
      <c r="AX209" s="333"/>
      <c r="AZ209" s="418"/>
      <c r="BA209" s="418"/>
      <c r="BB209" s="333"/>
      <c r="BC209" s="333"/>
      <c r="BD209" s="333"/>
      <c r="BE209" s="418"/>
      <c r="BF209" s="418"/>
      <c r="BG209" s="418"/>
      <c r="BH209" s="333"/>
      <c r="BI209" s="333"/>
      <c r="BN209">
        <f>F209+G209+P209+U209+Z209+AE209+AJ209+AO209+AU209+BF209+BL209+BA209+L209+'ILUMINAÇÃO PUBLICA'!K209</f>
        <v>0</v>
      </c>
    </row>
    <row r="210" spans="1:66">
      <c r="A210" s="333"/>
      <c r="B210" s="417" t="s">
        <v>1257</v>
      </c>
      <c r="C210" s="400" t="s">
        <v>0</v>
      </c>
      <c r="D210" s="423"/>
      <c r="E210" s="333"/>
      <c r="F210" s="333"/>
      <c r="G210" s="333"/>
      <c r="H210" s="333"/>
      <c r="I210" s="333"/>
      <c r="J210" s="333"/>
      <c r="K210" s="333"/>
      <c r="L210" s="333"/>
      <c r="M210" s="333"/>
      <c r="N210" s="333"/>
      <c r="O210" s="418"/>
      <c r="P210" s="418"/>
      <c r="Q210" s="333"/>
      <c r="R210" s="333"/>
      <c r="T210" s="418"/>
      <c r="U210" s="418"/>
      <c r="V210" s="333"/>
      <c r="W210" s="333"/>
      <c r="X210" s="333"/>
      <c r="Y210" s="418"/>
      <c r="Z210" s="418"/>
      <c r="AA210" s="333"/>
      <c r="AB210" s="333"/>
      <c r="AC210" s="333"/>
      <c r="AD210" s="418"/>
      <c r="AE210" s="418"/>
      <c r="AF210" s="333"/>
      <c r="AG210" s="333"/>
      <c r="AH210" s="333"/>
      <c r="AI210" s="418"/>
      <c r="AJ210" s="418"/>
      <c r="AK210" s="333"/>
      <c r="AL210" s="333"/>
      <c r="AM210" s="333"/>
      <c r="AN210" s="418"/>
      <c r="AO210" s="418"/>
      <c r="AP210" s="418"/>
      <c r="AQ210" s="333"/>
      <c r="AR210" s="333"/>
      <c r="AT210" s="418"/>
      <c r="AU210" s="418"/>
      <c r="AV210" s="418"/>
      <c r="AW210" s="333"/>
      <c r="AX210" s="333"/>
      <c r="AZ210" s="418"/>
      <c r="BA210" s="418"/>
      <c r="BB210" s="333"/>
      <c r="BC210" s="333"/>
      <c r="BD210" s="333"/>
      <c r="BE210" s="418"/>
      <c r="BF210" s="418"/>
      <c r="BG210" s="418"/>
      <c r="BH210" s="333"/>
      <c r="BI210" s="333"/>
      <c r="BN210">
        <f>F210+G210+P210+U210+Z210+AE210+AJ210+AO210+AU210+BF210+BL210+BA210+L210+'ILUMINAÇÃO PUBLICA'!K210</f>
        <v>0</v>
      </c>
    </row>
    <row r="211" spans="1:66">
      <c r="A211" s="333"/>
      <c r="B211" s="417" t="s">
        <v>1258</v>
      </c>
      <c r="C211" s="400" t="s">
        <v>0</v>
      </c>
      <c r="D211" s="423"/>
      <c r="E211" s="333"/>
      <c r="F211" s="333"/>
      <c r="G211" s="333"/>
      <c r="H211" s="333"/>
      <c r="I211" s="333"/>
      <c r="J211" s="333"/>
      <c r="K211" s="333"/>
      <c r="L211" s="333"/>
      <c r="M211" s="333"/>
      <c r="N211" s="333"/>
      <c r="O211" s="418"/>
      <c r="P211" s="418"/>
      <c r="Q211" s="333"/>
      <c r="R211" s="333"/>
      <c r="T211" s="418"/>
      <c r="U211" s="418"/>
      <c r="V211" s="333"/>
      <c r="W211" s="333"/>
      <c r="X211" s="333"/>
      <c r="Y211" s="418"/>
      <c r="Z211" s="418"/>
      <c r="AA211" s="333"/>
      <c r="AB211" s="333"/>
      <c r="AC211" s="333"/>
      <c r="AD211" s="418"/>
      <c r="AE211" s="418"/>
      <c r="AF211" s="333"/>
      <c r="AG211" s="333"/>
      <c r="AH211" s="333"/>
      <c r="AI211" s="418"/>
      <c r="AJ211" s="418"/>
      <c r="AK211" s="333"/>
      <c r="AL211" s="333"/>
      <c r="AM211" s="333"/>
      <c r="AN211" s="418"/>
      <c r="AO211" s="418"/>
      <c r="AP211" s="418"/>
      <c r="AQ211" s="333"/>
      <c r="AR211" s="333"/>
      <c r="AT211" s="418"/>
      <c r="AU211" s="418"/>
      <c r="AV211" s="418"/>
      <c r="AW211" s="333"/>
      <c r="AX211" s="333"/>
      <c r="AZ211" s="418"/>
      <c r="BA211" s="418"/>
      <c r="BB211" s="333"/>
      <c r="BC211" s="333"/>
      <c r="BD211" s="333"/>
      <c r="BE211" s="418"/>
      <c r="BF211" s="418"/>
      <c r="BG211" s="418"/>
      <c r="BH211" s="333"/>
      <c r="BI211" s="333"/>
      <c r="BN211">
        <f>F211+G211+P211+U211+Z211+AE211+AJ211+AO211+AU211+BF211+BL211+BA211+L211+'ILUMINAÇÃO PUBLICA'!K211</f>
        <v>0</v>
      </c>
    </row>
    <row r="212" spans="1:66">
      <c r="A212" s="333"/>
      <c r="B212" s="417" t="s">
        <v>1259</v>
      </c>
      <c r="C212" s="400" t="s">
        <v>0</v>
      </c>
      <c r="D212" s="423"/>
      <c r="E212" s="333"/>
      <c r="F212" s="333"/>
      <c r="G212" s="333"/>
      <c r="H212" s="333"/>
      <c r="I212" s="333"/>
      <c r="J212" s="333"/>
      <c r="K212" s="333"/>
      <c r="L212" s="333"/>
      <c r="M212" s="333"/>
      <c r="N212" s="333"/>
      <c r="O212" s="418"/>
      <c r="P212" s="418"/>
      <c r="Q212" s="333"/>
      <c r="R212" s="333"/>
      <c r="T212" s="418"/>
      <c r="U212" s="418"/>
      <c r="V212" s="333"/>
      <c r="W212" s="333"/>
      <c r="X212" s="333"/>
      <c r="Y212" s="418"/>
      <c r="Z212" s="418"/>
      <c r="AA212" s="333"/>
      <c r="AB212" s="333"/>
      <c r="AC212" s="333"/>
      <c r="AD212" s="418"/>
      <c r="AE212" s="418"/>
      <c r="AF212" s="333"/>
      <c r="AG212" s="333"/>
      <c r="AH212" s="333"/>
      <c r="AI212" s="418"/>
      <c r="AJ212" s="418"/>
      <c r="AK212" s="333"/>
      <c r="AL212" s="333"/>
      <c r="AM212" s="333"/>
      <c r="AN212" s="418"/>
      <c r="AO212" s="418"/>
      <c r="AP212" s="418"/>
      <c r="AQ212" s="333"/>
      <c r="AR212" s="333"/>
      <c r="AT212" s="418"/>
      <c r="AU212" s="418"/>
      <c r="AV212" s="418"/>
      <c r="AW212" s="333"/>
      <c r="AX212" s="333"/>
      <c r="AZ212" s="418"/>
      <c r="BA212" s="418"/>
      <c r="BB212" s="333"/>
      <c r="BC212" s="333"/>
      <c r="BD212" s="333"/>
      <c r="BE212" s="418"/>
      <c r="BF212" s="418"/>
      <c r="BG212" s="418"/>
      <c r="BH212" s="333"/>
      <c r="BI212" s="333"/>
      <c r="BN212">
        <f>F212+G212+P212+U212+Z212+AE212+AJ212+AO212+AU212+BF212+BL212+BA212+L212+'ILUMINAÇÃO PUBLICA'!K212</f>
        <v>0</v>
      </c>
    </row>
    <row r="213" spans="1:66">
      <c r="A213" s="333"/>
      <c r="B213" s="417" t="s">
        <v>1260</v>
      </c>
      <c r="C213" s="400" t="s">
        <v>0</v>
      </c>
      <c r="D213" s="423"/>
      <c r="E213" s="333"/>
      <c r="F213" s="333"/>
      <c r="G213" s="333"/>
      <c r="H213" s="333"/>
      <c r="I213" s="333"/>
      <c r="J213" s="333"/>
      <c r="K213" s="333"/>
      <c r="L213" s="333"/>
      <c r="M213" s="333"/>
      <c r="N213" s="333"/>
      <c r="O213" s="418"/>
      <c r="P213" s="418"/>
      <c r="Q213" s="333"/>
      <c r="R213" s="333"/>
      <c r="T213" s="418"/>
      <c r="U213" s="418"/>
      <c r="V213" s="333"/>
      <c r="W213" s="333"/>
      <c r="X213" s="333"/>
      <c r="Y213" s="418"/>
      <c r="Z213" s="418"/>
      <c r="AA213" s="333"/>
      <c r="AB213" s="333"/>
      <c r="AC213" s="333"/>
      <c r="AD213" s="418"/>
      <c r="AE213" s="418"/>
      <c r="AF213" s="333"/>
      <c r="AG213" s="333"/>
      <c r="AH213" s="333"/>
      <c r="AI213" s="418"/>
      <c r="AJ213" s="418"/>
      <c r="AK213" s="333"/>
      <c r="AL213" s="333"/>
      <c r="AM213" s="333"/>
      <c r="AN213" s="418"/>
      <c r="AO213" s="418"/>
      <c r="AP213" s="418"/>
      <c r="AQ213" s="333"/>
      <c r="AR213" s="333"/>
      <c r="AT213" s="418"/>
      <c r="AU213" s="418"/>
      <c r="AV213" s="418"/>
      <c r="AW213" s="333"/>
      <c r="AX213" s="333"/>
      <c r="AZ213" s="418"/>
      <c r="BA213" s="418"/>
      <c r="BB213" s="333"/>
      <c r="BC213" s="333"/>
      <c r="BD213" s="333"/>
      <c r="BE213" s="418"/>
      <c r="BF213" s="418"/>
      <c r="BG213" s="418"/>
      <c r="BH213" s="333"/>
      <c r="BI213" s="333"/>
      <c r="BN213">
        <f>F213+G213+P213+U213+Z213+AE213+AJ213+AO213+AU213+BF213+BL213+BA213+L213+'ILUMINAÇÃO PUBLICA'!K213</f>
        <v>0</v>
      </c>
    </row>
    <row r="214" spans="1:66">
      <c r="A214" s="333"/>
      <c r="B214" s="417" t="s">
        <v>1261</v>
      </c>
      <c r="C214" s="400" t="s">
        <v>0</v>
      </c>
      <c r="D214" s="423"/>
      <c r="E214" s="333"/>
      <c r="F214" s="333"/>
      <c r="G214" s="333"/>
      <c r="H214" s="333"/>
      <c r="I214" s="333"/>
      <c r="J214" s="333"/>
      <c r="K214" s="333"/>
      <c r="L214" s="333"/>
      <c r="M214" s="333"/>
      <c r="N214" s="333"/>
      <c r="O214" s="418"/>
      <c r="P214" s="418"/>
      <c r="Q214" s="333"/>
      <c r="R214" s="333"/>
      <c r="T214" s="418"/>
      <c r="U214" s="418"/>
      <c r="V214" s="333"/>
      <c r="W214" s="333"/>
      <c r="X214" s="333"/>
      <c r="Y214" s="418"/>
      <c r="Z214" s="418"/>
      <c r="AA214" s="333"/>
      <c r="AB214" s="333"/>
      <c r="AC214" s="333"/>
      <c r="AD214" s="418"/>
      <c r="AE214" s="418"/>
      <c r="AF214" s="333"/>
      <c r="AG214" s="333"/>
      <c r="AH214" s="333"/>
      <c r="AI214" s="418"/>
      <c r="AJ214" s="418"/>
      <c r="AK214" s="333"/>
      <c r="AL214" s="333"/>
      <c r="AM214" s="333"/>
      <c r="AN214" s="418"/>
      <c r="AO214" s="418"/>
      <c r="AP214" s="418"/>
      <c r="AQ214" s="333"/>
      <c r="AR214" s="333"/>
      <c r="AT214" s="418"/>
      <c r="AU214" s="418"/>
      <c r="AV214" s="418"/>
      <c r="AW214" s="333"/>
      <c r="AX214" s="333"/>
      <c r="AZ214" s="418"/>
      <c r="BA214" s="418"/>
      <c r="BB214" s="333"/>
      <c r="BC214" s="333"/>
      <c r="BD214" s="333"/>
      <c r="BE214" s="418"/>
      <c r="BF214" s="418"/>
      <c r="BG214" s="418"/>
      <c r="BH214" s="333"/>
      <c r="BI214" s="333"/>
      <c r="BN214">
        <f>F214+G214+P214+U214+Z214+AE214+AJ214+AO214+AU214+BF214+BL214+BA214+L214+'ILUMINAÇÃO PUBLICA'!K214</f>
        <v>0</v>
      </c>
    </row>
    <row r="215" spans="1:66">
      <c r="A215" s="333"/>
      <c r="B215" s="417" t="s">
        <v>1262</v>
      </c>
      <c r="C215" s="400" t="s">
        <v>0</v>
      </c>
      <c r="D215" s="423"/>
      <c r="E215" s="333"/>
      <c r="F215" s="333"/>
      <c r="G215" s="333"/>
      <c r="H215" s="333"/>
      <c r="I215" s="333"/>
      <c r="J215" s="333"/>
      <c r="K215" s="333"/>
      <c r="L215" s="333"/>
      <c r="M215" s="333"/>
      <c r="N215" s="333"/>
      <c r="O215" s="418"/>
      <c r="P215" s="418"/>
      <c r="Q215" s="333"/>
      <c r="R215" s="333"/>
      <c r="T215" s="418"/>
      <c r="U215" s="418"/>
      <c r="V215" s="333"/>
      <c r="W215" s="333"/>
      <c r="X215" s="333"/>
      <c r="Y215" s="418"/>
      <c r="Z215" s="418"/>
      <c r="AA215" s="333"/>
      <c r="AB215" s="333"/>
      <c r="AC215" s="333"/>
      <c r="AD215" s="418"/>
      <c r="AE215" s="418"/>
      <c r="AF215" s="333"/>
      <c r="AG215" s="333"/>
      <c r="AH215" s="333"/>
      <c r="AI215" s="418"/>
      <c r="AJ215" s="418"/>
      <c r="AK215" s="333"/>
      <c r="AL215" s="333"/>
      <c r="AM215" s="333"/>
      <c r="AN215" s="418"/>
      <c r="AO215" s="418"/>
      <c r="AP215" s="418"/>
      <c r="AQ215" s="333"/>
      <c r="AR215" s="333"/>
      <c r="AT215" s="418"/>
      <c r="AU215" s="418"/>
      <c r="AV215" s="418"/>
      <c r="AW215" s="333"/>
      <c r="AX215" s="333"/>
      <c r="AZ215" s="418"/>
      <c r="BA215" s="418"/>
      <c r="BB215" s="333"/>
      <c r="BC215" s="333"/>
      <c r="BD215" s="333"/>
      <c r="BE215" s="418"/>
      <c r="BF215" s="418"/>
      <c r="BG215" s="418"/>
      <c r="BH215" s="333"/>
      <c r="BI215" s="333"/>
      <c r="BN215">
        <f>F215+G215+P215+U215+Z215+AE215+AJ215+AO215+AU215+BF215+BL215+BA215+L215+'ILUMINAÇÃO PUBLICA'!K215</f>
        <v>0</v>
      </c>
    </row>
    <row r="216" spans="1:66">
      <c r="A216" s="333"/>
      <c r="B216" s="417" t="s">
        <v>1263</v>
      </c>
      <c r="C216" s="400" t="s">
        <v>0</v>
      </c>
      <c r="D216" s="423"/>
      <c r="E216" s="333"/>
      <c r="F216" s="333"/>
      <c r="G216" s="333"/>
      <c r="H216" s="333"/>
      <c r="I216" s="333"/>
      <c r="J216" s="333"/>
      <c r="K216" s="333"/>
      <c r="L216" s="333"/>
      <c r="M216" s="333"/>
      <c r="N216" s="333"/>
      <c r="O216" s="418"/>
      <c r="P216" s="418"/>
      <c r="Q216" s="333"/>
      <c r="R216" s="333"/>
      <c r="T216" s="418"/>
      <c r="U216" s="418"/>
      <c r="V216" s="333"/>
      <c r="W216" s="333"/>
      <c r="X216" s="333"/>
      <c r="Y216" s="418"/>
      <c r="Z216" s="418"/>
      <c r="AA216" s="333"/>
      <c r="AB216" s="333"/>
      <c r="AC216" s="333"/>
      <c r="AD216" s="418"/>
      <c r="AE216" s="418"/>
      <c r="AF216" s="333"/>
      <c r="AG216" s="333"/>
      <c r="AH216" s="333"/>
      <c r="AI216" s="418"/>
      <c r="AJ216" s="418"/>
      <c r="AK216" s="333"/>
      <c r="AL216" s="333"/>
      <c r="AM216" s="333"/>
      <c r="AN216" s="418"/>
      <c r="AO216" s="418"/>
      <c r="AP216" s="418"/>
      <c r="AQ216" s="333"/>
      <c r="AR216" s="333"/>
      <c r="AT216" s="418"/>
      <c r="AU216" s="418"/>
      <c r="AV216" s="418"/>
      <c r="AW216" s="333"/>
      <c r="AX216" s="333"/>
      <c r="AZ216" s="418"/>
      <c r="BA216" s="418"/>
      <c r="BB216" s="333"/>
      <c r="BC216" s="333"/>
      <c r="BD216" s="333"/>
      <c r="BE216" s="418"/>
      <c r="BF216" s="418"/>
      <c r="BG216" s="418"/>
      <c r="BH216" s="333"/>
      <c r="BI216" s="333"/>
      <c r="BN216">
        <f>F216+G216+P216+U216+Z216+AE216+AJ216+AO216+AU216+BF216+BL216+BA216+L216+'ILUMINAÇÃO PUBLICA'!K216</f>
        <v>0</v>
      </c>
    </row>
    <row r="217" spans="1:66">
      <c r="A217" s="333"/>
      <c r="B217" s="407" t="s">
        <v>1590</v>
      </c>
      <c r="C217" s="400" t="s">
        <v>0</v>
      </c>
      <c r="D217" s="423"/>
      <c r="E217" s="333"/>
      <c r="F217" s="333"/>
      <c r="G217" s="333"/>
      <c r="H217" s="333"/>
      <c r="I217" s="333"/>
      <c r="J217" s="333"/>
      <c r="K217" s="333"/>
      <c r="L217" s="333"/>
      <c r="M217" s="333"/>
      <c r="N217" s="333"/>
      <c r="O217" s="418"/>
      <c r="P217" s="418"/>
      <c r="Q217" s="333"/>
      <c r="R217" s="333"/>
      <c r="T217" s="418"/>
      <c r="U217" s="418"/>
      <c r="V217" s="333"/>
      <c r="W217" s="333"/>
      <c r="X217" s="333"/>
      <c r="Y217" s="418"/>
      <c r="Z217" s="418"/>
      <c r="AA217" s="333"/>
      <c r="AB217" s="333"/>
      <c r="AC217" s="333"/>
      <c r="AD217" s="418"/>
      <c r="AE217" s="418"/>
      <c r="AF217" s="333"/>
      <c r="AG217" s="333"/>
      <c r="AH217" s="333"/>
      <c r="AI217" s="418"/>
      <c r="AJ217" s="418"/>
      <c r="AK217" s="333"/>
      <c r="AL217" s="333"/>
      <c r="AM217" s="333"/>
      <c r="AN217" s="418"/>
      <c r="AO217" s="418"/>
      <c r="AP217" s="418"/>
      <c r="AQ217" s="333"/>
      <c r="AR217" s="333"/>
      <c r="AT217" s="418"/>
      <c r="AU217" s="418"/>
      <c r="AV217" s="418"/>
      <c r="AW217" s="333"/>
      <c r="AX217" s="333"/>
      <c r="AZ217" s="418"/>
      <c r="BA217" s="418"/>
      <c r="BB217" s="333"/>
      <c r="BC217" s="333"/>
      <c r="BD217" s="333"/>
      <c r="BE217" s="418"/>
      <c r="BF217" s="418"/>
      <c r="BG217" s="418"/>
      <c r="BH217" s="333"/>
      <c r="BI217" s="333"/>
      <c r="BN217">
        <f>F217+G217+P217+U217+Z217+AE217+AJ217+AO217+AU217+BF217+BL217+BA217+L217+'ILUMINAÇÃO PUBLICA'!K217</f>
        <v>0</v>
      </c>
    </row>
    <row r="218" spans="1:66">
      <c r="A218" s="333"/>
      <c r="B218" s="407" t="s">
        <v>1591</v>
      </c>
      <c r="C218" s="456" t="s">
        <v>574</v>
      </c>
      <c r="D218" s="423"/>
      <c r="E218" s="333"/>
      <c r="F218" s="333"/>
      <c r="G218" s="333"/>
      <c r="H218" s="333"/>
      <c r="I218" s="333"/>
      <c r="J218" s="333"/>
      <c r="K218" s="333"/>
      <c r="L218" s="333"/>
      <c r="M218" s="333"/>
      <c r="N218" s="333"/>
      <c r="O218" s="418"/>
      <c r="P218" s="418"/>
      <c r="Q218" s="333"/>
      <c r="R218" s="333"/>
      <c r="T218" s="418"/>
      <c r="U218" s="418"/>
      <c r="V218" s="333"/>
      <c r="W218" s="333"/>
      <c r="X218" s="333"/>
      <c r="Y218" s="418"/>
      <c r="Z218" s="418"/>
      <c r="AA218" s="333"/>
      <c r="AB218" s="333"/>
      <c r="AC218" s="333"/>
      <c r="AD218" s="418"/>
      <c r="AE218" s="418"/>
      <c r="AF218" s="333"/>
      <c r="AG218" s="333"/>
      <c r="AH218" s="333"/>
      <c r="AI218" s="418"/>
      <c r="AJ218" s="418"/>
      <c r="AK218" s="333"/>
      <c r="AL218" s="333"/>
      <c r="AM218" s="333"/>
      <c r="AN218" s="418"/>
      <c r="AO218" s="418"/>
      <c r="AP218" s="418"/>
      <c r="AQ218" s="333"/>
      <c r="AR218" s="333"/>
      <c r="AT218" s="418"/>
      <c r="AU218" s="418"/>
      <c r="AV218" s="418"/>
      <c r="AW218" s="333"/>
      <c r="AX218" s="333"/>
      <c r="AZ218" s="418"/>
      <c r="BA218" s="418"/>
      <c r="BB218" s="333"/>
      <c r="BC218" s="333"/>
      <c r="BD218" s="333"/>
      <c r="BE218" s="418"/>
      <c r="BF218" s="418"/>
      <c r="BG218" s="418"/>
      <c r="BH218" s="333"/>
      <c r="BI218" s="333"/>
      <c r="BN218">
        <f>F218+G218+P218+U218+Z218+AE218+AJ218+AO218+AU218+BF218+BL218+BA218+L218+'ILUMINAÇÃO PUBLICA'!K218</f>
        <v>0</v>
      </c>
    </row>
    <row r="219" spans="1:66">
      <c r="A219" s="333"/>
      <c r="B219" s="417" t="s">
        <v>1592</v>
      </c>
      <c r="C219" s="400" t="s">
        <v>0</v>
      </c>
      <c r="D219" s="423"/>
      <c r="E219" s="333"/>
      <c r="F219" s="333"/>
      <c r="G219" s="333"/>
      <c r="H219" s="333"/>
      <c r="I219" s="333"/>
      <c r="J219" s="333"/>
      <c r="K219" s="333"/>
      <c r="L219" s="333"/>
      <c r="M219" s="333"/>
      <c r="N219" s="333"/>
      <c r="O219" s="418"/>
      <c r="P219" s="418"/>
      <c r="Q219" s="333"/>
      <c r="R219" s="333"/>
      <c r="T219" s="418"/>
      <c r="U219" s="418"/>
      <c r="V219" s="333"/>
      <c r="W219" s="333"/>
      <c r="X219" s="333"/>
      <c r="Y219" s="418"/>
      <c r="Z219" s="418"/>
      <c r="AA219" s="333"/>
      <c r="AB219" s="333"/>
      <c r="AC219" s="333"/>
      <c r="AD219" s="418"/>
      <c r="AE219" s="418"/>
      <c r="AF219" s="333"/>
      <c r="AG219" s="333"/>
      <c r="AH219" s="333"/>
      <c r="AI219" s="418"/>
      <c r="AJ219" s="418"/>
      <c r="AK219" s="333"/>
      <c r="AL219" s="333"/>
      <c r="AM219" s="333"/>
      <c r="AN219" s="418"/>
      <c r="AO219" s="418"/>
      <c r="AP219" s="418"/>
      <c r="AQ219" s="333"/>
      <c r="AR219" s="333"/>
      <c r="AT219" s="418"/>
      <c r="AU219" s="418"/>
      <c r="AV219" s="418"/>
      <c r="AW219" s="333"/>
      <c r="AX219" s="333"/>
      <c r="AZ219" s="418"/>
      <c r="BA219" s="418"/>
      <c r="BB219" s="333"/>
      <c r="BC219" s="333"/>
      <c r="BD219" s="333"/>
      <c r="BE219" s="418"/>
      <c r="BF219" s="418"/>
      <c r="BG219" s="418"/>
      <c r="BH219" s="333"/>
      <c r="BI219" s="333"/>
      <c r="BN219">
        <f>F219+G219+P219+U219+Z219+AE219+AJ219+AO219+AU219+BF219+BL219+BA219+L219+'ILUMINAÇÃO PUBLICA'!K219</f>
        <v>0</v>
      </c>
    </row>
    <row r="220" spans="1:66">
      <c r="A220" s="333"/>
      <c r="B220" s="417" t="s">
        <v>1593</v>
      </c>
      <c r="C220" s="400" t="s">
        <v>0</v>
      </c>
      <c r="D220" s="423"/>
      <c r="E220" s="333"/>
      <c r="F220" s="333"/>
      <c r="G220" s="333"/>
      <c r="H220" s="333"/>
      <c r="I220" s="333"/>
      <c r="J220" s="333"/>
      <c r="K220" s="333"/>
      <c r="L220" s="333"/>
      <c r="M220" s="333"/>
      <c r="N220" s="333"/>
      <c r="O220" s="418"/>
      <c r="P220" s="418"/>
      <c r="Q220" s="333"/>
      <c r="R220" s="333"/>
      <c r="T220" s="418"/>
      <c r="U220" s="418"/>
      <c r="V220" s="333"/>
      <c r="W220" s="333"/>
      <c r="X220" s="333"/>
      <c r="Y220" s="418"/>
      <c r="Z220" s="418"/>
      <c r="AA220" s="333"/>
      <c r="AB220" s="333"/>
      <c r="AC220" s="333"/>
      <c r="AD220" s="418"/>
      <c r="AE220" s="418"/>
      <c r="AF220" s="333"/>
      <c r="AG220" s="333"/>
      <c r="AH220" s="333"/>
      <c r="AI220" s="418"/>
      <c r="AJ220" s="418"/>
      <c r="AK220" s="333"/>
      <c r="AL220" s="333"/>
      <c r="AM220" s="333"/>
      <c r="AN220" s="418"/>
      <c r="AO220" s="418"/>
      <c r="AP220" s="418"/>
      <c r="AQ220" s="333"/>
      <c r="AR220" s="333"/>
      <c r="AT220" s="418"/>
      <c r="AU220" s="418"/>
      <c r="AV220" s="418"/>
      <c r="AW220" s="333"/>
      <c r="AX220" s="333"/>
      <c r="AZ220" s="418"/>
      <c r="BA220" s="418"/>
      <c r="BB220" s="333"/>
      <c r="BC220" s="333"/>
      <c r="BD220" s="333"/>
      <c r="BE220" s="418"/>
      <c r="BF220" s="418"/>
      <c r="BG220" s="418"/>
      <c r="BH220" s="333"/>
      <c r="BI220" s="333"/>
      <c r="BN220">
        <f>F220+G220+P220+U220+Z220+AE220+AJ220+AO220+AU220+BF220+BL220+BA220+L220+'ILUMINAÇÃO PUBLICA'!K220</f>
        <v>0</v>
      </c>
    </row>
    <row r="221" spans="1:66">
      <c r="A221" s="333"/>
      <c r="B221" s="417" t="s">
        <v>1594</v>
      </c>
      <c r="C221" s="400" t="s">
        <v>0</v>
      </c>
      <c r="D221" s="423"/>
      <c r="E221" s="333"/>
      <c r="F221" s="333"/>
      <c r="G221" s="333"/>
      <c r="H221" s="333"/>
      <c r="I221" s="333"/>
      <c r="J221" s="333"/>
      <c r="K221" s="333"/>
      <c r="L221" s="333"/>
      <c r="M221" s="333"/>
      <c r="N221" s="333"/>
      <c r="O221" s="418"/>
      <c r="P221" s="418"/>
      <c r="Q221" s="333"/>
      <c r="R221" s="333"/>
      <c r="T221" s="418"/>
      <c r="U221" s="418"/>
      <c r="V221" s="333"/>
      <c r="W221" s="333"/>
      <c r="X221" s="333"/>
      <c r="Y221" s="418"/>
      <c r="Z221" s="418"/>
      <c r="AA221" s="333"/>
      <c r="AB221" s="333"/>
      <c r="AC221" s="333"/>
      <c r="AD221" s="418"/>
      <c r="AE221" s="418"/>
      <c r="AF221" s="333"/>
      <c r="AG221" s="333"/>
      <c r="AH221" s="333"/>
      <c r="AI221" s="418"/>
      <c r="AJ221" s="418"/>
      <c r="AK221" s="333"/>
      <c r="AL221" s="333"/>
      <c r="AM221" s="333"/>
      <c r="AN221" s="418"/>
      <c r="AO221" s="418"/>
      <c r="AP221" s="418"/>
      <c r="AQ221" s="333"/>
      <c r="AR221" s="333"/>
      <c r="AT221" s="418"/>
      <c r="AU221" s="418"/>
      <c r="AV221" s="418"/>
      <c r="AW221" s="333"/>
      <c r="AX221" s="333"/>
      <c r="AZ221" s="418"/>
      <c r="BA221" s="418"/>
      <c r="BB221" s="333"/>
      <c r="BC221" s="333"/>
      <c r="BD221" s="333"/>
      <c r="BE221" s="418"/>
      <c r="BF221" s="418"/>
      <c r="BG221" s="418"/>
      <c r="BH221" s="333"/>
      <c r="BI221" s="333"/>
      <c r="BN221">
        <f>F221+G221+P221+U221+Z221+AE221+AJ221+AO221+AU221+BF221+BL221+BA221+L221+'ILUMINAÇÃO PUBLICA'!K221</f>
        <v>0</v>
      </c>
    </row>
    <row r="222" spans="1:66">
      <c r="A222" s="333"/>
      <c r="B222" s="417" t="s">
        <v>1595</v>
      </c>
      <c r="C222" s="400" t="s">
        <v>0</v>
      </c>
      <c r="D222" s="423"/>
      <c r="E222" s="333"/>
      <c r="F222" s="333"/>
      <c r="G222" s="333"/>
      <c r="H222" s="333"/>
      <c r="I222" s="333"/>
      <c r="J222" s="333"/>
      <c r="K222" s="333"/>
      <c r="L222" s="333"/>
      <c r="M222" s="333"/>
      <c r="N222" s="333"/>
      <c r="O222" s="418"/>
      <c r="P222" s="418"/>
      <c r="Q222" s="333"/>
      <c r="R222" s="333"/>
      <c r="T222" s="418"/>
      <c r="U222" s="418"/>
      <c r="V222" s="333"/>
      <c r="W222" s="333"/>
      <c r="X222" s="333"/>
      <c r="Y222" s="418"/>
      <c r="Z222" s="418"/>
      <c r="AA222" s="333"/>
      <c r="AB222" s="333"/>
      <c r="AC222" s="333"/>
      <c r="AD222" s="418"/>
      <c r="AE222" s="418"/>
      <c r="AF222" s="333"/>
      <c r="AG222" s="333"/>
      <c r="AH222" s="333"/>
      <c r="AI222" s="418"/>
      <c r="AJ222" s="418"/>
      <c r="AK222" s="333"/>
      <c r="AL222" s="333"/>
      <c r="AM222" s="333"/>
      <c r="AN222" s="418"/>
      <c r="AO222" s="418"/>
      <c r="AP222" s="418"/>
      <c r="AQ222" s="333"/>
      <c r="AR222" s="333"/>
      <c r="AT222" s="418"/>
      <c r="AU222" s="418"/>
      <c r="AV222" s="418"/>
      <c r="AW222" s="333"/>
      <c r="AX222" s="333"/>
      <c r="AZ222" s="418"/>
      <c r="BA222" s="418"/>
      <c r="BB222" s="333"/>
      <c r="BC222" s="333"/>
      <c r="BD222" s="333"/>
      <c r="BE222" s="418"/>
      <c r="BF222" s="418"/>
      <c r="BG222" s="418"/>
      <c r="BH222" s="333"/>
      <c r="BI222" s="333"/>
      <c r="BN222">
        <f>F222+G222+P222+U222+Z222+AE222+AJ222+AO222+AU222+BF222+BL222+BA222+L222+'ILUMINAÇÃO PUBLICA'!K222</f>
        <v>0</v>
      </c>
    </row>
    <row r="223" spans="1:66">
      <c r="A223" s="333"/>
      <c r="B223" s="417" t="s">
        <v>1596</v>
      </c>
      <c r="C223" s="400" t="s">
        <v>0</v>
      </c>
      <c r="D223" s="423"/>
      <c r="E223" s="333"/>
      <c r="F223" s="333"/>
      <c r="G223" s="333"/>
      <c r="H223" s="333"/>
      <c r="I223" s="333"/>
      <c r="J223" s="333"/>
      <c r="K223" s="333"/>
      <c r="L223" s="333"/>
      <c r="M223" s="333"/>
      <c r="N223" s="333"/>
      <c r="O223" s="418"/>
      <c r="P223" s="418"/>
      <c r="Q223" s="333"/>
      <c r="R223" s="333"/>
      <c r="T223" s="418"/>
      <c r="U223" s="418"/>
      <c r="V223" s="333"/>
      <c r="W223" s="333"/>
      <c r="X223" s="333"/>
      <c r="Y223" s="418"/>
      <c r="Z223" s="418"/>
      <c r="AA223" s="333"/>
      <c r="AB223" s="333"/>
      <c r="AC223" s="333"/>
      <c r="AD223" s="418"/>
      <c r="AE223" s="418"/>
      <c r="AF223" s="333"/>
      <c r="AG223" s="333"/>
      <c r="AH223" s="333"/>
      <c r="AI223" s="418"/>
      <c r="AJ223" s="418"/>
      <c r="AK223" s="333"/>
      <c r="AL223" s="333"/>
      <c r="AM223" s="333"/>
      <c r="AN223" s="418"/>
      <c r="AO223" s="418"/>
      <c r="AP223" s="418"/>
      <c r="AQ223" s="333"/>
      <c r="AR223" s="333"/>
      <c r="AT223" s="418"/>
      <c r="AU223" s="418"/>
      <c r="AV223" s="418"/>
      <c r="AW223" s="333"/>
      <c r="AX223" s="333"/>
      <c r="AZ223" s="418"/>
      <c r="BA223" s="418"/>
      <c r="BB223" s="333"/>
      <c r="BC223" s="333"/>
      <c r="BD223" s="333"/>
      <c r="BE223" s="418"/>
      <c r="BF223" s="418"/>
      <c r="BG223" s="418"/>
      <c r="BH223" s="333"/>
      <c r="BI223" s="333"/>
      <c r="BN223">
        <f>F223+G223+P223+U223+Z223+AE223+AJ223+AO223+AU223+BF223+BL223+BA223+L223+'ILUMINAÇÃO PUBLICA'!K223</f>
        <v>0</v>
      </c>
    </row>
    <row r="224" spans="1:66">
      <c r="A224" s="333"/>
      <c r="B224" s="417" t="s">
        <v>1597</v>
      </c>
      <c r="C224" s="400" t="s">
        <v>0</v>
      </c>
      <c r="D224" s="423"/>
      <c r="E224" s="333"/>
      <c r="F224" s="333"/>
      <c r="G224" s="333"/>
      <c r="H224" s="333"/>
      <c r="I224" s="333"/>
      <c r="J224" s="333"/>
      <c r="K224" s="333"/>
      <c r="L224" s="333"/>
      <c r="M224" s="333"/>
      <c r="N224" s="333"/>
      <c r="O224" s="418"/>
      <c r="P224" s="418"/>
      <c r="Q224" s="333"/>
      <c r="R224" s="333"/>
      <c r="T224" s="418"/>
      <c r="U224" s="418"/>
      <c r="V224" s="333"/>
      <c r="W224" s="333"/>
      <c r="X224" s="333"/>
      <c r="Y224" s="418"/>
      <c r="Z224" s="418"/>
      <c r="AA224" s="333"/>
      <c r="AB224" s="333"/>
      <c r="AC224" s="333"/>
      <c r="AD224" s="418"/>
      <c r="AE224" s="418"/>
      <c r="AF224" s="333"/>
      <c r="AG224" s="333"/>
      <c r="AH224" s="333"/>
      <c r="AI224" s="418"/>
      <c r="AJ224" s="418"/>
      <c r="AK224" s="333"/>
      <c r="AL224" s="333"/>
      <c r="AM224" s="333"/>
      <c r="AN224" s="418"/>
      <c r="AO224" s="418"/>
      <c r="AP224" s="418"/>
      <c r="AQ224" s="333"/>
      <c r="AR224" s="333"/>
      <c r="AT224" s="418"/>
      <c r="AU224" s="418"/>
      <c r="AV224" s="418"/>
      <c r="AW224" s="333"/>
      <c r="AX224" s="333"/>
      <c r="AZ224" s="418"/>
      <c r="BA224" s="418"/>
      <c r="BB224" s="333"/>
      <c r="BC224" s="333"/>
      <c r="BD224" s="333"/>
      <c r="BE224" s="418"/>
      <c r="BF224" s="418"/>
      <c r="BG224" s="418"/>
      <c r="BH224" s="333"/>
      <c r="BI224" s="333"/>
      <c r="BN224">
        <f>F224+G224+P224+U224+Z224+AE224+AJ224+AO224+AU224+BF224+BL224+BA224+L224+'ILUMINAÇÃO PUBLICA'!K224</f>
        <v>0</v>
      </c>
    </row>
    <row r="225" spans="1:66">
      <c r="A225" s="333"/>
      <c r="B225" s="417" t="s">
        <v>1598</v>
      </c>
      <c r="C225" s="400" t="s">
        <v>0</v>
      </c>
      <c r="D225" s="423"/>
      <c r="E225" s="333"/>
      <c r="F225" s="333"/>
      <c r="G225" s="333"/>
      <c r="H225" s="333"/>
      <c r="I225" s="333"/>
      <c r="J225" s="333"/>
      <c r="K225" s="333"/>
      <c r="L225" s="333"/>
      <c r="M225" s="333"/>
      <c r="N225" s="333"/>
      <c r="O225" s="418"/>
      <c r="P225" s="418"/>
      <c r="Q225" s="333"/>
      <c r="R225" s="333"/>
      <c r="T225" s="418"/>
      <c r="U225" s="418"/>
      <c r="V225" s="333"/>
      <c r="W225" s="333"/>
      <c r="X225" s="333"/>
      <c r="Y225" s="418"/>
      <c r="Z225" s="418"/>
      <c r="AA225" s="333"/>
      <c r="AB225" s="333"/>
      <c r="AC225" s="333"/>
      <c r="AD225" s="418"/>
      <c r="AE225" s="418"/>
      <c r="AF225" s="333"/>
      <c r="AG225" s="333"/>
      <c r="AH225" s="333"/>
      <c r="AI225" s="418"/>
      <c r="AJ225" s="418"/>
      <c r="AK225" s="333"/>
      <c r="AL225" s="333"/>
      <c r="AM225" s="333"/>
      <c r="AN225" s="418"/>
      <c r="AO225" s="418"/>
      <c r="AP225" s="418"/>
      <c r="AQ225" s="333"/>
      <c r="AR225" s="333"/>
      <c r="AT225" s="418"/>
      <c r="AU225" s="418"/>
      <c r="AV225" s="418"/>
      <c r="AW225" s="333"/>
      <c r="AX225" s="333"/>
      <c r="AZ225" s="418"/>
      <c r="BA225" s="418"/>
      <c r="BB225" s="333"/>
      <c r="BC225" s="333"/>
      <c r="BD225" s="333"/>
      <c r="BE225" s="418"/>
      <c r="BF225" s="418"/>
      <c r="BG225" s="418"/>
      <c r="BH225" s="333"/>
      <c r="BI225" s="333"/>
      <c r="BN225">
        <f>F225+G225+P225+U225+Z225+AE225+AJ225+AO225+AU225+BF225+BL225+BA225+L225+'ILUMINAÇÃO PUBLICA'!K225</f>
        <v>0</v>
      </c>
    </row>
    <row r="226" spans="1:66">
      <c r="A226" s="333"/>
      <c r="B226" s="417" t="s">
        <v>1599</v>
      </c>
      <c r="C226" s="400" t="s">
        <v>0</v>
      </c>
      <c r="D226" s="423"/>
      <c r="E226" s="333"/>
      <c r="F226" s="333"/>
      <c r="G226" s="333"/>
      <c r="H226" s="333"/>
      <c r="I226" s="333"/>
      <c r="J226" s="333"/>
      <c r="K226" s="333"/>
      <c r="L226" s="333"/>
      <c r="M226" s="333"/>
      <c r="N226" s="333"/>
      <c r="O226" s="418"/>
      <c r="P226" s="418"/>
      <c r="Q226" s="333"/>
      <c r="R226" s="333"/>
      <c r="T226" s="418"/>
      <c r="U226" s="418"/>
      <c r="V226" s="333"/>
      <c r="W226" s="333"/>
      <c r="X226" s="333"/>
      <c r="Y226" s="418"/>
      <c r="Z226" s="418"/>
      <c r="AA226" s="333"/>
      <c r="AB226" s="333"/>
      <c r="AC226" s="333"/>
      <c r="AD226" s="418"/>
      <c r="AE226" s="418"/>
      <c r="AF226" s="333"/>
      <c r="AG226" s="333"/>
      <c r="AH226" s="333"/>
      <c r="AI226" s="418"/>
      <c r="AJ226" s="418"/>
      <c r="AK226" s="333"/>
      <c r="AL226" s="333"/>
      <c r="AM226" s="333"/>
      <c r="AN226" s="418"/>
      <c r="AO226" s="418"/>
      <c r="AP226" s="418"/>
      <c r="AQ226" s="333"/>
      <c r="AR226" s="333"/>
      <c r="AT226" s="418"/>
      <c r="AU226" s="418"/>
      <c r="AV226" s="418"/>
      <c r="AW226" s="333"/>
      <c r="AX226" s="333"/>
      <c r="AZ226" s="418"/>
      <c r="BA226" s="418"/>
      <c r="BB226" s="333"/>
      <c r="BC226" s="333"/>
      <c r="BD226" s="333"/>
      <c r="BE226" s="418"/>
      <c r="BF226" s="418"/>
      <c r="BG226" s="418"/>
      <c r="BH226" s="333"/>
      <c r="BI226" s="333"/>
      <c r="BN226">
        <f>F226+G226+P226+U226+Z226+AE226+AJ226+AO226+AU226+BF226+BL226+BA226+L226+'ILUMINAÇÃO PUBLICA'!K226</f>
        <v>0</v>
      </c>
    </row>
    <row r="227" spans="1:66">
      <c r="A227" s="333"/>
      <c r="B227" s="407" t="s">
        <v>1600</v>
      </c>
      <c r="C227" s="400" t="s">
        <v>0</v>
      </c>
      <c r="D227" s="423"/>
      <c r="E227" s="333"/>
      <c r="F227" s="333"/>
      <c r="G227" s="333"/>
      <c r="H227" s="333"/>
      <c r="I227" s="333"/>
      <c r="J227" s="333"/>
      <c r="K227" s="333"/>
      <c r="L227" s="333"/>
      <c r="M227" s="333"/>
      <c r="N227" s="333"/>
      <c r="O227" s="418"/>
      <c r="P227" s="418"/>
      <c r="Q227" s="333"/>
      <c r="R227" s="333"/>
      <c r="T227" s="418"/>
      <c r="U227" s="418"/>
      <c r="V227" s="333"/>
      <c r="W227" s="333"/>
      <c r="X227" s="333"/>
      <c r="Y227" s="418"/>
      <c r="Z227" s="418"/>
      <c r="AA227" s="333"/>
      <c r="AB227" s="333"/>
      <c r="AC227" s="333"/>
      <c r="AD227" s="418"/>
      <c r="AE227" s="418"/>
      <c r="AF227" s="333"/>
      <c r="AG227" s="333"/>
      <c r="AH227" s="333"/>
      <c r="AI227" s="418"/>
      <c r="AJ227" s="418"/>
      <c r="AK227" s="333"/>
      <c r="AL227" s="333"/>
      <c r="AM227" s="333"/>
      <c r="AN227" s="418"/>
      <c r="AO227" s="418"/>
      <c r="AP227" s="418"/>
      <c r="AQ227" s="333"/>
      <c r="AR227" s="333"/>
      <c r="AT227" s="418"/>
      <c r="AU227" s="418"/>
      <c r="AV227" s="418"/>
      <c r="AW227" s="333"/>
      <c r="AX227" s="333"/>
      <c r="AZ227" s="418"/>
      <c r="BA227" s="418"/>
      <c r="BB227" s="333"/>
      <c r="BC227" s="333"/>
      <c r="BD227" s="333"/>
      <c r="BE227" s="418"/>
      <c r="BF227" s="418"/>
      <c r="BG227" s="418"/>
      <c r="BH227" s="333"/>
      <c r="BI227" s="333"/>
      <c r="BN227">
        <f>F227+G227+P227+U227+Z227+AE227+AJ227+AO227+AU227+BF227+BL227+BA227+L227+'ILUMINAÇÃO PUBLICA'!K227</f>
        <v>0</v>
      </c>
    </row>
    <row r="228" spans="1:66">
      <c r="A228" s="333"/>
      <c r="B228" s="407" t="s">
        <v>1601</v>
      </c>
      <c r="C228" s="400" t="s">
        <v>0</v>
      </c>
      <c r="D228" s="423"/>
      <c r="E228" s="333"/>
      <c r="F228" s="333"/>
      <c r="G228" s="333"/>
      <c r="H228" s="333"/>
      <c r="I228" s="333"/>
      <c r="J228" s="333"/>
      <c r="K228" s="333"/>
      <c r="L228" s="333"/>
      <c r="M228" s="333"/>
      <c r="N228" s="333"/>
      <c r="O228" s="418"/>
      <c r="P228" s="418"/>
      <c r="Q228" s="333"/>
      <c r="R228" s="333"/>
      <c r="T228" s="418"/>
      <c r="U228" s="418"/>
      <c r="V228" s="333"/>
      <c r="W228" s="333"/>
      <c r="X228" s="333"/>
      <c r="Y228" s="418"/>
      <c r="Z228" s="418"/>
      <c r="AA228" s="333"/>
      <c r="AB228" s="333"/>
      <c r="AC228" s="333"/>
      <c r="AD228" s="418"/>
      <c r="AE228" s="418"/>
      <c r="AF228" s="333"/>
      <c r="AG228" s="333"/>
      <c r="AH228" s="333"/>
      <c r="AI228" s="418"/>
      <c r="AJ228" s="418"/>
      <c r="AK228" s="333"/>
      <c r="AL228" s="333"/>
      <c r="AM228" s="333"/>
      <c r="AN228" s="418"/>
      <c r="AO228" s="418"/>
      <c r="AP228" s="418"/>
      <c r="AQ228" s="333"/>
      <c r="AR228" s="333"/>
      <c r="AT228" s="418"/>
      <c r="AU228" s="418"/>
      <c r="AV228" s="418"/>
      <c r="AW228" s="333"/>
      <c r="AX228" s="333"/>
      <c r="AZ228" s="418"/>
      <c r="BA228" s="418"/>
      <c r="BB228" s="333"/>
      <c r="BC228" s="333"/>
      <c r="BD228" s="333"/>
      <c r="BE228" s="418"/>
      <c r="BF228" s="418"/>
      <c r="BG228" s="418"/>
      <c r="BH228" s="333"/>
      <c r="BI228" s="333"/>
      <c r="BN228">
        <f>F228+G228+P228+U228+Z228+AE228+AJ228+AO228+AU228+BF228+BL228+BA228+L228+'ILUMINAÇÃO PUBLICA'!K228</f>
        <v>0</v>
      </c>
    </row>
    <row r="229" spans="1:66">
      <c r="A229" s="333"/>
      <c r="B229" s="407" t="s">
        <v>1603</v>
      </c>
      <c r="C229" s="400" t="s">
        <v>0</v>
      </c>
      <c r="D229" s="423"/>
      <c r="E229" s="333"/>
      <c r="F229" s="333"/>
      <c r="G229" s="333"/>
      <c r="H229" s="333"/>
      <c r="I229" s="333"/>
      <c r="J229" s="333"/>
      <c r="K229" s="333"/>
      <c r="L229" s="333"/>
      <c r="M229" s="333"/>
      <c r="N229" s="333"/>
      <c r="O229" s="418"/>
      <c r="P229" s="418"/>
      <c r="Q229" s="333"/>
      <c r="R229" s="333"/>
      <c r="T229" s="418"/>
      <c r="U229" s="418"/>
      <c r="V229" s="333"/>
      <c r="W229" s="333"/>
      <c r="X229" s="333"/>
      <c r="Y229" s="418"/>
      <c r="Z229" s="418"/>
      <c r="AA229" s="333"/>
      <c r="AB229" s="333"/>
      <c r="AC229" s="333"/>
      <c r="AD229" s="418"/>
      <c r="AE229" s="418"/>
      <c r="AF229" s="333"/>
      <c r="AG229" s="333"/>
      <c r="AH229" s="333"/>
      <c r="AI229" s="418"/>
      <c r="AJ229" s="418"/>
      <c r="AK229" s="333"/>
      <c r="AL229" s="333"/>
      <c r="AM229" s="333"/>
      <c r="AN229" s="418"/>
      <c r="AO229" s="418"/>
      <c r="AP229" s="418"/>
      <c r="AQ229" s="333"/>
      <c r="AR229" s="333"/>
      <c r="AT229" s="418"/>
      <c r="AU229" s="418"/>
      <c r="AV229" s="418"/>
      <c r="AW229" s="333"/>
      <c r="AX229" s="333"/>
      <c r="AZ229" s="418"/>
      <c r="BA229" s="418"/>
      <c r="BB229" s="333"/>
      <c r="BC229" s="333"/>
      <c r="BD229" s="333"/>
      <c r="BE229" s="418"/>
      <c r="BF229" s="418"/>
      <c r="BG229" s="418"/>
      <c r="BH229" s="333"/>
      <c r="BI229" s="333"/>
      <c r="BN229">
        <f>F229+G229+P229+U229+Z229+AE229+AJ229+AO229+AU229+BF229+BL229+BA229+L229+'ILUMINAÇÃO PUBLICA'!K229</f>
        <v>0</v>
      </c>
    </row>
    <row r="230" spans="1:66">
      <c r="A230" s="990"/>
      <c r="B230" s="991" t="s">
        <v>1644</v>
      </c>
      <c r="C230" s="989" t="s">
        <v>0</v>
      </c>
      <c r="D230" s="423"/>
      <c r="E230" s="333"/>
      <c r="F230" s="333"/>
      <c r="G230" s="333"/>
      <c r="H230" s="333"/>
      <c r="I230" s="333"/>
      <c r="J230" s="333"/>
      <c r="K230" s="333"/>
      <c r="L230" s="333"/>
      <c r="M230" s="333"/>
      <c r="N230" s="333"/>
      <c r="O230" s="418"/>
      <c r="P230" s="418"/>
      <c r="Q230" s="333"/>
      <c r="R230" s="333"/>
      <c r="T230" s="418"/>
      <c r="U230" s="418"/>
      <c r="V230" s="333"/>
      <c r="W230" s="333"/>
      <c r="X230" s="333"/>
      <c r="Y230" s="418"/>
      <c r="Z230" s="418"/>
      <c r="AA230" s="333"/>
      <c r="AB230" s="333"/>
      <c r="AC230" s="333"/>
      <c r="AD230" s="418"/>
      <c r="AE230" s="418"/>
      <c r="AF230" s="333"/>
      <c r="AG230" s="333"/>
      <c r="AH230" s="333"/>
      <c r="AI230" s="418"/>
      <c r="AJ230" s="418"/>
      <c r="AK230" s="333"/>
      <c r="AL230" s="333"/>
      <c r="AM230" s="333"/>
      <c r="AN230" s="418"/>
      <c r="AO230" s="418"/>
      <c r="AP230" s="418"/>
      <c r="AQ230" s="333"/>
      <c r="AR230" s="333"/>
      <c r="AT230" s="418"/>
      <c r="AU230" s="418"/>
      <c r="AV230" s="418"/>
      <c r="AW230" s="333"/>
      <c r="AX230" s="333"/>
      <c r="AZ230" s="418"/>
      <c r="BA230" s="418"/>
      <c r="BB230" s="333"/>
      <c r="BC230" s="333"/>
      <c r="BD230" s="333"/>
      <c r="BE230" s="418"/>
      <c r="BF230" s="418"/>
      <c r="BG230" s="418"/>
      <c r="BH230" s="333"/>
      <c r="BI230" s="333"/>
      <c r="BN230">
        <f>F230+G230+P230+U230+Z230+AE230+AJ230+AO230+AU230+BF230+BL230+BA230+L230+'ILUMINAÇÃO PUBLICA'!K230</f>
        <v>0</v>
      </c>
    </row>
    <row r="231" spans="1:66">
      <c r="A231" s="990"/>
      <c r="B231" s="991" t="s">
        <v>1645</v>
      </c>
      <c r="C231" s="989" t="s">
        <v>0</v>
      </c>
      <c r="D231" s="423"/>
      <c r="E231" s="333"/>
      <c r="F231" s="333"/>
      <c r="G231" s="333"/>
      <c r="H231" s="333"/>
      <c r="I231" s="333"/>
      <c r="J231" s="333"/>
      <c r="K231" s="333"/>
      <c r="L231" s="333"/>
      <c r="M231" s="333"/>
      <c r="N231" s="333"/>
      <c r="O231" s="418"/>
      <c r="P231" s="418"/>
      <c r="Q231" s="333"/>
      <c r="R231" s="333"/>
      <c r="T231" s="418"/>
      <c r="U231" s="418"/>
      <c r="V231" s="333"/>
      <c r="W231" s="333"/>
      <c r="X231" s="333"/>
      <c r="Y231" s="418"/>
      <c r="Z231" s="418"/>
      <c r="AA231" s="333"/>
      <c r="AB231" s="333"/>
      <c r="AC231" s="333"/>
      <c r="AD231" s="418"/>
      <c r="AE231" s="418"/>
      <c r="AF231" s="333"/>
      <c r="AG231" s="333"/>
      <c r="AH231" s="333"/>
      <c r="AI231" s="418"/>
      <c r="AJ231" s="418"/>
      <c r="AK231" s="333"/>
      <c r="AL231" s="333"/>
      <c r="AM231" s="333"/>
      <c r="AN231" s="418"/>
      <c r="AO231" s="418"/>
      <c r="AP231" s="418"/>
      <c r="AQ231" s="333"/>
      <c r="AR231" s="333"/>
      <c r="AT231" s="418"/>
      <c r="AU231" s="418"/>
      <c r="AV231" s="418"/>
      <c r="AW231" s="333"/>
      <c r="AX231" s="333"/>
      <c r="AZ231" s="418"/>
      <c r="BA231" s="418"/>
      <c r="BB231" s="333"/>
      <c r="BC231" s="333"/>
      <c r="BD231" s="333"/>
      <c r="BE231" s="418"/>
      <c r="BF231" s="418"/>
      <c r="BG231" s="418"/>
      <c r="BH231" s="333"/>
      <c r="BI231" s="333"/>
      <c r="BN231">
        <f>F231+G231+P231+U231+Z231+AE231+AJ231+AO231+AU231+BF231+BL231+BA231+L231+'ILUMINAÇÃO PUBLICA'!K231</f>
        <v>0</v>
      </c>
    </row>
    <row r="232" spans="1:66">
      <c r="A232" s="990"/>
      <c r="B232" s="991" t="s">
        <v>1646</v>
      </c>
      <c r="C232" s="989" t="s">
        <v>0</v>
      </c>
      <c r="D232" s="423"/>
      <c r="E232" s="333"/>
      <c r="F232" s="333"/>
      <c r="G232" s="333"/>
      <c r="H232" s="333"/>
      <c r="I232" s="333"/>
      <c r="J232" s="333"/>
      <c r="K232" s="333"/>
      <c r="L232" s="333"/>
      <c r="M232" s="333"/>
      <c r="N232" s="333"/>
      <c r="O232" s="418"/>
      <c r="P232" s="418"/>
      <c r="Q232" s="333"/>
      <c r="R232" s="333"/>
      <c r="T232" s="418"/>
      <c r="U232" s="418"/>
      <c r="V232" s="333"/>
      <c r="W232" s="333"/>
      <c r="X232" s="333"/>
      <c r="Y232" s="418"/>
      <c r="Z232" s="418"/>
      <c r="AA232" s="333"/>
      <c r="AB232" s="333"/>
      <c r="AC232" s="333"/>
      <c r="AD232" s="418"/>
      <c r="AE232" s="418"/>
      <c r="AF232" s="333"/>
      <c r="AG232" s="333"/>
      <c r="AH232" s="333"/>
      <c r="AI232" s="418"/>
      <c r="AJ232" s="418"/>
      <c r="AK232" s="333"/>
      <c r="AL232" s="333"/>
      <c r="AM232" s="333"/>
      <c r="AN232" s="418"/>
      <c r="AO232" s="418"/>
      <c r="AP232" s="418"/>
      <c r="AQ232" s="333"/>
      <c r="AR232" s="333"/>
      <c r="AT232" s="418"/>
      <c r="AU232" s="418"/>
      <c r="AV232" s="418"/>
      <c r="AW232" s="333"/>
      <c r="AX232" s="333"/>
      <c r="AZ232" s="418"/>
      <c r="BA232" s="418"/>
      <c r="BB232" s="333"/>
      <c r="BC232" s="333"/>
      <c r="BD232" s="333"/>
      <c r="BE232" s="418"/>
      <c r="BF232" s="418"/>
      <c r="BG232" s="418"/>
      <c r="BH232" s="333"/>
      <c r="BI232" s="333"/>
      <c r="BN232">
        <f>F232+G232+P232+U232+Z232+AE232+AJ232+AO232+AU232+BF232+BL232+BA232+L232+'ILUMINAÇÃO PUBLICA'!K232</f>
        <v>0</v>
      </c>
    </row>
    <row r="233" spans="1:66">
      <c r="A233" s="990"/>
      <c r="B233" s="991" t="s">
        <v>1647</v>
      </c>
      <c r="C233" s="989" t="s">
        <v>0</v>
      </c>
      <c r="D233" s="423"/>
      <c r="E233" s="333"/>
      <c r="F233" s="333"/>
      <c r="G233" s="333"/>
      <c r="H233" s="333"/>
      <c r="I233" s="333"/>
      <c r="J233" s="333"/>
      <c r="K233" s="333"/>
      <c r="L233" s="333"/>
      <c r="M233" s="333"/>
      <c r="N233" s="333"/>
      <c r="O233" s="418"/>
      <c r="P233" s="418"/>
      <c r="Q233" s="333"/>
      <c r="R233" s="333"/>
      <c r="T233" s="418"/>
      <c r="U233" s="418"/>
      <c r="V233" s="333"/>
      <c r="W233" s="333"/>
      <c r="X233" s="333"/>
      <c r="Y233" s="418"/>
      <c r="Z233" s="418"/>
      <c r="AA233" s="333"/>
      <c r="AB233" s="333"/>
      <c r="AC233" s="333"/>
      <c r="AD233" s="418"/>
      <c r="AE233" s="418"/>
      <c r="AF233" s="333"/>
      <c r="AG233" s="333"/>
      <c r="AH233" s="333"/>
      <c r="AI233" s="418"/>
      <c r="AJ233" s="418"/>
      <c r="AK233" s="333"/>
      <c r="AL233" s="333"/>
      <c r="AM233" s="333"/>
      <c r="AN233" s="418"/>
      <c r="AO233" s="418"/>
      <c r="AP233" s="418"/>
      <c r="AQ233" s="333"/>
      <c r="AR233" s="333"/>
      <c r="AT233" s="418"/>
      <c r="AU233" s="418"/>
      <c r="AV233" s="418"/>
      <c r="AW233" s="333"/>
      <c r="AX233" s="333"/>
      <c r="AZ233" s="418"/>
      <c r="BA233" s="418"/>
      <c r="BB233" s="333"/>
      <c r="BC233" s="333"/>
      <c r="BD233" s="333"/>
      <c r="BE233" s="418"/>
      <c r="BF233" s="418"/>
      <c r="BG233" s="418"/>
      <c r="BH233" s="333"/>
      <c r="BI233" s="333"/>
      <c r="BN233">
        <f>F233+G233+P233+U233+Z233+AE233+AJ233+AO233+AU233+BF233+BL233+BA233+L233+'ILUMINAÇÃO PUBLICA'!K233</f>
        <v>0</v>
      </c>
    </row>
    <row r="234" spans="1:66">
      <c r="A234" s="990"/>
      <c r="B234" s="991" t="s">
        <v>1648</v>
      </c>
      <c r="C234" s="989" t="s">
        <v>0</v>
      </c>
      <c r="D234" s="423"/>
      <c r="E234" s="333"/>
      <c r="F234" s="333"/>
      <c r="G234" s="333"/>
      <c r="H234" s="333"/>
      <c r="I234" s="333"/>
      <c r="J234" s="333"/>
      <c r="K234" s="333"/>
      <c r="L234" s="333"/>
      <c r="M234" s="333"/>
      <c r="N234" s="333"/>
      <c r="O234" s="418"/>
      <c r="P234" s="418"/>
      <c r="Q234" s="333"/>
      <c r="R234" s="333"/>
      <c r="T234" s="418"/>
      <c r="U234" s="418"/>
      <c r="V234" s="333"/>
      <c r="W234" s="333"/>
      <c r="X234" s="333"/>
      <c r="Y234" s="418"/>
      <c r="Z234" s="418"/>
      <c r="AA234" s="333"/>
      <c r="AB234" s="333"/>
      <c r="AC234" s="333"/>
      <c r="AD234" s="418"/>
      <c r="AE234" s="418"/>
      <c r="AF234" s="333"/>
      <c r="AG234" s="333"/>
      <c r="AH234" s="333"/>
      <c r="AI234" s="418"/>
      <c r="AJ234" s="418"/>
      <c r="AK234" s="333"/>
      <c r="AL234" s="333"/>
      <c r="AM234" s="333"/>
      <c r="AN234" s="418"/>
      <c r="AO234" s="418"/>
      <c r="AP234" s="418"/>
      <c r="AQ234" s="333"/>
      <c r="AR234" s="333"/>
      <c r="AT234" s="418"/>
      <c r="AU234" s="418"/>
      <c r="AV234" s="418"/>
      <c r="AW234" s="333"/>
      <c r="AX234" s="333"/>
      <c r="AZ234" s="418"/>
      <c r="BA234" s="418"/>
      <c r="BB234" s="333"/>
      <c r="BC234" s="333"/>
      <c r="BD234" s="333"/>
      <c r="BE234" s="418"/>
      <c r="BF234" s="418"/>
      <c r="BG234" s="418"/>
      <c r="BH234" s="333"/>
      <c r="BI234" s="333"/>
      <c r="BN234">
        <f>F234+G234+P234+U234+Z234+AE234+AJ234+AO234+AU234+BF234+BL234+BA234+L234+'ILUMINAÇÃO PUBLICA'!K234</f>
        <v>0</v>
      </c>
    </row>
    <row r="235" spans="1:66">
      <c r="A235" s="990"/>
      <c r="B235" s="991" t="s">
        <v>1649</v>
      </c>
      <c r="C235" s="989" t="s">
        <v>0</v>
      </c>
      <c r="D235" s="423"/>
      <c r="E235" s="333"/>
      <c r="F235" s="333"/>
      <c r="G235" s="333"/>
      <c r="H235" s="333"/>
      <c r="I235" s="333"/>
      <c r="J235" s="333"/>
      <c r="K235" s="333"/>
      <c r="L235" s="333"/>
      <c r="M235" s="333"/>
      <c r="N235" s="333"/>
      <c r="O235" s="418"/>
      <c r="P235" s="418"/>
      <c r="Q235" s="333"/>
      <c r="R235" s="333"/>
      <c r="T235" s="418"/>
      <c r="U235" s="418"/>
      <c r="V235" s="333"/>
      <c r="W235" s="333"/>
      <c r="X235" s="333"/>
      <c r="Y235" s="418"/>
      <c r="Z235" s="418"/>
      <c r="AA235" s="333"/>
      <c r="AB235" s="333"/>
      <c r="AC235" s="333"/>
      <c r="AD235" s="418"/>
      <c r="AE235" s="418"/>
      <c r="AF235" s="333"/>
      <c r="AG235" s="333"/>
      <c r="AH235" s="333"/>
      <c r="AI235" s="418"/>
      <c r="AJ235" s="418"/>
      <c r="AK235" s="333"/>
      <c r="AL235" s="333"/>
      <c r="AM235" s="333"/>
      <c r="AN235" s="418"/>
      <c r="AO235" s="418"/>
      <c r="AP235" s="418"/>
      <c r="AQ235" s="333"/>
      <c r="AR235" s="333"/>
      <c r="AT235" s="418"/>
      <c r="AU235" s="418"/>
      <c r="AV235" s="418"/>
      <c r="AW235" s="333"/>
      <c r="AX235" s="333"/>
      <c r="AZ235" s="418"/>
      <c r="BA235" s="418"/>
      <c r="BB235" s="333"/>
      <c r="BC235" s="333"/>
      <c r="BD235" s="333"/>
      <c r="BE235" s="418"/>
      <c r="BF235" s="418"/>
      <c r="BG235" s="418"/>
      <c r="BH235" s="333"/>
      <c r="BI235" s="333"/>
      <c r="BN235">
        <f>F235+G235+P235+U235+Z235+AE235+AJ235+AO235+AU235+BF235+BL235+BA235+L235+'ILUMINAÇÃO PUBLICA'!K235</f>
        <v>0</v>
      </c>
    </row>
    <row r="236" spans="1:66">
      <c r="A236" s="990"/>
      <c r="B236" s="991" t="s">
        <v>1650</v>
      </c>
      <c r="C236" s="989" t="s">
        <v>0</v>
      </c>
      <c r="D236" s="423"/>
      <c r="E236" s="333"/>
      <c r="F236" s="333"/>
      <c r="G236" s="333"/>
      <c r="H236" s="333"/>
      <c r="I236" s="333"/>
      <c r="J236" s="333"/>
      <c r="K236" s="333"/>
      <c r="L236" s="333"/>
      <c r="M236" s="333"/>
      <c r="N236" s="333"/>
      <c r="O236" s="418"/>
      <c r="P236" s="418"/>
      <c r="Q236" s="333"/>
      <c r="R236" s="333"/>
      <c r="T236" s="418"/>
      <c r="U236" s="418"/>
      <c r="V236" s="333"/>
      <c r="W236" s="333"/>
      <c r="X236" s="333"/>
      <c r="Y236" s="418"/>
      <c r="Z236" s="418"/>
      <c r="AA236" s="333"/>
      <c r="AB236" s="333"/>
      <c r="AC236" s="333"/>
      <c r="AD236" s="418"/>
      <c r="AE236" s="418"/>
      <c r="AF236" s="333"/>
      <c r="AG236" s="333"/>
      <c r="AH236" s="333"/>
      <c r="AI236" s="418"/>
      <c r="AJ236" s="418"/>
      <c r="AK236" s="333"/>
      <c r="AL236" s="333"/>
      <c r="AM236" s="333"/>
      <c r="AN236" s="418"/>
      <c r="AO236" s="418"/>
      <c r="AP236" s="418"/>
      <c r="AQ236" s="333"/>
      <c r="AR236" s="333"/>
      <c r="AT236" s="418"/>
      <c r="AU236" s="418"/>
      <c r="AV236" s="418"/>
      <c r="AW236" s="333"/>
      <c r="AX236" s="333"/>
      <c r="AZ236" s="418"/>
      <c r="BA236" s="418"/>
      <c r="BB236" s="333"/>
      <c r="BC236" s="333"/>
      <c r="BD236" s="333"/>
      <c r="BE236" s="418"/>
      <c r="BF236" s="418"/>
      <c r="BG236" s="418"/>
      <c r="BH236" s="333"/>
      <c r="BI236" s="333"/>
      <c r="BN236">
        <f>F236+G236+P236+U236+Z236+AE236+AJ236+AO236+AU236+BF236+BL236+BA236+L236+'ILUMINAÇÃO PUBLICA'!K236</f>
        <v>0</v>
      </c>
    </row>
    <row r="237" spans="1:66">
      <c r="A237" s="990"/>
      <c r="B237" s="991" t="s">
        <v>1651</v>
      </c>
      <c r="C237" s="989" t="s">
        <v>0</v>
      </c>
      <c r="D237" s="423"/>
      <c r="E237" s="333"/>
      <c r="F237" s="333"/>
      <c r="G237" s="333"/>
      <c r="H237" s="333"/>
      <c r="I237" s="333"/>
      <c r="J237" s="333"/>
      <c r="K237" s="333"/>
      <c r="L237" s="333"/>
      <c r="M237" s="333"/>
      <c r="N237" s="333"/>
      <c r="O237" s="418"/>
      <c r="P237" s="418"/>
      <c r="Q237" s="333"/>
      <c r="R237" s="333"/>
      <c r="T237" s="418"/>
      <c r="U237" s="418"/>
      <c r="V237" s="333"/>
      <c r="W237" s="333"/>
      <c r="X237" s="333"/>
      <c r="Y237" s="418"/>
      <c r="Z237" s="418"/>
      <c r="AA237" s="333"/>
      <c r="AB237" s="333"/>
      <c r="AC237" s="333"/>
      <c r="AD237" s="418"/>
      <c r="AE237" s="418"/>
      <c r="AF237" s="333"/>
      <c r="AG237" s="333"/>
      <c r="AH237" s="333"/>
      <c r="AI237" s="418"/>
      <c r="AJ237" s="418"/>
      <c r="AK237" s="333"/>
      <c r="AL237" s="333"/>
      <c r="AM237" s="333"/>
      <c r="AN237" s="418"/>
      <c r="AO237" s="418"/>
      <c r="AP237" s="418"/>
      <c r="AQ237" s="333"/>
      <c r="AR237" s="333"/>
      <c r="AT237" s="418"/>
      <c r="AU237" s="418"/>
      <c r="AV237" s="418"/>
      <c r="AW237" s="333"/>
      <c r="AX237" s="333"/>
      <c r="AZ237" s="418"/>
      <c r="BA237" s="418"/>
      <c r="BB237" s="333"/>
      <c r="BC237" s="333"/>
      <c r="BD237" s="333"/>
      <c r="BE237" s="418"/>
      <c r="BF237" s="418"/>
      <c r="BG237" s="418"/>
      <c r="BH237" s="333"/>
      <c r="BI237" s="333"/>
      <c r="BN237">
        <f>F237+G237+P237+U237+Z237+AE237+AJ237+AO237+AU237+BF237+BL237+BA237+L237+'ILUMINAÇÃO PUBLICA'!K237</f>
        <v>0</v>
      </c>
    </row>
    <row r="238" spans="1:66">
      <c r="A238" s="990"/>
      <c r="B238" s="991" t="s">
        <v>1652</v>
      </c>
      <c r="C238" s="989" t="s">
        <v>0</v>
      </c>
      <c r="D238" s="423"/>
      <c r="E238" s="333"/>
      <c r="F238" s="333"/>
      <c r="G238" s="333"/>
      <c r="H238" s="333"/>
      <c r="I238" s="333"/>
      <c r="J238" s="333"/>
      <c r="K238" s="333"/>
      <c r="L238" s="333"/>
      <c r="M238" s="333"/>
      <c r="N238" s="333"/>
      <c r="O238" s="418"/>
      <c r="P238" s="418"/>
      <c r="Q238" s="333"/>
      <c r="R238" s="333"/>
      <c r="T238" s="418"/>
      <c r="U238" s="418"/>
      <c r="V238" s="333"/>
      <c r="W238" s="333"/>
      <c r="X238" s="333"/>
      <c r="Y238" s="418"/>
      <c r="Z238" s="418"/>
      <c r="AA238" s="333"/>
      <c r="AB238" s="333"/>
      <c r="AC238" s="333"/>
      <c r="AD238" s="418"/>
      <c r="AE238" s="418"/>
      <c r="AF238" s="333"/>
      <c r="AG238" s="333"/>
      <c r="AH238" s="333"/>
      <c r="AI238" s="418"/>
      <c r="AJ238" s="418"/>
      <c r="AK238" s="333"/>
      <c r="AL238" s="333"/>
      <c r="AM238" s="333"/>
      <c r="AN238" s="418"/>
      <c r="AO238" s="418"/>
      <c r="AP238" s="418"/>
      <c r="AQ238" s="333"/>
      <c r="AR238" s="333"/>
      <c r="AT238" s="418"/>
      <c r="AU238" s="418"/>
      <c r="AV238" s="418"/>
      <c r="AW238" s="333"/>
      <c r="AX238" s="333"/>
      <c r="AZ238" s="418"/>
      <c r="BA238" s="418"/>
      <c r="BB238" s="333"/>
      <c r="BC238" s="333"/>
      <c r="BD238" s="333"/>
      <c r="BE238" s="418"/>
      <c r="BF238" s="418"/>
      <c r="BG238" s="418"/>
      <c r="BH238" s="333"/>
      <c r="BI238" s="333"/>
      <c r="BN238">
        <f>F238+G238+P238+U238+Z238+AE238+AJ238+AO238+AU238+BF238+BL238+BA238+L238+'ILUMINAÇÃO PUBLICA'!K238</f>
        <v>0</v>
      </c>
    </row>
    <row r="239" spans="1:66">
      <c r="A239" s="990"/>
      <c r="B239" s="991" t="s">
        <v>1654</v>
      </c>
      <c r="C239" s="989" t="s">
        <v>0</v>
      </c>
      <c r="D239" s="423"/>
      <c r="E239" s="333"/>
      <c r="F239" s="333"/>
      <c r="G239" s="333"/>
      <c r="H239" s="333"/>
      <c r="I239" s="333"/>
      <c r="J239" s="333"/>
      <c r="K239" s="333"/>
      <c r="L239" s="333"/>
      <c r="M239" s="333"/>
      <c r="N239" s="333"/>
      <c r="O239" s="418"/>
      <c r="P239" s="418"/>
      <c r="Q239" s="333"/>
      <c r="R239" s="333"/>
      <c r="T239" s="418"/>
      <c r="U239" s="418"/>
      <c r="V239" s="333"/>
      <c r="W239" s="333"/>
      <c r="X239" s="333"/>
      <c r="Y239" s="418"/>
      <c r="Z239" s="418"/>
      <c r="AA239" s="333"/>
      <c r="AB239" s="333"/>
      <c r="AC239" s="333"/>
      <c r="AD239" s="418"/>
      <c r="AE239" s="418"/>
      <c r="AF239" s="333"/>
      <c r="AG239" s="333"/>
      <c r="AH239" s="333"/>
      <c r="AI239" s="418"/>
      <c r="AJ239" s="418"/>
      <c r="AK239" s="333"/>
      <c r="AL239" s="333"/>
      <c r="AM239" s="333"/>
      <c r="AN239" s="418"/>
      <c r="AO239" s="418"/>
      <c r="AP239" s="418"/>
      <c r="AQ239" s="333"/>
      <c r="AR239" s="333"/>
      <c r="AT239" s="418"/>
      <c r="AU239" s="418"/>
      <c r="AV239" s="418"/>
      <c r="AW239" s="333"/>
      <c r="AX239" s="333"/>
      <c r="AZ239" s="418"/>
      <c r="BA239" s="418"/>
      <c r="BB239" s="333"/>
      <c r="BC239" s="333"/>
      <c r="BD239" s="333"/>
      <c r="BE239" s="418"/>
      <c r="BF239" s="418"/>
      <c r="BG239" s="418"/>
      <c r="BH239" s="333"/>
      <c r="BI239" s="333"/>
      <c r="BN239">
        <f>F239+G239+P239+U239+Z239+AE239+AJ239+AO239+AU239+BF239+BL239+BA239+L239+'ILUMINAÇÃO PUBLICA'!K239</f>
        <v>0</v>
      </c>
    </row>
    <row r="240" spans="1:66">
      <c r="A240" s="991"/>
      <c r="B240" s="991" t="s">
        <v>1653</v>
      </c>
      <c r="C240" s="400" t="s">
        <v>0</v>
      </c>
      <c r="D240" s="423"/>
      <c r="E240" s="333"/>
      <c r="F240" s="333"/>
      <c r="G240" s="333"/>
      <c r="H240" s="333"/>
      <c r="I240" s="333"/>
      <c r="J240" s="333"/>
      <c r="K240" s="333"/>
      <c r="L240" s="333"/>
      <c r="M240" s="333"/>
      <c r="N240" s="333"/>
      <c r="O240" s="418"/>
      <c r="P240" s="418"/>
      <c r="Q240" s="333"/>
      <c r="R240" s="333"/>
      <c r="T240" s="418"/>
      <c r="U240" s="418"/>
      <c r="V240" s="333"/>
      <c r="W240" s="333"/>
      <c r="X240" s="333"/>
      <c r="Y240" s="418"/>
      <c r="Z240" s="418"/>
      <c r="AA240" s="333"/>
      <c r="AB240" s="333"/>
      <c r="AC240" s="333"/>
      <c r="AD240" s="418"/>
      <c r="AE240" s="418"/>
      <c r="AF240" s="333"/>
      <c r="AG240" s="333"/>
      <c r="AH240" s="333"/>
      <c r="AI240" s="418"/>
      <c r="AJ240" s="418"/>
      <c r="AK240" s="333"/>
      <c r="AL240" s="333"/>
      <c r="AM240" s="333"/>
      <c r="AN240" s="418"/>
      <c r="AO240" s="418"/>
      <c r="AP240" s="418"/>
      <c r="AQ240" s="333"/>
      <c r="AR240" s="333"/>
      <c r="AT240" s="418"/>
      <c r="AU240" s="418"/>
      <c r="AV240" s="418"/>
      <c r="AW240" s="333"/>
      <c r="AX240" s="333"/>
      <c r="AZ240" s="418"/>
      <c r="BA240" s="418"/>
      <c r="BB240" s="333"/>
      <c r="BC240" s="333"/>
      <c r="BD240" s="333"/>
      <c r="BE240" s="418"/>
      <c r="BF240" s="418"/>
      <c r="BG240" s="418"/>
      <c r="BH240" s="333"/>
      <c r="BI240" s="333"/>
      <c r="BN240">
        <f>F240+G240+P240+U240+Z240+AE240+AJ240+AO240+AU240+BF240+BL240+BA240+L240+'ILUMINAÇÃO PUBLICA'!K240</f>
        <v>0</v>
      </c>
    </row>
    <row r="241" spans="1:66">
      <c r="A241" s="991"/>
      <c r="B241" s="991" t="s">
        <v>1655</v>
      </c>
      <c r="C241" s="400" t="s">
        <v>0</v>
      </c>
      <c r="D241" s="423"/>
      <c r="E241" s="333"/>
      <c r="F241" s="333"/>
      <c r="G241" s="333"/>
      <c r="H241" s="333"/>
      <c r="I241" s="333"/>
      <c r="J241" s="333"/>
      <c r="K241" s="333"/>
      <c r="L241" s="333"/>
      <c r="M241" s="333"/>
      <c r="N241" s="333"/>
      <c r="O241" s="418"/>
      <c r="P241" s="418"/>
      <c r="Q241" s="333"/>
      <c r="R241" s="333"/>
      <c r="T241" s="418"/>
      <c r="U241" s="418"/>
      <c r="V241" s="333"/>
      <c r="W241" s="333"/>
      <c r="X241" s="333"/>
      <c r="Y241" s="418"/>
      <c r="Z241" s="418"/>
      <c r="AA241" s="333"/>
      <c r="AB241" s="333"/>
      <c r="AC241" s="333"/>
      <c r="AD241" s="418"/>
      <c r="AE241" s="418"/>
      <c r="AF241" s="333"/>
      <c r="AG241" s="333"/>
      <c r="AH241" s="333"/>
      <c r="AI241" s="418"/>
      <c r="AJ241" s="418"/>
      <c r="AK241" s="333"/>
      <c r="AL241" s="333"/>
      <c r="AM241" s="333"/>
      <c r="AN241" s="418"/>
      <c r="AO241" s="418"/>
      <c r="AP241" s="418"/>
      <c r="AQ241" s="333"/>
      <c r="AR241" s="333"/>
      <c r="AT241" s="418"/>
      <c r="AU241" s="418"/>
      <c r="AV241" s="418"/>
      <c r="AW241" s="333"/>
      <c r="AX241" s="333"/>
      <c r="AZ241" s="418"/>
      <c r="BA241" s="418"/>
      <c r="BB241" s="333"/>
      <c r="BC241" s="333"/>
      <c r="BD241" s="333"/>
      <c r="BE241" s="418"/>
      <c r="BF241" s="418"/>
      <c r="BG241" s="418"/>
      <c r="BH241" s="333"/>
      <c r="BI241" s="333"/>
      <c r="BN241">
        <f>F241+G241+P241+U241+Z241+AE241+AJ241+AO241+AU241+BF241+BL241+BA241+L241+'ILUMINAÇÃO PUBLICA'!K241</f>
        <v>0</v>
      </c>
    </row>
    <row r="242" spans="1:66">
      <c r="A242" s="991"/>
      <c r="B242" s="991" t="s">
        <v>1657</v>
      </c>
      <c r="C242" s="400" t="s">
        <v>0</v>
      </c>
      <c r="D242" s="423"/>
      <c r="E242" s="333"/>
      <c r="F242" s="333"/>
      <c r="G242" s="333"/>
      <c r="H242" s="333"/>
      <c r="I242" s="333"/>
      <c r="J242" s="333"/>
      <c r="K242" s="333"/>
      <c r="L242" s="333"/>
      <c r="M242" s="333"/>
      <c r="N242" s="333"/>
      <c r="O242" s="418"/>
      <c r="P242" s="418"/>
      <c r="Q242" s="333"/>
      <c r="R242" s="333"/>
      <c r="T242" s="418"/>
      <c r="U242" s="418"/>
      <c r="V242" s="333"/>
      <c r="W242" s="333"/>
      <c r="X242" s="333"/>
      <c r="Y242" s="418"/>
      <c r="Z242" s="418"/>
      <c r="AA242" s="333"/>
      <c r="AB242" s="333"/>
      <c r="AC242" s="333"/>
      <c r="AD242" s="418"/>
      <c r="AE242" s="418"/>
      <c r="AF242" s="333"/>
      <c r="AG242" s="333"/>
      <c r="AH242" s="333"/>
      <c r="AI242" s="418"/>
      <c r="AJ242" s="418"/>
      <c r="AK242" s="333"/>
      <c r="AL242" s="333"/>
      <c r="AM242" s="333"/>
      <c r="AN242" s="418"/>
      <c r="AO242" s="418"/>
      <c r="AP242" s="418"/>
      <c r="AQ242" s="333"/>
      <c r="AR242" s="333"/>
      <c r="AT242" s="418"/>
      <c r="AU242" s="418"/>
      <c r="AV242" s="418"/>
      <c r="AW242" s="333"/>
      <c r="AX242" s="333"/>
      <c r="AZ242" s="418"/>
      <c r="BA242" s="418"/>
      <c r="BB242" s="333"/>
      <c r="BC242" s="333"/>
      <c r="BD242" s="333"/>
      <c r="BE242" s="418"/>
      <c r="BF242" s="418"/>
      <c r="BG242" s="418"/>
      <c r="BH242" s="333"/>
      <c r="BI242" s="333"/>
      <c r="BN242">
        <f>F242+G242+P242+U242+Z242+AE242+AJ242+AO242+AU242+BF242+BL242+BA242+L242+'ILUMINAÇÃO PUBLICA'!K242</f>
        <v>0</v>
      </c>
    </row>
    <row r="243" spans="1:66">
      <c r="A243" s="991"/>
      <c r="B243" s="991" t="s">
        <v>1656</v>
      </c>
      <c r="C243" s="400" t="s">
        <v>0</v>
      </c>
      <c r="D243" s="423"/>
      <c r="E243" s="333"/>
      <c r="F243" s="333"/>
      <c r="G243" s="333"/>
      <c r="H243" s="333"/>
      <c r="I243" s="333"/>
      <c r="J243" s="333"/>
      <c r="K243" s="333"/>
      <c r="L243" s="333"/>
      <c r="M243" s="333"/>
      <c r="N243" s="333"/>
      <c r="O243" s="418"/>
      <c r="P243" s="418"/>
      <c r="Q243" s="333"/>
      <c r="R243" s="333"/>
      <c r="T243" s="418"/>
      <c r="U243" s="418"/>
      <c r="V243" s="333"/>
      <c r="W243" s="333"/>
      <c r="X243" s="333"/>
      <c r="Y243" s="418"/>
      <c r="Z243" s="418"/>
      <c r="AA243" s="333"/>
      <c r="AB243" s="333"/>
      <c r="AC243" s="333"/>
      <c r="AD243" s="418"/>
      <c r="AE243" s="418"/>
      <c r="AF243" s="333"/>
      <c r="AG243" s="333"/>
      <c r="AH243" s="333"/>
      <c r="AI243" s="418"/>
      <c r="AJ243" s="418"/>
      <c r="AK243" s="333"/>
      <c r="AL243" s="333"/>
      <c r="AM243" s="333"/>
      <c r="AN243" s="418"/>
      <c r="AO243" s="418"/>
      <c r="AP243" s="418"/>
      <c r="AQ243" s="333"/>
      <c r="AR243" s="333"/>
      <c r="AT243" s="418"/>
      <c r="AU243" s="418"/>
      <c r="AV243" s="418"/>
      <c r="AW243" s="333"/>
      <c r="AX243" s="333"/>
      <c r="AZ243" s="418"/>
      <c r="BA243" s="418"/>
      <c r="BB243" s="333"/>
      <c r="BC243" s="333"/>
      <c r="BD243" s="333"/>
      <c r="BE243" s="418"/>
      <c r="BF243" s="418"/>
      <c r="BG243" s="418"/>
      <c r="BH243" s="333"/>
      <c r="BI243" s="333"/>
      <c r="BN243">
        <f>F243+G243+P243+U243+Z243+AE243+AJ243+AO243+AU243+BF243+BL243+BA243+L243+'ILUMINAÇÃO PUBLICA'!K243</f>
        <v>0</v>
      </c>
    </row>
    <row r="244" spans="1:66">
      <c r="A244" s="991"/>
      <c r="B244" s="991" t="s">
        <v>1658</v>
      </c>
      <c r="C244" s="400" t="s">
        <v>0</v>
      </c>
      <c r="J244" s="333"/>
      <c r="K244" s="333"/>
      <c r="L244" s="333"/>
      <c r="M244" s="333"/>
      <c r="N244" s="333"/>
      <c r="O244" s="418"/>
      <c r="P244" s="418"/>
      <c r="Q244" s="333"/>
      <c r="R244" s="333"/>
      <c r="T244" s="418"/>
      <c r="U244" s="418"/>
      <c r="V244" s="333"/>
      <c r="W244" s="333"/>
      <c r="X244" s="333"/>
      <c r="Y244" s="418"/>
      <c r="Z244" s="418"/>
      <c r="AA244" s="333"/>
      <c r="AB244" s="333"/>
      <c r="AC244" s="333"/>
      <c r="AD244" s="418"/>
      <c r="AE244" s="418"/>
      <c r="AF244" s="333"/>
      <c r="AG244" s="333"/>
      <c r="AH244" s="333"/>
      <c r="AI244" s="418"/>
      <c r="AJ244" s="418"/>
      <c r="AK244" s="333"/>
      <c r="AL244" s="333"/>
      <c r="AM244" s="333"/>
      <c r="AN244" s="418"/>
      <c r="AO244" s="418"/>
      <c r="AP244" s="418"/>
      <c r="AQ244" s="333"/>
      <c r="AR244" s="333"/>
      <c r="AT244" s="418"/>
      <c r="AU244" s="418"/>
      <c r="AV244" s="418"/>
      <c r="AW244" s="333"/>
      <c r="AX244" s="333"/>
      <c r="AZ244" s="418"/>
      <c r="BA244" s="418"/>
      <c r="BB244" s="333"/>
      <c r="BC244" s="333"/>
      <c r="BD244" s="333"/>
      <c r="BE244" s="418"/>
      <c r="BF244" s="418"/>
      <c r="BG244" s="418"/>
      <c r="BH244" s="333"/>
      <c r="BI244" s="333"/>
      <c r="BL244">
        <f>BL7+BL8+BL11+BL12+BL14+BL15+BL18+BL19+BL22+BL23+BL26+BL25</f>
        <v>0</v>
      </c>
      <c r="BN244">
        <f>F244+G244+P244+U244+Z244+AE244+AJ244+AO244+AU244+BF244+BL244+BA244+L244+'ILUMINAÇÃO PUBLICA'!K244</f>
        <v>0</v>
      </c>
    </row>
    <row r="245" spans="1:66">
      <c r="A245" s="991"/>
      <c r="B245" s="991" t="s">
        <v>1659</v>
      </c>
      <c r="C245" s="400" t="s">
        <v>0</v>
      </c>
      <c r="D245" s="425"/>
      <c r="BN245">
        <f>F245+G245+P245+U245+Z245+AE245+AJ245+AO245+AU245+BF245+BL245+BA245+L245+'ILUMINAÇÃO PUBLICA'!K245</f>
        <v>0</v>
      </c>
    </row>
    <row r="246" spans="1:66">
      <c r="A246" s="991"/>
      <c r="B246" s="991" t="s">
        <v>1660</v>
      </c>
      <c r="C246" s="400" t="s">
        <v>0</v>
      </c>
      <c r="D246" s="423"/>
      <c r="BN246">
        <f>F246+G246+P246+U246+Z246+AE246+AJ246+AO246+AU246+BF246+BL246+BA246+L246+'ILUMINAÇÃO PUBLICA'!K246</f>
        <v>0</v>
      </c>
    </row>
    <row r="247" spans="1:66">
      <c r="A247" s="991"/>
      <c r="B247" s="991" t="s">
        <v>1661</v>
      </c>
      <c r="C247" s="400" t="s">
        <v>0</v>
      </c>
      <c r="D247" s="423"/>
      <c r="BN247">
        <f>F247+G247+P247+U247+Z247+AE247+AJ247+AO247+AU247+BF247+BL247+BA247+L247+'ILUMINAÇÃO PUBLICA'!K247</f>
        <v>0</v>
      </c>
    </row>
    <row r="248" spans="1:66">
      <c r="A248" s="991"/>
      <c r="B248" s="991" t="s">
        <v>1662</v>
      </c>
      <c r="C248" s="400" t="s">
        <v>0</v>
      </c>
      <c r="H248" s="426"/>
      <c r="BN248">
        <f>F248+G248+P248+U248+Z248+AE248+AJ248+AO248+AU248+BF248+BL248+BA248+L248+'ILUMINAÇÃO PUBLICA'!K248</f>
        <v>0</v>
      </c>
    </row>
    <row r="249" spans="1:66">
      <c r="A249" s="991">
        <v>627995</v>
      </c>
      <c r="B249" s="991" t="s">
        <v>1638</v>
      </c>
      <c r="C249" s="400" t="s">
        <v>0</v>
      </c>
      <c r="H249" s="426"/>
      <c r="BN249">
        <f>F249+G249+P249+U249+Z249+AE249+AJ249+AO249+AU249+BF249+BL249+BA249+L249+'ILUMINAÇÃO PUBLICA'!K249</f>
        <v>0</v>
      </c>
    </row>
    <row r="250" spans="1:66">
      <c r="A250" s="991">
        <v>627996</v>
      </c>
      <c r="B250" s="991" t="s">
        <v>1639</v>
      </c>
      <c r="C250" s="400" t="s">
        <v>0</v>
      </c>
      <c r="H250" s="426"/>
      <c r="BN250">
        <f>F250+G250+P250+U250+Z250+AE250+AJ250+AO250+AU250+BF250+BL250+BA250+L250+'ILUMINAÇÃO PUBLICA'!K250</f>
        <v>0</v>
      </c>
    </row>
    <row r="251" spans="1:66">
      <c r="A251" s="991">
        <v>627997</v>
      </c>
      <c r="B251" s="991" t="s">
        <v>1640</v>
      </c>
      <c r="C251" s="400" t="s">
        <v>0</v>
      </c>
      <c r="H251" s="426"/>
      <c r="BN251">
        <f>F251+G251+P251+U251+Z251+AE251+AJ251+AO251+AU251+BF251+BL251+BA251+L251+'ILUMINAÇÃO PUBLICA'!K251</f>
        <v>0</v>
      </c>
    </row>
    <row r="252" spans="1:66">
      <c r="A252" s="991">
        <v>627998</v>
      </c>
      <c r="B252" s="991" t="s">
        <v>1641</v>
      </c>
      <c r="C252" s="400" t="s">
        <v>0</v>
      </c>
      <c r="D252" s="423"/>
      <c r="BN252">
        <f>F252+G252+P252+U252+Z252+AE252+AJ252+AO252+AU252+BF252+BL252+BA252+L252+'ILUMINAÇÃO PUBLICA'!K252</f>
        <v>0</v>
      </c>
    </row>
    <row r="253" spans="1:66">
      <c r="A253" s="991">
        <v>627999</v>
      </c>
      <c r="B253" s="991" t="s">
        <v>1642</v>
      </c>
      <c r="C253" s="400" t="s">
        <v>0</v>
      </c>
      <c r="D253" s="423"/>
      <c r="BN253">
        <f>F253+G253+P253+U253+Z253+AE253+AJ253+AO253+AU253+BF253+BL253+BA253+L253+'ILUMINAÇÃO PUBLICA'!K253</f>
        <v>0</v>
      </c>
    </row>
    <row r="254" spans="1:66">
      <c r="A254" s="209"/>
      <c r="B254" s="986" t="s">
        <v>381</v>
      </c>
      <c r="C254" s="456" t="s">
        <v>1094</v>
      </c>
      <c r="D254" s="423"/>
      <c r="BN254">
        <f>F254+G254+P254+U254+Z254+AE254+AJ254+AO254+AU254+BF254+BL254+BA254+L254+'ILUMINAÇÃO PUBLICA'!K254</f>
        <v>0</v>
      </c>
    </row>
    <row r="255" spans="1:66">
      <c r="A255" s="841"/>
      <c r="B255" s="210" t="s">
        <v>459</v>
      </c>
      <c r="C255" s="400" t="s">
        <v>0</v>
      </c>
      <c r="D255" s="423"/>
      <c r="BN255">
        <f>F255+G255+P255+U255+Z255+AE255+AJ255+AO255+AU255+BF255+BL255+BA255+L255+'ILUMINAÇÃO PUBLICA'!K255</f>
        <v>0</v>
      </c>
    </row>
    <row r="256" spans="1:66">
      <c r="A256" s="841"/>
      <c r="B256" s="781" t="s">
        <v>1407</v>
      </c>
      <c r="C256" s="400" t="s">
        <v>0</v>
      </c>
      <c r="D256" s="423"/>
      <c r="BN256">
        <f>F256+G256+P256+U256+Z256+AE256+AJ256+AO256+AU256+BF256+BL256+BA256+L256+'ILUMINAÇÃO PUBLICA'!K256</f>
        <v>0</v>
      </c>
    </row>
    <row r="257" spans="1:66">
      <c r="A257" s="841"/>
      <c r="B257" s="781" t="s">
        <v>1408</v>
      </c>
      <c r="C257" s="400" t="s">
        <v>0</v>
      </c>
      <c r="D257" s="423"/>
      <c r="BN257">
        <f>F257+G257+P257+U257+Z257+AE257+AJ257+AO257+AU257+BF257+BL257+BA257+L257+'ILUMINAÇÃO PUBLICA'!K257</f>
        <v>0</v>
      </c>
    </row>
    <row r="258" spans="1:66">
      <c r="A258" s="841"/>
      <c r="B258" s="781" t="s">
        <v>1409</v>
      </c>
      <c r="C258" s="400" t="s">
        <v>0</v>
      </c>
      <c r="D258" s="423"/>
      <c r="BN258">
        <f>F258+G258+P258+U258+Z258+AE258+AJ258+AO258+AU258+BF258+BL258+BA258+L258+'ILUMINAÇÃO PUBLICA'!K258</f>
        <v>0</v>
      </c>
    </row>
    <row r="259" spans="1:66">
      <c r="A259" s="841"/>
      <c r="B259" s="781" t="s">
        <v>1410</v>
      </c>
      <c r="C259" s="400" t="s">
        <v>0</v>
      </c>
      <c r="D259" s="423"/>
      <c r="BN259">
        <f>F259+G259+P259+U259+Z259+AE259+AJ259+AO259+AU259+BF259+BL259+BA259+L259+'ILUMINAÇÃO PUBLICA'!K259</f>
        <v>0</v>
      </c>
    </row>
    <row r="260" spans="1:66">
      <c r="A260" s="841"/>
      <c r="B260" s="781" t="s">
        <v>1405</v>
      </c>
      <c r="C260" s="400" t="s">
        <v>0</v>
      </c>
      <c r="D260" s="423"/>
      <c r="BN260">
        <f>F260+G260+P260+U260+Z260+AE260+AJ260+AO260+AU260+BF260+BL260+BA260+L260+'ILUMINAÇÃO PUBLICA'!K260</f>
        <v>0</v>
      </c>
    </row>
    <row r="261" spans="1:66">
      <c r="A261" s="841"/>
      <c r="B261" s="781" t="s">
        <v>1406</v>
      </c>
      <c r="C261" s="400" t="s">
        <v>0</v>
      </c>
      <c r="D261" s="423"/>
      <c r="BN261">
        <f>F261+G261+P261+U261+Z261+AE261+AJ261+AO261+AU261+BF261+BL261+BA261+L261+'ILUMINAÇÃO PUBLICA'!K261</f>
        <v>0</v>
      </c>
    </row>
    <row r="262" spans="1:66">
      <c r="A262" s="841"/>
      <c r="B262" s="781" t="s">
        <v>1399</v>
      </c>
      <c r="C262" s="400" t="s">
        <v>0</v>
      </c>
      <c r="D262" s="423"/>
      <c r="BN262">
        <f>F262+G262+P262+U262+Z262+AE262+AJ262+AO262+AU262+BF262+BL262+BA262+L262+'ILUMINAÇÃO PUBLICA'!K262</f>
        <v>0</v>
      </c>
    </row>
    <row r="263" spans="1:66">
      <c r="A263" s="841"/>
      <c r="B263" s="781" t="s">
        <v>1391</v>
      </c>
      <c r="C263" s="400" t="s">
        <v>0</v>
      </c>
      <c r="D263" s="423"/>
      <c r="BN263">
        <f>F263+G263+P263+U263+Z263+AE263+AJ263+AO263+AU263+BF263+BL263+BA263+L263+'ILUMINAÇÃO PUBLICA'!K263</f>
        <v>0</v>
      </c>
    </row>
    <row r="264" spans="1:66">
      <c r="A264">
        <v>10001138</v>
      </c>
      <c r="B264" s="942" t="s">
        <v>1392</v>
      </c>
      <c r="C264" s="405" t="s">
        <v>0</v>
      </c>
      <c r="D264" s="423"/>
      <c r="F264" s="6">
        <f>SUM(I11,I7)*3</f>
        <v>0</v>
      </c>
      <c r="BN264">
        <f>F264+G264+P264+U264+Z264+AE264+AJ264+AO264+AU264+BF264+BL264+BA264+L264+'ILUMINAÇÃO PUBLICA'!K264</f>
        <v>0</v>
      </c>
    </row>
    <row r="265" spans="1:66">
      <c r="A265">
        <v>10001126</v>
      </c>
      <c r="B265" s="941" t="s">
        <v>1395</v>
      </c>
      <c r="C265" s="405" t="s">
        <v>0</v>
      </c>
      <c r="D265" s="423"/>
      <c r="F265" s="6">
        <f>(I6+I10)*3+SUM(H11,H7)*4+SUM(I7,I11)*1</f>
        <v>0</v>
      </c>
      <c r="BN265">
        <f>F265+G265+P265+U265+Z265+AE265+AJ265+AO265+AU265+BF265+BL265+BA265+L265+'ILUMINAÇÃO PUBLICA'!K265</f>
        <v>0</v>
      </c>
    </row>
    <row r="266" spans="1:66">
      <c r="A266" s="334">
        <v>10001123</v>
      </c>
      <c r="B266" s="943" t="s">
        <v>1394</v>
      </c>
      <c r="C266" s="405" t="s">
        <v>0</v>
      </c>
      <c r="D266" s="423"/>
      <c r="F266" s="6">
        <f>SUM(G5,G9)*4</f>
        <v>0</v>
      </c>
      <c r="G266">
        <f>$C$8+$C$11*2</f>
        <v>0</v>
      </c>
      <c r="K266" t="s">
        <v>1085</v>
      </c>
      <c r="L266">
        <f>SUM(L5:L26)*(1)</f>
        <v>0</v>
      </c>
      <c r="T266" t="s">
        <v>1085</v>
      </c>
      <c r="U266">
        <f>SUM(U5:U26)*(1)</f>
        <v>0</v>
      </c>
      <c r="Y266" t="s">
        <v>1085</v>
      </c>
      <c r="Z266">
        <f>SUM(Z5:Z26)*(1)</f>
        <v>0</v>
      </c>
      <c r="AD266" t="s">
        <v>1017</v>
      </c>
      <c r="AE266">
        <f>SUM(AE5:AE26)*(1)</f>
        <v>0</v>
      </c>
      <c r="AI266" t="s">
        <v>1085</v>
      </c>
      <c r="AJ266">
        <f>SUM(AJ5:AL26)*(1)</f>
        <v>0</v>
      </c>
      <c r="AN266" t="s">
        <v>1085</v>
      </c>
      <c r="AO266">
        <f>SUM(AO5:AO26)*(1)</f>
        <v>0</v>
      </c>
      <c r="AT266" t="s">
        <v>1085</v>
      </c>
      <c r="AU266">
        <f>SUM(AU5:AU26)*(1)</f>
        <v>0</v>
      </c>
      <c r="BD266" t="s">
        <v>1085</v>
      </c>
      <c r="BF266">
        <f>SUM(BF5:BF26)*(1)</f>
        <v>0</v>
      </c>
      <c r="BN266">
        <f>F266+G266+P266+U266+Z266+AE266+AJ266+AO266+AU266+BF266+BL266+BA266+L266+'ILUMINAÇÃO PUBLICA'!K266</f>
        <v>0</v>
      </c>
    </row>
    <row r="267" spans="1:66">
      <c r="A267" s="334">
        <v>10001124</v>
      </c>
      <c r="B267" s="943" t="s">
        <v>1393</v>
      </c>
      <c r="C267" s="405" t="s">
        <v>0</v>
      </c>
      <c r="F267" s="6">
        <f>SUM(H9:I9,H5:I5,G10:H10,G6:H6,G11,G7)*4+SUM(I10,I6)*1</f>
        <v>0</v>
      </c>
      <c r="G267">
        <f>$C$9+$C$10+$C$12*2</f>
        <v>0</v>
      </c>
      <c r="K267" t="s">
        <v>1085</v>
      </c>
      <c r="L267">
        <f>SUM(M5:M26,N5:N26)*(1)</f>
        <v>0</v>
      </c>
      <c r="T267" t="s">
        <v>1085</v>
      </c>
      <c r="U267">
        <f>SUM(V5:V26,W5:W26)*(1)</f>
        <v>0</v>
      </c>
      <c r="Y267" t="s">
        <v>1085</v>
      </c>
      <c r="Z267">
        <f>SUM(AA5:AA26,AB5:AB26)*(1)</f>
        <v>0</v>
      </c>
      <c r="AD267" t="s">
        <v>1017</v>
      </c>
      <c r="AE267">
        <f>SUM(AF5:AF26,AG5:AG26)*(1)</f>
        <v>0</v>
      </c>
      <c r="AI267" t="s">
        <v>1085</v>
      </c>
      <c r="AJ267">
        <f>SUM(AK5:AL26)*1</f>
        <v>0</v>
      </c>
      <c r="AN267" t="s">
        <v>1085</v>
      </c>
      <c r="AO267">
        <f>SUM(AP5:AR26)*1</f>
        <v>0</v>
      </c>
      <c r="AT267" t="s">
        <v>1085</v>
      </c>
      <c r="AU267">
        <f>SUM(AV5:AX26)*1</f>
        <v>0</v>
      </c>
      <c r="BD267" t="s">
        <v>1085</v>
      </c>
      <c r="BF267">
        <f>SUM(BG5:BI26)*1</f>
        <v>0</v>
      </c>
      <c r="BN267">
        <f>F267+G267+P267+U267+Z267+AE267+AJ267+AO267+AU267+BF267+BL267+BA267+L267+'ILUMINAÇÃO PUBLICA'!K267</f>
        <v>0</v>
      </c>
    </row>
    <row r="268" spans="1:66">
      <c r="A268">
        <v>10001131</v>
      </c>
      <c r="B268" s="941" t="s">
        <v>1396</v>
      </c>
      <c r="C268" s="405" t="s">
        <v>0</v>
      </c>
      <c r="AZ268" t="s">
        <v>1085</v>
      </c>
      <c r="BA268">
        <f>SUM(BA5:BC26)*1</f>
        <v>0</v>
      </c>
      <c r="BD268" t="s">
        <v>1085</v>
      </c>
      <c r="BF268">
        <f>SUM(BF5:BI26)</f>
        <v>0</v>
      </c>
      <c r="BN268">
        <f>F268+G268+P268+U268+Z268+AE268+AJ268+AO268+AU268+BF268+BL268+BA268+L268+'ILUMINAÇÃO PUBLICA'!K268</f>
        <v>0</v>
      </c>
    </row>
    <row r="269" spans="1:66">
      <c r="A269">
        <v>10001072</v>
      </c>
      <c r="B269" s="941" t="s">
        <v>1397</v>
      </c>
      <c r="C269" s="405" t="s">
        <v>0</v>
      </c>
      <c r="D269" s="423"/>
      <c r="BN269">
        <f>F269+G269+P269+U269+Z269+AE269+AJ269+AO269+AU269+BF269+BL269+BA269+L269+'ILUMINAÇÃO PUBLICA'!K269</f>
        <v>0</v>
      </c>
    </row>
    <row r="270" spans="1:66">
      <c r="B270" s="404" t="s">
        <v>849</v>
      </c>
      <c r="C270" s="405" t="s">
        <v>0</v>
      </c>
      <c r="D270" s="423"/>
      <c r="BN270">
        <f>F270+G270+P270+U270+Z270+AE270+AJ270+AO270+AU270+BF270+BL270+BA270+L270+'ILUMINAÇÃO PUBLICA'!K270</f>
        <v>0</v>
      </c>
    </row>
    <row r="271" spans="1:66">
      <c r="B271" s="404" t="s">
        <v>850</v>
      </c>
      <c r="C271" s="405" t="s">
        <v>0</v>
      </c>
      <c r="D271" s="423"/>
      <c r="BN271">
        <f>F271+G271+P271+U271+Z271+AE271+AJ271+AO271+AU271+BF271+BL271+BA271+L271+'ILUMINAÇÃO PUBLICA'!K271</f>
        <v>0</v>
      </c>
    </row>
    <row r="272" spans="1:66">
      <c r="B272" s="404" t="s">
        <v>9</v>
      </c>
      <c r="C272" s="405" t="s">
        <v>0</v>
      </c>
      <c r="D272" s="423"/>
      <c r="BN272">
        <f>F272+G272+P272+U272+Z272+AE272+AJ272+AO272+AU272+BF272+BL272+BA272+L272+'ILUMINAÇÃO PUBLICA'!K272</f>
        <v>0</v>
      </c>
    </row>
    <row r="273" spans="2:66">
      <c r="B273" s="404" t="s">
        <v>452</v>
      </c>
      <c r="C273" s="405" t="s">
        <v>0</v>
      </c>
      <c r="D273" s="423"/>
      <c r="BN273">
        <f>F273+G273+P273+U273+Z273+AE273+AJ273+AO273+AU273+BF273+BL273+BA273+L273+'ILUMINAÇÃO PUBLICA'!K273</f>
        <v>0</v>
      </c>
    </row>
    <row r="274" spans="2:66">
      <c r="B274" s="404" t="s">
        <v>452</v>
      </c>
      <c r="C274" s="405" t="s">
        <v>0</v>
      </c>
      <c r="D274" s="423"/>
      <c r="BN274">
        <f>F274+G274+P274+U274+Z274+AE274+AJ274+AO274+AU274+BF274+BL274+BA274+L274+'ILUMINAÇÃO PUBLICA'!K274</f>
        <v>0</v>
      </c>
    </row>
    <row r="275" spans="2:66">
      <c r="B275" s="404" t="s">
        <v>10</v>
      </c>
      <c r="C275" s="945" t="s">
        <v>0</v>
      </c>
      <c r="D275" s="423"/>
      <c r="BN275">
        <f>F275+G275+P275+U275+Z275+AE275+AJ275+AO275+AU275+BF275+BL275+BA275+L275+'ILUMINAÇÃO PUBLICA'!K275</f>
        <v>0</v>
      </c>
    </row>
    <row r="276" spans="2:66">
      <c r="B276" s="404" t="s">
        <v>851</v>
      </c>
      <c r="C276" s="945" t="s">
        <v>0</v>
      </c>
      <c r="D276" s="423"/>
      <c r="BN276">
        <f>F276+G276+P276+U276+Z276+AE276+AJ276+AO276+AU276+BF276+BL276+BA276+L276+'ILUMINAÇÃO PUBLICA'!K276</f>
        <v>0</v>
      </c>
    </row>
    <row r="277" spans="2:66">
      <c r="B277" s="404" t="s">
        <v>852</v>
      </c>
      <c r="C277" s="405" t="s">
        <v>0</v>
      </c>
      <c r="D277" s="423"/>
      <c r="BN277">
        <f>F277+G277+P277+U277+Z277+AE277+AJ277+AO277+AU277+BF277+BL277+BA277+L277+'ILUMINAÇÃO PUBLICA'!K277</f>
        <v>0</v>
      </c>
    </row>
    <row r="278" spans="2:66">
      <c r="B278" s="404" t="s">
        <v>853</v>
      </c>
      <c r="C278" s="405"/>
      <c r="D278" s="423"/>
      <c r="BN278">
        <f>F278+G278+P278+U278+Z278+AE278+AJ278+AO278+AU278+BF278+BL278+BA278+L278+'ILUMINAÇÃO PUBLICA'!K278</f>
        <v>0</v>
      </c>
    </row>
    <row r="279" spans="2:66">
      <c r="B279" s="404" t="s">
        <v>854</v>
      </c>
      <c r="C279" s="405" t="s">
        <v>0</v>
      </c>
      <c r="D279" s="423"/>
      <c r="BN279">
        <f>F279+G279+P279+U279+Z279+AE279+AJ279+AO279+AU279+BF279+BL279+BA279+L279+'ILUMINAÇÃO PUBLICA'!K279</f>
        <v>0</v>
      </c>
    </row>
    <row r="280" spans="2:66">
      <c r="B280" s="193" t="s">
        <v>425</v>
      </c>
      <c r="C280" s="405" t="s">
        <v>0</v>
      </c>
      <c r="D280" s="423"/>
      <c r="BN280">
        <f>F280+G280+P280+U280+Z280+AE280+AJ280+AO280+AU280+BF280+BL280+BA280+L280+'ILUMINAÇÃO PUBLICA'!K280</f>
        <v>0</v>
      </c>
    </row>
    <row r="281" spans="2:66">
      <c r="B281" s="193" t="s">
        <v>1084</v>
      </c>
      <c r="C281" s="405" t="s">
        <v>0</v>
      </c>
      <c r="D281" s="423"/>
      <c r="F281">
        <f>SUM(C8:C11)*(6)</f>
        <v>0</v>
      </c>
      <c r="O281">
        <v>3</v>
      </c>
      <c r="P281">
        <f>SUM(P5:P26,Q5:Q26,R5:R26)*(O281)</f>
        <v>0</v>
      </c>
      <c r="T281">
        <v>6</v>
      </c>
      <c r="U281">
        <f>SUM(U5:U26,V5:V26,W5:W26)*(T281)</f>
        <v>0</v>
      </c>
      <c r="Y281">
        <v>6</v>
      </c>
      <c r="Z281">
        <f>SUM(Z5:Z26,AA5:AA26,AB5:AB26)*(Y281)</f>
        <v>0</v>
      </c>
      <c r="AD281">
        <v>3</v>
      </c>
      <c r="AE281">
        <f>SUM(AE5:AE26,AF5:AF26,AG5:AG26)*(AD281)</f>
        <v>0</v>
      </c>
      <c r="AI281">
        <v>6</v>
      </c>
      <c r="AJ281">
        <f>SUM(AJ5:AJ26,AK5:AK26,AL5:AL26)*(AI281)</f>
        <v>0</v>
      </c>
      <c r="AN281">
        <v>6</v>
      </c>
      <c r="AO281">
        <f>SUM(AO5:AO26,AQ5:AQ26,AR5:AR26,AP5:AP26)*(AN281)</f>
        <v>0</v>
      </c>
      <c r="AT281">
        <v>9</v>
      </c>
      <c r="AU281">
        <f>SUM(AU5:AU26,AW5:AW26,AX5:AX26,AV5:AV26)*(AT281)</f>
        <v>0</v>
      </c>
      <c r="AZ281">
        <v>3</v>
      </c>
      <c r="BA281">
        <f>SUM(BA5:BA25)*(AZ281)</f>
        <v>0</v>
      </c>
      <c r="BE281" t="s">
        <v>1573</v>
      </c>
      <c r="BF281">
        <f>SUM(BF5:BF22,BG5:BG22)*6</f>
        <v>0</v>
      </c>
      <c r="BN281">
        <f>F281+G281+P281+U281+Z281+AE281+AJ281+AO281+AU281+BF281+BL281+BA281+L281+'ILUMINAÇÃO PUBLICA'!K281</f>
        <v>0</v>
      </c>
    </row>
    <row r="282" spans="2:66">
      <c r="B282" s="193" t="s">
        <v>1729</v>
      </c>
      <c r="C282" s="405" t="s">
        <v>0</v>
      </c>
      <c r="D282" s="423"/>
      <c r="AZ282" t="s">
        <v>1573</v>
      </c>
      <c r="BA282">
        <f>SUM(BB5:BB22,BC5:BC22)*6+SUM(BA5:BA22)*3</f>
        <v>0</v>
      </c>
      <c r="BE282" t="s">
        <v>1573</v>
      </c>
      <c r="BF282">
        <f>SUM(BH5:BH26,BI5:BI26)*9+SUM(BF5:BF26,BG5:BG26)*3</f>
        <v>0</v>
      </c>
      <c r="BN282">
        <f>F282+G282+P282+U282+Z282+AE282+AJ282+AO282+AU282+BF282+BL282+BA282+L282+'ILUMINAÇÃO PUBLICA'!K282</f>
        <v>0</v>
      </c>
    </row>
    <row r="283" spans="2:66">
      <c r="B283" s="404" t="s">
        <v>855</v>
      </c>
      <c r="C283" s="405" t="s">
        <v>0</v>
      </c>
      <c r="D283" s="423"/>
      <c r="BN283">
        <f>F283+G283+P283+U283+Z283+AE283+AJ283+AO283+AU283+BF283+BL283+BA283+L283+'ILUMINAÇÃO PUBLICA'!K283</f>
        <v>0</v>
      </c>
    </row>
    <row r="284" spans="2:66">
      <c r="B284" s="404" t="s">
        <v>856</v>
      </c>
      <c r="C284" s="405" t="s">
        <v>0</v>
      </c>
      <c r="D284" s="423"/>
      <c r="BN284">
        <f>F284+G284+P284+U284+Z284+AE284+AJ284+AO284+AU284+BF284+BL284+BA284+L284+'ILUMINAÇÃO PUBLICA'!K284</f>
        <v>0</v>
      </c>
    </row>
    <row r="285" spans="2:66">
      <c r="B285" s="404" t="s">
        <v>857</v>
      </c>
      <c r="C285" s="405" t="s">
        <v>0</v>
      </c>
      <c r="D285" s="423"/>
      <c r="BN285">
        <f>F285+G285+P285+U285+Z285+AE285+AJ285+AO285+AU285+BF285+BL285+BA285+L285+'ILUMINAÇÃO PUBLICA'!K285</f>
        <v>0</v>
      </c>
    </row>
    <row r="286" spans="2:66">
      <c r="B286" s="404" t="s">
        <v>858</v>
      </c>
      <c r="C286" s="405" t="s">
        <v>0</v>
      </c>
      <c r="D286" s="423"/>
      <c r="BN286">
        <f>F286+G286+P286+U286+Z286+AE286+AJ286+AO286+AU286+BF286+BL286+BA286+L286+'ILUMINAÇÃO PUBLICA'!K286</f>
        <v>0</v>
      </c>
    </row>
    <row r="287" spans="2:66">
      <c r="B287" s="404" t="s">
        <v>11</v>
      </c>
      <c r="C287" s="405" t="s">
        <v>0</v>
      </c>
      <c r="D287" s="423"/>
      <c r="K287">
        <v>1</v>
      </c>
      <c r="L287">
        <f>SUM(L6:L9,M6:M9)*K287</f>
        <v>0</v>
      </c>
      <c r="BN287">
        <f>F287+G287+P287+U287+Z287+AE287+AJ287+AO287+AU287+BF287+BL287+BA287+L287+'ILUMINAÇÃO PUBLICA'!K287</f>
        <v>0</v>
      </c>
    </row>
    <row r="288" spans="2:66">
      <c r="B288" s="193" t="s">
        <v>848</v>
      </c>
      <c r="C288" s="405" t="s">
        <v>0</v>
      </c>
      <c r="D288" s="423"/>
      <c r="BN288">
        <f>F288+G288+P288+U288+Z288+AE288+AJ288+AO288+AU288+BF288+BL288+BA288+L288+'ILUMINAÇÃO PUBLICA'!K288</f>
        <v>0</v>
      </c>
    </row>
    <row r="289" spans="2:66">
      <c r="B289" s="404" t="s">
        <v>859</v>
      </c>
      <c r="C289" s="405" t="s">
        <v>0</v>
      </c>
      <c r="D289" s="423"/>
      <c r="BN289">
        <f>F289+G289+P289+U289+Z289+AE289+AJ289+AO289+AU289+BF289+BL289+BA289+L289+'ILUMINAÇÃO PUBLICA'!K289</f>
        <v>0</v>
      </c>
    </row>
    <row r="290" spans="2:66">
      <c r="B290" s="404" t="s">
        <v>860</v>
      </c>
      <c r="C290" s="405" t="s">
        <v>0</v>
      </c>
      <c r="D290" s="423"/>
      <c r="BN290">
        <f>F290+G290+P290+U290+Z290+AE290+AJ290+AO290+AU290+BF290+BL290+BA290+L290+'ILUMINAÇÃO PUBLICA'!K290</f>
        <v>0</v>
      </c>
    </row>
    <row r="291" spans="2:66">
      <c r="B291" s="404" t="s">
        <v>861</v>
      </c>
      <c r="C291" s="405" t="s">
        <v>0</v>
      </c>
      <c r="D291" s="423"/>
      <c r="BN291">
        <f>F291+G291+P291+U291+Z291+AE291+AJ291+AO291+AU291+BF291+BL291+BA291+L291+'ILUMINAÇÃO PUBLICA'!K291</f>
        <v>0</v>
      </c>
    </row>
    <row r="292" spans="2:66">
      <c r="B292" s="404" t="s">
        <v>862</v>
      </c>
      <c r="C292" s="405" t="s">
        <v>0</v>
      </c>
      <c r="D292" s="423"/>
      <c r="BN292">
        <f>F292+G292+P292+U292+Z292+AE292+AJ292+AO292+AU292+BF292+BL292+BA292+L292+'ILUMINAÇÃO PUBLICA'!K292</f>
        <v>0</v>
      </c>
    </row>
    <row r="293" spans="2:66">
      <c r="B293" s="404" t="s">
        <v>863</v>
      </c>
      <c r="C293" s="405" t="s">
        <v>0</v>
      </c>
      <c r="D293" s="423"/>
      <c r="BN293">
        <f>F293+G293+P293+U293+Z293+AE293+AJ293+AO293+AU293+BF293+BL293+BA293+L293+'ILUMINAÇÃO PUBLICA'!K293</f>
        <v>0</v>
      </c>
    </row>
    <row r="294" spans="2:66">
      <c r="B294" s="404" t="s">
        <v>864</v>
      </c>
      <c r="C294" s="405" t="s">
        <v>0</v>
      </c>
      <c r="D294" s="423"/>
      <c r="BN294">
        <f>F294+G294+P294+U294+Z294+AE294+AJ294+AO294+AU294+BF294+BL294+BA294+L294+'ILUMINAÇÃO PUBLICA'!K294</f>
        <v>0</v>
      </c>
    </row>
    <row r="295" spans="2:66">
      <c r="B295" s="404" t="s">
        <v>865</v>
      </c>
      <c r="C295" s="405" t="s">
        <v>0</v>
      </c>
      <c r="D295" s="423"/>
      <c r="BN295">
        <f>F295+G295+P295+U295+Z295+AE295+AJ295+AO295+AU295+BF295+BL295+BA295+L295+'ILUMINAÇÃO PUBLICA'!K295</f>
        <v>0</v>
      </c>
    </row>
    <row r="296" spans="2:66">
      <c r="B296" s="404" t="s">
        <v>866</v>
      </c>
      <c r="C296" s="405" t="s">
        <v>0</v>
      </c>
      <c r="D296" s="423"/>
      <c r="BN296">
        <f>F296+G296+P296+U296+Z296+AE296+AJ296+AO296+AU296+BF296+BL296+BA296+L296+'ILUMINAÇÃO PUBLICA'!K296</f>
        <v>0</v>
      </c>
    </row>
    <row r="297" spans="2:66">
      <c r="B297" s="404" t="s">
        <v>867</v>
      </c>
      <c r="C297" s="405" t="s">
        <v>0</v>
      </c>
      <c r="D297" s="423"/>
      <c r="BN297">
        <f>F297+G297+P297+U297+Z297+AE297+AJ297+AO297+AU297+BF297+BL297+BA297+L297+'ILUMINAÇÃO PUBLICA'!K297</f>
        <v>0</v>
      </c>
    </row>
    <row r="298" spans="2:66">
      <c r="B298" s="944" t="s">
        <v>868</v>
      </c>
      <c r="C298" s="405" t="s">
        <v>0</v>
      </c>
      <c r="D298" s="423"/>
      <c r="BN298">
        <f>F298+G298+P298+U298+Z298+AE298+AJ298+AO298+AU298+BF298+BL298+BA298+L298+'ILUMINAÇÃO PUBLICA'!K298</f>
        <v>0</v>
      </c>
    </row>
    <row r="299" spans="2:66">
      <c r="B299" s="944" t="s">
        <v>869</v>
      </c>
      <c r="C299" s="405" t="s">
        <v>0</v>
      </c>
      <c r="D299" s="423"/>
      <c r="BN299">
        <f>F299+G299+P299+U299+Z299+AE299+AJ299+AO299+AU299+BF299+BL299+BA299+L299+'ILUMINAÇÃO PUBLICA'!K299</f>
        <v>0</v>
      </c>
    </row>
    <row r="300" spans="2:66">
      <c r="B300" s="944" t="s">
        <v>870</v>
      </c>
      <c r="C300" s="405" t="s">
        <v>0</v>
      </c>
      <c r="D300" s="423"/>
      <c r="BN300">
        <f>F300+G300+P300+U300+Z300+AE300+AJ300+AO300+AU300+BF300+BL300+BA300+L300+'ILUMINAÇÃO PUBLICA'!K300</f>
        <v>0</v>
      </c>
    </row>
    <row r="301" spans="2:66">
      <c r="B301" s="944" t="s">
        <v>871</v>
      </c>
      <c r="C301" s="405" t="s">
        <v>0</v>
      </c>
      <c r="D301" s="423"/>
      <c r="BN301">
        <f>F301+G301+P301+U301+Z301+AE301+AJ301+AO301+AU301+BF301+BL301+BA301+L301+'ILUMINAÇÃO PUBLICA'!K301</f>
        <v>0</v>
      </c>
    </row>
    <row r="302" spans="2:66">
      <c r="B302" s="944" t="s">
        <v>872</v>
      </c>
      <c r="C302" s="405" t="s">
        <v>0</v>
      </c>
      <c r="D302" s="423"/>
      <c r="BN302">
        <f>F302+G302+P302+U302+Z302+AE302+AJ302+AO302+AU302+BF302+BL302+BA302+L302+'ILUMINAÇÃO PUBLICA'!K302</f>
        <v>0</v>
      </c>
    </row>
    <row r="303" spans="2:66">
      <c r="B303" s="944" t="s">
        <v>873</v>
      </c>
      <c r="C303" s="405" t="s">
        <v>0</v>
      </c>
      <c r="D303" s="423"/>
      <c r="BN303">
        <f>F303+G303+P303+U303+Z303+AE303+AJ303+AO303+AU303+BF303+BL303+BA303+L303+'ILUMINAÇÃO PUBLICA'!K303</f>
        <v>0</v>
      </c>
    </row>
    <row r="304" spans="2:66">
      <c r="B304" s="944" t="s">
        <v>874</v>
      </c>
      <c r="C304" s="405" t="s">
        <v>0</v>
      </c>
      <c r="D304" s="423"/>
      <c r="BN304">
        <f>F304+G304+P304+U304+Z304+AE304+AJ304+AO304+AU304+BF304+BL304+BA304+L304+'ILUMINAÇÃO PUBLICA'!K304</f>
        <v>0</v>
      </c>
    </row>
    <row r="305" spans="1:66">
      <c r="B305" s="944" t="s">
        <v>875</v>
      </c>
      <c r="C305" s="405" t="s">
        <v>0</v>
      </c>
      <c r="D305" s="423"/>
      <c r="BN305">
        <f>F305+G305+P305+U305+Z305+AE305+AJ305+AO305+AU305+BF305+BL305+BA305+L305+'ILUMINAÇÃO PUBLICA'!K305</f>
        <v>0</v>
      </c>
    </row>
    <row r="306" spans="1:66">
      <c r="B306" s="944" t="s">
        <v>876</v>
      </c>
      <c r="C306" s="405" t="s">
        <v>0</v>
      </c>
      <c r="D306" s="423"/>
      <c r="BN306">
        <f>F306+G306+P306+U306+Z306+AE306+AJ306+AO306+AU306+BF306+BL306+BA306+L306+'ILUMINAÇÃO PUBLICA'!K306</f>
        <v>0</v>
      </c>
    </row>
    <row r="307" spans="1:66">
      <c r="B307" s="404" t="s">
        <v>877</v>
      </c>
      <c r="C307" s="405" t="s">
        <v>0</v>
      </c>
      <c r="D307" s="423"/>
      <c r="BN307">
        <f>F307+G307+P307+U307+Z307+AE307+AJ307+AO307+AU307+BF307+BL307+BA307+L307+'ILUMINAÇÃO PUBLICA'!K307</f>
        <v>0</v>
      </c>
    </row>
    <row r="308" spans="1:66">
      <c r="B308" s="404" t="s">
        <v>878</v>
      </c>
      <c r="C308" s="405" t="s">
        <v>0</v>
      </c>
      <c r="D308" s="423"/>
      <c r="BN308">
        <f>F308+G308+P308+U308+Z308+AE308+AJ308+AO308+AU308+BF308+BL308+BA308+L308+'ILUMINAÇÃO PUBLICA'!K308</f>
        <v>0</v>
      </c>
    </row>
    <row r="309" spans="1:66">
      <c r="B309" s="404" t="s">
        <v>287</v>
      </c>
      <c r="C309" s="405" t="s">
        <v>0</v>
      </c>
      <c r="D309" s="423"/>
      <c r="BN309">
        <f>F309+G309+P309+U309+Z309+AE309+AJ309+AO309+AU309+BF309+BL309+BA309+L309+'ILUMINAÇÃO PUBLICA'!K309</f>
        <v>0</v>
      </c>
    </row>
    <row r="310" spans="1:66">
      <c r="B310" s="404" t="s">
        <v>879</v>
      </c>
      <c r="C310" s="405" t="s">
        <v>0</v>
      </c>
      <c r="D310" s="423"/>
      <c r="BN310">
        <f>F310+G310+P310+U310+Z310+AE310+AJ310+AO310+AU310+BF310+BL310+BA310+L310+'ILUMINAÇÃO PUBLICA'!K310</f>
        <v>0</v>
      </c>
    </row>
    <row r="311" spans="1:66">
      <c r="B311" s="404" t="s">
        <v>880</v>
      </c>
      <c r="C311" s="405" t="s">
        <v>0</v>
      </c>
      <c r="D311" s="423"/>
      <c r="BN311">
        <f>F311+G311+P311+U311+Z311+AE311+AJ311+AO311+AU311+BF311+BL311+BA311+L311+'ILUMINAÇÃO PUBLICA'!K311</f>
        <v>0</v>
      </c>
    </row>
    <row r="312" spans="1:66">
      <c r="B312" s="404" t="s">
        <v>881</v>
      </c>
      <c r="C312" s="405" t="s">
        <v>0</v>
      </c>
      <c r="D312" s="423"/>
      <c r="BN312">
        <f>F312+G312+P312+U312+Z312+AE312+AJ312+AO312+AU312+BF312+BL312+BA312+L312+'ILUMINAÇÃO PUBLICA'!K312</f>
        <v>0</v>
      </c>
    </row>
    <row r="313" spans="1:66">
      <c r="B313" s="404" t="s">
        <v>882</v>
      </c>
      <c r="C313" s="405" t="s">
        <v>0</v>
      </c>
      <c r="D313" s="423"/>
      <c r="BN313">
        <f>F313+G313+P313+U313+Z313+AE313+AJ313+AO313+AU313+BF313+BL313+BA313+L313+'ILUMINAÇÃO PUBLICA'!K313</f>
        <v>0</v>
      </c>
    </row>
    <row r="314" spans="1:66">
      <c r="B314" s="944" t="s">
        <v>883</v>
      </c>
      <c r="C314" s="405" t="s">
        <v>0</v>
      </c>
      <c r="D314" s="423"/>
      <c r="BN314">
        <f>F314+G314+P314+U314+Z314+AE314+AJ314+AO314+AU314+BF314+BL314+BA314+L314+'ILUMINAÇÃO PUBLICA'!K314</f>
        <v>0</v>
      </c>
    </row>
    <row r="315" spans="1:66">
      <c r="B315" s="404" t="s">
        <v>884</v>
      </c>
      <c r="C315" s="405" t="s">
        <v>0</v>
      </c>
      <c r="D315" s="423"/>
      <c r="BN315">
        <f>F315+G315+P315+U315+Z315+AE315+AJ315+AO315+AU315+BF315+BL315+BA315+L315+'ILUMINAÇÃO PUBLICA'!K315</f>
        <v>0</v>
      </c>
    </row>
    <row r="316" spans="1:66">
      <c r="A316" s="209">
        <v>3580</v>
      </c>
      <c r="B316" s="940" t="s">
        <v>410</v>
      </c>
      <c r="C316" s="405" t="s">
        <v>0</v>
      </c>
      <c r="D316" s="423"/>
      <c r="K316">
        <v>1</v>
      </c>
      <c r="L316">
        <f>SUM(L6:L9,M6:M9)*K316</f>
        <v>0</v>
      </c>
      <c r="Y316">
        <v>1</v>
      </c>
      <c r="Z316">
        <f>SUM(Z5:Z26,AA5:AA26,AB5:AB26)*(Y316)</f>
        <v>0</v>
      </c>
      <c r="AD316">
        <v>1</v>
      </c>
      <c r="AE316">
        <f>SUM(AE5:AE26,AF5:AF26,AG5:AG26)*(AD316)</f>
        <v>0</v>
      </c>
      <c r="AO316">
        <f>SUM(AO5:AO26,AQ5:AQ26,AR5:AR26,AP5:AP26)*(AN316)</f>
        <v>0</v>
      </c>
      <c r="AU316">
        <f>SUM(AU5:AU26,AW5:AW26,AX5:AX26,AV5:AV26)*(AT316)</f>
        <v>0</v>
      </c>
      <c r="BN316">
        <f>F316+G316+P316+U316+Z316+AE316+AJ316+AO316+AU316+BF316+BL316+BA316+L316+'ILUMINAÇÃO PUBLICA'!K316</f>
        <v>0</v>
      </c>
    </row>
    <row r="317" spans="1:66">
      <c r="B317" s="404" t="s">
        <v>885</v>
      </c>
      <c r="C317" s="405" t="s">
        <v>0</v>
      </c>
      <c r="D317" s="423"/>
      <c r="BN317">
        <f>F317+G317+P317+U317+Z317+AE317+AJ317+AO317+AU317+BF317+BL317+BA317+L317+'ILUMINAÇÃO PUBLICA'!K317</f>
        <v>0</v>
      </c>
    </row>
    <row r="318" spans="1:66">
      <c r="B318" s="404" t="s">
        <v>886</v>
      </c>
      <c r="C318" s="405" t="s">
        <v>0</v>
      </c>
      <c r="D318" s="423"/>
      <c r="BN318">
        <f>F318+G318+P318+U318+Z318+AE318+AJ318+AO318+AU318+BF318+BL318+BA318+L318+'ILUMINAÇÃO PUBLICA'!K318</f>
        <v>0</v>
      </c>
    </row>
    <row r="319" spans="1:66">
      <c r="B319" s="404" t="s">
        <v>887</v>
      </c>
      <c r="C319" s="405" t="s">
        <v>0</v>
      </c>
      <c r="D319" s="423"/>
      <c r="BN319">
        <f>F319+G319+P319+U319+Z319+AE319+AJ319+AO319+AU319+BF319+BL319+BA319+L319+'ILUMINAÇÃO PUBLICA'!K319</f>
        <v>0</v>
      </c>
    </row>
    <row r="320" spans="1:66">
      <c r="B320" s="404" t="s">
        <v>888</v>
      </c>
      <c r="C320" s="405" t="s">
        <v>0</v>
      </c>
      <c r="D320" s="423"/>
      <c r="BN320">
        <f>F320+G320+P320+U320+Z320+AE320+AJ320+AO320+AU320+BF320+BL320+BA320+L320+'ILUMINAÇÃO PUBLICA'!K320</f>
        <v>0</v>
      </c>
    </row>
    <row r="321" spans="2:66">
      <c r="B321" s="404" t="s">
        <v>889</v>
      </c>
      <c r="C321" s="405" t="s">
        <v>0</v>
      </c>
      <c r="D321" s="423"/>
      <c r="BN321">
        <f>F321+G321+P321+U321+Z321+AE321+AJ321+AO321+AU321+BF321+BL321+BA321+L321+'ILUMINAÇÃO PUBLICA'!K321</f>
        <v>0</v>
      </c>
    </row>
    <row r="322" spans="2:66">
      <c r="B322" s="404" t="s">
        <v>890</v>
      </c>
      <c r="C322" s="405" t="s">
        <v>0</v>
      </c>
      <c r="D322" s="423"/>
      <c r="BN322">
        <f>F322+G322+P322+U322+Z322+AE322+AJ322+AO322+AU322+BF322+BL322+BA322+L322+'ILUMINAÇÃO PUBLICA'!K322</f>
        <v>0</v>
      </c>
    </row>
    <row r="323" spans="2:66">
      <c r="B323" s="404" t="s">
        <v>891</v>
      </c>
      <c r="C323" s="405" t="s">
        <v>0</v>
      </c>
      <c r="D323" s="423"/>
      <c r="BN323">
        <f>F323+G323+P323+U323+Z323+AE323+AJ323+AO323+AU323+BF323+BL323+BA323+L323+'ILUMINAÇÃO PUBLICA'!K323</f>
        <v>0</v>
      </c>
    </row>
    <row r="324" spans="2:66">
      <c r="B324" s="3" t="s">
        <v>489</v>
      </c>
      <c r="C324" s="405" t="s">
        <v>0</v>
      </c>
      <c r="D324" s="423"/>
      <c r="BN324">
        <f>F324+G324+P324+U324+Z324+AE324+AJ324+AO324+AU324+BF324+BL324+BA324+L324+'ILUMINAÇÃO PUBLICA'!K324</f>
        <v>0</v>
      </c>
    </row>
    <row r="325" spans="2:66">
      <c r="B325" s="3" t="s">
        <v>488</v>
      </c>
      <c r="C325" s="405" t="s">
        <v>0</v>
      </c>
      <c r="D325" s="423"/>
      <c r="BN325">
        <f>F325+G325+P325+U325+Z325+AE325+AJ325+AO325+AU325+BF325+BL325+BA325+L325+'ILUMINAÇÃO PUBLICA'!K325</f>
        <v>0</v>
      </c>
    </row>
    <row r="326" spans="2:66">
      <c r="B326" s="3" t="s">
        <v>50</v>
      </c>
      <c r="C326" s="405" t="s">
        <v>0</v>
      </c>
      <c r="D326" s="423"/>
      <c r="BN326">
        <f>F326+G326+P326+U326+Z326+AE326+AJ326+AO326+AU326+BF326+BL326+BA326+L326+'ILUMINAÇÃO PUBLICA'!K326</f>
        <v>0</v>
      </c>
    </row>
    <row r="327" spans="2:66">
      <c r="B327" s="67" t="s">
        <v>245</v>
      </c>
      <c r="C327" s="405" t="s">
        <v>0</v>
      </c>
      <c r="D327" s="423"/>
      <c r="BN327">
        <f>F327+G327+P327+U327+Z327+AE327+AJ327+AO327+AU327+BF327+BL327+BA327+L327+'ILUMINAÇÃO PUBLICA'!K327</f>
        <v>0</v>
      </c>
    </row>
    <row r="328" spans="2:66">
      <c r="B328" s="67" t="s">
        <v>246</v>
      </c>
      <c r="C328" s="405" t="s">
        <v>0</v>
      </c>
      <c r="D328" s="423"/>
      <c r="BN328">
        <f>F328+G328+P328+U328+Z328+AE328+AJ328+AO328+AU328+BF328+BL328+BA328+L328+'ILUMINAÇÃO PUBLICA'!K328</f>
        <v>0</v>
      </c>
    </row>
    <row r="329" spans="2:66">
      <c r="B329" s="404" t="s">
        <v>897</v>
      </c>
      <c r="C329" s="405" t="s">
        <v>0</v>
      </c>
      <c r="D329" s="423"/>
      <c r="BN329">
        <f>F329+G329+P329+U329+Z329+AE329+AJ329+AO329+AU329+BF329+BL329+BA329+L329+'ILUMINAÇÃO PUBLICA'!K329</f>
        <v>0</v>
      </c>
    </row>
    <row r="330" spans="2:66">
      <c r="B330" s="404" t="s">
        <v>898</v>
      </c>
      <c r="C330" s="405" t="s">
        <v>0</v>
      </c>
      <c r="D330" s="423"/>
      <c r="BN330">
        <f>F330+G330+P330+U330+Z330+AE330+AJ330+AO330+AU330+BF330+BL330+BA330+L330+'ILUMINAÇÃO PUBLICA'!K330</f>
        <v>0</v>
      </c>
    </row>
    <row r="331" spans="2:66">
      <c r="B331" s="404" t="s">
        <v>899</v>
      </c>
      <c r="C331" s="405" t="s">
        <v>0</v>
      </c>
      <c r="D331" s="423"/>
      <c r="BN331">
        <f>F331+G331+P331+U331+Z331+AE331+AJ331+AO331+AU331+BF331+BL331+BA331+L331+'ILUMINAÇÃO PUBLICA'!K331</f>
        <v>0</v>
      </c>
    </row>
    <row r="332" spans="2:66">
      <c r="B332" s="404" t="s">
        <v>900</v>
      </c>
      <c r="C332" s="405" t="s">
        <v>0</v>
      </c>
      <c r="D332" s="423"/>
      <c r="BN332">
        <f>F332+G332+P332+U332+Z332+AE332+AJ332+AO332+AU332+BF332+BL332+BA332+L332+'ILUMINAÇÃO PUBLICA'!K332</f>
        <v>0</v>
      </c>
    </row>
    <row r="333" spans="2:66">
      <c r="B333" s="404" t="s">
        <v>901</v>
      </c>
      <c r="C333" s="405" t="s">
        <v>0</v>
      </c>
      <c r="D333" s="423"/>
      <c r="BN333">
        <f>F333+G333+P333+U333+Z333+AE333+AJ333+AO333+AU333+BF333+BL333+BA333+L333+'ILUMINAÇÃO PUBLICA'!K333</f>
        <v>0</v>
      </c>
    </row>
    <row r="334" spans="2:66">
      <c r="B334" s="404" t="s">
        <v>902</v>
      </c>
      <c r="C334" s="405" t="s">
        <v>0</v>
      </c>
      <c r="D334" s="423"/>
      <c r="BN334">
        <f>F334+G334+P334+U334+Z334+AE334+AJ334+AO334+AU334+BF334+BL334+BA334+L334+'ILUMINAÇÃO PUBLICA'!K334</f>
        <v>0</v>
      </c>
    </row>
    <row r="335" spans="2:66">
      <c r="B335" s="404" t="s">
        <v>903</v>
      </c>
      <c r="C335" s="405" t="s">
        <v>0</v>
      </c>
      <c r="D335" s="423"/>
      <c r="BN335">
        <f>F335+G335+P335+U335+Z335+AE335+AJ335+AO335+AU335+BF335+BL335+BA335+L335+'ILUMINAÇÃO PUBLICA'!K335</f>
        <v>0</v>
      </c>
    </row>
    <row r="336" spans="2:66">
      <c r="B336" s="404" t="s">
        <v>904</v>
      </c>
      <c r="C336" s="405" t="s">
        <v>0</v>
      </c>
      <c r="D336" s="423"/>
      <c r="BN336">
        <f>F336+G336+P336+U336+Z336+AE336+AJ336+AO336+AU336+BF336+BL336+BA336+L336+'ILUMINAÇÃO PUBLICA'!K336</f>
        <v>0</v>
      </c>
    </row>
    <row r="337" spans="2:66">
      <c r="B337" s="210" t="s">
        <v>1481</v>
      </c>
      <c r="C337" s="405" t="s">
        <v>0</v>
      </c>
      <c r="D337" s="423"/>
      <c r="BN337">
        <f>F337+G337+P337+U337+Z337+AE337+AJ337+AO337+AU337+BF337+BL337+BA337+L337+'ILUMINAÇÃO PUBLICA'!K337</f>
        <v>0</v>
      </c>
    </row>
    <row r="338" spans="2:66">
      <c r="B338" s="404" t="s">
        <v>905</v>
      </c>
      <c r="C338" s="405" t="s">
        <v>0</v>
      </c>
      <c r="D338" s="423"/>
      <c r="BN338">
        <f>F338+G338+P338+U338+Z338+AE338+AJ338+AO338+AU338+BF338+BL338+BA338+L338+'ILUMINAÇÃO PUBLICA'!K338</f>
        <v>0</v>
      </c>
    </row>
    <row r="339" spans="2:66">
      <c r="B339" s="404" t="s">
        <v>906</v>
      </c>
      <c r="C339" s="405" t="s">
        <v>0</v>
      </c>
      <c r="D339" s="423"/>
      <c r="BN339">
        <f>F339+G339+P339+U339+Z339+AE339+AJ339+AO339+AU339+BF339+BL339+BA339+L339+'ILUMINAÇÃO PUBLICA'!K339</f>
        <v>0</v>
      </c>
    </row>
    <row r="340" spans="2:66">
      <c r="B340" s="404" t="s">
        <v>907</v>
      </c>
      <c r="C340" s="405" t="s">
        <v>0</v>
      </c>
      <c r="D340" s="423"/>
      <c r="BN340">
        <f>F340+G340+P340+U340+Z340+AE340+AJ340+AO340+AU340+BF340+BL340+BA340+L340+'ILUMINAÇÃO PUBLICA'!K340</f>
        <v>0</v>
      </c>
    </row>
    <row r="341" spans="2:66">
      <c r="B341" s="404" t="s">
        <v>908</v>
      </c>
      <c r="C341" s="405" t="s">
        <v>0</v>
      </c>
      <c r="D341" s="423"/>
      <c r="BN341">
        <f>F341+G341+P341+U341+Z341+AE341+AJ341+AO341+AU341+BF341+BL341+BA341+L341+'ILUMINAÇÃO PUBLICA'!K341</f>
        <v>0</v>
      </c>
    </row>
    <row r="342" spans="2:66">
      <c r="B342" s="404" t="s">
        <v>999</v>
      </c>
      <c r="C342" s="405" t="s">
        <v>0</v>
      </c>
      <c r="D342" s="424">
        <f>SUM(C5:C7)/(6.01)</f>
        <v>0</v>
      </c>
      <c r="H342" s="420"/>
      <c r="I342" s="420"/>
      <c r="BN342">
        <f>F342+G342+P342+U342+Z342+AE342+AJ342+AO342+AU342+BF342+BL342+BA342+L342+'ILUMINAÇÃO PUBLICA'!K342</f>
        <v>0</v>
      </c>
    </row>
    <row r="343" spans="2:66">
      <c r="B343" s="404" t="s">
        <v>998</v>
      </c>
      <c r="C343" s="405" t="s">
        <v>0</v>
      </c>
      <c r="D343" s="423"/>
      <c r="BN343">
        <f>F343+G343+P343+U343+Z343+AE343+AJ343+AO343+AU343+BF343+BL343+BA343+L343+'ILUMINAÇÃO PUBLICA'!K343</f>
        <v>0</v>
      </c>
    </row>
    <row r="344" spans="2:66">
      <c r="B344" s="404" t="s">
        <v>909</v>
      </c>
      <c r="C344" s="405" t="s">
        <v>0</v>
      </c>
      <c r="D344" s="423"/>
      <c r="BN344">
        <f>F344+G344+P344+U344+Z344+AE344+AJ344+AO344+AU344+BF344+BL344+BA344+L344+'ILUMINAÇÃO PUBLICA'!K344</f>
        <v>0</v>
      </c>
    </row>
    <row r="345" spans="2:66">
      <c r="B345" s="404" t="s">
        <v>1060</v>
      </c>
      <c r="C345" s="405" t="s">
        <v>0</v>
      </c>
      <c r="D345" s="423"/>
      <c r="BN345">
        <f>F345+G345+P345+U345+Z345+AE345+AJ345+AO345+AU345+BF345+BL345+BA345+L345+'ILUMINAÇÃO PUBLICA'!K345</f>
        <v>0</v>
      </c>
    </row>
    <row r="346" spans="2:66">
      <c r="B346" s="404" t="s">
        <v>995</v>
      </c>
      <c r="C346" s="405" t="s">
        <v>0</v>
      </c>
      <c r="D346" s="423"/>
      <c r="F346">
        <f>SUM(C8:C12)*(0.04)</f>
        <v>0</v>
      </c>
      <c r="O346" t="s">
        <v>1085</v>
      </c>
      <c r="P346">
        <f>SUM(P5:P26)*(0.4)+SUM(Q5:Q26)*(0.08)+SUM(R5:R26)*(0.095)</f>
        <v>0</v>
      </c>
      <c r="T346" t="s">
        <v>1085</v>
      </c>
      <c r="U346">
        <f>SUM(U5:U26)*(0.04)+SUM(V5:V26)*(0.08)+SUM(W5:W26)*(0.095)</f>
        <v>0</v>
      </c>
      <c r="Y346" t="s">
        <v>1085</v>
      </c>
      <c r="Z346">
        <f>SUM(Z5:Z26)*(0.04)+SUM(AA5:AA26)*(0.08)+SUM(AB5:AB26)*(0.095)</f>
        <v>0</v>
      </c>
      <c r="AT346" t="s">
        <v>1085</v>
      </c>
      <c r="AU346">
        <f>SUM(AU5:AU26)*(0.06)+SUM(AW5:AW26,AV5:AV26)*(0.09)+SUM(AX5:AX26)*(0.13)</f>
        <v>0</v>
      </c>
      <c r="AZ346" t="s">
        <v>1085</v>
      </c>
      <c r="BA346">
        <f>SUM(BA5:BA26)*(0.04)+SUM(BB5:BB26)*(0.085)+SUM(BC5:BC26)*(0.099)</f>
        <v>0</v>
      </c>
      <c r="BE346" t="s">
        <v>1085</v>
      </c>
      <c r="BF346">
        <f>SUM(BF5:BF26,BG5:BG26)*(0.04)+SUM(BH5:BH26)*(0.085)+SUM(BI5:BI26)*(0.12)</f>
        <v>0</v>
      </c>
      <c r="BN346">
        <f>F346+G346+P346+U346+Z346+AE346+AJ346+AO346+AU346+BF346+BL346+BA346+L346+'ILUMINAÇÃO PUBLICA'!K346</f>
        <v>0</v>
      </c>
    </row>
    <row r="347" spans="2:66">
      <c r="B347" s="404" t="s">
        <v>910</v>
      </c>
      <c r="C347" s="405" t="s">
        <v>0</v>
      </c>
      <c r="D347" s="423"/>
      <c r="BN347">
        <f>F347+G347+P347+U347+Z347+AE347+AJ347+AO347+AU347+BF347+BL347+BA347+L347+'ILUMINAÇÃO PUBLICA'!K347</f>
        <v>0</v>
      </c>
    </row>
    <row r="348" spans="2:66">
      <c r="B348" s="404" t="s">
        <v>911</v>
      </c>
      <c r="C348" s="405" t="s">
        <v>0</v>
      </c>
      <c r="D348" s="423"/>
      <c r="BN348">
        <f>F348+G348+P348+U348+Z348+AE348+AJ348+AO348+AU348+BF348+BL348+BA348+L348+'ILUMINAÇÃO PUBLICA'!K348</f>
        <v>0</v>
      </c>
    </row>
    <row r="349" spans="2:66">
      <c r="B349" s="404" t="s">
        <v>912</v>
      </c>
      <c r="C349" s="405" t="s">
        <v>0</v>
      </c>
      <c r="D349" s="423"/>
      <c r="BN349">
        <f>F349+G349+P349+U349+Z349+AE349+AJ349+AO349+AU349+BF349+BL349+BA349+L349+'ILUMINAÇÃO PUBLICA'!K349</f>
        <v>0</v>
      </c>
    </row>
    <row r="350" spans="2:66">
      <c r="B350" s="404" t="s">
        <v>1081</v>
      </c>
      <c r="C350" s="405" t="s">
        <v>168</v>
      </c>
      <c r="D350" s="423"/>
      <c r="E350">
        <v>0.04</v>
      </c>
      <c r="F350">
        <f>SUM(G5:G7,H5:H7,I5:I7,G9:G11,H9:H11,I9:I11)*(E350)</f>
        <v>0</v>
      </c>
      <c r="T350">
        <v>0.06</v>
      </c>
      <c r="U350">
        <f>SUM(U5:U26,V5:V26,W5:W26)*(T350)</f>
        <v>0</v>
      </c>
      <c r="Y350">
        <v>0.12</v>
      </c>
      <c r="Z350">
        <f>SUM(Z5:Z26,AA5:AA26,AB5:AB26)*(Y350)</f>
        <v>0</v>
      </c>
      <c r="AD350">
        <v>0.06</v>
      </c>
      <c r="AE350">
        <f>SUM(AE5:AE26,AF5:AF26,AG5:AG26)*(AD350)</f>
        <v>0</v>
      </c>
      <c r="AI350">
        <v>0.04</v>
      </c>
      <c r="AJ350">
        <f>SUM(AJ5:AJ26,AK5:AK26,AL5:AL26)*(AI350)</f>
        <v>0</v>
      </c>
      <c r="AN350">
        <v>1.2E-2</v>
      </c>
      <c r="AO350">
        <f>SUM(AO5:AO26,AQ5:AQ26,AR5:AR26,AP5:AP26)*(AN350)</f>
        <v>0</v>
      </c>
      <c r="AT350">
        <v>0.06</v>
      </c>
      <c r="AU350">
        <f>SUM(AU5:AU26,AW5:AW26,AX5:AX26,AV5:AV26)*(AT350)</f>
        <v>0</v>
      </c>
      <c r="AZ350">
        <v>0.06</v>
      </c>
      <c r="BA350">
        <f>SUM(BA5:BA26,BB5:BB26,BC5:BC26)*(AZ350)</f>
        <v>0</v>
      </c>
      <c r="BE350">
        <v>0.09</v>
      </c>
      <c r="BF350">
        <f>SUM(BF5:BF26,BH5:BH26,BI5:BI26,BG5:BG26)*(BE350)</f>
        <v>0</v>
      </c>
      <c r="BN350">
        <f>F350+G350+P350+U350+Z350+AE350+AJ350+AO350+AU350+BF350+BL350+BA350+L350+'ILUMINAÇÃO PUBLICA'!K350</f>
        <v>0</v>
      </c>
    </row>
    <row r="351" spans="2:66">
      <c r="B351" s="404" t="s">
        <v>1733</v>
      </c>
      <c r="C351" s="405" t="s">
        <v>168</v>
      </c>
      <c r="D351" s="423"/>
      <c r="BN351">
        <f>F351+G351+P351+U351+Z351+AE351+AJ351+AO351+AU351+BF351+BL351+BA351+L351+'ILUMINAÇÃO PUBLICA'!K352</f>
        <v>0</v>
      </c>
    </row>
    <row r="352" spans="2:66">
      <c r="B352" s="404" t="s">
        <v>913</v>
      </c>
      <c r="C352" s="405" t="s">
        <v>0</v>
      </c>
      <c r="D352" s="423"/>
      <c r="BN352">
        <f>F352+G352+P352+U352+Z352+AE352+AJ352+AO352+AU352+BF352+BL352+BA352+L352+'ILUMINAÇÃO PUBLICA'!K353</f>
        <v>0</v>
      </c>
    </row>
    <row r="353" spans="2:66">
      <c r="B353" s="404" t="s">
        <v>914</v>
      </c>
      <c r="C353" s="405" t="s">
        <v>0</v>
      </c>
      <c r="D353" s="423"/>
      <c r="BN353">
        <f>F353+G353+P353+U353+Z353+AE353+AJ353+AO353+AU353+BF353+BL353+BA353+L353+'ILUMINAÇÃO PUBLICA'!K353</f>
        <v>0</v>
      </c>
    </row>
    <row r="354" spans="2:66">
      <c r="B354" s="404" t="s">
        <v>915</v>
      </c>
      <c r="C354" s="405" t="s">
        <v>0</v>
      </c>
      <c r="D354" s="423"/>
      <c r="BN354">
        <f>F354+G354+P354+U354+Z354+AE354+AJ354+AO354+AU354+BF354+BL354+BA354+L354+'ILUMINAÇÃO PUBLICA'!K354</f>
        <v>0</v>
      </c>
    </row>
    <row r="355" spans="2:66">
      <c r="B355" s="404" t="s">
        <v>916</v>
      </c>
      <c r="C355" s="405" t="s">
        <v>0</v>
      </c>
      <c r="D355" s="423"/>
      <c r="BN355">
        <f>F355+G355+P355+U355+Z355+AE355+AJ355+AO355+AU355+BF355+BL355+BA355+L355+'ILUMINAÇÃO PUBLICA'!K355</f>
        <v>0</v>
      </c>
    </row>
    <row r="356" spans="2:66">
      <c r="B356" s="404" t="s">
        <v>917</v>
      </c>
      <c r="C356" s="405" t="s">
        <v>386</v>
      </c>
      <c r="D356" s="423"/>
      <c r="BN356">
        <f>F356+G356+P356+U356+Z356+AE356+AJ356+AO356+AU356+BF356+BL356+BA356+L356+'ILUMINAÇÃO PUBLICA'!K356</f>
        <v>0</v>
      </c>
    </row>
    <row r="357" spans="2:66">
      <c r="B357" s="404" t="s">
        <v>1090</v>
      </c>
      <c r="C357" s="405" t="s">
        <v>4</v>
      </c>
      <c r="D357" s="423"/>
      <c r="BN357">
        <f>F357+G357+P357+U357+Z357+AE357+AJ357+AO357+AU357+BF357+BL357+BA357+L357+'ILUMINAÇÃO PUBLICA'!K357</f>
        <v>0</v>
      </c>
    </row>
    <row r="358" spans="2:66">
      <c r="B358" s="404" t="s">
        <v>13</v>
      </c>
      <c r="C358" s="405" t="s">
        <v>0</v>
      </c>
      <c r="D358" s="423"/>
      <c r="BF358">
        <f>ROUNDUP(BH358,0)</f>
        <v>0</v>
      </c>
      <c r="BH358">
        <f>SUM(P5:P26,Q5:Q26,R5:R26,U5:U26,V5:V26,W5:W26,Z5:Z26,AA5:AA26,AB5:AB26,AE5:AE26,AF5:AF26,AG5:AG26,AJ5:AJ26,AK5:AK26,AL5:AL26,AO5:AO26,AQ5:AQ26,AR5:AR26,AU5:AU26,AW5:AW26,AX5:AX26,BA5:BA26,BB5:BB26,BC5:BC26,BF5:BF26,BH5:BH26,BI5:BI26,AV5:AV26,BG5:BG26)*0.8</f>
        <v>0</v>
      </c>
      <c r="BN358">
        <f>F358+G358+P358+U358+Z358+AE358+AJ358+AO358+AU358+BF358+BL358+BA358+L358+'ILUMINAÇÃO PUBLICA'!K358</f>
        <v>0</v>
      </c>
    </row>
    <row r="359" spans="2:66">
      <c r="B359" s="404" t="s">
        <v>996</v>
      </c>
      <c r="C359" s="405" t="s">
        <v>0</v>
      </c>
      <c r="D359" s="423"/>
      <c r="O359" t="s">
        <v>1085</v>
      </c>
      <c r="P359">
        <f>SUM(P5:P26)*(0.04)+SUM(Q5:Q26)*(0.08)+SUM(R5:R26)*(0.095)</f>
        <v>0</v>
      </c>
      <c r="T359" t="s">
        <v>1085</v>
      </c>
      <c r="U359">
        <f>SUM(U5:U26)*(0.04)+SUM(V5:V26)*(0.08)+SUM(W5:W26)*(0.095)</f>
        <v>0</v>
      </c>
      <c r="Y359" t="s">
        <v>1085</v>
      </c>
      <c r="Z359">
        <f>SUM(Z5:Z26)*(0.04)+SUM(AA5:AA26)*(0.081)+SUM(AB5:AB26)*(0.095)</f>
        <v>0</v>
      </c>
      <c r="AT359" t="s">
        <v>1085</v>
      </c>
      <c r="AU359">
        <f>SUM(AU5:AU26,AV5:AV26)*(0.05)+SUM(AW5:AW26)*(0.01)+SUM(AX5:AX26)*(0.13)</f>
        <v>0</v>
      </c>
      <c r="AZ359" t="s">
        <v>1085</v>
      </c>
      <c r="BA359">
        <f>SUM(BA5:BA26)*(0.004)+SUM(BB5:BB26)*(0.08)+SUM(BC5:BC26)*(0.095)</f>
        <v>0</v>
      </c>
      <c r="BE359" t="s">
        <v>1085</v>
      </c>
      <c r="BF359">
        <f>SUM(BF5:BF26,BG5:BG26,AV5:AV26,AP5:AP26)*(0.004)+SUM(BH5:BH26)*(0.09)+SUM(BI5:BI26)*(0.13)</f>
        <v>0</v>
      </c>
      <c r="BN359">
        <f>F359+G359+P359+U359+Z359+AE359+AJ359+AO359+AU359+BF359+BL359+BA359+L359+'ILUMINAÇÃO PUBLICA'!K359</f>
        <v>0</v>
      </c>
    </row>
    <row r="360" spans="2:66">
      <c r="B360" s="404" t="s">
        <v>918</v>
      </c>
      <c r="C360" s="405" t="s">
        <v>0</v>
      </c>
      <c r="D360" s="423"/>
      <c r="BF360">
        <f>ROUNDUP(BH360,0)</f>
        <v>0</v>
      </c>
      <c r="BH360">
        <f>SUM(P5:P26,Q5:Q26,R5:R26,U5:U26,V5:V26,W5:W26,Z5:Z26,AA5:AA26,AB5:AB26,AE5:AE26,AF5:AF26,AG5:AG26,AJ5:AJ26,AK5:AK26,AL5:AL26,AO5:AO26,AQ5:AQ26,AR5:AR26,AU5:AU26,AW5:AW26,AX5:AX26,BA5:BA26,BB5:BB26,BC5:BC26,BF5:BF26,BH5:BH26,BI5:BI26,BG5:BG26,AV5:AV26,AP5:AP27)*0.1</f>
        <v>0</v>
      </c>
      <c r="BN360">
        <f>F360+G360+P360+U360+Z360+AE360+AJ360+AO360+AU360+BF360+BL360+BA360+L360+'ILUMINAÇÃO PUBLICA'!K360</f>
        <v>0</v>
      </c>
    </row>
    <row r="361" spans="2:66">
      <c r="B361" s="404" t="s">
        <v>1001</v>
      </c>
      <c r="C361" s="405" t="s">
        <v>386</v>
      </c>
      <c r="D361" s="423"/>
      <c r="BN361">
        <f>F361+G361+P361+U361+Z361+AE361+AJ361+AO361+AU361+BF361+BL361+BA361+L361+'ILUMINAÇÃO PUBLICA'!K361</f>
        <v>0</v>
      </c>
    </row>
    <row r="362" spans="2:66">
      <c r="B362" s="934" t="s">
        <v>1032</v>
      </c>
      <c r="C362" s="405" t="s">
        <v>0</v>
      </c>
      <c r="D362" s="423"/>
      <c r="BN362">
        <f>F362+G362+P362+U362+Z362+AE362+AJ362+AO362+AU362+BF362+BL362+BA362+L362+'ILUMINAÇÃO PUBLICA'!K362</f>
        <v>0</v>
      </c>
    </row>
    <row r="363" spans="2:66">
      <c r="B363" s="934" t="s">
        <v>1033</v>
      </c>
      <c r="C363" s="405" t="s">
        <v>0</v>
      </c>
      <c r="D363" s="423"/>
      <c r="BN363">
        <f>F363+G363+P363+U363+Z363+AE363+AJ363+AO363+AU363+BF363+BL363+BA363+L363+'ILUMINAÇÃO PUBLICA'!K363</f>
        <v>0</v>
      </c>
    </row>
    <row r="364" spans="2:66">
      <c r="B364" s="934" t="s">
        <v>1034</v>
      </c>
      <c r="C364" s="405" t="s">
        <v>0</v>
      </c>
      <c r="D364" s="423"/>
      <c r="BN364">
        <f>F364+G364+P364+U364+Z364+AE364+AJ364+AO364+AU364+BF364+BL364+BA364+L364+'ILUMINAÇÃO PUBLICA'!K364</f>
        <v>0</v>
      </c>
    </row>
    <row r="365" spans="2:66">
      <c r="B365" s="934" t="s">
        <v>1035</v>
      </c>
      <c r="C365" s="405" t="s">
        <v>0</v>
      </c>
      <c r="D365" s="423"/>
      <c r="BN365">
        <f>F365+G365+P365+U365+Z365+AE365+AJ365+AO365+AU365+BF365+BL365+BA365+L365+'ILUMINAÇÃO PUBLICA'!K365</f>
        <v>0</v>
      </c>
    </row>
    <row r="366" spans="2:66">
      <c r="B366" s="934" t="s">
        <v>1036</v>
      </c>
      <c r="C366" s="405" t="s">
        <v>0</v>
      </c>
      <c r="D366" s="423"/>
      <c r="BN366">
        <f>F366+G366+P366+U366+Z366+AE366+AJ366+AO366+AU366+BF366+BL366+BA366+L366+'ILUMINAÇÃO PUBLICA'!K366</f>
        <v>0</v>
      </c>
    </row>
    <row r="367" spans="2:66">
      <c r="B367" s="934" t="s">
        <v>1037</v>
      </c>
      <c r="C367" s="405" t="s">
        <v>386</v>
      </c>
      <c r="D367" s="423"/>
      <c r="BN367">
        <f>F367+G367+P367+U367+Z367+AE367+AJ367+AO367+AU367+BF367+BL367+BA367+L367+'ILUMINAÇÃO PUBLICA'!K367</f>
        <v>0</v>
      </c>
    </row>
    <row r="368" spans="2:66">
      <c r="B368" s="934" t="s">
        <v>1038</v>
      </c>
      <c r="C368" s="405" t="s">
        <v>0</v>
      </c>
      <c r="D368" s="423"/>
      <c r="BN368">
        <f>F368+G368+P368+U368+Z368+AE368+AJ368+AO368+AU368+BF368+BL368+BA368+L368+'ILUMINAÇÃO PUBLICA'!K368</f>
        <v>0</v>
      </c>
    </row>
    <row r="369" spans="1:66">
      <c r="B369" s="404" t="s">
        <v>15</v>
      </c>
      <c r="C369" s="405" t="s">
        <v>4</v>
      </c>
      <c r="D369" s="423"/>
      <c r="BN369">
        <f>F369+G369+P369+U369+Z369+AE369+AJ369+AO369+AU369+BF369+BL369+BA369+L369+'ILUMINAÇÃO PUBLICA'!K369</f>
        <v>0</v>
      </c>
    </row>
    <row r="370" spans="1:66">
      <c r="B370" s="404" t="s">
        <v>919</v>
      </c>
      <c r="C370" s="405" t="s">
        <v>0</v>
      </c>
      <c r="D370" s="423"/>
      <c r="BN370">
        <f>F370+G370+P370+U370+Z370+AE370+AJ370+AO370+AU370+BF370+BL370+BA370+L370+'ILUMINAÇÃO PUBLICA'!K370</f>
        <v>0</v>
      </c>
    </row>
    <row r="371" spans="1:66">
      <c r="B371" s="193" t="s">
        <v>920</v>
      </c>
      <c r="C371" s="405" t="s">
        <v>0</v>
      </c>
      <c r="D371" s="423"/>
      <c r="BN371">
        <f>F371+G371+P371+U371+Z371+AE371+AJ371+AO371+AU371+BF371+BL371+BA371+L371+'ILUMINAÇÃO PUBLICA'!K371</f>
        <v>0</v>
      </c>
    </row>
    <row r="372" spans="1:66">
      <c r="B372" s="404" t="s">
        <v>921</v>
      </c>
      <c r="C372" s="405" t="s">
        <v>0</v>
      </c>
      <c r="D372" s="423"/>
      <c r="BN372">
        <f>F372+G372+P372+U372+Z372+AE372+AJ372+AO372+AU372+BF372+BL372+BA372+L372+'ILUMINAÇÃO PUBLICA'!K372</f>
        <v>0</v>
      </c>
    </row>
    <row r="373" spans="1:66">
      <c r="B373" s="404" t="s">
        <v>922</v>
      </c>
      <c r="C373" s="405" t="s">
        <v>0</v>
      </c>
      <c r="D373" s="423"/>
      <c r="BN373">
        <f>F373+G373+P373+U373+Z373+AE373+AJ373+AO373+AU373+BF373+BL373+BA373+L373+'ILUMINAÇÃO PUBLICA'!K373</f>
        <v>0</v>
      </c>
    </row>
    <row r="374" spans="1:66">
      <c r="B374" s="404" t="s">
        <v>923</v>
      </c>
      <c r="C374" s="405" t="s">
        <v>0</v>
      </c>
      <c r="D374" s="423"/>
      <c r="BN374">
        <f>F374+G374+P374+U374+Z374+AE374+AJ374+AO374+AU374+BF374+BL374+BA374+L374+'ILUMINAÇÃO PUBLICA'!K374</f>
        <v>0</v>
      </c>
    </row>
    <row r="375" spans="1:66">
      <c r="B375" s="404" t="s">
        <v>924</v>
      </c>
      <c r="C375" s="405" t="s">
        <v>0</v>
      </c>
      <c r="D375" s="423"/>
      <c r="BN375">
        <f>F375+G375+P375+U375+Z375+AE375+AJ375+AO375+AU375+BF375+BL375+BA375+L375+'ILUMINAÇÃO PUBLICA'!K375</f>
        <v>0</v>
      </c>
    </row>
    <row r="376" spans="1:66">
      <c r="A376" s="209">
        <v>3981</v>
      </c>
      <c r="B376" s="940" t="s">
        <v>165</v>
      </c>
      <c r="C376" s="405" t="s">
        <v>0</v>
      </c>
      <c r="D376" s="423"/>
      <c r="K376">
        <v>1</v>
      </c>
      <c r="L376">
        <f>SUM(L6:L9,M6:M9)*K376</f>
        <v>0</v>
      </c>
      <c r="Y376">
        <v>1</v>
      </c>
      <c r="Z376">
        <f>SUM(Z5:Z26,AA5:AA26,AB5:AB26)*(Y376)</f>
        <v>0</v>
      </c>
      <c r="AD376">
        <v>1</v>
      </c>
      <c r="AE376">
        <f>SUM(AE5:AE26,AF5:AF26,AG5:AG26)*(AD376)</f>
        <v>0</v>
      </c>
      <c r="AO376">
        <f>SUM(AO5:AO26,AQ5:AQ26,AR5:AR26,AP5:AP26)*(AN376)</f>
        <v>0</v>
      </c>
      <c r="BN376">
        <f>F376+G376+P376+U376+Z376+AE376+AJ376+AO376+AU376+BF376+BL376+BA376+L376+'ILUMINAÇÃO PUBLICA'!K376</f>
        <v>0</v>
      </c>
    </row>
    <row r="377" spans="1:66">
      <c r="B377" s="404" t="s">
        <v>925</v>
      </c>
      <c r="C377" s="405" t="s">
        <v>0</v>
      </c>
      <c r="D377" s="425"/>
      <c r="BA377">
        <f>SUM(BA5:BA26,BB5:BB26,BC5:BC26)*(AZ377)</f>
        <v>0</v>
      </c>
      <c r="BF377">
        <f>SUM(BF5:BF26,BG5:BG26,BH5:BH26,BI5:BI26)*(BE377)</f>
        <v>0</v>
      </c>
      <c r="BN377">
        <f>F377+G377+P377+U377+Z377+AE377+AJ377+AO377+AU377+BF377+BL377+BA377+L377+'ILUMINAÇÃO PUBLICA'!K377</f>
        <v>0</v>
      </c>
    </row>
    <row r="378" spans="1:66">
      <c r="B378" s="404" t="s">
        <v>926</v>
      </c>
      <c r="C378" s="405" t="s">
        <v>0</v>
      </c>
      <c r="D378" s="423"/>
      <c r="BN378">
        <f>F378+G378+P378+U378+Z378+AE378+AJ378+AO378+AU378+BF378+BL378+BA378+L378+'ILUMINAÇÃO PUBLICA'!K378</f>
        <v>0</v>
      </c>
    </row>
    <row r="379" spans="1:66">
      <c r="B379" s="404" t="s">
        <v>210</v>
      </c>
      <c r="C379" s="405" t="s">
        <v>0</v>
      </c>
      <c r="D379" s="423"/>
      <c r="BN379">
        <f>F379+G379+P379+U379+Z379+AE379+AJ379+AO379+AU379+BF379+BL379+BA379+L379+'ILUMINAÇÃO PUBLICA'!K379</f>
        <v>0</v>
      </c>
    </row>
    <row r="380" spans="1:66">
      <c r="B380" s="404" t="s">
        <v>927</v>
      </c>
      <c r="C380" s="405" t="s">
        <v>0</v>
      </c>
      <c r="D380" s="423"/>
      <c r="BN380">
        <f>F380+G380+P380+U380+Z380+AE380+AJ380+AO380+AU380+BF380+BL380+BA380+L380+'ILUMINAÇÃO PUBLICA'!K380</f>
        <v>0</v>
      </c>
    </row>
    <row r="381" spans="1:66">
      <c r="B381" s="404" t="s">
        <v>928</v>
      </c>
      <c r="C381" s="405" t="s">
        <v>0</v>
      </c>
      <c r="D381" s="423"/>
      <c r="BN381">
        <f>F381+G381+P381+U381+Z381+AE381+AJ381+AO381+AU381+BF381+BL381+BA381+L381+'ILUMINAÇÃO PUBLICA'!K381</f>
        <v>0</v>
      </c>
    </row>
    <row r="382" spans="1:66">
      <c r="B382" s="404" t="s">
        <v>929</v>
      </c>
      <c r="C382" s="405" t="s">
        <v>0</v>
      </c>
      <c r="D382" s="423"/>
      <c r="BN382">
        <f>F382+G382+P382+U382+Z382+AE382+AJ382+AO382+AU382+BF382+BL382+BA382+L382+'ILUMINAÇÃO PUBLICA'!K382</f>
        <v>0</v>
      </c>
    </row>
    <row r="383" spans="1:66">
      <c r="B383" s="404" t="s">
        <v>16</v>
      </c>
      <c r="C383" s="405" t="s">
        <v>0</v>
      </c>
      <c r="D383" s="423"/>
      <c r="BN383">
        <f>F383+G383+P383+U383+Z383+AE383+AJ383+AO383+AU383+BF383+BL383+BA383+L383+'ILUMINAÇÃO PUBLICA'!K383</f>
        <v>0</v>
      </c>
    </row>
    <row r="384" spans="1:66">
      <c r="B384" s="404" t="s">
        <v>1012</v>
      </c>
      <c r="C384" s="405" t="s">
        <v>0</v>
      </c>
      <c r="D384" s="423"/>
      <c r="BN384">
        <f>F384+G384+P384+U384+Z384+AE384+AJ384+AO384+AU384+BF384+BL384+BA384+L384+'ILUMINAÇÃO PUBLICA'!K384</f>
        <v>0</v>
      </c>
    </row>
    <row r="385" spans="2:66">
      <c r="B385" s="404" t="s">
        <v>17</v>
      </c>
      <c r="C385" s="405" t="s">
        <v>0</v>
      </c>
      <c r="D385" s="423"/>
      <c r="E385">
        <v>1</v>
      </c>
      <c r="F385">
        <f>SUM(G5:G7,H5:H7,I5:I7,G9:G11,H9:H11,I9:I11)*(320)</f>
        <v>0</v>
      </c>
      <c r="O385">
        <v>2</v>
      </c>
      <c r="P385">
        <f>SUM(P5:P26,Q5:Q26,R5:R26)*(O385)</f>
        <v>0</v>
      </c>
      <c r="T385">
        <v>3</v>
      </c>
      <c r="U385">
        <f>SUM(U5:U26,V5:V26,W5:W26)*(T385)</f>
        <v>0</v>
      </c>
      <c r="Y385">
        <v>2</v>
      </c>
      <c r="Z385">
        <f>SUM(Z5:Z26,AA5:AA26,AB5:AB26)*(Y385)</f>
        <v>0</v>
      </c>
      <c r="AD385">
        <v>2</v>
      </c>
      <c r="AE385">
        <f>SUM(AE5:AE26,AF5:AF26,AG5:AG26)*(AD385)</f>
        <v>0</v>
      </c>
      <c r="AI385">
        <v>3</v>
      </c>
      <c r="AJ385">
        <f>SUM(AJ5:AJ26,AK5:AK26,AL5:AL26)*(AI385)</f>
        <v>0</v>
      </c>
      <c r="AN385">
        <v>3</v>
      </c>
      <c r="AO385">
        <f>SUM(AO5:AO26,AQ5:AQ26,AR5:AR26,AP5:AP26)*(AN385)</f>
        <v>0</v>
      </c>
      <c r="AT385">
        <v>4</v>
      </c>
      <c r="AU385">
        <f>SUM(AU5:AU26,AW5:AW26,AX5:AX26,AV5:AV26)*(AT385)</f>
        <v>0</v>
      </c>
      <c r="AZ385">
        <v>2</v>
      </c>
      <c r="BA385">
        <f>SUM(BA5:BA26,BB5:BB26,BC5:BC26)*(AZ385)</f>
        <v>0</v>
      </c>
      <c r="BE385">
        <v>3</v>
      </c>
      <c r="BF385">
        <f>SUM(BF5:BF26,BH5:BH26,BI5:BI26,BG5:BG26)*(BE385)</f>
        <v>0</v>
      </c>
      <c r="BN385">
        <f>F385+G385+P385+U385+Z385+AE385+AJ385+AO385+AU385+BF385+BL385+BA385+L385+'ILUMINAÇÃO PUBLICA'!K385</f>
        <v>0</v>
      </c>
    </row>
    <row r="386" spans="2:66">
      <c r="B386" s="404" t="s">
        <v>930</v>
      </c>
      <c r="C386" s="405" t="s">
        <v>0</v>
      </c>
      <c r="D386" s="423"/>
      <c r="BN386">
        <f>F386+G386+P386+U386+Z386+AE386+AJ386+AO386+AU386+BF386+BL386+BA386+L386+'ILUMINAÇÃO PUBLICA'!K386</f>
        <v>0</v>
      </c>
    </row>
    <row r="387" spans="2:66">
      <c r="B387" s="404" t="s">
        <v>931</v>
      </c>
      <c r="C387" s="405" t="s">
        <v>0</v>
      </c>
      <c r="D387" s="423"/>
      <c r="BN387">
        <f>F387+G387+P387+U387+Z387+AE387+AJ387+AO387+AU387+BF387+BL387+BA387+L387+'ILUMINAÇÃO PUBLICA'!K387</f>
        <v>0</v>
      </c>
    </row>
    <row r="388" spans="2:66">
      <c r="B388" s="404" t="s">
        <v>932</v>
      </c>
      <c r="C388" s="405" t="s">
        <v>0</v>
      </c>
      <c r="D388" s="423"/>
      <c r="BN388">
        <f>F388+G388+P388+U388+Z388+AE388+AJ388+AO388+AU388+BF388+BL388+BA388+L388+'ILUMINAÇÃO PUBLICA'!K388</f>
        <v>0</v>
      </c>
    </row>
    <row r="389" spans="2:66">
      <c r="B389" s="404" t="s">
        <v>933</v>
      </c>
      <c r="C389" s="405" t="s">
        <v>0</v>
      </c>
      <c r="D389" s="423"/>
      <c r="BN389">
        <f>F389+G389+P389+U389+Z389+AE389+AJ389+AO389+AU389+BF389+BL389+BA389+L389+'ILUMINAÇÃO PUBLICA'!K389</f>
        <v>0</v>
      </c>
    </row>
    <row r="390" spans="2:66">
      <c r="B390" s="404" t="s">
        <v>934</v>
      </c>
      <c r="C390" s="405" t="s">
        <v>0</v>
      </c>
      <c r="D390" s="423"/>
      <c r="BN390">
        <f>F390+G390+P390+U390+Z390+AE390+AJ390+AO390+AU390+BF390+BL390+BA390+L390+'ILUMINAÇÃO PUBLICA'!K390</f>
        <v>0</v>
      </c>
    </row>
    <row r="391" spans="2:66">
      <c r="B391" s="404" t="s">
        <v>935</v>
      </c>
      <c r="C391" s="405" t="s">
        <v>0</v>
      </c>
      <c r="D391" s="423"/>
      <c r="BN391">
        <f>F391+G391+P391+U391+Z391+AE391+AJ391+AO391+AU391+BF391+BL391+BA391+L391+'ILUMINAÇÃO PUBLICA'!K391</f>
        <v>0</v>
      </c>
    </row>
    <row r="392" spans="2:66">
      <c r="B392" s="404" t="s">
        <v>936</v>
      </c>
      <c r="C392" s="405" t="s">
        <v>0</v>
      </c>
      <c r="D392" s="423"/>
      <c r="BN392">
        <f>F392+G392+P392+U392+Z392+AE392+AJ392+AO392+AU392+BF392+BL392+BA392+L392+'ILUMINAÇÃO PUBLICA'!K392</f>
        <v>0</v>
      </c>
    </row>
    <row r="393" spans="2:66">
      <c r="B393" s="404" t="s">
        <v>937</v>
      </c>
      <c r="C393" s="405" t="s">
        <v>0</v>
      </c>
      <c r="D393" s="423"/>
      <c r="BN393">
        <f>F393+G393+P393+U393+Z393+AE393+AJ393+AO393+AU393+BF393+BL393+BA393+L393+'ILUMINAÇÃO PUBLICA'!K393</f>
        <v>0</v>
      </c>
    </row>
    <row r="394" spans="2:66">
      <c r="B394" s="404" t="s">
        <v>938</v>
      </c>
      <c r="C394" s="405" t="s">
        <v>0</v>
      </c>
      <c r="D394" s="423"/>
      <c r="BN394">
        <f>F394+G394+P394+U394+Z394+AE394+AJ394+AO394+AU394+BF394+BL394+BA394+L394+'ILUMINAÇÃO PUBLICA'!K394</f>
        <v>0</v>
      </c>
    </row>
    <row r="395" spans="2:66">
      <c r="B395" s="404" t="s">
        <v>939</v>
      </c>
      <c r="C395" s="405" t="s">
        <v>0</v>
      </c>
      <c r="D395" s="423"/>
      <c r="BN395">
        <f>F395+G395+P395+U395+Z395+AE395+AJ395+AO395+AU395+BF395+BL395+BA395+L395+'ILUMINAÇÃO PUBLICA'!K395</f>
        <v>0</v>
      </c>
    </row>
    <row r="396" spans="2:66">
      <c r="B396" s="404" t="s">
        <v>940</v>
      </c>
      <c r="C396" s="405" t="s">
        <v>0</v>
      </c>
      <c r="D396" s="423"/>
      <c r="BA396">
        <f>SUM(BA5:BA26,BB5:BB26,BC5:BC26)*(AZ396)</f>
        <v>0</v>
      </c>
      <c r="BF396">
        <f>SUM(BF5:BF26,BG5:BG26,BH5:BH26,BI5:BI26)*(BE396)</f>
        <v>0</v>
      </c>
      <c r="BN396">
        <f>F396+G396+P396+U396+Z396+AE396+AJ396+AO396+AU396+BF396+BL396+BA396+L396+'ILUMINAÇÃO PUBLICA'!K396</f>
        <v>0</v>
      </c>
    </row>
    <row r="397" spans="2:66">
      <c r="B397" s="404" t="s">
        <v>941</v>
      </c>
      <c r="C397" s="405" t="s">
        <v>0</v>
      </c>
      <c r="D397" s="423"/>
      <c r="BN397">
        <f>F397+G397+P397+U397+Z397+AE397+AJ397+AO397+AU397+BF397+BL397+BA397+L397+'ILUMINAÇÃO PUBLICA'!K397</f>
        <v>0</v>
      </c>
    </row>
    <row r="398" spans="2:66">
      <c r="B398" s="404" t="s">
        <v>942</v>
      </c>
      <c r="C398" s="405" t="s">
        <v>0</v>
      </c>
      <c r="D398" s="423"/>
      <c r="BN398">
        <f>F398+G398+P398+U398+Z398+AE398+AJ398+AO398+AU398+BF398+BL398+BA398+L398+'ILUMINAÇÃO PUBLICA'!K398</f>
        <v>0</v>
      </c>
    </row>
    <row r="399" spans="2:66">
      <c r="B399" s="404" t="s">
        <v>943</v>
      </c>
      <c r="C399" s="405" t="s">
        <v>0</v>
      </c>
      <c r="D399" s="423"/>
      <c r="BN399">
        <f>F399+G399+P399+U399+Z399+AE399+AJ399+AO399+AU399+BF399+BL399+BA399+L399+'ILUMINAÇÃO PUBLICA'!K399</f>
        <v>0</v>
      </c>
    </row>
    <row r="400" spans="2:66">
      <c r="B400" s="404" t="s">
        <v>944</v>
      </c>
      <c r="C400" s="405" t="s">
        <v>0</v>
      </c>
      <c r="D400" s="423"/>
      <c r="BN400">
        <f>F400+G400+P400+U400+Z400+AE400+AJ400+AO400+AU400+BF400+BL400+BA400+L400+'ILUMINAÇÃO PUBLICA'!K400</f>
        <v>0</v>
      </c>
    </row>
    <row r="401" spans="1:66">
      <c r="B401" s="404" t="s">
        <v>945</v>
      </c>
      <c r="C401" s="405" t="s">
        <v>0</v>
      </c>
      <c r="D401" s="423"/>
      <c r="BN401">
        <f>F401+G401+P401+U401+Z401+AE401+AJ401+AO401+AU401+BF401+BL401+BA401+L401+'ILUMINAÇÃO PUBLICA'!K401</f>
        <v>0</v>
      </c>
    </row>
    <row r="402" spans="1:66">
      <c r="B402" s="404" t="s">
        <v>946</v>
      </c>
      <c r="C402" s="405" t="s">
        <v>0</v>
      </c>
      <c r="D402" s="423"/>
      <c r="BN402">
        <f>F402+G402+P402+U402+Z402+AE402+AJ402+AO402+AU402+BF402+BL402+BA402+L402+'ILUMINAÇÃO PUBLICA'!K402</f>
        <v>0</v>
      </c>
    </row>
    <row r="403" spans="1:66">
      <c r="B403" s="404" t="s">
        <v>947</v>
      </c>
      <c r="C403" s="405" t="s">
        <v>0</v>
      </c>
      <c r="D403" s="423"/>
      <c r="BN403">
        <f>F403+G403+P403+U403+Z403+AE403+AJ403+AO403+AU403+BF403+BL403+BA403+L403+'ILUMINAÇÃO PUBLICA'!K403</f>
        <v>0</v>
      </c>
    </row>
    <row r="404" spans="1:66">
      <c r="B404" s="404" t="s">
        <v>948</v>
      </c>
      <c r="C404" s="405" t="s">
        <v>0</v>
      </c>
      <c r="D404" s="423"/>
      <c r="BN404">
        <f>F404+G404+P404+U404+Z404+AE404+AJ404+AO404+AU404+BF404+BL404+BA404+L404+'ILUMINAÇÃO PUBLICA'!K404</f>
        <v>0</v>
      </c>
    </row>
    <row r="405" spans="1:66">
      <c r="B405" s="404" t="s">
        <v>19</v>
      </c>
      <c r="C405" s="405" t="s">
        <v>0</v>
      </c>
      <c r="D405" s="423"/>
      <c r="BN405">
        <f>F405+G405+P405+U405+Z405+AE405+AJ405+AO405+AU405+BF405+BL405+BA405+L405+'ILUMINAÇÃO PUBLICA'!K405</f>
        <v>0</v>
      </c>
    </row>
    <row r="406" spans="1:66">
      <c r="B406" s="404" t="s">
        <v>508</v>
      </c>
      <c r="C406" s="405" t="s">
        <v>0</v>
      </c>
      <c r="D406" s="423"/>
      <c r="BN406">
        <f>F406+G406+P406+U406+Z406+AE406+AJ406+AO406+AU406+BF406+BL406+BA406+L406+'ILUMINAÇÃO PUBLICA'!K406</f>
        <v>0</v>
      </c>
    </row>
    <row r="407" spans="1:66">
      <c r="B407" s="404" t="s">
        <v>949</v>
      </c>
      <c r="C407" s="405" t="s">
        <v>0</v>
      </c>
      <c r="D407" s="423"/>
      <c r="BN407">
        <f>F407+G407+P407+U407+Z407+AE407+AJ407+AO407+AU407+BF407+BL407+BA407+L407+'ILUMINAÇÃO PUBLICA'!K407</f>
        <v>0</v>
      </c>
    </row>
    <row r="408" spans="1:66">
      <c r="B408" s="193" t="s">
        <v>950</v>
      </c>
      <c r="C408" s="405" t="s">
        <v>0</v>
      </c>
      <c r="D408" s="423"/>
      <c r="BN408">
        <f>F408+G408+P408+U408+Z408+AE408+AJ408+AO408+AU408+BF408+BL408+BA408+L408+'ILUMINAÇÃO PUBLICA'!K408</f>
        <v>0</v>
      </c>
    </row>
    <row r="409" spans="1:66">
      <c r="B409" s="404" t="s">
        <v>20</v>
      </c>
      <c r="C409" s="405" t="s">
        <v>0</v>
      </c>
      <c r="D409" s="423"/>
      <c r="BN409">
        <f>F409+G409+P409+U409+Z409+AE409+AJ409+AO409+AU409+BF409+BL409+BA409+L409+'ILUMINAÇÃO PUBLICA'!K409</f>
        <v>0</v>
      </c>
    </row>
    <row r="410" spans="1:66">
      <c r="A410">
        <v>220</v>
      </c>
      <c r="B410" s="163" t="s">
        <v>21</v>
      </c>
      <c r="C410" s="403" t="s">
        <v>574</v>
      </c>
      <c r="D410" s="423"/>
      <c r="BN410">
        <f>F410+G410+P410+U410+Z410+AE410+AJ410+AO410+AU410+BF410+BL410+BA410+L410+'ILUMINAÇÃO PUBLICA'!K410</f>
        <v>0</v>
      </c>
    </row>
    <row r="411" spans="1:66">
      <c r="A411">
        <v>221</v>
      </c>
      <c r="B411" s="163" t="s">
        <v>22</v>
      </c>
      <c r="C411" s="403" t="s">
        <v>574</v>
      </c>
      <c r="D411" s="423"/>
      <c r="BN411">
        <f>F411+G411+P411+U411+Z411+AE411+AJ411+AO411+AU411+BF411+BL411+BA411+L411+'ILUMINAÇÃO PUBLICA'!K411</f>
        <v>0</v>
      </c>
    </row>
    <row r="412" spans="1:66">
      <c r="A412">
        <v>222</v>
      </c>
      <c r="B412" s="163" t="s">
        <v>23</v>
      </c>
      <c r="C412" s="403" t="s">
        <v>574</v>
      </c>
      <c r="D412" s="423"/>
      <c r="BN412">
        <f>F412+G412+P412+U412+Z412+AE412+AJ412+AO412+AU412+BF412+BL412+BA412+L412+'ILUMINAÇÃO PUBLICA'!K412</f>
        <v>0</v>
      </c>
    </row>
    <row r="413" spans="1:66">
      <c r="A413">
        <v>223</v>
      </c>
      <c r="B413" s="163" t="s">
        <v>951</v>
      </c>
      <c r="C413" s="403"/>
      <c r="D413" s="423"/>
      <c r="BN413">
        <f>F413+G413+P413+U413+Z413+AE413+AJ413+AO413+AU413+BF413+BL413+BA413+L413+'ILUMINAÇÃO PUBLICA'!K413</f>
        <v>0</v>
      </c>
    </row>
    <row r="414" spans="1:66">
      <c r="A414">
        <v>224</v>
      </c>
      <c r="B414" s="210" t="s">
        <v>1204</v>
      </c>
      <c r="C414" s="473" t="s">
        <v>515</v>
      </c>
      <c r="D414" s="423"/>
      <c r="BN414">
        <f>F414+G414+P414+U414+Z414+AE414+AJ414+AO414+AU414+BF414+BL414+BA414+L414+'ILUMINAÇÃO PUBLICA'!K414</f>
        <v>0</v>
      </c>
    </row>
    <row r="415" spans="1:66">
      <c r="B415" s="210" t="s">
        <v>1205</v>
      </c>
      <c r="C415" s="473" t="s">
        <v>515</v>
      </c>
      <c r="D415" s="423"/>
      <c r="BN415">
        <f>F415+G415+P415+U415+Z415+AE415+AJ415+AO415+AU415+BF415+BL415+BA415+L415+'ILUMINAÇÃO PUBLICA'!K415</f>
        <v>0</v>
      </c>
    </row>
    <row r="416" spans="1:66">
      <c r="B416" s="210" t="s">
        <v>1206</v>
      </c>
      <c r="C416" s="473" t="s">
        <v>515</v>
      </c>
      <c r="D416" s="423"/>
      <c r="BN416">
        <f>F416+G416+P416+U416+Z416+AE416+AJ416+AO416+AU416+BF416+BL416+BA416+L416+'ILUMINAÇÃO PUBLICA'!K416</f>
        <v>0</v>
      </c>
    </row>
    <row r="417" spans="1:66">
      <c r="B417" s="210" t="s">
        <v>1207</v>
      </c>
      <c r="C417" s="473" t="s">
        <v>515</v>
      </c>
      <c r="D417" s="423"/>
      <c r="BN417">
        <f>F417+G417+P417+U417+Z417+AE417+AJ417+AO417+AU417+BF417+BL417+BA417+L417+'ILUMINAÇÃO PUBLICA'!K417</f>
        <v>0</v>
      </c>
    </row>
    <row r="418" spans="1:66">
      <c r="B418" s="210" t="s">
        <v>1543</v>
      </c>
      <c r="C418" s="473" t="s">
        <v>515</v>
      </c>
      <c r="D418" s="423"/>
      <c r="BN418">
        <f>F418+G418+P418+U418+Z418+AE418+AJ418+AO418+AU418+BF418+BL418+BA418+L418+'ILUMINAÇÃO PUBLICA'!K418</f>
        <v>0</v>
      </c>
    </row>
    <row r="419" spans="1:66">
      <c r="B419" s="210" t="s">
        <v>1542</v>
      </c>
      <c r="C419" s="473" t="s">
        <v>515</v>
      </c>
      <c r="D419" s="421"/>
      <c r="BN419">
        <f>F419+G419+P419+U419+Z419+AE419+AJ419+AO419+AU419+BF419+BL419+BA419+L419+'ILUMINAÇÃO PUBLICA'!K419</f>
        <v>0</v>
      </c>
    </row>
    <row r="420" spans="1:66">
      <c r="A420" s="333"/>
      <c r="B420" s="939" t="s">
        <v>1003</v>
      </c>
      <c r="C420" s="946" t="s">
        <v>0</v>
      </c>
      <c r="D420" s="421"/>
      <c r="O420">
        <v>2</v>
      </c>
      <c r="P420">
        <f>SUM(P16:R26)*O420</f>
        <v>0</v>
      </c>
      <c r="T420">
        <v>3</v>
      </c>
      <c r="U420">
        <f>SUM(U16:W26)*T420</f>
        <v>0</v>
      </c>
      <c r="Y420">
        <v>2</v>
      </c>
      <c r="Z420">
        <f>SUM(Z16:AB26)*Y420</f>
        <v>0</v>
      </c>
      <c r="AD420">
        <v>2</v>
      </c>
      <c r="AE420">
        <f>SUM(AE16:AG26)*AD420</f>
        <v>0</v>
      </c>
      <c r="AI420">
        <v>2</v>
      </c>
      <c r="AJ420">
        <f>SUM(AJ16:AL26)*AI420</f>
        <v>0</v>
      </c>
      <c r="AN420">
        <v>2</v>
      </c>
      <c r="AO420">
        <f>SUM(AO16:AQ26)*AN420</f>
        <v>0</v>
      </c>
      <c r="AT420">
        <v>3</v>
      </c>
      <c r="AU420">
        <f>SUM(AU16:AW26)*AT420</f>
        <v>0</v>
      </c>
      <c r="AZ420">
        <v>2</v>
      </c>
      <c r="BA420">
        <f>SUM(BA16:BC26)*AZ420</f>
        <v>0</v>
      </c>
      <c r="BE420">
        <v>3</v>
      </c>
      <c r="BF420">
        <f>SUM(BF16:BH26)*BE420</f>
        <v>0</v>
      </c>
      <c r="BN420">
        <f>F420+G420+P420+U420+Z420+AE420+AJ420+AO420+AU420+BF420+BL420+BA420+L420+'ILUMINAÇÃO PUBLICA'!K420</f>
        <v>0</v>
      </c>
    </row>
    <row r="421" spans="1:66">
      <c r="A421" s="333"/>
      <c r="B421" s="939" t="s">
        <v>1004</v>
      </c>
      <c r="C421" s="946" t="s">
        <v>0</v>
      </c>
      <c r="D421" s="421"/>
      <c r="BN421">
        <f>F421+G421+P421+U421+Z421+AE421+AJ421+AO421+AU421+BF421+BL421+BA421+L421+'ILUMINAÇÃO PUBLICA'!K421</f>
        <v>0</v>
      </c>
    </row>
    <row r="422" spans="1:66">
      <c r="A422" s="333"/>
      <c r="B422" s="939" t="s">
        <v>1005</v>
      </c>
      <c r="C422" s="946" t="s">
        <v>0</v>
      </c>
      <c r="D422" s="421"/>
      <c r="BN422">
        <f>F422+G422+P422+U422+Z422+AE422+AJ422+AO422+AU422+BF422+BL422+BA422+L422+'ILUMINAÇÃO PUBLICA'!K422</f>
        <v>0</v>
      </c>
    </row>
    <row r="423" spans="1:66">
      <c r="B423" s="404" t="s">
        <v>952</v>
      </c>
      <c r="D423" s="423"/>
      <c r="BN423">
        <f>F423+G423+P423+U423+Z423+AE423+AJ423+AO423+AU423+BF423+BL423+BA423+L423+'ILUMINAÇÃO PUBLICA'!K423</f>
        <v>0</v>
      </c>
    </row>
    <row r="424" spans="1:66">
      <c r="A424" s="209">
        <v>3632</v>
      </c>
      <c r="B424" s="940" t="s">
        <v>151</v>
      </c>
      <c r="C424" s="405" t="s">
        <v>0</v>
      </c>
      <c r="D424" s="422"/>
      <c r="E424" s="204"/>
      <c r="F424" s="204"/>
      <c r="O424" s="6"/>
      <c r="BN424">
        <f>F424+G424+P424+U424+Z424+AE424+AJ424+AO424+AU424+BF424+BL424+BA424+L424+'ILUMINAÇÃO PUBLICA'!K424</f>
        <v>0</v>
      </c>
    </row>
    <row r="425" spans="1:66">
      <c r="A425" s="209">
        <v>3633</v>
      </c>
      <c r="B425" s="940" t="s">
        <v>219</v>
      </c>
      <c r="C425" s="947" t="s">
        <v>515</v>
      </c>
      <c r="D425" s="422"/>
      <c r="BN425">
        <f>F425+G425+P425+U425+Z425+AE425+AJ425+AO425+AU425+BF425+BL425+BA425+L425+'ILUMINAÇÃO PUBLICA'!K425</f>
        <v>0</v>
      </c>
    </row>
    <row r="426" spans="1:66">
      <c r="A426" s="209">
        <v>3634</v>
      </c>
      <c r="B426" s="940" t="s">
        <v>25</v>
      </c>
      <c r="C426" s="947" t="s">
        <v>515</v>
      </c>
      <c r="D426" s="422"/>
      <c r="O426" t="s">
        <v>1085</v>
      </c>
      <c r="P426">
        <f>SUM(P5:R5,P9:R9)*(2)</f>
        <v>0</v>
      </c>
      <c r="T426" t="s">
        <v>1085</v>
      </c>
      <c r="U426">
        <f>SUM(U5:W5,U9:W9)*(3)</f>
        <v>0</v>
      </c>
      <c r="Y426" t="s">
        <v>1085</v>
      </c>
      <c r="Z426">
        <f>SUM(Z5:AB5,Z9:AB9)*(2)</f>
        <v>0</v>
      </c>
      <c r="AD426" t="s">
        <v>1085</v>
      </c>
      <c r="AE426">
        <f>SUM(AE5:AG5,AE9:AG9)*(2)</f>
        <v>0</v>
      </c>
      <c r="AI426" t="s">
        <v>1085</v>
      </c>
      <c r="AJ426">
        <f>SUM(AJ5:AL5,AJ9:AL9)*(2)</f>
        <v>0</v>
      </c>
      <c r="AN426" t="s">
        <v>1085</v>
      </c>
      <c r="AO426">
        <f>SUM(AO5:AR5,AO9:AR9)*(3)</f>
        <v>0</v>
      </c>
      <c r="AT426" t="s">
        <v>1085</v>
      </c>
      <c r="AU426">
        <f>SUM(AU5:AX5,AU9:AX9)*(4)</f>
        <v>0</v>
      </c>
      <c r="BN426">
        <f>F426+G426+P426+U426+Z426+AE426+AJ426+AO426+AU426+BF426+BL426+BA426+L426+'ILUMINAÇÃO PUBLICA'!K426</f>
        <v>0</v>
      </c>
    </row>
    <row r="427" spans="1:66">
      <c r="A427" s="209">
        <v>3635</v>
      </c>
      <c r="B427" s="940" t="s">
        <v>26</v>
      </c>
      <c r="C427" s="947" t="s">
        <v>515</v>
      </c>
      <c r="D427" s="422"/>
      <c r="O427" t="s">
        <v>1085</v>
      </c>
      <c r="P427">
        <f>SUM(P10:R10,P6:R6,P13:R13)*(2)</f>
        <v>0</v>
      </c>
      <c r="T427" t="s">
        <v>1085</v>
      </c>
      <c r="U427">
        <f>SUM(U10:W10,U6:W6,U13:W13)*(3)</f>
        <v>0</v>
      </c>
      <c r="Y427" t="s">
        <v>1085</v>
      </c>
      <c r="Z427">
        <f>SUM(Z10:AB10,Z6:AB6,Z13:AB13)*(2)</f>
        <v>0</v>
      </c>
      <c r="AD427" t="s">
        <v>1085</v>
      </c>
      <c r="AE427">
        <f>SUM(AE10:AG10,AE6:AG6,AE13:AG13)*(2)</f>
        <v>0</v>
      </c>
      <c r="AI427" t="s">
        <v>1085</v>
      </c>
      <c r="AJ427">
        <f>SUM(AJ10:AL10,AJ6:AL6,AJ13:AL13)*(2)</f>
        <v>0</v>
      </c>
      <c r="AN427" t="s">
        <v>1085</v>
      </c>
      <c r="AO427">
        <f>SUM(AO10:AR10,AO6:AR6,AO13:AR13)*(3)</f>
        <v>0</v>
      </c>
      <c r="AT427" t="s">
        <v>1085</v>
      </c>
      <c r="AU427">
        <f>SUM(AU10:AX10,AU6:AX6,AU13:AX13)*(4)</f>
        <v>0</v>
      </c>
      <c r="AZ427" t="s">
        <v>1085</v>
      </c>
      <c r="BA427">
        <f>SUM(BA5:BC5,BA9:BC9)*2</f>
        <v>0</v>
      </c>
      <c r="BE427" t="s">
        <v>1085</v>
      </c>
      <c r="BF427">
        <f>SUM(BF5:BH5,BF9:BH9)*2</f>
        <v>0</v>
      </c>
      <c r="BN427">
        <f>F427+G427+P427+U427+Z427+AE427+AJ427+AO427+AU427+BF427+BL427+BA427+L427+'ILUMINAÇÃO PUBLICA'!K427</f>
        <v>0</v>
      </c>
    </row>
    <row r="428" spans="1:66">
      <c r="A428" s="209">
        <v>3636</v>
      </c>
      <c r="B428" s="940" t="s">
        <v>27</v>
      </c>
      <c r="C428" s="947" t="s">
        <v>515</v>
      </c>
      <c r="D428" s="422"/>
      <c r="O428" t="s">
        <v>1085</v>
      </c>
      <c r="P428">
        <f>SUM(P11:R11,P7:R7,P14:R14)*(2)</f>
        <v>0</v>
      </c>
      <c r="T428" t="s">
        <v>1085</v>
      </c>
      <c r="U428">
        <f>SUM(U11:W11,U7:W7,U14:W14)*(3)</f>
        <v>0</v>
      </c>
      <c r="Y428" t="s">
        <v>1085</v>
      </c>
      <c r="Z428">
        <f>SUM(Z11:AB11,Z7:AB7,Z14:AB14)*(2)</f>
        <v>0</v>
      </c>
      <c r="AD428" t="s">
        <v>1085</v>
      </c>
      <c r="AE428">
        <f>SUM(AE11:AG11,AE7:AG7,AE14:AG14)*(2)</f>
        <v>0</v>
      </c>
      <c r="AI428" t="s">
        <v>1085</v>
      </c>
      <c r="AJ428">
        <f>SUM(AJ11:AL11,AJ7:AL7,AJ14:AL14)*(2)</f>
        <v>0</v>
      </c>
      <c r="AN428" t="s">
        <v>1085</v>
      </c>
      <c r="AO428">
        <f>SUM(AO11:AR11,AO7:AR7,AO14:AR14)*(3)</f>
        <v>0</v>
      </c>
      <c r="AT428" t="s">
        <v>1085</v>
      </c>
      <c r="AU428">
        <f>SUM(AU11:AX11,AU7:AX7,AU14:AX14)*(4)</f>
        <v>0</v>
      </c>
      <c r="AZ428" t="s">
        <v>1085</v>
      </c>
      <c r="BA428">
        <f>SUM(BA6:BC6,BA10:BC10,BA13:BC13)*2</f>
        <v>0</v>
      </c>
      <c r="BE428" t="s">
        <v>1085</v>
      </c>
      <c r="BF428">
        <f>SUM(BF6:BH6,BF10:BH10,BF13:BH13)*2</f>
        <v>0</v>
      </c>
      <c r="BN428">
        <f>F428+G428+P428+U428+Z428+AE428+AJ428+AO428+AU428+BF428+BL428+BA428+L428+'ILUMINAÇÃO PUBLICA'!K428</f>
        <v>0</v>
      </c>
    </row>
    <row r="429" spans="1:66">
      <c r="A429" s="209">
        <v>3637</v>
      </c>
      <c r="B429" s="940" t="s">
        <v>152</v>
      </c>
      <c r="C429" s="947" t="s">
        <v>515</v>
      </c>
      <c r="D429" s="422"/>
      <c r="O429" t="s">
        <v>1085</v>
      </c>
      <c r="P429">
        <f>SUM(P12:R12,P8:R8,P15:R15)*(2)</f>
        <v>0</v>
      </c>
      <c r="T429" t="s">
        <v>1085</v>
      </c>
      <c r="U429">
        <f>SUM(U12:W12,U8:W8,U15:W15)*(3)</f>
        <v>0</v>
      </c>
      <c r="Y429" t="s">
        <v>1085</v>
      </c>
      <c r="Z429">
        <f>SUM(Z12:AB12,Z8:AB8,Z15:AB15)*(2)</f>
        <v>0</v>
      </c>
      <c r="AD429" t="s">
        <v>1085</v>
      </c>
      <c r="AE429">
        <f>SUM(AE12:AG12,AE8:AG8,AE15:AG15)*(2)</f>
        <v>0</v>
      </c>
      <c r="AI429" t="s">
        <v>1085</v>
      </c>
      <c r="AJ429">
        <f>SUM(AJ12:AL12,AJ8:AL8,AJ15:AL15)*(2)</f>
        <v>0</v>
      </c>
      <c r="AN429" t="s">
        <v>1085</v>
      </c>
      <c r="AO429">
        <f>SUM(AO12:AR12,AO8:AR8,AO15:AR15)*(3)</f>
        <v>0</v>
      </c>
      <c r="AT429" t="s">
        <v>1085</v>
      </c>
      <c r="AU429">
        <f>SUM(AU12:AX12,AU8:AX8,AU15:AX15)*(4)</f>
        <v>0</v>
      </c>
      <c r="AZ429" t="s">
        <v>1085</v>
      </c>
      <c r="BA429">
        <f>SUM(BA7:BC7,BA11:BC11,BA14:BC14)*(2)</f>
        <v>0</v>
      </c>
      <c r="BE429" t="s">
        <v>1085</v>
      </c>
      <c r="BF429">
        <f>SUM(BF7:BH7,BF11:BH11,BF14:BH14)*(2)</f>
        <v>0</v>
      </c>
      <c r="BN429">
        <f>F429+G429+P429+U429+Z429+AE429+AJ429+AO429+AU429+BF429+BL429+BA429+L429+'ILUMINAÇÃO PUBLICA'!K429</f>
        <v>0</v>
      </c>
    </row>
    <row r="430" spans="1:66">
      <c r="A430" s="209"/>
      <c r="B430" s="940" t="s">
        <v>1019</v>
      </c>
      <c r="C430" s="947" t="s">
        <v>515</v>
      </c>
      <c r="D430" s="422"/>
      <c r="AZ430" t="s">
        <v>1085</v>
      </c>
      <c r="BA430">
        <f>SUM(BA12:BC12,BA8:BC8,BA15:BC15)*(2)</f>
        <v>0</v>
      </c>
      <c r="BE430" t="s">
        <v>1085</v>
      </c>
      <c r="BF430">
        <f>SUM(BF12:BI12,BF8:BI8,BF15:BI15)*(3)</f>
        <v>0</v>
      </c>
      <c r="BN430">
        <f>F430+G430+P430+U430+Z430+AE430+AJ430+AO430+AU430+BF430+BL430+BA430+L430+'ILUMINAÇÃO PUBLICA'!K430</f>
        <v>0</v>
      </c>
    </row>
    <row r="431" spans="1:66">
      <c r="A431" s="209">
        <v>3638</v>
      </c>
      <c r="B431" s="940" t="s">
        <v>236</v>
      </c>
      <c r="C431" s="947" t="s">
        <v>0</v>
      </c>
      <c r="D431" s="422"/>
      <c r="BN431">
        <f>F431+G431+P431+U431+Z431+AE431+AJ431+AO431+AU431+BF431+BL431+BA431+L431+'ILUMINAÇÃO PUBLICA'!K431</f>
        <v>0</v>
      </c>
    </row>
    <row r="432" spans="1:66">
      <c r="A432" s="209">
        <v>3639</v>
      </c>
      <c r="B432" s="940" t="s">
        <v>221</v>
      </c>
      <c r="C432" s="947" t="s">
        <v>515</v>
      </c>
      <c r="D432" s="422"/>
      <c r="BN432">
        <f>F432+G432+P432+U432+Z432+AE432+AJ432+AO432+AU432+BF432+BL432+BA432+L432+'ILUMINAÇÃO PUBLICA'!K432</f>
        <v>0</v>
      </c>
    </row>
    <row r="433" spans="1:66">
      <c r="A433" s="209">
        <v>3640</v>
      </c>
      <c r="B433" s="940" t="s">
        <v>222</v>
      </c>
      <c r="C433" s="947" t="s">
        <v>515</v>
      </c>
      <c r="D433" s="422"/>
      <c r="BN433">
        <f>F433+G433+P433+U433+Z433+AE433+AJ433+AO433+AU433+BF433+BL433+BA433+L433+'ILUMINAÇÃO PUBLICA'!K433</f>
        <v>0</v>
      </c>
    </row>
    <row r="434" spans="1:66">
      <c r="A434" s="209">
        <v>3641</v>
      </c>
      <c r="B434" s="940" t="s">
        <v>223</v>
      </c>
      <c r="C434" s="947" t="s">
        <v>515</v>
      </c>
      <c r="D434" s="422"/>
      <c r="BN434">
        <f>F434+G434+P434+U434+Z434+AE434+AJ434+AO434+AU434+BF434+BL434+BA434+L434+'ILUMINAÇÃO PUBLICA'!K434</f>
        <v>0</v>
      </c>
    </row>
    <row r="435" spans="1:66">
      <c r="A435" s="209">
        <v>3642</v>
      </c>
      <c r="B435" s="940" t="s">
        <v>228</v>
      </c>
      <c r="C435" s="947" t="s">
        <v>515</v>
      </c>
      <c r="D435" s="422"/>
      <c r="BN435">
        <f>F435+G435+P435+U435+Z435+AE435+AJ435+AO435+AU435+BF435+BL435+BA435+L435+'ILUMINAÇÃO PUBLICA'!K435</f>
        <v>0</v>
      </c>
    </row>
    <row r="436" spans="1:66">
      <c r="B436" s="404" t="s">
        <v>953</v>
      </c>
      <c r="C436" s="947" t="s">
        <v>515</v>
      </c>
      <c r="D436" s="422"/>
      <c r="BN436">
        <f>F436+G436+P436+U436+Z436+AE436+AJ436+AO436+AU436+BF436+BL436+BA436+L436+'ILUMINAÇÃO PUBLICA'!K436</f>
        <v>0</v>
      </c>
    </row>
    <row r="437" spans="1:66">
      <c r="B437" s="404" t="s">
        <v>1002</v>
      </c>
      <c r="C437" s="405" t="s">
        <v>0</v>
      </c>
      <c r="D437" s="422"/>
      <c r="BN437">
        <f>F437+G437+P437+U437+Z437+AE437+AJ437+AO437+AU437+BF437+BL437+BA437+L437+'ILUMINAÇÃO PUBLICA'!K437</f>
        <v>0</v>
      </c>
    </row>
    <row r="438" spans="1:66">
      <c r="B438" s="404" t="s">
        <v>1013</v>
      </c>
      <c r="C438" s="405" t="s">
        <v>0</v>
      </c>
      <c r="D438" s="422"/>
      <c r="BN438">
        <f>F438+G438+P438+U438+Z438+AE438+AJ438+AO438+AU438+BF438+BL438+BA438+L438+'ILUMINAÇÃO PUBLICA'!K438</f>
        <v>0</v>
      </c>
    </row>
    <row r="439" spans="1:66">
      <c r="B439" s="399" t="s">
        <v>1711</v>
      </c>
      <c r="C439" s="405" t="s">
        <v>0</v>
      </c>
      <c r="D439" s="423"/>
      <c r="BN439">
        <f>F439+G439+P439+U439+Z439+AE439+AJ439+AO439+AU439+BF439+BL439+BA439+L439+'ILUMINAÇÃO PUBLICA'!K439</f>
        <v>0</v>
      </c>
    </row>
    <row r="440" spans="1:66">
      <c r="B440" s="399" t="s">
        <v>1710</v>
      </c>
      <c r="C440" s="405" t="s">
        <v>0</v>
      </c>
      <c r="D440" s="423"/>
      <c r="BN440">
        <f>F440+G440+P440+U440+Z440+AE440+AJ440+AO440+AU440+BF440+BL440+BA440+L440+'ILUMINAÇÃO PUBLICA'!K440</f>
        <v>0</v>
      </c>
    </row>
    <row r="441" spans="1:66">
      <c r="A441" s="414">
        <v>10001811</v>
      </c>
      <c r="B441" s="210" t="s">
        <v>1706</v>
      </c>
      <c r="C441" s="473" t="s">
        <v>515</v>
      </c>
      <c r="D441" s="423"/>
      <c r="BN441">
        <f>F441+G441+P441+U441+Z441+AE441+AJ441+AO441+AU441+BF441+BL441+BA441+L441+'ILUMINAÇÃO PUBLICA'!K441</f>
        <v>0</v>
      </c>
    </row>
    <row r="442" spans="1:66">
      <c r="A442" s="414"/>
      <c r="B442" s="210" t="s">
        <v>1707</v>
      </c>
      <c r="C442" s="473" t="s">
        <v>515</v>
      </c>
      <c r="D442" s="423"/>
      <c r="BN442">
        <f>F442+G442+P442+U442+Z442+AE442+AJ442+AO442+AU442+BF442+BL442+BA442+L442+'ILUMINAÇÃO PUBLICA'!K442</f>
        <v>0</v>
      </c>
    </row>
    <row r="443" spans="1:66">
      <c r="A443" s="414">
        <v>10001808</v>
      </c>
      <c r="B443" s="210" t="s">
        <v>1708</v>
      </c>
      <c r="C443" s="473" t="s">
        <v>515</v>
      </c>
      <c r="D443" s="423"/>
      <c r="BN443">
        <f>F443+G443+P443+U443+Z443+AE443+AJ443+AO443+AU443+BF443+BL443+BA443+L443+'ILUMINAÇÃO PUBLICA'!K443</f>
        <v>0</v>
      </c>
    </row>
    <row r="444" spans="1:66">
      <c r="A444" s="414"/>
      <c r="B444" s="210" t="s">
        <v>1709</v>
      </c>
      <c r="C444" s="473" t="s">
        <v>515</v>
      </c>
      <c r="D444" s="423"/>
      <c r="BN444">
        <f>F444+G444+P444+U444+Z444+AE444+AJ444+AO444+AU444+BF444+BL444+BA444+L444+'ILUMINAÇÃO PUBLICA'!K444</f>
        <v>0</v>
      </c>
    </row>
    <row r="445" spans="1:66">
      <c r="B445" s="404" t="s">
        <v>960</v>
      </c>
      <c r="C445" s="405" t="s">
        <v>0</v>
      </c>
      <c r="D445" s="423"/>
      <c r="BL445">
        <f>SUM(BL6,BL10,BL13,BL17,BL21,BL24)*2</f>
        <v>0</v>
      </c>
      <c r="BN445">
        <f>F445+G445+P445+U445+Z445+AE445+AJ445+AO445+AU445+BF445+BL445+BA445+L445+'ILUMINAÇÃO PUBLICA'!K445</f>
        <v>0</v>
      </c>
    </row>
    <row r="446" spans="1:66">
      <c r="A446" s="209">
        <v>4174</v>
      </c>
      <c r="B446" s="940" t="s">
        <v>30</v>
      </c>
      <c r="C446" s="405" t="s">
        <v>0</v>
      </c>
      <c r="D446" s="390"/>
      <c r="E446" s="211"/>
      <c r="F446" s="439"/>
      <c r="BL446">
        <f t="shared" ref="BL446:BL467" si="0">BL5</f>
        <v>0</v>
      </c>
      <c r="BN446">
        <f>F446+G446+P446+U446+Z446+AE446+AJ446+AO446+AU446+BF446+BL446+BA446+L446+'ILUMINAÇÃO PUBLICA'!K446</f>
        <v>0</v>
      </c>
    </row>
    <row r="447" spans="1:66">
      <c r="A447" s="209">
        <v>4190</v>
      </c>
      <c r="B447" s="940" t="s">
        <v>31</v>
      </c>
      <c r="C447" s="947" t="s">
        <v>515</v>
      </c>
      <c r="D447" s="390"/>
      <c r="E447" s="211"/>
      <c r="F447" s="439"/>
      <c r="BL447">
        <f t="shared" si="0"/>
        <v>0</v>
      </c>
      <c r="BN447">
        <f>F447+G447+P447+U447+Z447+AE447+AJ447+AO447+AU447+BF447+BL447+BA447+L447+'ILUMINAÇÃO PUBLICA'!K447</f>
        <v>0</v>
      </c>
    </row>
    <row r="448" spans="1:66">
      <c r="A448" s="209">
        <v>3712</v>
      </c>
      <c r="B448" s="940" t="s">
        <v>41</v>
      </c>
      <c r="C448" s="947" t="s">
        <v>515</v>
      </c>
      <c r="D448" s="390"/>
      <c r="E448" s="211"/>
      <c r="F448" s="439"/>
      <c r="BL448">
        <f t="shared" si="0"/>
        <v>0</v>
      </c>
      <c r="BN448">
        <f>F448+G448+P448+U448+Z448+AE448+AJ448+AO448+AU448+BF448+BL448+BA448+L448+'ILUMINAÇÃO PUBLICA'!K448</f>
        <v>0</v>
      </c>
    </row>
    <row r="449" spans="1:66">
      <c r="A449" s="209">
        <v>3652</v>
      </c>
      <c r="B449" s="940" t="s">
        <v>98</v>
      </c>
      <c r="C449" s="947" t="s">
        <v>515</v>
      </c>
      <c r="D449" s="390"/>
      <c r="E449" s="211"/>
      <c r="F449" s="439"/>
      <c r="BL449">
        <f t="shared" si="0"/>
        <v>0</v>
      </c>
      <c r="BN449">
        <f>F449+G449+P449+U449+Z449+AE449+AJ449+AO449+AU449+BF449+BL449+BA449+L449+'ILUMINAÇÃO PUBLICA'!K449</f>
        <v>0</v>
      </c>
    </row>
    <row r="450" spans="1:66">
      <c r="A450" s="209">
        <v>3656</v>
      </c>
      <c r="B450" s="940" t="s">
        <v>99</v>
      </c>
      <c r="C450" s="947" t="s">
        <v>515</v>
      </c>
      <c r="D450" s="390"/>
      <c r="E450" s="211"/>
      <c r="F450" s="439"/>
      <c r="BL450">
        <f t="shared" si="0"/>
        <v>0</v>
      </c>
      <c r="BN450">
        <f>F450+G450+P450+U450+Z450+AE450+AJ450+AO450+AU450+BF450+BL450+BA450+L450+'ILUMINAÇÃO PUBLICA'!K450</f>
        <v>0</v>
      </c>
    </row>
    <row r="451" spans="1:66">
      <c r="A451" s="209">
        <v>3657</v>
      </c>
      <c r="B451" s="940" t="s">
        <v>102</v>
      </c>
      <c r="C451" s="947" t="s">
        <v>515</v>
      </c>
      <c r="D451" s="390"/>
      <c r="E451" s="211"/>
      <c r="F451" s="439"/>
      <c r="BL451">
        <f t="shared" si="0"/>
        <v>0</v>
      </c>
      <c r="BN451">
        <f>F451+G451+P451+U451+Z451+AE451+AJ451+AO451+AU451+BF451+BL451+BA451+L451+'ILUMINAÇÃO PUBLICA'!K451</f>
        <v>0</v>
      </c>
    </row>
    <row r="452" spans="1:66">
      <c r="A452" s="209">
        <v>3658</v>
      </c>
      <c r="B452" s="940" t="s">
        <v>103</v>
      </c>
      <c r="C452" s="947" t="s">
        <v>515</v>
      </c>
      <c r="D452" s="390"/>
      <c r="E452" s="211"/>
      <c r="F452" s="439"/>
      <c r="BL452">
        <f t="shared" si="0"/>
        <v>0</v>
      </c>
      <c r="BN452">
        <f>F452+G452+P452+U452+Z452+AE452+AJ452+AO452+AU452+BF452+BL452+BA452+L452+'ILUMINAÇÃO PUBLICA'!K452</f>
        <v>0</v>
      </c>
    </row>
    <row r="453" spans="1:66">
      <c r="A453" s="209">
        <v>3655</v>
      </c>
      <c r="B453" s="940" t="s">
        <v>104</v>
      </c>
      <c r="C453" s="947" t="s">
        <v>515</v>
      </c>
      <c r="D453" s="390"/>
      <c r="E453" s="211"/>
      <c r="F453" s="439"/>
      <c r="BL453">
        <f t="shared" si="0"/>
        <v>0</v>
      </c>
      <c r="BN453">
        <f>F453+G453+P453+U453+Z453+AE453+AJ453+AO453+AU453+BF453+BL453+BA453+L453+'ILUMINAÇÃO PUBLICA'!K453</f>
        <v>0</v>
      </c>
    </row>
    <row r="454" spans="1:66">
      <c r="A454" s="209">
        <v>3660</v>
      </c>
      <c r="B454" s="940" t="s">
        <v>105</v>
      </c>
      <c r="C454" s="947" t="s">
        <v>515</v>
      </c>
      <c r="D454" s="390"/>
      <c r="E454" s="211"/>
      <c r="F454" s="439"/>
      <c r="BL454">
        <f t="shared" si="0"/>
        <v>0</v>
      </c>
      <c r="BN454">
        <f>F454+G454+P454+U454+Z454+AE454+AJ454+AO454+AU454+BF454+BL454+BA454+L454+'ILUMINAÇÃO PUBLICA'!K454</f>
        <v>0</v>
      </c>
    </row>
    <row r="455" spans="1:66">
      <c r="A455" s="209">
        <v>3661</v>
      </c>
      <c r="B455" s="940" t="s">
        <v>106</v>
      </c>
      <c r="C455" s="947" t="s">
        <v>515</v>
      </c>
      <c r="D455" s="390"/>
      <c r="E455" s="211"/>
      <c r="F455" s="439"/>
      <c r="BL455">
        <f t="shared" si="0"/>
        <v>0</v>
      </c>
      <c r="BN455">
        <f>F455+G455+P455+U455+Z455+AE455+AJ455+AO455+AU455+BF455+BL455+BA455+L455+'ILUMINAÇÃO PUBLICA'!K455</f>
        <v>0</v>
      </c>
    </row>
    <row r="456" spans="1:66">
      <c r="A456" s="209">
        <v>3659</v>
      </c>
      <c r="B456" s="940" t="s">
        <v>107</v>
      </c>
      <c r="C456" s="947" t="s">
        <v>515</v>
      </c>
      <c r="D456" s="390"/>
      <c r="E456" s="211"/>
      <c r="F456" s="439"/>
      <c r="BL456">
        <f t="shared" si="0"/>
        <v>0</v>
      </c>
      <c r="BN456">
        <f>F456+G456+P456+U456+Z456+AE456+AJ456+AO456+AU456+BF456+BL456+BA456+L456+'ILUMINAÇÃO PUBLICA'!K456</f>
        <v>0</v>
      </c>
    </row>
    <row r="457" spans="1:66">
      <c r="A457" s="209"/>
      <c r="B457" s="940" t="s">
        <v>108</v>
      </c>
      <c r="C457" s="947" t="s">
        <v>515</v>
      </c>
      <c r="D457" s="390"/>
      <c r="E457" s="211"/>
      <c r="F457" s="439"/>
      <c r="BL457">
        <f t="shared" si="0"/>
        <v>0</v>
      </c>
      <c r="BN457">
        <f>F457+G457+P457+U457+Z457+AE457+AJ457+AO457+AU457+BF457+BL457+BA457+L457+'ILUMINAÇÃO PUBLICA'!K457</f>
        <v>0</v>
      </c>
    </row>
    <row r="458" spans="1:66">
      <c r="A458" s="209">
        <v>4043</v>
      </c>
      <c r="B458" s="940" t="s">
        <v>109</v>
      </c>
      <c r="C458" s="947" t="s">
        <v>515</v>
      </c>
      <c r="D458" s="390"/>
      <c r="E458" s="211"/>
      <c r="F458" s="439"/>
      <c r="BL458">
        <f t="shared" si="0"/>
        <v>0</v>
      </c>
      <c r="BN458">
        <f>F458+G458+P458+U458+Z458+AE458+AJ458+AO458+AU458+BF458+BL458+BA458+L458+'ILUMINAÇÃO PUBLICA'!K458</f>
        <v>0</v>
      </c>
    </row>
    <row r="459" spans="1:66">
      <c r="A459" s="209">
        <v>3663</v>
      </c>
      <c r="B459" s="940" t="s">
        <v>32</v>
      </c>
      <c r="C459" s="947" t="s">
        <v>515</v>
      </c>
      <c r="D459" s="390"/>
      <c r="E459" s="211"/>
      <c r="F459" s="439"/>
      <c r="BL459">
        <f t="shared" si="0"/>
        <v>0</v>
      </c>
      <c r="BN459">
        <f>F459+G459+P459+U459+Z459+AE459+AJ459+AO459+AU459+BF459+BL459+BA459+L459+'ILUMINAÇÃO PUBLICA'!K459</f>
        <v>0</v>
      </c>
    </row>
    <row r="460" spans="1:66">
      <c r="A460" s="209">
        <v>3662</v>
      </c>
      <c r="B460" s="940" t="s">
        <v>110</v>
      </c>
      <c r="C460" s="947" t="s">
        <v>515</v>
      </c>
      <c r="D460" s="390"/>
      <c r="E460" s="211"/>
      <c r="F460" s="439"/>
      <c r="BL460">
        <f t="shared" si="0"/>
        <v>0</v>
      </c>
      <c r="BN460">
        <f>F460+G460+P460+U460+Z460+AE460+AJ460+AO460+AU460+BF460+BL460+BA460+L460+'ILUMINAÇÃO PUBLICA'!K460</f>
        <v>0</v>
      </c>
    </row>
    <row r="461" spans="1:66">
      <c r="A461" s="209"/>
      <c r="B461" s="940" t="s">
        <v>111</v>
      </c>
      <c r="C461" s="947" t="s">
        <v>515</v>
      </c>
      <c r="D461" s="390"/>
      <c r="E461" s="211"/>
      <c r="F461" s="439"/>
      <c r="BL461">
        <f t="shared" si="0"/>
        <v>0</v>
      </c>
      <c r="BN461">
        <f>F461+G461+P461+U461+Z461+AE461+AJ461+AO461+AU461+BF461+BL461+BA461+L461+'ILUMINAÇÃO PUBLICA'!K461</f>
        <v>0</v>
      </c>
    </row>
    <row r="462" spans="1:66">
      <c r="A462" s="209">
        <v>4044</v>
      </c>
      <c r="B462" s="940" t="s">
        <v>112</v>
      </c>
      <c r="C462" s="947" t="s">
        <v>515</v>
      </c>
      <c r="D462" s="390"/>
      <c r="E462" s="211"/>
      <c r="F462" s="439"/>
      <c r="BL462">
        <f t="shared" si="0"/>
        <v>0</v>
      </c>
      <c r="BN462">
        <f>F462+G462+P462+U462+Z462+AE462+AJ462+AO462+AU462+BF462+BL462+BA462+L462+'ILUMINAÇÃO PUBLICA'!K462</f>
        <v>0</v>
      </c>
    </row>
    <row r="463" spans="1:66">
      <c r="A463" s="209">
        <v>3665</v>
      </c>
      <c r="B463" s="940" t="s">
        <v>38</v>
      </c>
      <c r="C463" s="947" t="s">
        <v>515</v>
      </c>
      <c r="D463" s="390"/>
      <c r="E463" s="211"/>
      <c r="F463" s="439"/>
      <c r="BL463">
        <f t="shared" si="0"/>
        <v>0</v>
      </c>
      <c r="BN463">
        <f>F463+G463+P463+U463+Z463+AE463+AJ463+AO463+AU463+BF463+BL463+BA463+L463+'ILUMINAÇÃO PUBLICA'!K463</f>
        <v>0</v>
      </c>
    </row>
    <row r="464" spans="1:66">
      <c r="A464" s="209">
        <v>3664</v>
      </c>
      <c r="B464" s="940" t="s">
        <v>113</v>
      </c>
      <c r="C464" s="947" t="s">
        <v>515</v>
      </c>
      <c r="D464" s="390"/>
      <c r="E464" s="211"/>
      <c r="F464" s="439"/>
      <c r="BL464">
        <f t="shared" si="0"/>
        <v>0</v>
      </c>
      <c r="BN464">
        <f>F464+G464+P464+U464+Z464+AE464+AJ464+AO464+AU464+BF464+BL464+BA464+L464+'ILUMINAÇÃO PUBLICA'!K464</f>
        <v>0</v>
      </c>
    </row>
    <row r="465" spans="1:66">
      <c r="A465" s="209"/>
      <c r="B465" s="940" t="s">
        <v>114</v>
      </c>
      <c r="C465" s="947" t="s">
        <v>515</v>
      </c>
      <c r="D465" s="390"/>
      <c r="E465" s="211"/>
      <c r="F465" s="439"/>
      <c r="BL465">
        <f t="shared" si="0"/>
        <v>0</v>
      </c>
      <c r="BN465">
        <f>F465+G465+P465+U465+Z465+AE465+AJ465+AO465+AU465+BF465+BL465+BA465+L465+'ILUMINAÇÃO PUBLICA'!K465</f>
        <v>0</v>
      </c>
    </row>
    <row r="466" spans="1:66">
      <c r="A466" s="209"/>
      <c r="B466" s="940" t="s">
        <v>115</v>
      </c>
      <c r="C466" s="947" t="s">
        <v>515</v>
      </c>
      <c r="D466" s="390"/>
      <c r="E466" s="211"/>
      <c r="F466" s="439"/>
      <c r="BL466">
        <f t="shared" si="0"/>
        <v>0</v>
      </c>
      <c r="BN466">
        <f>F466+G466+P466+U466+Z466+AE466+AJ466+AO466+AU466+BF466+BL466+BA466+L466+'ILUMINAÇÃO PUBLICA'!K466</f>
        <v>0</v>
      </c>
    </row>
    <row r="467" spans="1:66">
      <c r="A467" s="209"/>
      <c r="B467" s="940" t="s">
        <v>116</v>
      </c>
      <c r="C467" s="947" t="s">
        <v>515</v>
      </c>
      <c r="D467" s="390"/>
      <c r="E467" s="211"/>
      <c r="F467" s="439"/>
      <c r="BL467">
        <f t="shared" si="0"/>
        <v>0</v>
      </c>
      <c r="BN467">
        <f>F467+G467+P467+U467+Z467+AE467+AJ467+AO467+AU467+BF467+BL467+BA467+L467+'ILUMINAÇÃO PUBLICA'!K467</f>
        <v>0</v>
      </c>
    </row>
    <row r="468" spans="1:66">
      <c r="B468" s="404" t="s">
        <v>961</v>
      </c>
      <c r="C468" s="947" t="s">
        <v>515</v>
      </c>
      <c r="D468" s="423"/>
      <c r="BN468">
        <f>F468+G468+P468+U468+Z468+AE468+AJ468+AO468+AU468+BF468+BL468+BA468+L468+'ILUMINAÇÃO PUBLICA'!K468</f>
        <v>0</v>
      </c>
    </row>
    <row r="469" spans="1:66">
      <c r="B469" s="404" t="s">
        <v>33</v>
      </c>
      <c r="C469" s="405" t="s">
        <v>0</v>
      </c>
      <c r="D469" s="423"/>
      <c r="BN469">
        <f>F469+G469+P469+U469+Z469+AE469+AJ469+AO469+AU469+BF469+BL469+BA469+L469+'ILUMINAÇÃO PUBLICA'!K469</f>
        <v>0</v>
      </c>
    </row>
    <row r="470" spans="1:66">
      <c r="B470" s="404" t="s">
        <v>962</v>
      </c>
      <c r="C470" s="405" t="s">
        <v>0</v>
      </c>
      <c r="D470" s="423"/>
      <c r="BN470">
        <f>F470+G470+P470+U470+Z470+AE470+AJ470+AO470+AU470+BF470+BL470+BA470+L470+'ILUMINAÇÃO PUBLICA'!K470</f>
        <v>0</v>
      </c>
    </row>
    <row r="471" spans="1:66">
      <c r="B471" s="404" t="s">
        <v>225</v>
      </c>
      <c r="C471" s="405" t="s">
        <v>0</v>
      </c>
      <c r="D471" s="423"/>
      <c r="BN471">
        <f>F471+G471+P471+U471+Z471+AE471+AJ471+AO471+AU471+BF471+BL471+BA471+L471+'ILUMINAÇÃO PUBLICA'!K471</f>
        <v>0</v>
      </c>
    </row>
    <row r="472" spans="1:66">
      <c r="B472" s="404" t="s">
        <v>963</v>
      </c>
      <c r="C472" s="405" t="s">
        <v>0</v>
      </c>
      <c r="D472" s="423"/>
      <c r="BN472">
        <f>F472+G472+P472+U472+Z472+AE472+AJ472+AO472+AU472+BF472+BL472+BA472+L472+'ILUMINAÇÃO PUBLICA'!K472</f>
        <v>0</v>
      </c>
    </row>
    <row r="473" spans="1:66">
      <c r="B473" s="404" t="s">
        <v>34</v>
      </c>
      <c r="C473" s="405" t="s">
        <v>0</v>
      </c>
      <c r="D473" s="423"/>
      <c r="BN473">
        <f>F473+G473+P473+U473+Z473+AE473+AJ473+AO473+AU473+BF473+BL473+BA473+L473+'ILUMINAÇÃO PUBLICA'!K473</f>
        <v>0</v>
      </c>
    </row>
    <row r="474" spans="1:66">
      <c r="A474" s="333"/>
      <c r="B474" s="939" t="s">
        <v>964</v>
      </c>
      <c r="C474" s="405" t="s">
        <v>0</v>
      </c>
      <c r="D474" s="423"/>
      <c r="E474" s="333"/>
      <c r="F474" s="333"/>
      <c r="G474" s="333"/>
      <c r="H474" s="333"/>
      <c r="I474" s="333"/>
      <c r="J474" s="333"/>
      <c r="K474" s="333"/>
      <c r="L474" s="333"/>
      <c r="M474" s="333"/>
      <c r="N474" s="333"/>
      <c r="O474" s="333"/>
      <c r="P474" s="333"/>
      <c r="Q474" s="333"/>
      <c r="R474" s="333"/>
      <c r="T474" s="333"/>
      <c r="U474" s="333"/>
      <c r="V474" s="333"/>
      <c r="W474" s="333"/>
      <c r="X474" s="333"/>
      <c r="Y474" s="333"/>
      <c r="Z474" s="333"/>
      <c r="AA474" s="333"/>
      <c r="AB474" s="333"/>
      <c r="AC474" s="333"/>
      <c r="AD474" s="333"/>
      <c r="AE474" s="333"/>
      <c r="AF474" s="333"/>
      <c r="AG474" s="333"/>
      <c r="AH474" s="333"/>
      <c r="AI474" s="333"/>
      <c r="AJ474" s="333"/>
      <c r="AK474" s="333"/>
      <c r="AL474" s="333"/>
      <c r="AM474" s="333"/>
      <c r="AN474" s="333"/>
      <c r="AO474" s="333"/>
      <c r="AP474" s="333"/>
      <c r="AQ474" s="333"/>
      <c r="AR474" s="333"/>
      <c r="AT474" s="333"/>
      <c r="AU474" s="333"/>
      <c r="AV474" s="333"/>
      <c r="AW474" s="333"/>
      <c r="AX474" s="333"/>
      <c r="AZ474" s="333"/>
      <c r="BA474" s="333"/>
      <c r="BB474" s="333"/>
      <c r="BC474" s="333"/>
      <c r="BD474" s="333"/>
      <c r="BE474" s="333"/>
      <c r="BF474" s="333"/>
      <c r="BG474" s="333"/>
      <c r="BH474" s="333"/>
      <c r="BI474" s="333"/>
      <c r="BN474">
        <f>F474+G474+P474+U474+Z474+AE474+AJ474+AO474+AU474+BF474+BL474+BA474+L474+'ILUMINAÇÃO PUBLICA'!K474</f>
        <v>0</v>
      </c>
    </row>
    <row r="475" spans="1:66">
      <c r="B475" s="404" t="s">
        <v>1059</v>
      </c>
      <c r="C475" s="405" t="s">
        <v>0</v>
      </c>
      <c r="D475" s="423"/>
      <c r="BN475">
        <f>F475+G475+P475+U475+Z475+AE475+AJ475+AO475+AU475+BF475+BL475+BA475+L475+'ILUMINAÇÃO PUBLICA'!K475</f>
        <v>0</v>
      </c>
    </row>
    <row r="476" spans="1:66">
      <c r="B476" s="404" t="s">
        <v>965</v>
      </c>
      <c r="C476" s="405" t="s">
        <v>0</v>
      </c>
      <c r="D476" s="423"/>
      <c r="BN476">
        <f>F476+G476+P476+U476+Z476+AE476+AJ476+AO476+AU476+BF476+BL476+BA476+L476+'ILUMINAÇÃO PUBLICA'!K476</f>
        <v>0</v>
      </c>
    </row>
    <row r="477" spans="1:66">
      <c r="B477" s="404" t="s">
        <v>966</v>
      </c>
      <c r="C477" s="405" t="s">
        <v>0</v>
      </c>
      <c r="D477" s="423"/>
      <c r="BN477">
        <f>F477+G477+P477+U477+Z477+AE477+AJ477+AO477+AU477+BF477+BL477+BA477+L477+'ILUMINAÇÃO PUBLICA'!K477</f>
        <v>0</v>
      </c>
    </row>
    <row r="478" spans="1:66">
      <c r="B478" s="939" t="s">
        <v>1021</v>
      </c>
      <c r="C478" s="946" t="s">
        <v>0</v>
      </c>
      <c r="D478" s="423"/>
      <c r="BN478">
        <f>F478+G478+P478+U478+Z478+AE478+AJ478+AO478+AU478+BF478+BL478+BA478+L478+'ILUMINAÇÃO PUBLICA'!K478</f>
        <v>0</v>
      </c>
    </row>
    <row r="479" spans="1:66">
      <c r="A479" s="333"/>
      <c r="B479" s="939" t="s">
        <v>1022</v>
      </c>
      <c r="C479" s="946" t="s">
        <v>0</v>
      </c>
      <c r="D479" s="423"/>
      <c r="BN479">
        <f>F479+G479+P479+U479+Z479+AE479+AJ479+AO479+AU479+BF479+BL479+BA479+L479+'ILUMINAÇÃO PUBLICA'!K479</f>
        <v>0</v>
      </c>
    </row>
    <row r="480" spans="1:66">
      <c r="A480" s="333"/>
      <c r="B480" s="939" t="s">
        <v>238</v>
      </c>
      <c r="C480" s="946" t="s">
        <v>0</v>
      </c>
      <c r="D480" s="423"/>
      <c r="BN480">
        <f>F480+G480+P480+U480+Z480+AE480+AJ480+AO480+AU480+BF480+BL480+BA480+L480+'ILUMINAÇÃO PUBLICA'!K480</f>
        <v>0</v>
      </c>
    </row>
    <row r="481" spans="1:66">
      <c r="A481" s="333"/>
      <c r="B481" s="939" t="s">
        <v>239</v>
      </c>
      <c r="C481" s="946" t="s">
        <v>0</v>
      </c>
      <c r="D481" s="423"/>
      <c r="AZ481" t="s">
        <v>1085</v>
      </c>
      <c r="BA481">
        <f>SUM(BA17:BC17,BA18:BC18,BA21:BC21,BA22:BC22,BA24:BC24,BA25:BC25)*(0)</f>
        <v>0</v>
      </c>
      <c r="BE481" t="s">
        <v>1085</v>
      </c>
      <c r="BF481">
        <f>SUM(BF17:BI17,BF18:BI18,BF21:BI21,BF22:BI22,BF24:BI24,BF25:BI25)*(0)</f>
        <v>0</v>
      </c>
      <c r="BN481">
        <f>F481+G481+P481+U481+Z481+AE481+AJ481+AO481+AU481+BF481+BL481+BA481+L481+'ILUMINAÇÃO PUBLICA'!K481</f>
        <v>0</v>
      </c>
    </row>
    <row r="482" spans="1:66">
      <c r="A482" s="333"/>
      <c r="B482" s="939" t="s">
        <v>1023</v>
      </c>
      <c r="C482" s="946" t="s">
        <v>0</v>
      </c>
      <c r="D482" s="423"/>
      <c r="BN482">
        <f>F482+G482+P482+U482+Z482+AE482+AJ482+AO482+AU482+BF482+BL482+BA482+L482+'ILUMINAÇÃO PUBLICA'!K482</f>
        <v>0</v>
      </c>
    </row>
    <row r="483" spans="1:66">
      <c r="A483" s="333"/>
      <c r="B483" s="939" t="s">
        <v>1024</v>
      </c>
      <c r="C483" s="946" t="s">
        <v>0</v>
      </c>
      <c r="D483" s="423"/>
      <c r="BN483">
        <f>F483+G483+P483+U483+Z483+AE483+AJ483+AO483+AU483+BF483+BL483+BA483+L483+'ILUMINAÇÃO PUBLICA'!K483</f>
        <v>0</v>
      </c>
    </row>
    <row r="484" spans="1:66">
      <c r="A484" s="333"/>
      <c r="B484" s="939" t="s">
        <v>240</v>
      </c>
      <c r="C484" s="946" t="s">
        <v>0</v>
      </c>
      <c r="D484" s="423"/>
      <c r="BN484">
        <f>F484+G484+P484+U484+Z484+AE484+AJ484+AO484+AU484+BF484+BL484+BA484+L484+'ILUMINAÇÃO PUBLICA'!K484</f>
        <v>0</v>
      </c>
    </row>
    <row r="485" spans="1:66">
      <c r="A485" s="333"/>
      <c r="B485" s="939" t="s">
        <v>1025</v>
      </c>
      <c r="C485" s="946" t="s">
        <v>0</v>
      </c>
      <c r="D485" s="423"/>
      <c r="BN485">
        <f>F485+G485+P485+U485+Z485+AE485+AJ485+AO485+AU485+BF485+BL485+BA485+L485+'ILUMINAÇÃO PUBLICA'!K485</f>
        <v>0</v>
      </c>
    </row>
    <row r="486" spans="1:66">
      <c r="A486" s="333"/>
      <c r="B486" s="939" t="s">
        <v>1026</v>
      </c>
      <c r="C486" s="946" t="s">
        <v>0</v>
      </c>
      <c r="D486" s="423"/>
      <c r="AZ486" t="s">
        <v>1085</v>
      </c>
      <c r="BA486">
        <f>SUM(BA19:BC19,BA23:BC23,BA26:BC26)*(0)</f>
        <v>0</v>
      </c>
      <c r="BE486" t="s">
        <v>1085</v>
      </c>
      <c r="BF486">
        <f>SUM(BF19:BI19,BF23:BI23,BF26:BI26)*(0)</f>
        <v>0</v>
      </c>
      <c r="BN486">
        <f>F486+G486+P486+U486+Z486+AE486+AJ486+AO486+AU486+BF486+BL486+BA486+L486+'ILUMINAÇÃO PUBLICA'!K486</f>
        <v>0</v>
      </c>
    </row>
    <row r="487" spans="1:66">
      <c r="A487" s="333"/>
      <c r="B487" s="939" t="s">
        <v>1027</v>
      </c>
      <c r="C487" s="946" t="s">
        <v>0</v>
      </c>
      <c r="D487" s="423"/>
      <c r="BN487">
        <f>F487+G487+P487+U487+Z487+AE487+AJ487+AO487+AU487+BF487+BL487+BA487+L487+'ILUMINAÇÃO PUBLICA'!K487</f>
        <v>0</v>
      </c>
    </row>
    <row r="488" spans="1:66">
      <c r="A488" s="333"/>
      <c r="B488" s="939" t="s">
        <v>1028</v>
      </c>
      <c r="C488" s="946" t="s">
        <v>0</v>
      </c>
      <c r="D488" s="423"/>
      <c r="BN488">
        <f>F488+G488+P488+U488+Z488+AE488+AJ488+AO488+AU488+BF488+BL488+BA488+L488+'ILUMINAÇÃO PUBLICA'!K488</f>
        <v>0</v>
      </c>
    </row>
    <row r="489" spans="1:66">
      <c r="A489" s="333"/>
      <c r="B489" s="404" t="s">
        <v>967</v>
      </c>
      <c r="C489" s="405" t="s">
        <v>0</v>
      </c>
      <c r="D489" s="423"/>
      <c r="E489" s="410"/>
      <c r="F489" s="410"/>
      <c r="G489" s="410"/>
      <c r="H489" s="411"/>
      <c r="I489" s="411"/>
      <c r="J489" s="411"/>
      <c r="K489" s="411"/>
      <c r="L489" s="411"/>
      <c r="M489" s="411"/>
      <c r="N489" s="411"/>
      <c r="O489" s="411"/>
      <c r="P489" s="410"/>
      <c r="Q489" s="411"/>
      <c r="R489" s="411"/>
      <c r="S489" s="186"/>
      <c r="T489" s="411"/>
      <c r="U489" s="410"/>
      <c r="V489" s="411"/>
      <c r="W489" s="411"/>
      <c r="X489" s="411"/>
      <c r="Y489" s="411"/>
      <c r="Z489" s="410"/>
      <c r="AA489" s="411"/>
      <c r="AB489" s="411"/>
      <c r="AC489" s="411"/>
      <c r="AD489" s="411"/>
      <c r="AE489" s="410"/>
      <c r="AF489" s="411"/>
      <c r="AG489" s="411"/>
      <c r="AH489" s="411"/>
      <c r="AI489" s="411"/>
      <c r="AJ489" s="410"/>
      <c r="AK489" s="411"/>
      <c r="AL489" s="411"/>
      <c r="AM489" s="411"/>
      <c r="AN489" s="411"/>
      <c r="AO489" s="410"/>
      <c r="AP489" s="410"/>
      <c r="AQ489" s="411"/>
      <c r="AR489" s="411"/>
      <c r="AS489" s="186"/>
      <c r="AT489" s="411"/>
      <c r="AU489" s="410"/>
      <c r="AV489" s="410"/>
      <c r="AW489" s="411"/>
      <c r="AX489" s="411"/>
      <c r="AY489" s="186"/>
      <c r="AZ489" s="411" t="s">
        <v>1085</v>
      </c>
      <c r="BA489" s="452">
        <f>SUM(BA5:BA15,BB5:BB15,BC5:BC15)*(0)</f>
        <v>0</v>
      </c>
      <c r="BB489" s="411"/>
      <c r="BC489" s="411"/>
      <c r="BD489" s="411"/>
      <c r="BE489" s="411" t="s">
        <v>1085</v>
      </c>
      <c r="BF489" s="452">
        <f>SUM(BF5:BF15,BH5:BH15,BI5:BI15)*(0)</f>
        <v>0</v>
      </c>
      <c r="BG489" s="452"/>
      <c r="BH489" s="411"/>
      <c r="BI489" s="411"/>
      <c r="BN489">
        <f>F489+G489+P489+U489+Z489+AE489+AJ489+AO489+AU489+BF489+BL489+BA489+L489+'ILUMINAÇÃO PUBLICA'!K489</f>
        <v>0</v>
      </c>
    </row>
    <row r="490" spans="1:66">
      <c r="B490" s="404" t="s">
        <v>1006</v>
      </c>
      <c r="C490" s="405" t="s">
        <v>0</v>
      </c>
      <c r="D490" s="423"/>
      <c r="BN490">
        <f>F490+G490+P490+U490+Z490+AE490+AJ490+AO490+AU490+BF490+BL490+BA490+L490+'ILUMINAÇÃO PUBLICA'!K490</f>
        <v>0</v>
      </c>
    </row>
    <row r="491" spans="1:66">
      <c r="B491" s="404" t="s">
        <v>968</v>
      </c>
      <c r="C491" s="405" t="s">
        <v>0</v>
      </c>
      <c r="D491" s="423"/>
      <c r="BN491">
        <f>F491+G491+P491+U491+Z491+AE491+AJ491+AO491+AU491+BF491+BL491+BA491+L491+'ILUMINAÇÃO PUBLICA'!K491</f>
        <v>0</v>
      </c>
    </row>
    <row r="492" spans="1:66">
      <c r="B492" s="404" t="s">
        <v>1015</v>
      </c>
      <c r="C492" s="405" t="s">
        <v>0</v>
      </c>
      <c r="D492" s="423"/>
      <c r="BN492">
        <f>F492+G492+P492+U492+Z492+AE492+AJ492+AO492+AU492+BF492+BL492+BA492+L492+'ILUMINAÇÃO PUBLICA'!K492</f>
        <v>0</v>
      </c>
    </row>
    <row r="493" spans="1:66">
      <c r="B493" s="404" t="s">
        <v>969</v>
      </c>
      <c r="C493" s="405" t="s">
        <v>0</v>
      </c>
      <c r="D493" s="423"/>
      <c r="BN493">
        <f>F493+G493+P493+U493+Z493+AE493+AJ493+AO493+AU493+BF493+BL493+BA493+L493+'ILUMINAÇÃO PUBLICA'!K493</f>
        <v>0</v>
      </c>
    </row>
    <row r="494" spans="1:66">
      <c r="B494" s="404" t="s">
        <v>997</v>
      </c>
      <c r="C494" s="405" t="s">
        <v>0</v>
      </c>
      <c r="D494" s="423"/>
      <c r="BN494">
        <f>F494+G494+P494+U494+Z494+AE494+AJ494+AO494+AU494+BF494+BL494+BA494+L494+'ILUMINAÇÃO PUBLICA'!K494</f>
        <v>0</v>
      </c>
    </row>
    <row r="495" spans="1:66">
      <c r="B495" s="404" t="s">
        <v>35</v>
      </c>
      <c r="C495" s="405" t="s">
        <v>0</v>
      </c>
      <c r="D495" s="423"/>
      <c r="BN495">
        <f>F495+G495+P495+U495+Z495+AE495+AJ495+AO495+AU495+BF495+BL495+BA495+L495+'ILUMINAÇÃO PUBLICA'!K495</f>
        <v>0</v>
      </c>
    </row>
    <row r="496" spans="1:66">
      <c r="B496" s="404" t="s">
        <v>970</v>
      </c>
      <c r="C496" s="405" t="s">
        <v>0</v>
      </c>
      <c r="D496" s="423"/>
      <c r="BN496">
        <f>F496+G496+P496+U496+Z496+AE496+AJ496+AO496+AU496+BF496+BL496+BA496+L496+'ILUMINAÇÃO PUBLICA'!K496</f>
        <v>0</v>
      </c>
    </row>
    <row r="497" spans="2:66">
      <c r="B497" s="404" t="s">
        <v>971</v>
      </c>
      <c r="C497" s="405" t="s">
        <v>0</v>
      </c>
      <c r="D497" s="423"/>
      <c r="BN497">
        <f>F497+G497+P497+U497+Z497+AE497+AJ497+AO497+AU497+BF497+BL497+BA497+L497+'ILUMINAÇÃO PUBLICA'!K497</f>
        <v>0</v>
      </c>
    </row>
    <row r="498" spans="2:66">
      <c r="B498" s="404" t="s">
        <v>972</v>
      </c>
      <c r="C498" s="405" t="s">
        <v>0</v>
      </c>
      <c r="D498" s="423"/>
      <c r="BN498">
        <f>F498+G498+P498+U498+Z498+AE498+AJ498+AO498+AU498+BF498+BL498+BA498+L498+'ILUMINAÇÃO PUBLICA'!K498</f>
        <v>0</v>
      </c>
    </row>
    <row r="499" spans="2:66">
      <c r="B499" s="404" t="s">
        <v>973</v>
      </c>
      <c r="C499" s="405" t="s">
        <v>0</v>
      </c>
      <c r="D499" s="423"/>
      <c r="BN499">
        <f>F499+G499+P499+U499+Z499+AE499+AJ499+AO499+AU499+BF499+BL499+BA499+L499+'ILUMINAÇÃO PUBLICA'!K499</f>
        <v>0</v>
      </c>
    </row>
    <row r="500" spans="2:66">
      <c r="B500" s="404" t="s">
        <v>974</v>
      </c>
      <c r="C500" s="405" t="s">
        <v>0</v>
      </c>
      <c r="D500" s="423"/>
      <c r="BN500">
        <f>F500+G500+P500+U500+Z500+AE500+AJ500+AO500+AU500+BF500+BL500+BA500+L500+'ILUMINAÇÃO PUBLICA'!K500</f>
        <v>0</v>
      </c>
    </row>
    <row r="501" spans="2:66">
      <c r="B501" s="404" t="s">
        <v>975</v>
      </c>
      <c r="C501" s="405" t="s">
        <v>0</v>
      </c>
      <c r="D501" s="423"/>
      <c r="BN501">
        <f>F501+G501+P501+U501+Z501+AE501+AJ501+AO501+AU501+BF501+BL501+BA501+L501+'ILUMINAÇÃO PUBLICA'!K501</f>
        <v>0</v>
      </c>
    </row>
    <row r="502" spans="2:66">
      <c r="B502" s="404" t="s">
        <v>976</v>
      </c>
      <c r="C502" s="405" t="s">
        <v>0</v>
      </c>
      <c r="D502" s="423"/>
      <c r="BN502">
        <f>F502+G502+P502+U502+Z502+AE502+AJ502+AO502+AU502+BF502+BL502+BA502+L502+'ILUMINAÇÃO PUBLICA'!K502</f>
        <v>0</v>
      </c>
    </row>
    <row r="503" spans="2:66">
      <c r="B503" s="404" t="s">
        <v>977</v>
      </c>
      <c r="C503" s="405" t="s">
        <v>0</v>
      </c>
      <c r="D503" s="423"/>
      <c r="BN503">
        <f>F503+G503+P503+U503+Z503+AE503+AJ503+AO503+AU503+BF503+BL503+BA503+L503+'ILUMINAÇÃO PUBLICA'!K503</f>
        <v>0</v>
      </c>
    </row>
    <row r="504" spans="2:66">
      <c r="B504" s="404" t="s">
        <v>978</v>
      </c>
      <c r="C504" s="405" t="s">
        <v>0</v>
      </c>
      <c r="D504" s="423"/>
      <c r="BN504">
        <f>F504+G504+P504+U504+Z504+AE504+AJ504+AO504+AU504+BF504+BL504+BA504+L504+'ILUMINAÇÃO PUBLICA'!K504</f>
        <v>0</v>
      </c>
    </row>
    <row r="505" spans="2:66">
      <c r="B505" s="404" t="s">
        <v>979</v>
      </c>
      <c r="C505" s="405" t="s">
        <v>0</v>
      </c>
      <c r="D505" s="423"/>
      <c r="BN505">
        <f>F505+G505+P505+U505+Z505+AE505+AJ505+AO505+AU505+BF505+BL505+BA505+L505+'ILUMINAÇÃO PUBLICA'!K505</f>
        <v>0</v>
      </c>
    </row>
    <row r="506" spans="2:66">
      <c r="B506" s="404" t="s">
        <v>980</v>
      </c>
      <c r="C506" s="405" t="s">
        <v>0</v>
      </c>
      <c r="D506" s="423"/>
      <c r="BN506">
        <f>F506+G506+P506+U506+Z506+AE506+AJ506+AO506+AU506+BF506+BL506+BA506+L506+'ILUMINAÇÃO PUBLICA'!K506</f>
        <v>0</v>
      </c>
    </row>
    <row r="507" spans="2:66">
      <c r="B507" s="404" t="s">
        <v>981</v>
      </c>
      <c r="C507" s="405" t="s">
        <v>0</v>
      </c>
      <c r="D507" s="423"/>
      <c r="BN507">
        <f>F507+G507+P507+U507+Z507+AE507+AJ507+AO507+AU507+BF507+BL507+BA507+L507+'ILUMINAÇÃO PUBLICA'!K507</f>
        <v>0</v>
      </c>
    </row>
    <row r="508" spans="2:66">
      <c r="B508" s="404" t="s">
        <v>982</v>
      </c>
      <c r="C508" s="405" t="s">
        <v>0</v>
      </c>
      <c r="D508" s="423"/>
      <c r="BN508">
        <f>F508+G508+P508+U508+Z508+AE508+AJ508+AO508+AU508+BF508+BL508+BA508+L508+'ILUMINAÇÃO PUBLICA'!K508</f>
        <v>0</v>
      </c>
    </row>
    <row r="509" spans="2:66">
      <c r="B509" s="404" t="s">
        <v>983</v>
      </c>
      <c r="C509" s="405" t="s">
        <v>0</v>
      </c>
      <c r="D509" s="423"/>
      <c r="BN509">
        <f>F509+G509+P509+U509+Z509+AE509+AJ509+AO509+AU509+BF509+BL509+BA509+L509+'ILUMINAÇÃO PUBLICA'!K509</f>
        <v>0</v>
      </c>
    </row>
    <row r="510" spans="2:66">
      <c r="B510" s="399" t="s">
        <v>984</v>
      </c>
      <c r="C510" s="400" t="s">
        <v>0</v>
      </c>
      <c r="D510" s="423"/>
      <c r="BN510">
        <f>F510+G510+P510+U510+Z510+AE510+AJ510+AO510+AU510+BF510+BL510+BA510+L510+'ILUMINAÇÃO PUBLICA'!K510</f>
        <v>0</v>
      </c>
    </row>
    <row r="511" spans="2:66">
      <c r="B511" s="163" t="s">
        <v>985</v>
      </c>
      <c r="C511" s="400" t="s">
        <v>0</v>
      </c>
      <c r="D511" s="423"/>
      <c r="BN511">
        <f>F511+G511+P511+U511+Z511+AE511+AJ511+AO511+AU511+BF511+BL511+BA511+L511+'ILUMINAÇÃO PUBLICA'!K511</f>
        <v>0</v>
      </c>
    </row>
    <row r="512" spans="2:66">
      <c r="B512" s="163" t="s">
        <v>426</v>
      </c>
      <c r="C512" s="400" t="s">
        <v>0</v>
      </c>
      <c r="D512" s="423"/>
      <c r="BN512">
        <f>F512+G512+P512+U512+Z512+AE512+AJ512+AO512+AU512+BF512+BL512+BA512+L512+'ILUMINAÇÃO PUBLICA'!K512</f>
        <v>0</v>
      </c>
    </row>
    <row r="513" spans="2:66">
      <c r="B513" s="163" t="s">
        <v>471</v>
      </c>
      <c r="C513" s="400" t="s">
        <v>0</v>
      </c>
      <c r="D513" s="423"/>
      <c r="BN513">
        <f>F513+G513+P513+U513+Z513+AE513+AJ513+AO513+AU513+BF513+BL513+BA513+L513+'ILUMINAÇÃO PUBLICA'!K513</f>
        <v>0</v>
      </c>
    </row>
    <row r="514" spans="2:66">
      <c r="B514" s="399" t="s">
        <v>986</v>
      </c>
      <c r="C514" s="400" t="s">
        <v>0</v>
      </c>
      <c r="D514" s="423"/>
      <c r="BN514">
        <f>F514+G514+P514+U514+Z514+AE514+AJ514+AO514+AU514+BF514+BL514+BA514+L514+'ILUMINAÇÃO PUBLICA'!K514</f>
        <v>0</v>
      </c>
    </row>
    <row r="515" spans="2:66">
      <c r="B515" s="399" t="s">
        <v>987</v>
      </c>
      <c r="C515" s="400" t="s">
        <v>0</v>
      </c>
      <c r="D515" s="423"/>
      <c r="BN515">
        <f>F515+G515+P515+U515+Z515+AE515+AJ515+AO515+AU515+BF515+BL515+BA515+L515+'ILUMINAÇÃO PUBLICA'!K515</f>
        <v>0</v>
      </c>
    </row>
    <row r="516" spans="2:66">
      <c r="B516" s="399" t="s">
        <v>988</v>
      </c>
      <c r="C516" s="400" t="s">
        <v>0</v>
      </c>
      <c r="D516" s="423"/>
      <c r="BN516">
        <f>F516+G516+P516+U516+Z516+AE516+AJ516+AO516+AU516+BF516+BL516+BA516+L516+'ILUMINAÇÃO PUBLICA'!K516</f>
        <v>0</v>
      </c>
    </row>
    <row r="517" spans="2:66">
      <c r="B517" s="399" t="s">
        <v>989</v>
      </c>
      <c r="C517" s="400" t="s">
        <v>0</v>
      </c>
      <c r="D517" s="423"/>
      <c r="BN517">
        <f>F517+G517+P517+U517+Z517+AE517+AJ517+AO517+AU517+BF517+BL517+BA517+L517+'ILUMINAÇÃO PUBLICA'!K517</f>
        <v>0</v>
      </c>
    </row>
    <row r="518" spans="2:66">
      <c r="B518" s="399" t="s">
        <v>990</v>
      </c>
      <c r="C518" s="400" t="s">
        <v>0</v>
      </c>
      <c r="D518" s="423"/>
      <c r="BN518">
        <f>F518+G518+P518+U518+Z518+AE518+AJ518+AO518+AU518+BF518+BL518+BA518+L518+'ILUMINAÇÃO PUBLICA'!K518</f>
        <v>0</v>
      </c>
    </row>
    <row r="519" spans="2:66" ht="15.75">
      <c r="B519" s="1" t="s">
        <v>315</v>
      </c>
      <c r="C519" s="400" t="s">
        <v>0</v>
      </c>
      <c r="D519" s="423"/>
    </row>
    <row r="520" spans="2:66" ht="15.75">
      <c r="B520" s="1350" t="s">
        <v>255</v>
      </c>
      <c r="C520" s="400" t="s">
        <v>0</v>
      </c>
      <c r="D520" s="423"/>
    </row>
    <row r="521" spans="2:66" ht="15.75">
      <c r="B521" s="1" t="s">
        <v>256</v>
      </c>
      <c r="C521" s="400" t="s">
        <v>0</v>
      </c>
      <c r="D521" s="423"/>
    </row>
    <row r="522" spans="2:66" ht="15.75">
      <c r="B522" s="1350" t="s">
        <v>257</v>
      </c>
      <c r="C522" s="400" t="s">
        <v>0</v>
      </c>
      <c r="D522" s="423"/>
    </row>
    <row r="523" spans="2:66" ht="15.75">
      <c r="B523" s="1" t="s">
        <v>258</v>
      </c>
      <c r="C523" s="400" t="s">
        <v>0</v>
      </c>
      <c r="D523" s="423"/>
    </row>
    <row r="524" spans="2:66" ht="15.75">
      <c r="B524" s="1350" t="s">
        <v>259</v>
      </c>
      <c r="C524" s="400" t="s">
        <v>0</v>
      </c>
      <c r="D524" s="423"/>
    </row>
    <row r="525" spans="2:66" ht="15.75">
      <c r="B525" s="1" t="s">
        <v>260</v>
      </c>
      <c r="C525" s="400" t="s">
        <v>0</v>
      </c>
      <c r="D525" s="423"/>
    </row>
    <row r="526" spans="2:66" ht="15.75">
      <c r="B526" s="1350" t="s">
        <v>261</v>
      </c>
      <c r="C526" s="400" t="s">
        <v>0</v>
      </c>
      <c r="D526" s="423"/>
    </row>
    <row r="527" spans="2:66" ht="15.75">
      <c r="B527" s="1" t="s">
        <v>1725</v>
      </c>
      <c r="C527" s="400" t="s">
        <v>0</v>
      </c>
      <c r="D527" s="423"/>
    </row>
    <row r="528" spans="2:66" ht="15.75">
      <c r="B528" s="1350" t="s">
        <v>1726</v>
      </c>
      <c r="C528" s="400" t="s">
        <v>0</v>
      </c>
      <c r="D528" s="423"/>
    </row>
    <row r="529" spans="2:4" ht="15.75">
      <c r="B529" s="1" t="s">
        <v>264</v>
      </c>
      <c r="C529" s="400" t="s">
        <v>0</v>
      </c>
      <c r="D529" s="423"/>
    </row>
    <row r="530" spans="2:4" ht="15.75">
      <c r="B530" s="1350" t="s">
        <v>265</v>
      </c>
      <c r="C530" s="400" t="s">
        <v>0</v>
      </c>
      <c r="D530" s="423"/>
    </row>
    <row r="531" spans="2:4" ht="15.75">
      <c r="B531" s="1" t="s">
        <v>266</v>
      </c>
      <c r="C531" s="400" t="s">
        <v>0</v>
      </c>
      <c r="D531" s="423"/>
    </row>
    <row r="532" spans="2:4" ht="15.75">
      <c r="B532" s="1350" t="s">
        <v>267</v>
      </c>
      <c r="C532" s="400" t="s">
        <v>0</v>
      </c>
      <c r="D532" s="423"/>
    </row>
    <row r="533" spans="2:4" ht="15.75">
      <c r="B533" s="1" t="s">
        <v>268</v>
      </c>
      <c r="C533" s="400" t="s">
        <v>0</v>
      </c>
      <c r="D533" s="423"/>
    </row>
    <row r="534" spans="2:4" ht="15.75">
      <c r="B534" s="1350" t="s">
        <v>269</v>
      </c>
      <c r="C534" s="400" t="s">
        <v>0</v>
      </c>
      <c r="D534" s="423"/>
    </row>
    <row r="535" spans="2:4" ht="15.75">
      <c r="B535" s="1" t="s">
        <v>270</v>
      </c>
      <c r="C535" s="400" t="s">
        <v>0</v>
      </c>
      <c r="D535" s="423"/>
    </row>
    <row r="536" spans="2:4" ht="15.75">
      <c r="B536" s="1350" t="s">
        <v>271</v>
      </c>
      <c r="C536" s="400" t="s">
        <v>0</v>
      </c>
      <c r="D536" s="423"/>
    </row>
    <row r="537" spans="2:4" ht="15.75">
      <c r="B537" s="1" t="s">
        <v>272</v>
      </c>
      <c r="C537" s="400" t="s">
        <v>0</v>
      </c>
      <c r="D537" s="423"/>
    </row>
    <row r="538" spans="2:4" ht="15.75">
      <c r="B538" s="1350" t="s">
        <v>273</v>
      </c>
      <c r="C538" s="400" t="s">
        <v>0</v>
      </c>
      <c r="D538" s="423"/>
    </row>
    <row r="539" spans="2:4" ht="15.75">
      <c r="B539" s="1" t="s">
        <v>274</v>
      </c>
      <c r="C539" s="400" t="s">
        <v>0</v>
      </c>
      <c r="D539" s="423"/>
    </row>
    <row r="540" spans="2:4" ht="15.75">
      <c r="B540" s="1350" t="s">
        <v>275</v>
      </c>
      <c r="C540" s="400" t="s">
        <v>0</v>
      </c>
      <c r="D540" s="423"/>
    </row>
    <row r="541" spans="2:4" ht="15.75">
      <c r="B541" s="1" t="s">
        <v>276</v>
      </c>
      <c r="C541" s="400" t="s">
        <v>0</v>
      </c>
      <c r="D541" s="423"/>
    </row>
    <row r="542" spans="2:4" ht="15.75">
      <c r="B542" s="1350" t="s">
        <v>277</v>
      </c>
      <c r="C542" s="400" t="s">
        <v>0</v>
      </c>
      <c r="D542" s="423"/>
    </row>
    <row r="543" spans="2:4" ht="15.75">
      <c r="B543" s="1" t="s">
        <v>278</v>
      </c>
      <c r="C543" s="400" t="s">
        <v>0</v>
      </c>
      <c r="D543" s="423"/>
    </row>
    <row r="544" spans="2:4" ht="15.75">
      <c r="B544" s="1350" t="s">
        <v>279</v>
      </c>
      <c r="C544" s="400" t="s">
        <v>0</v>
      </c>
      <c r="D544" s="423"/>
    </row>
    <row r="545" spans="2:66" ht="15.75">
      <c r="B545" s="1" t="s">
        <v>280</v>
      </c>
      <c r="C545" s="400" t="s">
        <v>0</v>
      </c>
      <c r="D545" s="423"/>
    </row>
    <row r="546" spans="2:66" ht="15.75">
      <c r="B546" s="1350" t="s">
        <v>281</v>
      </c>
      <c r="C546" s="400" t="s">
        <v>0</v>
      </c>
      <c r="D546" s="423"/>
    </row>
    <row r="547" spans="2:66" ht="15.75">
      <c r="B547" s="1" t="s">
        <v>282</v>
      </c>
      <c r="C547" s="400" t="s">
        <v>0</v>
      </c>
      <c r="D547" s="423"/>
    </row>
    <row r="548" spans="2:66" ht="15.75">
      <c r="B548" s="1350" t="s">
        <v>283</v>
      </c>
      <c r="C548" s="400" t="s">
        <v>0</v>
      </c>
      <c r="D548" s="423"/>
    </row>
    <row r="549" spans="2:66" ht="15.75">
      <c r="B549" s="1" t="s">
        <v>284</v>
      </c>
      <c r="C549" s="400" t="s">
        <v>0</v>
      </c>
      <c r="D549" s="423"/>
    </row>
    <row r="550" spans="2:66" ht="15.75">
      <c r="B550" s="1350" t="s">
        <v>285</v>
      </c>
      <c r="C550" s="400" t="s">
        <v>0</v>
      </c>
      <c r="D550" s="423"/>
    </row>
    <row r="551" spans="2:66">
      <c r="B551" s="399" t="s">
        <v>991</v>
      </c>
      <c r="C551" s="400" t="s">
        <v>0</v>
      </c>
      <c r="D551" s="423"/>
      <c r="BN551">
        <f>F551+G551+P551+U551+Z551+AE551+AJ551+AO551+AU551+BF551+BL551+BA551+L551+'ILUMINAÇÃO PUBLICA'!K551</f>
        <v>0</v>
      </c>
    </row>
    <row r="552" spans="2:66">
      <c r="B552" s="399" t="s">
        <v>992</v>
      </c>
      <c r="C552" s="400" t="s">
        <v>0</v>
      </c>
      <c r="D552" s="423"/>
      <c r="BN552">
        <f>F552+G552+P552+U552+Z552+AE552+AJ552+AO552+AU552+BF552+BL552+BA552+L552+'ILUMINAÇÃO PUBLICA'!K552</f>
        <v>0</v>
      </c>
    </row>
    <row r="553" spans="2:66">
      <c r="B553" s="404" t="s">
        <v>1080</v>
      </c>
      <c r="C553" s="405" t="s">
        <v>0</v>
      </c>
      <c r="D553" s="423"/>
      <c r="BN553">
        <f>F553+G553+P553+U553+Z553+AE553+AJ553+AO553+AU553+BF553+BL553+BA553+L553+'ILUMINAÇÃO PUBLICA'!K553</f>
        <v>0</v>
      </c>
    </row>
    <row r="554" spans="2:66">
      <c r="B554" s="404" t="s">
        <v>993</v>
      </c>
      <c r="C554" s="405" t="s">
        <v>0</v>
      </c>
      <c r="D554" s="423"/>
      <c r="BN554">
        <f>F554+G554+P554+U554+Z554+AE554+AJ554+AO554+AU554+BF554+BL554+BA554+L554+'ILUMINAÇÃO PUBLICA'!K554</f>
        <v>0</v>
      </c>
    </row>
    <row r="555" spans="2:66">
      <c r="B555" s="404" t="s">
        <v>994</v>
      </c>
      <c r="C555" s="405" t="s">
        <v>0</v>
      </c>
      <c r="D555" s="423"/>
      <c r="BN555">
        <f>F555+G555+P555+U555+Z555+AE555+AJ555+AO555+AU555+BF555+BL555+BA555+L555+'ILUMINAÇÃO PUBLICA'!K555</f>
        <v>0</v>
      </c>
    </row>
    <row r="556" spans="2:66">
      <c r="B556" s="404" t="s">
        <v>995</v>
      </c>
      <c r="C556" s="405" t="s">
        <v>168</v>
      </c>
      <c r="D556" s="423"/>
      <c r="BN556">
        <f>F556+G556+P556+U556+Z556+AE556+AJ556+AO556+AU556+BF556+BL556+BA556+L556+'ILUMINAÇÃO PUBLICA'!K556</f>
        <v>0</v>
      </c>
    </row>
    <row r="557" spans="2:66">
      <c r="B557" s="404" t="s">
        <v>996</v>
      </c>
      <c r="C557" s="405" t="s">
        <v>168</v>
      </c>
      <c r="D557" s="423"/>
      <c r="BN557">
        <f>F557+G557+P557+U557+Z557+AE557+AJ557+AO557+AU557+BF557+BL557+BA557+L557+'ILUMINAÇÃO PUBLICA'!K557</f>
        <v>0</v>
      </c>
    </row>
    <row r="558" spans="2:66">
      <c r="B558" s="463" t="s">
        <v>1156</v>
      </c>
      <c r="C558" s="175" t="s">
        <v>0</v>
      </c>
      <c r="D558" s="423"/>
      <c r="BN558">
        <f>F558+G558+P558+U558+Z558+AE558+AJ558+AO558+AU558+BF558+BL558+BA558+L558+'ILUMINAÇÃO PUBLICA'!K558</f>
        <v>0</v>
      </c>
    </row>
    <row r="559" spans="2:66">
      <c r="B559" s="463" t="s">
        <v>1157</v>
      </c>
      <c r="C559" s="176" t="s">
        <v>386</v>
      </c>
      <c r="D559" s="423"/>
      <c r="BN559">
        <f>F559+G559+P559+U559+Z559+AE559+AJ559+AO559+AU559+BF559+BL559+BA559+L559+'ILUMINAÇÃO PUBLICA'!K559</f>
        <v>0</v>
      </c>
    </row>
    <row r="560" spans="2:66">
      <c r="B560" s="463" t="s">
        <v>1158</v>
      </c>
      <c r="C560" s="175" t="s">
        <v>0</v>
      </c>
      <c r="D560" s="423"/>
      <c r="BN560">
        <f>F560+G560+P560+U560+Z560+AE560+AJ560+AO560+AU560+BF560+BL560+BA560+L560+'ILUMINAÇÃO PUBLICA'!K560</f>
        <v>0</v>
      </c>
    </row>
    <row r="561" spans="2:66">
      <c r="B561" s="463" t="s">
        <v>1159</v>
      </c>
      <c r="C561" s="176" t="s">
        <v>0</v>
      </c>
      <c r="D561" s="423"/>
      <c r="BN561">
        <f>F561+G561+P561+U561+Z561+AE561+AJ561+AO561+AU561+BF561+BL561+BA561+L561+'ILUMINAÇÃO PUBLICA'!K561</f>
        <v>0</v>
      </c>
    </row>
    <row r="562" spans="2:66">
      <c r="B562" s="463" t="s">
        <v>1160</v>
      </c>
      <c r="C562" s="176" t="s">
        <v>0</v>
      </c>
      <c r="D562" s="423"/>
      <c r="BN562">
        <f>F562+G562+P562+U562+Z562+AE562+AJ562+AO562+AU562+BF562+BL562+BA562+L562+'ILUMINAÇÃO PUBLICA'!K562</f>
        <v>0</v>
      </c>
    </row>
    <row r="563" spans="2:66">
      <c r="B563" s="185" t="s">
        <v>1161</v>
      </c>
      <c r="C563" s="176" t="s">
        <v>0</v>
      </c>
      <c r="D563" s="423"/>
      <c r="BN563">
        <f>F563+G563+P563+U563+Z563+AE563+AJ563+AO563+AU563+BF563+BL563+BA563+L563+'ILUMINAÇÃO PUBLICA'!K563</f>
        <v>0</v>
      </c>
    </row>
    <row r="564" spans="2:66">
      <c r="B564" s="465" t="s">
        <v>1162</v>
      </c>
      <c r="C564" s="464" t="s">
        <v>0</v>
      </c>
      <c r="D564" s="423"/>
      <c r="BN564">
        <f>F564+G564+P564+U564+Z564+AE564+AJ564+AO564+AU564+BF564+BL564+BA564+L564+'ILUMINAÇÃO PUBLICA'!K564</f>
        <v>0</v>
      </c>
    </row>
    <row r="565" spans="2:66">
      <c r="B565" s="465" t="s">
        <v>1163</v>
      </c>
      <c r="C565" s="464" t="s">
        <v>0</v>
      </c>
      <c r="D565" s="423"/>
      <c r="BN565">
        <f>F565+G565+P565+U565+Z565+AE565+AJ565+AO565+AU565+BF565+BL565+BA565+L565+'ILUMINAÇÃO PUBLICA'!K565</f>
        <v>0</v>
      </c>
    </row>
    <row r="566" spans="2:66">
      <c r="B566" s="463" t="s">
        <v>1164</v>
      </c>
      <c r="C566" s="175" t="s">
        <v>0</v>
      </c>
      <c r="D566" s="423"/>
      <c r="BN566">
        <f>F566+G566+P566+U566+Z566+AE566+AJ566+AO566+AU566+BF566+BL566+BA566+L566+'ILUMINAÇÃO PUBLICA'!K566</f>
        <v>0</v>
      </c>
    </row>
  </sheetData>
  <sheetProtection selectLockedCells="1"/>
  <mergeCells count="30">
    <mergeCell ref="K32:M32"/>
    <mergeCell ref="K33:M44"/>
    <mergeCell ref="K4:M4"/>
    <mergeCell ref="K23:M26"/>
    <mergeCell ref="K13:M22"/>
    <mergeCell ref="K11:M12"/>
    <mergeCell ref="AZ3:BC3"/>
    <mergeCell ref="BK2:BL4"/>
    <mergeCell ref="AT3:AX3"/>
    <mergeCell ref="BE3:BI3"/>
    <mergeCell ref="AI3:AL3"/>
    <mergeCell ref="AN3:AR3"/>
    <mergeCell ref="AD3:AG3"/>
    <mergeCell ref="B2:C3"/>
    <mergeCell ref="E3:I3"/>
    <mergeCell ref="K3:M3"/>
    <mergeCell ref="K2:M2"/>
    <mergeCell ref="E5:E7"/>
    <mergeCell ref="B4:C4"/>
    <mergeCell ref="O3:R3"/>
    <mergeCell ref="T3:W3"/>
    <mergeCell ref="Y3:AB3"/>
    <mergeCell ref="A23:C26"/>
    <mergeCell ref="B21:C22"/>
    <mergeCell ref="E9:E11"/>
    <mergeCell ref="B16:C16"/>
    <mergeCell ref="B13:C15"/>
    <mergeCell ref="E13:I14"/>
    <mergeCell ref="E15:I22"/>
    <mergeCell ref="E23:I26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Macro10">
                <anchor moveWithCells="1" sizeWithCells="1">
                  <from>
                    <xdr:col>0</xdr:col>
                    <xdr:colOff>28575</xdr:colOff>
                    <xdr:row>1</xdr:row>
                    <xdr:rowOff>0</xdr:rowOff>
                  </from>
                  <to>
                    <xdr:col>0</xdr:col>
                    <xdr:colOff>742950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5" name="Button 10">
              <controlPr defaultSize="0" print="0" autoFill="0" autoPict="0" macro="[0]!Macro16">
                <anchor moveWithCells="1" sizeWithCells="1">
                  <from>
                    <xdr:col>0</xdr:col>
                    <xdr:colOff>47625</xdr:colOff>
                    <xdr:row>7</xdr:row>
                    <xdr:rowOff>104775</xdr:rowOff>
                  </from>
                  <to>
                    <xdr:col>0</xdr:col>
                    <xdr:colOff>704850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98" r:id="rId6" name="Button 414">
              <controlPr defaultSize="0" print="0" autoFill="0" autoPict="0" macro="[0]!Macro17gg">
                <anchor moveWithCells="1" sizeWithCells="1">
                  <from>
                    <xdr:col>0</xdr:col>
                    <xdr:colOff>47625</xdr:colOff>
                    <xdr:row>4</xdr:row>
                    <xdr:rowOff>38100</xdr:rowOff>
                  </from>
                  <to>
                    <xdr:col>0</xdr:col>
                    <xdr:colOff>714375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99" r:id="rId7" name="Button 415">
              <controlPr defaultSize="0" print="0" autoFill="0" autoPict="0" macro="[0]!Macro12">
                <anchor moveWithCells="1" sizeWithCells="1">
                  <from>
                    <xdr:col>0</xdr:col>
                    <xdr:colOff>47625</xdr:colOff>
                    <xdr:row>5</xdr:row>
                    <xdr:rowOff>142875</xdr:rowOff>
                  </from>
                  <to>
                    <xdr:col>0</xdr:col>
                    <xdr:colOff>714375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04" r:id="rId8" name="Button 420">
              <controlPr defaultSize="0" print="0" autoFill="0" autoPict="0" macro="[0]!EXTRACOMBT">
                <anchor moveWithCells="1" sizeWithCells="1">
                  <from>
                    <xdr:col>0</xdr:col>
                    <xdr:colOff>57150</xdr:colOff>
                    <xdr:row>14</xdr:row>
                    <xdr:rowOff>76200</xdr:rowOff>
                  </from>
                  <to>
                    <xdr:col>0</xdr:col>
                    <xdr:colOff>704850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05" r:id="rId9" name="Button 421">
              <controlPr locked="0" defaultSize="0" print="0" autoFill="0" autoPict="0" macro="[0]!Transformadores">
                <anchor moveWithCells="1" sizeWithCells="1">
                  <from>
                    <xdr:col>0</xdr:col>
                    <xdr:colOff>38100</xdr:colOff>
                    <xdr:row>9</xdr:row>
                    <xdr:rowOff>28575</xdr:rowOff>
                  </from>
                  <to>
                    <xdr:col>0</xdr:col>
                    <xdr:colOff>723900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07" r:id="rId10" name="Button 423">
              <controlPr defaultSize="0" print="0" autoFill="0" autoPict="0" macro="[0]!Macro18">
                <anchor moveWithCells="1" sizeWithCells="1">
                  <from>
                    <xdr:col>1</xdr:col>
                    <xdr:colOff>38100</xdr:colOff>
                    <xdr:row>12</xdr:row>
                    <xdr:rowOff>66675</xdr:rowOff>
                  </from>
                  <to>
                    <xdr:col>2</xdr:col>
                    <xdr:colOff>685800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10" r:id="rId11" name="Button 426">
              <controlPr defaultSize="0" print="0" autoFill="0" autoPict="0" macro="[0]!Macro18">
                <anchor moveWithCells="1" sizeWithCells="1">
                  <from>
                    <xdr:col>0</xdr:col>
                    <xdr:colOff>47625</xdr:colOff>
                    <xdr:row>19</xdr:row>
                    <xdr:rowOff>133350</xdr:rowOff>
                  </from>
                  <to>
                    <xdr:col>0</xdr:col>
                    <xdr:colOff>742950</xdr:colOff>
                    <xdr:row>21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DB482-C64A-477D-8C58-C329FAA5BA13}">
  <sheetPr codeName="Plan21">
    <pageSetUpPr fitToPage="1"/>
  </sheetPr>
  <dimension ref="A1:Q499"/>
  <sheetViews>
    <sheetView view="pageBreakPreview" zoomScale="90" zoomScaleNormal="85" zoomScaleSheetLayoutView="90"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B7" sqref="B7"/>
    </sheetView>
  </sheetViews>
  <sheetFormatPr defaultRowHeight="15"/>
  <cols>
    <col min="1" max="1" width="6.140625" customWidth="1"/>
    <col min="2" max="2" width="66.42578125" customWidth="1"/>
    <col min="3" max="3" width="6.5703125" customWidth="1"/>
    <col min="4" max="4" width="14.42578125" style="221" customWidth="1"/>
    <col min="5" max="5" width="14.140625" style="221" customWidth="1"/>
  </cols>
  <sheetData>
    <row r="1" spans="1:17" ht="23.1" customHeight="1">
      <c r="A1" s="1939" t="s">
        <v>1421</v>
      </c>
      <c r="B1" s="1940"/>
      <c r="C1" s="1940"/>
      <c r="D1" s="1940"/>
      <c r="E1" s="1941"/>
    </row>
    <row r="2" spans="1:17" s="120" customFormat="1" ht="20.100000000000001" customHeight="1">
      <c r="A2" s="1942" t="s">
        <v>368</v>
      </c>
      <c r="B2" s="1943"/>
      <c r="C2" s="1943"/>
      <c r="D2" s="1943"/>
      <c r="E2" s="1944"/>
      <c r="F2"/>
      <c r="G2"/>
      <c r="H2"/>
      <c r="I2"/>
      <c r="J2"/>
      <c r="K2"/>
      <c r="L2"/>
      <c r="M2"/>
      <c r="N2"/>
      <c r="O2"/>
      <c r="P2"/>
      <c r="Q2"/>
    </row>
    <row r="3" spans="1:17" s="120" customFormat="1" ht="20.100000000000001" customHeight="1" thickBot="1">
      <c r="A3" s="1945" t="s">
        <v>1419</v>
      </c>
      <c r="B3" s="1945"/>
      <c r="C3" s="1945"/>
      <c r="D3" s="1945"/>
      <c r="E3" s="1946"/>
      <c r="F3"/>
      <c r="G3"/>
      <c r="H3"/>
      <c r="I3"/>
      <c r="J3"/>
      <c r="K3"/>
      <c r="L3"/>
      <c r="M3"/>
      <c r="N3"/>
      <c r="O3"/>
      <c r="P3"/>
      <c r="Q3"/>
    </row>
    <row r="4" spans="1:17" ht="16.5" thickBot="1">
      <c r="A4" s="128" t="s">
        <v>172</v>
      </c>
      <c r="B4" s="125" t="s">
        <v>412</v>
      </c>
      <c r="C4" s="125" t="s">
        <v>171</v>
      </c>
      <c r="D4" s="793" t="s">
        <v>369</v>
      </c>
      <c r="E4" s="794" t="s">
        <v>370</v>
      </c>
    </row>
    <row r="5" spans="1:17" s="8" customFormat="1" ht="14.25">
      <c r="A5" s="127">
        <v>1</v>
      </c>
      <c r="B5" s="399" t="s">
        <v>770</v>
      </c>
      <c r="C5" s="400" t="s">
        <v>0</v>
      </c>
      <c r="D5" s="108"/>
      <c r="E5" s="108"/>
    </row>
    <row r="6" spans="1:17" s="806" customFormat="1" ht="14.25">
      <c r="A6" s="802">
        <v>2</v>
      </c>
      <c r="B6" s="803" t="s">
        <v>771</v>
      </c>
      <c r="C6" s="804" t="s">
        <v>0</v>
      </c>
      <c r="D6" s="805"/>
      <c r="E6" s="805"/>
    </row>
    <row r="7" spans="1:17" s="8" customFormat="1" ht="14.25">
      <c r="A7" s="127">
        <v>3</v>
      </c>
      <c r="B7" s="399" t="s">
        <v>772</v>
      </c>
      <c r="C7" s="400" t="s">
        <v>0</v>
      </c>
      <c r="D7" s="108"/>
      <c r="E7" s="108"/>
    </row>
    <row r="8" spans="1:17" s="8" customFormat="1" ht="14.25">
      <c r="A8" s="127"/>
      <c r="B8" s="399" t="s">
        <v>1695</v>
      </c>
      <c r="C8" s="400" t="s">
        <v>0</v>
      </c>
      <c r="D8" s="108"/>
      <c r="E8" s="108"/>
    </row>
    <row r="9" spans="1:17" s="806" customFormat="1" ht="14.25">
      <c r="A9" s="802">
        <v>4</v>
      </c>
      <c r="B9" s="803" t="s">
        <v>773</v>
      </c>
      <c r="C9" s="804" t="s">
        <v>0</v>
      </c>
      <c r="D9" s="805"/>
      <c r="E9" s="805"/>
    </row>
    <row r="10" spans="1:17" s="8" customFormat="1" ht="14.25">
      <c r="A10" s="127">
        <v>5</v>
      </c>
      <c r="B10" s="399" t="s">
        <v>774</v>
      </c>
      <c r="C10" s="400" t="s">
        <v>0</v>
      </c>
      <c r="D10" s="108"/>
      <c r="E10" s="108"/>
    </row>
    <row r="11" spans="1:17" s="806" customFormat="1" ht="14.25">
      <c r="A11" s="802">
        <v>6</v>
      </c>
      <c r="B11" s="803" t="s">
        <v>775</v>
      </c>
      <c r="C11" s="804" t="s">
        <v>0</v>
      </c>
      <c r="D11" s="805"/>
      <c r="E11" s="805"/>
    </row>
    <row r="12" spans="1:17" s="8" customFormat="1" ht="14.25">
      <c r="A12" s="127">
        <v>7</v>
      </c>
      <c r="B12" s="399" t="s">
        <v>776</v>
      </c>
      <c r="C12" s="400" t="s">
        <v>0</v>
      </c>
      <c r="D12" s="108"/>
      <c r="E12" s="108"/>
    </row>
    <row r="13" spans="1:17" s="806" customFormat="1">
      <c r="A13" s="802">
        <v>8</v>
      </c>
      <c r="B13" s="807" t="s">
        <v>1030</v>
      </c>
      <c r="C13" s="804" t="s">
        <v>0</v>
      </c>
      <c r="D13" s="805"/>
      <c r="E13" s="805"/>
    </row>
    <row r="14" spans="1:17" s="8" customFormat="1">
      <c r="A14" s="127">
        <v>9</v>
      </c>
      <c r="B14" s="5" t="s">
        <v>1031</v>
      </c>
      <c r="C14" s="400" t="s">
        <v>0</v>
      </c>
      <c r="D14" s="108"/>
      <c r="E14" s="108"/>
    </row>
    <row r="15" spans="1:17" s="806" customFormat="1" ht="14.25">
      <c r="A15" s="802">
        <v>10</v>
      </c>
      <c r="B15" s="803" t="s">
        <v>1000</v>
      </c>
      <c r="C15" s="804" t="s">
        <v>0</v>
      </c>
      <c r="D15" s="805"/>
      <c r="E15" s="805"/>
    </row>
    <row r="16" spans="1:17" s="8" customFormat="1" ht="14.25">
      <c r="A16" s="127">
        <v>11</v>
      </c>
      <c r="B16" s="399" t="s">
        <v>777</v>
      </c>
      <c r="C16" s="400" t="s">
        <v>386</v>
      </c>
      <c r="D16" s="108"/>
      <c r="E16" s="108"/>
    </row>
    <row r="17" spans="1:6" s="806" customFormat="1" ht="14.25" customHeight="1">
      <c r="A17" s="802">
        <v>12</v>
      </c>
      <c r="B17" s="803" t="s">
        <v>1082</v>
      </c>
      <c r="C17" s="804" t="s">
        <v>0</v>
      </c>
      <c r="D17" s="805"/>
      <c r="E17" s="805"/>
    </row>
    <row r="18" spans="1:6" s="8" customFormat="1" ht="15" customHeight="1">
      <c r="A18" s="127">
        <v>13</v>
      </c>
      <c r="B18" s="399" t="s">
        <v>1083</v>
      </c>
      <c r="C18" s="400" t="s">
        <v>0</v>
      </c>
      <c r="D18" s="108"/>
      <c r="E18" s="108"/>
    </row>
    <row r="19" spans="1:6" s="806" customFormat="1" ht="14.25">
      <c r="A19" s="802">
        <v>14</v>
      </c>
      <c r="B19" s="803" t="s">
        <v>778</v>
      </c>
      <c r="C19" s="804" t="s">
        <v>0</v>
      </c>
      <c r="D19" s="805"/>
      <c r="E19" s="805"/>
    </row>
    <row r="20" spans="1:6" s="8" customFormat="1" ht="14.25">
      <c r="A20" s="127">
        <v>15</v>
      </c>
      <c r="B20" s="399" t="s">
        <v>779</v>
      </c>
      <c r="C20" s="400" t="s">
        <v>0</v>
      </c>
      <c r="D20" s="108"/>
      <c r="E20" s="108"/>
    </row>
    <row r="21" spans="1:6" s="806" customFormat="1" ht="14.25">
      <c r="A21" s="802">
        <v>16</v>
      </c>
      <c r="B21" s="803" t="s">
        <v>780</v>
      </c>
      <c r="C21" s="804" t="s">
        <v>0</v>
      </c>
      <c r="D21" s="805"/>
      <c r="E21" s="805"/>
    </row>
    <row r="22" spans="1:6" s="159" customFormat="1" ht="14.25">
      <c r="A22" s="127">
        <v>17</v>
      </c>
      <c r="B22" s="399" t="s">
        <v>781</v>
      </c>
      <c r="C22" s="400" t="s">
        <v>0</v>
      </c>
      <c r="D22" s="108"/>
      <c r="E22" s="108"/>
      <c r="F22" s="8"/>
    </row>
    <row r="23" spans="1:6" s="806" customFormat="1" ht="14.25">
      <c r="A23" s="802">
        <v>18</v>
      </c>
      <c r="B23" s="803" t="s">
        <v>782</v>
      </c>
      <c r="C23" s="804" t="s">
        <v>0</v>
      </c>
      <c r="D23" s="805"/>
      <c r="E23" s="805"/>
    </row>
    <row r="24" spans="1:6" s="8" customFormat="1" ht="14.25">
      <c r="A24" s="127">
        <v>19</v>
      </c>
      <c r="B24" s="399" t="s">
        <v>783</v>
      </c>
      <c r="C24" s="400" t="s">
        <v>0</v>
      </c>
      <c r="D24" s="108"/>
      <c r="E24" s="108"/>
    </row>
    <row r="25" spans="1:6" s="806" customFormat="1" ht="14.25">
      <c r="A25" s="802">
        <v>20</v>
      </c>
      <c r="B25" s="803" t="s">
        <v>784</v>
      </c>
      <c r="C25" s="804" t="s">
        <v>0</v>
      </c>
      <c r="D25" s="805"/>
      <c r="E25" s="805"/>
    </row>
    <row r="26" spans="1:6" s="8" customFormat="1" ht="14.25">
      <c r="A26" s="127">
        <v>21</v>
      </c>
      <c r="B26" s="399" t="s">
        <v>785</v>
      </c>
      <c r="C26" s="400" t="s">
        <v>0</v>
      </c>
      <c r="D26" s="108"/>
      <c r="E26" s="108"/>
    </row>
    <row r="27" spans="1:6" s="806" customFormat="1" ht="14.25">
      <c r="A27" s="802">
        <v>22</v>
      </c>
      <c r="B27" s="803" t="s">
        <v>786</v>
      </c>
      <c r="C27" s="804" t="s">
        <v>0</v>
      </c>
      <c r="D27" s="805"/>
      <c r="E27" s="805"/>
    </row>
    <row r="28" spans="1:6" s="8" customFormat="1" ht="14.25">
      <c r="A28" s="127">
        <v>23</v>
      </c>
      <c r="B28" s="399" t="s">
        <v>787</v>
      </c>
      <c r="C28" s="400" t="s">
        <v>0</v>
      </c>
      <c r="D28" s="108"/>
      <c r="E28" s="108"/>
    </row>
    <row r="29" spans="1:6" s="806" customFormat="1" ht="14.25">
      <c r="A29" s="802">
        <v>24</v>
      </c>
      <c r="B29" s="803" t="s">
        <v>788</v>
      </c>
      <c r="C29" s="804" t="s">
        <v>0</v>
      </c>
      <c r="D29" s="805"/>
      <c r="E29" s="805"/>
    </row>
    <row r="30" spans="1:6" s="8" customFormat="1" ht="14.25">
      <c r="A30" s="127">
        <v>25</v>
      </c>
      <c r="B30" s="399" t="s">
        <v>1009</v>
      </c>
      <c r="C30" s="400" t="s">
        <v>0</v>
      </c>
      <c r="D30" s="108"/>
      <c r="E30" s="108"/>
    </row>
    <row r="31" spans="1:6" s="806" customFormat="1" ht="14.25">
      <c r="A31" s="802">
        <v>26</v>
      </c>
      <c r="B31" s="803" t="s">
        <v>789</v>
      </c>
      <c r="C31" s="804" t="s">
        <v>0</v>
      </c>
      <c r="D31" s="805"/>
      <c r="E31" s="805"/>
    </row>
    <row r="32" spans="1:6" s="8" customFormat="1" ht="14.25">
      <c r="A32" s="127">
        <v>27</v>
      </c>
      <c r="B32" s="399" t="s">
        <v>790</v>
      </c>
      <c r="C32" s="400" t="s">
        <v>0</v>
      </c>
      <c r="D32" s="108"/>
      <c r="E32" s="108"/>
    </row>
    <row r="33" spans="1:6" s="806" customFormat="1" ht="14.25">
      <c r="A33" s="802">
        <v>28</v>
      </c>
      <c r="B33" s="808" t="s">
        <v>2</v>
      </c>
      <c r="C33" s="804" t="s">
        <v>0</v>
      </c>
      <c r="D33" s="805"/>
      <c r="E33" s="805"/>
    </row>
    <row r="34" spans="1:6" s="8" customFormat="1" ht="14.25">
      <c r="A34" s="127">
        <v>29</v>
      </c>
      <c r="B34" s="399" t="s">
        <v>791</v>
      </c>
      <c r="C34" s="400" t="s">
        <v>0</v>
      </c>
      <c r="D34" s="108"/>
      <c r="E34" s="108"/>
    </row>
    <row r="35" spans="1:6" s="806" customFormat="1" ht="14.25">
      <c r="A35" s="802">
        <v>30</v>
      </c>
      <c r="B35" s="803" t="s">
        <v>1007</v>
      </c>
      <c r="C35" s="804" t="s">
        <v>0</v>
      </c>
      <c r="D35" s="805"/>
      <c r="E35" s="805"/>
    </row>
    <row r="36" spans="1:6" s="8" customFormat="1" ht="14.25">
      <c r="A36" s="127">
        <v>31</v>
      </c>
      <c r="B36" s="399" t="s">
        <v>792</v>
      </c>
      <c r="C36" s="400" t="s">
        <v>0</v>
      </c>
      <c r="D36" s="108"/>
      <c r="E36" s="108"/>
    </row>
    <row r="37" spans="1:6" s="806" customFormat="1" ht="14.25">
      <c r="A37" s="802">
        <v>32</v>
      </c>
      <c r="B37" s="803" t="s">
        <v>793</v>
      </c>
      <c r="C37" s="804" t="s">
        <v>0</v>
      </c>
      <c r="D37" s="805"/>
      <c r="E37" s="805"/>
    </row>
    <row r="38" spans="1:6" s="8" customFormat="1" ht="14.25">
      <c r="A38" s="127">
        <v>33</v>
      </c>
      <c r="B38" s="399" t="s">
        <v>794</v>
      </c>
      <c r="C38" s="400" t="s">
        <v>0</v>
      </c>
      <c r="D38" s="108"/>
      <c r="E38" s="108"/>
    </row>
    <row r="39" spans="1:6" s="806" customFormat="1" ht="14.25">
      <c r="A39" s="802">
        <v>34</v>
      </c>
      <c r="B39" s="803" t="s">
        <v>795</v>
      </c>
      <c r="C39" s="804" t="s">
        <v>0</v>
      </c>
      <c r="D39" s="805"/>
      <c r="E39" s="805"/>
    </row>
    <row r="40" spans="1:6" s="159" customFormat="1" ht="14.25">
      <c r="A40" s="127">
        <v>35</v>
      </c>
      <c r="B40" s="399" t="s">
        <v>796</v>
      </c>
      <c r="C40" s="400" t="s">
        <v>0</v>
      </c>
      <c r="D40" s="108"/>
      <c r="E40" s="108"/>
      <c r="F40" s="8"/>
    </row>
    <row r="41" spans="1:6" s="806" customFormat="1" ht="14.25">
      <c r="A41" s="802">
        <v>36</v>
      </c>
      <c r="B41" s="803" t="s">
        <v>797</v>
      </c>
      <c r="C41" s="804" t="s">
        <v>0</v>
      </c>
      <c r="D41" s="805"/>
      <c r="E41" s="805"/>
    </row>
    <row r="42" spans="1:6" s="159" customFormat="1" ht="14.25">
      <c r="A42" s="127">
        <v>37</v>
      </c>
      <c r="B42" s="399" t="s">
        <v>798</v>
      </c>
      <c r="C42" s="400" t="s">
        <v>0</v>
      </c>
      <c r="D42" s="108"/>
      <c r="E42" s="108"/>
      <c r="F42" s="8"/>
    </row>
    <row r="43" spans="1:6" s="806" customFormat="1" ht="14.25">
      <c r="A43" s="802">
        <v>38</v>
      </c>
      <c r="B43" s="803" t="s">
        <v>799</v>
      </c>
      <c r="C43" s="804" t="s">
        <v>0</v>
      </c>
      <c r="D43" s="805"/>
      <c r="E43" s="805"/>
    </row>
    <row r="44" spans="1:6" s="8" customFormat="1" ht="14.25">
      <c r="A44" s="127">
        <v>39</v>
      </c>
      <c r="B44" s="399" t="s">
        <v>800</v>
      </c>
      <c r="C44" s="400" t="s">
        <v>0</v>
      </c>
      <c r="D44" s="108"/>
      <c r="E44" s="108"/>
    </row>
    <row r="45" spans="1:6" s="806" customFormat="1" ht="14.25">
      <c r="A45" s="802">
        <v>40</v>
      </c>
      <c r="B45" s="809" t="s">
        <v>464</v>
      </c>
      <c r="C45" s="804" t="s">
        <v>0</v>
      </c>
      <c r="D45" s="805"/>
      <c r="E45" s="805"/>
    </row>
    <row r="46" spans="1:6" s="159" customFormat="1" ht="14.25">
      <c r="A46" s="127">
        <v>41</v>
      </c>
      <c r="B46" s="163" t="s">
        <v>440</v>
      </c>
      <c r="C46" s="400" t="s">
        <v>0</v>
      </c>
      <c r="D46" s="108"/>
      <c r="E46" s="108"/>
      <c r="F46" s="8"/>
    </row>
    <row r="47" spans="1:6" s="806" customFormat="1" ht="14.25">
      <c r="A47" s="802">
        <v>42</v>
      </c>
      <c r="B47" s="803" t="s">
        <v>801</v>
      </c>
      <c r="C47" s="804" t="s">
        <v>0</v>
      </c>
      <c r="D47" s="805"/>
      <c r="E47" s="805"/>
    </row>
    <row r="48" spans="1:6" s="159" customFormat="1" ht="14.25">
      <c r="A48" s="127">
        <v>43</v>
      </c>
      <c r="B48" s="399" t="s">
        <v>802</v>
      </c>
      <c r="C48" s="400" t="s">
        <v>0</v>
      </c>
      <c r="D48" s="108"/>
      <c r="E48" s="108"/>
      <c r="F48" s="8"/>
    </row>
    <row r="49" spans="1:6" s="806" customFormat="1" ht="14.25">
      <c r="A49" s="802">
        <v>44</v>
      </c>
      <c r="B49" s="803" t="s">
        <v>803</v>
      </c>
      <c r="C49" s="804" t="s">
        <v>0</v>
      </c>
      <c r="D49" s="805"/>
      <c r="E49" s="805"/>
    </row>
    <row r="50" spans="1:6" s="159" customFormat="1" ht="14.25">
      <c r="A50" s="127">
        <v>45</v>
      </c>
      <c r="B50" s="399" t="s">
        <v>804</v>
      </c>
      <c r="C50" s="400" t="s">
        <v>0</v>
      </c>
      <c r="D50" s="108"/>
      <c r="E50" s="108"/>
      <c r="F50" s="8"/>
    </row>
    <row r="51" spans="1:6" s="806" customFormat="1" ht="14.25">
      <c r="A51" s="802">
        <v>46</v>
      </c>
      <c r="B51" s="803" t="s">
        <v>805</v>
      </c>
      <c r="C51" s="804" t="s">
        <v>0</v>
      </c>
      <c r="D51" s="805"/>
      <c r="E51" s="805"/>
    </row>
    <row r="52" spans="1:6" s="159" customFormat="1" ht="14.25">
      <c r="A52" s="127">
        <v>47</v>
      </c>
      <c r="B52" s="399" t="s">
        <v>806</v>
      </c>
      <c r="C52" s="400" t="s">
        <v>0</v>
      </c>
      <c r="D52" s="108"/>
      <c r="E52" s="108"/>
      <c r="F52" s="8"/>
    </row>
    <row r="53" spans="1:6" s="806" customFormat="1" ht="14.25">
      <c r="A53" s="802">
        <v>48</v>
      </c>
      <c r="B53" s="803" t="s">
        <v>807</v>
      </c>
      <c r="C53" s="804" t="s">
        <v>0</v>
      </c>
      <c r="D53" s="805"/>
      <c r="E53" s="805"/>
    </row>
    <row r="54" spans="1:6" s="159" customFormat="1" ht="14.25">
      <c r="A54" s="127">
        <v>49</v>
      </c>
      <c r="B54" s="399" t="s">
        <v>808</v>
      </c>
      <c r="C54" s="400" t="s">
        <v>0</v>
      </c>
      <c r="D54" s="108"/>
      <c r="E54" s="108"/>
      <c r="F54" s="8"/>
    </row>
    <row r="55" spans="1:6" s="806" customFormat="1" ht="14.25">
      <c r="A55" s="802">
        <v>50</v>
      </c>
      <c r="B55" s="803" t="s">
        <v>810</v>
      </c>
      <c r="C55" s="804" t="s">
        <v>386</v>
      </c>
      <c r="D55" s="805"/>
      <c r="E55" s="805"/>
    </row>
    <row r="56" spans="1:6" s="159" customFormat="1" ht="14.25">
      <c r="A56" s="127">
        <v>51</v>
      </c>
      <c r="B56" s="399" t="s">
        <v>811</v>
      </c>
      <c r="C56" s="400" t="s">
        <v>386</v>
      </c>
      <c r="D56" s="108"/>
      <c r="E56" s="108"/>
      <c r="F56" s="8"/>
    </row>
    <row r="57" spans="1:6" s="806" customFormat="1" ht="14.25">
      <c r="A57" s="802">
        <v>52</v>
      </c>
      <c r="B57" s="803" t="s">
        <v>809</v>
      </c>
      <c r="C57" s="804" t="s">
        <v>386</v>
      </c>
      <c r="D57" s="805"/>
      <c r="E57" s="805"/>
    </row>
    <row r="58" spans="1:6" s="8" customFormat="1" ht="14.25">
      <c r="A58" s="127"/>
      <c r="B58" s="399" t="s">
        <v>1716</v>
      </c>
      <c r="C58" s="400"/>
      <c r="D58" s="108"/>
      <c r="E58" s="108"/>
    </row>
    <row r="59" spans="1:6" s="806" customFormat="1" ht="14.25">
      <c r="A59" s="802"/>
      <c r="B59" s="803" t="s">
        <v>1717</v>
      </c>
      <c r="C59" s="804"/>
      <c r="D59" s="805"/>
      <c r="E59" s="805"/>
    </row>
    <row r="60" spans="1:6" s="8" customFormat="1" ht="14.25">
      <c r="A60" s="127"/>
      <c r="B60" s="399" t="s">
        <v>1718</v>
      </c>
      <c r="C60" s="400"/>
      <c r="D60" s="108"/>
      <c r="E60" s="108"/>
    </row>
    <row r="61" spans="1:6" s="806" customFormat="1" ht="14.25">
      <c r="A61" s="802"/>
      <c r="B61" s="803" t="s">
        <v>1719</v>
      </c>
      <c r="C61" s="804"/>
      <c r="D61" s="805"/>
      <c r="E61" s="805"/>
    </row>
    <row r="62" spans="1:6" s="159" customFormat="1" ht="14.25">
      <c r="A62" s="127">
        <v>53</v>
      </c>
      <c r="B62" s="399" t="s">
        <v>1383</v>
      </c>
      <c r="C62" s="400" t="s">
        <v>168</v>
      </c>
      <c r="D62" s="108"/>
      <c r="E62" s="108"/>
      <c r="F62" s="8"/>
    </row>
    <row r="63" spans="1:6" s="806" customFormat="1" ht="14.25">
      <c r="A63" s="802">
        <v>54</v>
      </c>
      <c r="B63" s="803" t="s">
        <v>1381</v>
      </c>
      <c r="C63" s="804" t="s">
        <v>168</v>
      </c>
      <c r="D63" s="805"/>
      <c r="E63" s="805"/>
    </row>
    <row r="64" spans="1:6" s="8" customFormat="1" ht="14.25">
      <c r="A64" s="127">
        <v>55</v>
      </c>
      <c r="B64" s="399" t="s">
        <v>812</v>
      </c>
      <c r="C64" s="400" t="s">
        <v>0</v>
      </c>
      <c r="D64" s="108"/>
      <c r="E64" s="108"/>
    </row>
    <row r="65" spans="1:6" s="806" customFormat="1" ht="14.25">
      <c r="A65" s="802">
        <v>56</v>
      </c>
      <c r="B65" s="803" t="s">
        <v>813</v>
      </c>
      <c r="C65" s="804" t="s">
        <v>0</v>
      </c>
      <c r="D65" s="805"/>
      <c r="E65" s="805"/>
    </row>
    <row r="66" spans="1:6" s="8" customFormat="1" ht="14.25">
      <c r="A66" s="127">
        <v>57</v>
      </c>
      <c r="B66" s="399" t="s">
        <v>814</v>
      </c>
      <c r="C66" s="400" t="s">
        <v>0</v>
      </c>
      <c r="D66" s="108"/>
      <c r="E66" s="108"/>
    </row>
    <row r="67" spans="1:6" s="806" customFormat="1" ht="14.25">
      <c r="A67" s="802">
        <v>58</v>
      </c>
      <c r="B67" s="803" t="s">
        <v>1050</v>
      </c>
      <c r="C67" s="804" t="s">
        <v>4</v>
      </c>
      <c r="D67" s="805"/>
      <c r="E67" s="805"/>
    </row>
    <row r="68" spans="1:6" s="8" customFormat="1" ht="14.25">
      <c r="A68" s="127">
        <v>59</v>
      </c>
      <c r="B68" s="399" t="s">
        <v>1051</v>
      </c>
      <c r="C68" s="400" t="s">
        <v>4</v>
      </c>
      <c r="D68" s="108"/>
      <c r="E68" s="108"/>
    </row>
    <row r="69" spans="1:6" s="806" customFormat="1" ht="14.25">
      <c r="A69" s="802">
        <v>60</v>
      </c>
      <c r="B69" s="803" t="s">
        <v>1052</v>
      </c>
      <c r="C69" s="804" t="s">
        <v>4</v>
      </c>
      <c r="D69" s="805"/>
      <c r="E69" s="805"/>
    </row>
    <row r="70" spans="1:6" s="8" customFormat="1" ht="14.25">
      <c r="A70" s="127">
        <v>61</v>
      </c>
      <c r="B70" s="399" t="s">
        <v>815</v>
      </c>
      <c r="C70" s="400" t="s">
        <v>386</v>
      </c>
      <c r="D70" s="108"/>
      <c r="E70" s="108"/>
    </row>
    <row r="71" spans="1:6" s="806" customFormat="1" ht="14.25">
      <c r="A71" s="802">
        <v>62</v>
      </c>
      <c r="B71" s="803" t="s">
        <v>816</v>
      </c>
      <c r="C71" s="804" t="s">
        <v>4</v>
      </c>
      <c r="D71" s="805"/>
      <c r="E71" s="805"/>
    </row>
    <row r="72" spans="1:6" s="806" customFormat="1" ht="14.25">
      <c r="A72" s="1362"/>
      <c r="B72" s="1363" t="s">
        <v>1739</v>
      </c>
      <c r="C72" s="1364" t="s">
        <v>168</v>
      </c>
      <c r="D72" s="1365"/>
      <c r="E72" s="1365"/>
    </row>
    <row r="73" spans="1:6" s="8" customFormat="1" ht="14.25">
      <c r="A73" s="127">
        <v>63</v>
      </c>
      <c r="B73" s="399" t="s">
        <v>1168</v>
      </c>
      <c r="C73" s="400" t="s">
        <v>4</v>
      </c>
      <c r="D73" s="108"/>
      <c r="E73" s="108"/>
    </row>
    <row r="74" spans="1:6" s="806" customFormat="1" ht="14.25">
      <c r="A74" s="802">
        <v>64</v>
      </c>
      <c r="B74" s="803" t="s">
        <v>3</v>
      </c>
      <c r="C74" s="804" t="s">
        <v>0</v>
      </c>
      <c r="D74" s="805"/>
      <c r="E74" s="805"/>
    </row>
    <row r="75" spans="1:6" s="159" customFormat="1" ht="14.25">
      <c r="A75" s="127">
        <v>65</v>
      </c>
      <c r="B75" s="399" t="s">
        <v>817</v>
      </c>
      <c r="C75" s="400" t="s">
        <v>0</v>
      </c>
      <c r="D75" s="108"/>
      <c r="E75" s="108"/>
      <c r="F75" s="8"/>
    </row>
    <row r="76" spans="1:6" s="806" customFormat="1" ht="14.25">
      <c r="A76" s="802">
        <v>66</v>
      </c>
      <c r="B76" s="803" t="s">
        <v>818</v>
      </c>
      <c r="C76" s="804" t="s">
        <v>0</v>
      </c>
      <c r="D76" s="805"/>
      <c r="E76" s="805"/>
    </row>
    <row r="77" spans="1:6" s="159" customFormat="1" ht="14.25">
      <c r="A77" s="127">
        <v>67</v>
      </c>
      <c r="B77" s="399" t="s">
        <v>819</v>
      </c>
      <c r="C77" s="400" t="s">
        <v>0</v>
      </c>
      <c r="D77" s="108"/>
      <c r="E77" s="108"/>
      <c r="F77" s="8"/>
    </row>
    <row r="78" spans="1:6" s="806" customFormat="1" ht="14.25">
      <c r="A78" s="802">
        <v>68</v>
      </c>
      <c r="B78" s="803" t="s">
        <v>820</v>
      </c>
      <c r="C78" s="804" t="s">
        <v>0</v>
      </c>
      <c r="D78" s="805"/>
      <c r="E78" s="805"/>
    </row>
    <row r="79" spans="1:6" s="8" customFormat="1" ht="14.25">
      <c r="A79" s="127"/>
      <c r="B79" s="399" t="s">
        <v>1713</v>
      </c>
      <c r="C79" s="400" t="s">
        <v>168</v>
      </c>
      <c r="D79" s="108"/>
      <c r="E79" s="108"/>
    </row>
    <row r="80" spans="1:6" s="806" customFormat="1" ht="14.25">
      <c r="A80" s="802"/>
      <c r="B80" s="803" t="s">
        <v>1714</v>
      </c>
      <c r="C80" s="804" t="s">
        <v>168</v>
      </c>
      <c r="D80" s="805"/>
      <c r="E80" s="805"/>
    </row>
    <row r="81" spans="1:6" s="806" customFormat="1" ht="14.25">
      <c r="A81" s="802"/>
      <c r="B81" s="399" t="s">
        <v>1691</v>
      </c>
      <c r="C81" s="804" t="s">
        <v>0</v>
      </c>
      <c r="D81" s="805"/>
      <c r="E81" s="805"/>
    </row>
    <row r="82" spans="1:6" s="159" customFormat="1" ht="14.25">
      <c r="A82" s="127">
        <v>69</v>
      </c>
      <c r="B82" s="399" t="s">
        <v>1040</v>
      </c>
      <c r="C82" s="400" t="s">
        <v>0</v>
      </c>
      <c r="D82" s="108"/>
      <c r="E82" s="108"/>
      <c r="F82" s="8"/>
    </row>
    <row r="83" spans="1:6" s="806" customFormat="1" ht="14.25">
      <c r="A83" s="802">
        <v>70</v>
      </c>
      <c r="B83" s="803" t="s">
        <v>8</v>
      </c>
      <c r="C83" s="804" t="s">
        <v>0</v>
      </c>
      <c r="D83" s="805"/>
      <c r="E83" s="805"/>
    </row>
    <row r="84" spans="1:6" s="159" customFormat="1" ht="14.25">
      <c r="A84" s="127">
        <v>71</v>
      </c>
      <c r="B84" s="399" t="s">
        <v>1041</v>
      </c>
      <c r="C84" s="400" t="s">
        <v>0</v>
      </c>
      <c r="D84" s="108"/>
      <c r="E84" s="108"/>
      <c r="F84" s="8"/>
    </row>
    <row r="85" spans="1:6" s="806" customFormat="1" ht="14.25">
      <c r="A85" s="802">
        <v>72</v>
      </c>
      <c r="B85" s="803" t="s">
        <v>1042</v>
      </c>
      <c r="C85" s="804" t="s">
        <v>0</v>
      </c>
      <c r="D85" s="805"/>
      <c r="E85" s="805"/>
    </row>
    <row r="86" spans="1:6" s="8" customFormat="1" ht="14.25">
      <c r="A86" s="127">
        <v>73</v>
      </c>
      <c r="B86" s="399" t="s">
        <v>1043</v>
      </c>
      <c r="C86" s="400" t="s">
        <v>0</v>
      </c>
      <c r="D86" s="108"/>
      <c r="E86" s="108"/>
    </row>
    <row r="87" spans="1:6" s="806" customFormat="1" ht="14.25">
      <c r="A87" s="802">
        <v>74</v>
      </c>
      <c r="B87" s="803" t="s">
        <v>1044</v>
      </c>
      <c r="C87" s="804" t="s">
        <v>0</v>
      </c>
      <c r="D87" s="805"/>
      <c r="E87" s="805"/>
    </row>
    <row r="88" spans="1:6" s="8" customFormat="1" ht="14.25">
      <c r="A88" s="127">
        <v>75</v>
      </c>
      <c r="B88" s="399" t="s">
        <v>1045</v>
      </c>
      <c r="C88" s="400" t="s">
        <v>0</v>
      </c>
      <c r="D88" s="108"/>
      <c r="E88" s="108"/>
    </row>
    <row r="89" spans="1:6" s="806" customFormat="1" ht="14.25">
      <c r="A89" s="802">
        <v>76</v>
      </c>
      <c r="B89" s="803" t="s">
        <v>1046</v>
      </c>
      <c r="C89" s="804" t="s">
        <v>0</v>
      </c>
      <c r="D89" s="805"/>
      <c r="E89" s="805"/>
    </row>
    <row r="90" spans="1:6" s="8" customFormat="1" ht="14.25">
      <c r="A90" s="127">
        <v>77</v>
      </c>
      <c r="B90" s="399" t="s">
        <v>1047</v>
      </c>
      <c r="C90" s="400" t="s">
        <v>0</v>
      </c>
      <c r="D90" s="108"/>
      <c r="E90" s="108"/>
    </row>
    <row r="91" spans="1:6" s="806" customFormat="1" ht="14.25">
      <c r="A91" s="802">
        <v>78</v>
      </c>
      <c r="B91" s="803" t="s">
        <v>1048</v>
      </c>
      <c r="C91" s="804" t="s">
        <v>0</v>
      </c>
      <c r="D91" s="805"/>
      <c r="E91" s="805"/>
    </row>
    <row r="92" spans="1:6" s="8" customFormat="1" ht="14.25">
      <c r="A92" s="127">
        <v>79</v>
      </c>
      <c r="B92" s="399" t="s">
        <v>1049</v>
      </c>
      <c r="C92" s="400" t="s">
        <v>0</v>
      </c>
      <c r="D92" s="108"/>
      <c r="E92" s="108"/>
    </row>
    <row r="93" spans="1:6" s="806" customFormat="1" ht="14.25">
      <c r="A93" s="802">
        <v>80</v>
      </c>
      <c r="B93" s="803" t="s">
        <v>461</v>
      </c>
      <c r="C93" s="804" t="s">
        <v>0</v>
      </c>
      <c r="D93" s="805"/>
      <c r="E93" s="805"/>
    </row>
    <row r="94" spans="1:6" s="8" customFormat="1" ht="14.25">
      <c r="A94" s="127">
        <v>81</v>
      </c>
      <c r="B94" s="399" t="s">
        <v>821</v>
      </c>
      <c r="C94" s="400" t="s">
        <v>0</v>
      </c>
      <c r="D94" s="108"/>
      <c r="E94" s="108"/>
    </row>
    <row r="95" spans="1:6" s="806" customFormat="1" ht="14.25">
      <c r="A95" s="802">
        <v>82</v>
      </c>
      <c r="B95" s="803" t="s">
        <v>822</v>
      </c>
      <c r="C95" s="804" t="s">
        <v>0</v>
      </c>
      <c r="D95" s="805"/>
      <c r="E95" s="805"/>
    </row>
    <row r="96" spans="1:6" s="8" customFormat="1" ht="14.25">
      <c r="A96" s="127">
        <v>83</v>
      </c>
      <c r="B96" s="399" t="s">
        <v>823</v>
      </c>
      <c r="C96" s="400" t="s">
        <v>0</v>
      </c>
      <c r="D96" s="108"/>
      <c r="E96" s="108"/>
    </row>
    <row r="97" spans="1:6" s="806" customFormat="1" ht="14.25">
      <c r="A97" s="802">
        <v>84</v>
      </c>
      <c r="B97" s="803" t="s">
        <v>824</v>
      </c>
      <c r="C97" s="804" t="s">
        <v>0</v>
      </c>
      <c r="D97" s="805"/>
      <c r="E97" s="805"/>
    </row>
    <row r="98" spans="1:6" s="8" customFormat="1" ht="14.25">
      <c r="A98" s="127">
        <v>85</v>
      </c>
      <c r="B98" s="399" t="s">
        <v>5</v>
      </c>
      <c r="C98" s="400" t="s">
        <v>0</v>
      </c>
      <c r="D98" s="108"/>
      <c r="E98" s="108"/>
    </row>
    <row r="99" spans="1:6" s="806" customFormat="1" ht="14.25">
      <c r="A99" s="802">
        <v>86</v>
      </c>
      <c r="B99" s="803" t="s">
        <v>825</v>
      </c>
      <c r="C99" s="804" t="s">
        <v>0</v>
      </c>
      <c r="D99" s="805"/>
      <c r="E99" s="805"/>
    </row>
    <row r="100" spans="1:6" s="8" customFormat="1" ht="14.25">
      <c r="A100" s="127">
        <v>87</v>
      </c>
      <c r="B100" s="399" t="s">
        <v>826</v>
      </c>
      <c r="C100" s="400" t="s">
        <v>0</v>
      </c>
      <c r="D100" s="108"/>
      <c r="E100" s="108"/>
    </row>
    <row r="101" spans="1:6" s="806" customFormat="1" ht="14.25">
      <c r="A101" s="802">
        <v>88</v>
      </c>
      <c r="B101" s="803" t="s">
        <v>827</v>
      </c>
      <c r="C101" s="804" t="s">
        <v>0</v>
      </c>
      <c r="D101" s="805"/>
      <c r="E101" s="805"/>
    </row>
    <row r="102" spans="1:6" s="8" customFormat="1" ht="14.25">
      <c r="A102" s="127">
        <v>89</v>
      </c>
      <c r="B102" s="399" t="s">
        <v>828</v>
      </c>
      <c r="C102" s="400" t="s">
        <v>0</v>
      </c>
      <c r="D102" s="108"/>
      <c r="E102" s="108"/>
    </row>
    <row r="103" spans="1:6" s="806" customFormat="1" ht="14.25">
      <c r="A103" s="802">
        <v>90</v>
      </c>
      <c r="B103" s="803" t="s">
        <v>829</v>
      </c>
      <c r="C103" s="804" t="s">
        <v>0</v>
      </c>
      <c r="D103" s="805"/>
      <c r="E103" s="805"/>
    </row>
    <row r="104" spans="1:6" s="8" customFormat="1" ht="14.25">
      <c r="A104" s="127">
        <v>91</v>
      </c>
      <c r="B104" s="399" t="s">
        <v>830</v>
      </c>
      <c r="C104" s="400" t="s">
        <v>0</v>
      </c>
      <c r="D104" s="108"/>
      <c r="E104" s="108"/>
    </row>
    <row r="105" spans="1:6" s="806" customFormat="1" ht="14.25">
      <c r="A105" s="802">
        <v>92</v>
      </c>
      <c r="B105" s="803" t="s">
        <v>831</v>
      </c>
      <c r="C105" s="804" t="s">
        <v>0</v>
      </c>
      <c r="D105" s="805"/>
      <c r="E105" s="805"/>
    </row>
    <row r="106" spans="1:6" s="159" customFormat="1" ht="14.25">
      <c r="A106" s="127">
        <v>93</v>
      </c>
      <c r="B106" s="399" t="s">
        <v>832</v>
      </c>
      <c r="C106" s="400" t="s">
        <v>0</v>
      </c>
      <c r="D106" s="108"/>
      <c r="E106" s="108"/>
      <c r="F106" s="8"/>
    </row>
    <row r="107" spans="1:6" s="806" customFormat="1" ht="14.25">
      <c r="A107" s="802">
        <v>94</v>
      </c>
      <c r="B107" s="803" t="s">
        <v>833</v>
      </c>
      <c r="C107" s="804" t="s">
        <v>0</v>
      </c>
      <c r="D107" s="805"/>
      <c r="E107" s="805"/>
    </row>
    <row r="108" spans="1:6" s="8" customFormat="1" ht="14.25">
      <c r="A108" s="127">
        <v>95</v>
      </c>
      <c r="B108" s="399" t="s">
        <v>1086</v>
      </c>
      <c r="C108" s="400" t="s">
        <v>386</v>
      </c>
      <c r="D108" s="108"/>
      <c r="E108" s="108"/>
    </row>
    <row r="109" spans="1:6" s="806" customFormat="1" ht="14.25">
      <c r="A109" s="802">
        <v>96</v>
      </c>
      <c r="B109" s="803" t="s">
        <v>1087</v>
      </c>
      <c r="C109" s="804" t="s">
        <v>386</v>
      </c>
      <c r="D109" s="805"/>
      <c r="E109" s="805"/>
    </row>
    <row r="110" spans="1:6" s="8" customFormat="1" ht="14.25">
      <c r="A110" s="127">
        <v>97</v>
      </c>
      <c r="B110" s="399" t="s">
        <v>1088</v>
      </c>
      <c r="C110" s="400" t="s">
        <v>386</v>
      </c>
      <c r="D110" s="108"/>
      <c r="E110" s="108"/>
    </row>
    <row r="111" spans="1:6" s="8" customFormat="1" ht="14.25">
      <c r="A111" s="127"/>
      <c r="B111" s="399" t="s">
        <v>1571</v>
      </c>
      <c r="C111" s="400"/>
      <c r="D111" s="108"/>
      <c r="E111" s="108"/>
    </row>
    <row r="112" spans="1:6" s="806" customFormat="1" ht="14.25">
      <c r="A112" s="802">
        <v>98</v>
      </c>
      <c r="B112" s="803" t="s">
        <v>834</v>
      </c>
      <c r="C112" s="804" t="s">
        <v>0</v>
      </c>
      <c r="D112" s="805"/>
      <c r="E112" s="805"/>
    </row>
    <row r="113" spans="1:6" s="8" customFormat="1" ht="14.25">
      <c r="A113" s="127">
        <v>99</v>
      </c>
      <c r="B113" s="399" t="s">
        <v>835</v>
      </c>
      <c r="C113" s="400" t="s">
        <v>0</v>
      </c>
      <c r="D113" s="108"/>
      <c r="E113" s="108"/>
    </row>
    <row r="114" spans="1:6" s="806" customFormat="1" ht="14.25">
      <c r="A114" s="802">
        <v>100</v>
      </c>
      <c r="B114" s="803" t="s">
        <v>836</v>
      </c>
      <c r="C114" s="804" t="s">
        <v>0</v>
      </c>
      <c r="D114" s="805"/>
      <c r="E114" s="805"/>
    </row>
    <row r="115" spans="1:6" s="8" customFormat="1" ht="14.25">
      <c r="A115" s="127">
        <v>101</v>
      </c>
      <c r="B115" s="399" t="s">
        <v>837</v>
      </c>
      <c r="C115" s="400" t="s">
        <v>0</v>
      </c>
      <c r="D115" s="108"/>
      <c r="E115" s="108"/>
    </row>
    <row r="116" spans="1:6" s="806" customFormat="1" ht="14.25">
      <c r="A116" s="802">
        <v>102</v>
      </c>
      <c r="B116" s="803" t="s">
        <v>838</v>
      </c>
      <c r="C116" s="804" t="s">
        <v>0</v>
      </c>
      <c r="D116" s="805"/>
      <c r="E116" s="805"/>
    </row>
    <row r="117" spans="1:6" s="8" customFormat="1" ht="14.25">
      <c r="A117" s="127">
        <v>103</v>
      </c>
      <c r="B117" s="399" t="s">
        <v>1039</v>
      </c>
      <c r="C117" s="400" t="s">
        <v>0</v>
      </c>
      <c r="D117" s="108"/>
      <c r="E117" s="108"/>
    </row>
    <row r="118" spans="1:6" s="806" customFormat="1" ht="14.25">
      <c r="A118" s="802">
        <v>104</v>
      </c>
      <c r="B118" s="803" t="s">
        <v>839</v>
      </c>
      <c r="C118" s="804" t="s">
        <v>0</v>
      </c>
      <c r="D118" s="805"/>
      <c r="E118" s="805"/>
    </row>
    <row r="119" spans="1:6" s="8" customFormat="1" ht="14.25">
      <c r="A119" s="127">
        <v>105</v>
      </c>
      <c r="B119" s="399" t="s">
        <v>840</v>
      </c>
      <c r="C119" s="400" t="s">
        <v>0</v>
      </c>
      <c r="D119" s="108"/>
      <c r="E119" s="108"/>
    </row>
    <row r="120" spans="1:6" s="806" customFormat="1" ht="14.25">
      <c r="A120" s="802">
        <v>106</v>
      </c>
      <c r="B120" s="803" t="s">
        <v>841</v>
      </c>
      <c r="C120" s="804" t="s">
        <v>0</v>
      </c>
      <c r="D120" s="805"/>
      <c r="E120" s="805"/>
    </row>
    <row r="121" spans="1:6" s="8" customFormat="1" ht="14.25">
      <c r="A121" s="127">
        <v>107</v>
      </c>
      <c r="B121" s="399" t="s">
        <v>842</v>
      </c>
      <c r="C121" s="400" t="s">
        <v>0</v>
      </c>
      <c r="D121" s="108"/>
      <c r="E121" s="108"/>
    </row>
    <row r="122" spans="1:6" s="806" customFormat="1" ht="14.25">
      <c r="A122" s="802">
        <v>108</v>
      </c>
      <c r="B122" s="803" t="s">
        <v>843</v>
      </c>
      <c r="C122" s="804" t="s">
        <v>0</v>
      </c>
      <c r="D122" s="805"/>
      <c r="E122" s="805"/>
    </row>
    <row r="123" spans="1:6" s="8" customFormat="1" ht="14.25">
      <c r="A123" s="127">
        <v>109</v>
      </c>
      <c r="B123" s="399" t="s">
        <v>844</v>
      </c>
      <c r="C123" s="400" t="s">
        <v>0</v>
      </c>
      <c r="D123" s="108"/>
      <c r="E123" s="108"/>
    </row>
    <row r="124" spans="1:6" s="806" customFormat="1" ht="14.25">
      <c r="A124" s="802">
        <v>110</v>
      </c>
      <c r="B124" s="803" t="s">
        <v>845</v>
      </c>
      <c r="C124" s="804" t="s">
        <v>0</v>
      </c>
      <c r="D124" s="805"/>
      <c r="E124" s="805"/>
    </row>
    <row r="125" spans="1:6" s="159" customFormat="1" ht="14.25">
      <c r="A125" s="127">
        <v>111</v>
      </c>
      <c r="B125" s="399" t="s">
        <v>1016</v>
      </c>
      <c r="C125" s="400" t="s">
        <v>0</v>
      </c>
      <c r="D125" s="108"/>
      <c r="E125" s="108"/>
      <c r="F125" s="8"/>
    </row>
    <row r="126" spans="1:6" s="806" customFormat="1" ht="14.25">
      <c r="A126" s="802">
        <v>112</v>
      </c>
      <c r="B126" s="803" t="s">
        <v>846</v>
      </c>
      <c r="C126" s="804" t="s">
        <v>0</v>
      </c>
      <c r="D126" s="805"/>
      <c r="E126" s="805"/>
    </row>
    <row r="127" spans="1:6" s="8" customFormat="1" ht="14.25">
      <c r="A127" s="127">
        <v>113</v>
      </c>
      <c r="B127" s="399" t="s">
        <v>847</v>
      </c>
      <c r="C127" s="400" t="s">
        <v>0</v>
      </c>
      <c r="D127" s="108"/>
      <c r="E127" s="108"/>
    </row>
    <row r="128" spans="1:6" s="806" customFormat="1" ht="14.25">
      <c r="A128" s="802">
        <v>114</v>
      </c>
      <c r="B128" s="803" t="s">
        <v>117</v>
      </c>
      <c r="C128" s="804" t="s">
        <v>0</v>
      </c>
      <c r="D128" s="805"/>
      <c r="E128" s="805"/>
    </row>
    <row r="129" spans="1:5" s="8" customFormat="1" ht="14.25">
      <c r="A129" s="127">
        <v>115</v>
      </c>
      <c r="B129" s="399" t="s">
        <v>118</v>
      </c>
      <c r="C129" s="400" t="s">
        <v>0</v>
      </c>
      <c r="D129" s="108"/>
      <c r="E129" s="108"/>
    </row>
    <row r="130" spans="1:5" s="806" customFormat="1" ht="14.25">
      <c r="A130" s="802">
        <v>116</v>
      </c>
      <c r="B130" s="803" t="s">
        <v>119</v>
      </c>
      <c r="C130" s="804" t="s">
        <v>0</v>
      </c>
      <c r="D130" s="805"/>
      <c r="E130" s="805"/>
    </row>
    <row r="131" spans="1:5" s="8" customFormat="1" ht="14.25">
      <c r="A131" s="127">
        <v>117</v>
      </c>
      <c r="B131" s="399" t="s">
        <v>120</v>
      </c>
      <c r="C131" s="400" t="s">
        <v>0</v>
      </c>
      <c r="D131" s="108"/>
      <c r="E131" s="108"/>
    </row>
    <row r="132" spans="1:5" s="806" customFormat="1" ht="14.25">
      <c r="A132" s="802">
        <v>118</v>
      </c>
      <c r="B132" s="803" t="s">
        <v>121</v>
      </c>
      <c r="C132" s="804" t="s">
        <v>0</v>
      </c>
      <c r="D132" s="805"/>
      <c r="E132" s="805"/>
    </row>
    <row r="133" spans="1:5" s="8" customFormat="1" ht="14.25">
      <c r="A133" s="127">
        <v>119</v>
      </c>
      <c r="B133" s="399" t="s">
        <v>122</v>
      </c>
      <c r="C133" s="400" t="s">
        <v>0</v>
      </c>
      <c r="D133" s="108"/>
      <c r="E133" s="108"/>
    </row>
    <row r="134" spans="1:5" s="806" customFormat="1" ht="14.25">
      <c r="A134" s="802">
        <v>120</v>
      </c>
      <c r="B134" s="803" t="s">
        <v>123</v>
      </c>
      <c r="C134" s="804" t="s">
        <v>0</v>
      </c>
      <c r="D134" s="805"/>
      <c r="E134" s="805"/>
    </row>
    <row r="135" spans="1:5" s="8" customFormat="1" ht="14.25">
      <c r="A135" s="127">
        <v>121</v>
      </c>
      <c r="B135" s="399" t="s">
        <v>124</v>
      </c>
      <c r="C135" s="400" t="s">
        <v>0</v>
      </c>
      <c r="D135" s="108"/>
      <c r="E135" s="108"/>
    </row>
    <row r="136" spans="1:5" s="806" customFormat="1" ht="14.25">
      <c r="A136" s="802">
        <v>122</v>
      </c>
      <c r="B136" s="803" t="s">
        <v>125</v>
      </c>
      <c r="C136" s="804" t="s">
        <v>0</v>
      </c>
      <c r="D136" s="805"/>
      <c r="E136" s="805"/>
    </row>
    <row r="137" spans="1:5" s="8" customFormat="1" ht="14.25">
      <c r="A137" s="127">
        <v>123</v>
      </c>
      <c r="B137" s="399" t="s">
        <v>126</v>
      </c>
      <c r="C137" s="400" t="s">
        <v>0</v>
      </c>
      <c r="D137" s="108"/>
      <c r="E137" s="108"/>
    </row>
    <row r="138" spans="1:5" s="806" customFormat="1" ht="14.25">
      <c r="A138" s="802">
        <v>124</v>
      </c>
      <c r="B138" s="803" t="s">
        <v>127</v>
      </c>
      <c r="C138" s="804" t="s">
        <v>0</v>
      </c>
      <c r="D138" s="805"/>
      <c r="E138" s="805"/>
    </row>
    <row r="139" spans="1:5" s="8" customFormat="1" ht="14.25">
      <c r="A139" s="127">
        <v>125</v>
      </c>
      <c r="B139" s="399" t="s">
        <v>211</v>
      </c>
      <c r="C139" s="400" t="s">
        <v>0</v>
      </c>
      <c r="D139" s="108"/>
      <c r="E139" s="108"/>
    </row>
    <row r="140" spans="1:5" s="806" customFormat="1" ht="14.25">
      <c r="A140" s="802">
        <v>126</v>
      </c>
      <c r="B140" s="803" t="s">
        <v>1020</v>
      </c>
      <c r="C140" s="804" t="s">
        <v>0</v>
      </c>
      <c r="D140" s="805"/>
      <c r="E140" s="805"/>
    </row>
    <row r="141" spans="1:5" s="806" customFormat="1" ht="14.25">
      <c r="A141" s="127">
        <v>117</v>
      </c>
      <c r="B141" s="399" t="s">
        <v>1255</v>
      </c>
      <c r="C141" s="400" t="s">
        <v>0</v>
      </c>
      <c r="D141" s="108"/>
      <c r="E141" s="108"/>
    </row>
    <row r="142" spans="1:5" s="806" customFormat="1" ht="14.25">
      <c r="A142" s="802">
        <v>118</v>
      </c>
      <c r="B142" s="803" t="s">
        <v>1256</v>
      </c>
      <c r="C142" s="804" t="s">
        <v>0</v>
      </c>
      <c r="D142" s="805"/>
      <c r="E142" s="805"/>
    </row>
    <row r="143" spans="1:5" s="806" customFormat="1" ht="14.25">
      <c r="A143" s="127">
        <v>119</v>
      </c>
      <c r="B143" s="399" t="s">
        <v>1257</v>
      </c>
      <c r="C143" s="400" t="s">
        <v>0</v>
      </c>
      <c r="D143" s="108"/>
      <c r="E143" s="108"/>
    </row>
    <row r="144" spans="1:5" s="806" customFormat="1" ht="14.25">
      <c r="A144" s="802">
        <v>120</v>
      </c>
      <c r="B144" s="803" t="s">
        <v>1258</v>
      </c>
      <c r="C144" s="804" t="s">
        <v>0</v>
      </c>
      <c r="D144" s="805"/>
      <c r="E144" s="805"/>
    </row>
    <row r="145" spans="1:5" s="806" customFormat="1" ht="14.25">
      <c r="A145" s="127">
        <v>121</v>
      </c>
      <c r="B145" s="399" t="s">
        <v>1259</v>
      </c>
      <c r="C145" s="400" t="s">
        <v>0</v>
      </c>
      <c r="D145" s="108"/>
      <c r="E145" s="108"/>
    </row>
    <row r="146" spans="1:5" s="806" customFormat="1" ht="14.25">
      <c r="A146" s="802">
        <v>122</v>
      </c>
      <c r="B146" s="803" t="s">
        <v>1260</v>
      </c>
      <c r="C146" s="804" t="s">
        <v>0</v>
      </c>
      <c r="D146" s="805"/>
      <c r="E146" s="805"/>
    </row>
    <row r="147" spans="1:5" s="806" customFormat="1" ht="14.25">
      <c r="A147" s="127">
        <v>123</v>
      </c>
      <c r="B147" s="399" t="s">
        <v>1261</v>
      </c>
      <c r="C147" s="400" t="s">
        <v>0</v>
      </c>
      <c r="D147" s="108"/>
      <c r="E147" s="108"/>
    </row>
    <row r="148" spans="1:5" s="806" customFormat="1" ht="14.25">
      <c r="A148" s="802">
        <v>124</v>
      </c>
      <c r="B148" s="803" t="s">
        <v>1262</v>
      </c>
      <c r="C148" s="804" t="s">
        <v>0</v>
      </c>
      <c r="D148" s="805"/>
      <c r="E148" s="805"/>
    </row>
    <row r="149" spans="1:5" s="806" customFormat="1" ht="14.25">
      <c r="A149" s="127">
        <v>125</v>
      </c>
      <c r="B149" s="399" t="s">
        <v>1263</v>
      </c>
      <c r="C149" s="400" t="s">
        <v>0</v>
      </c>
      <c r="D149" s="108"/>
      <c r="E149" s="108"/>
    </row>
    <row r="150" spans="1:5" s="806" customFormat="1" ht="14.25">
      <c r="A150" s="802">
        <v>126</v>
      </c>
      <c r="B150" s="803" t="s">
        <v>1590</v>
      </c>
      <c r="C150" s="804" t="s">
        <v>0</v>
      </c>
      <c r="D150" s="805"/>
      <c r="E150" s="805"/>
    </row>
    <row r="151" spans="1:5" s="806" customFormat="1" ht="14.25">
      <c r="A151" s="127">
        <v>117</v>
      </c>
      <c r="B151" s="399" t="s">
        <v>1591</v>
      </c>
      <c r="C151" s="400" t="s">
        <v>0</v>
      </c>
      <c r="D151" s="108"/>
      <c r="E151" s="108"/>
    </row>
    <row r="152" spans="1:5" s="806" customFormat="1" ht="14.25">
      <c r="A152" s="802">
        <v>118</v>
      </c>
      <c r="B152" s="803" t="s">
        <v>1592</v>
      </c>
      <c r="C152" s="804" t="s">
        <v>0</v>
      </c>
      <c r="D152" s="805"/>
      <c r="E152" s="805"/>
    </row>
    <row r="153" spans="1:5" s="806" customFormat="1" ht="14.25">
      <c r="A153" s="127">
        <v>119</v>
      </c>
      <c r="B153" s="399" t="s">
        <v>1593</v>
      </c>
      <c r="C153" s="400" t="s">
        <v>0</v>
      </c>
      <c r="D153" s="108"/>
      <c r="E153" s="108"/>
    </row>
    <row r="154" spans="1:5" s="806" customFormat="1" ht="14.25">
      <c r="A154" s="802">
        <v>120</v>
      </c>
      <c r="B154" s="803" t="s">
        <v>1594</v>
      </c>
      <c r="C154" s="804" t="s">
        <v>0</v>
      </c>
      <c r="D154" s="805"/>
      <c r="E154" s="805"/>
    </row>
    <row r="155" spans="1:5" s="806" customFormat="1" ht="14.25">
      <c r="A155" s="127">
        <v>121</v>
      </c>
      <c r="B155" s="399" t="s">
        <v>1595</v>
      </c>
      <c r="C155" s="400" t="s">
        <v>0</v>
      </c>
      <c r="D155" s="108"/>
      <c r="E155" s="108"/>
    </row>
    <row r="156" spans="1:5" s="806" customFormat="1" ht="14.25">
      <c r="A156" s="802">
        <v>122</v>
      </c>
      <c r="B156" s="803" t="s">
        <v>1596</v>
      </c>
      <c r="C156" s="804" t="s">
        <v>0</v>
      </c>
      <c r="D156" s="805"/>
      <c r="E156" s="805"/>
    </row>
    <row r="157" spans="1:5" s="806" customFormat="1" ht="14.25">
      <c r="A157" s="127">
        <v>123</v>
      </c>
      <c r="B157" s="399" t="s">
        <v>1602</v>
      </c>
      <c r="C157" s="400" t="s">
        <v>0</v>
      </c>
      <c r="D157" s="108"/>
      <c r="E157" s="108"/>
    </row>
    <row r="158" spans="1:5" s="806" customFormat="1" ht="14.25">
      <c r="A158" s="802">
        <v>124</v>
      </c>
      <c r="B158" s="803" t="s">
        <v>1598</v>
      </c>
      <c r="C158" s="804" t="s">
        <v>0</v>
      </c>
      <c r="D158" s="805"/>
      <c r="E158" s="805"/>
    </row>
    <row r="159" spans="1:5" s="806" customFormat="1" ht="14.25">
      <c r="A159" s="127">
        <v>125</v>
      </c>
      <c r="B159" s="399" t="s">
        <v>1599</v>
      </c>
      <c r="C159" s="400" t="s">
        <v>0</v>
      </c>
      <c r="D159" s="108"/>
      <c r="E159" s="108"/>
    </row>
    <row r="160" spans="1:5" s="806" customFormat="1" ht="14.25">
      <c r="A160" s="802">
        <v>126</v>
      </c>
      <c r="B160" s="803" t="s">
        <v>1600</v>
      </c>
      <c r="C160" s="804" t="s">
        <v>0</v>
      </c>
      <c r="D160" s="805"/>
      <c r="E160" s="805"/>
    </row>
    <row r="161" spans="1:5" s="806" customFormat="1" ht="14.25">
      <c r="A161" s="127">
        <v>123</v>
      </c>
      <c r="B161" s="399" t="s">
        <v>1601</v>
      </c>
      <c r="C161" s="400" t="s">
        <v>0</v>
      </c>
      <c r="D161" s="108"/>
      <c r="E161" s="108"/>
    </row>
    <row r="162" spans="1:5" s="806" customFormat="1" ht="14.25">
      <c r="A162" s="802">
        <v>126</v>
      </c>
      <c r="B162" s="803" t="s">
        <v>1603</v>
      </c>
      <c r="C162" s="804" t="s">
        <v>0</v>
      </c>
      <c r="D162" s="805"/>
      <c r="E162" s="805"/>
    </row>
    <row r="163" spans="1:5" s="806" customFormat="1">
      <c r="A163" s="83"/>
      <c r="B163" s="167" t="s">
        <v>1644</v>
      </c>
      <c r="C163" s="400" t="s">
        <v>0</v>
      </c>
      <c r="D163" s="108"/>
      <c r="E163" s="108"/>
    </row>
    <row r="164" spans="1:5" s="806" customFormat="1">
      <c r="A164" s="987"/>
      <c r="B164" s="988" t="s">
        <v>1645</v>
      </c>
      <c r="C164" s="804" t="s">
        <v>0</v>
      </c>
      <c r="D164" s="805"/>
      <c r="E164" s="805"/>
    </row>
    <row r="165" spans="1:5" s="806" customFormat="1">
      <c r="A165" s="83"/>
      <c r="B165" s="167" t="s">
        <v>1646</v>
      </c>
      <c r="C165" s="400" t="s">
        <v>0</v>
      </c>
      <c r="D165" s="108"/>
      <c r="E165" s="108"/>
    </row>
    <row r="166" spans="1:5" s="806" customFormat="1">
      <c r="A166" s="987"/>
      <c r="B166" s="988" t="s">
        <v>1647</v>
      </c>
      <c r="C166" s="804" t="s">
        <v>0</v>
      </c>
      <c r="D166" s="805"/>
      <c r="E166" s="805"/>
    </row>
    <row r="167" spans="1:5" s="806" customFormat="1">
      <c r="A167" s="83"/>
      <c r="B167" s="167" t="s">
        <v>1648</v>
      </c>
      <c r="C167" s="400" t="s">
        <v>0</v>
      </c>
      <c r="D167" s="108"/>
      <c r="E167" s="108"/>
    </row>
    <row r="168" spans="1:5" s="806" customFormat="1">
      <c r="A168" s="987"/>
      <c r="B168" s="988" t="s">
        <v>1649</v>
      </c>
      <c r="C168" s="804" t="s">
        <v>0</v>
      </c>
      <c r="D168" s="805"/>
      <c r="E168" s="805"/>
    </row>
    <row r="169" spans="1:5" s="806" customFormat="1">
      <c r="A169" s="83"/>
      <c r="B169" s="167" t="s">
        <v>1650</v>
      </c>
      <c r="C169" s="400" t="s">
        <v>0</v>
      </c>
      <c r="D169" s="108"/>
      <c r="E169" s="108"/>
    </row>
    <row r="170" spans="1:5" s="806" customFormat="1">
      <c r="A170" s="987"/>
      <c r="B170" s="988" t="s">
        <v>1670</v>
      </c>
      <c r="C170" s="804" t="s">
        <v>0</v>
      </c>
      <c r="D170" s="805"/>
      <c r="E170" s="805"/>
    </row>
    <row r="171" spans="1:5" s="806" customFormat="1">
      <c r="A171" s="83"/>
      <c r="B171" s="167" t="s">
        <v>1652</v>
      </c>
      <c r="C171" s="400" t="s">
        <v>0</v>
      </c>
      <c r="D171" s="108"/>
      <c r="E171" s="108"/>
    </row>
    <row r="172" spans="1:5" s="806" customFormat="1">
      <c r="A172" s="987"/>
      <c r="B172" s="988" t="s">
        <v>1654</v>
      </c>
      <c r="C172" s="804" t="s">
        <v>0</v>
      </c>
      <c r="D172" s="805"/>
      <c r="E172" s="805"/>
    </row>
    <row r="173" spans="1:5" s="8" customFormat="1">
      <c r="A173" s="83"/>
      <c r="B173" s="167" t="s">
        <v>1653</v>
      </c>
      <c r="C173" s="400" t="s">
        <v>0</v>
      </c>
      <c r="D173" s="108"/>
      <c r="E173" s="108"/>
    </row>
    <row r="174" spans="1:5" s="806" customFormat="1">
      <c r="A174" s="987"/>
      <c r="B174" s="988" t="s">
        <v>1655</v>
      </c>
      <c r="C174" s="804" t="s">
        <v>0</v>
      </c>
      <c r="D174" s="805"/>
      <c r="E174" s="805"/>
    </row>
    <row r="175" spans="1:5" s="806" customFormat="1">
      <c r="A175" s="83"/>
      <c r="B175" s="167" t="s">
        <v>1657</v>
      </c>
      <c r="C175" s="400" t="s">
        <v>0</v>
      </c>
      <c r="D175" s="108"/>
      <c r="E175" s="108"/>
    </row>
    <row r="176" spans="1:5" s="806" customFormat="1">
      <c r="A176" s="987"/>
      <c r="B176" s="988" t="s">
        <v>1656</v>
      </c>
      <c r="C176" s="804" t="s">
        <v>0</v>
      </c>
      <c r="D176" s="805"/>
      <c r="E176" s="805"/>
    </row>
    <row r="177" spans="1:5" s="8" customFormat="1">
      <c r="A177" s="83"/>
      <c r="B177" s="167" t="s">
        <v>1658</v>
      </c>
      <c r="C177" s="400" t="s">
        <v>0</v>
      </c>
      <c r="D177" s="108"/>
      <c r="E177" s="108"/>
    </row>
    <row r="178" spans="1:5" s="806" customFormat="1">
      <c r="A178" s="987"/>
      <c r="B178" s="988" t="s">
        <v>1659</v>
      </c>
      <c r="C178" s="804" t="s">
        <v>0</v>
      </c>
      <c r="D178" s="805"/>
      <c r="E178" s="805"/>
    </row>
    <row r="179" spans="1:5" s="8" customFormat="1">
      <c r="A179" s="83"/>
      <c r="B179" s="167" t="s">
        <v>1660</v>
      </c>
      <c r="C179" s="400" t="s">
        <v>0</v>
      </c>
      <c r="D179" s="108"/>
      <c r="E179" s="108"/>
    </row>
    <row r="180" spans="1:5" s="806" customFormat="1">
      <c r="A180" s="987"/>
      <c r="B180" s="988" t="s">
        <v>1661</v>
      </c>
      <c r="C180" s="804" t="s">
        <v>0</v>
      </c>
      <c r="D180" s="805"/>
      <c r="E180" s="805"/>
    </row>
    <row r="181" spans="1:5" s="8" customFormat="1">
      <c r="A181" s="83"/>
      <c r="B181" s="167" t="s">
        <v>1662</v>
      </c>
      <c r="C181" s="400" t="s">
        <v>0</v>
      </c>
      <c r="D181" s="108"/>
      <c r="E181" s="108"/>
    </row>
    <row r="182" spans="1:5" s="806" customFormat="1">
      <c r="A182" s="987"/>
      <c r="B182" s="988" t="s">
        <v>1638</v>
      </c>
      <c r="C182" s="804" t="s">
        <v>0</v>
      </c>
      <c r="D182" s="805"/>
      <c r="E182" s="805"/>
    </row>
    <row r="183" spans="1:5" s="8" customFormat="1">
      <c r="A183" s="83"/>
      <c r="B183" s="167" t="s">
        <v>1639</v>
      </c>
      <c r="C183" s="400" t="s">
        <v>0</v>
      </c>
      <c r="D183" s="108"/>
      <c r="E183" s="108"/>
    </row>
    <row r="184" spans="1:5" s="806" customFormat="1">
      <c r="A184" s="987"/>
      <c r="B184" s="988" t="s">
        <v>1640</v>
      </c>
      <c r="C184" s="804" t="s">
        <v>0</v>
      </c>
      <c r="D184" s="805"/>
      <c r="E184" s="805"/>
    </row>
    <row r="185" spans="1:5" s="8" customFormat="1">
      <c r="A185" s="83"/>
      <c r="B185" s="167" t="s">
        <v>1641</v>
      </c>
      <c r="C185" s="400" t="s">
        <v>0</v>
      </c>
      <c r="D185" s="108"/>
      <c r="E185" s="108"/>
    </row>
    <row r="186" spans="1:5" s="806" customFormat="1">
      <c r="A186" s="987"/>
      <c r="B186" s="988" t="s">
        <v>1642</v>
      </c>
      <c r="C186" s="804" t="s">
        <v>0</v>
      </c>
      <c r="D186" s="805"/>
      <c r="E186" s="805"/>
    </row>
    <row r="187" spans="1:5" s="8" customFormat="1" ht="14.25">
      <c r="A187" s="127">
        <v>127</v>
      </c>
      <c r="B187" s="126" t="s">
        <v>381</v>
      </c>
      <c r="C187" s="400" t="s">
        <v>1643</v>
      </c>
      <c r="D187" s="124"/>
      <c r="E187" s="124"/>
    </row>
    <row r="188" spans="1:5" s="806" customFormat="1" ht="14.25">
      <c r="A188" s="802">
        <v>128</v>
      </c>
      <c r="B188" s="810" t="s">
        <v>459</v>
      </c>
      <c r="C188" s="804" t="s">
        <v>0</v>
      </c>
      <c r="D188" s="805"/>
      <c r="E188" s="805"/>
    </row>
    <row r="189" spans="1:5" s="8" customFormat="1" ht="14.25">
      <c r="A189" s="127">
        <v>129</v>
      </c>
      <c r="B189" s="781" t="s">
        <v>1407</v>
      </c>
      <c r="C189" s="400" t="s">
        <v>0</v>
      </c>
      <c r="D189" s="108"/>
      <c r="E189" s="108"/>
    </row>
    <row r="190" spans="1:5" s="806" customFormat="1" ht="14.25">
      <c r="A190" s="802">
        <v>130</v>
      </c>
      <c r="B190" s="811" t="s">
        <v>1408</v>
      </c>
      <c r="C190" s="804" t="s">
        <v>0</v>
      </c>
      <c r="D190" s="805"/>
      <c r="E190" s="805"/>
    </row>
    <row r="191" spans="1:5" s="8" customFormat="1" ht="14.25">
      <c r="A191" s="127">
        <v>131</v>
      </c>
      <c r="B191" s="781" t="s">
        <v>1409</v>
      </c>
      <c r="C191" s="400" t="s">
        <v>0</v>
      </c>
      <c r="D191" s="108"/>
      <c r="E191" s="108"/>
    </row>
    <row r="192" spans="1:5" s="806" customFormat="1" ht="14.25">
      <c r="A192" s="802">
        <v>132</v>
      </c>
      <c r="B192" s="811" t="s">
        <v>1410</v>
      </c>
      <c r="C192" s="804" t="s">
        <v>0</v>
      </c>
      <c r="D192" s="805"/>
      <c r="E192" s="805"/>
    </row>
    <row r="193" spans="1:7" s="8" customFormat="1" ht="14.25">
      <c r="A193" s="127">
        <v>133</v>
      </c>
      <c r="B193" s="781" t="s">
        <v>1405</v>
      </c>
      <c r="C193" s="400" t="s">
        <v>0</v>
      </c>
      <c r="D193" s="108"/>
      <c r="E193" s="108"/>
    </row>
    <row r="194" spans="1:7" s="806" customFormat="1" ht="14.25">
      <c r="A194" s="802">
        <v>134</v>
      </c>
      <c r="B194" s="811" t="s">
        <v>1406</v>
      </c>
      <c r="C194" s="804" t="s">
        <v>0</v>
      </c>
      <c r="D194" s="805"/>
      <c r="E194" s="805"/>
    </row>
    <row r="195" spans="1:7" s="8" customFormat="1" ht="14.25">
      <c r="A195" s="127">
        <v>135</v>
      </c>
      <c r="B195" s="781" t="s">
        <v>1399</v>
      </c>
      <c r="C195" s="400" t="s">
        <v>0</v>
      </c>
      <c r="D195" s="108"/>
      <c r="E195" s="108"/>
    </row>
    <row r="196" spans="1:7" s="806" customFormat="1" ht="14.25">
      <c r="A196" s="802">
        <v>136</v>
      </c>
      <c r="B196" s="811" t="s">
        <v>1391</v>
      </c>
      <c r="C196" s="804" t="s">
        <v>0</v>
      </c>
      <c r="D196" s="805"/>
      <c r="E196" s="805"/>
    </row>
    <row r="197" spans="1:7" s="8" customFormat="1" ht="14.25">
      <c r="A197" s="127">
        <v>137</v>
      </c>
      <c r="B197" s="781" t="s">
        <v>1392</v>
      </c>
      <c r="C197" s="400" t="s">
        <v>0</v>
      </c>
      <c r="D197" s="108"/>
      <c r="E197" s="108"/>
    </row>
    <row r="198" spans="1:7" s="806" customFormat="1" ht="14.25">
      <c r="A198" s="802">
        <v>138</v>
      </c>
      <c r="B198" s="811" t="s">
        <v>1395</v>
      </c>
      <c r="C198" s="804" t="s">
        <v>0</v>
      </c>
      <c r="D198" s="805"/>
      <c r="E198" s="805"/>
    </row>
    <row r="199" spans="1:7" s="8" customFormat="1" ht="14.25">
      <c r="A199" s="127">
        <v>139</v>
      </c>
      <c r="B199" s="781" t="s">
        <v>1394</v>
      </c>
      <c r="C199" s="400" t="s">
        <v>0</v>
      </c>
      <c r="D199" s="108"/>
      <c r="E199" s="108"/>
    </row>
    <row r="200" spans="1:7" s="806" customFormat="1" ht="14.25">
      <c r="A200" s="802">
        <v>140</v>
      </c>
      <c r="B200" s="811" t="s">
        <v>1393</v>
      </c>
      <c r="C200" s="804" t="s">
        <v>0</v>
      </c>
      <c r="D200" s="805"/>
      <c r="E200" s="805"/>
    </row>
    <row r="201" spans="1:7" s="8" customFormat="1" ht="14.25">
      <c r="A201" s="127">
        <v>141</v>
      </c>
      <c r="B201" s="781" t="s">
        <v>1396</v>
      </c>
      <c r="C201" s="400" t="s">
        <v>0</v>
      </c>
      <c r="D201" s="108"/>
      <c r="E201" s="108"/>
    </row>
    <row r="202" spans="1:7" s="806" customFormat="1" ht="14.25">
      <c r="A202" s="802">
        <v>142</v>
      </c>
      <c r="B202" s="811" t="s">
        <v>1397</v>
      </c>
      <c r="C202" s="804" t="s">
        <v>0</v>
      </c>
      <c r="D202" s="805"/>
      <c r="E202" s="805"/>
    </row>
    <row r="203" spans="1:7" s="8" customFormat="1" ht="14.25">
      <c r="A203" s="127">
        <v>143</v>
      </c>
      <c r="B203" s="399" t="s">
        <v>849</v>
      </c>
      <c r="C203" s="400" t="s">
        <v>0</v>
      </c>
      <c r="D203" s="108"/>
      <c r="E203" s="108"/>
    </row>
    <row r="204" spans="1:7" s="806" customFormat="1" ht="14.25">
      <c r="A204" s="802">
        <v>144</v>
      </c>
      <c r="B204" s="803" t="s">
        <v>850</v>
      </c>
      <c r="C204" s="804" t="s">
        <v>0</v>
      </c>
      <c r="D204" s="805"/>
      <c r="E204" s="805"/>
      <c r="F204" s="1947"/>
      <c r="G204" s="1947"/>
    </row>
    <row r="205" spans="1:7" s="8" customFormat="1" ht="14.25">
      <c r="A205" s="127">
        <v>145</v>
      </c>
      <c r="B205" s="399" t="s">
        <v>9</v>
      </c>
      <c r="C205" s="400" t="s">
        <v>0</v>
      </c>
      <c r="D205" s="108"/>
      <c r="E205" s="108"/>
      <c r="F205" s="1947"/>
      <c r="G205" s="1947"/>
    </row>
    <row r="206" spans="1:7" s="806" customFormat="1" ht="14.25">
      <c r="A206" s="802">
        <v>146</v>
      </c>
      <c r="B206" s="803" t="s">
        <v>452</v>
      </c>
      <c r="C206" s="804" t="s">
        <v>0</v>
      </c>
      <c r="D206" s="805"/>
      <c r="E206" s="805"/>
    </row>
    <row r="207" spans="1:7" s="8" customFormat="1" ht="14.25">
      <c r="A207" s="127">
        <v>147</v>
      </c>
      <c r="B207" s="399" t="s">
        <v>452</v>
      </c>
      <c r="C207" s="400" t="s">
        <v>0</v>
      </c>
      <c r="D207" s="108"/>
      <c r="E207" s="108"/>
    </row>
    <row r="208" spans="1:7" s="806" customFormat="1" ht="14.25">
      <c r="A208" s="802">
        <v>148</v>
      </c>
      <c r="B208" s="803" t="s">
        <v>10</v>
      </c>
      <c r="C208" s="804" t="s">
        <v>0</v>
      </c>
      <c r="D208" s="805"/>
      <c r="E208" s="805"/>
    </row>
    <row r="209" spans="1:6" s="8" customFormat="1" ht="14.25">
      <c r="A209" s="127">
        <v>149</v>
      </c>
      <c r="B209" s="399" t="s">
        <v>851</v>
      </c>
      <c r="C209" s="400" t="s">
        <v>0</v>
      </c>
      <c r="D209" s="108"/>
      <c r="E209" s="108"/>
    </row>
    <row r="210" spans="1:6" s="806" customFormat="1" ht="14.25">
      <c r="A210" s="802">
        <v>150</v>
      </c>
      <c r="B210" s="803" t="s">
        <v>852</v>
      </c>
      <c r="C210" s="804" t="s">
        <v>0</v>
      </c>
      <c r="D210" s="805"/>
      <c r="E210" s="805"/>
    </row>
    <row r="211" spans="1:6" s="8" customFormat="1" ht="14.25">
      <c r="A211" s="127">
        <v>151</v>
      </c>
      <c r="B211" s="399" t="s">
        <v>853</v>
      </c>
      <c r="C211" s="400" t="s">
        <v>0</v>
      </c>
      <c r="D211" s="108"/>
      <c r="E211" s="108"/>
    </row>
    <row r="212" spans="1:6" s="806" customFormat="1" ht="14.25">
      <c r="A212" s="802">
        <v>152</v>
      </c>
      <c r="B212" s="803" t="s">
        <v>854</v>
      </c>
      <c r="C212" s="804" t="s">
        <v>0</v>
      </c>
      <c r="D212" s="805"/>
      <c r="E212" s="805"/>
    </row>
    <row r="213" spans="1:6" s="8" customFormat="1" ht="14.25">
      <c r="A213" s="127">
        <v>153</v>
      </c>
      <c r="B213" s="163" t="s">
        <v>425</v>
      </c>
      <c r="C213" s="400" t="s">
        <v>0</v>
      </c>
      <c r="D213" s="108"/>
      <c r="E213" s="108"/>
    </row>
    <row r="214" spans="1:6" s="806" customFormat="1" ht="14.25">
      <c r="A214" s="802">
        <v>154</v>
      </c>
      <c r="B214" s="809" t="s">
        <v>1084</v>
      </c>
      <c r="C214" s="804" t="s">
        <v>0</v>
      </c>
      <c r="D214" s="805"/>
      <c r="E214" s="805"/>
    </row>
    <row r="215" spans="1:6" s="806" customFormat="1" ht="14.25">
      <c r="A215" s="802"/>
      <c r="B215" s="809" t="s">
        <v>1572</v>
      </c>
      <c r="C215" s="804" t="s">
        <v>0</v>
      </c>
      <c r="D215" s="805"/>
      <c r="E215" s="805"/>
    </row>
    <row r="216" spans="1:6" s="8" customFormat="1" ht="14.25">
      <c r="A216" s="127">
        <v>155</v>
      </c>
      <c r="B216" s="399" t="s">
        <v>855</v>
      </c>
      <c r="C216" s="400" t="s">
        <v>0</v>
      </c>
      <c r="D216" s="108"/>
      <c r="E216" s="108"/>
    </row>
    <row r="217" spans="1:6" s="806" customFormat="1" ht="14.25">
      <c r="A217" s="802">
        <v>156</v>
      </c>
      <c r="B217" s="803" t="s">
        <v>856</v>
      </c>
      <c r="C217" s="804" t="s">
        <v>0</v>
      </c>
      <c r="D217" s="805"/>
      <c r="E217" s="805"/>
    </row>
    <row r="218" spans="1:6" s="8" customFormat="1" ht="14.25">
      <c r="A218" s="127">
        <v>157</v>
      </c>
      <c r="B218" s="399" t="s">
        <v>857</v>
      </c>
      <c r="C218" s="400" t="s">
        <v>0</v>
      </c>
      <c r="D218" s="108"/>
      <c r="E218" s="108"/>
    </row>
    <row r="219" spans="1:6" s="806" customFormat="1" ht="14.25">
      <c r="A219" s="802">
        <v>158</v>
      </c>
      <c r="B219" s="803" t="s">
        <v>858</v>
      </c>
      <c r="C219" s="804" t="s">
        <v>0</v>
      </c>
      <c r="D219" s="805"/>
      <c r="E219" s="805"/>
    </row>
    <row r="220" spans="1:6" s="8" customFormat="1" ht="14.25">
      <c r="A220" s="127">
        <v>159</v>
      </c>
      <c r="B220" s="399" t="s">
        <v>11</v>
      </c>
      <c r="C220" s="400" t="s">
        <v>0</v>
      </c>
      <c r="D220" s="108"/>
      <c r="E220" s="108"/>
    </row>
    <row r="221" spans="1:6" s="806" customFormat="1" ht="14.25">
      <c r="A221" s="802">
        <v>160</v>
      </c>
      <c r="B221" s="809" t="s">
        <v>848</v>
      </c>
      <c r="C221" s="804" t="s">
        <v>0</v>
      </c>
      <c r="D221" s="805"/>
      <c r="E221" s="805"/>
    </row>
    <row r="222" spans="1:6" s="8" customFormat="1" ht="14.25">
      <c r="A222" s="127">
        <v>161</v>
      </c>
      <c r="B222" s="399" t="s">
        <v>859</v>
      </c>
      <c r="C222" s="400" t="s">
        <v>0</v>
      </c>
      <c r="D222" s="108"/>
      <c r="E222" s="108"/>
    </row>
    <row r="223" spans="1:6" s="806" customFormat="1" ht="14.25">
      <c r="A223" s="802">
        <v>162</v>
      </c>
      <c r="B223" s="803" t="s">
        <v>860</v>
      </c>
      <c r="C223" s="804" t="s">
        <v>0</v>
      </c>
      <c r="D223" s="805"/>
      <c r="E223" s="805"/>
    </row>
    <row r="224" spans="1:6" s="159" customFormat="1" ht="14.25">
      <c r="A224" s="127">
        <v>163</v>
      </c>
      <c r="B224" s="399" t="s">
        <v>861</v>
      </c>
      <c r="C224" s="400" t="s">
        <v>0</v>
      </c>
      <c r="D224" s="108"/>
      <c r="E224" s="108"/>
      <c r="F224" s="8"/>
    </row>
    <row r="225" spans="1:6" s="806" customFormat="1" ht="14.25">
      <c r="A225" s="802">
        <v>164</v>
      </c>
      <c r="B225" s="803" t="s">
        <v>862</v>
      </c>
      <c r="C225" s="804" t="s">
        <v>0</v>
      </c>
      <c r="D225" s="805"/>
      <c r="E225" s="805"/>
    </row>
    <row r="226" spans="1:6" s="159" customFormat="1" ht="14.25">
      <c r="A226" s="127">
        <v>165</v>
      </c>
      <c r="B226" s="399" t="s">
        <v>863</v>
      </c>
      <c r="C226" s="400" t="s">
        <v>0</v>
      </c>
      <c r="D226" s="108"/>
      <c r="E226" s="108"/>
      <c r="F226" s="8"/>
    </row>
    <row r="227" spans="1:6" s="806" customFormat="1" ht="14.25">
      <c r="A227" s="802">
        <v>166</v>
      </c>
      <c r="B227" s="803" t="s">
        <v>864</v>
      </c>
      <c r="C227" s="804" t="s">
        <v>0</v>
      </c>
      <c r="D227" s="805"/>
      <c r="E227" s="805"/>
    </row>
    <row r="228" spans="1:6" s="159" customFormat="1" ht="14.25">
      <c r="A228" s="127">
        <v>167</v>
      </c>
      <c r="B228" s="399" t="s">
        <v>865</v>
      </c>
      <c r="C228" s="400" t="s">
        <v>0</v>
      </c>
      <c r="D228" s="108"/>
      <c r="E228" s="108"/>
      <c r="F228" s="8"/>
    </row>
    <row r="229" spans="1:6" s="806" customFormat="1" ht="14.25">
      <c r="A229" s="802">
        <v>168</v>
      </c>
      <c r="B229" s="803" t="s">
        <v>866</v>
      </c>
      <c r="C229" s="804" t="s">
        <v>0</v>
      </c>
      <c r="D229" s="805"/>
      <c r="E229" s="805"/>
    </row>
    <row r="230" spans="1:6" s="159" customFormat="1" ht="14.25">
      <c r="A230" s="127">
        <v>169</v>
      </c>
      <c r="B230" s="399" t="s">
        <v>867</v>
      </c>
      <c r="C230" s="400" t="s">
        <v>0</v>
      </c>
      <c r="D230" s="108"/>
      <c r="E230" s="108"/>
      <c r="F230" s="8"/>
    </row>
    <row r="231" spans="1:6" s="806" customFormat="1" ht="14.25">
      <c r="A231" s="802">
        <v>170</v>
      </c>
      <c r="B231" s="812" t="s">
        <v>1099</v>
      </c>
      <c r="C231" s="804" t="s">
        <v>0</v>
      </c>
      <c r="D231" s="805"/>
      <c r="E231" s="805"/>
    </row>
    <row r="232" spans="1:6" s="159" customFormat="1" ht="14.25">
      <c r="A232" s="127">
        <v>171</v>
      </c>
      <c r="B232" s="402" t="s">
        <v>1100</v>
      </c>
      <c r="C232" s="400" t="s">
        <v>0</v>
      </c>
      <c r="D232" s="108"/>
      <c r="E232" s="108"/>
      <c r="F232" s="8"/>
    </row>
    <row r="233" spans="1:6" s="806" customFormat="1" ht="14.25">
      <c r="A233" s="802">
        <v>172</v>
      </c>
      <c r="B233" s="812" t="s">
        <v>1101</v>
      </c>
      <c r="C233" s="804" t="s">
        <v>0</v>
      </c>
      <c r="D233" s="805"/>
      <c r="E233" s="805"/>
    </row>
    <row r="234" spans="1:6" s="159" customFormat="1" ht="14.25">
      <c r="A234" s="127">
        <v>173</v>
      </c>
      <c r="B234" s="402" t="s">
        <v>1102</v>
      </c>
      <c r="C234" s="400" t="s">
        <v>0</v>
      </c>
      <c r="D234" s="108"/>
      <c r="E234" s="108"/>
      <c r="F234" s="8"/>
    </row>
    <row r="235" spans="1:6" s="806" customFormat="1" ht="14.25">
      <c r="A235" s="802">
        <v>174</v>
      </c>
      <c r="B235" s="812" t="s">
        <v>1103</v>
      </c>
      <c r="C235" s="804" t="s">
        <v>0</v>
      </c>
      <c r="D235" s="805"/>
      <c r="E235" s="805"/>
    </row>
    <row r="236" spans="1:6" s="159" customFormat="1" ht="14.25">
      <c r="A236" s="127">
        <v>175</v>
      </c>
      <c r="B236" s="402" t="s">
        <v>1104</v>
      </c>
      <c r="C236" s="400" t="s">
        <v>0</v>
      </c>
      <c r="D236" s="108"/>
      <c r="E236" s="108"/>
      <c r="F236" s="8"/>
    </row>
    <row r="237" spans="1:6" s="806" customFormat="1" ht="14.25">
      <c r="A237" s="802">
        <v>176</v>
      </c>
      <c r="B237" s="812" t="s">
        <v>1105</v>
      </c>
      <c r="C237" s="804" t="s">
        <v>0</v>
      </c>
      <c r="D237" s="805"/>
      <c r="E237" s="805"/>
    </row>
    <row r="238" spans="1:6" s="159" customFormat="1" ht="14.25">
      <c r="A238" s="127">
        <v>177</v>
      </c>
      <c r="B238" s="402" t="s">
        <v>1106</v>
      </c>
      <c r="C238" s="400" t="s">
        <v>0</v>
      </c>
      <c r="D238" s="108"/>
      <c r="E238" s="108"/>
      <c r="F238" s="8"/>
    </row>
    <row r="239" spans="1:6" s="806" customFormat="1" ht="14.25">
      <c r="A239" s="802">
        <v>178</v>
      </c>
      <c r="B239" s="812" t="s">
        <v>1107</v>
      </c>
      <c r="C239" s="804" t="s">
        <v>0</v>
      </c>
      <c r="D239" s="805"/>
      <c r="E239" s="805"/>
    </row>
    <row r="240" spans="1:6" s="159" customFormat="1" ht="14.25">
      <c r="A240" s="127">
        <v>179</v>
      </c>
      <c r="B240" s="399" t="s">
        <v>877</v>
      </c>
      <c r="C240" s="400" t="s">
        <v>0</v>
      </c>
      <c r="D240" s="108"/>
      <c r="E240" s="108"/>
      <c r="F240" s="8"/>
    </row>
    <row r="241" spans="1:6" s="806" customFormat="1" ht="14.25">
      <c r="A241" s="802">
        <v>180</v>
      </c>
      <c r="B241" s="803" t="s">
        <v>878</v>
      </c>
      <c r="C241" s="804" t="s">
        <v>0</v>
      </c>
      <c r="D241" s="805"/>
      <c r="E241" s="805"/>
    </row>
    <row r="242" spans="1:6" s="159" customFormat="1" ht="14.25">
      <c r="A242" s="127">
        <v>181</v>
      </c>
      <c r="B242" s="399" t="s">
        <v>287</v>
      </c>
      <c r="C242" s="400" t="s">
        <v>0</v>
      </c>
      <c r="D242" s="108"/>
      <c r="E242" s="108"/>
      <c r="F242" s="8"/>
    </row>
    <row r="243" spans="1:6" s="806" customFormat="1" ht="14.25">
      <c r="A243" s="802">
        <v>182</v>
      </c>
      <c r="B243" s="803" t="s">
        <v>879</v>
      </c>
      <c r="C243" s="804" t="s">
        <v>0</v>
      </c>
      <c r="D243" s="805"/>
      <c r="E243" s="805"/>
    </row>
    <row r="244" spans="1:6" s="159" customFormat="1" ht="14.25">
      <c r="A244" s="127">
        <v>183</v>
      </c>
      <c r="B244" s="399" t="s">
        <v>880</v>
      </c>
      <c r="C244" s="400" t="s">
        <v>0</v>
      </c>
      <c r="D244" s="108"/>
      <c r="E244" s="108"/>
      <c r="F244" s="8"/>
    </row>
    <row r="245" spans="1:6" s="806" customFormat="1" ht="14.25">
      <c r="A245" s="802">
        <v>184</v>
      </c>
      <c r="B245" s="803" t="s">
        <v>881</v>
      </c>
      <c r="C245" s="804" t="s">
        <v>0</v>
      </c>
      <c r="D245" s="805"/>
      <c r="E245" s="805"/>
    </row>
    <row r="246" spans="1:6" s="159" customFormat="1" ht="14.25">
      <c r="A246" s="127">
        <v>185</v>
      </c>
      <c r="B246" s="399" t="s">
        <v>882</v>
      </c>
      <c r="C246" s="400" t="s">
        <v>0</v>
      </c>
      <c r="D246" s="108"/>
      <c r="E246" s="108"/>
      <c r="F246" s="8"/>
    </row>
    <row r="247" spans="1:6" s="806" customFormat="1" ht="14.25">
      <c r="A247" s="802">
        <v>186</v>
      </c>
      <c r="B247" s="812" t="s">
        <v>1108</v>
      </c>
      <c r="C247" s="804" t="s">
        <v>0</v>
      </c>
      <c r="D247" s="805"/>
      <c r="E247" s="805"/>
    </row>
    <row r="248" spans="1:6" s="159" customFormat="1" ht="14.25">
      <c r="A248" s="127">
        <v>187</v>
      </c>
      <c r="B248" s="399" t="s">
        <v>884</v>
      </c>
      <c r="C248" s="400" t="s">
        <v>0</v>
      </c>
      <c r="D248" s="108"/>
      <c r="E248" s="108"/>
      <c r="F248" s="8"/>
    </row>
    <row r="249" spans="1:6" s="806" customFormat="1" ht="14.25">
      <c r="A249" s="802">
        <v>188</v>
      </c>
      <c r="B249" s="810" t="s">
        <v>410</v>
      </c>
      <c r="C249" s="804" t="s">
        <v>0</v>
      </c>
      <c r="D249" s="805"/>
      <c r="E249" s="805"/>
    </row>
    <row r="250" spans="1:6" s="159" customFormat="1" ht="14.25">
      <c r="A250" s="127">
        <v>189</v>
      </c>
      <c r="B250" s="399" t="s">
        <v>885</v>
      </c>
      <c r="C250" s="400" t="s">
        <v>0</v>
      </c>
      <c r="D250" s="108"/>
      <c r="E250" s="108"/>
      <c r="F250" s="8"/>
    </row>
    <row r="251" spans="1:6" s="806" customFormat="1" ht="14.25">
      <c r="A251" s="802">
        <v>190</v>
      </c>
      <c r="B251" s="803" t="s">
        <v>886</v>
      </c>
      <c r="C251" s="804" t="s">
        <v>0</v>
      </c>
      <c r="D251" s="805"/>
      <c r="E251" s="805"/>
    </row>
    <row r="252" spans="1:6" s="159" customFormat="1" ht="14.25">
      <c r="A252" s="127">
        <v>191</v>
      </c>
      <c r="B252" s="399" t="s">
        <v>887</v>
      </c>
      <c r="C252" s="400" t="s">
        <v>0</v>
      </c>
      <c r="D252" s="108"/>
      <c r="E252" s="108"/>
      <c r="F252" s="8"/>
    </row>
    <row r="253" spans="1:6" s="806" customFormat="1" ht="14.25">
      <c r="A253" s="802">
        <v>192</v>
      </c>
      <c r="B253" s="803" t="s">
        <v>888</v>
      </c>
      <c r="C253" s="804" t="s">
        <v>0</v>
      </c>
      <c r="D253" s="805"/>
      <c r="E253" s="805"/>
    </row>
    <row r="254" spans="1:6" s="159" customFormat="1" ht="14.25">
      <c r="A254" s="127">
        <v>193</v>
      </c>
      <c r="B254" s="399" t="s">
        <v>889</v>
      </c>
      <c r="C254" s="400" t="s">
        <v>0</v>
      </c>
      <c r="D254" s="108"/>
      <c r="E254" s="108"/>
      <c r="F254" s="8"/>
    </row>
    <row r="255" spans="1:6" s="806" customFormat="1" ht="14.25">
      <c r="A255" s="802">
        <v>194</v>
      </c>
      <c r="B255" s="803" t="s">
        <v>890</v>
      </c>
      <c r="C255" s="804" t="s">
        <v>0</v>
      </c>
      <c r="D255" s="805"/>
      <c r="E255" s="805"/>
    </row>
    <row r="256" spans="1:6" s="159" customFormat="1" ht="14.25">
      <c r="A256" s="127">
        <v>195</v>
      </c>
      <c r="B256" s="399" t="s">
        <v>891</v>
      </c>
      <c r="C256" s="400" t="s">
        <v>0</v>
      </c>
      <c r="D256" s="108"/>
      <c r="E256" s="108"/>
      <c r="F256" s="8"/>
    </row>
    <row r="257" spans="1:6" s="806" customFormat="1" ht="14.25">
      <c r="A257" s="802">
        <v>196</v>
      </c>
      <c r="B257" s="803" t="s">
        <v>899</v>
      </c>
      <c r="C257" s="804" t="s">
        <v>0</v>
      </c>
      <c r="D257" s="805"/>
      <c r="E257" s="805"/>
    </row>
    <row r="258" spans="1:6" s="159" customFormat="1" ht="14.25">
      <c r="A258" s="127">
        <v>197</v>
      </c>
      <c r="B258" s="399" t="s">
        <v>902</v>
      </c>
      <c r="C258" s="400" t="s">
        <v>0</v>
      </c>
      <c r="D258" s="108"/>
      <c r="E258" s="108"/>
      <c r="F258" s="8"/>
    </row>
    <row r="259" spans="1:6" s="806" customFormat="1" ht="14.25">
      <c r="A259" s="802">
        <v>198</v>
      </c>
      <c r="B259" s="803" t="s">
        <v>903</v>
      </c>
      <c r="C259" s="804" t="s">
        <v>0</v>
      </c>
      <c r="D259" s="805"/>
      <c r="E259" s="805"/>
    </row>
    <row r="260" spans="1:6" s="159" customFormat="1" ht="14.25">
      <c r="A260" s="127">
        <v>199</v>
      </c>
      <c r="B260" s="399" t="s">
        <v>905</v>
      </c>
      <c r="C260" s="400" t="s">
        <v>0</v>
      </c>
      <c r="D260" s="108"/>
      <c r="E260" s="108"/>
      <c r="F260" s="8"/>
    </row>
    <row r="261" spans="1:6" s="806" customFormat="1" ht="14.25">
      <c r="A261" s="802">
        <v>200</v>
      </c>
      <c r="B261" s="803" t="s">
        <v>1720</v>
      </c>
      <c r="C261" s="804" t="s">
        <v>0</v>
      </c>
      <c r="D261" s="805"/>
      <c r="E261" s="805"/>
    </row>
    <row r="262" spans="1:6" s="159" customFormat="1" ht="14.25">
      <c r="A262" s="127">
        <v>201</v>
      </c>
      <c r="B262" s="399" t="s">
        <v>897</v>
      </c>
      <c r="C262" s="400" t="s">
        <v>0</v>
      </c>
      <c r="D262" s="108"/>
      <c r="E262" s="108"/>
      <c r="F262" s="8"/>
    </row>
    <row r="263" spans="1:6" s="806" customFormat="1" ht="14.25">
      <c r="A263" s="802">
        <v>202</v>
      </c>
      <c r="B263" s="803" t="s">
        <v>898</v>
      </c>
      <c r="C263" s="804" t="s">
        <v>0</v>
      </c>
      <c r="D263" s="805"/>
      <c r="E263" s="805"/>
    </row>
    <row r="264" spans="1:6" s="159" customFormat="1" ht="14.25">
      <c r="A264" s="127">
        <v>203</v>
      </c>
      <c r="B264" s="399" t="s">
        <v>1722</v>
      </c>
      <c r="C264" s="400" t="s">
        <v>0</v>
      </c>
      <c r="D264" s="108"/>
      <c r="E264" s="108"/>
      <c r="F264" s="8"/>
    </row>
    <row r="265" spans="1:6" s="806" customFormat="1" ht="14.25">
      <c r="A265" s="802">
        <v>204</v>
      </c>
      <c r="B265" s="803" t="s">
        <v>900</v>
      </c>
      <c r="C265" s="804" t="s">
        <v>0</v>
      </c>
      <c r="D265" s="805"/>
      <c r="E265" s="805"/>
    </row>
    <row r="266" spans="1:6" s="159" customFormat="1" ht="14.25">
      <c r="A266" s="127">
        <v>205</v>
      </c>
      <c r="B266" s="399" t="s">
        <v>901</v>
      </c>
      <c r="C266" s="400" t="s">
        <v>0</v>
      </c>
      <c r="D266" s="108"/>
      <c r="E266" s="108"/>
      <c r="F266" s="8"/>
    </row>
    <row r="267" spans="1:6" s="806" customFormat="1" ht="14.25">
      <c r="A267" s="802">
        <v>206</v>
      </c>
      <c r="B267" s="803" t="s">
        <v>1723</v>
      </c>
      <c r="C267" s="804" t="s">
        <v>0</v>
      </c>
      <c r="D267" s="805"/>
      <c r="E267" s="805"/>
    </row>
    <row r="268" spans="1:6" s="159" customFormat="1" ht="14.25">
      <c r="A268" s="127">
        <v>207</v>
      </c>
      <c r="B268" s="399" t="s">
        <v>1724</v>
      </c>
      <c r="C268" s="400" t="s">
        <v>0</v>
      </c>
      <c r="D268" s="108"/>
      <c r="E268" s="108"/>
      <c r="F268" s="8"/>
    </row>
    <row r="269" spans="1:6" s="806" customFormat="1" ht="14.25">
      <c r="A269" s="802">
        <v>208</v>
      </c>
      <c r="B269" s="803" t="s">
        <v>904</v>
      </c>
      <c r="C269" s="804" t="s">
        <v>0</v>
      </c>
      <c r="D269" s="805"/>
      <c r="E269" s="805"/>
    </row>
    <row r="270" spans="1:6" s="159" customFormat="1">
      <c r="A270" s="127">
        <v>209</v>
      </c>
      <c r="B270" s="210" t="s">
        <v>1481</v>
      </c>
      <c r="C270" s="400" t="s">
        <v>0</v>
      </c>
      <c r="D270" s="108"/>
      <c r="E270" s="108"/>
      <c r="F270" s="8"/>
    </row>
    <row r="271" spans="1:6" s="806" customFormat="1" ht="14.25">
      <c r="A271" s="802">
        <v>210</v>
      </c>
      <c r="B271" s="803" t="s">
        <v>905</v>
      </c>
      <c r="C271" s="804" t="s">
        <v>0</v>
      </c>
      <c r="D271" s="805"/>
      <c r="E271" s="805"/>
    </row>
    <row r="272" spans="1:6" s="159" customFormat="1" ht="14.25">
      <c r="A272" s="127">
        <v>211</v>
      </c>
      <c r="B272" s="399" t="s">
        <v>906</v>
      </c>
      <c r="C272" s="400" t="s">
        <v>0</v>
      </c>
      <c r="D272" s="108"/>
      <c r="E272" s="108"/>
      <c r="F272" s="8"/>
    </row>
    <row r="273" spans="1:6" s="806" customFormat="1" ht="14.25">
      <c r="A273" s="802">
        <v>212</v>
      </c>
      <c r="B273" s="803" t="s">
        <v>907</v>
      </c>
      <c r="C273" s="804" t="s">
        <v>0</v>
      </c>
      <c r="D273" s="805"/>
      <c r="E273" s="805"/>
    </row>
    <row r="274" spans="1:6" s="159" customFormat="1" ht="14.25">
      <c r="A274" s="127">
        <v>213</v>
      </c>
      <c r="B274" s="399" t="s">
        <v>908</v>
      </c>
      <c r="C274" s="400" t="s">
        <v>0</v>
      </c>
      <c r="D274" s="108"/>
      <c r="E274" s="108"/>
      <c r="F274" s="8"/>
    </row>
    <row r="275" spans="1:6" s="806" customFormat="1" ht="14.25">
      <c r="A275" s="802">
        <v>214</v>
      </c>
      <c r="B275" s="803" t="s">
        <v>999</v>
      </c>
      <c r="C275" s="804" t="s">
        <v>0</v>
      </c>
      <c r="D275" s="805"/>
      <c r="E275" s="805"/>
    </row>
    <row r="276" spans="1:6" s="159" customFormat="1" ht="14.25">
      <c r="A276" s="127">
        <v>215</v>
      </c>
      <c r="B276" s="399" t="s">
        <v>998</v>
      </c>
      <c r="C276" s="400" t="s">
        <v>0</v>
      </c>
      <c r="D276" s="108"/>
      <c r="E276" s="108"/>
      <c r="F276" s="8"/>
    </row>
    <row r="277" spans="1:6" s="806" customFormat="1" ht="14.25">
      <c r="A277" s="802">
        <v>216</v>
      </c>
      <c r="B277" s="803" t="s">
        <v>909</v>
      </c>
      <c r="C277" s="804" t="s">
        <v>0</v>
      </c>
      <c r="D277" s="805"/>
      <c r="E277" s="805"/>
    </row>
    <row r="278" spans="1:6" s="159" customFormat="1" ht="14.25">
      <c r="A278" s="127">
        <v>217</v>
      </c>
      <c r="B278" s="399" t="s">
        <v>1060</v>
      </c>
      <c r="C278" s="400" t="s">
        <v>386</v>
      </c>
      <c r="D278" s="108"/>
      <c r="E278" s="108"/>
      <c r="F278" s="8"/>
    </row>
    <row r="279" spans="1:6" s="806" customFormat="1" ht="14.25">
      <c r="A279" s="802">
        <v>218</v>
      </c>
      <c r="B279" s="803" t="s">
        <v>995</v>
      </c>
      <c r="C279" s="804" t="s">
        <v>4</v>
      </c>
      <c r="D279" s="805"/>
      <c r="E279" s="805"/>
    </row>
    <row r="280" spans="1:6" s="159" customFormat="1" ht="14.25">
      <c r="A280" s="127">
        <v>219</v>
      </c>
      <c r="B280" s="399" t="s">
        <v>910</v>
      </c>
      <c r="C280" s="400" t="s">
        <v>0</v>
      </c>
      <c r="D280" s="108"/>
      <c r="E280" s="108"/>
      <c r="F280" s="8"/>
    </row>
    <row r="281" spans="1:6" s="806" customFormat="1" ht="14.25">
      <c r="A281" s="802">
        <v>220</v>
      </c>
      <c r="B281" s="803" t="s">
        <v>911</v>
      </c>
      <c r="C281" s="804" t="s">
        <v>0</v>
      </c>
      <c r="D281" s="805"/>
      <c r="E281" s="805"/>
    </row>
    <row r="282" spans="1:6" s="159" customFormat="1" ht="14.25">
      <c r="A282" s="127">
        <v>221</v>
      </c>
      <c r="B282" s="399" t="s">
        <v>912</v>
      </c>
      <c r="C282" s="400" t="s">
        <v>0</v>
      </c>
      <c r="D282" s="108"/>
      <c r="E282" s="108"/>
      <c r="F282" s="8"/>
    </row>
    <row r="283" spans="1:6" s="806" customFormat="1" ht="14.25">
      <c r="A283" s="802">
        <v>222</v>
      </c>
      <c r="B283" s="803" t="s">
        <v>1081</v>
      </c>
      <c r="C283" s="804" t="s">
        <v>386</v>
      </c>
      <c r="D283" s="805"/>
      <c r="E283" s="805"/>
    </row>
    <row r="284" spans="1:6" s="806" customFormat="1" ht="14.25">
      <c r="A284" s="1357"/>
      <c r="B284" s="1358" t="s">
        <v>1732</v>
      </c>
      <c r="C284" s="1359"/>
      <c r="D284" s="1360"/>
      <c r="E284" s="1360"/>
    </row>
    <row r="285" spans="1:6" s="159" customFormat="1" ht="14.25">
      <c r="A285" s="127">
        <v>223</v>
      </c>
      <c r="B285" s="399" t="s">
        <v>913</v>
      </c>
      <c r="C285" s="400" t="s">
        <v>0</v>
      </c>
      <c r="D285" s="108"/>
      <c r="E285" s="108"/>
      <c r="F285" s="8"/>
    </row>
    <row r="286" spans="1:6" s="806" customFormat="1" ht="14.25">
      <c r="A286" s="802">
        <v>224</v>
      </c>
      <c r="B286" s="803" t="s">
        <v>914</v>
      </c>
      <c r="C286" s="804" t="s">
        <v>0</v>
      </c>
      <c r="D286" s="805"/>
      <c r="E286" s="805"/>
    </row>
    <row r="287" spans="1:6" s="159" customFormat="1" ht="14.25">
      <c r="A287" s="127">
        <v>225</v>
      </c>
      <c r="B287" s="399" t="s">
        <v>915</v>
      </c>
      <c r="C287" s="400" t="s">
        <v>0</v>
      </c>
      <c r="D287" s="108"/>
      <c r="E287" s="108"/>
      <c r="F287" s="8"/>
    </row>
    <row r="288" spans="1:6" s="806" customFormat="1" ht="14.25">
      <c r="A288" s="802">
        <v>226</v>
      </c>
      <c r="B288" s="803" t="s">
        <v>916</v>
      </c>
      <c r="C288" s="804" t="s">
        <v>0</v>
      </c>
      <c r="D288" s="805"/>
      <c r="E288" s="805"/>
    </row>
    <row r="289" spans="1:6" s="159" customFormat="1" ht="14.25">
      <c r="A289" s="127">
        <v>227</v>
      </c>
      <c r="B289" s="399" t="s">
        <v>917</v>
      </c>
      <c r="C289" s="400" t="s">
        <v>0</v>
      </c>
      <c r="D289" s="108"/>
      <c r="E289" s="108"/>
      <c r="F289" s="8"/>
    </row>
    <row r="290" spans="1:6" s="806" customFormat="1" ht="14.25">
      <c r="A290" s="802">
        <v>228</v>
      </c>
      <c r="B290" s="803" t="s">
        <v>1090</v>
      </c>
      <c r="C290" s="804" t="s">
        <v>386</v>
      </c>
      <c r="D290" s="805"/>
      <c r="E290" s="805"/>
    </row>
    <row r="291" spans="1:6" s="159" customFormat="1" ht="14.25">
      <c r="A291" s="127">
        <v>229</v>
      </c>
      <c r="B291" s="399" t="s">
        <v>13</v>
      </c>
      <c r="C291" s="400" t="s">
        <v>0</v>
      </c>
      <c r="D291" s="108"/>
      <c r="E291" s="108"/>
      <c r="F291" s="8"/>
    </row>
    <row r="292" spans="1:6" s="806" customFormat="1" ht="14.25">
      <c r="A292" s="802">
        <v>230</v>
      </c>
      <c r="B292" s="803" t="s">
        <v>996</v>
      </c>
      <c r="C292" s="804" t="s">
        <v>4</v>
      </c>
      <c r="D292" s="805"/>
      <c r="E292" s="805"/>
    </row>
    <row r="293" spans="1:6" s="159" customFormat="1" ht="14.25">
      <c r="A293" s="127">
        <v>231</v>
      </c>
      <c r="B293" s="399" t="s">
        <v>918</v>
      </c>
      <c r="C293" s="400" t="s">
        <v>0</v>
      </c>
      <c r="D293" s="108"/>
      <c r="E293" s="108"/>
      <c r="F293" s="8"/>
    </row>
    <row r="294" spans="1:6" s="806" customFormat="1" ht="14.25">
      <c r="A294" s="802">
        <v>232</v>
      </c>
      <c r="B294" s="803" t="s">
        <v>1001</v>
      </c>
      <c r="C294" s="804" t="s">
        <v>0</v>
      </c>
      <c r="D294" s="805"/>
      <c r="E294" s="805"/>
    </row>
    <row r="295" spans="1:6" s="159" customFormat="1">
      <c r="A295" s="127">
        <v>233</v>
      </c>
      <c r="B295" s="5" t="s">
        <v>1032</v>
      </c>
      <c r="C295" s="400" t="s">
        <v>0</v>
      </c>
      <c r="D295" s="108"/>
      <c r="E295" s="108"/>
      <c r="F295" s="8"/>
    </row>
    <row r="296" spans="1:6" s="806" customFormat="1">
      <c r="A296" s="802">
        <v>234</v>
      </c>
      <c r="B296" s="807" t="s">
        <v>1033</v>
      </c>
      <c r="C296" s="804" t="s">
        <v>0</v>
      </c>
      <c r="D296" s="805"/>
      <c r="E296" s="805"/>
    </row>
    <row r="297" spans="1:6" s="159" customFormat="1">
      <c r="A297" s="127">
        <v>235</v>
      </c>
      <c r="B297" s="5" t="s">
        <v>1034</v>
      </c>
      <c r="C297" s="400" t="s">
        <v>0</v>
      </c>
      <c r="D297" s="108"/>
      <c r="E297" s="108"/>
      <c r="F297" s="8"/>
    </row>
    <row r="298" spans="1:6" s="806" customFormat="1">
      <c r="A298" s="802">
        <v>236</v>
      </c>
      <c r="B298" s="807" t="s">
        <v>1035</v>
      </c>
      <c r="C298" s="804" t="s">
        <v>0</v>
      </c>
      <c r="D298" s="805"/>
      <c r="E298" s="805"/>
    </row>
    <row r="299" spans="1:6" s="159" customFormat="1">
      <c r="A299" s="127">
        <v>237</v>
      </c>
      <c r="B299" s="5" t="s">
        <v>1036</v>
      </c>
      <c r="C299" s="400" t="s">
        <v>0</v>
      </c>
      <c r="D299" s="108"/>
      <c r="E299" s="108"/>
      <c r="F299" s="8"/>
    </row>
    <row r="300" spans="1:6" s="806" customFormat="1">
      <c r="A300" s="802">
        <v>238</v>
      </c>
      <c r="B300" s="807" t="s">
        <v>1037</v>
      </c>
      <c r="C300" s="804" t="s">
        <v>0</v>
      </c>
      <c r="D300" s="805"/>
      <c r="E300" s="805"/>
    </row>
    <row r="301" spans="1:6" s="159" customFormat="1">
      <c r="A301" s="127">
        <v>239</v>
      </c>
      <c r="B301" s="5" t="s">
        <v>1038</v>
      </c>
      <c r="C301" s="400" t="s">
        <v>0</v>
      </c>
      <c r="D301" s="108"/>
      <c r="E301" s="108"/>
      <c r="F301" s="8"/>
    </row>
    <row r="302" spans="1:6" s="806" customFormat="1" ht="14.25">
      <c r="A302" s="802">
        <v>240</v>
      </c>
      <c r="B302" s="803" t="s">
        <v>15</v>
      </c>
      <c r="C302" s="804" t="s">
        <v>0</v>
      </c>
      <c r="D302" s="805"/>
      <c r="E302" s="805"/>
    </row>
    <row r="303" spans="1:6" s="159" customFormat="1" ht="14.25">
      <c r="A303" s="127">
        <v>241</v>
      </c>
      <c r="B303" s="399" t="s">
        <v>919</v>
      </c>
      <c r="C303" s="400" t="s">
        <v>0</v>
      </c>
      <c r="D303" s="108"/>
      <c r="E303" s="108"/>
      <c r="F303" s="8"/>
    </row>
    <row r="304" spans="1:6" s="806" customFormat="1" ht="14.25">
      <c r="A304" s="802">
        <v>242</v>
      </c>
      <c r="B304" s="809" t="s">
        <v>920</v>
      </c>
      <c r="C304" s="804" t="s">
        <v>0</v>
      </c>
      <c r="D304" s="805"/>
      <c r="E304" s="805"/>
    </row>
    <row r="305" spans="1:6" s="159" customFormat="1" ht="14.25">
      <c r="A305" s="127">
        <v>243</v>
      </c>
      <c r="B305" s="399" t="s">
        <v>921</v>
      </c>
      <c r="C305" s="400" t="s">
        <v>0</v>
      </c>
      <c r="D305" s="108"/>
      <c r="E305" s="108"/>
      <c r="F305" s="8"/>
    </row>
    <row r="306" spans="1:6" s="806" customFormat="1" ht="14.25">
      <c r="A306" s="802">
        <v>244</v>
      </c>
      <c r="B306" s="803" t="s">
        <v>922</v>
      </c>
      <c r="C306" s="804" t="s">
        <v>0</v>
      </c>
      <c r="D306" s="805"/>
      <c r="E306" s="805"/>
    </row>
    <row r="307" spans="1:6" s="159" customFormat="1" ht="14.25">
      <c r="A307" s="127">
        <v>245</v>
      </c>
      <c r="B307" s="399" t="s">
        <v>923</v>
      </c>
      <c r="C307" s="400" t="s">
        <v>0</v>
      </c>
      <c r="D307" s="108"/>
      <c r="E307" s="108"/>
      <c r="F307" s="8"/>
    </row>
    <row r="308" spans="1:6" s="806" customFormat="1" ht="14.25">
      <c r="A308" s="802">
        <v>246</v>
      </c>
      <c r="B308" s="803" t="s">
        <v>924</v>
      </c>
      <c r="C308" s="804" t="s">
        <v>0</v>
      </c>
      <c r="D308" s="805"/>
      <c r="E308" s="805"/>
    </row>
    <row r="309" spans="1:6" s="159" customFormat="1" ht="14.25">
      <c r="A309" s="127">
        <v>247</v>
      </c>
      <c r="B309" s="22" t="s">
        <v>165</v>
      </c>
      <c r="C309" s="400" t="s">
        <v>0</v>
      </c>
      <c r="D309" s="108"/>
      <c r="E309" s="108"/>
      <c r="F309" s="8"/>
    </row>
    <row r="310" spans="1:6" s="806" customFormat="1" ht="14.25">
      <c r="A310" s="802">
        <v>248</v>
      </c>
      <c r="B310" s="803" t="s">
        <v>925</v>
      </c>
      <c r="C310" s="804" t="s">
        <v>0</v>
      </c>
      <c r="D310" s="805"/>
      <c r="E310" s="805"/>
    </row>
    <row r="311" spans="1:6" s="159" customFormat="1" ht="14.25">
      <c r="A311" s="127">
        <v>249</v>
      </c>
      <c r="B311" s="399" t="s">
        <v>926</v>
      </c>
      <c r="C311" s="400" t="s">
        <v>0</v>
      </c>
      <c r="D311" s="108"/>
      <c r="E311" s="108"/>
      <c r="F311" s="8"/>
    </row>
    <row r="312" spans="1:6" s="806" customFormat="1" ht="14.25">
      <c r="A312" s="802">
        <v>250</v>
      </c>
      <c r="B312" s="803" t="s">
        <v>210</v>
      </c>
      <c r="C312" s="804" t="s">
        <v>0</v>
      </c>
      <c r="D312" s="805"/>
      <c r="E312" s="805"/>
    </row>
    <row r="313" spans="1:6" s="159" customFormat="1" ht="14.25">
      <c r="A313" s="127">
        <v>251</v>
      </c>
      <c r="B313" s="399" t="s">
        <v>927</v>
      </c>
      <c r="C313" s="400" t="s">
        <v>0</v>
      </c>
      <c r="D313" s="108"/>
      <c r="E313" s="108"/>
      <c r="F313" s="8"/>
    </row>
    <row r="314" spans="1:6" s="806" customFormat="1" ht="14.25">
      <c r="A314" s="802">
        <v>252</v>
      </c>
      <c r="B314" s="803" t="s">
        <v>928</v>
      </c>
      <c r="C314" s="804" t="s">
        <v>0</v>
      </c>
      <c r="D314" s="805"/>
      <c r="E314" s="805"/>
    </row>
    <row r="315" spans="1:6" s="159" customFormat="1" ht="14.25">
      <c r="A315" s="127">
        <v>253</v>
      </c>
      <c r="B315" s="399" t="s">
        <v>929</v>
      </c>
      <c r="C315" s="400" t="s">
        <v>0</v>
      </c>
      <c r="D315" s="108"/>
      <c r="E315" s="108"/>
      <c r="F315" s="8"/>
    </row>
    <row r="316" spans="1:6" s="806" customFormat="1" ht="14.25">
      <c r="A316" s="802">
        <v>254</v>
      </c>
      <c r="B316" s="803" t="s">
        <v>16</v>
      </c>
      <c r="C316" s="804" t="s">
        <v>0</v>
      </c>
      <c r="D316" s="805"/>
      <c r="E316" s="805"/>
    </row>
    <row r="317" spans="1:6" s="159" customFormat="1" ht="14.25">
      <c r="A317" s="127">
        <v>255</v>
      </c>
      <c r="B317" s="399" t="s">
        <v>1012</v>
      </c>
      <c r="C317" s="400" t="s">
        <v>0</v>
      </c>
      <c r="D317" s="108"/>
      <c r="E317" s="108"/>
      <c r="F317" s="8"/>
    </row>
    <row r="318" spans="1:6" s="806" customFormat="1" ht="14.25">
      <c r="A318" s="802">
        <v>256</v>
      </c>
      <c r="B318" s="803" t="s">
        <v>17</v>
      </c>
      <c r="C318" s="804" t="s">
        <v>0</v>
      </c>
      <c r="D318" s="805"/>
      <c r="E318" s="805"/>
    </row>
    <row r="319" spans="1:6" s="159" customFormat="1" ht="14.25">
      <c r="A319" s="127">
        <v>257</v>
      </c>
      <c r="B319" s="399" t="s">
        <v>930</v>
      </c>
      <c r="C319" s="400" t="s">
        <v>0</v>
      </c>
      <c r="D319" s="108"/>
      <c r="E319" s="108"/>
      <c r="F319" s="8"/>
    </row>
    <row r="320" spans="1:6" s="806" customFormat="1" ht="14.25">
      <c r="A320" s="802">
        <v>258</v>
      </c>
      <c r="B320" s="803" t="s">
        <v>931</v>
      </c>
      <c r="C320" s="804" t="s">
        <v>0</v>
      </c>
      <c r="D320" s="805"/>
      <c r="E320" s="805"/>
    </row>
    <row r="321" spans="1:6" s="159" customFormat="1" ht="14.25">
      <c r="A321" s="127">
        <v>259</v>
      </c>
      <c r="B321" s="399" t="s">
        <v>932</v>
      </c>
      <c r="C321" s="400" t="s">
        <v>0</v>
      </c>
      <c r="D321" s="108"/>
      <c r="E321" s="108"/>
      <c r="F321" s="8"/>
    </row>
    <row r="322" spans="1:6" s="806" customFormat="1" ht="14.25">
      <c r="A322" s="802">
        <v>260</v>
      </c>
      <c r="B322" s="803" t="s">
        <v>933</v>
      </c>
      <c r="C322" s="804" t="s">
        <v>0</v>
      </c>
      <c r="D322" s="805"/>
      <c r="E322" s="805"/>
    </row>
    <row r="323" spans="1:6" s="159" customFormat="1" ht="14.25">
      <c r="A323" s="127">
        <v>261</v>
      </c>
      <c r="B323" s="399" t="s">
        <v>934</v>
      </c>
      <c r="C323" s="400" t="s">
        <v>0</v>
      </c>
      <c r="D323" s="108"/>
      <c r="E323" s="108"/>
      <c r="F323" s="8"/>
    </row>
    <row r="324" spans="1:6" s="806" customFormat="1" ht="14.25">
      <c r="A324" s="802">
        <v>262</v>
      </c>
      <c r="B324" s="803" t="s">
        <v>935</v>
      </c>
      <c r="C324" s="804" t="s">
        <v>0</v>
      </c>
      <c r="D324" s="805"/>
      <c r="E324" s="805"/>
    </row>
    <row r="325" spans="1:6" s="159" customFormat="1" ht="14.25">
      <c r="A325" s="127">
        <v>263</v>
      </c>
      <c r="B325" s="399" t="s">
        <v>936</v>
      </c>
      <c r="C325" s="400" t="s">
        <v>0</v>
      </c>
      <c r="D325" s="108"/>
      <c r="E325" s="108"/>
      <c r="F325" s="8"/>
    </row>
    <row r="326" spans="1:6" s="806" customFormat="1" ht="14.25">
      <c r="A326" s="802">
        <v>264</v>
      </c>
      <c r="B326" s="803" t="s">
        <v>937</v>
      </c>
      <c r="C326" s="804" t="s">
        <v>0</v>
      </c>
      <c r="D326" s="805"/>
      <c r="E326" s="805"/>
    </row>
    <row r="327" spans="1:6" s="159" customFormat="1" ht="14.25">
      <c r="A327" s="127">
        <v>265</v>
      </c>
      <c r="B327" s="399" t="s">
        <v>938</v>
      </c>
      <c r="C327" s="400" t="s">
        <v>0</v>
      </c>
      <c r="D327" s="108"/>
      <c r="E327" s="108"/>
      <c r="F327" s="8"/>
    </row>
    <row r="328" spans="1:6" s="806" customFormat="1" ht="14.25">
      <c r="A328" s="802">
        <v>266</v>
      </c>
      <c r="B328" s="803" t="s">
        <v>939</v>
      </c>
      <c r="C328" s="804" t="s">
        <v>0</v>
      </c>
      <c r="D328" s="805"/>
      <c r="E328" s="805"/>
    </row>
    <row r="329" spans="1:6" s="159" customFormat="1" ht="14.25">
      <c r="A329" s="127">
        <v>267</v>
      </c>
      <c r="B329" s="399" t="s">
        <v>940</v>
      </c>
      <c r="C329" s="400" t="s">
        <v>0</v>
      </c>
      <c r="D329" s="108"/>
      <c r="E329" s="108"/>
      <c r="F329" s="8"/>
    </row>
    <row r="330" spans="1:6" s="806" customFormat="1" ht="14.25">
      <c r="A330" s="802">
        <v>268</v>
      </c>
      <c r="B330" s="803" t="s">
        <v>941</v>
      </c>
      <c r="C330" s="804" t="s">
        <v>0</v>
      </c>
      <c r="D330" s="805"/>
      <c r="E330" s="805"/>
    </row>
    <row r="331" spans="1:6" s="160" customFormat="1" ht="14.25">
      <c r="A331" s="127">
        <v>269</v>
      </c>
      <c r="B331" s="399" t="s">
        <v>942</v>
      </c>
      <c r="C331" s="400" t="s">
        <v>0</v>
      </c>
      <c r="D331" s="108"/>
      <c r="E331" s="108"/>
      <c r="F331" s="8"/>
    </row>
    <row r="332" spans="1:6" s="813" customFormat="1">
      <c r="A332" s="802">
        <v>270</v>
      </c>
      <c r="B332" s="803" t="s">
        <v>943</v>
      </c>
      <c r="C332" s="804" t="s">
        <v>0</v>
      </c>
      <c r="D332" s="805"/>
      <c r="E332" s="805"/>
    </row>
    <row r="333" spans="1:6">
      <c r="A333" s="127">
        <v>271</v>
      </c>
      <c r="B333" s="399" t="s">
        <v>944</v>
      </c>
      <c r="C333" s="400" t="s">
        <v>0</v>
      </c>
      <c r="D333" s="108"/>
      <c r="E333" s="108"/>
    </row>
    <row r="334" spans="1:6" s="813" customFormat="1">
      <c r="A334" s="802">
        <v>272</v>
      </c>
      <c r="B334" s="803" t="s">
        <v>945</v>
      </c>
      <c r="C334" s="804" t="s">
        <v>0</v>
      </c>
      <c r="D334" s="805"/>
      <c r="E334" s="805"/>
    </row>
    <row r="335" spans="1:6">
      <c r="A335" s="127">
        <v>273</v>
      </c>
      <c r="B335" s="399" t="s">
        <v>946</v>
      </c>
      <c r="C335" s="400" t="s">
        <v>0</v>
      </c>
      <c r="D335" s="108"/>
      <c r="E335" s="108"/>
    </row>
    <row r="336" spans="1:6" s="813" customFormat="1">
      <c r="A336" s="802">
        <v>274</v>
      </c>
      <c r="B336" s="803" t="s">
        <v>947</v>
      </c>
      <c r="C336" s="804" t="s">
        <v>0</v>
      </c>
      <c r="D336" s="805"/>
      <c r="E336" s="805"/>
    </row>
    <row r="337" spans="1:8">
      <c r="A337" s="127">
        <v>275</v>
      </c>
      <c r="B337" s="399" t="s">
        <v>948</v>
      </c>
      <c r="C337" s="400" t="s">
        <v>0</v>
      </c>
      <c r="D337" s="108"/>
      <c r="E337" s="108"/>
    </row>
    <row r="338" spans="1:8" s="813" customFormat="1">
      <c r="A338" s="802">
        <v>276</v>
      </c>
      <c r="B338" s="803" t="s">
        <v>19</v>
      </c>
      <c r="C338" s="804" t="s">
        <v>0</v>
      </c>
      <c r="D338" s="805"/>
      <c r="E338" s="805"/>
    </row>
    <row r="339" spans="1:8">
      <c r="A339" s="127">
        <v>277</v>
      </c>
      <c r="B339" s="399" t="s">
        <v>508</v>
      </c>
      <c r="C339" s="400" t="s">
        <v>0</v>
      </c>
      <c r="D339" s="108"/>
      <c r="E339" s="108"/>
    </row>
    <row r="340" spans="1:8" s="813" customFormat="1">
      <c r="A340" s="802">
        <v>278</v>
      </c>
      <c r="B340" s="803" t="s">
        <v>949</v>
      </c>
      <c r="C340" s="804" t="s">
        <v>0</v>
      </c>
      <c r="D340" s="805"/>
      <c r="E340" s="805"/>
    </row>
    <row r="341" spans="1:8">
      <c r="A341" s="127">
        <v>279</v>
      </c>
      <c r="B341" s="163" t="s">
        <v>950</v>
      </c>
      <c r="C341" s="400" t="s">
        <v>0</v>
      </c>
      <c r="D341" s="108"/>
      <c r="E341" s="108"/>
    </row>
    <row r="342" spans="1:8" s="813" customFormat="1">
      <c r="A342" s="802">
        <v>280</v>
      </c>
      <c r="B342" s="803" t="s">
        <v>20</v>
      </c>
      <c r="C342" s="804" t="s">
        <v>0</v>
      </c>
      <c r="D342" s="805"/>
      <c r="E342" s="805"/>
    </row>
    <row r="343" spans="1:8">
      <c r="A343" s="127">
        <v>281</v>
      </c>
      <c r="B343" s="23" t="s">
        <v>1204</v>
      </c>
      <c r="C343" s="45" t="s">
        <v>0</v>
      </c>
      <c r="D343" s="108"/>
      <c r="E343" s="108"/>
      <c r="G343" s="842"/>
      <c r="H343" s="843"/>
    </row>
    <row r="344" spans="1:8" s="813" customFormat="1">
      <c r="A344" s="802">
        <v>282</v>
      </c>
      <c r="B344" s="1351" t="s">
        <v>1205</v>
      </c>
      <c r="C344" s="1352" t="s">
        <v>0</v>
      </c>
      <c r="D344" s="805"/>
      <c r="E344" s="805"/>
      <c r="G344" s="842"/>
      <c r="H344" s="843"/>
    </row>
    <row r="345" spans="1:8">
      <c r="A345" s="127">
        <v>283</v>
      </c>
      <c r="B345" s="23" t="s">
        <v>23</v>
      </c>
      <c r="C345" s="45" t="s">
        <v>0</v>
      </c>
      <c r="D345" s="108"/>
      <c r="E345" s="108"/>
      <c r="G345" s="842"/>
      <c r="H345" s="843"/>
    </row>
    <row r="346" spans="1:8" s="813" customFormat="1">
      <c r="A346" s="802">
        <v>284</v>
      </c>
      <c r="B346" s="1351" t="s">
        <v>951</v>
      </c>
      <c r="C346" s="1352" t="s">
        <v>0</v>
      </c>
      <c r="D346" s="805"/>
      <c r="E346" s="805"/>
      <c r="G346" s="842"/>
      <c r="H346" s="843"/>
    </row>
    <row r="347" spans="1:8">
      <c r="A347" s="127">
        <v>285</v>
      </c>
      <c r="B347" s="23" t="s">
        <v>1204</v>
      </c>
      <c r="C347" s="45" t="s">
        <v>0</v>
      </c>
      <c r="D347" s="108"/>
      <c r="E347" s="108"/>
    </row>
    <row r="348" spans="1:8" s="813" customFormat="1">
      <c r="A348" s="802">
        <v>286</v>
      </c>
      <c r="B348" s="1351" t="s">
        <v>1205</v>
      </c>
      <c r="C348" s="1352" t="s">
        <v>0</v>
      </c>
      <c r="D348" s="805"/>
      <c r="E348" s="805"/>
      <c r="G348" s="842"/>
      <c r="H348" s="843"/>
    </row>
    <row r="349" spans="1:8">
      <c r="A349" s="127">
        <v>287</v>
      </c>
      <c r="B349" s="210" t="s">
        <v>1206</v>
      </c>
      <c r="C349" s="473" t="s">
        <v>515</v>
      </c>
      <c r="D349" s="108"/>
      <c r="E349" s="108"/>
    </row>
    <row r="350" spans="1:8" s="813" customFormat="1">
      <c r="A350" s="802">
        <v>288</v>
      </c>
      <c r="B350" s="1351" t="s">
        <v>1207</v>
      </c>
      <c r="C350" s="1352" t="s">
        <v>0</v>
      </c>
      <c r="D350" s="805"/>
      <c r="E350" s="805"/>
    </row>
    <row r="351" spans="1:8">
      <c r="A351" s="127">
        <v>289</v>
      </c>
      <c r="B351" s="210" t="s">
        <v>1543</v>
      </c>
      <c r="C351" s="473" t="s">
        <v>515</v>
      </c>
      <c r="D351" s="108"/>
      <c r="E351" s="108"/>
    </row>
    <row r="352" spans="1:8" s="813" customFormat="1">
      <c r="A352" s="802">
        <v>290</v>
      </c>
      <c r="B352" s="809" t="s">
        <v>1542</v>
      </c>
      <c r="C352" s="804" t="s">
        <v>0</v>
      </c>
      <c r="D352" s="805"/>
      <c r="E352" s="805"/>
    </row>
    <row r="353" spans="1:5">
      <c r="A353" s="127">
        <v>291</v>
      </c>
      <c r="B353" s="399" t="s">
        <v>1003</v>
      </c>
      <c r="C353" s="400" t="s">
        <v>0</v>
      </c>
      <c r="D353" s="108"/>
      <c r="E353" s="108"/>
    </row>
    <row r="354" spans="1:5" s="813" customFormat="1">
      <c r="A354" s="802">
        <v>292</v>
      </c>
      <c r="B354" s="803" t="s">
        <v>1004</v>
      </c>
      <c r="C354" s="804" t="s">
        <v>0</v>
      </c>
      <c r="D354" s="805"/>
      <c r="E354" s="805"/>
    </row>
    <row r="355" spans="1:5">
      <c r="A355" s="127">
        <v>293</v>
      </c>
      <c r="B355" s="399" t="s">
        <v>1005</v>
      </c>
      <c r="C355" s="400" t="s">
        <v>0</v>
      </c>
      <c r="D355" s="108"/>
      <c r="E355" s="108"/>
    </row>
    <row r="356" spans="1:5" s="813" customFormat="1">
      <c r="A356" s="802">
        <v>294</v>
      </c>
      <c r="B356" s="803" t="s">
        <v>952</v>
      </c>
      <c r="C356" s="804" t="s">
        <v>0</v>
      </c>
      <c r="D356" s="805"/>
      <c r="E356" s="805"/>
    </row>
    <row r="357" spans="1:5">
      <c r="A357" s="127">
        <v>295</v>
      </c>
      <c r="B357" s="22" t="s">
        <v>151</v>
      </c>
      <c r="C357" s="789" t="s">
        <v>515</v>
      </c>
      <c r="D357" s="108"/>
      <c r="E357" s="108"/>
    </row>
    <row r="358" spans="1:5" s="813" customFormat="1">
      <c r="A358" s="802">
        <v>296</v>
      </c>
      <c r="B358" s="810" t="s">
        <v>219</v>
      </c>
      <c r="C358" s="814" t="s">
        <v>515</v>
      </c>
      <c r="D358" s="805"/>
      <c r="E358" s="805"/>
    </row>
    <row r="359" spans="1:5">
      <c r="A359" s="127">
        <v>297</v>
      </c>
      <c r="B359" s="22" t="s">
        <v>25</v>
      </c>
      <c r="C359" s="789" t="s">
        <v>515</v>
      </c>
      <c r="D359" s="108"/>
      <c r="E359" s="108"/>
    </row>
    <row r="360" spans="1:5" s="813" customFormat="1">
      <c r="A360" s="802">
        <v>298</v>
      </c>
      <c r="B360" s="810" t="s">
        <v>26</v>
      </c>
      <c r="C360" s="814" t="s">
        <v>515</v>
      </c>
      <c r="D360" s="805"/>
      <c r="E360" s="805"/>
    </row>
    <row r="361" spans="1:5">
      <c r="A361" s="127">
        <v>299</v>
      </c>
      <c r="B361" s="22" t="s">
        <v>27</v>
      </c>
      <c r="C361" s="789" t="s">
        <v>515</v>
      </c>
      <c r="D361" s="108"/>
      <c r="E361" s="108"/>
    </row>
    <row r="362" spans="1:5" s="813" customFormat="1">
      <c r="A362" s="802">
        <v>300</v>
      </c>
      <c r="B362" s="810" t="s">
        <v>152</v>
      </c>
      <c r="C362" s="814" t="s">
        <v>515</v>
      </c>
      <c r="D362" s="805"/>
      <c r="E362" s="805"/>
    </row>
    <row r="363" spans="1:5">
      <c r="A363" s="127">
        <v>301</v>
      </c>
      <c r="B363" s="22" t="s">
        <v>1019</v>
      </c>
      <c r="C363" s="789" t="s">
        <v>0</v>
      </c>
      <c r="D363" s="108"/>
      <c r="E363" s="108"/>
    </row>
    <row r="364" spans="1:5" s="813" customFormat="1">
      <c r="A364" s="802">
        <v>304</v>
      </c>
      <c r="B364" s="810" t="s">
        <v>236</v>
      </c>
      <c r="C364" s="814" t="s">
        <v>515</v>
      </c>
      <c r="D364" s="805"/>
      <c r="E364" s="805"/>
    </row>
    <row r="365" spans="1:5">
      <c r="A365" s="127">
        <v>305</v>
      </c>
      <c r="B365" s="22" t="s">
        <v>221</v>
      </c>
      <c r="C365" s="789" t="s">
        <v>515</v>
      </c>
      <c r="D365" s="108"/>
      <c r="E365" s="108"/>
    </row>
    <row r="366" spans="1:5" s="813" customFormat="1">
      <c r="A366" s="802">
        <v>306</v>
      </c>
      <c r="B366" s="810" t="s">
        <v>222</v>
      </c>
      <c r="C366" s="814" t="s">
        <v>515</v>
      </c>
      <c r="D366" s="805"/>
      <c r="E366" s="805"/>
    </row>
    <row r="367" spans="1:5">
      <c r="A367" s="127">
        <v>307</v>
      </c>
      <c r="B367" s="22" t="s">
        <v>223</v>
      </c>
      <c r="C367" s="789" t="s">
        <v>515</v>
      </c>
      <c r="D367" s="108"/>
      <c r="E367" s="108"/>
    </row>
    <row r="368" spans="1:5" s="813" customFormat="1">
      <c r="A368" s="802">
        <v>308</v>
      </c>
      <c r="B368" s="810" t="s">
        <v>228</v>
      </c>
      <c r="C368" s="814" t="s">
        <v>515</v>
      </c>
      <c r="D368" s="805"/>
      <c r="E368" s="805"/>
    </row>
    <row r="369" spans="1:5">
      <c r="A369" s="127">
        <v>309</v>
      </c>
      <c r="B369" s="399" t="s">
        <v>953</v>
      </c>
      <c r="C369" s="400" t="s">
        <v>0</v>
      </c>
      <c r="D369" s="108"/>
      <c r="E369" s="108"/>
    </row>
    <row r="370" spans="1:5" s="813" customFormat="1">
      <c r="A370" s="802">
        <v>310</v>
      </c>
      <c r="B370" s="803" t="s">
        <v>1002</v>
      </c>
      <c r="C370" s="804" t="s">
        <v>0</v>
      </c>
      <c r="D370" s="805"/>
      <c r="E370" s="805"/>
    </row>
    <row r="371" spans="1:5">
      <c r="A371" s="127">
        <v>311</v>
      </c>
      <c r="B371" s="399" t="s">
        <v>1013</v>
      </c>
      <c r="C371" s="400" t="s">
        <v>0</v>
      </c>
      <c r="D371" s="108"/>
      <c r="E371" s="108"/>
    </row>
    <row r="372" spans="1:5" s="813" customFormat="1">
      <c r="A372" s="802">
        <v>312</v>
      </c>
      <c r="B372" s="803" t="s">
        <v>1711</v>
      </c>
      <c r="C372" s="1337" t="s">
        <v>0</v>
      </c>
      <c r="D372" s="805"/>
      <c r="E372" s="805"/>
    </row>
    <row r="373" spans="1:5">
      <c r="A373" s="127">
        <v>313</v>
      </c>
      <c r="B373" s="399" t="s">
        <v>1710</v>
      </c>
      <c r="C373" s="405" t="s">
        <v>0</v>
      </c>
      <c r="D373" s="108"/>
      <c r="E373" s="108"/>
    </row>
    <row r="374" spans="1:5" s="813" customFormat="1">
      <c r="A374" s="802">
        <v>314</v>
      </c>
      <c r="B374" s="1338" t="s">
        <v>1706</v>
      </c>
      <c r="C374" s="1339" t="s">
        <v>515</v>
      </c>
      <c r="D374" s="805"/>
      <c r="E374" s="805"/>
    </row>
    <row r="375" spans="1:5">
      <c r="A375" s="127">
        <v>315</v>
      </c>
      <c r="B375" s="210" t="s">
        <v>1707</v>
      </c>
      <c r="C375" s="473" t="s">
        <v>515</v>
      </c>
      <c r="D375" s="108"/>
      <c r="E375" s="108"/>
    </row>
    <row r="376" spans="1:5" s="813" customFormat="1">
      <c r="A376" s="802">
        <v>316</v>
      </c>
      <c r="B376" s="1338" t="s">
        <v>1708</v>
      </c>
      <c r="C376" s="1339" t="s">
        <v>515</v>
      </c>
      <c r="D376" s="805"/>
      <c r="E376" s="805"/>
    </row>
    <row r="377" spans="1:5">
      <c r="A377" s="127">
        <v>317</v>
      </c>
      <c r="B377" s="210" t="s">
        <v>1709</v>
      </c>
      <c r="C377" s="473" t="s">
        <v>515</v>
      </c>
      <c r="D377" s="108"/>
      <c r="E377" s="108"/>
    </row>
    <row r="378" spans="1:5" s="813" customFormat="1">
      <c r="A378" s="802">
        <v>318</v>
      </c>
      <c r="B378" s="803" t="s">
        <v>960</v>
      </c>
      <c r="C378" s="804" t="s">
        <v>0</v>
      </c>
      <c r="D378" s="805"/>
      <c r="E378" s="805"/>
    </row>
    <row r="379" spans="1:5">
      <c r="A379" s="127">
        <v>319</v>
      </c>
      <c r="B379" s="22" t="s">
        <v>30</v>
      </c>
      <c r="C379" s="789" t="s">
        <v>515</v>
      </c>
      <c r="D379" s="108"/>
      <c r="E379" s="108"/>
    </row>
    <row r="380" spans="1:5" s="813" customFormat="1">
      <c r="A380" s="802">
        <v>320</v>
      </c>
      <c r="B380" s="810" t="s">
        <v>31</v>
      </c>
      <c r="C380" s="814" t="s">
        <v>515</v>
      </c>
      <c r="D380" s="805"/>
      <c r="E380" s="805"/>
    </row>
    <row r="381" spans="1:5">
      <c r="A381" s="127">
        <v>321</v>
      </c>
      <c r="B381" s="22" t="s">
        <v>41</v>
      </c>
      <c r="C381" s="789" t="s">
        <v>515</v>
      </c>
      <c r="D381" s="108"/>
      <c r="E381" s="108"/>
    </row>
    <row r="382" spans="1:5" s="813" customFormat="1">
      <c r="A382" s="802">
        <v>322</v>
      </c>
      <c r="B382" s="810" t="s">
        <v>98</v>
      </c>
      <c r="C382" s="814" t="s">
        <v>515</v>
      </c>
      <c r="D382" s="805"/>
      <c r="E382" s="805"/>
    </row>
    <row r="383" spans="1:5">
      <c r="A383" s="127">
        <v>323</v>
      </c>
      <c r="B383" s="22" t="s">
        <v>99</v>
      </c>
      <c r="C383" s="789" t="s">
        <v>515</v>
      </c>
      <c r="D383" s="108"/>
      <c r="E383" s="108"/>
    </row>
    <row r="384" spans="1:5" s="813" customFormat="1">
      <c r="A384" s="802">
        <v>324</v>
      </c>
      <c r="B384" s="810" t="s">
        <v>102</v>
      </c>
      <c r="C384" s="814" t="s">
        <v>515</v>
      </c>
      <c r="D384" s="805"/>
      <c r="E384" s="805"/>
    </row>
    <row r="385" spans="1:5">
      <c r="A385" s="127">
        <v>325</v>
      </c>
      <c r="B385" s="22" t="s">
        <v>103</v>
      </c>
      <c r="C385" s="789" t="s">
        <v>515</v>
      </c>
      <c r="D385" s="108"/>
      <c r="E385" s="108"/>
    </row>
    <row r="386" spans="1:5" s="813" customFormat="1">
      <c r="A386" s="802">
        <v>326</v>
      </c>
      <c r="B386" s="810" t="s">
        <v>104</v>
      </c>
      <c r="C386" s="814" t="s">
        <v>515</v>
      </c>
      <c r="D386" s="805"/>
      <c r="E386" s="805"/>
    </row>
    <row r="387" spans="1:5">
      <c r="A387" s="127">
        <v>327</v>
      </c>
      <c r="B387" s="22" t="s">
        <v>105</v>
      </c>
      <c r="C387" s="789" t="s">
        <v>515</v>
      </c>
      <c r="D387" s="108"/>
      <c r="E387" s="108"/>
    </row>
    <row r="388" spans="1:5" s="813" customFormat="1">
      <c r="A388" s="802">
        <v>328</v>
      </c>
      <c r="B388" s="810" t="s">
        <v>106</v>
      </c>
      <c r="C388" s="814" t="s">
        <v>515</v>
      </c>
      <c r="D388" s="805"/>
      <c r="E388" s="805"/>
    </row>
    <row r="389" spans="1:5">
      <c r="A389" s="127">
        <v>329</v>
      </c>
      <c r="B389" s="22" t="s">
        <v>107</v>
      </c>
      <c r="C389" s="789" t="s">
        <v>515</v>
      </c>
      <c r="D389" s="108"/>
      <c r="E389" s="108"/>
    </row>
    <row r="390" spans="1:5" s="813" customFormat="1">
      <c r="A390" s="802">
        <v>330</v>
      </c>
      <c r="B390" s="810" t="s">
        <v>108</v>
      </c>
      <c r="C390" s="814" t="s">
        <v>515</v>
      </c>
      <c r="D390" s="805"/>
      <c r="E390" s="805"/>
    </row>
    <row r="391" spans="1:5">
      <c r="A391" s="127">
        <v>331</v>
      </c>
      <c r="B391" s="22" t="s">
        <v>109</v>
      </c>
      <c r="C391" s="789" t="s">
        <v>515</v>
      </c>
      <c r="D391" s="108"/>
      <c r="E391" s="108"/>
    </row>
    <row r="392" spans="1:5" s="813" customFormat="1">
      <c r="A392" s="802">
        <v>332</v>
      </c>
      <c r="B392" s="810" t="s">
        <v>32</v>
      </c>
      <c r="C392" s="814" t="s">
        <v>515</v>
      </c>
      <c r="D392" s="805"/>
      <c r="E392" s="805"/>
    </row>
    <row r="393" spans="1:5">
      <c r="A393" s="127">
        <v>333</v>
      </c>
      <c r="B393" s="22" t="s">
        <v>110</v>
      </c>
      <c r="C393" s="789" t="s">
        <v>515</v>
      </c>
      <c r="D393" s="108"/>
      <c r="E393" s="108"/>
    </row>
    <row r="394" spans="1:5" s="813" customFormat="1">
      <c r="A394" s="802">
        <v>334</v>
      </c>
      <c r="B394" s="810" t="s">
        <v>111</v>
      </c>
      <c r="C394" s="814" t="s">
        <v>515</v>
      </c>
      <c r="D394" s="805"/>
      <c r="E394" s="805"/>
    </row>
    <row r="395" spans="1:5">
      <c r="A395" s="127">
        <v>335</v>
      </c>
      <c r="B395" s="22" t="s">
        <v>112</v>
      </c>
      <c r="C395" s="789" t="s">
        <v>515</v>
      </c>
      <c r="D395" s="108"/>
      <c r="E395" s="108"/>
    </row>
    <row r="396" spans="1:5" s="813" customFormat="1">
      <c r="A396" s="802">
        <v>336</v>
      </c>
      <c r="B396" s="810" t="s">
        <v>38</v>
      </c>
      <c r="C396" s="814" t="s">
        <v>515</v>
      </c>
      <c r="D396" s="805"/>
      <c r="E396" s="805"/>
    </row>
    <row r="397" spans="1:5">
      <c r="A397" s="127">
        <v>337</v>
      </c>
      <c r="B397" s="22" t="s">
        <v>113</v>
      </c>
      <c r="C397" s="789" t="s">
        <v>515</v>
      </c>
      <c r="D397" s="108"/>
      <c r="E397" s="108"/>
    </row>
    <row r="398" spans="1:5" s="813" customFormat="1">
      <c r="A398" s="802">
        <v>338</v>
      </c>
      <c r="B398" s="810" t="s">
        <v>114</v>
      </c>
      <c r="C398" s="814" t="s">
        <v>515</v>
      </c>
      <c r="D398" s="805"/>
      <c r="E398" s="805"/>
    </row>
    <row r="399" spans="1:5">
      <c r="A399" s="127">
        <v>339</v>
      </c>
      <c r="B399" s="22" t="s">
        <v>115</v>
      </c>
      <c r="C399" s="789" t="s">
        <v>515</v>
      </c>
      <c r="D399" s="108"/>
      <c r="E399" s="108"/>
    </row>
    <row r="400" spans="1:5" s="813" customFormat="1">
      <c r="A400" s="802">
        <v>340</v>
      </c>
      <c r="B400" s="810" t="s">
        <v>116</v>
      </c>
      <c r="C400" s="814" t="s">
        <v>515</v>
      </c>
      <c r="D400" s="805"/>
      <c r="E400" s="805"/>
    </row>
    <row r="401" spans="1:11">
      <c r="A401" s="127">
        <v>341</v>
      </c>
      <c r="B401" s="399" t="s">
        <v>961</v>
      </c>
      <c r="C401" s="400" t="s">
        <v>0</v>
      </c>
      <c r="D401" s="108"/>
      <c r="E401" s="108"/>
    </row>
    <row r="402" spans="1:11" s="813" customFormat="1">
      <c r="A402" s="802">
        <v>342</v>
      </c>
      <c r="B402" s="803" t="s">
        <v>33</v>
      </c>
      <c r="C402" s="804" t="s">
        <v>0</v>
      </c>
      <c r="D402" s="805"/>
      <c r="E402" s="805"/>
    </row>
    <row r="403" spans="1:11">
      <c r="A403" s="127">
        <v>343</v>
      </c>
      <c r="B403" s="399" t="s">
        <v>962</v>
      </c>
      <c r="C403" s="400" t="s">
        <v>0</v>
      </c>
      <c r="D403" s="108"/>
      <c r="E403" s="108"/>
    </row>
    <row r="404" spans="1:11" s="813" customFormat="1">
      <c r="A404" s="802">
        <v>344</v>
      </c>
      <c r="B404" s="803" t="s">
        <v>225</v>
      </c>
      <c r="C404" s="804" t="s">
        <v>0</v>
      </c>
      <c r="D404" s="805"/>
      <c r="E404" s="805"/>
    </row>
    <row r="405" spans="1:11">
      <c r="A405" s="127">
        <v>345</v>
      </c>
      <c r="B405" s="399" t="s">
        <v>963</v>
      </c>
      <c r="C405" s="400" t="s">
        <v>0</v>
      </c>
      <c r="D405" s="108"/>
      <c r="E405" s="108"/>
    </row>
    <row r="406" spans="1:11" s="813" customFormat="1">
      <c r="A406" s="802">
        <v>346</v>
      </c>
      <c r="B406" s="803" t="s">
        <v>34</v>
      </c>
      <c r="C406" s="804" t="s">
        <v>0</v>
      </c>
      <c r="D406" s="805"/>
      <c r="E406" s="805"/>
    </row>
    <row r="407" spans="1:11">
      <c r="A407" s="127">
        <v>347</v>
      </c>
      <c r="B407" s="399" t="s">
        <v>964</v>
      </c>
      <c r="C407" s="400" t="s">
        <v>0</v>
      </c>
      <c r="D407" s="108"/>
      <c r="E407" s="108"/>
    </row>
    <row r="408" spans="1:11" s="813" customFormat="1" ht="15.75">
      <c r="A408" s="802">
        <v>348</v>
      </c>
      <c r="B408" s="803" t="s">
        <v>1059</v>
      </c>
      <c r="C408" s="804" t="s">
        <v>0</v>
      </c>
      <c r="D408" s="805"/>
      <c r="E408" s="805"/>
      <c r="J408" s="68"/>
      <c r="K408" s="423"/>
    </row>
    <row r="409" spans="1:11" ht="15.75">
      <c r="A409" s="127">
        <v>349</v>
      </c>
      <c r="B409" s="399" t="s">
        <v>965</v>
      </c>
      <c r="C409" s="400" t="s">
        <v>0</v>
      </c>
      <c r="D409" s="108"/>
      <c r="E409" s="108"/>
      <c r="J409" s="69"/>
      <c r="K409" s="423"/>
    </row>
    <row r="410" spans="1:11" s="813" customFormat="1" ht="15.75">
      <c r="A410" s="802">
        <v>350</v>
      </c>
      <c r="B410" s="803" t="s">
        <v>966</v>
      </c>
      <c r="C410" s="804" t="s">
        <v>0</v>
      </c>
      <c r="D410" s="805"/>
      <c r="E410" s="805"/>
      <c r="J410" s="68"/>
      <c r="K410" s="423"/>
    </row>
    <row r="411" spans="1:11" ht="15.75">
      <c r="A411" s="127">
        <v>351</v>
      </c>
      <c r="B411" s="399" t="s">
        <v>1021</v>
      </c>
      <c r="C411" s="400" t="s">
        <v>0</v>
      </c>
      <c r="D411" s="108"/>
      <c r="E411" s="108"/>
      <c r="J411" s="69"/>
      <c r="K411" s="423"/>
    </row>
    <row r="412" spans="1:11" s="813" customFormat="1" ht="15.75">
      <c r="A412" s="802">
        <v>352</v>
      </c>
      <c r="B412" s="803" t="s">
        <v>1022</v>
      </c>
      <c r="C412" s="804" t="s">
        <v>0</v>
      </c>
      <c r="D412" s="805"/>
      <c r="E412" s="805"/>
      <c r="J412" s="68"/>
      <c r="K412" s="423"/>
    </row>
    <row r="413" spans="1:11" ht="15.75">
      <c r="A413" s="127">
        <v>353</v>
      </c>
      <c r="B413" s="399" t="s">
        <v>238</v>
      </c>
      <c r="C413" s="400" t="s">
        <v>0</v>
      </c>
      <c r="D413" s="108"/>
      <c r="E413" s="108"/>
      <c r="J413" s="69"/>
      <c r="K413" s="423"/>
    </row>
    <row r="414" spans="1:11" s="813" customFormat="1" ht="15.75">
      <c r="A414" s="802">
        <v>354</v>
      </c>
      <c r="B414" s="803" t="s">
        <v>239</v>
      </c>
      <c r="C414" s="804" t="s">
        <v>0</v>
      </c>
      <c r="D414" s="805"/>
      <c r="E414" s="805"/>
      <c r="J414" s="68"/>
      <c r="K414" s="423"/>
    </row>
    <row r="415" spans="1:11" ht="15.75">
      <c r="A415" s="127">
        <v>355</v>
      </c>
      <c r="B415" s="399" t="s">
        <v>1023</v>
      </c>
      <c r="C415" s="400" t="s">
        <v>0</v>
      </c>
      <c r="D415" s="108"/>
      <c r="E415" s="108"/>
      <c r="J415" s="69"/>
      <c r="K415" s="423"/>
    </row>
    <row r="416" spans="1:11" s="813" customFormat="1" ht="15.75">
      <c r="A416" s="802">
        <v>356</v>
      </c>
      <c r="B416" s="803" t="s">
        <v>1024</v>
      </c>
      <c r="C416" s="804" t="s">
        <v>0</v>
      </c>
      <c r="D416" s="805"/>
      <c r="E416" s="805"/>
      <c r="J416" s="68"/>
      <c r="K416" s="423"/>
    </row>
    <row r="417" spans="1:11" ht="15.75">
      <c r="A417" s="127">
        <v>357</v>
      </c>
      <c r="B417" s="399" t="s">
        <v>240</v>
      </c>
      <c r="C417" s="400" t="s">
        <v>0</v>
      </c>
      <c r="D417" s="108"/>
      <c r="E417" s="108"/>
      <c r="J417" s="69"/>
      <c r="K417" s="423"/>
    </row>
    <row r="418" spans="1:11" s="813" customFormat="1" ht="15.75">
      <c r="A418" s="802">
        <v>358</v>
      </c>
      <c r="B418" s="803" t="s">
        <v>1025</v>
      </c>
      <c r="C418" s="804" t="s">
        <v>0</v>
      </c>
      <c r="D418" s="805"/>
      <c r="E418" s="805"/>
      <c r="J418" s="68"/>
      <c r="K418" s="423"/>
    </row>
    <row r="419" spans="1:11" ht="15.75">
      <c r="A419" s="127">
        <v>359</v>
      </c>
      <c r="B419" s="399" t="s">
        <v>1026</v>
      </c>
      <c r="C419" s="400" t="s">
        <v>0</v>
      </c>
      <c r="D419" s="108"/>
      <c r="E419" s="108"/>
      <c r="J419" s="69"/>
      <c r="K419" s="423"/>
    </row>
    <row r="420" spans="1:11" s="813" customFormat="1" ht="15.75">
      <c r="A420" s="802">
        <v>360</v>
      </c>
      <c r="B420" s="803" t="s">
        <v>1027</v>
      </c>
      <c r="C420" s="804" t="s">
        <v>0</v>
      </c>
      <c r="D420" s="805"/>
      <c r="E420" s="805"/>
      <c r="J420" s="68"/>
      <c r="K420" s="423"/>
    </row>
    <row r="421" spans="1:11" ht="15.75">
      <c r="A421" s="127">
        <v>361</v>
      </c>
      <c r="B421" s="399" t="s">
        <v>1028</v>
      </c>
      <c r="C421" s="400" t="s">
        <v>0</v>
      </c>
      <c r="D421" s="108"/>
      <c r="E421" s="108"/>
      <c r="J421" s="69"/>
      <c r="K421" s="423"/>
    </row>
    <row r="422" spans="1:11" s="813" customFormat="1" ht="15.75">
      <c r="A422" s="802">
        <v>362</v>
      </c>
      <c r="B422" s="803" t="s">
        <v>967</v>
      </c>
      <c r="C422" s="804" t="s">
        <v>0</v>
      </c>
      <c r="D422" s="805"/>
      <c r="E422" s="805"/>
      <c r="J422" s="68"/>
      <c r="K422" s="423"/>
    </row>
    <row r="423" spans="1:11" ht="15.75">
      <c r="A423" s="127">
        <v>363</v>
      </c>
      <c r="B423" s="399" t="s">
        <v>1006</v>
      </c>
      <c r="C423" s="400" t="s">
        <v>0</v>
      </c>
      <c r="D423" s="108"/>
      <c r="E423" s="108"/>
      <c r="J423" s="69"/>
      <c r="K423" s="423"/>
    </row>
    <row r="424" spans="1:11" s="813" customFormat="1" ht="15.75">
      <c r="A424" s="802">
        <v>364</v>
      </c>
      <c r="B424" s="803" t="s">
        <v>968</v>
      </c>
      <c r="C424" s="804" t="s">
        <v>0</v>
      </c>
      <c r="D424" s="805"/>
      <c r="E424" s="805"/>
      <c r="J424" s="68"/>
      <c r="K424" s="423"/>
    </row>
    <row r="425" spans="1:11" ht="15.75">
      <c r="A425" s="127">
        <v>365</v>
      </c>
      <c r="B425" s="399" t="s">
        <v>1015</v>
      </c>
      <c r="C425" s="400" t="s">
        <v>0</v>
      </c>
      <c r="D425" s="108"/>
      <c r="E425" s="108"/>
      <c r="J425" s="69"/>
      <c r="K425" s="423"/>
    </row>
    <row r="426" spans="1:11" s="813" customFormat="1" ht="15.75">
      <c r="A426" s="802">
        <v>366</v>
      </c>
      <c r="B426" s="803" t="s">
        <v>969</v>
      </c>
      <c r="C426" s="804" t="s">
        <v>0</v>
      </c>
      <c r="D426" s="805"/>
      <c r="E426" s="805"/>
      <c r="J426" s="68"/>
      <c r="K426" s="423"/>
    </row>
    <row r="427" spans="1:11" ht="15.75">
      <c r="A427" s="127">
        <v>367</v>
      </c>
      <c r="B427" s="399" t="s">
        <v>997</v>
      </c>
      <c r="C427" s="400" t="s">
        <v>0</v>
      </c>
      <c r="D427" s="108"/>
      <c r="E427" s="108"/>
      <c r="J427" s="69"/>
      <c r="K427" s="423"/>
    </row>
    <row r="428" spans="1:11" s="813" customFormat="1" ht="15.75">
      <c r="A428" s="802">
        <v>368</v>
      </c>
      <c r="B428" s="803" t="s">
        <v>35</v>
      </c>
      <c r="C428" s="804" t="s">
        <v>0</v>
      </c>
      <c r="D428" s="805"/>
      <c r="E428" s="805"/>
      <c r="J428" s="68"/>
      <c r="K428" s="423"/>
    </row>
    <row r="429" spans="1:11" ht="15.75">
      <c r="A429" s="127">
        <v>369</v>
      </c>
      <c r="B429" s="399" t="s">
        <v>970</v>
      </c>
      <c r="C429" s="400" t="s">
        <v>0</v>
      </c>
      <c r="D429" s="108"/>
      <c r="E429" s="108"/>
      <c r="J429" s="69"/>
      <c r="K429" s="423"/>
    </row>
    <row r="430" spans="1:11" s="813" customFormat="1" ht="15.75">
      <c r="A430" s="802">
        <v>370</v>
      </c>
      <c r="B430" s="803" t="s">
        <v>971</v>
      </c>
      <c r="C430" s="804" t="s">
        <v>0</v>
      </c>
      <c r="D430" s="805"/>
      <c r="E430" s="805"/>
      <c r="J430" s="68"/>
      <c r="K430" s="423"/>
    </row>
    <row r="431" spans="1:11" ht="15.75">
      <c r="A431" s="127">
        <v>371</v>
      </c>
      <c r="B431" s="399" t="s">
        <v>972</v>
      </c>
      <c r="C431" s="400" t="s">
        <v>0</v>
      </c>
      <c r="D431" s="108"/>
      <c r="E431" s="108"/>
      <c r="J431" s="69"/>
      <c r="K431" s="423"/>
    </row>
    <row r="432" spans="1:11" s="813" customFormat="1" ht="15.75">
      <c r="A432" s="802">
        <v>372</v>
      </c>
      <c r="B432" s="803" t="s">
        <v>973</v>
      </c>
      <c r="C432" s="804" t="s">
        <v>0</v>
      </c>
      <c r="D432" s="805"/>
      <c r="E432" s="805"/>
      <c r="J432" s="68"/>
      <c r="K432" s="423"/>
    </row>
    <row r="433" spans="1:11" ht="15.75">
      <c r="A433" s="127">
        <v>373</v>
      </c>
      <c r="B433" s="399" t="s">
        <v>974</v>
      </c>
      <c r="C433" s="400" t="s">
        <v>0</v>
      </c>
      <c r="D433" s="108"/>
      <c r="E433" s="108"/>
      <c r="J433" s="69"/>
      <c r="K433" s="423"/>
    </row>
    <row r="434" spans="1:11" s="813" customFormat="1" ht="15.75">
      <c r="A434" s="802">
        <v>374</v>
      </c>
      <c r="B434" s="803" t="s">
        <v>975</v>
      </c>
      <c r="C434" s="804" t="s">
        <v>0</v>
      </c>
      <c r="D434" s="805"/>
      <c r="E434" s="805"/>
      <c r="J434" s="68"/>
      <c r="K434" s="423"/>
    </row>
    <row r="435" spans="1:11" ht="15.75">
      <c r="A435" s="127">
        <v>375</v>
      </c>
      <c r="B435" s="399" t="s">
        <v>976</v>
      </c>
      <c r="C435" s="400" t="s">
        <v>0</v>
      </c>
      <c r="D435" s="108"/>
      <c r="E435" s="108"/>
      <c r="J435" s="69"/>
      <c r="K435" s="423"/>
    </row>
    <row r="436" spans="1:11" s="813" customFormat="1" ht="15.75">
      <c r="A436" s="802">
        <v>376</v>
      </c>
      <c r="B436" s="803" t="s">
        <v>977</v>
      </c>
      <c r="C436" s="804" t="s">
        <v>0</v>
      </c>
      <c r="D436" s="805"/>
      <c r="E436" s="805"/>
      <c r="J436" s="68"/>
      <c r="K436" s="423"/>
    </row>
    <row r="437" spans="1:11" ht="15.75">
      <c r="A437" s="127">
        <v>377</v>
      </c>
      <c r="B437" s="399" t="s">
        <v>978</v>
      </c>
      <c r="C437" s="400" t="s">
        <v>0</v>
      </c>
      <c r="D437" s="108"/>
      <c r="E437" s="108"/>
      <c r="J437" s="69"/>
      <c r="K437" s="423"/>
    </row>
    <row r="438" spans="1:11" s="813" customFormat="1" ht="15.75">
      <c r="A438" s="802">
        <v>378</v>
      </c>
      <c r="B438" s="803" t="s">
        <v>979</v>
      </c>
      <c r="C438" s="804" t="s">
        <v>0</v>
      </c>
      <c r="D438" s="805"/>
      <c r="E438" s="805"/>
      <c r="J438" s="68"/>
      <c r="K438" s="423"/>
    </row>
    <row r="439" spans="1:11" ht="15.75">
      <c r="A439" s="127">
        <v>379</v>
      </c>
      <c r="B439" s="399" t="s">
        <v>980</v>
      </c>
      <c r="C439" s="400" t="s">
        <v>0</v>
      </c>
      <c r="D439" s="108"/>
      <c r="E439" s="108"/>
      <c r="J439" s="69"/>
      <c r="K439" s="423"/>
    </row>
    <row r="440" spans="1:11" s="813" customFormat="1">
      <c r="A440" s="802">
        <v>380</v>
      </c>
      <c r="B440" s="803" t="s">
        <v>981</v>
      </c>
      <c r="C440" s="804" t="s">
        <v>0</v>
      </c>
      <c r="D440" s="805"/>
      <c r="E440" s="805"/>
    </row>
    <row r="441" spans="1:11">
      <c r="A441" s="127">
        <v>381</v>
      </c>
      <c r="B441" s="399" t="s">
        <v>982</v>
      </c>
      <c r="C441" s="400" t="s">
        <v>0</v>
      </c>
      <c r="D441" s="108"/>
      <c r="E441" s="108"/>
    </row>
    <row r="442" spans="1:11" s="813" customFormat="1">
      <c r="A442" s="802">
        <v>382</v>
      </c>
      <c r="B442" s="803" t="s">
        <v>983</v>
      </c>
      <c r="C442" s="804" t="s">
        <v>0</v>
      </c>
      <c r="D442" s="805"/>
      <c r="E442" s="805"/>
    </row>
    <row r="443" spans="1:11">
      <c r="A443" s="127">
        <v>383</v>
      </c>
      <c r="B443" s="399" t="s">
        <v>984</v>
      </c>
      <c r="C443" s="400" t="s">
        <v>0</v>
      </c>
      <c r="D443" s="108"/>
      <c r="E443" s="108"/>
    </row>
    <row r="444" spans="1:11" s="813" customFormat="1">
      <c r="A444" s="802">
        <v>384</v>
      </c>
      <c r="B444" s="809" t="s">
        <v>985</v>
      </c>
      <c r="C444" s="804" t="s">
        <v>0</v>
      </c>
      <c r="D444" s="805"/>
      <c r="E444" s="805"/>
    </row>
    <row r="445" spans="1:11">
      <c r="A445" s="127">
        <v>385</v>
      </c>
      <c r="B445" s="163" t="s">
        <v>426</v>
      </c>
      <c r="C445" s="400" t="s">
        <v>0</v>
      </c>
      <c r="D445" s="108"/>
      <c r="E445" s="108"/>
    </row>
    <row r="446" spans="1:11" s="813" customFormat="1">
      <c r="A446" s="802">
        <v>386</v>
      </c>
      <c r="B446" s="809" t="s">
        <v>471</v>
      </c>
      <c r="C446" s="804" t="s">
        <v>0</v>
      </c>
      <c r="D446" s="805"/>
      <c r="E446" s="805"/>
    </row>
    <row r="447" spans="1:11">
      <c r="A447" s="127">
        <v>387</v>
      </c>
      <c r="B447" s="399" t="s">
        <v>986</v>
      </c>
      <c r="C447" s="400" t="s">
        <v>0</v>
      </c>
      <c r="D447" s="108"/>
      <c r="E447" s="108"/>
    </row>
    <row r="448" spans="1:11" s="813" customFormat="1">
      <c r="A448" s="802">
        <v>388</v>
      </c>
      <c r="B448" s="803" t="s">
        <v>987</v>
      </c>
      <c r="C448" s="804" t="s">
        <v>0</v>
      </c>
      <c r="D448" s="805"/>
      <c r="E448" s="805"/>
    </row>
    <row r="449" spans="1:5">
      <c r="A449" s="127">
        <v>389</v>
      </c>
      <c r="B449" s="399" t="s">
        <v>988</v>
      </c>
      <c r="C449" s="400" t="s">
        <v>0</v>
      </c>
      <c r="D449" s="108"/>
      <c r="E449" s="108"/>
    </row>
    <row r="450" spans="1:5" s="813" customFormat="1">
      <c r="A450" s="802">
        <v>390</v>
      </c>
      <c r="B450" s="803" t="s">
        <v>989</v>
      </c>
      <c r="C450" s="804" t="s">
        <v>0</v>
      </c>
      <c r="D450" s="805"/>
      <c r="E450" s="805"/>
    </row>
    <row r="451" spans="1:5">
      <c r="A451" s="127">
        <v>391</v>
      </c>
      <c r="B451" s="399" t="s">
        <v>990</v>
      </c>
      <c r="C451" s="400" t="s">
        <v>0</v>
      </c>
      <c r="D451" s="108"/>
      <c r="E451" s="108"/>
    </row>
    <row r="452" spans="1:5" ht="15.75">
      <c r="A452" s="127"/>
      <c r="B452" s="1" t="s">
        <v>315</v>
      </c>
      <c r="C452" s="400" t="s">
        <v>0</v>
      </c>
      <c r="D452" s="108"/>
      <c r="E452" s="108"/>
    </row>
    <row r="453" spans="1:5" ht="15.75">
      <c r="A453" s="127"/>
      <c r="B453" s="1350" t="s">
        <v>255</v>
      </c>
      <c r="C453" s="400" t="s">
        <v>0</v>
      </c>
      <c r="D453" s="108"/>
      <c r="E453" s="108"/>
    </row>
    <row r="454" spans="1:5" ht="15.75">
      <c r="A454" s="127"/>
      <c r="B454" s="1" t="s">
        <v>256</v>
      </c>
      <c r="C454" s="400" t="s">
        <v>0</v>
      </c>
      <c r="D454" s="108"/>
      <c r="E454" s="108"/>
    </row>
    <row r="455" spans="1:5" ht="15.75">
      <c r="A455" s="127"/>
      <c r="B455" s="1350" t="s">
        <v>257</v>
      </c>
      <c r="C455" s="400" t="s">
        <v>0</v>
      </c>
      <c r="D455" s="108"/>
      <c r="E455" s="108"/>
    </row>
    <row r="456" spans="1:5" ht="15.75">
      <c r="A456" s="127"/>
      <c r="B456" s="1" t="s">
        <v>258</v>
      </c>
      <c r="C456" s="400" t="s">
        <v>0</v>
      </c>
      <c r="D456" s="108"/>
      <c r="E456" s="108"/>
    </row>
    <row r="457" spans="1:5" ht="15.75">
      <c r="A457" s="127"/>
      <c r="B457" s="1350" t="s">
        <v>259</v>
      </c>
      <c r="C457" s="400" t="s">
        <v>0</v>
      </c>
      <c r="D457" s="108"/>
      <c r="E457" s="108"/>
    </row>
    <row r="458" spans="1:5" ht="15.75">
      <c r="A458" s="127"/>
      <c r="B458" s="1" t="s">
        <v>260</v>
      </c>
      <c r="C458" s="400" t="s">
        <v>0</v>
      </c>
      <c r="D458" s="108"/>
      <c r="E458" s="108"/>
    </row>
    <row r="459" spans="1:5" ht="15.75">
      <c r="A459" s="127"/>
      <c r="B459" s="1350" t="s">
        <v>261</v>
      </c>
      <c r="C459" s="400" t="s">
        <v>0</v>
      </c>
      <c r="D459" s="108"/>
      <c r="E459" s="108"/>
    </row>
    <row r="460" spans="1:5" ht="15.75">
      <c r="A460" s="127"/>
      <c r="B460" s="1" t="s">
        <v>1725</v>
      </c>
      <c r="C460" s="400" t="s">
        <v>0</v>
      </c>
      <c r="D460" s="108"/>
      <c r="E460" s="108"/>
    </row>
    <row r="461" spans="1:5" ht="15.75">
      <c r="A461" s="127"/>
      <c r="B461" s="1350" t="s">
        <v>1726</v>
      </c>
      <c r="C461" s="400" t="s">
        <v>0</v>
      </c>
      <c r="D461" s="108"/>
      <c r="E461" s="108"/>
    </row>
    <row r="462" spans="1:5" ht="15.75">
      <c r="A462" s="127"/>
      <c r="B462" s="1" t="s">
        <v>264</v>
      </c>
      <c r="C462" s="400" t="s">
        <v>0</v>
      </c>
      <c r="D462" s="108"/>
      <c r="E462" s="108"/>
    </row>
    <row r="463" spans="1:5" ht="15.75">
      <c r="A463" s="127"/>
      <c r="B463" s="1350" t="s">
        <v>265</v>
      </c>
      <c r="C463" s="400" t="s">
        <v>0</v>
      </c>
      <c r="D463" s="108"/>
      <c r="E463" s="108"/>
    </row>
    <row r="464" spans="1:5" ht="15.75">
      <c r="A464" s="127"/>
      <c r="B464" s="1" t="s">
        <v>266</v>
      </c>
      <c r="C464" s="400" t="s">
        <v>0</v>
      </c>
      <c r="D464" s="108"/>
      <c r="E464" s="108"/>
    </row>
    <row r="465" spans="1:5" ht="15.75">
      <c r="A465" s="127"/>
      <c r="B465" s="1350" t="s">
        <v>267</v>
      </c>
      <c r="C465" s="400" t="s">
        <v>0</v>
      </c>
      <c r="D465" s="108"/>
      <c r="E465" s="108"/>
    </row>
    <row r="466" spans="1:5" ht="15.75">
      <c r="A466" s="127"/>
      <c r="B466" s="1" t="s">
        <v>268</v>
      </c>
      <c r="C466" s="400" t="s">
        <v>0</v>
      </c>
      <c r="D466" s="108"/>
      <c r="E466" s="108"/>
    </row>
    <row r="467" spans="1:5" ht="15.75">
      <c r="A467" s="127"/>
      <c r="B467" s="1350" t="s">
        <v>269</v>
      </c>
      <c r="C467" s="400" t="s">
        <v>0</v>
      </c>
      <c r="D467" s="108"/>
      <c r="E467" s="108"/>
    </row>
    <row r="468" spans="1:5" ht="15.75">
      <c r="A468" s="127"/>
      <c r="B468" s="1" t="s">
        <v>270</v>
      </c>
      <c r="C468" s="400" t="s">
        <v>0</v>
      </c>
      <c r="D468" s="108"/>
      <c r="E468" s="108"/>
    </row>
    <row r="469" spans="1:5" ht="15.75">
      <c r="A469" s="127"/>
      <c r="B469" s="1350" t="s">
        <v>271</v>
      </c>
      <c r="C469" s="400" t="s">
        <v>0</v>
      </c>
      <c r="D469" s="108"/>
      <c r="E469" s="108"/>
    </row>
    <row r="470" spans="1:5" ht="15.75">
      <c r="A470" s="127"/>
      <c r="B470" s="1" t="s">
        <v>272</v>
      </c>
      <c r="C470" s="400" t="s">
        <v>0</v>
      </c>
      <c r="D470" s="108"/>
      <c r="E470" s="108"/>
    </row>
    <row r="471" spans="1:5" ht="15.75">
      <c r="A471" s="127"/>
      <c r="B471" s="1350" t="s">
        <v>273</v>
      </c>
      <c r="C471" s="400" t="s">
        <v>0</v>
      </c>
      <c r="D471" s="108"/>
      <c r="E471" s="108"/>
    </row>
    <row r="472" spans="1:5" ht="15.75">
      <c r="A472" s="127"/>
      <c r="B472" s="1" t="s">
        <v>274</v>
      </c>
      <c r="C472" s="400" t="s">
        <v>0</v>
      </c>
      <c r="D472" s="108"/>
      <c r="E472" s="108"/>
    </row>
    <row r="473" spans="1:5" ht="15.75">
      <c r="A473" s="127"/>
      <c r="B473" s="1350" t="s">
        <v>275</v>
      </c>
      <c r="C473" s="400" t="s">
        <v>0</v>
      </c>
      <c r="D473" s="108"/>
      <c r="E473" s="108"/>
    </row>
    <row r="474" spans="1:5" ht="15.75">
      <c r="A474" s="127"/>
      <c r="B474" s="1" t="s">
        <v>276</v>
      </c>
      <c r="C474" s="400" t="s">
        <v>0</v>
      </c>
      <c r="D474" s="108"/>
      <c r="E474" s="108"/>
    </row>
    <row r="475" spans="1:5" ht="15.75">
      <c r="A475" s="127"/>
      <c r="B475" s="1350" t="s">
        <v>277</v>
      </c>
      <c r="C475" s="400" t="s">
        <v>0</v>
      </c>
      <c r="D475" s="108"/>
      <c r="E475" s="108"/>
    </row>
    <row r="476" spans="1:5" ht="15.75">
      <c r="A476" s="127"/>
      <c r="B476" s="1" t="s">
        <v>278</v>
      </c>
      <c r="C476" s="400" t="s">
        <v>0</v>
      </c>
      <c r="D476" s="108"/>
      <c r="E476" s="108"/>
    </row>
    <row r="477" spans="1:5" ht="15.75">
      <c r="A477" s="127"/>
      <c r="B477" s="1350" t="s">
        <v>279</v>
      </c>
      <c r="C477" s="400" t="s">
        <v>0</v>
      </c>
      <c r="D477" s="108"/>
      <c r="E477" s="108"/>
    </row>
    <row r="478" spans="1:5" ht="15.75">
      <c r="A478" s="127"/>
      <c r="B478" s="1" t="s">
        <v>280</v>
      </c>
      <c r="C478" s="400" t="s">
        <v>0</v>
      </c>
      <c r="D478" s="108"/>
      <c r="E478" s="108"/>
    </row>
    <row r="479" spans="1:5" ht="15.75">
      <c r="A479" s="127"/>
      <c r="B479" s="1350" t="s">
        <v>281</v>
      </c>
      <c r="C479" s="400" t="s">
        <v>0</v>
      </c>
      <c r="D479" s="108"/>
      <c r="E479" s="108"/>
    </row>
    <row r="480" spans="1:5" ht="15.75">
      <c r="A480" s="127"/>
      <c r="B480" s="1" t="s">
        <v>282</v>
      </c>
      <c r="C480" s="400" t="s">
        <v>0</v>
      </c>
      <c r="D480" s="108"/>
      <c r="E480" s="108"/>
    </row>
    <row r="481" spans="1:5" ht="15.75">
      <c r="A481" s="127"/>
      <c r="B481" s="1350" t="s">
        <v>283</v>
      </c>
      <c r="C481" s="400" t="s">
        <v>0</v>
      </c>
      <c r="D481" s="108"/>
      <c r="E481" s="108"/>
    </row>
    <row r="482" spans="1:5" ht="15.75">
      <c r="A482" s="127"/>
      <c r="B482" s="1" t="s">
        <v>284</v>
      </c>
      <c r="C482" s="400" t="s">
        <v>0</v>
      </c>
      <c r="D482" s="108"/>
      <c r="E482" s="108"/>
    </row>
    <row r="483" spans="1:5" ht="15.75">
      <c r="A483" s="127"/>
      <c r="B483" s="1350" t="s">
        <v>285</v>
      </c>
      <c r="C483" s="400" t="s">
        <v>0</v>
      </c>
      <c r="D483" s="108"/>
      <c r="E483" s="108"/>
    </row>
    <row r="484" spans="1:5" s="813" customFormat="1">
      <c r="A484" s="802">
        <v>392</v>
      </c>
      <c r="B484" s="803" t="s">
        <v>991</v>
      </c>
      <c r="C484" s="804" t="s">
        <v>0</v>
      </c>
      <c r="D484" s="805"/>
      <c r="E484" s="805"/>
    </row>
    <row r="485" spans="1:5">
      <c r="A485" s="127">
        <v>393</v>
      </c>
      <c r="B485" s="404" t="s">
        <v>992</v>
      </c>
      <c r="C485" s="400" t="s">
        <v>0</v>
      </c>
      <c r="D485" s="108"/>
      <c r="E485" s="108"/>
    </row>
    <row r="486" spans="1:5" s="813" customFormat="1">
      <c r="A486" s="802">
        <v>394</v>
      </c>
      <c r="B486" s="815" t="s">
        <v>1080</v>
      </c>
      <c r="C486" s="804" t="s">
        <v>0</v>
      </c>
      <c r="D486" s="805"/>
      <c r="E486" s="805"/>
    </row>
    <row r="487" spans="1:5">
      <c r="A487" s="127">
        <v>395</v>
      </c>
      <c r="B487" s="404" t="s">
        <v>993</v>
      </c>
      <c r="C487" s="400" t="s">
        <v>0</v>
      </c>
      <c r="D487" s="108"/>
      <c r="E487" s="108"/>
    </row>
    <row r="488" spans="1:5" s="813" customFormat="1">
      <c r="A488" s="802">
        <v>396</v>
      </c>
      <c r="B488" s="815" t="s">
        <v>994</v>
      </c>
      <c r="C488" s="804" t="s">
        <v>0</v>
      </c>
      <c r="D488" s="805"/>
      <c r="E488" s="805"/>
    </row>
    <row r="489" spans="1:5">
      <c r="A489" s="127">
        <v>397</v>
      </c>
      <c r="B489" s="404" t="s">
        <v>995</v>
      </c>
      <c r="C489" s="400" t="s">
        <v>168</v>
      </c>
      <c r="D489" s="108"/>
      <c r="E489" s="108"/>
    </row>
    <row r="490" spans="1:5" s="813" customFormat="1">
      <c r="A490" s="802">
        <v>398</v>
      </c>
      <c r="B490" s="815" t="s">
        <v>996</v>
      </c>
      <c r="C490" s="804" t="s">
        <v>168</v>
      </c>
      <c r="D490" s="805"/>
      <c r="E490" s="805"/>
    </row>
    <row r="491" spans="1:5">
      <c r="A491" s="127">
        <v>399</v>
      </c>
      <c r="B491" s="795" t="s">
        <v>1156</v>
      </c>
      <c r="C491" s="162" t="s">
        <v>0</v>
      </c>
      <c r="D491" s="108"/>
      <c r="E491" s="108"/>
    </row>
    <row r="492" spans="1:5" s="813" customFormat="1">
      <c r="A492" s="802">
        <v>400</v>
      </c>
      <c r="B492" s="816" t="s">
        <v>1157</v>
      </c>
      <c r="C492" s="817" t="s">
        <v>386</v>
      </c>
      <c r="D492" s="805"/>
      <c r="E492" s="805"/>
    </row>
    <row r="493" spans="1:5">
      <c r="A493" s="127">
        <v>401</v>
      </c>
      <c r="B493" s="790" t="s">
        <v>1158</v>
      </c>
      <c r="C493" s="162" t="s">
        <v>0</v>
      </c>
      <c r="D493" s="108"/>
      <c r="E493" s="108"/>
    </row>
    <row r="494" spans="1:5" s="813" customFormat="1">
      <c r="A494" s="802">
        <v>402</v>
      </c>
      <c r="B494" s="816" t="s">
        <v>1159</v>
      </c>
      <c r="C494" s="817" t="s">
        <v>0</v>
      </c>
      <c r="D494" s="805"/>
      <c r="E494" s="805"/>
    </row>
    <row r="495" spans="1:5">
      <c r="A495" s="127">
        <v>403</v>
      </c>
      <c r="B495" s="790" t="s">
        <v>1160</v>
      </c>
      <c r="C495" s="195" t="s">
        <v>0</v>
      </c>
      <c r="D495" s="108"/>
      <c r="E495" s="108"/>
    </row>
    <row r="496" spans="1:5" s="813" customFormat="1">
      <c r="A496" s="802">
        <v>404</v>
      </c>
      <c r="B496" s="807" t="s">
        <v>1161</v>
      </c>
      <c r="C496" s="817" t="s">
        <v>0</v>
      </c>
      <c r="D496" s="805"/>
      <c r="E496" s="805"/>
    </row>
    <row r="497" spans="1:5">
      <c r="A497" s="127">
        <v>405</v>
      </c>
      <c r="B497" s="791" t="s">
        <v>1162</v>
      </c>
      <c r="C497" s="792" t="s">
        <v>0</v>
      </c>
      <c r="D497" s="108"/>
      <c r="E497" s="108"/>
    </row>
    <row r="498" spans="1:5" s="813" customFormat="1">
      <c r="A498" s="802">
        <v>406</v>
      </c>
      <c r="B498" s="818" t="s">
        <v>1163</v>
      </c>
      <c r="C498" s="819" t="s">
        <v>0</v>
      </c>
      <c r="D498" s="805"/>
      <c r="E498" s="805"/>
    </row>
    <row r="499" spans="1:5">
      <c r="A499" s="127">
        <v>407</v>
      </c>
      <c r="B499" s="790" t="s">
        <v>1164</v>
      </c>
      <c r="C499" s="162" t="s">
        <v>0</v>
      </c>
      <c r="D499" s="108"/>
      <c r="E499" s="108"/>
    </row>
  </sheetData>
  <sheetProtection formatCells="0" formatColumns="0" formatRows="0" insertColumns="0" insertRows="0" insertHyperlinks="0" deleteColumns="0" deleteRows="0" selectLockedCells="1" sort="0" autoFilter="0" pivotTables="0"/>
  <mergeCells count="4">
    <mergeCell ref="A1:E1"/>
    <mergeCell ref="A2:E2"/>
    <mergeCell ref="A3:E3"/>
    <mergeCell ref="F204:G205"/>
  </mergeCells>
  <pageMargins left="0.511811024" right="0.511811024" top="0.78740157499999996" bottom="0.78740157499999996" header="0.31496062000000002" footer="0.31496062000000002"/>
  <pageSetup paperSize="9" scale="10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Macro10">
                <anchor moveWithCells="1" sizeWithCells="1">
                  <from>
                    <xdr:col>5</xdr:col>
                    <xdr:colOff>57150</xdr:colOff>
                    <xdr:row>0</xdr:row>
                    <xdr:rowOff>57150</xdr:rowOff>
                  </from>
                  <to>
                    <xdr:col>7</xdr:col>
                    <xdr:colOff>66675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5" name="Button 4">
              <controlPr defaultSize="0" print="0" autoFill="0" autoPict="0" macro="[0]!Macro17gg">
                <anchor moveWithCells="1" sizeWithCells="1">
                  <from>
                    <xdr:col>7</xdr:col>
                    <xdr:colOff>114300</xdr:colOff>
                    <xdr:row>1</xdr:row>
                    <xdr:rowOff>228600</xdr:rowOff>
                  </from>
                  <to>
                    <xdr:col>8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9" r:id="rId6" name="Button 7">
              <controlPr defaultSize="0" print="0" autoFill="0" autoPict="0" macro="[0]!Macro7">
                <anchor moveWithCells="1" sizeWithCells="1">
                  <from>
                    <xdr:col>11</xdr:col>
                    <xdr:colOff>228600</xdr:colOff>
                    <xdr:row>1</xdr:row>
                    <xdr:rowOff>238125</xdr:rowOff>
                  </from>
                  <to>
                    <xdr:col>14</xdr:col>
                    <xdr:colOff>9525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r:id="rId7" name="Button 8">
              <controlPr defaultSize="0" print="0" autoFill="0" autoPict="0" macro="[0]!Macro14">
                <anchor moveWithCells="1" sizeWithCells="1">
                  <from>
                    <xdr:col>8</xdr:col>
                    <xdr:colOff>333375</xdr:colOff>
                    <xdr:row>1</xdr:row>
                    <xdr:rowOff>238125</xdr:rowOff>
                  </from>
                  <to>
                    <xdr:col>11</xdr:col>
                    <xdr:colOff>180975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1" r:id="rId8" name="Button 9">
              <controlPr defaultSize="0" print="0" autoFill="0" autoPict="0" macro="[0]!Macro16">
                <anchor moveWithCells="1" sizeWithCells="1">
                  <from>
                    <xdr:col>7</xdr:col>
                    <xdr:colOff>114300</xdr:colOff>
                    <xdr:row>0</xdr:row>
                    <xdr:rowOff>47625</xdr:rowOff>
                  </from>
                  <to>
                    <xdr:col>10</xdr:col>
                    <xdr:colOff>85725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2" r:id="rId9" name="Button 10">
              <controlPr defaultSize="0" print="0" autoFill="0" autoPict="0" macro="[0]!Macro15">
                <anchor moveWithCells="1" sizeWithCells="1">
                  <from>
                    <xdr:col>10</xdr:col>
                    <xdr:colOff>123825</xdr:colOff>
                    <xdr:row>0</xdr:row>
                    <xdr:rowOff>47625</xdr:rowOff>
                  </from>
                  <to>
                    <xdr:col>12</xdr:col>
                    <xdr:colOff>419100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9FCBB-9433-40FF-A8C9-FE70AB244380}">
  <sheetPr codeName="Plan23"/>
  <dimension ref="A1:Q566"/>
  <sheetViews>
    <sheetView showGridLines="0" zoomScale="90" zoomScaleNormal="90" workbookViewId="0">
      <pane ySplit="18" topLeftCell="A22" activePane="bottomLeft" state="frozen"/>
      <selection pane="bottomLeft" activeCell="N13" sqref="N13"/>
    </sheetView>
  </sheetViews>
  <sheetFormatPr defaultRowHeight="15"/>
  <cols>
    <col min="1" max="1" width="18.85546875" customWidth="1"/>
    <col min="2" max="2" width="14.5703125" customWidth="1"/>
    <col min="3" max="3" width="0.28515625" customWidth="1"/>
    <col min="4" max="4" width="13.140625" customWidth="1"/>
    <col min="9" max="9" width="2.7109375" customWidth="1"/>
    <col min="10" max="10" width="14.5703125" customWidth="1"/>
    <col min="11" max="11" width="0.28515625" customWidth="1"/>
    <col min="12" max="12" width="13.140625" customWidth="1"/>
  </cols>
  <sheetData>
    <row r="1" spans="1:16" ht="5.0999999999999996" customHeight="1" thickBot="1">
      <c r="A1" s="1559"/>
    </row>
    <row r="2" spans="1:16" ht="15" customHeight="1">
      <c r="A2" s="1559"/>
      <c r="B2" s="1966" t="s">
        <v>1614</v>
      </c>
      <c r="C2" s="1967"/>
      <c r="D2" s="1967"/>
      <c r="E2" s="1967"/>
      <c r="F2" s="1967"/>
      <c r="G2" s="1967"/>
      <c r="H2" s="1968"/>
      <c r="J2" s="1007" t="s">
        <v>1615</v>
      </c>
      <c r="K2" s="1008"/>
      <c r="L2" s="1008"/>
      <c r="M2" s="1008"/>
      <c r="N2" s="1008"/>
      <c r="O2" s="1008"/>
      <c r="P2" s="1009"/>
    </row>
    <row r="3" spans="1:16" ht="15.75" customHeight="1" thickBot="1">
      <c r="A3" s="1559"/>
      <c r="B3" s="1969"/>
      <c r="C3" s="1970"/>
      <c r="D3" s="1970"/>
      <c r="E3" s="1970"/>
      <c r="F3" s="1970"/>
      <c r="G3" s="1970"/>
      <c r="H3" s="1971"/>
      <c r="J3" s="1010"/>
      <c r="K3" s="1011"/>
      <c r="L3" s="1011"/>
      <c r="M3" s="1011"/>
      <c r="N3" s="1011"/>
      <c r="O3" s="1011"/>
      <c r="P3" s="1012"/>
    </row>
    <row r="4" spans="1:16" ht="5.0999999999999996" customHeight="1" thickBot="1">
      <c r="A4" s="1559"/>
      <c r="B4" s="971"/>
      <c r="C4" s="971"/>
      <c r="D4" s="971"/>
      <c r="E4" s="971"/>
      <c r="F4" s="971"/>
      <c r="G4" s="971"/>
      <c r="H4" s="971"/>
      <c r="J4" s="971"/>
      <c r="K4" s="971"/>
      <c r="L4" s="971"/>
      <c r="M4" s="971"/>
      <c r="N4" s="971"/>
      <c r="O4" s="971"/>
      <c r="P4" s="971"/>
    </row>
    <row r="5" spans="1:16" ht="20.25" thickBot="1">
      <c r="A5" s="1559"/>
      <c r="B5" s="1975" t="s">
        <v>1629</v>
      </c>
      <c r="C5" s="970"/>
      <c r="D5" s="972" t="s">
        <v>1630</v>
      </c>
      <c r="E5" s="979" t="s">
        <v>1616</v>
      </c>
      <c r="F5" s="980">
        <v>300</v>
      </c>
      <c r="G5" s="980">
        <v>600</v>
      </c>
      <c r="H5" s="981">
        <v>1000</v>
      </c>
      <c r="J5" s="1975" t="s">
        <v>1629</v>
      </c>
      <c r="K5" s="970"/>
      <c r="L5" s="972" t="s">
        <v>1630</v>
      </c>
      <c r="M5" s="979" t="s">
        <v>1617</v>
      </c>
      <c r="N5" s="973" t="s">
        <v>1586</v>
      </c>
      <c r="O5" s="973" t="s">
        <v>1587</v>
      </c>
      <c r="P5" s="974" t="s">
        <v>1588</v>
      </c>
    </row>
    <row r="6" spans="1:16" ht="2.1" customHeight="1" thickBot="1">
      <c r="A6" s="1559"/>
      <c r="B6" s="1976"/>
      <c r="C6" s="950"/>
      <c r="D6" s="948"/>
      <c r="E6" s="948"/>
      <c r="F6" s="949"/>
      <c r="G6" s="949"/>
      <c r="H6" s="949"/>
      <c r="J6" s="1976"/>
      <c r="K6" s="950"/>
      <c r="L6" s="948"/>
      <c r="M6" s="948"/>
      <c r="N6" s="949"/>
      <c r="O6" s="949"/>
      <c r="P6" s="949"/>
    </row>
    <row r="7" spans="1:16" ht="19.5">
      <c r="A7" s="1559"/>
      <c r="B7" s="1960" t="s">
        <v>1663</v>
      </c>
      <c r="C7" s="1961"/>
      <c r="D7" s="1962"/>
      <c r="E7" s="977"/>
      <c r="F7" s="975"/>
      <c r="G7" s="975"/>
      <c r="H7" s="975"/>
      <c r="J7" s="1960" t="s">
        <v>1631</v>
      </c>
      <c r="K7" s="1961"/>
      <c r="L7" s="1962"/>
      <c r="M7" s="977"/>
      <c r="N7" s="975"/>
      <c r="O7" s="975"/>
      <c r="P7" s="975"/>
    </row>
    <row r="8" spans="1:16" ht="19.5">
      <c r="A8" s="1559"/>
      <c r="B8" s="1977" t="s">
        <v>1664</v>
      </c>
      <c r="C8" s="1978"/>
      <c r="D8" s="1979"/>
      <c r="E8" s="978"/>
      <c r="F8" s="976"/>
      <c r="G8" s="976"/>
      <c r="H8" s="976"/>
      <c r="J8" s="1977" t="s">
        <v>1637</v>
      </c>
      <c r="K8" s="1978"/>
      <c r="L8" s="1979"/>
      <c r="M8" s="978"/>
      <c r="N8" s="976"/>
      <c r="O8" s="976"/>
      <c r="P8" s="976"/>
    </row>
    <row r="9" spans="1:16" ht="19.5">
      <c r="A9" s="1559"/>
      <c r="B9" s="1951" t="s">
        <v>1667</v>
      </c>
      <c r="C9" s="1952"/>
      <c r="D9" s="1953"/>
      <c r="E9" s="977"/>
      <c r="F9" s="975"/>
      <c r="G9" s="975"/>
      <c r="H9" s="975"/>
      <c r="J9" s="1951" t="s">
        <v>1667</v>
      </c>
      <c r="K9" s="1952"/>
      <c r="L9" s="1953"/>
      <c r="M9" s="977"/>
      <c r="N9" s="975"/>
      <c r="O9" s="975"/>
      <c r="P9" s="975"/>
    </row>
    <row r="10" spans="1:16" ht="19.5">
      <c r="A10" s="1559"/>
      <c r="B10" s="1972" t="s">
        <v>1636</v>
      </c>
      <c r="C10" s="1973"/>
      <c r="D10" s="1974"/>
      <c r="E10" s="978"/>
      <c r="F10" s="976"/>
      <c r="G10" s="976"/>
      <c r="H10" s="976"/>
      <c r="J10" s="1972" t="s">
        <v>1636</v>
      </c>
      <c r="K10" s="1973"/>
      <c r="L10" s="1974"/>
      <c r="M10" s="978"/>
      <c r="N10" s="976"/>
      <c r="O10" s="976"/>
      <c r="P10" s="976"/>
    </row>
    <row r="11" spans="1:16" ht="19.5">
      <c r="A11" s="1559"/>
      <c r="B11" s="1963" t="s">
        <v>1666</v>
      </c>
      <c r="C11" s="1964"/>
      <c r="D11" s="1965"/>
      <c r="E11" s="977"/>
      <c r="F11" s="975"/>
      <c r="G11" s="975"/>
      <c r="H11" s="975"/>
      <c r="J11" s="1963" t="s">
        <v>1666</v>
      </c>
      <c r="K11" s="1964"/>
      <c r="L11" s="1965"/>
      <c r="M11" s="977"/>
      <c r="N11" s="975"/>
      <c r="O11" s="975"/>
      <c r="P11" s="975"/>
    </row>
    <row r="12" spans="1:16" ht="19.5">
      <c r="A12" s="1559"/>
      <c r="B12" s="1954" t="s">
        <v>1635</v>
      </c>
      <c r="C12" s="1955"/>
      <c r="D12" s="1956"/>
      <c r="E12" s="978"/>
      <c r="F12" s="976"/>
      <c r="G12" s="976"/>
      <c r="H12" s="976"/>
      <c r="J12" s="1954" t="s">
        <v>1635</v>
      </c>
      <c r="K12" s="1955"/>
      <c r="L12" s="1956"/>
      <c r="M12" s="978"/>
      <c r="N12" s="976"/>
      <c r="O12" s="976"/>
      <c r="P12" s="976"/>
    </row>
    <row r="13" spans="1:16" ht="19.5">
      <c r="A13" s="1559"/>
      <c r="B13" s="1951" t="s">
        <v>1634</v>
      </c>
      <c r="C13" s="1952"/>
      <c r="D13" s="1953"/>
      <c r="E13" s="977"/>
      <c r="F13" s="975"/>
      <c r="G13" s="975"/>
      <c r="H13" s="975"/>
      <c r="J13" s="1951" t="s">
        <v>1634</v>
      </c>
      <c r="K13" s="1952"/>
      <c r="L13" s="1953"/>
      <c r="M13" s="977"/>
      <c r="N13" s="975"/>
      <c r="O13" s="975"/>
      <c r="P13" s="975"/>
    </row>
    <row r="14" spans="1:16" ht="19.5">
      <c r="A14" s="1559"/>
      <c r="B14" s="1954" t="s">
        <v>1668</v>
      </c>
      <c r="C14" s="1955"/>
      <c r="D14" s="1956"/>
      <c r="E14" s="978"/>
      <c r="F14" s="976"/>
      <c r="G14" s="976"/>
      <c r="H14" s="976"/>
      <c r="J14" s="1954" t="s">
        <v>1668</v>
      </c>
      <c r="K14" s="1955"/>
      <c r="L14" s="1956"/>
      <c r="M14" s="978"/>
      <c r="N14" s="976"/>
      <c r="O14" s="976"/>
      <c r="P14" s="976"/>
    </row>
    <row r="15" spans="1:16" ht="19.5">
      <c r="A15" s="1559"/>
      <c r="B15" s="1951" t="s">
        <v>1669</v>
      </c>
      <c r="C15" s="1952"/>
      <c r="D15" s="1953"/>
      <c r="E15" s="977"/>
      <c r="F15" s="975"/>
      <c r="G15" s="975"/>
      <c r="H15" s="975"/>
      <c r="J15" s="1951" t="s">
        <v>1669</v>
      </c>
      <c r="K15" s="1952"/>
      <c r="L15" s="1953"/>
      <c r="M15" s="977"/>
      <c r="N15" s="975"/>
      <c r="O15" s="975"/>
      <c r="P15" s="975"/>
    </row>
    <row r="16" spans="1:16" ht="19.5">
      <c r="A16" s="1559"/>
      <c r="B16" s="1954" t="s">
        <v>1632</v>
      </c>
      <c r="C16" s="1955"/>
      <c r="D16" s="1956"/>
      <c r="E16" s="978"/>
      <c r="F16" s="976"/>
      <c r="G16" s="976"/>
      <c r="H16" s="976"/>
      <c r="J16" s="1954" t="s">
        <v>1632</v>
      </c>
      <c r="K16" s="1955"/>
      <c r="L16" s="1956"/>
      <c r="M16" s="978"/>
      <c r="N16" s="976"/>
      <c r="O16" s="976"/>
      <c r="P16" s="976"/>
    </row>
    <row r="17" spans="1:16" ht="19.5">
      <c r="A17" s="1559"/>
      <c r="B17" s="1951" t="s">
        <v>1633</v>
      </c>
      <c r="C17" s="1952"/>
      <c r="D17" s="1953"/>
      <c r="E17" s="977"/>
      <c r="F17" s="975"/>
      <c r="G17" s="975"/>
      <c r="H17" s="975"/>
      <c r="J17" s="1951" t="s">
        <v>1633</v>
      </c>
      <c r="K17" s="1952"/>
      <c r="L17" s="1953"/>
      <c r="M17" s="977"/>
      <c r="N17" s="975"/>
      <c r="O17" s="975"/>
      <c r="P17" s="975"/>
    </row>
    <row r="18" spans="1:16" ht="20.25" thickBot="1">
      <c r="A18" s="1559"/>
      <c r="B18" s="1957" t="s">
        <v>1665</v>
      </c>
      <c r="C18" s="1958"/>
      <c r="D18" s="1959"/>
      <c r="E18" s="978"/>
      <c r="F18" s="976"/>
      <c r="G18" s="976"/>
      <c r="H18" s="976"/>
      <c r="J18" s="1957" t="s">
        <v>1665</v>
      </c>
      <c r="K18" s="1958"/>
      <c r="L18" s="1959"/>
      <c r="M18" s="978"/>
      <c r="N18" s="976"/>
      <c r="O18" s="976"/>
      <c r="P18" s="976"/>
    </row>
    <row r="72" spans="2:17">
      <c r="B72" s="955" t="s">
        <v>770</v>
      </c>
      <c r="C72" s="955"/>
      <c r="D72" s="952"/>
      <c r="E72" s="167"/>
      <c r="F72" s="167"/>
      <c r="G72" s="167"/>
      <c r="H72" s="952" t="s">
        <v>0</v>
      </c>
      <c r="Q72">
        <f>M72</f>
        <v>0</v>
      </c>
    </row>
    <row r="73" spans="2:17">
      <c r="B73" s="955" t="s">
        <v>771</v>
      </c>
      <c r="C73" s="955"/>
      <c r="D73" s="952"/>
      <c r="E73" s="167"/>
      <c r="F73" s="167"/>
      <c r="G73" s="167"/>
      <c r="H73" s="952" t="s">
        <v>0</v>
      </c>
      <c r="Q73">
        <f t="shared" ref="Q73:Q142" si="0">M73</f>
        <v>0</v>
      </c>
    </row>
    <row r="74" spans="2:17">
      <c r="B74" s="955" t="s">
        <v>772</v>
      </c>
      <c r="C74" s="955"/>
      <c r="D74" s="952"/>
      <c r="E74" s="167"/>
      <c r="F74" s="167"/>
      <c r="G74" s="167"/>
      <c r="H74" s="952" t="s">
        <v>0</v>
      </c>
      <c r="Q74">
        <f t="shared" si="0"/>
        <v>0</v>
      </c>
    </row>
    <row r="75" spans="2:17">
      <c r="B75" s="955" t="s">
        <v>1695</v>
      </c>
      <c r="C75" s="955"/>
      <c r="D75" s="952"/>
      <c r="E75" s="167"/>
      <c r="F75" s="167"/>
      <c r="G75" s="167"/>
      <c r="H75" s="952"/>
    </row>
    <row r="76" spans="2:17">
      <c r="B76" s="955" t="s">
        <v>773</v>
      </c>
      <c r="C76" s="955"/>
      <c r="D76" s="952"/>
      <c r="E76" s="167"/>
      <c r="F76" s="167"/>
      <c r="G76" s="167"/>
      <c r="H76" s="952" t="s">
        <v>0</v>
      </c>
      <c r="Q76">
        <f t="shared" si="0"/>
        <v>0</v>
      </c>
    </row>
    <row r="77" spans="2:17">
      <c r="B77" s="955" t="s">
        <v>774</v>
      </c>
      <c r="C77" s="955"/>
      <c r="D77" s="952"/>
      <c r="E77" s="167"/>
      <c r="F77" s="167"/>
      <c r="G77" s="167"/>
      <c r="H77" s="952" t="s">
        <v>0</v>
      </c>
      <c r="Q77">
        <f t="shared" si="0"/>
        <v>0</v>
      </c>
    </row>
    <row r="78" spans="2:17">
      <c r="B78" s="955" t="s">
        <v>775</v>
      </c>
      <c r="C78" s="955"/>
      <c r="D78" s="952"/>
      <c r="E78" s="167"/>
      <c r="F78" s="167"/>
      <c r="G78" s="167"/>
      <c r="H78" s="952" t="s">
        <v>0</v>
      </c>
      <c r="Q78">
        <f t="shared" si="0"/>
        <v>0</v>
      </c>
    </row>
    <row r="79" spans="2:17">
      <c r="B79" s="955" t="s">
        <v>776</v>
      </c>
      <c r="C79" s="955"/>
      <c r="D79" s="952"/>
      <c r="E79" s="167"/>
      <c r="F79" s="167"/>
      <c r="G79" s="167"/>
      <c r="H79" s="952" t="s">
        <v>0</v>
      </c>
      <c r="Q79">
        <f t="shared" si="0"/>
        <v>0</v>
      </c>
    </row>
    <row r="80" spans="2:17">
      <c r="B80" s="167" t="s">
        <v>1030</v>
      </c>
      <c r="C80" s="167"/>
      <c r="D80" s="952"/>
      <c r="E80" s="167"/>
      <c r="F80" s="167"/>
      <c r="G80" s="167"/>
      <c r="H80" s="952" t="s">
        <v>0</v>
      </c>
      <c r="Q80">
        <f t="shared" si="0"/>
        <v>0</v>
      </c>
    </row>
    <row r="81" spans="2:17">
      <c r="B81" s="167" t="s">
        <v>1031</v>
      </c>
      <c r="C81" s="167"/>
      <c r="D81" s="952"/>
      <c r="E81" s="167"/>
      <c r="F81" s="167"/>
      <c r="G81" s="167"/>
      <c r="H81" s="952" t="s">
        <v>0</v>
      </c>
      <c r="Q81">
        <f t="shared" si="0"/>
        <v>0</v>
      </c>
    </row>
    <row r="82" spans="2:17">
      <c r="B82" s="955" t="s">
        <v>1000</v>
      </c>
      <c r="C82" s="955"/>
      <c r="D82" s="952"/>
      <c r="E82" s="167"/>
      <c r="F82" s="167"/>
      <c r="G82" s="167"/>
      <c r="H82" s="952" t="s">
        <v>0</v>
      </c>
      <c r="Q82">
        <f t="shared" si="0"/>
        <v>0</v>
      </c>
    </row>
    <row r="83" spans="2:17">
      <c r="B83" s="955" t="s">
        <v>777</v>
      </c>
      <c r="C83" s="955"/>
      <c r="D83" s="952"/>
      <c r="E83" s="167"/>
      <c r="F83" s="167"/>
      <c r="G83" s="167"/>
      <c r="H83" s="952" t="s">
        <v>386</v>
      </c>
      <c r="Q83">
        <f t="shared" si="0"/>
        <v>0</v>
      </c>
    </row>
    <row r="84" spans="2:17">
      <c r="B84" s="955" t="s">
        <v>1082</v>
      </c>
      <c r="C84" s="955"/>
      <c r="D84" s="952"/>
      <c r="E84" s="167"/>
      <c r="F84" s="167"/>
      <c r="G84" s="167"/>
      <c r="H84" s="952" t="s">
        <v>0</v>
      </c>
      <c r="Q84">
        <f t="shared" si="0"/>
        <v>0</v>
      </c>
    </row>
    <row r="85" spans="2:17">
      <c r="B85" s="955" t="s">
        <v>1083</v>
      </c>
      <c r="C85" s="955"/>
      <c r="D85" s="952"/>
      <c r="E85" s="167"/>
      <c r="F85" s="167"/>
      <c r="G85" s="167"/>
      <c r="H85" s="952" t="s">
        <v>0</v>
      </c>
      <c r="Q85">
        <f t="shared" si="0"/>
        <v>0</v>
      </c>
    </row>
    <row r="86" spans="2:17">
      <c r="B86" s="955" t="s">
        <v>778</v>
      </c>
      <c r="C86" s="955"/>
      <c r="D86" s="952"/>
      <c r="E86" s="167"/>
      <c r="F86" s="167"/>
      <c r="G86" s="167"/>
      <c r="H86" s="952" t="s">
        <v>0</v>
      </c>
      <c r="Q86">
        <f t="shared" si="0"/>
        <v>0</v>
      </c>
    </row>
    <row r="87" spans="2:17">
      <c r="B87" s="955" t="s">
        <v>779</v>
      </c>
      <c r="C87" s="955"/>
      <c r="D87" s="952"/>
      <c r="E87" s="167"/>
      <c r="F87" s="167"/>
      <c r="G87" s="167"/>
      <c r="H87" s="952" t="s">
        <v>0</v>
      </c>
      <c r="Q87">
        <f t="shared" si="0"/>
        <v>0</v>
      </c>
    </row>
    <row r="88" spans="2:17">
      <c r="B88" s="955" t="s">
        <v>780</v>
      </c>
      <c r="C88" s="955"/>
      <c r="D88" s="952"/>
      <c r="E88" s="167"/>
      <c r="F88" s="167"/>
      <c r="G88" s="167"/>
      <c r="H88" s="952" t="s">
        <v>0</v>
      </c>
      <c r="Q88">
        <f t="shared" si="0"/>
        <v>0</v>
      </c>
    </row>
    <row r="89" spans="2:17">
      <c r="B89" s="955" t="s">
        <v>781</v>
      </c>
      <c r="C89" s="955"/>
      <c r="D89" s="952"/>
      <c r="E89" s="167"/>
      <c r="F89" s="167"/>
      <c r="G89" s="167"/>
      <c r="H89" s="952" t="s">
        <v>0</v>
      </c>
      <c r="Q89">
        <f t="shared" si="0"/>
        <v>0</v>
      </c>
    </row>
    <row r="90" spans="2:17">
      <c r="B90" s="955" t="s">
        <v>782</v>
      </c>
      <c r="C90" s="955"/>
      <c r="D90" s="952"/>
      <c r="E90" s="167"/>
      <c r="F90" s="167"/>
      <c r="G90" s="167"/>
      <c r="H90" s="952" t="s">
        <v>0</v>
      </c>
      <c r="Q90">
        <f t="shared" si="0"/>
        <v>0</v>
      </c>
    </row>
    <row r="91" spans="2:17">
      <c r="B91" s="955" t="s">
        <v>783</v>
      </c>
      <c r="C91" s="955"/>
      <c r="D91" s="952"/>
      <c r="E91" s="167"/>
      <c r="F91" s="167"/>
      <c r="G91" s="167"/>
      <c r="H91" s="952" t="s">
        <v>0</v>
      </c>
      <c r="Q91">
        <f t="shared" si="0"/>
        <v>0</v>
      </c>
    </row>
    <row r="92" spans="2:17">
      <c r="B92" s="955" t="s">
        <v>784</v>
      </c>
      <c r="C92" s="955"/>
      <c r="D92" s="952"/>
      <c r="E92" s="167"/>
      <c r="F92" s="167"/>
      <c r="G92" s="167"/>
      <c r="H92" s="952" t="s">
        <v>0</v>
      </c>
      <c r="Q92">
        <f t="shared" si="0"/>
        <v>0</v>
      </c>
    </row>
    <row r="93" spans="2:17">
      <c r="B93" s="955" t="s">
        <v>785</v>
      </c>
      <c r="C93" s="955"/>
      <c r="D93" s="952"/>
      <c r="E93" s="167"/>
      <c r="F93" s="167"/>
      <c r="G93" s="167"/>
      <c r="H93" s="952" t="s">
        <v>0</v>
      </c>
      <c r="Q93">
        <f t="shared" si="0"/>
        <v>0</v>
      </c>
    </row>
    <row r="94" spans="2:17">
      <c r="B94" s="955" t="s">
        <v>786</v>
      </c>
      <c r="C94" s="955"/>
      <c r="D94" s="952"/>
      <c r="E94" s="167"/>
      <c r="F94" s="167"/>
      <c r="G94" s="167"/>
      <c r="H94" s="952" t="s">
        <v>0</v>
      </c>
      <c r="Q94">
        <f t="shared" si="0"/>
        <v>0</v>
      </c>
    </row>
    <row r="95" spans="2:17">
      <c r="B95" s="955" t="s">
        <v>787</v>
      </c>
      <c r="C95" s="955"/>
      <c r="D95" s="952"/>
      <c r="E95" s="167"/>
      <c r="F95" s="167"/>
      <c r="G95" s="167"/>
      <c r="H95" s="952" t="s">
        <v>0</v>
      </c>
      <c r="Q95">
        <f t="shared" si="0"/>
        <v>0</v>
      </c>
    </row>
    <row r="96" spans="2:17">
      <c r="B96" s="955" t="s">
        <v>788</v>
      </c>
      <c r="C96" s="955"/>
      <c r="D96" s="952"/>
      <c r="E96" s="167"/>
      <c r="F96" s="167"/>
      <c r="G96" s="167"/>
      <c r="H96" s="952" t="s">
        <v>0</v>
      </c>
      <c r="Q96">
        <f t="shared" si="0"/>
        <v>0</v>
      </c>
    </row>
    <row r="97" spans="2:17">
      <c r="B97" s="955" t="s">
        <v>1009</v>
      </c>
      <c r="C97" s="955"/>
      <c r="D97" s="952"/>
      <c r="E97" s="167"/>
      <c r="F97" s="167"/>
      <c r="G97" s="167"/>
      <c r="H97" s="952" t="s">
        <v>0</v>
      </c>
      <c r="Q97">
        <f t="shared" si="0"/>
        <v>0</v>
      </c>
    </row>
    <row r="98" spans="2:17">
      <c r="B98" s="955" t="s">
        <v>789</v>
      </c>
      <c r="C98" s="955"/>
      <c r="D98" s="952"/>
      <c r="E98" s="167"/>
      <c r="F98" s="167"/>
      <c r="G98" s="167"/>
      <c r="H98" s="952" t="s">
        <v>0</v>
      </c>
      <c r="Q98">
        <f t="shared" si="0"/>
        <v>0</v>
      </c>
    </row>
    <row r="99" spans="2:17">
      <c r="B99" s="955" t="s">
        <v>790</v>
      </c>
      <c r="C99" s="955"/>
      <c r="D99" s="952"/>
      <c r="E99" s="167"/>
      <c r="F99" s="167"/>
      <c r="G99" s="167"/>
      <c r="H99" s="952" t="s">
        <v>0</v>
      </c>
      <c r="Q99">
        <f t="shared" si="0"/>
        <v>0</v>
      </c>
    </row>
    <row r="100" spans="2:17">
      <c r="B100" s="956" t="s">
        <v>2</v>
      </c>
      <c r="C100" s="956"/>
      <c r="D100" s="952"/>
      <c r="E100" s="167"/>
      <c r="F100" s="167"/>
      <c r="G100" s="167"/>
      <c r="H100" s="952" t="s">
        <v>0</v>
      </c>
      <c r="Q100">
        <f t="shared" si="0"/>
        <v>0</v>
      </c>
    </row>
    <row r="101" spans="2:17">
      <c r="B101" s="955" t="s">
        <v>791</v>
      </c>
      <c r="C101" s="955"/>
      <c r="D101" s="952"/>
      <c r="E101" s="167"/>
      <c r="F101" s="167"/>
      <c r="G101" s="167"/>
      <c r="H101" s="952" t="s">
        <v>0</v>
      </c>
      <c r="Q101">
        <f t="shared" si="0"/>
        <v>0</v>
      </c>
    </row>
    <row r="102" spans="2:17">
      <c r="B102" s="955" t="s">
        <v>1007</v>
      </c>
      <c r="C102" s="955"/>
      <c r="D102" s="952"/>
      <c r="E102" s="167"/>
      <c r="F102" s="167"/>
      <c r="G102" s="167"/>
      <c r="H102" s="952" t="s">
        <v>0</v>
      </c>
      <c r="Q102">
        <f t="shared" si="0"/>
        <v>0</v>
      </c>
    </row>
    <row r="103" spans="2:17">
      <c r="B103" s="955" t="s">
        <v>792</v>
      </c>
      <c r="C103" s="955"/>
      <c r="D103" s="952"/>
      <c r="E103" s="167"/>
      <c r="F103" s="167"/>
      <c r="G103" s="167"/>
      <c r="H103" s="952" t="s">
        <v>0</v>
      </c>
      <c r="Q103">
        <f t="shared" si="0"/>
        <v>0</v>
      </c>
    </row>
    <row r="104" spans="2:17">
      <c r="B104" s="955" t="s">
        <v>793</v>
      </c>
      <c r="C104" s="955"/>
      <c r="D104" s="952"/>
      <c r="E104" s="167"/>
      <c r="F104" s="167"/>
      <c r="G104" s="167"/>
      <c r="H104" s="952" t="s">
        <v>0</v>
      </c>
      <c r="Q104">
        <f t="shared" si="0"/>
        <v>0</v>
      </c>
    </row>
    <row r="105" spans="2:17">
      <c r="B105" s="955" t="s">
        <v>794</v>
      </c>
      <c r="C105" s="955"/>
      <c r="D105" s="952"/>
      <c r="E105" s="167"/>
      <c r="F105" s="167"/>
      <c r="G105" s="167"/>
      <c r="H105" s="952" t="s">
        <v>0</v>
      </c>
      <c r="Q105">
        <f t="shared" si="0"/>
        <v>0</v>
      </c>
    </row>
    <row r="106" spans="2:17">
      <c r="B106" s="955" t="s">
        <v>795</v>
      </c>
      <c r="C106" s="955"/>
      <c r="D106" s="952"/>
      <c r="E106" s="167"/>
      <c r="F106" s="167"/>
      <c r="G106" s="167"/>
      <c r="H106" s="952" t="s">
        <v>0</v>
      </c>
      <c r="Q106">
        <f t="shared" si="0"/>
        <v>0</v>
      </c>
    </row>
    <row r="107" spans="2:17">
      <c r="B107" s="955" t="s">
        <v>796</v>
      </c>
      <c r="C107" s="955"/>
      <c r="D107" s="952"/>
      <c r="E107" s="167"/>
      <c r="F107" s="167"/>
      <c r="G107" s="167"/>
      <c r="H107" s="952" t="s">
        <v>0</v>
      </c>
      <c r="Q107">
        <f t="shared" si="0"/>
        <v>0</v>
      </c>
    </row>
    <row r="108" spans="2:17">
      <c r="B108" s="955" t="s">
        <v>797</v>
      </c>
      <c r="C108" s="955"/>
      <c r="D108" s="952"/>
      <c r="E108" s="167"/>
      <c r="F108" s="167"/>
      <c r="G108" s="167"/>
      <c r="H108" s="952" t="s">
        <v>0</v>
      </c>
      <c r="Q108">
        <f t="shared" si="0"/>
        <v>0</v>
      </c>
    </row>
    <row r="109" spans="2:17">
      <c r="B109" s="955" t="s">
        <v>798</v>
      </c>
      <c r="C109" s="955"/>
      <c r="D109" s="952"/>
      <c r="E109" s="167"/>
      <c r="F109" s="167"/>
      <c r="G109" s="167"/>
      <c r="H109" s="952" t="s">
        <v>0</v>
      </c>
      <c r="Q109">
        <f t="shared" si="0"/>
        <v>0</v>
      </c>
    </row>
    <row r="110" spans="2:17">
      <c r="B110" s="955" t="s">
        <v>799</v>
      </c>
      <c r="C110" s="955"/>
      <c r="D110" s="952"/>
      <c r="E110" s="167"/>
      <c r="F110" s="167"/>
      <c r="G110" s="167"/>
      <c r="H110" s="952" t="s">
        <v>0</v>
      </c>
      <c r="Q110">
        <f t="shared" si="0"/>
        <v>0</v>
      </c>
    </row>
    <row r="111" spans="2:17">
      <c r="B111" s="955" t="s">
        <v>800</v>
      </c>
      <c r="C111" s="955"/>
      <c r="D111" s="952"/>
      <c r="E111" s="167"/>
      <c r="F111" s="167"/>
      <c r="G111" s="167"/>
      <c r="H111" s="952" t="s">
        <v>0</v>
      </c>
      <c r="Q111">
        <f t="shared" si="0"/>
        <v>0</v>
      </c>
    </row>
    <row r="112" spans="2:17">
      <c r="B112" s="957" t="s">
        <v>464</v>
      </c>
      <c r="C112" s="957"/>
      <c r="D112" s="952"/>
      <c r="E112" s="167"/>
      <c r="F112" s="167"/>
      <c r="G112" s="167"/>
      <c r="H112" s="952" t="s">
        <v>0</v>
      </c>
      <c r="Q112">
        <f t="shared" si="0"/>
        <v>0</v>
      </c>
    </row>
    <row r="113" spans="2:17">
      <c r="B113" s="957" t="s">
        <v>440</v>
      </c>
      <c r="C113" s="957"/>
      <c r="D113" s="952"/>
      <c r="E113" s="167"/>
      <c r="F113" s="167"/>
      <c r="G113" s="167"/>
      <c r="H113" s="952" t="s">
        <v>0</v>
      </c>
      <c r="Q113">
        <f t="shared" si="0"/>
        <v>0</v>
      </c>
    </row>
    <row r="114" spans="2:17">
      <c r="B114" s="955" t="s">
        <v>801</v>
      </c>
      <c r="C114" s="955"/>
      <c r="D114" s="952"/>
      <c r="E114" s="167"/>
      <c r="F114" s="167"/>
      <c r="G114" s="167"/>
      <c r="H114" s="952" t="s">
        <v>0</v>
      </c>
      <c r="Q114">
        <f t="shared" si="0"/>
        <v>0</v>
      </c>
    </row>
    <row r="115" spans="2:17">
      <c r="B115" s="955" t="s">
        <v>802</v>
      </c>
      <c r="C115" s="955"/>
      <c r="D115" s="952"/>
      <c r="E115" s="167"/>
      <c r="F115" s="167"/>
      <c r="G115" s="167"/>
      <c r="H115" s="952" t="s">
        <v>0</v>
      </c>
      <c r="Q115">
        <f t="shared" si="0"/>
        <v>0</v>
      </c>
    </row>
    <row r="116" spans="2:17">
      <c r="B116" s="955" t="s">
        <v>803</v>
      </c>
      <c r="C116" s="955"/>
      <c r="D116" s="952"/>
      <c r="E116" s="167"/>
      <c r="F116" s="167"/>
      <c r="G116" s="167"/>
      <c r="H116" s="952" t="s">
        <v>0</v>
      </c>
      <c r="Q116">
        <f t="shared" si="0"/>
        <v>0</v>
      </c>
    </row>
    <row r="117" spans="2:17">
      <c r="B117" s="955" t="s">
        <v>804</v>
      </c>
      <c r="C117" s="955"/>
      <c r="D117" s="952"/>
      <c r="E117" s="167"/>
      <c r="F117" s="167"/>
      <c r="G117" s="167"/>
      <c r="H117" s="952" t="s">
        <v>0</v>
      </c>
      <c r="Q117">
        <f t="shared" si="0"/>
        <v>0</v>
      </c>
    </row>
    <row r="118" spans="2:17">
      <c r="B118" s="955" t="s">
        <v>805</v>
      </c>
      <c r="C118" s="955"/>
      <c r="D118" s="952"/>
      <c r="E118" s="167"/>
      <c r="F118" s="167"/>
      <c r="G118" s="167"/>
      <c r="H118" s="952" t="s">
        <v>0</v>
      </c>
      <c r="Q118">
        <f t="shared" si="0"/>
        <v>0</v>
      </c>
    </row>
    <row r="119" spans="2:17">
      <c r="B119" s="955" t="s">
        <v>806</v>
      </c>
      <c r="C119" s="955"/>
      <c r="D119" s="952"/>
      <c r="E119" s="167"/>
      <c r="F119" s="167"/>
      <c r="G119" s="167"/>
      <c r="H119" s="952" t="s">
        <v>0</v>
      </c>
      <c r="Q119">
        <f t="shared" si="0"/>
        <v>0</v>
      </c>
    </row>
    <row r="120" spans="2:17">
      <c r="B120" s="955" t="s">
        <v>807</v>
      </c>
      <c r="C120" s="955"/>
      <c r="D120" s="952"/>
      <c r="E120" s="167"/>
      <c r="F120" s="167"/>
      <c r="G120" s="167"/>
      <c r="H120" s="952" t="s">
        <v>0</v>
      </c>
      <c r="Q120">
        <f t="shared" si="0"/>
        <v>0</v>
      </c>
    </row>
    <row r="121" spans="2:17">
      <c r="B121" s="955" t="s">
        <v>808</v>
      </c>
      <c r="C121" s="955"/>
      <c r="D121" s="952"/>
      <c r="E121" s="167"/>
      <c r="F121" s="167"/>
      <c r="G121" s="167"/>
      <c r="H121" s="952" t="s">
        <v>0</v>
      </c>
      <c r="Q121">
        <f t="shared" si="0"/>
        <v>0</v>
      </c>
    </row>
    <row r="122" spans="2:17">
      <c r="B122" s="955" t="s">
        <v>810</v>
      </c>
      <c r="C122" s="955"/>
      <c r="D122" s="952"/>
      <c r="E122" s="167"/>
      <c r="F122" s="167"/>
      <c r="G122" s="167"/>
      <c r="H122" s="952" t="s">
        <v>386</v>
      </c>
      <c r="Q122">
        <f t="shared" si="0"/>
        <v>0</v>
      </c>
    </row>
    <row r="123" spans="2:17">
      <c r="B123" s="955" t="s">
        <v>811</v>
      </c>
      <c r="C123" s="955"/>
      <c r="D123" s="952"/>
      <c r="E123" s="167"/>
      <c r="F123" s="167"/>
      <c r="G123" s="167"/>
      <c r="H123" s="952" t="s">
        <v>386</v>
      </c>
      <c r="Q123">
        <f t="shared" si="0"/>
        <v>0</v>
      </c>
    </row>
    <row r="124" spans="2:17">
      <c r="B124" s="955" t="s">
        <v>809</v>
      </c>
      <c r="C124" s="955"/>
      <c r="D124" s="952"/>
      <c r="E124" s="167"/>
      <c r="F124" s="167"/>
      <c r="G124" s="167"/>
      <c r="H124" s="952" t="s">
        <v>386</v>
      </c>
      <c r="Q124">
        <f t="shared" si="0"/>
        <v>0</v>
      </c>
    </row>
    <row r="125" spans="2:17">
      <c r="B125" s="404" t="s">
        <v>1716</v>
      </c>
      <c r="C125" s="955"/>
      <c r="D125" s="952"/>
      <c r="E125" s="167"/>
      <c r="F125" s="167"/>
      <c r="G125" s="167"/>
      <c r="H125" s="400" t="s">
        <v>168</v>
      </c>
    </row>
    <row r="126" spans="2:17">
      <c r="B126" s="404" t="s">
        <v>1717</v>
      </c>
      <c r="C126" s="955"/>
      <c r="D126" s="952"/>
      <c r="E126" s="167"/>
      <c r="F126" s="167"/>
      <c r="G126" s="167"/>
      <c r="H126" s="400" t="s">
        <v>168</v>
      </c>
      <c r="L126" s="1349"/>
      <c r="M126" s="423"/>
    </row>
    <row r="127" spans="2:17">
      <c r="B127" s="404" t="s">
        <v>1718</v>
      </c>
      <c r="C127" s="955"/>
      <c r="D127" s="952"/>
      <c r="E127" s="167"/>
      <c r="F127" s="167"/>
      <c r="G127" s="167"/>
      <c r="H127" s="400" t="s">
        <v>168</v>
      </c>
      <c r="L127" s="1349"/>
      <c r="M127" s="423"/>
    </row>
    <row r="128" spans="2:17">
      <c r="B128" s="404" t="s">
        <v>1719</v>
      </c>
      <c r="C128" s="955"/>
      <c r="D128" s="952"/>
      <c r="E128" s="167"/>
      <c r="F128" s="167"/>
      <c r="G128" s="167"/>
      <c r="H128" s="400" t="s">
        <v>168</v>
      </c>
      <c r="L128" s="1349"/>
      <c r="M128" s="423"/>
    </row>
    <row r="129" spans="2:17">
      <c r="B129" s="955" t="s">
        <v>1383</v>
      </c>
      <c r="C129" s="955"/>
      <c r="D129" s="952"/>
      <c r="E129" s="167"/>
      <c r="F129" s="167"/>
      <c r="G129" s="167"/>
      <c r="H129" s="952" t="s">
        <v>168</v>
      </c>
      <c r="L129" s="1349"/>
      <c r="M129" s="423"/>
      <c r="Q129">
        <f t="shared" si="0"/>
        <v>0</v>
      </c>
    </row>
    <row r="130" spans="2:17">
      <c r="B130" s="955" t="s">
        <v>1381</v>
      </c>
      <c r="C130" s="955"/>
      <c r="D130" s="952"/>
      <c r="E130" s="167"/>
      <c r="F130" s="167"/>
      <c r="G130" s="167"/>
      <c r="H130" s="952" t="s">
        <v>168</v>
      </c>
      <c r="Q130">
        <f t="shared" si="0"/>
        <v>0</v>
      </c>
    </row>
    <row r="131" spans="2:17">
      <c r="B131" s="955" t="s">
        <v>812</v>
      </c>
      <c r="C131" s="955"/>
      <c r="D131" s="952"/>
      <c r="E131" s="167"/>
      <c r="F131" s="167"/>
      <c r="G131" s="167"/>
      <c r="H131" s="952" t="s">
        <v>0</v>
      </c>
      <c r="Q131">
        <f t="shared" si="0"/>
        <v>0</v>
      </c>
    </row>
    <row r="132" spans="2:17">
      <c r="B132" s="955" t="s">
        <v>813</v>
      </c>
      <c r="C132" s="955"/>
      <c r="D132" s="952"/>
      <c r="E132" s="167"/>
      <c r="F132" s="167"/>
      <c r="G132" s="167"/>
      <c r="H132" s="952" t="s">
        <v>0</v>
      </c>
      <c r="Q132">
        <f t="shared" si="0"/>
        <v>0</v>
      </c>
    </row>
    <row r="133" spans="2:17">
      <c r="B133" s="955" t="s">
        <v>814</v>
      </c>
      <c r="C133" s="955"/>
      <c r="D133" s="952"/>
      <c r="E133" s="167"/>
      <c r="F133" s="167"/>
      <c r="G133" s="167"/>
      <c r="H133" s="952" t="s">
        <v>0</v>
      </c>
      <c r="Q133">
        <f t="shared" si="0"/>
        <v>0</v>
      </c>
    </row>
    <row r="134" spans="2:17">
      <c r="B134" s="955" t="s">
        <v>1050</v>
      </c>
      <c r="C134" s="955"/>
      <c r="D134" s="952"/>
      <c r="E134" s="167"/>
      <c r="F134" s="167"/>
      <c r="G134" s="167"/>
      <c r="H134" s="952" t="s">
        <v>4</v>
      </c>
      <c r="Q134">
        <f t="shared" si="0"/>
        <v>0</v>
      </c>
    </row>
    <row r="135" spans="2:17">
      <c r="B135" s="955" t="s">
        <v>1051</v>
      </c>
      <c r="C135" s="955"/>
      <c r="D135" s="952"/>
      <c r="E135" s="167"/>
      <c r="F135" s="167"/>
      <c r="G135" s="167"/>
      <c r="H135" s="952" t="s">
        <v>4</v>
      </c>
      <c r="Q135">
        <f t="shared" si="0"/>
        <v>0</v>
      </c>
    </row>
    <row r="136" spans="2:17">
      <c r="B136" s="955" t="s">
        <v>1052</v>
      </c>
      <c r="C136" s="955"/>
      <c r="D136" s="952"/>
      <c r="E136" s="167"/>
      <c r="F136" s="167"/>
      <c r="G136" s="167"/>
      <c r="H136" s="952" t="s">
        <v>4</v>
      </c>
      <c r="Q136">
        <f t="shared" si="0"/>
        <v>0</v>
      </c>
    </row>
    <row r="137" spans="2:17">
      <c r="B137" s="955" t="s">
        <v>815</v>
      </c>
      <c r="C137" s="955"/>
      <c r="D137" s="952"/>
      <c r="E137" s="167"/>
      <c r="F137" s="167"/>
      <c r="G137" s="167"/>
      <c r="H137" s="952" t="s">
        <v>386</v>
      </c>
      <c r="Q137">
        <f t="shared" si="0"/>
        <v>0</v>
      </c>
    </row>
    <row r="138" spans="2:17">
      <c r="B138" s="955" t="s">
        <v>816</v>
      </c>
      <c r="C138" s="955"/>
      <c r="D138" s="952"/>
      <c r="E138" s="167"/>
      <c r="F138" s="167"/>
      <c r="G138" s="167"/>
      <c r="H138" s="952" t="s">
        <v>4</v>
      </c>
      <c r="Q138">
        <f t="shared" si="0"/>
        <v>0</v>
      </c>
    </row>
    <row r="139" spans="2:17">
      <c r="B139" s="955" t="s">
        <v>1740</v>
      </c>
      <c r="C139" s="955"/>
      <c r="D139" s="952"/>
      <c r="E139" s="167"/>
      <c r="F139" s="167"/>
      <c r="G139" s="167"/>
      <c r="H139" s="952" t="s">
        <v>168</v>
      </c>
      <c r="Q139">
        <f t="shared" si="0"/>
        <v>0</v>
      </c>
    </row>
    <row r="140" spans="2:17">
      <c r="B140" s="955" t="s">
        <v>1168</v>
      </c>
      <c r="C140" s="955"/>
      <c r="D140" s="952"/>
      <c r="E140" s="167"/>
      <c r="F140" s="167"/>
      <c r="G140" s="167"/>
      <c r="H140" s="952" t="s">
        <v>4</v>
      </c>
      <c r="Q140">
        <f t="shared" si="0"/>
        <v>0</v>
      </c>
    </row>
    <row r="141" spans="2:17">
      <c r="B141" s="955" t="s">
        <v>3</v>
      </c>
      <c r="C141" s="955"/>
      <c r="D141" s="952"/>
      <c r="E141" s="167"/>
      <c r="F141" s="167"/>
      <c r="G141" s="167"/>
      <c r="H141" s="952" t="s">
        <v>0</v>
      </c>
      <c r="Q141">
        <f t="shared" si="0"/>
        <v>0</v>
      </c>
    </row>
    <row r="142" spans="2:17">
      <c r="B142" s="955" t="s">
        <v>817</v>
      </c>
      <c r="C142" s="955"/>
      <c r="D142" s="952"/>
      <c r="E142" s="167"/>
      <c r="F142" s="167"/>
      <c r="G142" s="167"/>
      <c r="H142" s="952" t="s">
        <v>0</v>
      </c>
      <c r="Q142">
        <f t="shared" si="0"/>
        <v>0</v>
      </c>
    </row>
    <row r="143" spans="2:17">
      <c r="B143" s="955" t="s">
        <v>818</v>
      </c>
      <c r="C143" s="955"/>
      <c r="D143" s="952"/>
      <c r="E143" s="167"/>
      <c r="F143" s="167"/>
      <c r="G143" s="167"/>
      <c r="H143" s="952" t="s">
        <v>0</v>
      </c>
      <c r="Q143">
        <f t="shared" ref="Q143:Q209" si="1">M143</f>
        <v>0</v>
      </c>
    </row>
    <row r="144" spans="2:17">
      <c r="B144" s="955" t="s">
        <v>819</v>
      </c>
      <c r="C144" s="955"/>
      <c r="D144" s="952"/>
      <c r="E144" s="167"/>
      <c r="F144" s="167"/>
      <c r="G144" s="167"/>
      <c r="H144" s="952" t="s">
        <v>0</v>
      </c>
      <c r="Q144">
        <f t="shared" si="1"/>
        <v>0</v>
      </c>
    </row>
    <row r="145" spans="2:17">
      <c r="B145" s="955" t="s">
        <v>820</v>
      </c>
      <c r="C145" s="955"/>
      <c r="D145" s="952"/>
      <c r="E145" s="167"/>
      <c r="F145" s="167"/>
      <c r="G145" s="167"/>
      <c r="H145" s="952" t="s">
        <v>0</v>
      </c>
      <c r="Q145">
        <f t="shared" si="1"/>
        <v>0</v>
      </c>
    </row>
    <row r="146" spans="2:17">
      <c r="B146" s="399" t="s">
        <v>1713</v>
      </c>
      <c r="C146" s="400" t="s">
        <v>168</v>
      </c>
      <c r="D146" s="952"/>
      <c r="E146" s="167"/>
      <c r="F146" s="167"/>
      <c r="G146" s="167"/>
      <c r="H146" s="952"/>
    </row>
    <row r="147" spans="2:17">
      <c r="B147" s="399" t="s">
        <v>1714</v>
      </c>
      <c r="C147" s="400" t="s">
        <v>168</v>
      </c>
      <c r="D147" s="952"/>
      <c r="E147" s="167"/>
      <c r="F147" s="167"/>
      <c r="G147" s="167"/>
      <c r="H147" s="952"/>
    </row>
    <row r="148" spans="2:17">
      <c r="B148" s="399" t="s">
        <v>1691</v>
      </c>
      <c r="C148" s="400"/>
      <c r="D148" s="952"/>
      <c r="E148" s="167"/>
      <c r="F148" s="167"/>
      <c r="G148" s="167"/>
      <c r="H148" s="952"/>
    </row>
    <row r="149" spans="2:17">
      <c r="B149" s="955" t="s">
        <v>1040</v>
      </c>
      <c r="C149" s="955"/>
      <c r="D149" s="952"/>
      <c r="E149" s="167"/>
      <c r="F149" s="167"/>
      <c r="G149" s="167"/>
      <c r="H149" s="952" t="s">
        <v>0</v>
      </c>
      <c r="Q149">
        <f t="shared" si="1"/>
        <v>0</v>
      </c>
    </row>
    <row r="150" spans="2:17">
      <c r="B150" s="955" t="s">
        <v>8</v>
      </c>
      <c r="C150" s="955"/>
      <c r="D150" s="952"/>
      <c r="E150" s="167"/>
      <c r="F150" s="167"/>
      <c r="G150" s="167"/>
      <c r="H150" s="952" t="s">
        <v>0</v>
      </c>
      <c r="Q150">
        <f t="shared" si="1"/>
        <v>0</v>
      </c>
    </row>
    <row r="151" spans="2:17">
      <c r="B151" s="955" t="s">
        <v>1041</v>
      </c>
      <c r="C151" s="955"/>
      <c r="D151" s="952"/>
      <c r="E151" s="167"/>
      <c r="F151" s="167"/>
      <c r="G151" s="167"/>
      <c r="H151" s="952" t="s">
        <v>0</v>
      </c>
      <c r="Q151">
        <f t="shared" si="1"/>
        <v>0</v>
      </c>
    </row>
    <row r="152" spans="2:17">
      <c r="B152" s="955" t="s">
        <v>1042</v>
      </c>
      <c r="C152" s="955"/>
      <c r="D152" s="952"/>
      <c r="E152" s="167"/>
      <c r="F152" s="167"/>
      <c r="G152" s="167"/>
      <c r="H152" s="952" t="s">
        <v>0</v>
      </c>
      <c r="Q152">
        <f t="shared" si="1"/>
        <v>0</v>
      </c>
    </row>
    <row r="153" spans="2:17">
      <c r="B153" s="955" t="s">
        <v>1043</v>
      </c>
      <c r="C153" s="955"/>
      <c r="D153" s="952"/>
      <c r="E153" s="167"/>
      <c r="F153" s="167"/>
      <c r="G153" s="167"/>
      <c r="H153" s="952" t="s">
        <v>0</v>
      </c>
      <c r="Q153">
        <f t="shared" si="1"/>
        <v>0</v>
      </c>
    </row>
    <row r="154" spans="2:17">
      <c r="B154" s="955" t="s">
        <v>1044</v>
      </c>
      <c r="C154" s="955"/>
      <c r="D154" s="952"/>
      <c r="E154" s="167"/>
      <c r="F154" s="167"/>
      <c r="G154" s="167"/>
      <c r="H154" s="952" t="s">
        <v>0</v>
      </c>
      <c r="Q154">
        <f t="shared" si="1"/>
        <v>0</v>
      </c>
    </row>
    <row r="155" spans="2:17">
      <c r="B155" s="955" t="s">
        <v>1045</v>
      </c>
      <c r="C155" s="955"/>
      <c r="D155" s="952"/>
      <c r="E155" s="167"/>
      <c r="F155" s="167"/>
      <c r="G155" s="167"/>
      <c r="H155" s="952" t="s">
        <v>0</v>
      </c>
      <c r="Q155">
        <f t="shared" si="1"/>
        <v>0</v>
      </c>
    </row>
    <row r="156" spans="2:17">
      <c r="B156" s="955" t="s">
        <v>1046</v>
      </c>
      <c r="C156" s="955"/>
      <c r="D156" s="952"/>
      <c r="E156" s="167"/>
      <c r="F156" s="167"/>
      <c r="G156" s="167"/>
      <c r="H156" s="952" t="s">
        <v>0</v>
      </c>
      <c r="Q156">
        <f t="shared" si="1"/>
        <v>0</v>
      </c>
    </row>
    <row r="157" spans="2:17">
      <c r="B157" s="955" t="s">
        <v>1047</v>
      </c>
      <c r="C157" s="955"/>
      <c r="D157" s="952"/>
      <c r="E157" s="167"/>
      <c r="F157" s="167"/>
      <c r="G157" s="167"/>
      <c r="H157" s="952" t="s">
        <v>0</v>
      </c>
      <c r="Q157">
        <f t="shared" si="1"/>
        <v>0</v>
      </c>
    </row>
    <row r="158" spans="2:17">
      <c r="B158" s="955" t="s">
        <v>1048</v>
      </c>
      <c r="C158" s="955"/>
      <c r="D158" s="952"/>
      <c r="E158" s="167"/>
      <c r="F158" s="167"/>
      <c r="G158" s="167"/>
      <c r="H158" s="952" t="s">
        <v>0</v>
      </c>
      <c r="Q158">
        <f t="shared" si="1"/>
        <v>0</v>
      </c>
    </row>
    <row r="159" spans="2:17">
      <c r="B159" s="955" t="s">
        <v>1049</v>
      </c>
      <c r="C159" s="955"/>
      <c r="D159" s="952"/>
      <c r="E159" s="167"/>
      <c r="F159" s="167"/>
      <c r="G159" s="167"/>
      <c r="H159" s="952" t="s">
        <v>0</v>
      </c>
      <c r="Q159">
        <f t="shared" si="1"/>
        <v>0</v>
      </c>
    </row>
    <row r="160" spans="2:17">
      <c r="B160" s="958" t="s">
        <v>461</v>
      </c>
      <c r="C160" s="958"/>
      <c r="D160" s="952"/>
      <c r="E160" s="167"/>
      <c r="F160" s="167"/>
      <c r="G160" s="167"/>
      <c r="H160" s="952" t="s">
        <v>0</v>
      </c>
      <c r="Q160">
        <f t="shared" si="1"/>
        <v>0</v>
      </c>
    </row>
    <row r="161" spans="2:17">
      <c r="B161" s="955" t="s">
        <v>821</v>
      </c>
      <c r="C161" s="955"/>
      <c r="D161" s="952"/>
      <c r="E161" s="167"/>
      <c r="F161" s="167"/>
      <c r="G161" s="167"/>
      <c r="H161" s="952" t="s">
        <v>0</v>
      </c>
      <c r="Q161">
        <f t="shared" si="1"/>
        <v>0</v>
      </c>
    </row>
    <row r="162" spans="2:17">
      <c r="B162" s="955" t="s">
        <v>822</v>
      </c>
      <c r="C162" s="955"/>
      <c r="D162" s="952"/>
      <c r="E162" s="167"/>
      <c r="F162" s="167"/>
      <c r="G162" s="167"/>
      <c r="H162" s="952" t="s">
        <v>0</v>
      </c>
      <c r="Q162">
        <f t="shared" si="1"/>
        <v>0</v>
      </c>
    </row>
    <row r="163" spans="2:17">
      <c r="B163" s="955" t="s">
        <v>823</v>
      </c>
      <c r="C163" s="955"/>
      <c r="D163" s="952"/>
      <c r="E163" s="167"/>
      <c r="F163" s="167"/>
      <c r="G163" s="167"/>
      <c r="H163" s="952" t="s">
        <v>0</v>
      </c>
      <c r="Q163">
        <f t="shared" si="1"/>
        <v>0</v>
      </c>
    </row>
    <row r="164" spans="2:17">
      <c r="B164" s="955" t="s">
        <v>824</v>
      </c>
      <c r="C164" s="955"/>
      <c r="D164" s="952"/>
      <c r="E164" s="167"/>
      <c r="F164" s="167"/>
      <c r="G164" s="167"/>
      <c r="H164" s="952" t="s">
        <v>0</v>
      </c>
      <c r="Q164">
        <f t="shared" si="1"/>
        <v>0</v>
      </c>
    </row>
    <row r="165" spans="2:17">
      <c r="B165" s="955" t="s">
        <v>5</v>
      </c>
      <c r="C165" s="955"/>
      <c r="D165" s="952"/>
      <c r="E165" s="167"/>
      <c r="F165" s="167"/>
      <c r="G165" s="167"/>
      <c r="H165" s="952" t="s">
        <v>0</v>
      </c>
      <c r="Q165">
        <f t="shared" si="1"/>
        <v>0</v>
      </c>
    </row>
    <row r="166" spans="2:17">
      <c r="B166" s="955" t="s">
        <v>825</v>
      </c>
      <c r="C166" s="955"/>
      <c r="D166" s="952"/>
      <c r="E166" s="167"/>
      <c r="F166" s="167"/>
      <c r="G166" s="167"/>
      <c r="H166" s="952" t="s">
        <v>0</v>
      </c>
      <c r="Q166">
        <f t="shared" si="1"/>
        <v>0</v>
      </c>
    </row>
    <row r="167" spans="2:17">
      <c r="B167" s="955" t="s">
        <v>826</v>
      </c>
      <c r="C167" s="955"/>
      <c r="D167" s="952"/>
      <c r="E167" s="167"/>
      <c r="F167" s="167"/>
      <c r="G167" s="167"/>
      <c r="H167" s="952" t="s">
        <v>0</v>
      </c>
      <c r="Q167">
        <f t="shared" si="1"/>
        <v>0</v>
      </c>
    </row>
    <row r="168" spans="2:17">
      <c r="B168" s="955" t="s">
        <v>827</v>
      </c>
      <c r="C168" s="955"/>
      <c r="D168" s="952"/>
      <c r="E168" s="167"/>
      <c r="F168" s="167"/>
      <c r="G168" s="167"/>
      <c r="H168" s="952" t="s">
        <v>0</v>
      </c>
      <c r="Q168">
        <f t="shared" si="1"/>
        <v>0</v>
      </c>
    </row>
    <row r="169" spans="2:17">
      <c r="B169" s="955" t="s">
        <v>828</v>
      </c>
      <c r="C169" s="955"/>
      <c r="D169" s="952"/>
      <c r="E169" s="167"/>
      <c r="F169" s="167"/>
      <c r="G169" s="167"/>
      <c r="H169" s="952" t="s">
        <v>0</v>
      </c>
      <c r="Q169">
        <f t="shared" si="1"/>
        <v>0</v>
      </c>
    </row>
    <row r="170" spans="2:17">
      <c r="B170" s="955" t="s">
        <v>829</v>
      </c>
      <c r="C170" s="955"/>
      <c r="D170" s="952"/>
      <c r="E170" s="167"/>
      <c r="F170" s="167"/>
      <c r="G170" s="167"/>
      <c r="H170" s="952" t="s">
        <v>0</v>
      </c>
      <c r="Q170">
        <f t="shared" si="1"/>
        <v>0</v>
      </c>
    </row>
    <row r="171" spans="2:17">
      <c r="B171" s="955" t="s">
        <v>830</v>
      </c>
      <c r="C171" s="955"/>
      <c r="D171" s="952"/>
      <c r="E171" s="167"/>
      <c r="F171" s="167"/>
      <c r="G171" s="167"/>
      <c r="H171" s="952" t="s">
        <v>0</v>
      </c>
      <c r="Q171">
        <f t="shared" si="1"/>
        <v>0</v>
      </c>
    </row>
    <row r="172" spans="2:17">
      <c r="B172" s="955" t="s">
        <v>831</v>
      </c>
      <c r="C172" s="955"/>
      <c r="D172" s="952"/>
      <c r="E172" s="167"/>
      <c r="F172" s="167"/>
      <c r="G172" s="167"/>
      <c r="H172" s="952" t="s">
        <v>0</v>
      </c>
      <c r="Q172">
        <f t="shared" si="1"/>
        <v>0</v>
      </c>
    </row>
    <row r="173" spans="2:17">
      <c r="B173" s="955" t="s">
        <v>832</v>
      </c>
      <c r="C173" s="955"/>
      <c r="D173" s="952"/>
      <c r="E173" s="167"/>
      <c r="F173" s="167"/>
      <c r="G173" s="167"/>
      <c r="H173" s="952" t="s">
        <v>0</v>
      </c>
      <c r="Q173">
        <f t="shared" si="1"/>
        <v>0</v>
      </c>
    </row>
    <row r="174" spans="2:17">
      <c r="B174" s="955" t="s">
        <v>833</v>
      </c>
      <c r="C174" s="955"/>
      <c r="D174" s="952"/>
      <c r="E174" s="167"/>
      <c r="F174" s="167"/>
      <c r="G174" s="167"/>
      <c r="H174" s="952" t="s">
        <v>0</v>
      </c>
      <c r="Q174">
        <f t="shared" si="1"/>
        <v>0</v>
      </c>
    </row>
    <row r="175" spans="2:17">
      <c r="B175" s="955" t="s">
        <v>1086</v>
      </c>
      <c r="C175" s="955"/>
      <c r="D175" s="952"/>
      <c r="E175" s="167"/>
      <c r="F175" s="167"/>
      <c r="G175" s="167"/>
      <c r="H175" s="952" t="s">
        <v>386</v>
      </c>
      <c r="Q175">
        <f t="shared" si="1"/>
        <v>0</v>
      </c>
    </row>
    <row r="176" spans="2:17">
      <c r="B176" s="955" t="s">
        <v>1087</v>
      </c>
      <c r="C176" s="955"/>
      <c r="D176" s="952"/>
      <c r="E176" s="167"/>
      <c r="F176" s="167"/>
      <c r="G176" s="167"/>
      <c r="H176" s="952" t="s">
        <v>386</v>
      </c>
      <c r="Q176">
        <f t="shared" si="1"/>
        <v>0</v>
      </c>
    </row>
    <row r="177" spans="2:17">
      <c r="B177" s="955" t="s">
        <v>1088</v>
      </c>
      <c r="C177" s="955"/>
      <c r="D177" s="952"/>
      <c r="E177" s="167"/>
      <c r="F177" s="167"/>
      <c r="G177" s="167"/>
      <c r="H177" s="952" t="s">
        <v>386</v>
      </c>
      <c r="Q177">
        <f t="shared" si="1"/>
        <v>0</v>
      </c>
    </row>
    <row r="178" spans="2:17">
      <c r="B178" s="955" t="s">
        <v>1571</v>
      </c>
      <c r="C178" s="955"/>
      <c r="D178" s="952"/>
      <c r="E178" s="167"/>
      <c r="F178" s="167"/>
      <c r="G178" s="167"/>
      <c r="H178" s="952" t="s">
        <v>386</v>
      </c>
      <c r="Q178">
        <f t="shared" si="1"/>
        <v>0</v>
      </c>
    </row>
    <row r="179" spans="2:17">
      <c r="B179" s="955" t="s">
        <v>834</v>
      </c>
      <c r="C179" s="955"/>
      <c r="D179" s="952"/>
      <c r="E179" s="167"/>
      <c r="F179" s="167"/>
      <c r="G179" s="167"/>
      <c r="H179" s="952" t="s">
        <v>0</v>
      </c>
      <c r="Q179">
        <f t="shared" si="1"/>
        <v>0</v>
      </c>
    </row>
    <row r="180" spans="2:17">
      <c r="B180" s="955" t="s">
        <v>835</v>
      </c>
      <c r="C180" s="955"/>
      <c r="D180" s="952"/>
      <c r="E180" s="167"/>
      <c r="F180" s="167"/>
      <c r="G180" s="167"/>
      <c r="H180" s="952" t="s">
        <v>0</v>
      </c>
      <c r="Q180">
        <f t="shared" si="1"/>
        <v>0</v>
      </c>
    </row>
    <row r="181" spans="2:17">
      <c r="B181" s="955" t="s">
        <v>836</v>
      </c>
      <c r="C181" s="955"/>
      <c r="D181" s="952"/>
      <c r="E181" s="167"/>
      <c r="F181" s="167"/>
      <c r="G181" s="167"/>
      <c r="H181" s="952" t="s">
        <v>0</v>
      </c>
      <c r="Q181">
        <f t="shared" si="1"/>
        <v>0</v>
      </c>
    </row>
    <row r="182" spans="2:17">
      <c r="B182" s="955" t="s">
        <v>837</v>
      </c>
      <c r="C182" s="955"/>
      <c r="D182" s="952"/>
      <c r="E182" s="167"/>
      <c r="F182" s="167"/>
      <c r="G182" s="167"/>
      <c r="H182" s="952" t="s">
        <v>0</v>
      </c>
      <c r="Q182">
        <f t="shared" si="1"/>
        <v>0</v>
      </c>
    </row>
    <row r="183" spans="2:17">
      <c r="B183" s="955" t="s">
        <v>838</v>
      </c>
      <c r="C183" s="955"/>
      <c r="D183" s="952"/>
      <c r="E183" s="167"/>
      <c r="F183" s="167"/>
      <c r="G183" s="167"/>
      <c r="H183" s="952" t="s">
        <v>0</v>
      </c>
      <c r="Q183">
        <f t="shared" si="1"/>
        <v>0</v>
      </c>
    </row>
    <row r="184" spans="2:17">
      <c r="B184" s="955" t="s">
        <v>1039</v>
      </c>
      <c r="C184" s="955"/>
      <c r="D184" s="952"/>
      <c r="E184" s="167"/>
      <c r="F184" s="167"/>
      <c r="G184" s="167"/>
      <c r="H184" s="952" t="s">
        <v>0</v>
      </c>
      <c r="Q184">
        <f t="shared" si="1"/>
        <v>0</v>
      </c>
    </row>
    <row r="185" spans="2:17">
      <c r="B185" s="955" t="s">
        <v>839</v>
      </c>
      <c r="C185" s="955"/>
      <c r="D185" s="952"/>
      <c r="E185" s="167"/>
      <c r="F185" s="167"/>
      <c r="G185" s="167"/>
      <c r="H185" s="952" t="s">
        <v>0</v>
      </c>
      <c r="Q185">
        <f t="shared" si="1"/>
        <v>0</v>
      </c>
    </row>
    <row r="186" spans="2:17">
      <c r="B186" s="955" t="s">
        <v>840</v>
      </c>
      <c r="C186" s="955"/>
      <c r="D186" s="952"/>
      <c r="E186" s="167"/>
      <c r="F186" s="167"/>
      <c r="G186" s="167"/>
      <c r="H186" s="952" t="s">
        <v>0</v>
      </c>
      <c r="Q186">
        <f t="shared" si="1"/>
        <v>0</v>
      </c>
    </row>
    <row r="187" spans="2:17">
      <c r="B187" s="955" t="s">
        <v>841</v>
      </c>
      <c r="C187" s="955"/>
      <c r="D187" s="952"/>
      <c r="E187" s="167"/>
      <c r="F187" s="167"/>
      <c r="G187" s="167"/>
      <c r="H187" s="952" t="s">
        <v>0</v>
      </c>
      <c r="Q187">
        <f t="shared" si="1"/>
        <v>0</v>
      </c>
    </row>
    <row r="188" spans="2:17">
      <c r="B188" s="955" t="s">
        <v>842</v>
      </c>
      <c r="C188" s="955"/>
      <c r="D188" s="952"/>
      <c r="E188" s="167"/>
      <c r="F188" s="167"/>
      <c r="G188" s="167"/>
      <c r="H188" s="952" t="s">
        <v>0</v>
      </c>
      <c r="Q188">
        <f t="shared" si="1"/>
        <v>0</v>
      </c>
    </row>
    <row r="189" spans="2:17">
      <c r="B189" s="959" t="s">
        <v>843</v>
      </c>
      <c r="C189" s="959"/>
      <c r="D189" s="952"/>
      <c r="E189" s="167"/>
      <c r="F189" s="167"/>
      <c r="G189" s="167"/>
      <c r="H189" s="952" t="s">
        <v>0</v>
      </c>
      <c r="Q189">
        <f t="shared" si="1"/>
        <v>0</v>
      </c>
    </row>
    <row r="190" spans="2:17">
      <c r="B190" s="959" t="s">
        <v>844</v>
      </c>
      <c r="C190" s="959"/>
      <c r="D190" s="952"/>
      <c r="E190" s="167"/>
      <c r="F190" s="167"/>
      <c r="G190" s="167"/>
      <c r="H190" s="952" t="s">
        <v>0</v>
      </c>
      <c r="Q190">
        <f t="shared" si="1"/>
        <v>0</v>
      </c>
    </row>
    <row r="191" spans="2:17">
      <c r="B191" s="955" t="s">
        <v>845</v>
      </c>
      <c r="C191" s="955"/>
      <c r="D191" s="952"/>
      <c r="E191" s="167"/>
      <c r="F191" s="167"/>
      <c r="G191" s="167"/>
      <c r="H191" s="952" t="s">
        <v>0</v>
      </c>
      <c r="Q191">
        <f t="shared" si="1"/>
        <v>0</v>
      </c>
    </row>
    <row r="192" spans="2:17">
      <c r="B192" s="955" t="s">
        <v>1016</v>
      </c>
      <c r="C192" s="955"/>
      <c r="D192" s="952"/>
      <c r="E192" s="167"/>
      <c r="F192" s="167"/>
      <c r="G192" s="167"/>
      <c r="H192" s="952" t="s">
        <v>0</v>
      </c>
      <c r="Q192">
        <f t="shared" si="1"/>
        <v>0</v>
      </c>
    </row>
    <row r="193" spans="2:17">
      <c r="B193" s="955" t="s">
        <v>846</v>
      </c>
      <c r="C193" s="955"/>
      <c r="D193" s="952"/>
      <c r="E193" s="167"/>
      <c r="F193" s="167"/>
      <c r="G193" s="167"/>
      <c r="H193" s="952" t="s">
        <v>0</v>
      </c>
      <c r="Q193">
        <f t="shared" si="1"/>
        <v>0</v>
      </c>
    </row>
    <row r="194" spans="2:17">
      <c r="B194" s="955" t="s">
        <v>847</v>
      </c>
      <c r="C194" s="955"/>
      <c r="D194" s="952"/>
      <c r="E194" s="167"/>
      <c r="F194" s="167"/>
      <c r="G194" s="167"/>
      <c r="H194" s="952" t="s">
        <v>0</v>
      </c>
      <c r="Q194">
        <f t="shared" si="1"/>
        <v>0</v>
      </c>
    </row>
    <row r="195" spans="2:17">
      <c r="B195" s="951" t="s">
        <v>117</v>
      </c>
      <c r="C195" s="951"/>
      <c r="D195" s="952"/>
      <c r="E195" s="167"/>
      <c r="F195" s="167"/>
      <c r="G195" s="167"/>
      <c r="H195" s="952" t="s">
        <v>0</v>
      </c>
      <c r="Q195">
        <f t="shared" si="1"/>
        <v>0</v>
      </c>
    </row>
    <row r="196" spans="2:17">
      <c r="B196" s="951" t="s">
        <v>118</v>
      </c>
      <c r="C196" s="951"/>
      <c r="D196" s="952"/>
      <c r="E196" s="167"/>
      <c r="F196" s="167"/>
      <c r="G196" s="167"/>
      <c r="H196" s="952" t="s">
        <v>0</v>
      </c>
      <c r="Q196">
        <f t="shared" si="1"/>
        <v>0</v>
      </c>
    </row>
    <row r="197" spans="2:17">
      <c r="B197" s="951" t="s">
        <v>119</v>
      </c>
      <c r="C197" s="951"/>
      <c r="D197" s="952"/>
      <c r="E197" s="167"/>
      <c r="F197" s="167"/>
      <c r="G197" s="167"/>
      <c r="H197" s="952" t="s">
        <v>0</v>
      </c>
      <c r="Q197">
        <f t="shared" si="1"/>
        <v>0</v>
      </c>
    </row>
    <row r="198" spans="2:17">
      <c r="B198" s="951" t="s">
        <v>120</v>
      </c>
      <c r="C198" s="951"/>
      <c r="D198" s="952"/>
      <c r="E198" s="167"/>
      <c r="F198" s="167"/>
      <c r="G198" s="167"/>
      <c r="H198" s="952" t="s">
        <v>0</v>
      </c>
      <c r="Q198">
        <f t="shared" si="1"/>
        <v>0</v>
      </c>
    </row>
    <row r="199" spans="2:17">
      <c r="B199" s="951" t="s">
        <v>121</v>
      </c>
      <c r="C199" s="951"/>
      <c r="D199" s="952"/>
      <c r="E199" s="167"/>
      <c r="F199" s="167"/>
      <c r="G199" s="167"/>
      <c r="H199" s="952" t="s">
        <v>0</v>
      </c>
      <c r="Q199">
        <f t="shared" si="1"/>
        <v>0</v>
      </c>
    </row>
    <row r="200" spans="2:17">
      <c r="B200" s="951" t="s">
        <v>122</v>
      </c>
      <c r="C200" s="951"/>
      <c r="D200" s="952"/>
      <c r="E200" s="167"/>
      <c r="F200" s="167"/>
      <c r="G200" s="167"/>
      <c r="H200" s="952" t="s">
        <v>0</v>
      </c>
      <c r="L200">
        <v>2</v>
      </c>
      <c r="M200">
        <f>(M7)*L200</f>
        <v>0</v>
      </c>
      <c r="Q200">
        <f t="shared" si="1"/>
        <v>0</v>
      </c>
    </row>
    <row r="201" spans="2:17">
      <c r="B201" s="951" t="s">
        <v>123</v>
      </c>
      <c r="C201" s="951"/>
      <c r="D201" s="952"/>
      <c r="E201" s="167"/>
      <c r="F201" s="167"/>
      <c r="G201" s="167"/>
      <c r="H201" s="952" t="s">
        <v>0</v>
      </c>
      <c r="L201">
        <v>2</v>
      </c>
      <c r="M201">
        <f>(M8+M9)*L201</f>
        <v>0</v>
      </c>
      <c r="Q201">
        <f t="shared" si="1"/>
        <v>0</v>
      </c>
    </row>
    <row r="202" spans="2:17">
      <c r="B202" s="951" t="s">
        <v>124</v>
      </c>
      <c r="C202" s="951"/>
      <c r="D202" s="952"/>
      <c r="E202" s="167"/>
      <c r="F202" s="167"/>
      <c r="G202" s="167"/>
      <c r="H202" s="952" t="s">
        <v>0</v>
      </c>
      <c r="L202">
        <v>2</v>
      </c>
      <c r="M202">
        <f>(M10)*L202</f>
        <v>0</v>
      </c>
      <c r="Q202">
        <f t="shared" si="1"/>
        <v>0</v>
      </c>
    </row>
    <row r="203" spans="2:17">
      <c r="B203" s="951" t="s">
        <v>125</v>
      </c>
      <c r="C203" s="951"/>
      <c r="D203" s="952"/>
      <c r="E203" s="167"/>
      <c r="F203" s="167"/>
      <c r="G203" s="167"/>
      <c r="H203" s="952" t="s">
        <v>0</v>
      </c>
      <c r="L203">
        <v>2</v>
      </c>
      <c r="M203">
        <f>(N7+M11)*L203</f>
        <v>0</v>
      </c>
      <c r="Q203">
        <f t="shared" si="1"/>
        <v>0</v>
      </c>
    </row>
    <row r="204" spans="2:17">
      <c r="B204" s="951" t="s">
        <v>126</v>
      </c>
      <c r="C204" s="951"/>
      <c r="D204" s="952"/>
      <c r="E204" s="167"/>
      <c r="F204" s="167"/>
      <c r="G204" s="167"/>
      <c r="H204" s="952" t="s">
        <v>0</v>
      </c>
      <c r="L204">
        <v>2</v>
      </c>
      <c r="M204">
        <f>(N8+N9+M15+M17)*L204</f>
        <v>0</v>
      </c>
      <c r="Q204">
        <f t="shared" si="1"/>
        <v>0</v>
      </c>
    </row>
    <row r="205" spans="2:17">
      <c r="B205" s="951" t="s">
        <v>127</v>
      </c>
      <c r="C205" s="951"/>
      <c r="D205" s="952"/>
      <c r="E205" s="167"/>
      <c r="F205" s="167"/>
      <c r="G205" s="167"/>
      <c r="H205" s="952" t="s">
        <v>0</v>
      </c>
      <c r="L205">
        <v>2</v>
      </c>
      <c r="M205">
        <f>(N10+M14)*L205</f>
        <v>0</v>
      </c>
      <c r="Q205">
        <f t="shared" si="1"/>
        <v>0</v>
      </c>
    </row>
    <row r="206" spans="2:17">
      <c r="B206" s="951" t="s">
        <v>211</v>
      </c>
      <c r="C206" s="951"/>
      <c r="D206" s="952"/>
      <c r="E206" s="167"/>
      <c r="F206" s="167"/>
      <c r="G206" s="167"/>
      <c r="H206" s="952" t="s">
        <v>0</v>
      </c>
      <c r="L206">
        <v>2</v>
      </c>
      <c r="M206">
        <f>(O7+O8+O9+M12+M13+M16+M18)*L206</f>
        <v>0</v>
      </c>
      <c r="Q206">
        <f t="shared" si="1"/>
        <v>0</v>
      </c>
    </row>
    <row r="207" spans="2:17">
      <c r="B207" s="953" t="s">
        <v>1020</v>
      </c>
      <c r="C207" s="953"/>
      <c r="D207" s="952"/>
      <c r="E207" s="167"/>
      <c r="F207" s="167"/>
      <c r="G207" s="167"/>
      <c r="H207" s="952" t="s">
        <v>0</v>
      </c>
      <c r="L207">
        <v>2</v>
      </c>
      <c r="M207">
        <f>(O10+N11+N15+N17)*L207</f>
        <v>0</v>
      </c>
      <c r="Q207">
        <f t="shared" si="1"/>
        <v>0</v>
      </c>
    </row>
    <row r="208" spans="2:17">
      <c r="B208" s="951" t="s">
        <v>1255</v>
      </c>
      <c r="C208" s="951"/>
      <c r="D208" s="952"/>
      <c r="E208" s="167"/>
      <c r="F208" s="167"/>
      <c r="G208" s="167"/>
      <c r="H208" s="952" t="s">
        <v>0</v>
      </c>
      <c r="L208">
        <v>2</v>
      </c>
      <c r="M208" s="420">
        <f>(N14)*L208</f>
        <v>0</v>
      </c>
      <c r="Q208">
        <f t="shared" si="1"/>
        <v>0</v>
      </c>
    </row>
    <row r="209" spans="2:17">
      <c r="B209" s="951" t="s">
        <v>1256</v>
      </c>
      <c r="C209" s="951"/>
      <c r="D209" s="952"/>
      <c r="E209" s="167"/>
      <c r="F209" s="167"/>
      <c r="G209" s="167"/>
      <c r="H209" s="952" t="s">
        <v>0</v>
      </c>
      <c r="L209">
        <v>2</v>
      </c>
      <c r="M209">
        <f>(O11+N12+N13+N16+N18)*L209</f>
        <v>0</v>
      </c>
      <c r="Q209">
        <f t="shared" si="1"/>
        <v>0</v>
      </c>
    </row>
    <row r="210" spans="2:17">
      <c r="B210" s="951" t="s">
        <v>1257</v>
      </c>
      <c r="C210" s="951"/>
      <c r="D210" s="952"/>
      <c r="E210" s="167"/>
      <c r="F210" s="167"/>
      <c r="G210" s="167"/>
      <c r="H210" s="952" t="s">
        <v>0</v>
      </c>
      <c r="L210">
        <v>2</v>
      </c>
      <c r="M210">
        <f>(O14+O15)*L210</f>
        <v>0</v>
      </c>
      <c r="Q210">
        <f t="shared" ref="Q210:Q273" si="2">M210</f>
        <v>0</v>
      </c>
    </row>
    <row r="211" spans="2:17">
      <c r="B211" s="951" t="s">
        <v>1258</v>
      </c>
      <c r="C211" s="951"/>
      <c r="D211" s="952"/>
      <c r="E211" s="167"/>
      <c r="F211" s="167"/>
      <c r="G211" s="167"/>
      <c r="H211" s="952" t="s">
        <v>0</v>
      </c>
      <c r="L211">
        <v>2</v>
      </c>
      <c r="M211">
        <f>(O12+O16+O18)*L211</f>
        <v>0</v>
      </c>
      <c r="Q211">
        <f t="shared" si="2"/>
        <v>0</v>
      </c>
    </row>
    <row r="212" spans="2:17">
      <c r="B212" s="951" t="s">
        <v>1259</v>
      </c>
      <c r="C212" s="951"/>
      <c r="D212" s="952"/>
      <c r="E212" s="167"/>
      <c r="F212" s="167"/>
      <c r="G212" s="167"/>
      <c r="H212" s="952" t="s">
        <v>0</v>
      </c>
      <c r="L212">
        <v>2</v>
      </c>
      <c r="M212">
        <f>(O13)*L212</f>
        <v>0</v>
      </c>
      <c r="Q212">
        <f t="shared" si="2"/>
        <v>0</v>
      </c>
    </row>
    <row r="213" spans="2:17">
      <c r="B213" s="951" t="s">
        <v>1260</v>
      </c>
      <c r="C213" s="951"/>
      <c r="D213" s="952"/>
      <c r="E213" s="167"/>
      <c r="F213" s="167"/>
      <c r="G213" s="167"/>
      <c r="H213" s="952" t="s">
        <v>0</v>
      </c>
      <c r="L213">
        <v>2</v>
      </c>
      <c r="M213">
        <f>(P7)*L213</f>
        <v>0</v>
      </c>
      <c r="Q213">
        <f t="shared" si="2"/>
        <v>0</v>
      </c>
    </row>
    <row r="214" spans="2:17">
      <c r="B214" s="951" t="s">
        <v>1261</v>
      </c>
      <c r="C214" s="951"/>
      <c r="D214" s="952"/>
      <c r="E214" s="167"/>
      <c r="F214" s="167"/>
      <c r="G214" s="167"/>
      <c r="H214" s="952" t="s">
        <v>0</v>
      </c>
      <c r="L214">
        <v>2</v>
      </c>
      <c r="M214">
        <f>(P8+P9)*L214</f>
        <v>0</v>
      </c>
      <c r="Q214">
        <f t="shared" si="2"/>
        <v>0</v>
      </c>
    </row>
    <row r="215" spans="2:17">
      <c r="B215" s="951" t="s">
        <v>1262</v>
      </c>
      <c r="C215" s="951"/>
      <c r="D215" s="952"/>
      <c r="E215" s="167"/>
      <c r="F215" s="167"/>
      <c r="G215" s="167"/>
      <c r="H215" s="952" t="s">
        <v>0</v>
      </c>
      <c r="L215">
        <v>2</v>
      </c>
      <c r="M215">
        <f>(P10)*L215</f>
        <v>0</v>
      </c>
      <c r="Q215">
        <f t="shared" si="2"/>
        <v>0</v>
      </c>
    </row>
    <row r="216" spans="2:17">
      <c r="B216" s="951" t="s">
        <v>1263</v>
      </c>
      <c r="C216" s="951"/>
      <c r="D216" s="952"/>
      <c r="E216" s="167"/>
      <c r="F216" s="167"/>
      <c r="G216" s="167"/>
      <c r="H216" s="952" t="s">
        <v>0</v>
      </c>
      <c r="L216">
        <v>2</v>
      </c>
      <c r="M216">
        <f>(P11+P15)*L216</f>
        <v>0</v>
      </c>
      <c r="Q216">
        <f t="shared" si="2"/>
        <v>0</v>
      </c>
    </row>
    <row r="217" spans="2:17">
      <c r="B217" s="953" t="s">
        <v>1590</v>
      </c>
      <c r="C217" s="953"/>
      <c r="D217" s="952"/>
      <c r="E217" s="167"/>
      <c r="F217" s="167"/>
      <c r="G217" s="167"/>
      <c r="H217" s="952" t="s">
        <v>0</v>
      </c>
      <c r="L217">
        <v>2</v>
      </c>
      <c r="M217">
        <f>(P14+P17)*L217</f>
        <v>0</v>
      </c>
      <c r="Q217">
        <f t="shared" si="2"/>
        <v>0</v>
      </c>
    </row>
    <row r="218" spans="2:17">
      <c r="B218" s="953" t="s">
        <v>1591</v>
      </c>
      <c r="C218" s="953"/>
      <c r="D218" s="952"/>
      <c r="E218" s="167"/>
      <c r="F218" s="167"/>
      <c r="G218" s="167"/>
      <c r="H218" s="952" t="s">
        <v>574</v>
      </c>
      <c r="L218">
        <v>2</v>
      </c>
      <c r="M218">
        <f>(P12+P13+P16+P18)*L218</f>
        <v>0</v>
      </c>
      <c r="Q218">
        <f t="shared" si="2"/>
        <v>0</v>
      </c>
    </row>
    <row r="219" spans="2:17">
      <c r="B219" s="951" t="s">
        <v>1592</v>
      </c>
      <c r="C219" s="951"/>
      <c r="D219" s="952"/>
      <c r="E219" s="167"/>
      <c r="F219" s="167"/>
      <c r="G219" s="167"/>
      <c r="H219" s="952" t="s">
        <v>0</v>
      </c>
      <c r="Q219">
        <f t="shared" si="2"/>
        <v>0</v>
      </c>
    </row>
    <row r="220" spans="2:17">
      <c r="B220" s="951" t="s">
        <v>1593</v>
      </c>
      <c r="C220" s="951"/>
      <c r="D220" s="952"/>
      <c r="E220" s="167"/>
      <c r="F220" s="167"/>
      <c r="G220" s="167"/>
      <c r="H220" s="952" t="s">
        <v>0</v>
      </c>
      <c r="Q220">
        <f t="shared" si="2"/>
        <v>0</v>
      </c>
    </row>
    <row r="221" spans="2:17">
      <c r="B221" s="951" t="s">
        <v>1594</v>
      </c>
      <c r="C221" s="951"/>
      <c r="D221" s="952"/>
      <c r="E221" s="167"/>
      <c r="F221" s="167"/>
      <c r="G221" s="167"/>
      <c r="H221" s="952" t="s">
        <v>0</v>
      </c>
      <c r="Q221">
        <f t="shared" si="2"/>
        <v>0</v>
      </c>
    </row>
    <row r="222" spans="2:17">
      <c r="B222" s="951" t="s">
        <v>1595</v>
      </c>
      <c r="C222" s="951"/>
      <c r="D222" s="952"/>
      <c r="E222" s="167"/>
      <c r="F222" s="167"/>
      <c r="G222" s="167"/>
      <c r="H222" s="952" t="s">
        <v>0</v>
      </c>
      <c r="Q222">
        <f t="shared" si="2"/>
        <v>0</v>
      </c>
    </row>
    <row r="223" spans="2:17">
      <c r="B223" s="951" t="s">
        <v>1596</v>
      </c>
      <c r="C223" s="951"/>
      <c r="D223" s="952"/>
      <c r="E223" s="167"/>
      <c r="F223" s="167"/>
      <c r="G223" s="167"/>
      <c r="H223" s="952" t="s">
        <v>0</v>
      </c>
      <c r="Q223">
        <f t="shared" si="2"/>
        <v>0</v>
      </c>
    </row>
    <row r="224" spans="2:17">
      <c r="B224" s="951" t="s">
        <v>1597</v>
      </c>
      <c r="C224" s="951"/>
      <c r="D224" s="952"/>
      <c r="E224" s="167"/>
      <c r="F224" s="167"/>
      <c r="G224" s="167"/>
      <c r="H224" s="952" t="s">
        <v>0</v>
      </c>
      <c r="Q224">
        <f t="shared" si="2"/>
        <v>0</v>
      </c>
    </row>
    <row r="225" spans="1:17">
      <c r="B225" s="951" t="s">
        <v>1598</v>
      </c>
      <c r="C225" s="951"/>
      <c r="D225" s="952"/>
      <c r="E225" s="167"/>
      <c r="F225" s="167"/>
      <c r="G225" s="167"/>
      <c r="H225" s="952" t="s">
        <v>0</v>
      </c>
      <c r="Q225">
        <f t="shared" si="2"/>
        <v>0</v>
      </c>
    </row>
    <row r="226" spans="1:17">
      <c r="B226" s="951" t="s">
        <v>1599</v>
      </c>
      <c r="C226" s="951"/>
      <c r="D226" s="952"/>
      <c r="E226" s="167"/>
      <c r="F226" s="167"/>
      <c r="G226" s="167"/>
      <c r="H226" s="952" t="s">
        <v>0</v>
      </c>
      <c r="Q226">
        <f t="shared" si="2"/>
        <v>0</v>
      </c>
    </row>
    <row r="227" spans="1:17">
      <c r="B227" s="953" t="s">
        <v>1600</v>
      </c>
      <c r="C227" s="953"/>
      <c r="D227" s="952"/>
      <c r="E227" s="167"/>
      <c r="F227" s="167"/>
      <c r="G227" s="167"/>
      <c r="H227" s="952" t="s">
        <v>0</v>
      </c>
      <c r="Q227">
        <f t="shared" si="2"/>
        <v>0</v>
      </c>
    </row>
    <row r="228" spans="1:17">
      <c r="B228" s="953" t="s">
        <v>1601</v>
      </c>
      <c r="C228" s="953"/>
      <c r="D228" s="952"/>
      <c r="E228" s="167"/>
      <c r="F228" s="167"/>
      <c r="G228" s="167"/>
      <c r="H228" s="952" t="s">
        <v>0</v>
      </c>
      <c r="Q228">
        <f t="shared" si="2"/>
        <v>0</v>
      </c>
    </row>
    <row r="229" spans="1:17">
      <c r="B229" s="953" t="s">
        <v>1603</v>
      </c>
      <c r="C229" s="953"/>
      <c r="D229" s="952"/>
      <c r="E229" s="167"/>
      <c r="F229" s="167"/>
      <c r="G229" s="167"/>
      <c r="H229" s="952" t="s">
        <v>0</v>
      </c>
      <c r="Q229">
        <f t="shared" si="2"/>
        <v>0</v>
      </c>
    </row>
    <row r="230" spans="1:17">
      <c r="A230" s="990"/>
      <c r="B230" s="991" t="s">
        <v>1644</v>
      </c>
      <c r="E230" s="167"/>
      <c r="F230" s="167"/>
      <c r="G230" s="167"/>
      <c r="H230" s="989" t="s">
        <v>0</v>
      </c>
      <c r="L230">
        <v>2</v>
      </c>
      <c r="M230">
        <f>SUM(E11)*L230</f>
        <v>0</v>
      </c>
      <c r="Q230">
        <f t="shared" si="2"/>
        <v>0</v>
      </c>
    </row>
    <row r="231" spans="1:17">
      <c r="A231" s="990"/>
      <c r="B231" s="991" t="s">
        <v>1645</v>
      </c>
      <c r="E231" s="167"/>
      <c r="F231" s="167"/>
      <c r="G231" s="167"/>
      <c r="H231" s="989" t="s">
        <v>0</v>
      </c>
      <c r="L231">
        <v>2</v>
      </c>
      <c r="M231">
        <f>SUM(E14,E9)*L231</f>
        <v>0</v>
      </c>
      <c r="Q231">
        <f t="shared" si="2"/>
        <v>0</v>
      </c>
    </row>
    <row r="232" spans="1:17">
      <c r="A232" s="990"/>
      <c r="B232" s="991" t="s">
        <v>1646</v>
      </c>
      <c r="E232" s="167"/>
      <c r="F232" s="167"/>
      <c r="G232" s="167"/>
      <c r="H232" s="989" t="s">
        <v>0</v>
      </c>
      <c r="L232">
        <v>2</v>
      </c>
      <c r="M232">
        <f>SUM(E17)*L232</f>
        <v>0</v>
      </c>
      <c r="Q232">
        <f t="shared" si="2"/>
        <v>0</v>
      </c>
    </row>
    <row r="233" spans="1:17">
      <c r="A233" s="990"/>
      <c r="B233" s="991" t="s">
        <v>1647</v>
      </c>
      <c r="E233" s="167"/>
      <c r="F233" s="167"/>
      <c r="G233" s="167"/>
      <c r="H233" s="989" t="s">
        <v>0</v>
      </c>
      <c r="L233">
        <v>2</v>
      </c>
      <c r="M233">
        <f>SUM(E16,E12)*L233</f>
        <v>0</v>
      </c>
      <c r="Q233">
        <f t="shared" si="2"/>
        <v>0</v>
      </c>
    </row>
    <row r="234" spans="1:17">
      <c r="A234" s="990"/>
      <c r="B234" s="991" t="s">
        <v>1648</v>
      </c>
      <c r="E234" s="167"/>
      <c r="F234" s="167"/>
      <c r="G234" s="167"/>
      <c r="H234" s="989" t="s">
        <v>0</v>
      </c>
      <c r="L234">
        <v>2</v>
      </c>
      <c r="M234">
        <f>SUM(E13)*L234</f>
        <v>0</v>
      </c>
      <c r="Q234">
        <f t="shared" si="2"/>
        <v>0</v>
      </c>
    </row>
    <row r="235" spans="1:17">
      <c r="A235" s="990"/>
      <c r="B235" s="991" t="s">
        <v>1649</v>
      </c>
      <c r="E235" s="167"/>
      <c r="F235" s="167"/>
      <c r="G235" s="167"/>
      <c r="H235" s="989" t="s">
        <v>0</v>
      </c>
      <c r="L235">
        <v>2</v>
      </c>
      <c r="M235">
        <f>SUM(F11)*L235</f>
        <v>0</v>
      </c>
      <c r="Q235">
        <f t="shared" si="2"/>
        <v>0</v>
      </c>
    </row>
    <row r="236" spans="1:17">
      <c r="A236" s="990"/>
      <c r="B236" s="991" t="s">
        <v>1650</v>
      </c>
      <c r="E236" s="167"/>
      <c r="F236" s="167"/>
      <c r="G236" s="167"/>
      <c r="H236" s="989" t="s">
        <v>0</v>
      </c>
      <c r="L236">
        <v>2</v>
      </c>
      <c r="M236">
        <f>SUM(F14,F8)*L236</f>
        <v>0</v>
      </c>
      <c r="Q236">
        <f t="shared" si="2"/>
        <v>0</v>
      </c>
    </row>
    <row r="237" spans="1:17">
      <c r="A237" s="990"/>
      <c r="B237" s="991" t="s">
        <v>1670</v>
      </c>
      <c r="E237" s="167"/>
      <c r="F237" s="167"/>
      <c r="G237" s="167"/>
      <c r="H237" s="989" t="s">
        <v>0</v>
      </c>
      <c r="L237">
        <v>2</v>
      </c>
      <c r="M237">
        <f>SUM(F17)*L237</f>
        <v>0</v>
      </c>
      <c r="Q237">
        <f t="shared" si="2"/>
        <v>0</v>
      </c>
    </row>
    <row r="238" spans="1:17">
      <c r="A238" s="990"/>
      <c r="B238" s="991" t="s">
        <v>1652</v>
      </c>
      <c r="E238" s="167"/>
      <c r="F238" s="167"/>
      <c r="G238" s="167"/>
      <c r="H238" s="989" t="s">
        <v>0</v>
      </c>
      <c r="L238">
        <v>2</v>
      </c>
      <c r="M238">
        <f>SUM(F16,F13)*L238</f>
        <v>0</v>
      </c>
      <c r="Q238">
        <f t="shared" si="2"/>
        <v>0</v>
      </c>
    </row>
    <row r="239" spans="1:17">
      <c r="A239" s="990"/>
      <c r="B239" s="991" t="s">
        <v>1654</v>
      </c>
      <c r="E239" s="167"/>
      <c r="F239" s="167"/>
      <c r="G239" s="167"/>
      <c r="H239" s="989" t="s">
        <v>0</v>
      </c>
      <c r="Q239">
        <f t="shared" si="2"/>
        <v>0</v>
      </c>
    </row>
    <row r="240" spans="1:17">
      <c r="A240" s="991"/>
      <c r="B240" s="991" t="s">
        <v>1653</v>
      </c>
      <c r="E240" s="167"/>
      <c r="F240" s="167"/>
      <c r="G240" s="167"/>
      <c r="H240" s="400" t="s">
        <v>0</v>
      </c>
      <c r="L240">
        <v>2</v>
      </c>
      <c r="M240">
        <f>SUM(F18)*L240</f>
        <v>0</v>
      </c>
      <c r="Q240">
        <f t="shared" si="2"/>
        <v>0</v>
      </c>
    </row>
    <row r="241" spans="1:17">
      <c r="A241" s="991"/>
      <c r="B241" s="991" t="s">
        <v>1655</v>
      </c>
      <c r="E241" s="167"/>
      <c r="F241" s="167"/>
      <c r="G241" s="167"/>
      <c r="H241" s="400" t="s">
        <v>0</v>
      </c>
      <c r="L241">
        <v>2</v>
      </c>
      <c r="M241">
        <f>SUM(G18,F13)*L241</f>
        <v>0</v>
      </c>
      <c r="Q241">
        <f t="shared" si="2"/>
        <v>0</v>
      </c>
    </row>
    <row r="242" spans="1:17">
      <c r="A242" s="991"/>
      <c r="B242" s="991" t="s">
        <v>1657</v>
      </c>
      <c r="E242" s="167"/>
      <c r="F242" s="167"/>
      <c r="G242" s="167"/>
      <c r="H242" s="400" t="s">
        <v>0</v>
      </c>
      <c r="L242">
        <v>2</v>
      </c>
      <c r="Q242">
        <f t="shared" si="2"/>
        <v>0</v>
      </c>
    </row>
    <row r="243" spans="1:17">
      <c r="A243" s="991"/>
      <c r="B243" s="991" t="s">
        <v>1656</v>
      </c>
      <c r="E243" s="167"/>
      <c r="F243" s="167"/>
      <c r="G243" s="167"/>
      <c r="H243" s="400" t="s">
        <v>0</v>
      </c>
      <c r="L243">
        <v>2</v>
      </c>
      <c r="M243">
        <f>SUM(G13)*L243</f>
        <v>0</v>
      </c>
      <c r="Q243">
        <f t="shared" si="2"/>
        <v>0</v>
      </c>
    </row>
    <row r="244" spans="1:17">
      <c r="A244" s="991"/>
      <c r="B244" s="991" t="s">
        <v>1658</v>
      </c>
      <c r="E244" s="167"/>
      <c r="F244" s="167"/>
      <c r="G244" s="167"/>
      <c r="H244" s="400" t="s">
        <v>0</v>
      </c>
      <c r="Q244">
        <f t="shared" si="2"/>
        <v>0</v>
      </c>
    </row>
    <row r="245" spans="1:17">
      <c r="A245" s="991"/>
      <c r="B245" s="991" t="s">
        <v>1659</v>
      </c>
      <c r="E245" s="167"/>
      <c r="F245" s="167"/>
      <c r="G245" s="167"/>
      <c r="H245" s="400" t="s">
        <v>0</v>
      </c>
      <c r="Q245">
        <f t="shared" si="2"/>
        <v>0</v>
      </c>
    </row>
    <row r="246" spans="1:17">
      <c r="A246" s="991"/>
      <c r="B246" s="991" t="s">
        <v>1660</v>
      </c>
      <c r="E246" s="167"/>
      <c r="F246" s="167"/>
      <c r="G246" s="167"/>
      <c r="H246" s="400" t="s">
        <v>0</v>
      </c>
      <c r="Q246">
        <f t="shared" si="2"/>
        <v>0</v>
      </c>
    </row>
    <row r="247" spans="1:17">
      <c r="A247" s="991"/>
      <c r="B247" s="991" t="s">
        <v>1661</v>
      </c>
      <c r="E247" s="167"/>
      <c r="F247" s="167"/>
      <c r="G247" s="167"/>
      <c r="H247" s="400" t="s">
        <v>0</v>
      </c>
      <c r="L247">
        <v>2</v>
      </c>
      <c r="M247">
        <f>SUM(H18)*L247</f>
        <v>0</v>
      </c>
      <c r="Q247">
        <f t="shared" si="2"/>
        <v>0</v>
      </c>
    </row>
    <row r="248" spans="1:17">
      <c r="A248" s="991"/>
      <c r="B248" s="991" t="s">
        <v>1662</v>
      </c>
      <c r="E248" s="167"/>
      <c r="F248" s="167"/>
      <c r="G248" s="167"/>
      <c r="H248" s="400" t="s">
        <v>0</v>
      </c>
      <c r="L248">
        <v>2</v>
      </c>
      <c r="M248">
        <f>SUM(H13)*L248</f>
        <v>0</v>
      </c>
      <c r="Q248">
        <f t="shared" si="2"/>
        <v>0</v>
      </c>
    </row>
    <row r="249" spans="1:17">
      <c r="A249" s="991">
        <v>627995</v>
      </c>
      <c r="B249" s="991" t="s">
        <v>1638</v>
      </c>
      <c r="E249" s="167"/>
      <c r="F249" s="167"/>
      <c r="G249" s="167"/>
      <c r="H249" s="400" t="s">
        <v>0</v>
      </c>
      <c r="Q249">
        <f t="shared" si="2"/>
        <v>0</v>
      </c>
    </row>
    <row r="250" spans="1:17">
      <c r="A250" s="991">
        <v>627996</v>
      </c>
      <c r="B250" s="991" t="s">
        <v>1639</v>
      </c>
      <c r="E250" s="167"/>
      <c r="F250" s="167"/>
      <c r="G250" s="167"/>
      <c r="H250" s="400" t="s">
        <v>0</v>
      </c>
      <c r="Q250">
        <f t="shared" si="2"/>
        <v>0</v>
      </c>
    </row>
    <row r="251" spans="1:17">
      <c r="A251" s="991">
        <v>627997</v>
      </c>
      <c r="B251" s="991" t="s">
        <v>1640</v>
      </c>
      <c r="E251" s="167"/>
      <c r="F251" s="167"/>
      <c r="G251" s="167"/>
      <c r="H251" s="400" t="s">
        <v>0</v>
      </c>
      <c r="Q251">
        <f t="shared" si="2"/>
        <v>0</v>
      </c>
    </row>
    <row r="252" spans="1:17">
      <c r="A252" s="991">
        <v>627998</v>
      </c>
      <c r="B252" s="991" t="s">
        <v>1641</v>
      </c>
      <c r="E252" s="167"/>
      <c r="F252" s="167"/>
      <c r="G252" s="167"/>
      <c r="H252" s="400" t="s">
        <v>0</v>
      </c>
      <c r="Q252">
        <f t="shared" si="2"/>
        <v>0</v>
      </c>
    </row>
    <row r="253" spans="1:17">
      <c r="A253" s="991">
        <v>627999</v>
      </c>
      <c r="B253" s="991" t="s">
        <v>1642</v>
      </c>
      <c r="E253" s="167"/>
      <c r="F253" s="167"/>
      <c r="G253" s="167"/>
      <c r="H253" s="400" t="s">
        <v>0</v>
      </c>
      <c r="Q253">
        <f t="shared" si="2"/>
        <v>0</v>
      </c>
    </row>
    <row r="254" spans="1:17">
      <c r="B254" s="787" t="s">
        <v>381</v>
      </c>
      <c r="C254" s="787"/>
      <c r="D254" s="952"/>
      <c r="E254" s="167"/>
      <c r="F254" s="167"/>
      <c r="G254" s="167"/>
      <c r="H254" s="952" t="s">
        <v>1094</v>
      </c>
      <c r="Q254">
        <f t="shared" si="2"/>
        <v>0</v>
      </c>
    </row>
    <row r="255" spans="1:17">
      <c r="B255" s="787" t="s">
        <v>459</v>
      </c>
      <c r="C255" s="787"/>
      <c r="D255" s="952"/>
      <c r="E255" s="167"/>
      <c r="F255" s="167"/>
      <c r="G255" s="167"/>
      <c r="H255" s="952" t="s">
        <v>0</v>
      </c>
      <c r="Q255">
        <f t="shared" si="2"/>
        <v>0</v>
      </c>
    </row>
    <row r="256" spans="1:17">
      <c r="B256" s="960" t="s">
        <v>1407</v>
      </c>
      <c r="C256" s="960"/>
      <c r="D256" s="952"/>
      <c r="E256" s="167"/>
      <c r="F256" s="167"/>
      <c r="G256" s="167"/>
      <c r="H256" s="952" t="s">
        <v>0</v>
      </c>
      <c r="Q256">
        <f t="shared" si="2"/>
        <v>0</v>
      </c>
    </row>
    <row r="257" spans="2:17">
      <c r="B257" s="960" t="s">
        <v>1408</v>
      </c>
      <c r="C257" s="960"/>
      <c r="D257" s="952"/>
      <c r="E257" s="167"/>
      <c r="F257" s="167"/>
      <c r="G257" s="167"/>
      <c r="H257" s="952" t="s">
        <v>0</v>
      </c>
      <c r="Q257">
        <f t="shared" si="2"/>
        <v>0</v>
      </c>
    </row>
    <row r="258" spans="2:17">
      <c r="B258" s="960" t="s">
        <v>1409</v>
      </c>
      <c r="C258" s="960"/>
      <c r="D258" s="952"/>
      <c r="E258" s="167"/>
      <c r="F258" s="167"/>
      <c r="G258" s="167"/>
      <c r="H258" s="952" t="s">
        <v>0</v>
      </c>
      <c r="Q258">
        <f t="shared" si="2"/>
        <v>0</v>
      </c>
    </row>
    <row r="259" spans="2:17">
      <c r="B259" s="960" t="s">
        <v>1410</v>
      </c>
      <c r="C259" s="960"/>
      <c r="D259" s="952"/>
      <c r="E259" s="167"/>
      <c r="F259" s="167"/>
      <c r="G259" s="167"/>
      <c r="H259" s="952" t="s">
        <v>0</v>
      </c>
      <c r="Q259">
        <f t="shared" si="2"/>
        <v>0</v>
      </c>
    </row>
    <row r="260" spans="2:17">
      <c r="B260" s="960" t="s">
        <v>1405</v>
      </c>
      <c r="C260" s="960"/>
      <c r="D260" s="952"/>
      <c r="E260" s="167"/>
      <c r="F260" s="167"/>
      <c r="G260" s="167"/>
      <c r="H260" s="952" t="s">
        <v>0</v>
      </c>
      <c r="Q260">
        <f t="shared" si="2"/>
        <v>0</v>
      </c>
    </row>
    <row r="261" spans="2:17">
      <c r="B261" s="960" t="s">
        <v>1406</v>
      </c>
      <c r="C261" s="960"/>
      <c r="D261" s="952"/>
      <c r="E261" s="167"/>
      <c r="F261" s="167"/>
      <c r="G261" s="167"/>
      <c r="H261" s="952" t="s">
        <v>0</v>
      </c>
      <c r="Q261">
        <f t="shared" si="2"/>
        <v>0</v>
      </c>
    </row>
    <row r="262" spans="2:17">
      <c r="B262" s="960" t="s">
        <v>1399</v>
      </c>
      <c r="C262" s="960"/>
      <c r="D262" s="952"/>
      <c r="E262" s="167"/>
      <c r="F262" s="167"/>
      <c r="G262" s="167"/>
      <c r="H262" s="952" t="s">
        <v>0</v>
      </c>
      <c r="Q262">
        <f t="shared" si="2"/>
        <v>0</v>
      </c>
    </row>
    <row r="263" spans="2:17">
      <c r="B263" s="960" t="s">
        <v>1391</v>
      </c>
      <c r="C263" s="960"/>
      <c r="D263" s="952"/>
      <c r="E263" s="167"/>
      <c r="F263" s="167"/>
      <c r="G263" s="167"/>
      <c r="H263" s="952" t="s">
        <v>0</v>
      </c>
      <c r="Q263">
        <f t="shared" si="2"/>
        <v>0</v>
      </c>
    </row>
    <row r="264" spans="2:17">
      <c r="B264" s="961" t="s">
        <v>1392</v>
      </c>
      <c r="C264" s="961"/>
      <c r="D264" s="952"/>
      <c r="E264" s="167"/>
      <c r="F264" s="167"/>
      <c r="G264" s="167"/>
      <c r="H264" s="952" t="s">
        <v>0</v>
      </c>
      <c r="Q264">
        <f t="shared" si="2"/>
        <v>0</v>
      </c>
    </row>
    <row r="265" spans="2:17">
      <c r="B265" s="960" t="s">
        <v>1395</v>
      </c>
      <c r="C265" s="960"/>
      <c r="D265" s="952"/>
      <c r="E265" s="167"/>
      <c r="F265" s="167"/>
      <c r="G265" s="167"/>
      <c r="H265" s="952" t="s">
        <v>0</v>
      </c>
      <c r="Q265">
        <f t="shared" si="2"/>
        <v>0</v>
      </c>
    </row>
    <row r="266" spans="2:17">
      <c r="B266" s="962" t="s">
        <v>1394</v>
      </c>
      <c r="C266" s="962"/>
      <c r="D266" s="963"/>
      <c r="E266" s="167"/>
      <c r="F266" s="167"/>
      <c r="G266" s="167"/>
      <c r="H266" s="963" t="s">
        <v>0</v>
      </c>
      <c r="Q266">
        <f t="shared" si="2"/>
        <v>0</v>
      </c>
    </row>
    <row r="267" spans="2:17">
      <c r="B267" s="962" t="s">
        <v>1393</v>
      </c>
      <c r="C267" s="962"/>
      <c r="D267" s="963"/>
      <c r="E267" s="167"/>
      <c r="F267" s="167"/>
      <c r="G267" s="167"/>
      <c r="H267" s="963" t="s">
        <v>0</v>
      </c>
      <c r="Q267">
        <f t="shared" si="2"/>
        <v>0</v>
      </c>
    </row>
    <row r="268" spans="2:17">
      <c r="B268" s="960" t="s">
        <v>1396</v>
      </c>
      <c r="C268" s="960"/>
      <c r="D268" s="952"/>
      <c r="E268" s="167"/>
      <c r="F268" s="167"/>
      <c r="G268" s="167"/>
      <c r="H268" s="952" t="s">
        <v>0</v>
      </c>
      <c r="Q268">
        <f t="shared" si="2"/>
        <v>0</v>
      </c>
    </row>
    <row r="269" spans="2:17">
      <c r="B269" s="960" t="s">
        <v>1397</v>
      </c>
      <c r="C269" s="960"/>
      <c r="D269" s="952"/>
      <c r="E269" s="167"/>
      <c r="F269" s="167"/>
      <c r="G269" s="167"/>
      <c r="H269" s="952" t="s">
        <v>0</v>
      </c>
      <c r="Q269">
        <f t="shared" si="2"/>
        <v>0</v>
      </c>
    </row>
    <row r="270" spans="2:17">
      <c r="B270" s="955" t="s">
        <v>849</v>
      </c>
      <c r="C270" s="955"/>
      <c r="D270" s="952"/>
      <c r="E270" s="167"/>
      <c r="F270" s="167"/>
      <c r="G270" s="167"/>
      <c r="H270" s="952" t="s">
        <v>0</v>
      </c>
      <c r="Q270">
        <f t="shared" si="2"/>
        <v>0</v>
      </c>
    </row>
    <row r="271" spans="2:17">
      <c r="B271" s="955" t="s">
        <v>850</v>
      </c>
      <c r="C271" s="955"/>
      <c r="D271" s="952"/>
      <c r="E271" s="167"/>
      <c r="F271" s="167"/>
      <c r="G271" s="167"/>
      <c r="H271" s="952" t="s">
        <v>0</v>
      </c>
      <c r="Q271">
        <f t="shared" si="2"/>
        <v>0</v>
      </c>
    </row>
    <row r="272" spans="2:17">
      <c r="B272" s="955" t="s">
        <v>9</v>
      </c>
      <c r="C272" s="955"/>
      <c r="D272" s="952"/>
      <c r="E272" s="167"/>
      <c r="F272" s="167"/>
      <c r="G272" s="167"/>
      <c r="H272" s="952" t="s">
        <v>0</v>
      </c>
      <c r="Q272">
        <f t="shared" si="2"/>
        <v>0</v>
      </c>
    </row>
    <row r="273" spans="2:17">
      <c r="B273" s="955" t="s">
        <v>452</v>
      </c>
      <c r="C273" s="955"/>
      <c r="D273" s="952"/>
      <c r="E273" s="167"/>
      <c r="F273" s="167"/>
      <c r="G273" s="167"/>
      <c r="H273" s="952" t="s">
        <v>0</v>
      </c>
      <c r="Q273">
        <f t="shared" si="2"/>
        <v>0</v>
      </c>
    </row>
    <row r="274" spans="2:17">
      <c r="B274" s="955" t="s">
        <v>452</v>
      </c>
      <c r="C274" s="955"/>
      <c r="D274" s="952"/>
      <c r="E274" s="167"/>
      <c r="F274" s="167"/>
      <c r="G274" s="167"/>
      <c r="H274" s="952" t="s">
        <v>0</v>
      </c>
      <c r="Q274">
        <f t="shared" ref="Q274:Q337" si="3">M274</f>
        <v>0</v>
      </c>
    </row>
    <row r="275" spans="2:17">
      <c r="B275" s="955" t="s">
        <v>10</v>
      </c>
      <c r="C275" s="955"/>
      <c r="D275" s="952"/>
      <c r="E275" s="167"/>
      <c r="F275" s="167"/>
      <c r="G275" s="167"/>
      <c r="H275" s="952" t="s">
        <v>0</v>
      </c>
      <c r="Q275">
        <f t="shared" si="3"/>
        <v>0</v>
      </c>
    </row>
    <row r="276" spans="2:17">
      <c r="B276" s="955" t="s">
        <v>851</v>
      </c>
      <c r="C276" s="955"/>
      <c r="D276" s="952"/>
      <c r="E276" s="167"/>
      <c r="F276" s="167"/>
      <c r="G276" s="167"/>
      <c r="H276" s="952" t="s">
        <v>0</v>
      </c>
      <c r="Q276">
        <f t="shared" si="3"/>
        <v>0</v>
      </c>
    </row>
    <row r="277" spans="2:17">
      <c r="B277" s="955" t="s">
        <v>852</v>
      </c>
      <c r="C277" s="955"/>
      <c r="D277" s="952"/>
      <c r="E277" s="167"/>
      <c r="F277" s="167"/>
      <c r="G277" s="167"/>
      <c r="H277" s="952" t="s">
        <v>0</v>
      </c>
      <c r="Q277">
        <f t="shared" si="3"/>
        <v>0</v>
      </c>
    </row>
    <row r="278" spans="2:17">
      <c r="B278" s="955" t="s">
        <v>853</v>
      </c>
      <c r="C278" s="955"/>
      <c r="D278" s="952"/>
      <c r="E278" s="167"/>
      <c r="F278" s="167"/>
      <c r="G278" s="167"/>
      <c r="H278" s="952" t="s">
        <v>0</v>
      </c>
      <c r="Q278">
        <f t="shared" si="3"/>
        <v>0</v>
      </c>
    </row>
    <row r="279" spans="2:17">
      <c r="B279" s="955" t="s">
        <v>854</v>
      </c>
      <c r="C279" s="955"/>
      <c r="D279" s="952"/>
      <c r="E279" s="167"/>
      <c r="F279" s="167"/>
      <c r="G279" s="167"/>
      <c r="H279" s="952" t="s">
        <v>0</v>
      </c>
      <c r="Q279">
        <f t="shared" si="3"/>
        <v>0</v>
      </c>
    </row>
    <row r="280" spans="2:17">
      <c r="B280" s="964" t="s">
        <v>425</v>
      </c>
      <c r="C280" s="964"/>
      <c r="D280" s="952"/>
      <c r="E280" s="167"/>
      <c r="F280" s="167"/>
      <c r="G280" s="167"/>
      <c r="H280" s="952" t="s">
        <v>0</v>
      </c>
      <c r="Q280">
        <f t="shared" si="3"/>
        <v>0</v>
      </c>
    </row>
    <row r="281" spans="2:17">
      <c r="B281" s="964" t="s">
        <v>1084</v>
      </c>
      <c r="C281" s="964"/>
      <c r="D281" s="952"/>
      <c r="E281" s="167"/>
      <c r="F281" s="167"/>
      <c r="G281" s="167"/>
      <c r="H281" s="952" t="s">
        <v>0</v>
      </c>
      <c r="Q281">
        <f t="shared" si="3"/>
        <v>0</v>
      </c>
    </row>
    <row r="282" spans="2:17">
      <c r="B282" s="964" t="s">
        <v>1570</v>
      </c>
      <c r="C282" s="964"/>
      <c r="D282" s="952"/>
      <c r="E282" s="167"/>
      <c r="F282" s="167"/>
      <c r="G282" s="167"/>
      <c r="H282" s="952" t="s">
        <v>0</v>
      </c>
      <c r="Q282">
        <f t="shared" si="3"/>
        <v>0</v>
      </c>
    </row>
    <row r="283" spans="2:17">
      <c r="B283" s="955" t="s">
        <v>855</v>
      </c>
      <c r="C283" s="955"/>
      <c r="D283" s="952"/>
      <c r="E283" s="167"/>
      <c r="F283" s="167"/>
      <c r="G283" s="167"/>
      <c r="H283" s="952" t="s">
        <v>0</v>
      </c>
      <c r="Q283">
        <f t="shared" si="3"/>
        <v>0</v>
      </c>
    </row>
    <row r="284" spans="2:17">
      <c r="B284" s="955" t="s">
        <v>856</v>
      </c>
      <c r="C284" s="955"/>
      <c r="D284" s="952"/>
      <c r="E284" s="167"/>
      <c r="F284" s="167"/>
      <c r="G284" s="167"/>
      <c r="H284" s="952" t="s">
        <v>0</v>
      </c>
      <c r="Q284">
        <f t="shared" si="3"/>
        <v>0</v>
      </c>
    </row>
    <row r="285" spans="2:17">
      <c r="B285" s="955" t="s">
        <v>857</v>
      </c>
      <c r="C285" s="955"/>
      <c r="D285" s="952"/>
      <c r="E285" s="167"/>
      <c r="F285" s="167"/>
      <c r="G285" s="167"/>
      <c r="H285" s="952" t="s">
        <v>0</v>
      </c>
      <c r="Q285">
        <f t="shared" si="3"/>
        <v>0</v>
      </c>
    </row>
    <row r="286" spans="2:17">
      <c r="B286" s="955" t="s">
        <v>858</v>
      </c>
      <c r="C286" s="955"/>
      <c r="D286" s="952"/>
      <c r="E286" s="167"/>
      <c r="F286" s="167"/>
      <c r="G286" s="167"/>
      <c r="H286" s="952" t="s">
        <v>0</v>
      </c>
      <c r="Q286">
        <f t="shared" si="3"/>
        <v>0</v>
      </c>
    </row>
    <row r="287" spans="2:17">
      <c r="B287" s="955" t="s">
        <v>11</v>
      </c>
      <c r="C287" s="955"/>
      <c r="D287" s="952"/>
      <c r="E287" s="167"/>
      <c r="F287" s="167"/>
      <c r="G287" s="167"/>
      <c r="H287" s="952" t="s">
        <v>0</v>
      </c>
      <c r="Q287">
        <f t="shared" si="3"/>
        <v>0</v>
      </c>
    </row>
    <row r="288" spans="2:17">
      <c r="B288" s="964" t="s">
        <v>848</v>
      </c>
      <c r="C288" s="964"/>
      <c r="D288" s="952"/>
      <c r="E288" s="167"/>
      <c r="F288" s="167"/>
      <c r="G288" s="167"/>
      <c r="H288" s="952" t="s">
        <v>0</v>
      </c>
      <c r="Q288">
        <f t="shared" si="3"/>
        <v>0</v>
      </c>
    </row>
    <row r="289" spans="2:17">
      <c r="B289" s="955" t="s">
        <v>859</v>
      </c>
      <c r="C289" s="955"/>
      <c r="D289" s="952"/>
      <c r="E289" s="167"/>
      <c r="F289" s="167"/>
      <c r="G289" s="167"/>
      <c r="H289" s="952" t="s">
        <v>0</v>
      </c>
      <c r="Q289">
        <f t="shared" si="3"/>
        <v>0</v>
      </c>
    </row>
    <row r="290" spans="2:17">
      <c r="B290" s="955" t="s">
        <v>860</v>
      </c>
      <c r="C290" s="955"/>
      <c r="D290" s="952"/>
      <c r="E290" s="167"/>
      <c r="F290" s="167"/>
      <c r="G290" s="167"/>
      <c r="H290" s="952" t="s">
        <v>0</v>
      </c>
      <c r="Q290">
        <f t="shared" si="3"/>
        <v>0</v>
      </c>
    </row>
    <row r="291" spans="2:17">
      <c r="B291" s="955" t="s">
        <v>861</v>
      </c>
      <c r="C291" s="955"/>
      <c r="D291" s="952"/>
      <c r="E291" s="167"/>
      <c r="F291" s="167"/>
      <c r="G291" s="167"/>
      <c r="H291" s="952" t="s">
        <v>0</v>
      </c>
      <c r="Q291">
        <f t="shared" si="3"/>
        <v>0</v>
      </c>
    </row>
    <row r="292" spans="2:17">
      <c r="B292" s="955" t="s">
        <v>862</v>
      </c>
      <c r="C292" s="955"/>
      <c r="D292" s="952"/>
      <c r="E292" s="167"/>
      <c r="F292" s="167"/>
      <c r="G292" s="167"/>
      <c r="H292" s="952" t="s">
        <v>0</v>
      </c>
      <c r="Q292">
        <f t="shared" si="3"/>
        <v>0</v>
      </c>
    </row>
    <row r="293" spans="2:17">
      <c r="B293" s="955" t="s">
        <v>863</v>
      </c>
      <c r="C293" s="955"/>
      <c r="D293" s="952"/>
      <c r="E293" s="167"/>
      <c r="F293" s="167"/>
      <c r="G293" s="167"/>
      <c r="H293" s="952" t="s">
        <v>0</v>
      </c>
      <c r="Q293">
        <f t="shared" si="3"/>
        <v>0</v>
      </c>
    </row>
    <row r="294" spans="2:17">
      <c r="B294" s="955" t="s">
        <v>864</v>
      </c>
      <c r="C294" s="955"/>
      <c r="D294" s="952"/>
      <c r="E294" s="167"/>
      <c r="F294" s="167"/>
      <c r="G294" s="167"/>
      <c r="H294" s="952" t="s">
        <v>0</v>
      </c>
      <c r="Q294">
        <f t="shared" si="3"/>
        <v>0</v>
      </c>
    </row>
    <row r="295" spans="2:17">
      <c r="B295" s="955" t="s">
        <v>865</v>
      </c>
      <c r="C295" s="955"/>
      <c r="D295" s="952"/>
      <c r="E295" s="167"/>
      <c r="F295" s="167"/>
      <c r="G295" s="167"/>
      <c r="H295" s="952" t="s">
        <v>0</v>
      </c>
      <c r="Q295">
        <f t="shared" si="3"/>
        <v>0</v>
      </c>
    </row>
    <row r="296" spans="2:17">
      <c r="B296" s="955" t="s">
        <v>866</v>
      </c>
      <c r="C296" s="955"/>
      <c r="D296" s="952"/>
      <c r="E296" s="167"/>
      <c r="F296" s="167"/>
      <c r="G296" s="167"/>
      <c r="H296" s="952" t="s">
        <v>0</v>
      </c>
      <c r="Q296">
        <f t="shared" si="3"/>
        <v>0</v>
      </c>
    </row>
    <row r="297" spans="2:17">
      <c r="B297" s="955" t="s">
        <v>867</v>
      </c>
      <c r="C297" s="955"/>
      <c r="D297" s="952"/>
      <c r="E297" s="167"/>
      <c r="F297" s="167"/>
      <c r="G297" s="167"/>
      <c r="H297" s="952" t="s">
        <v>0</v>
      </c>
      <c r="Q297">
        <f t="shared" si="3"/>
        <v>0</v>
      </c>
    </row>
    <row r="298" spans="2:17" ht="38.25">
      <c r="B298" s="965" t="s">
        <v>1604</v>
      </c>
      <c r="C298" s="965"/>
      <c r="D298" s="952"/>
      <c r="E298" s="167"/>
      <c r="F298" s="167"/>
      <c r="G298" s="167"/>
      <c r="H298" s="952" t="s">
        <v>0</v>
      </c>
      <c r="Q298">
        <f t="shared" si="3"/>
        <v>0</v>
      </c>
    </row>
    <row r="299" spans="2:17" ht="38.25">
      <c r="B299" s="965" t="s">
        <v>1605</v>
      </c>
      <c r="C299" s="965"/>
      <c r="D299" s="952"/>
      <c r="E299" s="167"/>
      <c r="F299" s="167"/>
      <c r="G299" s="167"/>
      <c r="H299" s="952" t="s">
        <v>0</v>
      </c>
      <c r="Q299">
        <f t="shared" si="3"/>
        <v>0</v>
      </c>
    </row>
    <row r="300" spans="2:17" ht="38.25">
      <c r="B300" s="965" t="s">
        <v>1606</v>
      </c>
      <c r="C300" s="965"/>
      <c r="D300" s="952"/>
      <c r="E300" s="167"/>
      <c r="F300" s="167"/>
      <c r="G300" s="167"/>
      <c r="H300" s="952" t="s">
        <v>0</v>
      </c>
      <c r="Q300">
        <f t="shared" si="3"/>
        <v>0</v>
      </c>
    </row>
    <row r="301" spans="2:17" ht="38.25">
      <c r="B301" s="965" t="s">
        <v>1607</v>
      </c>
      <c r="C301" s="965"/>
      <c r="D301" s="952"/>
      <c r="E301" s="167"/>
      <c r="F301" s="167"/>
      <c r="G301" s="167"/>
      <c r="H301" s="952" t="s">
        <v>0</v>
      </c>
      <c r="Q301">
        <f t="shared" si="3"/>
        <v>0</v>
      </c>
    </row>
    <row r="302" spans="2:17" ht="25.5">
      <c r="B302" s="965" t="s">
        <v>1608</v>
      </c>
      <c r="C302" s="965"/>
      <c r="D302" s="952"/>
      <c r="E302" s="167"/>
      <c r="F302" s="167"/>
      <c r="G302" s="167"/>
      <c r="H302" s="952" t="s">
        <v>0</v>
      </c>
      <c r="Q302">
        <f t="shared" si="3"/>
        <v>0</v>
      </c>
    </row>
    <row r="303" spans="2:17" ht="25.5">
      <c r="B303" s="965" t="s">
        <v>1609</v>
      </c>
      <c r="C303" s="965"/>
      <c r="D303" s="952"/>
      <c r="E303" s="167"/>
      <c r="F303" s="167"/>
      <c r="G303" s="167"/>
      <c r="H303" s="952" t="s">
        <v>0</v>
      </c>
      <c r="Q303">
        <f t="shared" si="3"/>
        <v>0</v>
      </c>
    </row>
    <row r="304" spans="2:17" ht="25.5">
      <c r="B304" s="965" t="s">
        <v>1610</v>
      </c>
      <c r="C304" s="965"/>
      <c r="D304" s="952"/>
      <c r="E304" s="167"/>
      <c r="F304" s="167"/>
      <c r="G304" s="167"/>
      <c r="H304" s="952" t="s">
        <v>0</v>
      </c>
      <c r="Q304">
        <f t="shared" si="3"/>
        <v>0</v>
      </c>
    </row>
    <row r="305" spans="2:17" ht="25.5">
      <c r="B305" s="965" t="s">
        <v>1611</v>
      </c>
      <c r="C305" s="965"/>
      <c r="D305" s="952"/>
      <c r="E305" s="167"/>
      <c r="F305" s="167"/>
      <c r="G305" s="167"/>
      <c r="H305" s="952" t="s">
        <v>0</v>
      </c>
      <c r="Q305">
        <f t="shared" si="3"/>
        <v>0</v>
      </c>
    </row>
    <row r="306" spans="2:17" ht="25.5">
      <c r="B306" s="965" t="s">
        <v>1612</v>
      </c>
      <c r="C306" s="965"/>
      <c r="D306" s="952"/>
      <c r="E306" s="167"/>
      <c r="F306" s="167"/>
      <c r="G306" s="167"/>
      <c r="H306" s="952" t="s">
        <v>0</v>
      </c>
      <c r="Q306">
        <f t="shared" si="3"/>
        <v>0</v>
      </c>
    </row>
    <row r="307" spans="2:17">
      <c r="B307" s="955" t="s">
        <v>877</v>
      </c>
      <c r="C307" s="955"/>
      <c r="D307" s="952"/>
      <c r="E307" s="167"/>
      <c r="F307" s="167"/>
      <c r="G307" s="167"/>
      <c r="H307" s="952" t="s">
        <v>0</v>
      </c>
      <c r="Q307">
        <f t="shared" si="3"/>
        <v>0</v>
      </c>
    </row>
    <row r="308" spans="2:17">
      <c r="B308" s="955" t="s">
        <v>878</v>
      </c>
      <c r="C308" s="955"/>
      <c r="D308" s="952"/>
      <c r="E308" s="167"/>
      <c r="F308" s="167"/>
      <c r="G308" s="167"/>
      <c r="H308" s="952" t="s">
        <v>0</v>
      </c>
      <c r="Q308">
        <f t="shared" si="3"/>
        <v>0</v>
      </c>
    </row>
    <row r="309" spans="2:17">
      <c r="B309" s="955" t="s">
        <v>287</v>
      </c>
      <c r="C309" s="955"/>
      <c r="D309" s="952"/>
      <c r="E309" s="167"/>
      <c r="F309" s="167"/>
      <c r="G309" s="167"/>
      <c r="H309" s="952" t="s">
        <v>0</v>
      </c>
      <c r="Q309">
        <f t="shared" si="3"/>
        <v>0</v>
      </c>
    </row>
    <row r="310" spans="2:17">
      <c r="B310" s="955" t="s">
        <v>879</v>
      </c>
      <c r="C310" s="955"/>
      <c r="D310" s="952"/>
      <c r="E310" s="167"/>
      <c r="F310" s="167"/>
      <c r="G310" s="167"/>
      <c r="H310" s="952" t="s">
        <v>0</v>
      </c>
      <c r="Q310">
        <f t="shared" si="3"/>
        <v>0</v>
      </c>
    </row>
    <row r="311" spans="2:17">
      <c r="B311" s="955" t="s">
        <v>880</v>
      </c>
      <c r="C311" s="955"/>
      <c r="D311" s="952"/>
      <c r="E311" s="167"/>
      <c r="F311" s="167"/>
      <c r="G311" s="167"/>
      <c r="H311" s="952" t="s">
        <v>0</v>
      </c>
      <c r="Q311">
        <f t="shared" si="3"/>
        <v>0</v>
      </c>
    </row>
    <row r="312" spans="2:17">
      <c r="B312" s="955" t="s">
        <v>881</v>
      </c>
      <c r="C312" s="955"/>
      <c r="D312" s="952"/>
      <c r="E312" s="167"/>
      <c r="F312" s="167"/>
      <c r="G312" s="167"/>
      <c r="H312" s="952" t="s">
        <v>0</v>
      </c>
      <c r="Q312">
        <f t="shared" si="3"/>
        <v>0</v>
      </c>
    </row>
    <row r="313" spans="2:17">
      <c r="B313" s="955" t="s">
        <v>882</v>
      </c>
      <c r="C313" s="955"/>
      <c r="D313" s="952"/>
      <c r="E313" s="167"/>
      <c r="F313" s="167"/>
      <c r="G313" s="167"/>
      <c r="H313" s="952" t="s">
        <v>0</v>
      </c>
      <c r="Q313">
        <f t="shared" si="3"/>
        <v>0</v>
      </c>
    </row>
    <row r="314" spans="2:17" ht="25.5">
      <c r="B314" s="965" t="s">
        <v>1613</v>
      </c>
      <c r="C314" s="965"/>
      <c r="D314" s="952"/>
      <c r="E314" s="167"/>
      <c r="F314" s="167"/>
      <c r="G314" s="167"/>
      <c r="H314" s="952" t="s">
        <v>0</v>
      </c>
      <c r="Q314">
        <f t="shared" si="3"/>
        <v>0</v>
      </c>
    </row>
    <row r="315" spans="2:17">
      <c r="B315" s="955" t="s">
        <v>884</v>
      </c>
      <c r="C315" s="955"/>
      <c r="D315" s="952"/>
      <c r="E315" s="167"/>
      <c r="F315" s="167"/>
      <c r="G315" s="167"/>
      <c r="H315" s="952" t="s">
        <v>0</v>
      </c>
      <c r="Q315">
        <f t="shared" si="3"/>
        <v>0</v>
      </c>
    </row>
    <row r="316" spans="2:17">
      <c r="B316" s="787" t="s">
        <v>410</v>
      </c>
      <c r="C316" s="787"/>
      <c r="D316" s="952"/>
      <c r="E316" s="167"/>
      <c r="F316" s="167"/>
      <c r="G316" s="167"/>
      <c r="H316" s="952" t="s">
        <v>0</v>
      </c>
      <c r="Q316">
        <f t="shared" si="3"/>
        <v>0</v>
      </c>
    </row>
    <row r="317" spans="2:17">
      <c r="B317" s="955" t="s">
        <v>885</v>
      </c>
      <c r="C317" s="955"/>
      <c r="D317" s="952"/>
      <c r="E317" s="167"/>
      <c r="F317" s="167"/>
      <c r="G317" s="167"/>
      <c r="H317" s="952" t="s">
        <v>0</v>
      </c>
      <c r="Q317">
        <f t="shared" si="3"/>
        <v>0</v>
      </c>
    </row>
    <row r="318" spans="2:17">
      <c r="B318" s="955" t="s">
        <v>886</v>
      </c>
      <c r="C318" s="955"/>
      <c r="D318" s="952"/>
      <c r="E318" s="167"/>
      <c r="F318" s="167"/>
      <c r="G318" s="167"/>
      <c r="H318" s="952" t="s">
        <v>0</v>
      </c>
      <c r="Q318">
        <f t="shared" si="3"/>
        <v>0</v>
      </c>
    </row>
    <row r="319" spans="2:17">
      <c r="B319" s="955" t="s">
        <v>887</v>
      </c>
      <c r="C319" s="955"/>
      <c r="D319" s="952"/>
      <c r="E319" s="167"/>
      <c r="F319" s="167"/>
      <c r="G319" s="167"/>
      <c r="H319" s="952" t="s">
        <v>0</v>
      </c>
      <c r="Q319">
        <f t="shared" si="3"/>
        <v>0</v>
      </c>
    </row>
    <row r="320" spans="2:17">
      <c r="B320" s="955" t="s">
        <v>888</v>
      </c>
      <c r="C320" s="955"/>
      <c r="D320" s="952"/>
      <c r="E320" s="167"/>
      <c r="F320" s="167"/>
      <c r="G320" s="167"/>
      <c r="H320" s="952" t="s">
        <v>0</v>
      </c>
      <c r="Q320">
        <f t="shared" si="3"/>
        <v>0</v>
      </c>
    </row>
    <row r="321" spans="2:17">
      <c r="B321" s="955" t="s">
        <v>889</v>
      </c>
      <c r="C321" s="955"/>
      <c r="D321" s="952"/>
      <c r="E321" s="167"/>
      <c r="F321" s="167"/>
      <c r="G321" s="167"/>
      <c r="H321" s="952" t="s">
        <v>0</v>
      </c>
      <c r="Q321">
        <f t="shared" si="3"/>
        <v>0</v>
      </c>
    </row>
    <row r="322" spans="2:17">
      <c r="B322" s="955" t="s">
        <v>890</v>
      </c>
      <c r="C322" s="955"/>
      <c r="D322" s="952"/>
      <c r="E322" s="167"/>
      <c r="F322" s="167"/>
      <c r="G322" s="167"/>
      <c r="H322" s="952" t="s">
        <v>0</v>
      </c>
      <c r="Q322">
        <f t="shared" si="3"/>
        <v>0</v>
      </c>
    </row>
    <row r="323" spans="2:17">
      <c r="B323" s="955" t="s">
        <v>891</v>
      </c>
      <c r="C323" s="955"/>
      <c r="D323" s="952"/>
      <c r="E323" s="167"/>
      <c r="F323" s="167"/>
      <c r="G323" s="167"/>
      <c r="H323" s="952" t="s">
        <v>0</v>
      </c>
      <c r="Q323">
        <f t="shared" si="3"/>
        <v>0</v>
      </c>
    </row>
    <row r="324" spans="2:17">
      <c r="B324" s="955" t="s">
        <v>892</v>
      </c>
      <c r="C324" s="955"/>
      <c r="D324" s="952"/>
      <c r="E324" s="167"/>
      <c r="F324" s="167"/>
      <c r="G324" s="167"/>
      <c r="H324" s="952" t="s">
        <v>0</v>
      </c>
      <c r="Q324">
        <f t="shared" si="3"/>
        <v>0</v>
      </c>
    </row>
    <row r="325" spans="2:17">
      <c r="B325" s="955" t="s">
        <v>893</v>
      </c>
      <c r="C325" s="955"/>
      <c r="D325" s="952"/>
      <c r="E325" s="167"/>
      <c r="F325" s="167"/>
      <c r="G325" s="167"/>
      <c r="H325" s="952" t="s">
        <v>0</v>
      </c>
      <c r="Q325">
        <f t="shared" si="3"/>
        <v>0</v>
      </c>
    </row>
    <row r="326" spans="2:17">
      <c r="B326" s="955" t="s">
        <v>894</v>
      </c>
      <c r="C326" s="955"/>
      <c r="D326" s="952"/>
      <c r="E326" s="167"/>
      <c r="F326" s="167"/>
      <c r="G326" s="167"/>
      <c r="H326" s="952" t="s">
        <v>0</v>
      </c>
      <c r="Q326">
        <f t="shared" si="3"/>
        <v>0</v>
      </c>
    </row>
    <row r="327" spans="2:17">
      <c r="B327" s="955" t="s">
        <v>895</v>
      </c>
      <c r="C327" s="955"/>
      <c r="D327" s="952"/>
      <c r="E327" s="167"/>
      <c r="F327" s="167"/>
      <c r="G327" s="167"/>
      <c r="H327" s="952" t="s">
        <v>0</v>
      </c>
      <c r="Q327">
        <f t="shared" si="3"/>
        <v>0</v>
      </c>
    </row>
    <row r="328" spans="2:17">
      <c r="B328" s="955" t="s">
        <v>896</v>
      </c>
      <c r="C328" s="955"/>
      <c r="D328" s="952"/>
      <c r="E328" s="167"/>
      <c r="F328" s="167"/>
      <c r="G328" s="167"/>
      <c r="H328" s="952" t="s">
        <v>0</v>
      </c>
      <c r="Q328">
        <f t="shared" si="3"/>
        <v>0</v>
      </c>
    </row>
    <row r="329" spans="2:17">
      <c r="B329" s="955" t="s">
        <v>897</v>
      </c>
      <c r="C329" s="955"/>
      <c r="D329" s="952"/>
      <c r="E329" s="167"/>
      <c r="F329" s="167"/>
      <c r="G329" s="167"/>
      <c r="H329" s="952" t="s">
        <v>0</v>
      </c>
      <c r="Q329">
        <f t="shared" si="3"/>
        <v>0</v>
      </c>
    </row>
    <row r="330" spans="2:17">
      <c r="B330" s="955" t="s">
        <v>898</v>
      </c>
      <c r="C330" s="955"/>
      <c r="D330" s="952"/>
      <c r="E330" s="167"/>
      <c r="F330" s="167"/>
      <c r="G330" s="167"/>
      <c r="H330" s="952" t="s">
        <v>0</v>
      </c>
      <c r="Q330">
        <f t="shared" si="3"/>
        <v>0</v>
      </c>
    </row>
    <row r="331" spans="2:17">
      <c r="B331" s="955" t="s">
        <v>899</v>
      </c>
      <c r="C331" s="955"/>
      <c r="D331" s="952"/>
      <c r="E331" s="167"/>
      <c r="F331" s="167"/>
      <c r="G331" s="167"/>
      <c r="H331" s="952" t="s">
        <v>0</v>
      </c>
      <c r="Q331">
        <f t="shared" si="3"/>
        <v>0</v>
      </c>
    </row>
    <row r="332" spans="2:17">
      <c r="B332" s="955" t="s">
        <v>900</v>
      </c>
      <c r="C332" s="955"/>
      <c r="D332" s="952"/>
      <c r="E332" s="167"/>
      <c r="F332" s="167"/>
      <c r="G332" s="167"/>
      <c r="H332" s="952" t="s">
        <v>0</v>
      </c>
      <c r="Q332">
        <f t="shared" si="3"/>
        <v>0</v>
      </c>
    </row>
    <row r="333" spans="2:17">
      <c r="B333" s="955" t="s">
        <v>901</v>
      </c>
      <c r="C333" s="955"/>
      <c r="D333" s="952"/>
      <c r="E333" s="167"/>
      <c r="F333" s="167"/>
      <c r="G333" s="167"/>
      <c r="H333" s="952" t="s">
        <v>0</v>
      </c>
      <c r="Q333">
        <f t="shared" si="3"/>
        <v>0</v>
      </c>
    </row>
    <row r="334" spans="2:17">
      <c r="B334" s="955" t="s">
        <v>902</v>
      </c>
      <c r="C334" s="955"/>
      <c r="D334" s="952"/>
      <c r="E334" s="167"/>
      <c r="F334" s="167"/>
      <c r="G334" s="167"/>
      <c r="H334" s="952" t="s">
        <v>0</v>
      </c>
      <c r="Q334">
        <f t="shared" si="3"/>
        <v>0</v>
      </c>
    </row>
    <row r="335" spans="2:17">
      <c r="B335" s="955" t="s">
        <v>903</v>
      </c>
      <c r="C335" s="955"/>
      <c r="D335" s="952"/>
      <c r="E335" s="167"/>
      <c r="F335" s="167"/>
      <c r="G335" s="167"/>
      <c r="H335" s="952" t="s">
        <v>0</v>
      </c>
      <c r="Q335">
        <f t="shared" si="3"/>
        <v>0</v>
      </c>
    </row>
    <row r="336" spans="2:17">
      <c r="B336" s="955" t="s">
        <v>904</v>
      </c>
      <c r="C336" s="955"/>
      <c r="D336" s="952"/>
      <c r="E336" s="167"/>
      <c r="F336" s="167"/>
      <c r="G336" s="167"/>
      <c r="H336" s="952" t="s">
        <v>0</v>
      </c>
      <c r="Q336">
        <f t="shared" si="3"/>
        <v>0</v>
      </c>
    </row>
    <row r="337" spans="2:17">
      <c r="B337" s="210" t="s">
        <v>1481</v>
      </c>
      <c r="C337" s="955"/>
      <c r="D337" s="952"/>
      <c r="E337" s="167"/>
      <c r="F337" s="167"/>
      <c r="G337" s="167"/>
      <c r="H337" s="952" t="s">
        <v>0</v>
      </c>
      <c r="Q337">
        <f t="shared" si="3"/>
        <v>0</v>
      </c>
    </row>
    <row r="338" spans="2:17">
      <c r="B338" s="955" t="s">
        <v>905</v>
      </c>
      <c r="C338" s="955"/>
      <c r="D338" s="952"/>
      <c r="E338" s="167"/>
      <c r="F338" s="167"/>
      <c r="G338" s="167"/>
      <c r="H338" s="952" t="s">
        <v>0</v>
      </c>
      <c r="Q338">
        <f t="shared" ref="Q338:Q402" si="4">M338</f>
        <v>0</v>
      </c>
    </row>
    <row r="339" spans="2:17">
      <c r="B339" s="955" t="s">
        <v>906</v>
      </c>
      <c r="C339" s="955"/>
      <c r="D339" s="952"/>
      <c r="E339" s="167"/>
      <c r="F339" s="167"/>
      <c r="G339" s="167"/>
      <c r="H339" s="952" t="s">
        <v>0</v>
      </c>
      <c r="Q339">
        <f t="shared" si="4"/>
        <v>0</v>
      </c>
    </row>
    <row r="340" spans="2:17">
      <c r="B340" s="955" t="s">
        <v>907</v>
      </c>
      <c r="C340" s="955"/>
      <c r="D340" s="952"/>
      <c r="E340" s="167"/>
      <c r="F340" s="167"/>
      <c r="G340" s="167"/>
      <c r="H340" s="952" t="s">
        <v>0</v>
      </c>
      <c r="Q340">
        <f t="shared" si="4"/>
        <v>0</v>
      </c>
    </row>
    <row r="341" spans="2:17">
      <c r="B341" s="955" t="s">
        <v>908</v>
      </c>
      <c r="C341" s="955"/>
      <c r="D341" s="952"/>
      <c r="E341" s="167"/>
      <c r="F341" s="167"/>
      <c r="G341" s="167"/>
      <c r="H341" s="952" t="s">
        <v>0</v>
      </c>
      <c r="Q341">
        <f t="shared" si="4"/>
        <v>0</v>
      </c>
    </row>
    <row r="342" spans="2:17">
      <c r="B342" s="955" t="s">
        <v>999</v>
      </c>
      <c r="C342" s="955"/>
      <c r="D342" s="952"/>
      <c r="E342" s="167"/>
      <c r="F342" s="167"/>
      <c r="G342" s="167"/>
      <c r="H342" s="952" t="s">
        <v>0</v>
      </c>
      <c r="Q342">
        <f t="shared" si="4"/>
        <v>0</v>
      </c>
    </row>
    <row r="343" spans="2:17">
      <c r="B343" s="955" t="s">
        <v>998</v>
      </c>
      <c r="C343" s="955"/>
      <c r="D343" s="952"/>
      <c r="E343" s="167"/>
      <c r="F343" s="167"/>
      <c r="G343" s="167"/>
      <c r="H343" s="952" t="s">
        <v>0</v>
      </c>
      <c r="Q343">
        <f t="shared" si="4"/>
        <v>0</v>
      </c>
    </row>
    <row r="344" spans="2:17">
      <c r="B344" s="955" t="s">
        <v>909</v>
      </c>
      <c r="C344" s="955"/>
      <c r="D344" s="952"/>
      <c r="E344" s="167"/>
      <c r="F344" s="167"/>
      <c r="G344" s="167"/>
      <c r="H344" s="952" t="s">
        <v>0</v>
      </c>
      <c r="Q344">
        <f t="shared" si="4"/>
        <v>0</v>
      </c>
    </row>
    <row r="345" spans="2:17">
      <c r="B345" s="955" t="s">
        <v>1060</v>
      </c>
      <c r="C345" s="955"/>
      <c r="D345" s="952"/>
      <c r="E345" s="167"/>
      <c r="F345" s="167"/>
      <c r="G345" s="167"/>
      <c r="H345" s="952" t="s">
        <v>386</v>
      </c>
      <c r="Q345">
        <f t="shared" si="4"/>
        <v>0</v>
      </c>
    </row>
    <row r="346" spans="2:17">
      <c r="B346" s="955" t="s">
        <v>995</v>
      </c>
      <c r="C346" s="955"/>
      <c r="D346" s="952"/>
      <c r="E346" s="167"/>
      <c r="F346" s="167"/>
      <c r="G346" s="167"/>
      <c r="H346" s="952" t="s">
        <v>4</v>
      </c>
      <c r="Q346">
        <f t="shared" si="4"/>
        <v>0</v>
      </c>
    </row>
    <row r="347" spans="2:17">
      <c r="B347" s="955" t="s">
        <v>910</v>
      </c>
      <c r="C347" s="955"/>
      <c r="D347" s="952"/>
      <c r="E347" s="167"/>
      <c r="F347" s="167"/>
      <c r="G347" s="167"/>
      <c r="H347" s="952" t="s">
        <v>0</v>
      </c>
      <c r="Q347">
        <f t="shared" si="4"/>
        <v>0</v>
      </c>
    </row>
    <row r="348" spans="2:17">
      <c r="B348" s="955" t="s">
        <v>911</v>
      </c>
      <c r="C348" s="955"/>
      <c r="D348" s="952"/>
      <c r="E348" s="167"/>
      <c r="F348" s="167"/>
      <c r="G348" s="167"/>
      <c r="H348" s="952" t="s">
        <v>0</v>
      </c>
      <c r="Q348">
        <f t="shared" si="4"/>
        <v>0</v>
      </c>
    </row>
    <row r="349" spans="2:17">
      <c r="B349" s="955" t="s">
        <v>912</v>
      </c>
      <c r="C349" s="955"/>
      <c r="D349" s="952"/>
      <c r="E349" s="167"/>
      <c r="F349" s="167"/>
      <c r="G349" s="167"/>
      <c r="H349" s="952" t="s">
        <v>0</v>
      </c>
      <c r="Q349">
        <f t="shared" si="4"/>
        <v>0</v>
      </c>
    </row>
    <row r="350" spans="2:17">
      <c r="B350" s="955" t="s">
        <v>1081</v>
      </c>
      <c r="C350" s="955"/>
      <c r="D350" s="952"/>
      <c r="E350" s="167"/>
      <c r="F350" s="167"/>
      <c r="G350" s="167"/>
      <c r="H350" s="952" t="s">
        <v>386</v>
      </c>
      <c r="Q350">
        <f t="shared" si="4"/>
        <v>0</v>
      </c>
    </row>
    <row r="351" spans="2:17">
      <c r="B351" s="955" t="s">
        <v>1733</v>
      </c>
      <c r="C351" s="955"/>
      <c r="D351" s="952"/>
      <c r="E351" s="167"/>
      <c r="F351" s="167"/>
      <c r="G351" s="167"/>
      <c r="H351" s="952"/>
      <c r="Q351">
        <f t="shared" si="4"/>
        <v>0</v>
      </c>
    </row>
    <row r="352" spans="2:17">
      <c r="B352" s="955" t="s">
        <v>913</v>
      </c>
      <c r="C352" s="955"/>
      <c r="D352" s="952"/>
      <c r="E352" s="167"/>
      <c r="F352" s="167"/>
      <c r="G352" s="167"/>
      <c r="H352" s="952" t="s">
        <v>0</v>
      </c>
      <c r="Q352">
        <f t="shared" si="4"/>
        <v>0</v>
      </c>
    </row>
    <row r="353" spans="2:17">
      <c r="B353" s="955" t="s">
        <v>914</v>
      </c>
      <c r="C353" s="955"/>
      <c r="D353" s="952"/>
      <c r="E353" s="167"/>
      <c r="F353" s="167"/>
      <c r="G353" s="167"/>
      <c r="H353" s="952" t="s">
        <v>0</v>
      </c>
      <c r="Q353">
        <f t="shared" si="4"/>
        <v>0</v>
      </c>
    </row>
    <row r="354" spans="2:17">
      <c r="B354" s="955" t="s">
        <v>915</v>
      </c>
      <c r="C354" s="955"/>
      <c r="D354" s="952"/>
      <c r="E354" s="167"/>
      <c r="F354" s="167"/>
      <c r="G354" s="167"/>
      <c r="H354" s="952" t="s">
        <v>0</v>
      </c>
      <c r="Q354">
        <f t="shared" si="4"/>
        <v>0</v>
      </c>
    </row>
    <row r="355" spans="2:17">
      <c r="B355" s="955" t="s">
        <v>916</v>
      </c>
      <c r="C355" s="955"/>
      <c r="D355" s="952"/>
      <c r="E355" s="167"/>
      <c r="F355" s="167"/>
      <c r="G355" s="167"/>
      <c r="H355" s="952" t="s">
        <v>0</v>
      </c>
      <c r="Q355">
        <f t="shared" si="4"/>
        <v>0</v>
      </c>
    </row>
    <row r="356" spans="2:17">
      <c r="B356" s="955" t="s">
        <v>917</v>
      </c>
      <c r="C356" s="955"/>
      <c r="D356" s="952"/>
      <c r="E356" s="167"/>
      <c r="F356" s="167"/>
      <c r="G356" s="167"/>
      <c r="H356" s="952" t="s">
        <v>0</v>
      </c>
      <c r="Q356">
        <f t="shared" si="4"/>
        <v>0</v>
      </c>
    </row>
    <row r="357" spans="2:17">
      <c r="B357" s="955" t="s">
        <v>1090</v>
      </c>
      <c r="C357" s="955"/>
      <c r="D357" s="952"/>
      <c r="E357" s="167"/>
      <c r="F357" s="167"/>
      <c r="G357" s="167"/>
      <c r="H357" s="952" t="s">
        <v>386</v>
      </c>
      <c r="Q357">
        <f t="shared" si="4"/>
        <v>0</v>
      </c>
    </row>
    <row r="358" spans="2:17">
      <c r="B358" s="955" t="s">
        <v>13</v>
      </c>
      <c r="C358" s="955"/>
      <c r="D358" s="952"/>
      <c r="E358" s="167"/>
      <c r="F358" s="167"/>
      <c r="G358" s="167"/>
      <c r="H358" s="952" t="s">
        <v>0</v>
      </c>
      <c r="Q358">
        <f t="shared" si="4"/>
        <v>0</v>
      </c>
    </row>
    <row r="359" spans="2:17">
      <c r="B359" s="955" t="s">
        <v>996</v>
      </c>
      <c r="C359" s="955"/>
      <c r="D359" s="952"/>
      <c r="E359" s="167"/>
      <c r="F359" s="167"/>
      <c r="G359" s="167"/>
      <c r="H359" s="952" t="s">
        <v>4</v>
      </c>
      <c r="Q359">
        <f t="shared" si="4"/>
        <v>0</v>
      </c>
    </row>
    <row r="360" spans="2:17">
      <c r="B360" s="955" t="s">
        <v>918</v>
      </c>
      <c r="C360" s="955"/>
      <c r="D360" s="952"/>
      <c r="E360" s="167"/>
      <c r="F360" s="167"/>
      <c r="G360" s="167"/>
      <c r="H360" s="952" t="s">
        <v>0</v>
      </c>
      <c r="Q360">
        <f t="shared" si="4"/>
        <v>0</v>
      </c>
    </row>
    <row r="361" spans="2:17">
      <c r="B361" s="955" t="s">
        <v>1001</v>
      </c>
      <c r="C361" s="955"/>
      <c r="D361" s="952"/>
      <c r="E361" s="167"/>
      <c r="F361" s="167"/>
      <c r="G361" s="167"/>
      <c r="H361" s="952" t="s">
        <v>0</v>
      </c>
      <c r="Q361">
        <f t="shared" si="4"/>
        <v>0</v>
      </c>
    </row>
    <row r="362" spans="2:17">
      <c r="B362" s="167" t="s">
        <v>1032</v>
      </c>
      <c r="C362" s="167"/>
      <c r="D362" s="952"/>
      <c r="E362" s="167"/>
      <c r="F362" s="167"/>
      <c r="G362" s="167"/>
      <c r="H362" s="952" t="s">
        <v>0</v>
      </c>
      <c r="Q362">
        <f t="shared" si="4"/>
        <v>0</v>
      </c>
    </row>
    <row r="363" spans="2:17">
      <c r="B363" s="167" t="s">
        <v>1033</v>
      </c>
      <c r="C363" s="167"/>
      <c r="D363" s="952"/>
      <c r="E363" s="167"/>
      <c r="F363" s="167"/>
      <c r="G363" s="167"/>
      <c r="H363" s="952" t="s">
        <v>0</v>
      </c>
      <c r="Q363">
        <f t="shared" si="4"/>
        <v>0</v>
      </c>
    </row>
    <row r="364" spans="2:17">
      <c r="B364" s="167" t="s">
        <v>1034</v>
      </c>
      <c r="C364" s="167"/>
      <c r="D364" s="952"/>
      <c r="E364" s="167"/>
      <c r="F364" s="167"/>
      <c r="G364" s="167"/>
      <c r="H364" s="952" t="s">
        <v>0</v>
      </c>
      <c r="Q364">
        <f t="shared" si="4"/>
        <v>0</v>
      </c>
    </row>
    <row r="365" spans="2:17">
      <c r="B365" s="167" t="s">
        <v>1035</v>
      </c>
      <c r="C365" s="167"/>
      <c r="D365" s="952"/>
      <c r="E365" s="167"/>
      <c r="F365" s="167"/>
      <c r="G365" s="167"/>
      <c r="H365" s="952" t="s">
        <v>0</v>
      </c>
      <c r="Q365">
        <f t="shared" si="4"/>
        <v>0</v>
      </c>
    </row>
    <row r="366" spans="2:17">
      <c r="B366" s="167" t="s">
        <v>1036</v>
      </c>
      <c r="C366" s="167"/>
      <c r="D366" s="952"/>
      <c r="E366" s="167"/>
      <c r="F366" s="167"/>
      <c r="G366" s="167"/>
      <c r="H366" s="952" t="s">
        <v>0</v>
      </c>
      <c r="Q366">
        <f t="shared" si="4"/>
        <v>0</v>
      </c>
    </row>
    <row r="367" spans="2:17">
      <c r="B367" s="167" t="s">
        <v>1037</v>
      </c>
      <c r="C367" s="167"/>
      <c r="D367" s="952"/>
      <c r="E367" s="167"/>
      <c r="F367" s="167"/>
      <c r="G367" s="167"/>
      <c r="H367" s="952" t="s">
        <v>0</v>
      </c>
      <c r="Q367">
        <f t="shared" si="4"/>
        <v>0</v>
      </c>
    </row>
    <row r="368" spans="2:17">
      <c r="B368" s="167" t="s">
        <v>1038</v>
      </c>
      <c r="C368" s="167"/>
      <c r="D368" s="952"/>
      <c r="E368" s="167"/>
      <c r="F368" s="167"/>
      <c r="G368" s="167"/>
      <c r="H368" s="952" t="s">
        <v>0</v>
      </c>
      <c r="Q368">
        <f t="shared" si="4"/>
        <v>0</v>
      </c>
    </row>
    <row r="369" spans="2:17">
      <c r="B369" s="955" t="s">
        <v>15</v>
      </c>
      <c r="C369" s="955"/>
      <c r="D369" s="952"/>
      <c r="E369" s="167"/>
      <c r="F369" s="167"/>
      <c r="G369" s="167"/>
      <c r="H369" s="952" t="s">
        <v>0</v>
      </c>
      <c r="Q369">
        <f t="shared" si="4"/>
        <v>0</v>
      </c>
    </row>
    <row r="370" spans="2:17">
      <c r="B370" s="955" t="s">
        <v>919</v>
      </c>
      <c r="C370" s="955"/>
      <c r="D370" s="952"/>
      <c r="E370" s="167"/>
      <c r="F370" s="167"/>
      <c r="G370" s="167"/>
      <c r="H370" s="952" t="s">
        <v>0</v>
      </c>
      <c r="Q370">
        <f t="shared" si="4"/>
        <v>0</v>
      </c>
    </row>
    <row r="371" spans="2:17">
      <c r="B371" s="964" t="s">
        <v>920</v>
      </c>
      <c r="C371" s="964"/>
      <c r="D371" s="952"/>
      <c r="E371" s="167"/>
      <c r="F371" s="167"/>
      <c r="G371" s="167"/>
      <c r="H371" s="952" t="s">
        <v>0</v>
      </c>
      <c r="Q371">
        <f t="shared" si="4"/>
        <v>0</v>
      </c>
    </row>
    <row r="372" spans="2:17">
      <c r="B372" s="955" t="s">
        <v>921</v>
      </c>
      <c r="C372" s="955"/>
      <c r="D372" s="952"/>
      <c r="E372" s="167"/>
      <c r="F372" s="167"/>
      <c r="G372" s="167"/>
      <c r="H372" s="952" t="s">
        <v>0</v>
      </c>
      <c r="Q372">
        <f t="shared" si="4"/>
        <v>0</v>
      </c>
    </row>
    <row r="373" spans="2:17">
      <c r="B373" s="955" t="s">
        <v>922</v>
      </c>
      <c r="C373" s="955"/>
      <c r="D373" s="952"/>
      <c r="E373" s="167"/>
      <c r="F373" s="167"/>
      <c r="G373" s="167"/>
      <c r="H373" s="952" t="s">
        <v>0</v>
      </c>
      <c r="Q373">
        <f t="shared" si="4"/>
        <v>0</v>
      </c>
    </row>
    <row r="374" spans="2:17">
      <c r="B374" s="955" t="s">
        <v>923</v>
      </c>
      <c r="C374" s="955"/>
      <c r="D374" s="952"/>
      <c r="E374" s="167"/>
      <c r="F374" s="167"/>
      <c r="G374" s="167"/>
      <c r="H374" s="952" t="s">
        <v>0</v>
      </c>
      <c r="Q374">
        <f t="shared" si="4"/>
        <v>0</v>
      </c>
    </row>
    <row r="375" spans="2:17">
      <c r="B375" s="955" t="s">
        <v>924</v>
      </c>
      <c r="C375" s="955"/>
      <c r="D375" s="952"/>
      <c r="E375" s="167"/>
      <c r="F375" s="167"/>
      <c r="G375" s="167"/>
      <c r="H375" s="952" t="s">
        <v>0</v>
      </c>
      <c r="Q375">
        <f t="shared" si="4"/>
        <v>0</v>
      </c>
    </row>
    <row r="376" spans="2:17">
      <c r="B376" s="787" t="s">
        <v>165</v>
      </c>
      <c r="C376" s="787"/>
      <c r="D376" s="952"/>
      <c r="E376" s="167"/>
      <c r="F376" s="167"/>
      <c r="G376" s="167"/>
      <c r="H376" s="952" t="s">
        <v>0</v>
      </c>
      <c r="Q376">
        <f t="shared" si="4"/>
        <v>0</v>
      </c>
    </row>
    <row r="377" spans="2:17">
      <c r="B377" s="955" t="s">
        <v>925</v>
      </c>
      <c r="C377" s="955"/>
      <c r="D377" s="952"/>
      <c r="E377" s="167"/>
      <c r="F377" s="167"/>
      <c r="G377" s="167"/>
      <c r="H377" s="952" t="s">
        <v>0</v>
      </c>
      <c r="Q377">
        <f t="shared" si="4"/>
        <v>0</v>
      </c>
    </row>
    <row r="378" spans="2:17">
      <c r="B378" s="955" t="s">
        <v>926</v>
      </c>
      <c r="C378" s="955"/>
      <c r="D378" s="952"/>
      <c r="E378" s="167"/>
      <c r="F378" s="167"/>
      <c r="G378" s="167"/>
      <c r="H378" s="952" t="s">
        <v>0</v>
      </c>
      <c r="Q378">
        <f t="shared" si="4"/>
        <v>0</v>
      </c>
    </row>
    <row r="379" spans="2:17">
      <c r="B379" s="955" t="s">
        <v>210</v>
      </c>
      <c r="C379" s="955"/>
      <c r="D379" s="952"/>
      <c r="E379" s="167"/>
      <c r="F379" s="167"/>
      <c r="G379" s="167"/>
      <c r="H379" s="952" t="s">
        <v>0</v>
      </c>
      <c r="Q379">
        <f t="shared" si="4"/>
        <v>0</v>
      </c>
    </row>
    <row r="380" spans="2:17">
      <c r="B380" s="955" t="s">
        <v>927</v>
      </c>
      <c r="C380" s="955"/>
      <c r="D380" s="952"/>
      <c r="E380" s="167"/>
      <c r="F380" s="167"/>
      <c r="G380" s="167"/>
      <c r="H380" s="952" t="s">
        <v>0</v>
      </c>
      <c r="Q380">
        <f t="shared" si="4"/>
        <v>0</v>
      </c>
    </row>
    <row r="381" spans="2:17">
      <c r="B381" s="955" t="s">
        <v>928</v>
      </c>
      <c r="C381" s="955"/>
      <c r="D381" s="952"/>
      <c r="E381" s="167"/>
      <c r="F381" s="167"/>
      <c r="G381" s="167"/>
      <c r="H381" s="952" t="s">
        <v>0</v>
      </c>
      <c r="Q381">
        <f t="shared" si="4"/>
        <v>0</v>
      </c>
    </row>
    <row r="382" spans="2:17">
      <c r="B382" s="955" t="s">
        <v>929</v>
      </c>
      <c r="C382" s="955"/>
      <c r="D382" s="952"/>
      <c r="E382" s="167"/>
      <c r="F382" s="167"/>
      <c r="G382" s="167"/>
      <c r="H382" s="952" t="s">
        <v>0</v>
      </c>
      <c r="Q382">
        <f t="shared" si="4"/>
        <v>0</v>
      </c>
    </row>
    <row r="383" spans="2:17">
      <c r="B383" s="955" t="s">
        <v>16</v>
      </c>
      <c r="C383" s="955"/>
      <c r="D383" s="952"/>
      <c r="E383" s="167"/>
      <c r="F383" s="167"/>
      <c r="G383" s="167"/>
      <c r="H383" s="952" t="s">
        <v>0</v>
      </c>
      <c r="Q383">
        <f t="shared" si="4"/>
        <v>0</v>
      </c>
    </row>
    <row r="384" spans="2:17">
      <c r="B384" s="955" t="s">
        <v>1012</v>
      </c>
      <c r="C384" s="955"/>
      <c r="D384" s="952"/>
      <c r="E384" s="167"/>
      <c r="F384" s="167"/>
      <c r="G384" s="167"/>
      <c r="H384" s="952" t="s">
        <v>0</v>
      </c>
      <c r="Q384">
        <f t="shared" si="4"/>
        <v>0</v>
      </c>
    </row>
    <row r="385" spans="2:17">
      <c r="B385" s="955" t="s">
        <v>17</v>
      </c>
      <c r="C385" s="955"/>
      <c r="D385" s="952"/>
      <c r="E385" s="167"/>
      <c r="F385" s="167"/>
      <c r="G385" s="167"/>
      <c r="H385" s="952" t="s">
        <v>0</v>
      </c>
      <c r="Q385">
        <f t="shared" si="4"/>
        <v>0</v>
      </c>
    </row>
    <row r="386" spans="2:17">
      <c r="B386" s="955" t="s">
        <v>930</v>
      </c>
      <c r="C386" s="955"/>
      <c r="D386" s="952"/>
      <c r="E386" s="167"/>
      <c r="F386" s="167"/>
      <c r="G386" s="167"/>
      <c r="H386" s="952" t="s">
        <v>0</v>
      </c>
      <c r="Q386">
        <f t="shared" si="4"/>
        <v>0</v>
      </c>
    </row>
    <row r="387" spans="2:17">
      <c r="B387" s="955" t="s">
        <v>931</v>
      </c>
      <c r="C387" s="955"/>
      <c r="D387" s="952"/>
      <c r="E387" s="167"/>
      <c r="F387" s="167"/>
      <c r="G387" s="167"/>
      <c r="H387" s="952" t="s">
        <v>0</v>
      </c>
      <c r="Q387">
        <f t="shared" si="4"/>
        <v>0</v>
      </c>
    </row>
    <row r="388" spans="2:17">
      <c r="B388" s="955" t="s">
        <v>932</v>
      </c>
      <c r="C388" s="955"/>
      <c r="D388" s="952"/>
      <c r="E388" s="167"/>
      <c r="F388" s="167"/>
      <c r="G388" s="167"/>
      <c r="H388" s="952" t="s">
        <v>0</v>
      </c>
      <c r="Q388">
        <f t="shared" si="4"/>
        <v>0</v>
      </c>
    </row>
    <row r="389" spans="2:17">
      <c r="B389" s="955" t="s">
        <v>933</v>
      </c>
      <c r="C389" s="955"/>
      <c r="D389" s="952"/>
      <c r="E389" s="167"/>
      <c r="F389" s="167"/>
      <c r="G389" s="167"/>
      <c r="H389" s="952" t="s">
        <v>0</v>
      </c>
      <c r="Q389">
        <f t="shared" si="4"/>
        <v>0</v>
      </c>
    </row>
    <row r="390" spans="2:17">
      <c r="B390" s="955" t="s">
        <v>934</v>
      </c>
      <c r="C390" s="955"/>
      <c r="D390" s="952"/>
      <c r="E390" s="167"/>
      <c r="F390" s="167"/>
      <c r="G390" s="167"/>
      <c r="H390" s="952" t="s">
        <v>0</v>
      </c>
      <c r="Q390">
        <f t="shared" si="4"/>
        <v>0</v>
      </c>
    </row>
    <row r="391" spans="2:17">
      <c r="B391" s="955" t="s">
        <v>935</v>
      </c>
      <c r="C391" s="955"/>
      <c r="D391" s="952"/>
      <c r="E391" s="167"/>
      <c r="F391" s="167"/>
      <c r="G391" s="167"/>
      <c r="H391" s="952" t="s">
        <v>0</v>
      </c>
      <c r="Q391">
        <f t="shared" si="4"/>
        <v>0</v>
      </c>
    </row>
    <row r="392" spans="2:17">
      <c r="B392" s="955" t="s">
        <v>936</v>
      </c>
      <c r="C392" s="955"/>
      <c r="D392" s="952"/>
      <c r="E392" s="167"/>
      <c r="F392" s="167"/>
      <c r="G392" s="167"/>
      <c r="H392" s="952" t="s">
        <v>0</v>
      </c>
      <c r="Q392">
        <f t="shared" si="4"/>
        <v>0</v>
      </c>
    </row>
    <row r="393" spans="2:17">
      <c r="B393" s="955" t="s">
        <v>937</v>
      </c>
      <c r="C393" s="955"/>
      <c r="D393" s="952"/>
      <c r="E393" s="167"/>
      <c r="F393" s="167"/>
      <c r="G393" s="167"/>
      <c r="H393" s="952" t="s">
        <v>0</v>
      </c>
      <c r="Q393">
        <f t="shared" si="4"/>
        <v>0</v>
      </c>
    </row>
    <row r="394" spans="2:17">
      <c r="B394" s="955" t="s">
        <v>938</v>
      </c>
      <c r="C394" s="955"/>
      <c r="D394" s="952"/>
      <c r="E394" s="167"/>
      <c r="F394" s="167"/>
      <c r="G394" s="167"/>
      <c r="H394" s="952" t="s">
        <v>0</v>
      </c>
      <c r="Q394">
        <f t="shared" si="4"/>
        <v>0</v>
      </c>
    </row>
    <row r="395" spans="2:17">
      <c r="B395" s="955" t="s">
        <v>939</v>
      </c>
      <c r="C395" s="955"/>
      <c r="D395" s="952"/>
      <c r="E395" s="167"/>
      <c r="F395" s="167"/>
      <c r="G395" s="167"/>
      <c r="H395" s="952" t="s">
        <v>0</v>
      </c>
      <c r="Q395">
        <f t="shared" si="4"/>
        <v>0</v>
      </c>
    </row>
    <row r="396" spans="2:17">
      <c r="B396" s="955" t="s">
        <v>940</v>
      </c>
      <c r="C396" s="955"/>
      <c r="D396" s="952"/>
      <c r="E396" s="167"/>
      <c r="F396" s="167"/>
      <c r="G396" s="167"/>
      <c r="H396" s="952" t="s">
        <v>0</v>
      </c>
      <c r="Q396">
        <f t="shared" si="4"/>
        <v>0</v>
      </c>
    </row>
    <row r="397" spans="2:17">
      <c r="B397" s="955" t="s">
        <v>941</v>
      </c>
      <c r="C397" s="955"/>
      <c r="D397" s="952"/>
      <c r="E397" s="167"/>
      <c r="F397" s="167"/>
      <c r="G397" s="167"/>
      <c r="H397" s="952" t="s">
        <v>0</v>
      </c>
      <c r="Q397">
        <f t="shared" si="4"/>
        <v>0</v>
      </c>
    </row>
    <row r="398" spans="2:17">
      <c r="B398" s="955" t="s">
        <v>942</v>
      </c>
      <c r="C398" s="955"/>
      <c r="D398" s="952"/>
      <c r="E398" s="167"/>
      <c r="F398" s="167"/>
      <c r="G398" s="167"/>
      <c r="H398" s="952" t="s">
        <v>0</v>
      </c>
      <c r="Q398">
        <f t="shared" si="4"/>
        <v>0</v>
      </c>
    </row>
    <row r="399" spans="2:17">
      <c r="B399" s="955" t="s">
        <v>943</v>
      </c>
      <c r="C399" s="955"/>
      <c r="D399" s="952"/>
      <c r="E399" s="167"/>
      <c r="F399" s="167"/>
      <c r="G399" s="167"/>
      <c r="H399" s="952" t="s">
        <v>0</v>
      </c>
      <c r="Q399">
        <f t="shared" si="4"/>
        <v>0</v>
      </c>
    </row>
    <row r="400" spans="2:17">
      <c r="B400" s="955" t="s">
        <v>944</v>
      </c>
      <c r="C400" s="955"/>
      <c r="D400" s="952"/>
      <c r="E400" s="167"/>
      <c r="F400" s="167"/>
      <c r="G400" s="167"/>
      <c r="H400" s="952" t="s">
        <v>0</v>
      </c>
      <c r="Q400">
        <f t="shared" si="4"/>
        <v>0</v>
      </c>
    </row>
    <row r="401" spans="2:17">
      <c r="B401" s="955" t="s">
        <v>945</v>
      </c>
      <c r="C401" s="955"/>
      <c r="D401" s="952"/>
      <c r="E401" s="167"/>
      <c r="F401" s="167"/>
      <c r="G401" s="167"/>
      <c r="H401" s="952" t="s">
        <v>0</v>
      </c>
      <c r="Q401">
        <f t="shared" si="4"/>
        <v>0</v>
      </c>
    </row>
    <row r="402" spans="2:17">
      <c r="B402" s="955" t="s">
        <v>946</v>
      </c>
      <c r="C402" s="955"/>
      <c r="D402" s="952"/>
      <c r="E402" s="167"/>
      <c r="F402" s="167"/>
      <c r="G402" s="167"/>
      <c r="H402" s="952" t="s">
        <v>0</v>
      </c>
      <c r="Q402">
        <f t="shared" si="4"/>
        <v>0</v>
      </c>
    </row>
    <row r="403" spans="2:17">
      <c r="B403" s="955" t="s">
        <v>947</v>
      </c>
      <c r="C403" s="955"/>
      <c r="D403" s="952"/>
      <c r="E403" s="167"/>
      <c r="F403" s="167"/>
      <c r="G403" s="167"/>
      <c r="H403" s="952" t="s">
        <v>0</v>
      </c>
      <c r="Q403">
        <f t="shared" ref="Q403:Q463" si="5">M403</f>
        <v>0</v>
      </c>
    </row>
    <row r="404" spans="2:17">
      <c r="B404" s="955" t="s">
        <v>948</v>
      </c>
      <c r="C404" s="955"/>
      <c r="D404" s="952"/>
      <c r="E404" s="167"/>
      <c r="F404" s="167"/>
      <c r="G404" s="167"/>
      <c r="H404" s="952" t="s">
        <v>0</v>
      </c>
      <c r="Q404">
        <f t="shared" si="5"/>
        <v>0</v>
      </c>
    </row>
    <row r="405" spans="2:17">
      <c r="B405" s="955" t="s">
        <v>19</v>
      </c>
      <c r="C405" s="955"/>
      <c r="D405" s="952"/>
      <c r="E405" s="167"/>
      <c r="F405" s="167"/>
      <c r="G405" s="167"/>
      <c r="H405" s="952" t="s">
        <v>0</v>
      </c>
      <c r="Q405">
        <f t="shared" si="5"/>
        <v>0</v>
      </c>
    </row>
    <row r="406" spans="2:17">
      <c r="B406" s="955" t="s">
        <v>508</v>
      </c>
      <c r="C406" s="955"/>
      <c r="D406" s="952"/>
      <c r="E406" s="167"/>
      <c r="F406" s="167"/>
      <c r="G406" s="167"/>
      <c r="H406" s="952" t="s">
        <v>0</v>
      </c>
      <c r="Q406">
        <f t="shared" si="5"/>
        <v>0</v>
      </c>
    </row>
    <row r="407" spans="2:17">
      <c r="B407" s="955" t="s">
        <v>949</v>
      </c>
      <c r="C407" s="955"/>
      <c r="D407" s="952"/>
      <c r="E407" s="167"/>
      <c r="F407" s="167"/>
      <c r="G407" s="167"/>
      <c r="H407" s="952" t="s">
        <v>0</v>
      </c>
      <c r="Q407">
        <f t="shared" si="5"/>
        <v>0</v>
      </c>
    </row>
    <row r="408" spans="2:17">
      <c r="B408" s="964" t="s">
        <v>950</v>
      </c>
      <c r="C408" s="964"/>
      <c r="D408" s="952"/>
      <c r="E408" s="167"/>
      <c r="F408" s="167"/>
      <c r="G408" s="167"/>
      <c r="H408" s="952" t="s">
        <v>0</v>
      </c>
      <c r="Q408">
        <f t="shared" si="5"/>
        <v>0</v>
      </c>
    </row>
    <row r="409" spans="2:17">
      <c r="B409" s="955" t="s">
        <v>20</v>
      </c>
      <c r="C409" s="955"/>
      <c r="D409" s="952"/>
      <c r="E409" s="167"/>
      <c r="F409" s="167"/>
      <c r="G409" s="167"/>
      <c r="H409" s="952" t="s">
        <v>0</v>
      </c>
      <c r="Q409">
        <f t="shared" si="5"/>
        <v>0</v>
      </c>
    </row>
    <row r="410" spans="2:17">
      <c r="B410" s="964" t="s">
        <v>21</v>
      </c>
      <c r="C410" s="964"/>
      <c r="D410" s="966"/>
      <c r="E410" s="167"/>
      <c r="F410" s="167"/>
      <c r="G410" s="167"/>
      <c r="H410" s="966" t="s">
        <v>574</v>
      </c>
      <c r="Q410">
        <f t="shared" si="5"/>
        <v>0</v>
      </c>
    </row>
    <row r="411" spans="2:17">
      <c r="B411" s="964" t="s">
        <v>22</v>
      </c>
      <c r="C411" s="964"/>
      <c r="D411" s="966"/>
      <c r="E411" s="167"/>
      <c r="F411" s="167"/>
      <c r="G411" s="167"/>
      <c r="H411" s="966" t="s">
        <v>574</v>
      </c>
      <c r="Q411">
        <f t="shared" si="5"/>
        <v>0</v>
      </c>
    </row>
    <row r="412" spans="2:17">
      <c r="B412" s="964" t="s">
        <v>23</v>
      </c>
      <c r="C412" s="964"/>
      <c r="D412" s="966"/>
      <c r="E412" s="167"/>
      <c r="F412" s="167"/>
      <c r="G412" s="167"/>
      <c r="H412" s="966" t="s">
        <v>574</v>
      </c>
      <c r="Q412">
        <f t="shared" si="5"/>
        <v>0</v>
      </c>
    </row>
    <row r="413" spans="2:17">
      <c r="B413" s="964" t="s">
        <v>951</v>
      </c>
      <c r="C413" s="964"/>
      <c r="D413" s="966"/>
      <c r="E413" s="167"/>
      <c r="F413" s="167"/>
      <c r="G413" s="167"/>
      <c r="H413" s="966"/>
      <c r="Q413">
        <f t="shared" si="5"/>
        <v>0</v>
      </c>
    </row>
    <row r="414" spans="2:17">
      <c r="B414" s="210" t="s">
        <v>1204</v>
      </c>
      <c r="C414" s="210" t="s">
        <v>1204</v>
      </c>
      <c r="D414" s="952"/>
      <c r="E414" s="167"/>
      <c r="F414" s="167"/>
      <c r="G414" s="167"/>
      <c r="H414" s="952" t="s">
        <v>0</v>
      </c>
      <c r="Q414">
        <f t="shared" si="5"/>
        <v>0</v>
      </c>
    </row>
    <row r="415" spans="2:17">
      <c r="B415" s="210" t="s">
        <v>1205</v>
      </c>
      <c r="C415" s="210" t="s">
        <v>1205</v>
      </c>
      <c r="D415" s="952"/>
      <c r="E415" s="167"/>
      <c r="F415" s="167"/>
      <c r="G415" s="167"/>
      <c r="H415" s="952" t="s">
        <v>0</v>
      </c>
      <c r="Q415">
        <f t="shared" si="5"/>
        <v>0</v>
      </c>
    </row>
    <row r="416" spans="2:17">
      <c r="B416" s="210" t="s">
        <v>1206</v>
      </c>
      <c r="C416" s="210" t="s">
        <v>1206</v>
      </c>
      <c r="D416" s="952"/>
      <c r="E416" s="167"/>
      <c r="F416" s="167"/>
      <c r="G416" s="167"/>
      <c r="H416" s="952" t="s">
        <v>0</v>
      </c>
      <c r="Q416">
        <f t="shared" si="5"/>
        <v>0</v>
      </c>
    </row>
    <row r="417" spans="2:17">
      <c r="B417" s="210" t="s">
        <v>1207</v>
      </c>
      <c r="C417" s="210" t="s">
        <v>1207</v>
      </c>
      <c r="D417" s="952"/>
      <c r="E417" s="167"/>
      <c r="F417" s="167"/>
      <c r="G417" s="167"/>
      <c r="H417" s="952" t="s">
        <v>0</v>
      </c>
      <c r="Q417">
        <f t="shared" si="5"/>
        <v>0</v>
      </c>
    </row>
    <row r="418" spans="2:17">
      <c r="B418" s="210" t="s">
        <v>1543</v>
      </c>
      <c r="C418" s="210" t="s">
        <v>1543</v>
      </c>
      <c r="D418" s="952"/>
      <c r="E418" s="167"/>
      <c r="F418" s="167"/>
      <c r="G418" s="167"/>
      <c r="H418" s="952" t="s">
        <v>0</v>
      </c>
      <c r="Q418">
        <f t="shared" si="5"/>
        <v>0</v>
      </c>
    </row>
    <row r="419" spans="2:17">
      <c r="B419" s="210" t="s">
        <v>1542</v>
      </c>
      <c r="C419" s="210" t="s">
        <v>1542</v>
      </c>
      <c r="D419" s="952"/>
      <c r="E419" s="167"/>
      <c r="F419" s="167"/>
      <c r="G419" s="167"/>
      <c r="H419" s="952" t="s">
        <v>0</v>
      </c>
      <c r="Q419">
        <f t="shared" si="5"/>
        <v>0</v>
      </c>
    </row>
    <row r="420" spans="2:17">
      <c r="B420" s="953" t="s">
        <v>1003</v>
      </c>
      <c r="C420" s="953"/>
      <c r="D420" s="967"/>
      <c r="E420" s="167"/>
      <c r="F420" s="167"/>
      <c r="G420" s="167"/>
      <c r="H420" s="967" t="s">
        <v>0</v>
      </c>
      <c r="L420" s="420">
        <v>1</v>
      </c>
      <c r="M420">
        <f>SUM(M7:M18,N7:N18,O7:O18,P7:P18,M230:M248)*L420</f>
        <v>0</v>
      </c>
      <c r="Q420">
        <f t="shared" si="5"/>
        <v>0</v>
      </c>
    </row>
    <row r="421" spans="2:17">
      <c r="B421" s="953" t="s">
        <v>1004</v>
      </c>
      <c r="C421" s="953"/>
      <c r="D421" s="967"/>
      <c r="E421" s="167"/>
      <c r="F421" s="167"/>
      <c r="G421" s="167"/>
      <c r="H421" s="967" t="s">
        <v>0</v>
      </c>
      <c r="L421">
        <v>2</v>
      </c>
      <c r="M421">
        <f>SUM(M7:M18,N7:N18,O7:O18,P7:P18)*L421</f>
        <v>0</v>
      </c>
      <c r="Q421">
        <f t="shared" si="5"/>
        <v>0</v>
      </c>
    </row>
    <row r="422" spans="2:17">
      <c r="B422" s="953" t="s">
        <v>1005</v>
      </c>
      <c r="C422" s="953"/>
      <c r="D422" s="967"/>
      <c r="E422" s="167"/>
      <c r="F422" s="167"/>
      <c r="G422" s="167"/>
      <c r="H422" s="967" t="s">
        <v>0</v>
      </c>
      <c r="Q422">
        <f t="shared" si="5"/>
        <v>0</v>
      </c>
    </row>
    <row r="423" spans="2:17">
      <c r="B423" s="955" t="s">
        <v>952</v>
      </c>
      <c r="C423" s="955"/>
      <c r="D423" s="952"/>
      <c r="E423" s="167"/>
      <c r="F423" s="167"/>
      <c r="G423" s="167"/>
      <c r="H423" s="952" t="s">
        <v>0</v>
      </c>
      <c r="Q423">
        <f t="shared" si="5"/>
        <v>0</v>
      </c>
    </row>
    <row r="424" spans="2:17">
      <c r="B424" s="787" t="s">
        <v>151</v>
      </c>
      <c r="C424" s="787"/>
      <c r="D424" s="788"/>
      <c r="E424" s="167"/>
      <c r="F424" s="167"/>
      <c r="G424" s="167"/>
      <c r="H424" s="788" t="s">
        <v>515</v>
      </c>
      <c r="Q424">
        <f t="shared" si="5"/>
        <v>0</v>
      </c>
    </row>
    <row r="425" spans="2:17">
      <c r="B425" s="787" t="s">
        <v>219</v>
      </c>
      <c r="C425" s="787"/>
      <c r="D425" s="788"/>
      <c r="E425" s="167"/>
      <c r="F425" s="167"/>
      <c r="G425" s="167"/>
      <c r="H425" s="788" t="s">
        <v>515</v>
      </c>
      <c r="Q425">
        <f t="shared" si="5"/>
        <v>0</v>
      </c>
    </row>
    <row r="426" spans="2:17">
      <c r="B426" s="787" t="s">
        <v>25</v>
      </c>
      <c r="C426" s="787"/>
      <c r="D426" s="788"/>
      <c r="E426" s="167"/>
      <c r="F426" s="167"/>
      <c r="G426" s="167"/>
      <c r="H426" s="788" t="s">
        <v>515</v>
      </c>
      <c r="Q426">
        <f t="shared" si="5"/>
        <v>0</v>
      </c>
    </row>
    <row r="427" spans="2:17">
      <c r="B427" s="787" t="s">
        <v>26</v>
      </c>
      <c r="C427" s="787"/>
      <c r="D427" s="788"/>
      <c r="E427" s="167"/>
      <c r="F427" s="167"/>
      <c r="G427" s="167"/>
      <c r="H427" s="788" t="s">
        <v>515</v>
      </c>
      <c r="L427">
        <v>2</v>
      </c>
      <c r="M427">
        <f>(E7+E8+E9+E10+E11+E17)*L427</f>
        <v>0</v>
      </c>
      <c r="Q427">
        <f t="shared" si="5"/>
        <v>0</v>
      </c>
    </row>
    <row r="428" spans="2:17">
      <c r="B428" s="787" t="s">
        <v>27</v>
      </c>
      <c r="C428" s="787"/>
      <c r="D428" s="788"/>
      <c r="E428" s="167"/>
      <c r="F428" s="167"/>
      <c r="G428" s="167"/>
      <c r="H428" s="788" t="s">
        <v>515</v>
      </c>
      <c r="L428">
        <v>2</v>
      </c>
      <c r="M428">
        <f>SUM(F7:H7,F8:G8,F9:G9,F10:G10,E11,E12,E15:E16,E18)*L428</f>
        <v>0</v>
      </c>
      <c r="Q428">
        <f t="shared" si="5"/>
        <v>0</v>
      </c>
    </row>
    <row r="429" spans="2:17">
      <c r="B429" s="787" t="s">
        <v>152</v>
      </c>
      <c r="C429" s="787"/>
      <c r="D429" s="788"/>
      <c r="E429" s="167"/>
      <c r="F429" s="167"/>
      <c r="G429" s="167"/>
      <c r="H429" s="788" t="s">
        <v>515</v>
      </c>
      <c r="L429">
        <v>2</v>
      </c>
      <c r="M429">
        <f>SUM(H8:H10,F11:G11,E13,F12:G12,F13,F17,G17,F16,F17,G16,G17,F18)*L429</f>
        <v>0</v>
      </c>
      <c r="Q429">
        <f t="shared" si="5"/>
        <v>0</v>
      </c>
    </row>
    <row r="430" spans="2:17">
      <c r="B430" s="787" t="s">
        <v>1019</v>
      </c>
      <c r="C430" s="787"/>
      <c r="D430" s="788"/>
      <c r="E430" s="167"/>
      <c r="F430" s="167"/>
      <c r="G430" s="167"/>
      <c r="H430" s="788" t="s">
        <v>0</v>
      </c>
      <c r="L430">
        <v>2</v>
      </c>
      <c r="M430">
        <f>(H11+G13+H13+H12+H17+H16+H15+G18+H18)*L430</f>
        <v>0</v>
      </c>
      <c r="Q430">
        <f t="shared" si="5"/>
        <v>0</v>
      </c>
    </row>
    <row r="431" spans="2:17">
      <c r="B431" s="787" t="s">
        <v>236</v>
      </c>
      <c r="C431" s="787"/>
      <c r="D431" s="788"/>
      <c r="E431" s="167"/>
      <c r="F431" s="167"/>
      <c r="G431" s="167"/>
      <c r="H431" s="788" t="s">
        <v>515</v>
      </c>
      <c r="Q431">
        <f t="shared" si="5"/>
        <v>0</v>
      </c>
    </row>
    <row r="432" spans="2:17">
      <c r="B432" s="787" t="s">
        <v>221</v>
      </c>
      <c r="C432" s="787"/>
      <c r="D432" s="788"/>
      <c r="E432" s="167"/>
      <c r="F432" s="167"/>
      <c r="G432" s="167"/>
      <c r="H432" s="788" t="s">
        <v>515</v>
      </c>
      <c r="Q432">
        <f t="shared" si="5"/>
        <v>0</v>
      </c>
    </row>
    <row r="433" spans="2:17">
      <c r="B433" s="787" t="s">
        <v>222</v>
      </c>
      <c r="C433" s="787"/>
      <c r="D433" s="788"/>
      <c r="E433" s="167"/>
      <c r="F433" s="167"/>
      <c r="G433" s="167"/>
      <c r="H433" s="788" t="s">
        <v>515</v>
      </c>
      <c r="Q433">
        <f t="shared" si="5"/>
        <v>0</v>
      </c>
    </row>
    <row r="434" spans="2:17">
      <c r="B434" s="787" t="s">
        <v>223</v>
      </c>
      <c r="C434" s="787"/>
      <c r="D434" s="788"/>
      <c r="E434" s="167"/>
      <c r="F434" s="167"/>
      <c r="G434" s="167"/>
      <c r="H434" s="788" t="s">
        <v>515</v>
      </c>
      <c r="Q434">
        <f t="shared" si="5"/>
        <v>0</v>
      </c>
    </row>
    <row r="435" spans="2:17">
      <c r="B435" s="787" t="s">
        <v>228</v>
      </c>
      <c r="C435" s="787"/>
      <c r="D435" s="788"/>
      <c r="E435" s="167"/>
      <c r="F435" s="167"/>
      <c r="G435" s="167"/>
      <c r="H435" s="788" t="s">
        <v>515</v>
      </c>
      <c r="Q435">
        <f t="shared" si="5"/>
        <v>0</v>
      </c>
    </row>
    <row r="436" spans="2:17">
      <c r="B436" s="955" t="s">
        <v>953</v>
      </c>
      <c r="C436" s="955"/>
      <c r="D436" s="952"/>
      <c r="E436" s="167"/>
      <c r="F436" s="167"/>
      <c r="G436" s="167"/>
      <c r="H436" s="952" t="s">
        <v>0</v>
      </c>
      <c r="Q436">
        <f t="shared" si="5"/>
        <v>0</v>
      </c>
    </row>
    <row r="437" spans="2:17">
      <c r="B437" s="955" t="s">
        <v>1002</v>
      </c>
      <c r="C437" s="955"/>
      <c r="D437" s="952"/>
      <c r="E437" s="167"/>
      <c r="F437" s="167"/>
      <c r="G437" s="167"/>
      <c r="H437" s="952" t="s">
        <v>0</v>
      </c>
      <c r="Q437">
        <f t="shared" si="5"/>
        <v>0</v>
      </c>
    </row>
    <row r="438" spans="2:17">
      <c r="B438" s="955" t="s">
        <v>1013</v>
      </c>
      <c r="C438" s="955"/>
      <c r="D438" s="952"/>
      <c r="E438" s="167"/>
      <c r="F438" s="167"/>
      <c r="G438" s="167"/>
      <c r="H438" s="952" t="s">
        <v>0</v>
      </c>
      <c r="Q438">
        <f t="shared" si="5"/>
        <v>0</v>
      </c>
    </row>
    <row r="439" spans="2:17">
      <c r="B439" s="955" t="s">
        <v>954</v>
      </c>
      <c r="C439" s="955"/>
      <c r="D439" s="952"/>
      <c r="E439" s="167"/>
      <c r="F439" s="167"/>
      <c r="G439" s="167"/>
      <c r="H439" s="952" t="s">
        <v>0</v>
      </c>
      <c r="Q439">
        <f t="shared" si="5"/>
        <v>0</v>
      </c>
    </row>
    <row r="440" spans="2:17">
      <c r="B440" s="955" t="s">
        <v>955</v>
      </c>
      <c r="C440" s="955"/>
      <c r="D440" s="952"/>
      <c r="E440" s="167"/>
      <c r="F440" s="167"/>
      <c r="G440" s="167"/>
      <c r="H440" s="952" t="s">
        <v>0</v>
      </c>
      <c r="Q440">
        <f t="shared" si="5"/>
        <v>0</v>
      </c>
    </row>
    <row r="441" spans="2:17">
      <c r="B441" s="955" t="s">
        <v>956</v>
      </c>
      <c r="C441" s="955"/>
      <c r="D441" s="952"/>
      <c r="E441" s="167"/>
      <c r="F441" s="167"/>
      <c r="G441" s="167"/>
      <c r="H441" s="952" t="s">
        <v>0</v>
      </c>
      <c r="Q441">
        <f t="shared" si="5"/>
        <v>0</v>
      </c>
    </row>
    <row r="442" spans="2:17">
      <c r="B442" s="955" t="s">
        <v>957</v>
      </c>
      <c r="C442" s="955"/>
      <c r="D442" s="952"/>
      <c r="E442" s="167"/>
      <c r="F442" s="167"/>
      <c r="G442" s="167"/>
      <c r="H442" s="952" t="s">
        <v>0</v>
      </c>
      <c r="Q442">
        <f t="shared" si="5"/>
        <v>0</v>
      </c>
    </row>
    <row r="443" spans="2:17">
      <c r="B443" s="955" t="s">
        <v>958</v>
      </c>
      <c r="C443" s="955"/>
      <c r="D443" s="952"/>
      <c r="E443" s="167"/>
      <c r="F443" s="167"/>
      <c r="G443" s="167"/>
      <c r="H443" s="952" t="s">
        <v>0</v>
      </c>
      <c r="Q443">
        <f t="shared" si="5"/>
        <v>0</v>
      </c>
    </row>
    <row r="444" spans="2:17">
      <c r="B444" s="955" t="s">
        <v>959</v>
      </c>
      <c r="C444" s="955"/>
      <c r="D444" s="952"/>
      <c r="E444" s="167"/>
      <c r="F444" s="167"/>
      <c r="G444" s="167"/>
      <c r="H444" s="952" t="s">
        <v>0</v>
      </c>
      <c r="Q444">
        <f t="shared" si="5"/>
        <v>0</v>
      </c>
    </row>
    <row r="445" spans="2:17">
      <c r="B445" s="955" t="s">
        <v>960</v>
      </c>
      <c r="C445" s="955"/>
      <c r="D445" s="952"/>
      <c r="E445" s="167"/>
      <c r="F445" s="167"/>
      <c r="G445" s="167"/>
      <c r="H445" s="952" t="s">
        <v>0</v>
      </c>
      <c r="Q445">
        <f t="shared" si="5"/>
        <v>0</v>
      </c>
    </row>
    <row r="446" spans="2:17">
      <c r="B446" s="787" t="s">
        <v>30</v>
      </c>
      <c r="C446" s="787"/>
      <c r="D446" s="788"/>
      <c r="E446" s="167"/>
      <c r="F446" s="167"/>
      <c r="G446" s="167"/>
      <c r="H446" s="788" t="s">
        <v>515</v>
      </c>
      <c r="Q446">
        <f t="shared" si="5"/>
        <v>0</v>
      </c>
    </row>
    <row r="447" spans="2:17">
      <c r="B447" s="787" t="s">
        <v>31</v>
      </c>
      <c r="C447" s="787"/>
      <c r="D447" s="788"/>
      <c r="E447" s="167"/>
      <c r="F447" s="167"/>
      <c r="G447" s="167"/>
      <c r="H447" s="788" t="s">
        <v>515</v>
      </c>
      <c r="Q447">
        <f t="shared" si="5"/>
        <v>0</v>
      </c>
    </row>
    <row r="448" spans="2:17">
      <c r="B448" s="787" t="s">
        <v>41</v>
      </c>
      <c r="C448" s="787"/>
      <c r="D448" s="788"/>
      <c r="E448" s="167"/>
      <c r="F448" s="167"/>
      <c r="G448" s="167"/>
      <c r="H448" s="788" t="s">
        <v>515</v>
      </c>
      <c r="Q448">
        <f t="shared" si="5"/>
        <v>0</v>
      </c>
    </row>
    <row r="449" spans="2:17">
      <c r="B449" s="787" t="s">
        <v>98</v>
      </c>
      <c r="C449" s="787"/>
      <c r="D449" s="788"/>
      <c r="E449" s="167"/>
      <c r="F449" s="167"/>
      <c r="G449" s="167"/>
      <c r="H449" s="788" t="s">
        <v>515</v>
      </c>
      <c r="Q449">
        <f t="shared" si="5"/>
        <v>0</v>
      </c>
    </row>
    <row r="450" spans="2:17">
      <c r="B450" s="787" t="s">
        <v>99</v>
      </c>
      <c r="C450" s="787"/>
      <c r="D450" s="788"/>
      <c r="E450" s="167"/>
      <c r="F450" s="167"/>
      <c r="G450" s="167"/>
      <c r="H450" s="788" t="s">
        <v>515</v>
      </c>
      <c r="Q450">
        <f t="shared" si="5"/>
        <v>0</v>
      </c>
    </row>
    <row r="451" spans="2:17">
      <c r="B451" s="787" t="s">
        <v>102</v>
      </c>
      <c r="C451" s="787"/>
      <c r="D451" s="788"/>
      <c r="E451" s="167"/>
      <c r="F451" s="167"/>
      <c r="G451" s="167"/>
      <c r="H451" s="788" t="s">
        <v>515</v>
      </c>
      <c r="Q451">
        <f t="shared" si="5"/>
        <v>0</v>
      </c>
    </row>
    <row r="452" spans="2:17">
      <c r="B452" s="787" t="s">
        <v>103</v>
      </c>
      <c r="C452" s="787"/>
      <c r="D452" s="788"/>
      <c r="E452" s="167"/>
      <c r="F452" s="167"/>
      <c r="G452" s="167"/>
      <c r="H452" s="788" t="s">
        <v>515</v>
      </c>
      <c r="Q452">
        <f t="shared" si="5"/>
        <v>0</v>
      </c>
    </row>
    <row r="453" spans="2:17">
      <c r="B453" s="787" t="s">
        <v>104</v>
      </c>
      <c r="C453" s="787"/>
      <c r="D453" s="788"/>
      <c r="E453" s="167"/>
      <c r="F453" s="167"/>
      <c r="G453" s="167"/>
      <c r="H453" s="788" t="s">
        <v>515</v>
      </c>
      <c r="Q453">
        <f t="shared" si="5"/>
        <v>0</v>
      </c>
    </row>
    <row r="454" spans="2:17">
      <c r="B454" s="787" t="s">
        <v>105</v>
      </c>
      <c r="C454" s="787"/>
      <c r="D454" s="788"/>
      <c r="E454" s="167"/>
      <c r="F454" s="167"/>
      <c r="G454" s="167"/>
      <c r="H454" s="788" t="s">
        <v>515</v>
      </c>
      <c r="Q454">
        <f t="shared" si="5"/>
        <v>0</v>
      </c>
    </row>
    <row r="455" spans="2:17">
      <c r="B455" s="787" t="s">
        <v>106</v>
      </c>
      <c r="C455" s="787"/>
      <c r="D455" s="788"/>
      <c r="E455" s="167"/>
      <c r="F455" s="167"/>
      <c r="G455" s="167"/>
      <c r="H455" s="788" t="s">
        <v>515</v>
      </c>
      <c r="Q455">
        <f t="shared" si="5"/>
        <v>0</v>
      </c>
    </row>
    <row r="456" spans="2:17">
      <c r="B456" s="787" t="s">
        <v>107</v>
      </c>
      <c r="C456" s="787"/>
      <c r="D456" s="788"/>
      <c r="E456" s="167"/>
      <c r="F456" s="167"/>
      <c r="G456" s="167"/>
      <c r="H456" s="788" t="s">
        <v>515</v>
      </c>
      <c r="Q456">
        <f t="shared" si="5"/>
        <v>0</v>
      </c>
    </row>
    <row r="457" spans="2:17">
      <c r="B457" s="787" t="s">
        <v>108</v>
      </c>
      <c r="C457" s="787"/>
      <c r="D457" s="788"/>
      <c r="E457" s="167"/>
      <c r="F457" s="167"/>
      <c r="G457" s="167"/>
      <c r="H457" s="788" t="s">
        <v>515</v>
      </c>
      <c r="Q457">
        <f t="shared" si="5"/>
        <v>0</v>
      </c>
    </row>
    <row r="458" spans="2:17">
      <c r="B458" s="787" t="s">
        <v>109</v>
      </c>
      <c r="C458" s="787"/>
      <c r="D458" s="788"/>
      <c r="E458" s="167"/>
      <c r="F458" s="167"/>
      <c r="G458" s="167"/>
      <c r="H458" s="788" t="s">
        <v>515</v>
      </c>
      <c r="Q458">
        <f t="shared" si="5"/>
        <v>0</v>
      </c>
    </row>
    <row r="459" spans="2:17">
      <c r="B459" s="787" t="s">
        <v>32</v>
      </c>
      <c r="C459" s="787"/>
      <c r="D459" s="788"/>
      <c r="E459" s="167"/>
      <c r="F459" s="167"/>
      <c r="G459" s="167"/>
      <c r="H459" s="788" t="s">
        <v>515</v>
      </c>
      <c r="Q459">
        <f t="shared" si="5"/>
        <v>0</v>
      </c>
    </row>
    <row r="460" spans="2:17">
      <c r="B460" s="787" t="s">
        <v>110</v>
      </c>
      <c r="C460" s="787"/>
      <c r="D460" s="788"/>
      <c r="E460" s="167"/>
      <c r="F460" s="167"/>
      <c r="G460" s="167"/>
      <c r="H460" s="788" t="s">
        <v>515</v>
      </c>
      <c r="Q460">
        <f t="shared" si="5"/>
        <v>0</v>
      </c>
    </row>
    <row r="461" spans="2:17">
      <c r="B461" s="787" t="s">
        <v>111</v>
      </c>
      <c r="C461" s="787"/>
      <c r="D461" s="788"/>
      <c r="E461" s="167"/>
      <c r="F461" s="167"/>
      <c r="G461" s="167"/>
      <c r="H461" s="788" t="s">
        <v>515</v>
      </c>
      <c r="Q461">
        <f t="shared" si="5"/>
        <v>0</v>
      </c>
    </row>
    <row r="462" spans="2:17">
      <c r="B462" s="787" t="s">
        <v>112</v>
      </c>
      <c r="C462" s="787"/>
      <c r="D462" s="788"/>
      <c r="E462" s="167"/>
      <c r="F462" s="167"/>
      <c r="G462" s="167"/>
      <c r="H462" s="788" t="s">
        <v>515</v>
      </c>
      <c r="Q462">
        <f t="shared" si="5"/>
        <v>0</v>
      </c>
    </row>
    <row r="463" spans="2:17">
      <c r="B463" s="787" t="s">
        <v>38</v>
      </c>
      <c r="C463" s="787"/>
      <c r="D463" s="788"/>
      <c r="E463" s="167"/>
      <c r="F463" s="167"/>
      <c r="G463" s="167"/>
      <c r="H463" s="788" t="s">
        <v>515</v>
      </c>
      <c r="Q463">
        <f t="shared" si="5"/>
        <v>0</v>
      </c>
    </row>
    <row r="464" spans="2:17">
      <c r="B464" s="787" t="s">
        <v>113</v>
      </c>
      <c r="C464" s="787"/>
      <c r="D464" s="788"/>
      <c r="E464" s="167"/>
      <c r="F464" s="167"/>
      <c r="G464" s="167"/>
      <c r="H464" s="788" t="s">
        <v>515</v>
      </c>
      <c r="Q464">
        <f t="shared" ref="Q464:Q559" si="6">M464</f>
        <v>0</v>
      </c>
    </row>
    <row r="465" spans="2:17">
      <c r="B465" s="787" t="s">
        <v>114</v>
      </c>
      <c r="C465" s="787"/>
      <c r="D465" s="788"/>
      <c r="E465" s="167"/>
      <c r="F465" s="167"/>
      <c r="G465" s="167"/>
      <c r="H465" s="788" t="s">
        <v>515</v>
      </c>
      <c r="Q465">
        <f t="shared" si="6"/>
        <v>0</v>
      </c>
    </row>
    <row r="466" spans="2:17">
      <c r="B466" s="787" t="s">
        <v>115</v>
      </c>
      <c r="C466" s="787"/>
      <c r="D466" s="788"/>
      <c r="E466" s="167"/>
      <c r="F466" s="167"/>
      <c r="G466" s="167"/>
      <c r="H466" s="788" t="s">
        <v>515</v>
      </c>
      <c r="Q466">
        <f t="shared" si="6"/>
        <v>0</v>
      </c>
    </row>
    <row r="467" spans="2:17">
      <c r="B467" s="787" t="s">
        <v>116</v>
      </c>
      <c r="C467" s="787"/>
      <c r="D467" s="788"/>
      <c r="E467" s="167"/>
      <c r="F467" s="167"/>
      <c r="G467" s="167"/>
      <c r="H467" s="788" t="s">
        <v>515</v>
      </c>
      <c r="Q467">
        <f t="shared" si="6"/>
        <v>0</v>
      </c>
    </row>
    <row r="468" spans="2:17">
      <c r="B468" s="955" t="s">
        <v>961</v>
      </c>
      <c r="C468" s="955"/>
      <c r="D468" s="952"/>
      <c r="E468" s="167"/>
      <c r="F468" s="167"/>
      <c r="G468" s="167"/>
      <c r="H468" s="952" t="s">
        <v>0</v>
      </c>
      <c r="Q468">
        <f t="shared" si="6"/>
        <v>0</v>
      </c>
    </row>
    <row r="469" spans="2:17">
      <c r="B469" s="955" t="s">
        <v>33</v>
      </c>
      <c r="C469" s="955"/>
      <c r="D469" s="952"/>
      <c r="E469" s="167"/>
      <c r="F469" s="167"/>
      <c r="G469" s="167"/>
      <c r="H469" s="952" t="s">
        <v>0</v>
      </c>
      <c r="Q469">
        <f t="shared" si="6"/>
        <v>0</v>
      </c>
    </row>
    <row r="470" spans="2:17">
      <c r="B470" s="955" t="s">
        <v>962</v>
      </c>
      <c r="C470" s="955"/>
      <c r="D470" s="952"/>
      <c r="E470" s="167"/>
      <c r="F470" s="167"/>
      <c r="G470" s="167"/>
      <c r="H470" s="952" t="s">
        <v>0</v>
      </c>
      <c r="Q470">
        <f t="shared" si="6"/>
        <v>0</v>
      </c>
    </row>
    <row r="471" spans="2:17">
      <c r="B471" s="955" t="s">
        <v>225</v>
      </c>
      <c r="C471" s="955"/>
      <c r="D471" s="952"/>
      <c r="E471" s="167"/>
      <c r="F471" s="167"/>
      <c r="G471" s="167"/>
      <c r="H471" s="952" t="s">
        <v>0</v>
      </c>
      <c r="Q471">
        <f t="shared" si="6"/>
        <v>0</v>
      </c>
    </row>
    <row r="472" spans="2:17">
      <c r="B472" s="955" t="s">
        <v>963</v>
      </c>
      <c r="C472" s="955"/>
      <c r="D472" s="952"/>
      <c r="E472" s="167"/>
      <c r="F472" s="167"/>
      <c r="G472" s="167"/>
      <c r="H472" s="952" t="s">
        <v>0</v>
      </c>
      <c r="Q472">
        <f t="shared" si="6"/>
        <v>0</v>
      </c>
    </row>
    <row r="473" spans="2:17">
      <c r="B473" s="955" t="s">
        <v>34</v>
      </c>
      <c r="C473" s="955"/>
      <c r="D473" s="952"/>
      <c r="E473" s="167"/>
      <c r="F473" s="167"/>
      <c r="G473" s="167"/>
      <c r="H473" s="952" t="s">
        <v>0</v>
      </c>
      <c r="Q473">
        <f t="shared" si="6"/>
        <v>0</v>
      </c>
    </row>
    <row r="474" spans="2:17">
      <c r="B474" s="953" t="s">
        <v>964</v>
      </c>
      <c r="C474" s="953"/>
      <c r="D474" s="967"/>
      <c r="E474" s="167"/>
      <c r="F474" s="167"/>
      <c r="G474" s="167"/>
      <c r="H474" s="967" t="s">
        <v>0</v>
      </c>
      <c r="Q474">
        <f t="shared" si="6"/>
        <v>0</v>
      </c>
    </row>
    <row r="475" spans="2:17">
      <c r="B475" s="955" t="s">
        <v>1059</v>
      </c>
      <c r="C475" s="955"/>
      <c r="D475" s="952"/>
      <c r="E475" s="167"/>
      <c r="F475" s="167"/>
      <c r="G475" s="167"/>
      <c r="H475" s="952" t="s">
        <v>0</v>
      </c>
      <c r="Q475">
        <f t="shared" si="6"/>
        <v>0</v>
      </c>
    </row>
    <row r="476" spans="2:17">
      <c r="B476" s="955" t="s">
        <v>965</v>
      </c>
      <c r="C476" s="955"/>
      <c r="D476" s="952"/>
      <c r="E476" s="167"/>
      <c r="F476" s="167"/>
      <c r="G476" s="167"/>
      <c r="H476" s="952" t="s">
        <v>0</v>
      </c>
      <c r="Q476">
        <f t="shared" si="6"/>
        <v>0</v>
      </c>
    </row>
    <row r="477" spans="2:17">
      <c r="B477" s="955" t="s">
        <v>966</v>
      </c>
      <c r="C477" s="955"/>
      <c r="D477" s="952"/>
      <c r="E477" s="167"/>
      <c r="F477" s="167"/>
      <c r="G477" s="167"/>
      <c r="H477" s="952" t="s">
        <v>0</v>
      </c>
      <c r="Q477">
        <f t="shared" si="6"/>
        <v>0</v>
      </c>
    </row>
    <row r="478" spans="2:17">
      <c r="B478" s="953" t="s">
        <v>1021</v>
      </c>
      <c r="C478" s="953"/>
      <c r="D478" s="967"/>
      <c r="E478" s="167"/>
      <c r="F478" s="167"/>
      <c r="G478" s="167"/>
      <c r="H478" s="967" t="s">
        <v>0</v>
      </c>
      <c r="Q478">
        <f t="shared" si="6"/>
        <v>0</v>
      </c>
    </row>
    <row r="479" spans="2:17">
      <c r="B479" s="953" t="s">
        <v>1022</v>
      </c>
      <c r="C479" s="953"/>
      <c r="D479" s="967"/>
      <c r="E479" s="167"/>
      <c r="F479" s="167"/>
      <c r="G479" s="167"/>
      <c r="H479" s="967" t="s">
        <v>0</v>
      </c>
      <c r="Q479">
        <f t="shared" si="6"/>
        <v>0</v>
      </c>
    </row>
    <row r="480" spans="2:17">
      <c r="B480" s="953" t="s">
        <v>238</v>
      </c>
      <c r="C480" s="953"/>
      <c r="D480" s="967"/>
      <c r="E480" s="167"/>
      <c r="F480" s="167"/>
      <c r="G480" s="167"/>
      <c r="H480" s="967" t="s">
        <v>0</v>
      </c>
      <c r="Q480">
        <f t="shared" si="6"/>
        <v>0</v>
      </c>
    </row>
    <row r="481" spans="2:17">
      <c r="B481" s="953" t="s">
        <v>239</v>
      </c>
      <c r="C481" s="953"/>
      <c r="D481" s="967"/>
      <c r="E481" s="167"/>
      <c r="F481" s="167"/>
      <c r="G481" s="167"/>
      <c r="H481" s="967" t="s">
        <v>0</v>
      </c>
      <c r="Q481">
        <f t="shared" si="6"/>
        <v>0</v>
      </c>
    </row>
    <row r="482" spans="2:17">
      <c r="B482" s="953" t="s">
        <v>1023</v>
      </c>
      <c r="C482" s="953"/>
      <c r="D482" s="967"/>
      <c r="E482" s="167"/>
      <c r="F482" s="167"/>
      <c r="G482" s="167"/>
      <c r="H482" s="967" t="s">
        <v>0</v>
      </c>
      <c r="Q482">
        <f t="shared" si="6"/>
        <v>0</v>
      </c>
    </row>
    <row r="483" spans="2:17">
      <c r="B483" s="953" t="s">
        <v>1024</v>
      </c>
      <c r="C483" s="953"/>
      <c r="D483" s="967"/>
      <c r="E483" s="167"/>
      <c r="F483" s="167"/>
      <c r="G483" s="167"/>
      <c r="H483" s="967" t="s">
        <v>0</v>
      </c>
      <c r="Q483">
        <f t="shared" si="6"/>
        <v>0</v>
      </c>
    </row>
    <row r="484" spans="2:17">
      <c r="B484" s="953" t="s">
        <v>240</v>
      </c>
      <c r="C484" s="953"/>
      <c r="D484" s="967"/>
      <c r="E484" s="167"/>
      <c r="F484" s="167"/>
      <c r="G484" s="167"/>
      <c r="H484" s="967" t="s">
        <v>0</v>
      </c>
      <c r="Q484">
        <f t="shared" si="6"/>
        <v>0</v>
      </c>
    </row>
    <row r="485" spans="2:17">
      <c r="B485" s="953" t="s">
        <v>1025</v>
      </c>
      <c r="C485" s="953"/>
      <c r="D485" s="967"/>
      <c r="E485" s="167"/>
      <c r="F485" s="167"/>
      <c r="G485" s="167"/>
      <c r="H485" s="967" t="s">
        <v>0</v>
      </c>
      <c r="Q485">
        <f t="shared" si="6"/>
        <v>0</v>
      </c>
    </row>
    <row r="486" spans="2:17">
      <c r="B486" s="953" t="s">
        <v>1026</v>
      </c>
      <c r="C486" s="953"/>
      <c r="D486" s="967"/>
      <c r="E486" s="167"/>
      <c r="F486" s="167"/>
      <c r="G486" s="167"/>
      <c r="H486" s="967" t="s">
        <v>0</v>
      </c>
      <c r="Q486">
        <f t="shared" si="6"/>
        <v>0</v>
      </c>
    </row>
    <row r="487" spans="2:17">
      <c r="B487" s="953" t="s">
        <v>1027</v>
      </c>
      <c r="C487" s="953"/>
      <c r="D487" s="967"/>
      <c r="E487" s="167"/>
      <c r="F487" s="167"/>
      <c r="G487" s="167"/>
      <c r="H487" s="967" t="s">
        <v>0</v>
      </c>
      <c r="Q487">
        <f t="shared" si="6"/>
        <v>0</v>
      </c>
    </row>
    <row r="488" spans="2:17">
      <c r="B488" s="953" t="s">
        <v>1028</v>
      </c>
      <c r="C488" s="953"/>
      <c r="D488" s="967"/>
      <c r="E488" s="167"/>
      <c r="F488" s="167"/>
      <c r="G488" s="167"/>
      <c r="H488" s="967" t="s">
        <v>0</v>
      </c>
      <c r="Q488">
        <f t="shared" si="6"/>
        <v>0</v>
      </c>
    </row>
    <row r="489" spans="2:17">
      <c r="B489" s="955" t="s">
        <v>967</v>
      </c>
      <c r="C489" s="955"/>
      <c r="D489" s="952"/>
      <c r="E489" s="167"/>
      <c r="F489" s="167"/>
      <c r="G489" s="167"/>
      <c r="H489" s="952" t="s">
        <v>0</v>
      </c>
      <c r="Q489">
        <f t="shared" si="6"/>
        <v>0</v>
      </c>
    </row>
    <row r="490" spans="2:17">
      <c r="B490" s="955" t="s">
        <v>1006</v>
      </c>
      <c r="C490" s="955"/>
      <c r="D490" s="952"/>
      <c r="E490" s="167"/>
      <c r="F490" s="167"/>
      <c r="G490" s="167"/>
      <c r="H490" s="952" t="s">
        <v>0</v>
      </c>
      <c r="Q490">
        <f t="shared" si="6"/>
        <v>0</v>
      </c>
    </row>
    <row r="491" spans="2:17">
      <c r="B491" s="955" t="s">
        <v>968</v>
      </c>
      <c r="C491" s="955"/>
      <c r="D491" s="952"/>
      <c r="E491" s="167"/>
      <c r="F491" s="167"/>
      <c r="G491" s="167"/>
      <c r="H491" s="952" t="s">
        <v>0</v>
      </c>
      <c r="Q491">
        <f t="shared" si="6"/>
        <v>0</v>
      </c>
    </row>
    <row r="492" spans="2:17">
      <c r="B492" s="955" t="s">
        <v>1015</v>
      </c>
      <c r="C492" s="955"/>
      <c r="D492" s="952"/>
      <c r="E492" s="167"/>
      <c r="F492" s="167"/>
      <c r="G492" s="167"/>
      <c r="H492" s="952" t="s">
        <v>0</v>
      </c>
      <c r="Q492">
        <f t="shared" si="6"/>
        <v>0</v>
      </c>
    </row>
    <row r="493" spans="2:17">
      <c r="B493" s="955" t="s">
        <v>969</v>
      </c>
      <c r="C493" s="955"/>
      <c r="D493" s="952"/>
      <c r="E493" s="167"/>
      <c r="F493" s="167"/>
      <c r="G493" s="167"/>
      <c r="H493" s="952" t="s">
        <v>0</v>
      </c>
      <c r="Q493">
        <f t="shared" si="6"/>
        <v>0</v>
      </c>
    </row>
    <row r="494" spans="2:17">
      <c r="B494" s="955" t="s">
        <v>997</v>
      </c>
      <c r="C494" s="955"/>
      <c r="D494" s="952"/>
      <c r="E494" s="167"/>
      <c r="F494" s="167"/>
      <c r="G494" s="167"/>
      <c r="H494" s="952" t="s">
        <v>0</v>
      </c>
      <c r="Q494">
        <f t="shared" si="6"/>
        <v>0</v>
      </c>
    </row>
    <row r="495" spans="2:17">
      <c r="B495" s="955" t="s">
        <v>35</v>
      </c>
      <c r="C495" s="955"/>
      <c r="D495" s="952"/>
      <c r="E495" s="167"/>
      <c r="F495" s="167"/>
      <c r="G495" s="167"/>
      <c r="H495" s="952" t="s">
        <v>0</v>
      </c>
      <c r="Q495">
        <f t="shared" si="6"/>
        <v>0</v>
      </c>
    </row>
    <row r="496" spans="2:17">
      <c r="B496" s="955" t="s">
        <v>970</v>
      </c>
      <c r="C496" s="955"/>
      <c r="D496" s="952"/>
      <c r="E496" s="167"/>
      <c r="F496" s="167"/>
      <c r="G496" s="167"/>
      <c r="H496" s="952" t="s">
        <v>0</v>
      </c>
      <c r="Q496">
        <f t="shared" si="6"/>
        <v>0</v>
      </c>
    </row>
    <row r="497" spans="2:17">
      <c r="B497" s="955" t="s">
        <v>971</v>
      </c>
      <c r="C497" s="955"/>
      <c r="D497" s="952"/>
      <c r="E497" s="167"/>
      <c r="F497" s="167"/>
      <c r="G497" s="167"/>
      <c r="H497" s="952" t="s">
        <v>0</v>
      </c>
      <c r="Q497">
        <f t="shared" si="6"/>
        <v>0</v>
      </c>
    </row>
    <row r="498" spans="2:17">
      <c r="B498" s="955" t="s">
        <v>972</v>
      </c>
      <c r="C498" s="955"/>
      <c r="D498" s="952"/>
      <c r="E498" s="167"/>
      <c r="F498" s="167"/>
      <c r="G498" s="167"/>
      <c r="H498" s="952" t="s">
        <v>0</v>
      </c>
      <c r="Q498">
        <f t="shared" si="6"/>
        <v>0</v>
      </c>
    </row>
    <row r="499" spans="2:17">
      <c r="B499" s="955" t="s">
        <v>973</v>
      </c>
      <c r="C499" s="955"/>
      <c r="D499" s="952"/>
      <c r="E499" s="167"/>
      <c r="F499" s="167"/>
      <c r="G499" s="167"/>
      <c r="H499" s="952" t="s">
        <v>0</v>
      </c>
      <c r="Q499">
        <f t="shared" si="6"/>
        <v>0</v>
      </c>
    </row>
    <row r="500" spans="2:17">
      <c r="B500" s="955" t="s">
        <v>974</v>
      </c>
      <c r="C500" s="955"/>
      <c r="D500" s="952"/>
      <c r="E500" s="167"/>
      <c r="F500" s="167"/>
      <c r="G500" s="167"/>
      <c r="H500" s="952" t="s">
        <v>0</v>
      </c>
      <c r="Q500">
        <f t="shared" si="6"/>
        <v>0</v>
      </c>
    </row>
    <row r="501" spans="2:17">
      <c r="B501" s="955" t="s">
        <v>975</v>
      </c>
      <c r="C501" s="955"/>
      <c r="D501" s="952"/>
      <c r="E501" s="167"/>
      <c r="F501" s="167"/>
      <c r="G501" s="167"/>
      <c r="H501" s="952" t="s">
        <v>0</v>
      </c>
      <c r="Q501">
        <f t="shared" si="6"/>
        <v>0</v>
      </c>
    </row>
    <row r="502" spans="2:17">
      <c r="B502" s="955" t="s">
        <v>976</v>
      </c>
      <c r="C502" s="955"/>
      <c r="D502" s="952"/>
      <c r="E502" s="167"/>
      <c r="F502" s="167"/>
      <c r="G502" s="167"/>
      <c r="H502" s="952" t="s">
        <v>0</v>
      </c>
      <c r="Q502">
        <f t="shared" si="6"/>
        <v>0</v>
      </c>
    </row>
    <row r="503" spans="2:17">
      <c r="B503" s="955" t="s">
        <v>977</v>
      </c>
      <c r="C503" s="955"/>
      <c r="D503" s="952"/>
      <c r="E503" s="167"/>
      <c r="F503" s="167"/>
      <c r="G503" s="167"/>
      <c r="H503" s="952" t="s">
        <v>0</v>
      </c>
      <c r="Q503">
        <f t="shared" si="6"/>
        <v>0</v>
      </c>
    </row>
    <row r="504" spans="2:17">
      <c r="B504" s="955" t="s">
        <v>978</v>
      </c>
      <c r="C504" s="955"/>
      <c r="D504" s="952"/>
      <c r="E504" s="167"/>
      <c r="F504" s="167"/>
      <c r="G504" s="167"/>
      <c r="H504" s="952" t="s">
        <v>0</v>
      </c>
      <c r="Q504">
        <f t="shared" si="6"/>
        <v>0</v>
      </c>
    </row>
    <row r="505" spans="2:17">
      <c r="B505" s="955" t="s">
        <v>979</v>
      </c>
      <c r="C505" s="955"/>
      <c r="D505" s="952"/>
      <c r="E505" s="167"/>
      <c r="F505" s="167"/>
      <c r="G505" s="167"/>
      <c r="H505" s="952" t="s">
        <v>0</v>
      </c>
      <c r="Q505">
        <f t="shared" si="6"/>
        <v>0</v>
      </c>
    </row>
    <row r="506" spans="2:17">
      <c r="B506" s="955" t="s">
        <v>980</v>
      </c>
      <c r="C506" s="955"/>
      <c r="D506" s="952"/>
      <c r="E506" s="167"/>
      <c r="F506" s="167"/>
      <c r="G506" s="167"/>
      <c r="H506" s="952" t="s">
        <v>0</v>
      </c>
      <c r="Q506">
        <f t="shared" si="6"/>
        <v>0</v>
      </c>
    </row>
    <row r="507" spans="2:17">
      <c r="B507" s="955" t="s">
        <v>981</v>
      </c>
      <c r="C507" s="955"/>
      <c r="D507" s="952"/>
      <c r="E507" s="167"/>
      <c r="F507" s="167"/>
      <c r="G507" s="167"/>
      <c r="H507" s="952" t="s">
        <v>0</v>
      </c>
      <c r="Q507">
        <f t="shared" si="6"/>
        <v>0</v>
      </c>
    </row>
    <row r="508" spans="2:17">
      <c r="B508" s="955" t="s">
        <v>982</v>
      </c>
      <c r="C508" s="955"/>
      <c r="D508" s="952"/>
      <c r="E508" s="167"/>
      <c r="F508" s="167"/>
      <c r="G508" s="167"/>
      <c r="H508" s="952" t="s">
        <v>0</v>
      </c>
      <c r="Q508">
        <f t="shared" si="6"/>
        <v>0</v>
      </c>
    </row>
    <row r="509" spans="2:17">
      <c r="B509" s="955" t="s">
        <v>983</v>
      </c>
      <c r="C509" s="955"/>
      <c r="D509" s="952"/>
      <c r="E509" s="167"/>
      <c r="F509" s="167"/>
      <c r="G509" s="167"/>
      <c r="H509" s="952" t="s">
        <v>0</v>
      </c>
      <c r="Q509">
        <f t="shared" si="6"/>
        <v>0</v>
      </c>
    </row>
    <row r="510" spans="2:17">
      <c r="B510" s="955" t="s">
        <v>984</v>
      </c>
      <c r="C510" s="955"/>
      <c r="D510" s="952"/>
      <c r="E510" s="167"/>
      <c r="F510" s="167"/>
      <c r="G510" s="167"/>
      <c r="H510" s="952" t="s">
        <v>0</v>
      </c>
      <c r="Q510">
        <f t="shared" si="6"/>
        <v>0</v>
      </c>
    </row>
    <row r="511" spans="2:17">
      <c r="B511" s="964" t="s">
        <v>985</v>
      </c>
      <c r="C511" s="964"/>
      <c r="D511" s="952"/>
      <c r="E511" s="167"/>
      <c r="F511" s="167"/>
      <c r="G511" s="167"/>
      <c r="H511" s="952" t="s">
        <v>0</v>
      </c>
      <c r="Q511">
        <f t="shared" si="6"/>
        <v>0</v>
      </c>
    </row>
    <row r="512" spans="2:17">
      <c r="B512" s="964" t="s">
        <v>426</v>
      </c>
      <c r="C512" s="964"/>
      <c r="D512" s="952"/>
      <c r="E512" s="167"/>
      <c r="F512" s="167"/>
      <c r="G512" s="167"/>
      <c r="H512" s="952" t="s">
        <v>0</v>
      </c>
      <c r="Q512">
        <f t="shared" si="6"/>
        <v>0</v>
      </c>
    </row>
    <row r="513" spans="2:17">
      <c r="B513" s="964" t="s">
        <v>471</v>
      </c>
      <c r="C513" s="964"/>
      <c r="D513" s="952"/>
      <c r="E513" s="167"/>
      <c r="F513" s="167"/>
      <c r="G513" s="167"/>
      <c r="H513" s="952" t="s">
        <v>0</v>
      </c>
      <c r="Q513">
        <f t="shared" si="6"/>
        <v>0</v>
      </c>
    </row>
    <row r="514" spans="2:17">
      <c r="B514" s="955" t="s">
        <v>986</v>
      </c>
      <c r="C514" s="955"/>
      <c r="D514" s="952"/>
      <c r="E514" s="167"/>
      <c r="F514" s="167"/>
      <c r="G514" s="167"/>
      <c r="H514" s="952" t="s">
        <v>0</v>
      </c>
      <c r="Q514">
        <f t="shared" si="6"/>
        <v>0</v>
      </c>
    </row>
    <row r="515" spans="2:17">
      <c r="B515" s="955" t="s">
        <v>987</v>
      </c>
      <c r="C515" s="955"/>
      <c r="D515" s="952"/>
      <c r="E515" s="167"/>
      <c r="F515" s="167"/>
      <c r="G515" s="167"/>
      <c r="H515" s="952" t="s">
        <v>0</v>
      </c>
      <c r="Q515">
        <f t="shared" si="6"/>
        <v>0</v>
      </c>
    </row>
    <row r="516" spans="2:17">
      <c r="B516" s="955" t="s">
        <v>988</v>
      </c>
      <c r="C516" s="955"/>
      <c r="D516" s="952"/>
      <c r="E516" s="167"/>
      <c r="F516" s="167"/>
      <c r="G516" s="167"/>
      <c r="H516" s="952" t="s">
        <v>0</v>
      </c>
      <c r="Q516">
        <f t="shared" si="6"/>
        <v>0</v>
      </c>
    </row>
    <row r="517" spans="2:17">
      <c r="B517" s="955" t="s">
        <v>989</v>
      </c>
      <c r="C517" s="955"/>
      <c r="D517" s="952"/>
      <c r="E517" s="167"/>
      <c r="F517" s="167"/>
      <c r="G517" s="167"/>
      <c r="H517" s="952" t="s">
        <v>0</v>
      </c>
      <c r="Q517">
        <f t="shared" si="6"/>
        <v>0</v>
      </c>
    </row>
    <row r="518" spans="2:17">
      <c r="B518" s="955" t="s">
        <v>990</v>
      </c>
      <c r="C518" s="955"/>
      <c r="D518" s="952"/>
      <c r="E518" s="167"/>
      <c r="F518" s="167"/>
      <c r="G518" s="167"/>
      <c r="H518" s="952" t="s">
        <v>0</v>
      </c>
      <c r="Q518">
        <f t="shared" si="6"/>
        <v>0</v>
      </c>
    </row>
    <row r="519" spans="2:17" ht="15.75">
      <c r="B519" s="68" t="s">
        <v>315</v>
      </c>
      <c r="C519" s="955"/>
      <c r="D519" s="952"/>
      <c r="E519" s="167"/>
      <c r="F519" s="167"/>
      <c r="G519" s="167"/>
      <c r="H519" s="952"/>
    </row>
    <row r="520" spans="2:17" ht="15.75">
      <c r="B520" s="69" t="s">
        <v>255</v>
      </c>
      <c r="C520" s="955"/>
      <c r="D520" s="952"/>
      <c r="E520" s="167"/>
      <c r="F520" s="167"/>
      <c r="G520" s="167"/>
      <c r="H520" s="952"/>
    </row>
    <row r="521" spans="2:17" ht="15.75">
      <c r="B521" s="68" t="s">
        <v>256</v>
      </c>
      <c r="C521" s="955"/>
      <c r="D521" s="952"/>
      <c r="E521" s="167"/>
      <c r="F521" s="167"/>
      <c r="G521" s="167"/>
      <c r="H521" s="952"/>
    </row>
    <row r="522" spans="2:17" ht="15.75">
      <c r="B522" s="69" t="s">
        <v>257</v>
      </c>
      <c r="C522" s="955"/>
      <c r="D522" s="952"/>
      <c r="E522" s="167"/>
      <c r="F522" s="167"/>
      <c r="G522" s="167"/>
      <c r="H522" s="952"/>
    </row>
    <row r="523" spans="2:17" ht="15.75">
      <c r="B523" s="68" t="s">
        <v>258</v>
      </c>
      <c r="C523" s="955"/>
      <c r="D523" s="952"/>
      <c r="E523" s="167"/>
      <c r="F523" s="167"/>
      <c r="G523" s="167"/>
      <c r="H523" s="952"/>
    </row>
    <row r="524" spans="2:17" ht="15.75">
      <c r="B524" s="69" t="s">
        <v>259</v>
      </c>
      <c r="C524" s="955"/>
      <c r="D524" s="952"/>
      <c r="E524" s="167"/>
      <c r="F524" s="167"/>
      <c r="G524" s="167"/>
      <c r="H524" s="952"/>
    </row>
    <row r="525" spans="2:17" ht="15.75">
      <c r="B525" s="68" t="s">
        <v>260</v>
      </c>
      <c r="C525" s="955"/>
      <c r="D525" s="952"/>
      <c r="E525" s="167"/>
      <c r="F525" s="167"/>
      <c r="G525" s="167"/>
      <c r="H525" s="952"/>
    </row>
    <row r="526" spans="2:17" ht="15.75">
      <c r="B526" s="69" t="s">
        <v>261</v>
      </c>
      <c r="C526" s="955"/>
      <c r="D526" s="952"/>
      <c r="E526" s="167"/>
      <c r="F526" s="167"/>
      <c r="G526" s="167"/>
      <c r="H526" s="952"/>
    </row>
    <row r="527" spans="2:17" ht="15.75">
      <c r="B527" s="68" t="s">
        <v>262</v>
      </c>
      <c r="C527" s="955"/>
      <c r="D527" s="952"/>
      <c r="E527" s="167"/>
      <c r="F527" s="167"/>
      <c r="G527" s="167"/>
      <c r="H527" s="952"/>
    </row>
    <row r="528" spans="2:17" ht="15.75">
      <c r="B528" s="69" t="s">
        <v>263</v>
      </c>
      <c r="C528" s="955"/>
      <c r="D528" s="952"/>
      <c r="E528" s="167"/>
      <c r="F528" s="167"/>
      <c r="G528" s="167"/>
      <c r="H528" s="952"/>
    </row>
    <row r="529" spans="2:8" ht="15.75">
      <c r="B529" s="68" t="s">
        <v>264</v>
      </c>
      <c r="C529" s="955"/>
      <c r="D529" s="952"/>
      <c r="E529" s="167"/>
      <c r="F529" s="167"/>
      <c r="G529" s="167"/>
      <c r="H529" s="952"/>
    </row>
    <row r="530" spans="2:8" ht="15.75">
      <c r="B530" s="69" t="s">
        <v>265</v>
      </c>
      <c r="C530" s="955"/>
      <c r="D530" s="952"/>
      <c r="E530" s="167"/>
      <c r="F530" s="167"/>
      <c r="G530" s="167"/>
      <c r="H530" s="952"/>
    </row>
    <row r="531" spans="2:8" ht="15.75">
      <c r="B531" s="68" t="s">
        <v>266</v>
      </c>
      <c r="C531" s="955"/>
      <c r="D531" s="952"/>
      <c r="E531" s="167"/>
      <c r="F531" s="167"/>
      <c r="G531" s="167"/>
      <c r="H531" s="952"/>
    </row>
    <row r="532" spans="2:8" ht="15.75">
      <c r="B532" s="69" t="s">
        <v>267</v>
      </c>
      <c r="C532" s="955"/>
      <c r="D532" s="952"/>
      <c r="E532" s="167"/>
      <c r="F532" s="167"/>
      <c r="G532" s="167"/>
      <c r="H532" s="952"/>
    </row>
    <row r="533" spans="2:8" ht="15.75">
      <c r="B533" s="68" t="s">
        <v>268</v>
      </c>
      <c r="C533" s="955"/>
      <c r="D533" s="952"/>
      <c r="E533" s="167"/>
      <c r="F533" s="167"/>
      <c r="G533" s="167"/>
      <c r="H533" s="952"/>
    </row>
    <row r="534" spans="2:8" ht="15.75">
      <c r="B534" s="69" t="s">
        <v>269</v>
      </c>
      <c r="C534" s="955"/>
      <c r="D534" s="952"/>
      <c r="E534" s="167"/>
      <c r="F534" s="167"/>
      <c r="G534" s="167"/>
      <c r="H534" s="952"/>
    </row>
    <row r="535" spans="2:8" ht="15.75">
      <c r="B535" s="68" t="s">
        <v>270</v>
      </c>
      <c r="C535" s="955"/>
      <c r="D535" s="952"/>
      <c r="E535" s="167"/>
      <c r="F535" s="167"/>
      <c r="G535" s="167"/>
      <c r="H535" s="952"/>
    </row>
    <row r="536" spans="2:8" ht="15.75">
      <c r="B536" s="69" t="s">
        <v>271</v>
      </c>
      <c r="C536" s="955"/>
      <c r="D536" s="952"/>
      <c r="E536" s="167"/>
      <c r="F536" s="167"/>
      <c r="G536" s="167"/>
      <c r="H536" s="952"/>
    </row>
    <row r="537" spans="2:8" ht="15.75">
      <c r="B537" s="68" t="s">
        <v>272</v>
      </c>
      <c r="C537" s="955"/>
      <c r="D537" s="952"/>
      <c r="E537" s="167"/>
      <c r="F537" s="167"/>
      <c r="G537" s="167"/>
      <c r="H537" s="952"/>
    </row>
    <row r="538" spans="2:8" ht="15.75">
      <c r="B538" s="69" t="s">
        <v>273</v>
      </c>
      <c r="C538" s="955"/>
      <c r="D538" s="952"/>
      <c r="E538" s="167"/>
      <c r="F538" s="167"/>
      <c r="G538" s="167"/>
      <c r="H538" s="952"/>
    </row>
    <row r="539" spans="2:8" ht="15.75">
      <c r="B539" s="68" t="s">
        <v>274</v>
      </c>
      <c r="C539" s="955"/>
      <c r="D539" s="952"/>
      <c r="E539" s="167"/>
      <c r="F539" s="167"/>
      <c r="G539" s="167"/>
      <c r="H539" s="952"/>
    </row>
    <row r="540" spans="2:8" ht="15.75">
      <c r="B540" s="69" t="s">
        <v>275</v>
      </c>
      <c r="C540" s="955"/>
      <c r="D540" s="952"/>
      <c r="E540" s="167"/>
      <c r="F540" s="167"/>
      <c r="G540" s="167"/>
      <c r="H540" s="952"/>
    </row>
    <row r="541" spans="2:8" ht="15.75">
      <c r="B541" s="68" t="s">
        <v>276</v>
      </c>
      <c r="C541" s="955"/>
      <c r="D541" s="952"/>
      <c r="E541" s="167"/>
      <c r="F541" s="167"/>
      <c r="G541" s="167"/>
      <c r="H541" s="952"/>
    </row>
    <row r="542" spans="2:8" ht="15.75">
      <c r="B542" s="69" t="s">
        <v>277</v>
      </c>
      <c r="C542" s="955"/>
      <c r="D542" s="952"/>
      <c r="E542" s="167"/>
      <c r="F542" s="167"/>
      <c r="G542" s="167"/>
      <c r="H542" s="952"/>
    </row>
    <row r="543" spans="2:8" ht="15.75">
      <c r="B543" s="68" t="s">
        <v>278</v>
      </c>
      <c r="C543" s="955"/>
      <c r="D543" s="952"/>
      <c r="E543" s="167"/>
      <c r="F543" s="167"/>
      <c r="G543" s="167"/>
      <c r="H543" s="952"/>
    </row>
    <row r="544" spans="2:8" ht="15.75">
      <c r="B544" s="69" t="s">
        <v>279</v>
      </c>
      <c r="C544" s="955"/>
      <c r="D544" s="952"/>
      <c r="E544" s="167"/>
      <c r="F544" s="167"/>
      <c r="G544" s="167"/>
      <c r="H544" s="952"/>
    </row>
    <row r="545" spans="2:17" ht="15.75">
      <c r="B545" s="68" t="s">
        <v>280</v>
      </c>
      <c r="C545" s="955"/>
      <c r="D545" s="952"/>
      <c r="E545" s="167"/>
      <c r="F545" s="167"/>
      <c r="G545" s="167"/>
      <c r="H545" s="952"/>
    </row>
    <row r="546" spans="2:17" ht="15.75">
      <c r="B546" s="69" t="s">
        <v>281</v>
      </c>
      <c r="C546" s="955"/>
      <c r="D546" s="952"/>
      <c r="E546" s="167"/>
      <c r="F546" s="167"/>
      <c r="G546" s="167"/>
      <c r="H546" s="952"/>
    </row>
    <row r="547" spans="2:17" ht="15.75">
      <c r="B547" s="68" t="s">
        <v>282</v>
      </c>
      <c r="C547" s="955"/>
      <c r="D547" s="952"/>
      <c r="E547" s="167"/>
      <c r="F547" s="167"/>
      <c r="G547" s="167"/>
      <c r="H547" s="952"/>
    </row>
    <row r="548" spans="2:17" ht="15.75">
      <c r="B548" s="69" t="s">
        <v>283</v>
      </c>
      <c r="C548" s="955"/>
      <c r="D548" s="952"/>
      <c r="E548" s="167"/>
      <c r="F548" s="167"/>
      <c r="G548" s="167"/>
      <c r="H548" s="952"/>
    </row>
    <row r="549" spans="2:17" ht="15.75">
      <c r="B549" s="68" t="s">
        <v>284</v>
      </c>
      <c r="C549" s="955"/>
      <c r="D549" s="952"/>
      <c r="E549" s="167"/>
      <c r="F549" s="167"/>
      <c r="G549" s="167"/>
      <c r="H549" s="952"/>
    </row>
    <row r="550" spans="2:17" ht="15.75">
      <c r="B550" s="69" t="s">
        <v>285</v>
      </c>
      <c r="C550" s="955"/>
      <c r="D550" s="952"/>
      <c r="E550" s="167"/>
      <c r="F550" s="167"/>
      <c r="G550" s="167"/>
      <c r="H550" s="952"/>
    </row>
    <row r="551" spans="2:17">
      <c r="B551" s="955" t="s">
        <v>991</v>
      </c>
      <c r="C551" s="955"/>
      <c r="D551" s="952"/>
      <c r="E551" s="167"/>
      <c r="F551" s="167"/>
      <c r="G551" s="167"/>
      <c r="H551" s="952" t="s">
        <v>0</v>
      </c>
      <c r="Q551">
        <f t="shared" si="6"/>
        <v>0</v>
      </c>
    </row>
    <row r="552" spans="2:17">
      <c r="B552" s="955" t="s">
        <v>992</v>
      </c>
      <c r="C552" s="955"/>
      <c r="D552" s="952"/>
      <c r="E552" s="167"/>
      <c r="F552" s="167"/>
      <c r="G552" s="167"/>
      <c r="H552" s="952" t="s">
        <v>0</v>
      </c>
      <c r="Q552">
        <f t="shared" si="6"/>
        <v>0</v>
      </c>
    </row>
    <row r="553" spans="2:17">
      <c r="B553" s="955" t="s">
        <v>1080</v>
      </c>
      <c r="C553" s="955"/>
      <c r="D553" s="952"/>
      <c r="E553" s="167"/>
      <c r="F553" s="167"/>
      <c r="G553" s="167"/>
      <c r="H553" s="952" t="s">
        <v>0</v>
      </c>
      <c r="Q553">
        <f t="shared" si="6"/>
        <v>0</v>
      </c>
    </row>
    <row r="554" spans="2:17">
      <c r="B554" s="955" t="s">
        <v>993</v>
      </c>
      <c r="C554" s="955"/>
      <c r="D554" s="952"/>
      <c r="E554" s="167"/>
      <c r="F554" s="167"/>
      <c r="G554" s="167"/>
      <c r="H554" s="952" t="s">
        <v>0</v>
      </c>
      <c r="Q554">
        <f t="shared" si="6"/>
        <v>0</v>
      </c>
    </row>
    <row r="555" spans="2:17">
      <c r="B555" s="955" t="s">
        <v>994</v>
      </c>
      <c r="C555" s="955"/>
      <c r="D555" s="952"/>
      <c r="E555" s="167"/>
      <c r="F555" s="167"/>
      <c r="G555" s="167"/>
      <c r="H555" s="952" t="s">
        <v>0</v>
      </c>
      <c r="Q555">
        <f t="shared" si="6"/>
        <v>0</v>
      </c>
    </row>
    <row r="556" spans="2:17">
      <c r="B556" s="955" t="s">
        <v>995</v>
      </c>
      <c r="C556" s="955"/>
      <c r="D556" s="952"/>
      <c r="E556" s="167"/>
      <c r="F556" s="167"/>
      <c r="G556" s="167"/>
      <c r="H556" s="952" t="s">
        <v>168</v>
      </c>
      <c r="Q556">
        <f t="shared" si="6"/>
        <v>0</v>
      </c>
    </row>
    <row r="557" spans="2:17">
      <c r="B557" s="955" t="s">
        <v>996</v>
      </c>
      <c r="C557" s="955"/>
      <c r="D557" s="952"/>
      <c r="E557" s="167"/>
      <c r="F557" s="167"/>
      <c r="G557" s="167"/>
      <c r="H557" s="952" t="s">
        <v>168</v>
      </c>
      <c r="Q557">
        <f t="shared" si="6"/>
        <v>0</v>
      </c>
    </row>
    <row r="558" spans="2:17">
      <c r="B558" s="968" t="s">
        <v>1156</v>
      </c>
      <c r="C558" s="968"/>
      <c r="D558" s="969"/>
      <c r="E558" s="167"/>
      <c r="F558" s="167"/>
      <c r="G558" s="167"/>
      <c r="H558" s="969" t="s">
        <v>0</v>
      </c>
      <c r="L558">
        <v>1</v>
      </c>
      <c r="M558">
        <f>SUM(M7:M18,N7:N18,O7:O18,P7:P18,E7:E22,F7:F22,G7:G22,H7:H22)*L558</f>
        <v>0</v>
      </c>
      <c r="Q558">
        <f t="shared" si="6"/>
        <v>0</v>
      </c>
    </row>
    <row r="559" spans="2:17">
      <c r="B559" s="968" t="s">
        <v>1157</v>
      </c>
      <c r="C559" s="968"/>
      <c r="D559" s="176"/>
      <c r="E559" s="167"/>
      <c r="F559" s="167"/>
      <c r="G559" s="167"/>
      <c r="H559" s="176" t="s">
        <v>386</v>
      </c>
      <c r="L559">
        <v>9</v>
      </c>
      <c r="M559">
        <f>SUM(M7:M18,N7:N18,O7:O18,P7:P18,E7:E22,F7:F22,G7:G22,H7:H22)*L559</f>
        <v>0</v>
      </c>
      <c r="Q559">
        <f t="shared" si="6"/>
        <v>0</v>
      </c>
    </row>
    <row r="560" spans="2:17">
      <c r="B560" s="968" t="s">
        <v>1158</v>
      </c>
      <c r="C560" s="968"/>
      <c r="D560" s="969"/>
      <c r="E560" s="167"/>
      <c r="F560" s="167"/>
      <c r="G560" s="167"/>
      <c r="H560" s="969" t="s">
        <v>0</v>
      </c>
      <c r="L560">
        <v>1</v>
      </c>
      <c r="M560">
        <f>SUM(M7:M18,N7:N18,O7:O18,P7:P18,E7:E22,F7:F22,G7:G22,H7:H22)*L560</f>
        <v>0</v>
      </c>
      <c r="Q560">
        <f t="shared" ref="Q560:Q566" si="7">M560</f>
        <v>0</v>
      </c>
    </row>
    <row r="561" spans="2:17">
      <c r="B561" s="968" t="s">
        <v>1159</v>
      </c>
      <c r="C561" s="968"/>
      <c r="D561" s="176"/>
      <c r="E561" s="167"/>
      <c r="F561" s="167"/>
      <c r="G561" s="167"/>
      <c r="H561" s="176" t="s">
        <v>0</v>
      </c>
      <c r="L561">
        <v>1</v>
      </c>
      <c r="M561">
        <f>SUM(M7:M18,N7:N18,O7:O18,P7:P18,E7:E22,F7:F22,G7:G22,H7:H22)*L561</f>
        <v>0</v>
      </c>
      <c r="Q561">
        <f t="shared" si="7"/>
        <v>0</v>
      </c>
    </row>
    <row r="562" spans="2:17">
      <c r="B562" s="968" t="s">
        <v>1160</v>
      </c>
      <c r="C562" s="968"/>
      <c r="D562" s="176"/>
      <c r="E562" s="167"/>
      <c r="F562" s="167"/>
      <c r="G562" s="167"/>
      <c r="H562" s="176" t="s">
        <v>0</v>
      </c>
      <c r="L562">
        <v>1</v>
      </c>
      <c r="M562">
        <f>SUM(M7:M18,N7:N18,O7:O18,P7:P18,E7:E22,F7:F22,G7:G22,H7:H22)*L562</f>
        <v>0</v>
      </c>
      <c r="Q562">
        <f t="shared" si="7"/>
        <v>0</v>
      </c>
    </row>
    <row r="563" spans="2:17">
      <c r="B563" s="185" t="s">
        <v>1161</v>
      </c>
      <c r="C563" s="185"/>
      <c r="D563" s="176"/>
      <c r="E563" s="167"/>
      <c r="F563" s="167"/>
      <c r="G563" s="167"/>
      <c r="H563" s="176" t="s">
        <v>0</v>
      </c>
      <c r="L563">
        <v>1</v>
      </c>
      <c r="M563">
        <f>SUM(M7:M18,N7:N18,O7:O18,P7:P18,E7:E22,F7:F22,G7:G22,H7:H22)*L563</f>
        <v>0</v>
      </c>
      <c r="Q563">
        <f t="shared" si="7"/>
        <v>0</v>
      </c>
    </row>
    <row r="564" spans="2:17" ht="12" customHeight="1">
      <c r="B564" s="1948" t="s">
        <v>1162</v>
      </c>
      <c r="C564" s="1949"/>
      <c r="D564" s="1949"/>
      <c r="E564" s="1949"/>
      <c r="F564" s="1949"/>
      <c r="G564" s="1950"/>
      <c r="H564" s="969" t="s">
        <v>0</v>
      </c>
      <c r="L564">
        <v>1</v>
      </c>
      <c r="M564">
        <f>SUM(M7:M18,N7:N18,O7:O18,P7:P18,E7:E22,F7:F22,G7:G22,H7:H22)*L564</f>
        <v>0</v>
      </c>
      <c r="Q564">
        <f t="shared" si="7"/>
        <v>0</v>
      </c>
    </row>
    <row r="565" spans="2:17" ht="13.5" customHeight="1">
      <c r="B565" s="954" t="s">
        <v>1163</v>
      </c>
      <c r="C565" s="983"/>
      <c r="D565" s="984"/>
      <c r="E565" s="167"/>
      <c r="F565" s="167"/>
      <c r="G565" s="167"/>
      <c r="H565" s="969" t="s">
        <v>0</v>
      </c>
      <c r="L565">
        <v>2</v>
      </c>
      <c r="M565">
        <f>SUM(M7:M18,N7:N18,O7:O18,P7:P18,E7:E22,F7:F22,G7:G22,H7:H22)*L565</f>
        <v>0</v>
      </c>
      <c r="Q565">
        <f t="shared" si="7"/>
        <v>0</v>
      </c>
    </row>
    <row r="566" spans="2:17">
      <c r="B566" s="968" t="s">
        <v>1164</v>
      </c>
      <c r="C566" s="968"/>
      <c r="D566" s="969"/>
      <c r="E566" s="167"/>
      <c r="F566" s="167"/>
      <c r="G566" s="167"/>
      <c r="H566" s="969" t="s">
        <v>0</v>
      </c>
      <c r="L566">
        <v>1</v>
      </c>
      <c r="M566">
        <f>SUM(M7:M18,N7:N18,O7:O18,P7:P18,E7:E22,F7:F22,G7:G22,H7:H22)*L566</f>
        <v>0</v>
      </c>
      <c r="Q566">
        <f t="shared" si="7"/>
        <v>0</v>
      </c>
    </row>
  </sheetData>
  <mergeCells count="29">
    <mergeCell ref="J15:L15"/>
    <mergeCell ref="B5:B6"/>
    <mergeCell ref="B9:D9"/>
    <mergeCell ref="J8:L8"/>
    <mergeCell ref="J10:L10"/>
    <mergeCell ref="B14:D14"/>
    <mergeCell ref="B7:D7"/>
    <mergeCell ref="B8:D8"/>
    <mergeCell ref="J5:J6"/>
    <mergeCell ref="B2:H3"/>
    <mergeCell ref="B10:D10"/>
    <mergeCell ref="B11:D11"/>
    <mergeCell ref="B12:D12"/>
    <mergeCell ref="A1:A18"/>
    <mergeCell ref="J16:L16"/>
    <mergeCell ref="J17:L17"/>
    <mergeCell ref="J18:L18"/>
    <mergeCell ref="J14:L14"/>
    <mergeCell ref="J9:L9"/>
    <mergeCell ref="B564:G564"/>
    <mergeCell ref="B15:D15"/>
    <mergeCell ref="B16:D16"/>
    <mergeCell ref="B17:D17"/>
    <mergeCell ref="B18:D18"/>
    <mergeCell ref="J7:L7"/>
    <mergeCell ref="J11:L11"/>
    <mergeCell ref="J12:L12"/>
    <mergeCell ref="J13:L13"/>
    <mergeCell ref="B13:D13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Macro10">
                <anchor moveWithCells="1" sizeWithCells="1">
                  <from>
                    <xdr:col>0</xdr:col>
                    <xdr:colOff>47625</xdr:colOff>
                    <xdr:row>1</xdr:row>
                    <xdr:rowOff>19050</xdr:rowOff>
                  </from>
                  <to>
                    <xdr:col>0</xdr:col>
                    <xdr:colOff>1190625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Macro16">
                <anchor moveWithCells="1" sizeWithCells="1">
                  <from>
                    <xdr:col>0</xdr:col>
                    <xdr:colOff>57150</xdr:colOff>
                    <xdr:row>8</xdr:row>
                    <xdr:rowOff>19050</xdr:rowOff>
                  </from>
                  <to>
                    <xdr:col>0</xdr:col>
                    <xdr:colOff>1162050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Macro17gg">
                <anchor moveWithCells="1" sizeWithCells="1">
                  <from>
                    <xdr:col>0</xdr:col>
                    <xdr:colOff>47625</xdr:colOff>
                    <xdr:row>4</xdr:row>
                    <xdr:rowOff>47625</xdr:rowOff>
                  </from>
                  <to>
                    <xdr:col>0</xdr:col>
                    <xdr:colOff>1171575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7" name="Button 5">
              <controlPr defaultSize="0" print="0" autoFill="0" autoPict="0" macro="[0]!EXTRACOMBT">
                <anchor moveWithCells="1" sizeWithCells="1">
                  <from>
                    <xdr:col>0</xdr:col>
                    <xdr:colOff>47625</xdr:colOff>
                    <xdr:row>12</xdr:row>
                    <xdr:rowOff>190500</xdr:rowOff>
                  </from>
                  <to>
                    <xdr:col>0</xdr:col>
                    <xdr:colOff>1152525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8" name="Button 6">
              <controlPr locked="0" defaultSize="0" print="0" autoFill="0" autoPict="0" macro="[0]!Transformadores">
                <anchor moveWithCells="1" sizeWithCells="1">
                  <from>
                    <xdr:col>0</xdr:col>
                    <xdr:colOff>47625</xdr:colOff>
                    <xdr:row>9</xdr:row>
                    <xdr:rowOff>104775</xdr:rowOff>
                  </from>
                  <to>
                    <xdr:col>0</xdr:col>
                    <xdr:colOff>1162050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9" name="Button 7">
              <controlPr defaultSize="0" print="0" autoFill="0" autoPict="0" macro="[0]!Macro15">
                <anchor moveWithCells="1" sizeWithCells="1">
                  <from>
                    <xdr:col>0</xdr:col>
                    <xdr:colOff>47625</xdr:colOff>
                    <xdr:row>6</xdr:row>
                    <xdr:rowOff>142875</xdr:rowOff>
                  </from>
                  <to>
                    <xdr:col>0</xdr:col>
                    <xdr:colOff>1162050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0" name="Button 8">
              <controlPr defaultSize="0" print="0" autoFill="0" autoPict="0" macro="[0]!Macro5">
                <anchor moveWithCells="1" sizeWithCells="1">
                  <from>
                    <xdr:col>0</xdr:col>
                    <xdr:colOff>47625</xdr:colOff>
                    <xdr:row>14</xdr:row>
                    <xdr:rowOff>200025</xdr:rowOff>
                  </from>
                  <to>
                    <xdr:col>0</xdr:col>
                    <xdr:colOff>1152525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1" name="Button 9">
              <controlPr defaultSize="0" print="0" autoFill="0" autoPict="0" macro="[0]!Macro6">
                <anchor moveWithCells="1" sizeWithCells="1">
                  <from>
                    <xdr:col>0</xdr:col>
                    <xdr:colOff>47625</xdr:colOff>
                    <xdr:row>16</xdr:row>
                    <xdr:rowOff>19050</xdr:rowOff>
                  </from>
                  <to>
                    <xdr:col>0</xdr:col>
                    <xdr:colOff>1152525</xdr:colOff>
                    <xdr:row>17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81F89-D27B-492B-8B64-44A9CC6630CC}">
  <sheetPr codeName="Plan5">
    <pageSetUpPr fitToPage="1"/>
  </sheetPr>
  <dimension ref="A1:Q392"/>
  <sheetViews>
    <sheetView view="pageBreakPreview" zoomScale="90" zoomScaleNormal="85" zoomScaleSheetLayoutView="90" workbookViewId="0">
      <pane xSplit="5" ySplit="4" topLeftCell="G5" activePane="bottomRight" state="frozen"/>
      <selection pane="topRight" activeCell="F1" sqref="F1"/>
      <selection pane="bottomLeft" activeCell="A5" sqref="A5"/>
      <selection pane="bottomRight" activeCell="B5" sqref="B5"/>
    </sheetView>
  </sheetViews>
  <sheetFormatPr defaultRowHeight="15"/>
  <cols>
    <col min="1" max="1" width="6.140625" customWidth="1"/>
    <col min="2" max="2" width="66.42578125" customWidth="1"/>
    <col min="3" max="3" width="6.5703125" customWidth="1"/>
    <col min="4" max="4" width="14.42578125" style="221" customWidth="1"/>
    <col min="5" max="5" width="14.140625" style="221" customWidth="1"/>
  </cols>
  <sheetData>
    <row r="1" spans="1:17" ht="23.1" customHeight="1" thickBot="1">
      <c r="A1" s="1939" t="s">
        <v>1420</v>
      </c>
      <c r="B1" s="1940"/>
      <c r="C1" s="1940"/>
      <c r="D1" s="1940"/>
      <c r="E1" s="1941"/>
    </row>
    <row r="2" spans="1:17" s="120" customFormat="1" ht="20.100000000000001" customHeight="1">
      <c r="A2" s="1980" t="s">
        <v>400</v>
      </c>
      <c r="B2" s="1980"/>
      <c r="C2" s="1980"/>
      <c r="D2" s="1980"/>
      <c r="E2" s="1981"/>
      <c r="F2"/>
      <c r="G2"/>
      <c r="H2"/>
      <c r="I2"/>
      <c r="J2"/>
      <c r="K2"/>
      <c r="L2"/>
      <c r="M2"/>
      <c r="N2"/>
      <c r="O2"/>
      <c r="P2"/>
      <c r="Q2"/>
    </row>
    <row r="3" spans="1:17" s="120" customFormat="1" ht="20.100000000000001" customHeight="1" thickBot="1">
      <c r="A3" s="1982" t="s">
        <v>392</v>
      </c>
      <c r="B3" s="1982"/>
      <c r="C3" s="1982"/>
      <c r="D3" s="1982"/>
      <c r="E3" s="1983"/>
      <c r="F3"/>
      <c r="G3"/>
      <c r="H3"/>
      <c r="I3"/>
      <c r="J3"/>
      <c r="K3"/>
      <c r="L3"/>
      <c r="M3"/>
      <c r="N3"/>
      <c r="O3"/>
      <c r="P3"/>
      <c r="Q3"/>
    </row>
    <row r="4" spans="1:17" ht="16.5" thickBot="1">
      <c r="A4" s="128" t="s">
        <v>172</v>
      </c>
      <c r="B4" s="125" t="s">
        <v>412</v>
      </c>
      <c r="C4" s="125" t="s">
        <v>171</v>
      </c>
      <c r="D4" s="219" t="s">
        <v>369</v>
      </c>
      <c r="E4" s="220" t="s">
        <v>370</v>
      </c>
    </row>
    <row r="5" spans="1:17" s="8" customFormat="1" ht="14.25">
      <c r="A5" s="127">
        <v>1</v>
      </c>
      <c r="B5" s="126" t="s">
        <v>209</v>
      </c>
      <c r="C5" s="25" t="s">
        <v>0</v>
      </c>
      <c r="D5" s="124"/>
      <c r="E5" s="124"/>
    </row>
    <row r="6" spans="1:17" s="864" customFormat="1">
      <c r="A6" s="870">
        <v>2</v>
      </c>
      <c r="B6" s="869" t="s">
        <v>1030</v>
      </c>
      <c r="C6" s="871" t="s">
        <v>0</v>
      </c>
      <c r="D6" s="872"/>
      <c r="E6" s="872"/>
    </row>
    <row r="7" spans="1:17" s="8" customFormat="1">
      <c r="A7" s="127">
        <v>3</v>
      </c>
      <c r="B7" s="167" t="s">
        <v>1252</v>
      </c>
      <c r="C7" s="400" t="s">
        <v>0</v>
      </c>
      <c r="D7" s="124"/>
      <c r="E7" s="124"/>
    </row>
    <row r="8" spans="1:17" s="864" customFormat="1" ht="14.25">
      <c r="A8" s="870">
        <v>4</v>
      </c>
      <c r="B8" s="861" t="s">
        <v>55</v>
      </c>
      <c r="C8" s="862" t="s">
        <v>0</v>
      </c>
      <c r="D8" s="863"/>
      <c r="E8" s="863"/>
    </row>
    <row r="9" spans="1:17" s="8" customFormat="1" ht="14.25">
      <c r="A9" s="127">
        <v>5</v>
      </c>
      <c r="B9" s="22" t="s">
        <v>56</v>
      </c>
      <c r="C9" s="26" t="s">
        <v>0</v>
      </c>
      <c r="D9" s="108"/>
      <c r="E9" s="108"/>
    </row>
    <row r="10" spans="1:17" s="864" customFormat="1" ht="14.25">
      <c r="A10" s="870">
        <v>6</v>
      </c>
      <c r="B10" s="861" t="s">
        <v>57</v>
      </c>
      <c r="C10" s="862" t="s">
        <v>0</v>
      </c>
      <c r="D10" s="863"/>
      <c r="E10" s="863"/>
    </row>
    <row r="11" spans="1:17" s="8" customFormat="1">
      <c r="A11" s="127">
        <v>7</v>
      </c>
      <c r="B11" s="3" t="s">
        <v>189</v>
      </c>
      <c r="C11" s="26" t="s">
        <v>0</v>
      </c>
      <c r="D11" s="108"/>
      <c r="E11" s="108"/>
    </row>
    <row r="12" spans="1:17" s="864" customFormat="1">
      <c r="A12" s="870">
        <v>8</v>
      </c>
      <c r="B12" s="865" t="s">
        <v>190</v>
      </c>
      <c r="C12" s="862" t="s">
        <v>0</v>
      </c>
      <c r="D12" s="863"/>
      <c r="E12" s="863"/>
    </row>
    <row r="13" spans="1:17" s="8" customFormat="1">
      <c r="A13" s="127">
        <v>9</v>
      </c>
      <c r="B13" s="3" t="s">
        <v>191</v>
      </c>
      <c r="C13" s="26" t="s">
        <v>0</v>
      </c>
      <c r="D13" s="108"/>
      <c r="E13" s="108"/>
    </row>
    <row r="14" spans="1:17" s="864" customFormat="1">
      <c r="A14" s="870">
        <v>10</v>
      </c>
      <c r="B14" s="865" t="s">
        <v>325</v>
      </c>
      <c r="C14" s="862" t="s">
        <v>0</v>
      </c>
      <c r="D14" s="863"/>
      <c r="E14" s="863"/>
    </row>
    <row r="15" spans="1:17" s="8" customFormat="1" ht="14.25">
      <c r="A15" s="127">
        <v>11</v>
      </c>
      <c r="B15" s="22" t="s">
        <v>42</v>
      </c>
      <c r="C15" s="26" t="s">
        <v>0</v>
      </c>
      <c r="D15" s="108"/>
      <c r="E15" s="108"/>
    </row>
    <row r="16" spans="1:17" s="864" customFormat="1" ht="14.25" customHeight="1">
      <c r="A16" s="870">
        <v>12</v>
      </c>
      <c r="B16" s="861" t="s">
        <v>36</v>
      </c>
      <c r="C16" s="862" t="s">
        <v>4</v>
      </c>
      <c r="D16" s="863"/>
      <c r="E16" s="863"/>
    </row>
    <row r="17" spans="1:6" s="8" customFormat="1" ht="15" customHeight="1">
      <c r="A17" s="127">
        <v>13</v>
      </c>
      <c r="B17" s="22" t="s">
        <v>1</v>
      </c>
      <c r="C17" s="26" t="s">
        <v>0</v>
      </c>
      <c r="D17" s="108"/>
      <c r="E17" s="108"/>
    </row>
    <row r="18" spans="1:6" s="864" customFormat="1" ht="14.25">
      <c r="A18" s="870">
        <v>14</v>
      </c>
      <c r="B18" s="861" t="s">
        <v>2</v>
      </c>
      <c r="C18" s="862" t="s">
        <v>0</v>
      </c>
      <c r="D18" s="863"/>
      <c r="E18" s="863"/>
    </row>
    <row r="19" spans="1:6" s="8" customFormat="1" ht="14.25">
      <c r="A19" s="127">
        <v>15</v>
      </c>
      <c r="B19" s="22" t="s">
        <v>312</v>
      </c>
      <c r="C19" s="26" t="s">
        <v>0</v>
      </c>
      <c r="D19" s="108"/>
      <c r="E19" s="108"/>
    </row>
    <row r="20" spans="1:6" s="864" customFormat="1" ht="14.25">
      <c r="A20" s="870">
        <v>16</v>
      </c>
      <c r="B20" s="861" t="s">
        <v>1424</v>
      </c>
      <c r="C20" s="862" t="s">
        <v>168</v>
      </c>
      <c r="D20" s="863"/>
      <c r="E20" s="863"/>
    </row>
    <row r="21" spans="1:6" s="8" customFormat="1" ht="14.25">
      <c r="A21" s="127">
        <v>17</v>
      </c>
      <c r="B21" s="22" t="s">
        <v>313</v>
      </c>
      <c r="C21" s="26" t="s">
        <v>168</v>
      </c>
      <c r="D21" s="108"/>
      <c r="E21" s="108"/>
    </row>
    <row r="22" spans="1:6" s="864" customFormat="1" ht="14.25">
      <c r="A22" s="870">
        <v>18</v>
      </c>
      <c r="B22" s="861" t="s">
        <v>409</v>
      </c>
      <c r="C22" s="862" t="s">
        <v>168</v>
      </c>
      <c r="D22" s="863"/>
      <c r="E22" s="863"/>
    </row>
    <row r="23" spans="1:6" s="159" customFormat="1" ht="14.25">
      <c r="A23" s="127">
        <v>19</v>
      </c>
      <c r="B23" s="22" t="s">
        <v>1382</v>
      </c>
      <c r="C23" s="26" t="s">
        <v>168</v>
      </c>
      <c r="D23" s="108"/>
      <c r="E23" s="108"/>
      <c r="F23" s="8"/>
    </row>
    <row r="24" spans="1:6" s="864" customFormat="1" ht="14.25">
      <c r="A24" s="870">
        <v>20</v>
      </c>
      <c r="B24" s="861" t="s">
        <v>1425</v>
      </c>
      <c r="C24" s="862" t="s">
        <v>168</v>
      </c>
      <c r="D24" s="863"/>
      <c r="E24" s="863"/>
    </row>
    <row r="25" spans="1:6" s="8" customFormat="1" ht="14.25">
      <c r="A25" s="127">
        <v>21</v>
      </c>
      <c r="B25" s="22" t="s">
        <v>1380</v>
      </c>
      <c r="C25" s="26" t="s">
        <v>168</v>
      </c>
      <c r="D25" s="108"/>
      <c r="E25" s="108"/>
    </row>
    <row r="26" spans="1:6" s="864" customFormat="1" ht="14.25">
      <c r="A26" s="870">
        <v>22</v>
      </c>
      <c r="B26" s="861" t="s">
        <v>308</v>
      </c>
      <c r="C26" s="862" t="s">
        <v>168</v>
      </c>
      <c r="D26" s="863"/>
      <c r="E26" s="863"/>
    </row>
    <row r="27" spans="1:6" s="8" customFormat="1" ht="14.25">
      <c r="A27" s="127">
        <v>23</v>
      </c>
      <c r="B27" s="22" t="s">
        <v>309</v>
      </c>
      <c r="C27" s="26" t="s">
        <v>168</v>
      </c>
      <c r="D27" s="108"/>
      <c r="E27" s="108"/>
    </row>
    <row r="28" spans="1:6" s="864" customFormat="1" ht="14.25">
      <c r="A28" s="870">
        <v>24</v>
      </c>
      <c r="B28" s="861" t="s">
        <v>310</v>
      </c>
      <c r="C28" s="862" t="s">
        <v>168</v>
      </c>
      <c r="D28" s="863"/>
      <c r="E28" s="863"/>
    </row>
    <row r="29" spans="1:6" s="8" customFormat="1" ht="14.25">
      <c r="A29" s="127">
        <v>25</v>
      </c>
      <c r="B29" s="22" t="s">
        <v>311</v>
      </c>
      <c r="C29" s="26" t="s">
        <v>168</v>
      </c>
      <c r="D29" s="108"/>
      <c r="E29" s="108"/>
    </row>
    <row r="30" spans="1:6" s="8" customFormat="1" ht="14.25">
      <c r="A30" s="863"/>
      <c r="B30" s="863" t="s">
        <v>1535</v>
      </c>
      <c r="C30" s="928" t="s">
        <v>168</v>
      </c>
      <c r="D30" s="928"/>
      <c r="E30" s="928"/>
    </row>
    <row r="31" spans="1:6" s="8" customFormat="1" ht="14.25">
      <c r="A31" s="127"/>
      <c r="B31" s="22" t="s">
        <v>1557</v>
      </c>
      <c r="C31" s="26" t="s">
        <v>168</v>
      </c>
      <c r="D31" s="108"/>
      <c r="E31" s="108"/>
    </row>
    <row r="32" spans="1:6" s="864" customFormat="1" ht="14.25">
      <c r="A32" s="870">
        <v>26</v>
      </c>
      <c r="B32" s="861" t="s">
        <v>388</v>
      </c>
      <c r="C32" s="862" t="s">
        <v>168</v>
      </c>
      <c r="D32" s="863"/>
      <c r="E32" s="863"/>
    </row>
    <row r="33" spans="1:5" s="8" customFormat="1" ht="14.25">
      <c r="A33" s="127">
        <v>27</v>
      </c>
      <c r="B33" s="22" t="s">
        <v>407</v>
      </c>
      <c r="C33" s="26" t="s">
        <v>168</v>
      </c>
      <c r="D33" s="108"/>
      <c r="E33" s="108"/>
    </row>
    <row r="34" spans="1:5" s="864" customFormat="1">
      <c r="A34" s="870">
        <v>28</v>
      </c>
      <c r="B34" s="865" t="s">
        <v>387</v>
      </c>
      <c r="C34" s="866" t="s">
        <v>4</v>
      </c>
      <c r="D34" s="863"/>
      <c r="E34" s="863"/>
    </row>
    <row r="35" spans="1:5" s="8" customFormat="1">
      <c r="A35" s="127">
        <v>29</v>
      </c>
      <c r="B35" s="3" t="s">
        <v>389</v>
      </c>
      <c r="C35" s="4" t="s">
        <v>4</v>
      </c>
      <c r="D35" s="108"/>
      <c r="E35" s="108"/>
    </row>
    <row r="36" spans="1:5" s="864" customFormat="1">
      <c r="A36" s="870">
        <v>30</v>
      </c>
      <c r="B36" s="865" t="s">
        <v>390</v>
      </c>
      <c r="C36" s="866" t="s">
        <v>4</v>
      </c>
      <c r="D36" s="863"/>
      <c r="E36" s="863"/>
    </row>
    <row r="37" spans="1:5" s="8" customFormat="1">
      <c r="A37" s="127">
        <v>31</v>
      </c>
      <c r="B37" s="3" t="s">
        <v>391</v>
      </c>
      <c r="C37" s="860" t="s">
        <v>4</v>
      </c>
      <c r="D37" s="108"/>
      <c r="E37" s="108"/>
    </row>
    <row r="38" spans="1:5" s="864" customFormat="1" ht="14.25">
      <c r="A38" s="870">
        <v>32</v>
      </c>
      <c r="B38" s="861" t="s">
        <v>62</v>
      </c>
      <c r="C38" s="862" t="s">
        <v>168</v>
      </c>
      <c r="D38" s="863"/>
      <c r="E38" s="863"/>
    </row>
    <row r="39" spans="1:5" s="8" customFormat="1" ht="14.25">
      <c r="A39" s="127"/>
      <c r="B39" s="22" t="s">
        <v>1508</v>
      </c>
      <c r="C39" s="26" t="s">
        <v>168</v>
      </c>
      <c r="D39" s="108"/>
      <c r="E39" s="108"/>
    </row>
    <row r="40" spans="1:5" s="8" customFormat="1" ht="14.25">
      <c r="A40" s="870">
        <v>33</v>
      </c>
      <c r="B40" s="861" t="s">
        <v>5</v>
      </c>
      <c r="C40" s="862" t="s">
        <v>168</v>
      </c>
      <c r="D40" s="863"/>
      <c r="E40" s="863"/>
    </row>
    <row r="41" spans="1:5" s="8" customFormat="1" ht="14.25">
      <c r="A41" s="906"/>
      <c r="B41" s="1366" t="s">
        <v>1736</v>
      </c>
      <c r="C41" s="1367" t="s">
        <v>168</v>
      </c>
      <c r="D41" s="907"/>
      <c r="E41" s="907"/>
    </row>
    <row r="42" spans="1:5" s="8" customFormat="1" ht="14.25">
      <c r="A42" s="127"/>
      <c r="B42" s="22" t="s">
        <v>1689</v>
      </c>
      <c r="C42" s="26" t="s">
        <v>0</v>
      </c>
      <c r="D42" s="108"/>
      <c r="E42" s="108"/>
    </row>
    <row r="43" spans="1:5" s="864" customFormat="1" ht="14.25">
      <c r="A43" s="870">
        <v>34</v>
      </c>
      <c r="B43" s="861" t="s">
        <v>6</v>
      </c>
      <c r="C43" s="862" t="s">
        <v>0</v>
      </c>
      <c r="D43" s="863"/>
      <c r="E43" s="863"/>
    </row>
    <row r="44" spans="1:5" s="8" customFormat="1" ht="14.25">
      <c r="A44" s="127">
        <v>35</v>
      </c>
      <c r="B44" s="22" t="s">
        <v>37</v>
      </c>
      <c r="C44" s="26" t="s">
        <v>0</v>
      </c>
      <c r="D44" s="108"/>
      <c r="E44" s="108"/>
    </row>
    <row r="45" spans="1:5" s="864" customFormat="1">
      <c r="A45" s="870">
        <v>36</v>
      </c>
      <c r="B45" s="867" t="s">
        <v>1254</v>
      </c>
      <c r="C45" s="866" t="s">
        <v>0</v>
      </c>
      <c r="D45" s="863"/>
      <c r="E45" s="863"/>
    </row>
    <row r="46" spans="1:5" s="8" customFormat="1" ht="14.25">
      <c r="A46" s="127">
        <v>37</v>
      </c>
      <c r="B46" s="22" t="s">
        <v>175</v>
      </c>
      <c r="C46" s="26" t="s">
        <v>0</v>
      </c>
      <c r="D46" s="108"/>
      <c r="E46" s="108"/>
    </row>
    <row r="47" spans="1:5" s="864" customFormat="1" ht="14.25">
      <c r="A47" s="870">
        <v>38</v>
      </c>
      <c r="B47" s="861" t="s">
        <v>173</v>
      </c>
      <c r="C47" s="862" t="s">
        <v>0</v>
      </c>
      <c r="D47" s="863"/>
      <c r="E47" s="863"/>
    </row>
    <row r="48" spans="1:5" s="8" customFormat="1" ht="14.25">
      <c r="A48" s="127">
        <v>39</v>
      </c>
      <c r="B48" s="22" t="s">
        <v>163</v>
      </c>
      <c r="C48" s="26" t="s">
        <v>0</v>
      </c>
      <c r="D48" s="108"/>
      <c r="E48" s="108"/>
    </row>
    <row r="49" spans="1:5" s="864" customFormat="1" ht="14.25">
      <c r="A49" s="870">
        <v>40</v>
      </c>
      <c r="B49" s="861" t="s">
        <v>149</v>
      </c>
      <c r="C49" s="862" t="s">
        <v>0</v>
      </c>
      <c r="D49" s="863"/>
      <c r="E49" s="863"/>
    </row>
    <row r="50" spans="1:5" s="8" customFormat="1" ht="14.25">
      <c r="A50" s="127">
        <v>41</v>
      </c>
      <c r="B50" s="115" t="s">
        <v>467</v>
      </c>
      <c r="C50" s="26" t="s">
        <v>0</v>
      </c>
      <c r="D50" s="108"/>
      <c r="E50" s="108"/>
    </row>
    <row r="51" spans="1:5" s="864" customFormat="1" ht="14.25">
      <c r="A51" s="870">
        <v>42</v>
      </c>
      <c r="B51" s="861" t="s">
        <v>468</v>
      </c>
      <c r="C51" s="862" t="s">
        <v>0</v>
      </c>
      <c r="D51" s="863"/>
      <c r="E51" s="863"/>
    </row>
    <row r="52" spans="1:5" s="8" customFormat="1" ht="14.25">
      <c r="A52" s="127">
        <v>43</v>
      </c>
      <c r="B52" s="115" t="s">
        <v>469</v>
      </c>
      <c r="C52" s="26" t="s">
        <v>0</v>
      </c>
      <c r="D52" s="108"/>
      <c r="E52" s="108"/>
    </row>
    <row r="53" spans="1:5" s="864" customFormat="1" ht="14.25">
      <c r="A53" s="870">
        <v>44</v>
      </c>
      <c r="B53" s="868" t="s">
        <v>470</v>
      </c>
      <c r="C53" s="862" t="s">
        <v>0</v>
      </c>
      <c r="D53" s="863"/>
      <c r="E53" s="863"/>
    </row>
    <row r="54" spans="1:5" s="8" customFormat="1" ht="14.25">
      <c r="A54" s="127">
        <v>45</v>
      </c>
      <c r="B54" s="22" t="s">
        <v>1475</v>
      </c>
      <c r="C54" s="26"/>
      <c r="D54" s="108"/>
      <c r="E54" s="108"/>
    </row>
    <row r="55" spans="1:5" s="864" customFormat="1" ht="14.25">
      <c r="A55" s="870">
        <v>46</v>
      </c>
      <c r="B55" s="861" t="s">
        <v>117</v>
      </c>
      <c r="C55" s="862" t="s">
        <v>0</v>
      </c>
      <c r="D55" s="863"/>
      <c r="E55" s="863"/>
    </row>
    <row r="56" spans="1:5" s="8" customFormat="1" ht="14.25">
      <c r="A56" s="127">
        <v>47</v>
      </c>
      <c r="B56" s="22" t="s">
        <v>118</v>
      </c>
      <c r="C56" s="26" t="s">
        <v>0</v>
      </c>
      <c r="D56" s="108"/>
      <c r="E56" s="108"/>
    </row>
    <row r="57" spans="1:5" s="864" customFormat="1" ht="14.25">
      <c r="A57" s="870">
        <v>48</v>
      </c>
      <c r="B57" s="861" t="s">
        <v>119</v>
      </c>
      <c r="C57" s="862" t="s">
        <v>0</v>
      </c>
      <c r="D57" s="863"/>
      <c r="E57" s="863"/>
    </row>
    <row r="58" spans="1:5" s="8" customFormat="1" ht="14.25">
      <c r="A58" s="127">
        <v>49</v>
      </c>
      <c r="B58" s="22" t="s">
        <v>120</v>
      </c>
      <c r="C58" s="26" t="s">
        <v>0</v>
      </c>
      <c r="D58" s="108"/>
      <c r="E58" s="108"/>
    </row>
    <row r="59" spans="1:5" s="864" customFormat="1" ht="14.25">
      <c r="A59" s="870">
        <v>50</v>
      </c>
      <c r="B59" s="861" t="s">
        <v>121</v>
      </c>
      <c r="C59" s="862" t="s">
        <v>0</v>
      </c>
      <c r="D59" s="863"/>
      <c r="E59" s="863"/>
    </row>
    <row r="60" spans="1:5" s="8" customFormat="1" ht="14.25">
      <c r="A60" s="127">
        <v>51</v>
      </c>
      <c r="B60" s="22" t="s">
        <v>122</v>
      </c>
      <c r="C60" s="26" t="s">
        <v>0</v>
      </c>
      <c r="D60" s="108"/>
      <c r="E60" s="108"/>
    </row>
    <row r="61" spans="1:5" s="864" customFormat="1" ht="14.25">
      <c r="A61" s="870">
        <v>52</v>
      </c>
      <c r="B61" s="861" t="s">
        <v>123</v>
      </c>
      <c r="C61" s="862" t="s">
        <v>0</v>
      </c>
      <c r="D61" s="863"/>
      <c r="E61" s="863"/>
    </row>
    <row r="62" spans="1:5" s="8" customFormat="1" ht="14.25">
      <c r="A62" s="127">
        <v>53</v>
      </c>
      <c r="B62" s="22" t="s">
        <v>124</v>
      </c>
      <c r="C62" s="26" t="s">
        <v>0</v>
      </c>
      <c r="D62" s="108"/>
      <c r="E62" s="108"/>
    </row>
    <row r="63" spans="1:5" s="864" customFormat="1" ht="14.25">
      <c r="A63" s="870">
        <v>54</v>
      </c>
      <c r="B63" s="861" t="s">
        <v>125</v>
      </c>
      <c r="C63" s="862" t="s">
        <v>0</v>
      </c>
      <c r="D63" s="863"/>
      <c r="E63" s="863"/>
    </row>
    <row r="64" spans="1:5" s="8" customFormat="1" ht="14.25">
      <c r="A64" s="127">
        <v>55</v>
      </c>
      <c r="B64" s="22" t="s">
        <v>126</v>
      </c>
      <c r="C64" s="26" t="s">
        <v>0</v>
      </c>
      <c r="D64" s="108"/>
      <c r="E64" s="108"/>
    </row>
    <row r="65" spans="1:5" s="864" customFormat="1" ht="14.25">
      <c r="A65" s="870">
        <v>56</v>
      </c>
      <c r="B65" s="861" t="s">
        <v>127</v>
      </c>
      <c r="C65" s="862" t="s">
        <v>0</v>
      </c>
      <c r="D65" s="863"/>
      <c r="E65" s="863"/>
    </row>
    <row r="66" spans="1:5" s="8" customFormat="1" ht="14.25">
      <c r="A66" s="127">
        <v>57</v>
      </c>
      <c r="B66" s="22" t="s">
        <v>211</v>
      </c>
      <c r="C66" s="26" t="s">
        <v>0</v>
      </c>
      <c r="D66" s="108"/>
      <c r="E66" s="108"/>
    </row>
    <row r="67" spans="1:5" s="864" customFormat="1">
      <c r="A67" s="870">
        <v>58</v>
      </c>
      <c r="B67" s="867" t="s">
        <v>1020</v>
      </c>
      <c r="C67" s="866" t="s">
        <v>0</v>
      </c>
      <c r="D67" s="863"/>
      <c r="E67" s="863"/>
    </row>
    <row r="68" spans="1:5" s="8" customFormat="1">
      <c r="A68" s="127">
        <v>59</v>
      </c>
      <c r="B68" s="117" t="s">
        <v>1255</v>
      </c>
      <c r="C68" s="4" t="s">
        <v>0</v>
      </c>
      <c r="D68" s="108"/>
      <c r="E68" s="108"/>
    </row>
    <row r="69" spans="1:5" s="864" customFormat="1">
      <c r="A69" s="870">
        <v>60</v>
      </c>
      <c r="B69" s="867" t="s">
        <v>1256</v>
      </c>
      <c r="C69" s="866" t="s">
        <v>0</v>
      </c>
      <c r="D69" s="863"/>
      <c r="E69" s="863"/>
    </row>
    <row r="70" spans="1:5" s="8" customFormat="1">
      <c r="A70" s="127">
        <v>61</v>
      </c>
      <c r="B70" s="117" t="s">
        <v>1257</v>
      </c>
      <c r="C70" s="4" t="s">
        <v>0</v>
      </c>
      <c r="D70" s="108"/>
      <c r="E70" s="108"/>
    </row>
    <row r="71" spans="1:5" s="864" customFormat="1">
      <c r="A71" s="870">
        <v>62</v>
      </c>
      <c r="B71" s="867" t="s">
        <v>1258</v>
      </c>
      <c r="C71" s="866" t="s">
        <v>0</v>
      </c>
      <c r="D71" s="863"/>
      <c r="E71" s="863"/>
    </row>
    <row r="72" spans="1:5" s="8" customFormat="1">
      <c r="A72" s="127">
        <v>63</v>
      </c>
      <c r="B72" s="210" t="s">
        <v>1259</v>
      </c>
      <c r="C72" s="4" t="s">
        <v>0</v>
      </c>
      <c r="D72" s="108"/>
      <c r="E72" s="108"/>
    </row>
    <row r="73" spans="1:5" s="864" customFormat="1">
      <c r="A73" s="870">
        <v>64</v>
      </c>
      <c r="B73" s="873" t="s">
        <v>1260</v>
      </c>
      <c r="C73" s="866" t="s">
        <v>0</v>
      </c>
      <c r="D73" s="863"/>
      <c r="E73" s="863"/>
    </row>
    <row r="74" spans="1:5" s="8" customFormat="1">
      <c r="A74" s="127">
        <v>65</v>
      </c>
      <c r="B74" s="210" t="s">
        <v>1261</v>
      </c>
      <c r="C74" s="4" t="s">
        <v>0</v>
      </c>
      <c r="D74" s="108"/>
      <c r="E74" s="108"/>
    </row>
    <row r="75" spans="1:5" s="864" customFormat="1">
      <c r="A75" s="870">
        <v>66</v>
      </c>
      <c r="B75" s="873" t="s">
        <v>1262</v>
      </c>
      <c r="C75" s="866" t="s">
        <v>0</v>
      </c>
      <c r="D75" s="863"/>
      <c r="E75" s="863"/>
    </row>
    <row r="76" spans="1:5" s="8" customFormat="1">
      <c r="A76" s="127">
        <v>67</v>
      </c>
      <c r="B76" s="210" t="s">
        <v>1263</v>
      </c>
      <c r="C76" s="4" t="s">
        <v>0</v>
      </c>
      <c r="D76" s="108"/>
      <c r="E76" s="108"/>
    </row>
    <row r="77" spans="1:5" s="864" customFormat="1" ht="14.25">
      <c r="A77" s="870">
        <v>68</v>
      </c>
      <c r="B77" s="861" t="s">
        <v>134</v>
      </c>
      <c r="C77" s="862" t="s">
        <v>169</v>
      </c>
      <c r="D77" s="863"/>
      <c r="E77" s="863"/>
    </row>
    <row r="78" spans="1:5" s="8" customFormat="1" ht="14.25">
      <c r="A78" s="127">
        <v>69</v>
      </c>
      <c r="B78" s="22" t="s">
        <v>7</v>
      </c>
      <c r="C78" s="45" t="s">
        <v>0</v>
      </c>
      <c r="D78" s="108"/>
      <c r="E78" s="108"/>
    </row>
    <row r="79" spans="1:5" s="864" customFormat="1" ht="14.25">
      <c r="A79" s="870">
        <v>70</v>
      </c>
      <c r="B79" s="861" t="s">
        <v>188</v>
      </c>
      <c r="C79" s="874" t="s">
        <v>0</v>
      </c>
      <c r="D79" s="863"/>
      <c r="E79" s="863"/>
    </row>
    <row r="80" spans="1:5" s="8" customFormat="1" ht="14.25">
      <c r="A80" s="127">
        <v>71</v>
      </c>
      <c r="B80" s="22" t="s">
        <v>193</v>
      </c>
      <c r="C80" s="45" t="s">
        <v>0</v>
      </c>
      <c r="D80" s="108"/>
      <c r="E80" s="108"/>
    </row>
    <row r="81" spans="1:5" s="864" customFormat="1" ht="14.25">
      <c r="A81" s="870">
        <v>72</v>
      </c>
      <c r="B81" s="861" t="s">
        <v>324</v>
      </c>
      <c r="C81" s="862" t="s">
        <v>0</v>
      </c>
      <c r="D81" s="863"/>
      <c r="E81" s="863"/>
    </row>
    <row r="82" spans="1:5" s="8" customFormat="1" ht="14.25">
      <c r="A82" s="127">
        <v>73</v>
      </c>
      <c r="B82" s="22" t="s">
        <v>8</v>
      </c>
      <c r="C82" s="26" t="s">
        <v>0</v>
      </c>
      <c r="D82" s="108"/>
      <c r="E82" s="108"/>
    </row>
    <row r="83" spans="1:5" s="864" customFormat="1" ht="14.25">
      <c r="A83" s="870">
        <v>74</v>
      </c>
      <c r="B83" s="861" t="s">
        <v>141</v>
      </c>
      <c r="C83" s="862" t="s">
        <v>0</v>
      </c>
      <c r="D83" s="863"/>
      <c r="E83" s="863"/>
    </row>
    <row r="84" spans="1:5" s="8" customFormat="1" ht="14.25">
      <c r="A84" s="127">
        <v>75</v>
      </c>
      <c r="B84" s="22" t="s">
        <v>9</v>
      </c>
      <c r="C84" s="26" t="s">
        <v>0</v>
      </c>
      <c r="D84" s="108"/>
      <c r="E84" s="108"/>
    </row>
    <row r="85" spans="1:5" s="864" customFormat="1" ht="13.5" customHeight="1">
      <c r="A85" s="870">
        <v>76</v>
      </c>
      <c r="B85" s="861" t="s">
        <v>452</v>
      </c>
      <c r="C85" s="862" t="s">
        <v>0</v>
      </c>
      <c r="D85" s="863"/>
      <c r="E85" s="863"/>
    </row>
    <row r="86" spans="1:5" s="8" customFormat="1" ht="14.25">
      <c r="A86" s="127">
        <v>77</v>
      </c>
      <c r="B86" s="22" t="s">
        <v>10</v>
      </c>
      <c r="C86" s="26" t="s">
        <v>0</v>
      </c>
      <c r="D86" s="108"/>
      <c r="E86" s="108"/>
    </row>
    <row r="87" spans="1:5" s="8" customFormat="1" ht="14.25">
      <c r="A87" s="893"/>
      <c r="B87" s="894" t="s">
        <v>1483</v>
      </c>
      <c r="C87" s="895"/>
      <c r="D87" s="896"/>
      <c r="E87" s="896"/>
    </row>
    <row r="88" spans="1:5" s="864" customFormat="1" ht="14.25">
      <c r="A88" s="870">
        <v>78</v>
      </c>
      <c r="B88" s="861" t="s">
        <v>145</v>
      </c>
      <c r="C88" s="862" t="s">
        <v>0</v>
      </c>
      <c r="D88" s="863"/>
      <c r="E88" s="863"/>
    </row>
    <row r="89" spans="1:5" s="8" customFormat="1" ht="14.25">
      <c r="A89" s="127">
        <v>79</v>
      </c>
      <c r="B89" s="22" t="s">
        <v>144</v>
      </c>
      <c r="C89" s="26" t="s">
        <v>0</v>
      </c>
      <c r="D89" s="108"/>
      <c r="E89" s="108"/>
    </row>
    <row r="90" spans="1:5" s="864" customFormat="1">
      <c r="A90" s="870">
        <v>80</v>
      </c>
      <c r="B90" s="865" t="s">
        <v>213</v>
      </c>
      <c r="C90" s="862" t="s">
        <v>0</v>
      </c>
      <c r="D90" s="863"/>
      <c r="E90" s="863"/>
    </row>
    <row r="91" spans="1:5" s="8" customFormat="1">
      <c r="A91" s="127">
        <v>81</v>
      </c>
      <c r="B91" s="3" t="s">
        <v>214</v>
      </c>
      <c r="C91" s="26" t="s">
        <v>0</v>
      </c>
      <c r="D91" s="108"/>
      <c r="E91" s="108"/>
    </row>
    <row r="92" spans="1:5" s="864" customFormat="1">
      <c r="A92" s="870">
        <v>82</v>
      </c>
      <c r="B92" s="867" t="s">
        <v>458</v>
      </c>
      <c r="C92" s="862" t="s">
        <v>0</v>
      </c>
      <c r="D92" s="863"/>
      <c r="E92" s="863"/>
    </row>
    <row r="93" spans="1:5" s="8" customFormat="1">
      <c r="A93" s="127">
        <v>83</v>
      </c>
      <c r="B93" s="3" t="s">
        <v>140</v>
      </c>
      <c r="C93" s="26" t="s">
        <v>0</v>
      </c>
      <c r="D93" s="108"/>
      <c r="E93" s="108"/>
    </row>
    <row r="94" spans="1:5" s="864" customFormat="1">
      <c r="A94" s="870">
        <v>84</v>
      </c>
      <c r="B94" s="865" t="s">
        <v>362</v>
      </c>
      <c r="C94" s="862" t="s">
        <v>0</v>
      </c>
      <c r="D94" s="863"/>
      <c r="E94" s="863"/>
    </row>
    <row r="95" spans="1:5" s="8" customFormat="1" ht="14.25">
      <c r="A95" s="127">
        <v>85</v>
      </c>
      <c r="B95" s="22" t="s">
        <v>363</v>
      </c>
      <c r="C95" s="26" t="s">
        <v>0</v>
      </c>
      <c r="D95" s="108"/>
      <c r="E95" s="108"/>
    </row>
    <row r="96" spans="1:5" s="8" customFormat="1">
      <c r="A96" s="870">
        <v>84</v>
      </c>
      <c r="B96" s="865" t="s">
        <v>1734</v>
      </c>
      <c r="C96" s="862" t="s">
        <v>0</v>
      </c>
      <c r="D96" s="863"/>
      <c r="E96" s="863"/>
    </row>
    <row r="97" spans="1:5" s="8" customFormat="1" ht="14.25">
      <c r="A97" s="127"/>
      <c r="B97" s="22" t="s">
        <v>1537</v>
      </c>
      <c r="C97" s="26" t="s">
        <v>0</v>
      </c>
      <c r="D97" s="108"/>
      <c r="E97" s="108"/>
    </row>
    <row r="98" spans="1:5" s="864" customFormat="1" ht="14.25">
      <c r="A98" s="870">
        <v>86</v>
      </c>
      <c r="B98" s="861" t="s">
        <v>63</v>
      </c>
      <c r="C98" s="862" t="s">
        <v>0</v>
      </c>
      <c r="D98" s="863"/>
      <c r="E98" s="863"/>
    </row>
    <row r="99" spans="1:5" s="8" customFormat="1" ht="14.25">
      <c r="A99" s="127">
        <v>87</v>
      </c>
      <c r="B99" s="22" t="s">
        <v>11</v>
      </c>
      <c r="C99" s="26" t="s">
        <v>0</v>
      </c>
      <c r="D99" s="108"/>
      <c r="E99" s="108"/>
    </row>
    <row r="100" spans="1:5" s="864" customFormat="1" ht="14.25">
      <c r="A100" s="870">
        <v>88</v>
      </c>
      <c r="B100" s="861" t="s">
        <v>154</v>
      </c>
      <c r="C100" s="862" t="s">
        <v>0</v>
      </c>
      <c r="D100" s="863"/>
      <c r="E100" s="863"/>
    </row>
    <row r="101" spans="1:5" s="8" customFormat="1" ht="14.25">
      <c r="A101" s="127">
        <v>89</v>
      </c>
      <c r="B101" s="22" t="s">
        <v>147</v>
      </c>
      <c r="C101" s="26" t="s">
        <v>0</v>
      </c>
      <c r="D101" s="108"/>
      <c r="E101" s="108"/>
    </row>
    <row r="102" spans="1:5" s="8" customFormat="1" ht="14.25">
      <c r="A102" s="908"/>
      <c r="B102" s="909" t="s">
        <v>1509</v>
      </c>
      <c r="C102" s="910" t="s">
        <v>0</v>
      </c>
      <c r="D102" s="911"/>
      <c r="E102" s="911"/>
    </row>
    <row r="103" spans="1:5" s="864" customFormat="1" ht="14.25">
      <c r="A103" s="870">
        <v>90</v>
      </c>
      <c r="B103" s="868" t="s">
        <v>410</v>
      </c>
      <c r="C103" s="862" t="s">
        <v>0</v>
      </c>
      <c r="D103" s="863"/>
      <c r="E103" s="863"/>
    </row>
    <row r="104" spans="1:5" s="8" customFormat="1" ht="14.25">
      <c r="A104" s="127">
        <v>91</v>
      </c>
      <c r="B104" s="22" t="s">
        <v>44</v>
      </c>
      <c r="C104" s="26" t="s">
        <v>0</v>
      </c>
      <c r="D104" s="108"/>
      <c r="E104" s="108"/>
    </row>
    <row r="105" spans="1:5" s="864" customFormat="1" ht="14.25">
      <c r="A105" s="870">
        <v>92</v>
      </c>
      <c r="B105" s="861" t="s">
        <v>45</v>
      </c>
      <c r="C105" s="862" t="s">
        <v>0</v>
      </c>
      <c r="D105" s="863"/>
      <c r="E105" s="863"/>
    </row>
    <row r="106" spans="1:5" s="8" customFormat="1" ht="14.25">
      <c r="A106" s="127">
        <v>93</v>
      </c>
      <c r="B106" s="22" t="s">
        <v>46</v>
      </c>
      <c r="C106" s="26" t="s">
        <v>0</v>
      </c>
      <c r="D106" s="108"/>
      <c r="E106" s="108"/>
    </row>
    <row r="107" spans="1:5" s="864" customFormat="1" ht="14.25">
      <c r="A107" s="870">
        <v>94</v>
      </c>
      <c r="B107" s="861" t="s">
        <v>47</v>
      </c>
      <c r="C107" s="862" t="s">
        <v>0</v>
      </c>
      <c r="D107" s="863"/>
      <c r="E107" s="863"/>
    </row>
    <row r="108" spans="1:5" s="8" customFormat="1" ht="14.25">
      <c r="A108" s="127">
        <v>95</v>
      </c>
      <c r="B108" s="22" t="s">
        <v>489</v>
      </c>
      <c r="C108" s="26" t="s">
        <v>0</v>
      </c>
      <c r="D108" s="108"/>
      <c r="E108" s="108"/>
    </row>
    <row r="109" spans="1:5" s="864" customFormat="1" ht="14.25">
      <c r="A109" s="870">
        <v>96</v>
      </c>
      <c r="B109" s="861" t="s">
        <v>48</v>
      </c>
      <c r="C109" s="862" t="s">
        <v>0</v>
      </c>
      <c r="D109" s="863"/>
      <c r="E109" s="863"/>
    </row>
    <row r="110" spans="1:5" s="8" customFormat="1" ht="14.25">
      <c r="A110" s="127">
        <v>97</v>
      </c>
      <c r="B110" s="22" t="s">
        <v>49</v>
      </c>
      <c r="C110" s="26" t="s">
        <v>0</v>
      </c>
      <c r="D110" s="108"/>
      <c r="E110" s="108"/>
    </row>
    <row r="111" spans="1:5" s="864" customFormat="1" ht="14.25">
      <c r="A111" s="870">
        <v>98</v>
      </c>
      <c r="B111" s="861" t="s">
        <v>488</v>
      </c>
      <c r="C111" s="862" t="s">
        <v>0</v>
      </c>
      <c r="D111" s="863"/>
      <c r="E111" s="863"/>
    </row>
    <row r="112" spans="1:5" s="8" customFormat="1" ht="14.25">
      <c r="A112" s="127">
        <v>99</v>
      </c>
      <c r="B112" s="22" t="s">
        <v>250</v>
      </c>
      <c r="C112" s="26" t="s">
        <v>0</v>
      </c>
      <c r="D112" s="108"/>
      <c r="E112" s="108"/>
    </row>
    <row r="113" spans="1:5" s="864" customFormat="1" ht="14.25">
      <c r="A113" s="870">
        <v>100</v>
      </c>
      <c r="B113" s="861" t="s">
        <v>50</v>
      </c>
      <c r="C113" s="862" t="s">
        <v>0</v>
      </c>
      <c r="D113" s="863"/>
      <c r="E113" s="863"/>
    </row>
    <row r="114" spans="1:5" s="8" customFormat="1" ht="14.25">
      <c r="A114" s="127">
        <v>101</v>
      </c>
      <c r="B114" s="22" t="s">
        <v>249</v>
      </c>
      <c r="C114" s="26" t="s">
        <v>0</v>
      </c>
      <c r="D114" s="108"/>
      <c r="E114" s="108"/>
    </row>
    <row r="115" spans="1:5" s="864" customFormat="1" ht="14.25">
      <c r="A115" s="870">
        <v>102</v>
      </c>
      <c r="B115" s="861" t="s">
        <v>245</v>
      </c>
      <c r="C115" s="862" t="s">
        <v>0</v>
      </c>
      <c r="D115" s="863"/>
      <c r="E115" s="863"/>
    </row>
    <row r="116" spans="1:5" s="8" customFormat="1" ht="14.25">
      <c r="A116" s="127">
        <v>103</v>
      </c>
      <c r="B116" s="22" t="s">
        <v>246</v>
      </c>
      <c r="C116" s="26" t="s">
        <v>0</v>
      </c>
      <c r="D116" s="108"/>
      <c r="E116" s="108"/>
    </row>
    <row r="117" spans="1:5" s="864" customFormat="1" ht="14.25">
      <c r="A117" s="870">
        <v>104</v>
      </c>
      <c r="B117" s="861" t="s">
        <v>251</v>
      </c>
      <c r="C117" s="862" t="s">
        <v>0</v>
      </c>
      <c r="D117" s="863"/>
      <c r="E117" s="863"/>
    </row>
    <row r="118" spans="1:5" s="8" customFormat="1" ht="14.25">
      <c r="A118" s="127">
        <v>105</v>
      </c>
      <c r="B118" s="22" t="s">
        <v>247</v>
      </c>
      <c r="C118" s="26" t="s">
        <v>0</v>
      </c>
      <c r="D118" s="108"/>
      <c r="E118" s="108"/>
    </row>
    <row r="119" spans="1:5" s="864" customFormat="1" ht="14.25">
      <c r="A119" s="870">
        <v>106</v>
      </c>
      <c r="B119" s="861" t="s">
        <v>1742</v>
      </c>
      <c r="C119" s="862" t="s">
        <v>0</v>
      </c>
      <c r="D119" s="863"/>
      <c r="E119" s="863"/>
    </row>
    <row r="120" spans="1:5" s="8" customFormat="1" ht="14.25">
      <c r="A120" s="127">
        <v>107</v>
      </c>
      <c r="B120" s="22" t="s">
        <v>248</v>
      </c>
      <c r="C120" s="26" t="s">
        <v>0</v>
      </c>
      <c r="D120" s="108"/>
      <c r="E120" s="108"/>
    </row>
    <row r="121" spans="1:5" s="864" customFormat="1" ht="14.25">
      <c r="A121" s="870">
        <v>108</v>
      </c>
      <c r="B121" s="861" t="s">
        <v>411</v>
      </c>
      <c r="C121" s="862" t="s">
        <v>0</v>
      </c>
      <c r="D121" s="863"/>
      <c r="E121" s="863"/>
    </row>
    <row r="122" spans="1:5" s="8" customFormat="1" ht="14.25">
      <c r="A122" s="127">
        <v>109</v>
      </c>
      <c r="B122" s="22" t="s">
        <v>203</v>
      </c>
      <c r="C122" s="45" t="s">
        <v>0</v>
      </c>
      <c r="D122" s="108"/>
      <c r="E122" s="108"/>
    </row>
    <row r="123" spans="1:5" s="864" customFormat="1" ht="14.25">
      <c r="A123" s="870">
        <v>110</v>
      </c>
      <c r="B123" s="861" t="s">
        <v>204</v>
      </c>
      <c r="C123" s="874" t="s">
        <v>0</v>
      </c>
      <c r="D123" s="863"/>
      <c r="E123" s="863"/>
    </row>
    <row r="124" spans="1:5" s="8" customFormat="1" ht="14.25">
      <c r="A124" s="127">
        <v>111</v>
      </c>
      <c r="B124" s="22" t="s">
        <v>205</v>
      </c>
      <c r="C124" s="45" t="s">
        <v>0</v>
      </c>
      <c r="D124" s="108"/>
      <c r="E124" s="108"/>
    </row>
    <row r="125" spans="1:5" s="864" customFormat="1" ht="14.25">
      <c r="A125" s="870">
        <v>112</v>
      </c>
      <c r="B125" s="861" t="s">
        <v>323</v>
      </c>
      <c r="C125" s="862" t="s">
        <v>0</v>
      </c>
      <c r="D125" s="863"/>
      <c r="E125" s="863"/>
    </row>
    <row r="126" spans="1:5" s="8" customFormat="1" ht="14.25">
      <c r="A126" s="127">
        <v>113</v>
      </c>
      <c r="B126" s="22" t="s">
        <v>43</v>
      </c>
      <c r="C126" s="26" t="s">
        <v>0</v>
      </c>
      <c r="D126" s="108"/>
      <c r="E126" s="108"/>
    </row>
    <row r="127" spans="1:5" s="864" customFormat="1" ht="14.25">
      <c r="A127" s="870">
        <v>114</v>
      </c>
      <c r="B127" s="861" t="s">
        <v>512</v>
      </c>
      <c r="C127" s="862" t="s">
        <v>0</v>
      </c>
      <c r="D127" s="863"/>
      <c r="E127" s="863"/>
    </row>
    <row r="128" spans="1:5" s="8" customFormat="1" ht="14.25">
      <c r="A128" s="127">
        <v>115</v>
      </c>
      <c r="B128" s="22" t="s">
        <v>1473</v>
      </c>
      <c r="C128" s="26" t="s">
        <v>0</v>
      </c>
      <c r="D128" s="108"/>
      <c r="E128" s="108"/>
    </row>
    <row r="129" spans="1:5" s="864" customFormat="1" ht="14.25">
      <c r="A129" s="870">
        <v>116</v>
      </c>
      <c r="B129" s="861" t="s">
        <v>51</v>
      </c>
      <c r="C129" s="862" t="s">
        <v>4</v>
      </c>
      <c r="D129" s="863"/>
      <c r="E129" s="863"/>
    </row>
    <row r="130" spans="1:5" s="8" customFormat="1" ht="14.25">
      <c r="A130" s="127">
        <v>117</v>
      </c>
      <c r="B130" s="22" t="s">
        <v>477</v>
      </c>
      <c r="C130" s="26" t="s">
        <v>168</v>
      </c>
      <c r="D130" s="108"/>
      <c r="E130" s="108"/>
    </row>
    <row r="131" spans="1:5" s="8" customFormat="1" ht="14.25">
      <c r="A131" s="908"/>
      <c r="B131" s="909" t="s">
        <v>1518</v>
      </c>
      <c r="C131" s="910" t="s">
        <v>168</v>
      </c>
      <c r="D131" s="911"/>
      <c r="E131" s="911"/>
    </row>
    <row r="132" spans="1:5" s="864" customFormat="1" ht="14.25">
      <c r="A132" s="870">
        <v>118</v>
      </c>
      <c r="B132" s="861" t="s">
        <v>13</v>
      </c>
      <c r="C132" s="862" t="s">
        <v>0</v>
      </c>
      <c r="D132" s="863"/>
      <c r="E132" s="863"/>
    </row>
    <row r="133" spans="1:5" s="8" customFormat="1" ht="14.25">
      <c r="A133" s="127">
        <v>119</v>
      </c>
      <c r="B133" s="22" t="s">
        <v>174</v>
      </c>
      <c r="C133" s="26" t="s">
        <v>0</v>
      </c>
      <c r="D133" s="108"/>
      <c r="E133" s="108"/>
    </row>
    <row r="134" spans="1:5" s="864" customFormat="1" ht="14.25">
      <c r="A134" s="870">
        <v>120</v>
      </c>
      <c r="B134" s="861" t="s">
        <v>15</v>
      </c>
      <c r="C134" s="862" t="s">
        <v>0</v>
      </c>
      <c r="D134" s="863"/>
      <c r="E134" s="863"/>
    </row>
    <row r="135" spans="1:5" s="8" customFormat="1" ht="14.25">
      <c r="A135" s="127">
        <v>121</v>
      </c>
      <c r="B135" s="22" t="s">
        <v>408</v>
      </c>
      <c r="C135" s="26" t="s">
        <v>0</v>
      </c>
      <c r="D135" s="108"/>
      <c r="E135" s="108"/>
    </row>
    <row r="136" spans="1:5" s="864" customFormat="1" ht="14.25">
      <c r="A136" s="870">
        <v>122</v>
      </c>
      <c r="B136" s="861" t="s">
        <v>165</v>
      </c>
      <c r="C136" s="862" t="s">
        <v>0</v>
      </c>
      <c r="D136" s="863"/>
      <c r="E136" s="863"/>
    </row>
    <row r="137" spans="1:5" s="8" customFormat="1" ht="14.25">
      <c r="A137" s="127">
        <v>123</v>
      </c>
      <c r="B137" s="22" t="s">
        <v>166</v>
      </c>
      <c r="C137" s="26" t="s">
        <v>0</v>
      </c>
      <c r="D137" s="108"/>
      <c r="E137" s="108"/>
    </row>
    <row r="138" spans="1:5" s="864" customFormat="1" ht="14.25">
      <c r="A138" s="870">
        <v>124</v>
      </c>
      <c r="B138" s="861" t="s">
        <v>167</v>
      </c>
      <c r="C138" s="862" t="s">
        <v>0</v>
      </c>
      <c r="D138" s="863"/>
      <c r="E138" s="863"/>
    </row>
    <row r="139" spans="1:5" s="8" customFormat="1" ht="14.25">
      <c r="A139" s="127">
        <v>125</v>
      </c>
      <c r="B139" s="22" t="s">
        <v>210</v>
      </c>
      <c r="C139" s="26" t="s">
        <v>0</v>
      </c>
      <c r="D139" s="108"/>
      <c r="E139" s="108"/>
    </row>
    <row r="140" spans="1:5" s="864" customFormat="1" ht="14.25">
      <c r="A140" s="870">
        <v>126</v>
      </c>
      <c r="B140" s="861" t="s">
        <v>67</v>
      </c>
      <c r="C140" s="862" t="s">
        <v>0</v>
      </c>
      <c r="D140" s="863"/>
      <c r="E140" s="863"/>
    </row>
    <row r="141" spans="1:5" s="8" customFormat="1" ht="14.25">
      <c r="A141" s="127">
        <v>127</v>
      </c>
      <c r="B141" s="22" t="s">
        <v>176</v>
      </c>
      <c r="C141" s="26" t="s">
        <v>0</v>
      </c>
      <c r="D141" s="108"/>
      <c r="E141" s="108"/>
    </row>
    <row r="142" spans="1:5" s="864" customFormat="1" ht="14.25">
      <c r="A142" s="870">
        <v>128</v>
      </c>
      <c r="B142" s="861" t="s">
        <v>68</v>
      </c>
      <c r="C142" s="862" t="s">
        <v>0</v>
      </c>
      <c r="D142" s="863"/>
      <c r="E142" s="863"/>
    </row>
    <row r="143" spans="1:5" s="8" customFormat="1" ht="14.25">
      <c r="A143" s="127">
        <v>129</v>
      </c>
      <c r="B143" s="22" t="s">
        <v>16</v>
      </c>
      <c r="C143" s="26" t="s">
        <v>0</v>
      </c>
      <c r="D143" s="108"/>
      <c r="E143" s="108"/>
    </row>
    <row r="144" spans="1:5" s="864" customFormat="1" ht="14.25">
      <c r="A144" s="870">
        <v>130</v>
      </c>
      <c r="B144" s="861" t="s">
        <v>17</v>
      </c>
      <c r="C144" s="862" t="s">
        <v>0</v>
      </c>
      <c r="D144" s="863"/>
      <c r="E144" s="863"/>
    </row>
    <row r="145" spans="1:5" s="8" customFormat="1" ht="14.25">
      <c r="A145" s="127">
        <v>131</v>
      </c>
      <c r="B145" s="22" t="s">
        <v>199</v>
      </c>
      <c r="C145" s="45" t="s">
        <v>0</v>
      </c>
      <c r="D145" s="108"/>
      <c r="E145" s="108"/>
    </row>
    <row r="146" spans="1:5" s="864" customFormat="1" ht="14.25">
      <c r="A146" s="870">
        <v>132</v>
      </c>
      <c r="B146" s="861" t="s">
        <v>197</v>
      </c>
      <c r="C146" s="874" t="s">
        <v>0</v>
      </c>
      <c r="D146" s="863"/>
      <c r="E146" s="863"/>
    </row>
    <row r="147" spans="1:5" s="8" customFormat="1" ht="14.25">
      <c r="A147" s="127">
        <v>133</v>
      </c>
      <c r="B147" s="22" t="s">
        <v>198</v>
      </c>
      <c r="C147" s="45" t="s">
        <v>0</v>
      </c>
      <c r="D147" s="108"/>
      <c r="E147" s="108"/>
    </row>
    <row r="148" spans="1:5" s="864" customFormat="1" ht="14.25">
      <c r="A148" s="870">
        <v>134</v>
      </c>
      <c r="B148" s="861" t="s">
        <v>321</v>
      </c>
      <c r="C148" s="874" t="s">
        <v>0</v>
      </c>
      <c r="D148" s="863"/>
      <c r="E148" s="863"/>
    </row>
    <row r="149" spans="1:5" s="8" customFormat="1" ht="14.25">
      <c r="A149" s="127">
        <v>135</v>
      </c>
      <c r="B149" s="22" t="s">
        <v>53</v>
      </c>
      <c r="C149" s="45" t="s">
        <v>0</v>
      </c>
      <c r="D149" s="108"/>
      <c r="E149" s="108"/>
    </row>
    <row r="150" spans="1:5" s="864" customFormat="1" ht="14.25">
      <c r="A150" s="870">
        <v>136</v>
      </c>
      <c r="B150" s="861" t="s">
        <v>202</v>
      </c>
      <c r="C150" s="874" t="s">
        <v>0</v>
      </c>
      <c r="D150" s="863"/>
      <c r="E150" s="863"/>
    </row>
    <row r="151" spans="1:5" s="8" customFormat="1" ht="14.25">
      <c r="A151" s="127">
        <v>137</v>
      </c>
      <c r="B151" s="22" t="s">
        <v>200</v>
      </c>
      <c r="C151" s="45" t="s">
        <v>0</v>
      </c>
      <c r="D151" s="108"/>
      <c r="E151" s="108"/>
    </row>
    <row r="152" spans="1:5" s="864" customFormat="1" ht="14.25">
      <c r="A152" s="870">
        <v>138</v>
      </c>
      <c r="B152" s="861" t="s">
        <v>201</v>
      </c>
      <c r="C152" s="874" t="s">
        <v>0</v>
      </c>
      <c r="D152" s="863"/>
      <c r="E152" s="863"/>
    </row>
    <row r="153" spans="1:5" s="8" customFormat="1" ht="14.25">
      <c r="A153" s="127">
        <v>139</v>
      </c>
      <c r="B153" s="22" t="s">
        <v>322</v>
      </c>
      <c r="C153" s="45" t="s">
        <v>0</v>
      </c>
      <c r="D153" s="108"/>
      <c r="E153" s="108"/>
    </row>
    <row r="154" spans="1:5" s="864" customFormat="1" ht="14.25">
      <c r="A154" s="870">
        <v>140</v>
      </c>
      <c r="B154" s="861" t="s">
        <v>54</v>
      </c>
      <c r="C154" s="874" t="s">
        <v>0</v>
      </c>
      <c r="D154" s="863"/>
      <c r="E154" s="863"/>
    </row>
    <row r="155" spans="1:5" s="8" customFormat="1" ht="14.25">
      <c r="A155" s="127">
        <v>141</v>
      </c>
      <c r="B155" s="22" t="s">
        <v>18</v>
      </c>
      <c r="C155" s="45" t="s">
        <v>0</v>
      </c>
      <c r="D155" s="108"/>
      <c r="E155" s="108"/>
    </row>
    <row r="156" spans="1:5" s="864" customFormat="1" ht="14.25">
      <c r="A156" s="870">
        <v>142</v>
      </c>
      <c r="B156" s="861" t="s">
        <v>226</v>
      </c>
      <c r="C156" s="874" t="s">
        <v>0</v>
      </c>
      <c r="D156" s="863"/>
      <c r="E156" s="863"/>
    </row>
    <row r="157" spans="1:5" s="8" customFormat="1" ht="14.25">
      <c r="A157" s="127">
        <v>143</v>
      </c>
      <c r="B157" s="22" t="s">
        <v>150</v>
      </c>
      <c r="C157" s="45" t="s">
        <v>0</v>
      </c>
      <c r="D157" s="108"/>
      <c r="E157" s="108"/>
    </row>
    <row r="158" spans="1:5" s="864" customFormat="1" ht="14.25">
      <c r="A158" s="870">
        <v>144</v>
      </c>
      <c r="B158" s="861" t="s">
        <v>19</v>
      </c>
      <c r="C158" s="874" t="s">
        <v>0</v>
      </c>
      <c r="D158" s="863"/>
      <c r="E158" s="863"/>
    </row>
    <row r="159" spans="1:5" s="8" customFormat="1">
      <c r="A159" s="127">
        <v>145</v>
      </c>
      <c r="B159" s="3" t="s">
        <v>1204</v>
      </c>
      <c r="C159" s="45" t="s">
        <v>0</v>
      </c>
      <c r="D159" s="108"/>
      <c r="E159" s="108"/>
    </row>
    <row r="160" spans="1:5" s="864" customFormat="1">
      <c r="A160" s="870">
        <v>146</v>
      </c>
      <c r="B160" s="865" t="s">
        <v>1205</v>
      </c>
      <c r="C160" s="874" t="s">
        <v>0</v>
      </c>
      <c r="D160" s="863"/>
      <c r="E160" s="863"/>
    </row>
    <row r="161" spans="1:7" s="8" customFormat="1">
      <c r="A161" s="127">
        <v>147</v>
      </c>
      <c r="B161" s="3" t="s">
        <v>1204</v>
      </c>
      <c r="C161" s="45"/>
      <c r="D161" s="888"/>
      <c r="E161" s="888"/>
    </row>
    <row r="162" spans="1:7" s="864" customFormat="1">
      <c r="A162" s="870">
        <v>148</v>
      </c>
      <c r="B162" s="865" t="s">
        <v>1207</v>
      </c>
      <c r="C162" s="887"/>
      <c r="D162" s="863"/>
      <c r="E162" s="863"/>
    </row>
    <row r="163" spans="1:7" s="8" customFormat="1">
      <c r="A163" s="127">
        <v>149</v>
      </c>
      <c r="B163" s="3" t="s">
        <v>1201</v>
      </c>
      <c r="C163" s="26" t="s">
        <v>0</v>
      </c>
      <c r="D163" s="108"/>
      <c r="E163" s="877"/>
      <c r="F163" s="1947"/>
      <c r="G163" s="1947"/>
    </row>
    <row r="164" spans="1:7" s="864" customFormat="1">
      <c r="A164" s="870">
        <v>150</v>
      </c>
      <c r="B164" s="865" t="s">
        <v>1202</v>
      </c>
      <c r="C164" s="862" t="s">
        <v>0</v>
      </c>
      <c r="D164" s="863"/>
      <c r="E164" s="878"/>
      <c r="F164" s="1947"/>
      <c r="G164" s="1947"/>
    </row>
    <row r="165" spans="1:7" s="8" customFormat="1">
      <c r="A165" s="127">
        <v>151</v>
      </c>
      <c r="B165" s="3" t="s">
        <v>344</v>
      </c>
      <c r="C165" s="26" t="s">
        <v>0</v>
      </c>
      <c r="D165" s="108"/>
      <c r="E165" s="108"/>
    </row>
    <row r="166" spans="1:7" s="864" customFormat="1">
      <c r="A166" s="870">
        <v>152</v>
      </c>
      <c r="B166" s="865" t="s">
        <v>345</v>
      </c>
      <c r="C166" s="874" t="s">
        <v>0</v>
      </c>
      <c r="D166" s="872"/>
      <c r="E166" s="872"/>
    </row>
    <row r="167" spans="1:7" s="8" customFormat="1">
      <c r="A167" s="127">
        <v>153</v>
      </c>
      <c r="B167" s="3" t="s">
        <v>346</v>
      </c>
      <c r="C167" s="45" t="s">
        <v>0</v>
      </c>
      <c r="D167" s="108"/>
      <c r="E167" s="108"/>
    </row>
    <row r="168" spans="1:7" s="864" customFormat="1">
      <c r="A168" s="870">
        <v>154</v>
      </c>
      <c r="B168" s="865" t="s">
        <v>347</v>
      </c>
      <c r="C168" s="874" t="s">
        <v>0</v>
      </c>
      <c r="D168" s="863"/>
      <c r="E168" s="863"/>
    </row>
    <row r="169" spans="1:7" s="8" customFormat="1">
      <c r="A169" s="127">
        <v>155</v>
      </c>
      <c r="B169" s="3" t="s">
        <v>348</v>
      </c>
      <c r="C169" s="45" t="s">
        <v>0</v>
      </c>
      <c r="D169" s="108"/>
      <c r="E169" s="108"/>
    </row>
    <row r="170" spans="1:7" s="864" customFormat="1">
      <c r="A170" s="870">
        <v>156</v>
      </c>
      <c r="B170" s="865" t="s">
        <v>349</v>
      </c>
      <c r="C170" s="874" t="s">
        <v>0</v>
      </c>
      <c r="D170" s="863"/>
      <c r="E170" s="863"/>
    </row>
    <row r="171" spans="1:7" s="8" customFormat="1" ht="14.25">
      <c r="A171" s="127">
        <v>157</v>
      </c>
      <c r="B171" s="22" t="s">
        <v>20</v>
      </c>
      <c r="C171" s="45" t="s">
        <v>0</v>
      </c>
      <c r="D171" s="108"/>
      <c r="E171" s="108"/>
    </row>
    <row r="172" spans="1:7" s="864" customFormat="1" ht="14.25">
      <c r="A172" s="870">
        <v>158</v>
      </c>
      <c r="B172" s="875" t="s">
        <v>1497</v>
      </c>
      <c r="C172" s="874" t="s">
        <v>0</v>
      </c>
      <c r="D172" s="863"/>
      <c r="E172" s="863"/>
    </row>
    <row r="173" spans="1:7" s="8" customFormat="1" ht="14.25">
      <c r="A173" s="127">
        <v>159</v>
      </c>
      <c r="B173" s="23" t="s">
        <v>1498</v>
      </c>
      <c r="C173" s="45" t="s">
        <v>0</v>
      </c>
      <c r="D173" s="108"/>
      <c r="E173" s="108"/>
    </row>
    <row r="174" spans="1:7" s="864" customFormat="1" ht="14.25">
      <c r="A174" s="870">
        <v>160</v>
      </c>
      <c r="B174" s="875" t="s">
        <v>1499</v>
      </c>
      <c r="C174" s="874" t="s">
        <v>0</v>
      </c>
      <c r="D174" s="863"/>
      <c r="E174" s="863"/>
    </row>
    <row r="175" spans="1:7" s="8" customFormat="1" ht="14.25">
      <c r="A175" s="127">
        <v>161</v>
      </c>
      <c r="B175" s="23" t="s">
        <v>1502</v>
      </c>
      <c r="C175" s="45" t="s">
        <v>0</v>
      </c>
      <c r="D175" s="108"/>
      <c r="E175" s="108"/>
    </row>
    <row r="176" spans="1:7" s="8" customFormat="1" ht="14.25">
      <c r="A176" s="870"/>
      <c r="B176" s="875" t="s">
        <v>1503</v>
      </c>
      <c r="C176" s="874" t="s">
        <v>0</v>
      </c>
      <c r="D176" s="863"/>
      <c r="E176" s="863"/>
    </row>
    <row r="177" spans="1:5" s="8" customFormat="1" ht="14.25">
      <c r="A177" s="127"/>
      <c r="B177" s="23" t="s">
        <v>1504</v>
      </c>
      <c r="C177" s="45" t="s">
        <v>0</v>
      </c>
      <c r="D177" s="108"/>
      <c r="E177" s="108"/>
    </row>
    <row r="178" spans="1:5" s="8" customFormat="1" ht="14.25">
      <c r="A178" s="870"/>
      <c r="B178" s="875" t="s">
        <v>1505</v>
      </c>
      <c r="C178" s="874" t="s">
        <v>0</v>
      </c>
      <c r="D178" s="863"/>
      <c r="E178" s="863"/>
    </row>
    <row r="179" spans="1:5" s="8" customFormat="1" ht="14.25">
      <c r="A179" s="127"/>
      <c r="B179" s="23" t="s">
        <v>1506</v>
      </c>
      <c r="C179" s="45" t="s">
        <v>0</v>
      </c>
      <c r="D179" s="108"/>
      <c r="E179" s="108"/>
    </row>
    <row r="180" spans="1:5" s="8" customFormat="1" ht="14.25">
      <c r="A180" s="127"/>
      <c r="B180" s="23" t="s">
        <v>1560</v>
      </c>
      <c r="C180" s="45" t="s">
        <v>0</v>
      </c>
      <c r="D180" s="108"/>
      <c r="E180" s="108"/>
    </row>
    <row r="181" spans="1:5" s="864" customFormat="1" ht="14.25">
      <c r="A181" s="870">
        <v>162</v>
      </c>
      <c r="B181" s="875" t="s">
        <v>305</v>
      </c>
      <c r="C181" s="874" t="s">
        <v>0</v>
      </c>
      <c r="D181" s="863"/>
      <c r="E181" s="863"/>
    </row>
    <row r="182" spans="1:5" s="8" customFormat="1" ht="14.25">
      <c r="A182" s="127">
        <v>163</v>
      </c>
      <c r="B182" s="23" t="s">
        <v>306</v>
      </c>
      <c r="C182" s="45" t="s">
        <v>0</v>
      </c>
      <c r="D182" s="108"/>
      <c r="E182" s="108"/>
    </row>
    <row r="183" spans="1:5" s="864" customFormat="1" ht="14.25">
      <c r="A183" s="870">
        <v>164</v>
      </c>
      <c r="B183" s="875" t="s">
        <v>399</v>
      </c>
      <c r="C183" s="874" t="s">
        <v>0</v>
      </c>
      <c r="D183" s="863"/>
      <c r="E183" s="863"/>
    </row>
    <row r="184" spans="1:5" s="864" customFormat="1" ht="14.25">
      <c r="A184" s="127">
        <v>165</v>
      </c>
      <c r="B184" s="22" t="s">
        <v>1511</v>
      </c>
      <c r="C184" s="45" t="s">
        <v>0</v>
      </c>
      <c r="D184" s="108"/>
      <c r="E184" s="108"/>
    </row>
    <row r="185" spans="1:5" s="864" customFormat="1" ht="14.25">
      <c r="A185" s="870">
        <v>166</v>
      </c>
      <c r="B185" s="861" t="s">
        <v>952</v>
      </c>
      <c r="C185" s="874" t="s">
        <v>0</v>
      </c>
      <c r="D185" s="863"/>
      <c r="E185" s="863"/>
    </row>
    <row r="186" spans="1:5" s="8" customFormat="1" ht="14.25">
      <c r="A186" s="127">
        <v>165</v>
      </c>
      <c r="B186" s="22" t="s">
        <v>151</v>
      </c>
      <c r="C186" s="45" t="s">
        <v>0</v>
      </c>
      <c r="D186" s="108"/>
      <c r="E186" s="108"/>
    </row>
    <row r="187" spans="1:5" s="864" customFormat="1" ht="14.25">
      <c r="A187" s="870">
        <v>166</v>
      </c>
      <c r="B187" s="861" t="s">
        <v>219</v>
      </c>
      <c r="C187" s="874" t="s">
        <v>0</v>
      </c>
      <c r="D187" s="863"/>
      <c r="E187" s="863"/>
    </row>
    <row r="188" spans="1:5" s="8" customFormat="1" ht="14.25">
      <c r="A188" s="127">
        <v>167</v>
      </c>
      <c r="B188" s="22" t="s">
        <v>509</v>
      </c>
      <c r="C188" s="45" t="s">
        <v>0</v>
      </c>
      <c r="D188" s="108"/>
      <c r="E188" s="108"/>
    </row>
    <row r="189" spans="1:5" s="864" customFormat="1" ht="14.25">
      <c r="A189" s="870">
        <v>168</v>
      </c>
      <c r="B189" s="861" t="s">
        <v>25</v>
      </c>
      <c r="C189" s="874" t="s">
        <v>0</v>
      </c>
      <c r="D189" s="863"/>
      <c r="E189" s="863"/>
    </row>
    <row r="190" spans="1:5" s="8" customFormat="1" ht="14.25">
      <c r="A190" s="127">
        <v>169</v>
      </c>
      <c r="B190" s="22" t="s">
        <v>26</v>
      </c>
      <c r="C190" s="45" t="s">
        <v>0</v>
      </c>
      <c r="D190" s="108"/>
      <c r="E190" s="108"/>
    </row>
    <row r="191" spans="1:5" s="864" customFormat="1" ht="14.25">
      <c r="A191" s="870">
        <v>170</v>
      </c>
      <c r="B191" s="861" t="s">
        <v>27</v>
      </c>
      <c r="C191" s="874" t="s">
        <v>0</v>
      </c>
      <c r="D191" s="863"/>
      <c r="E191" s="863"/>
    </row>
    <row r="192" spans="1:5" s="8" customFormat="1" ht="14.25">
      <c r="A192" s="127">
        <v>171</v>
      </c>
      <c r="B192" s="22" t="s">
        <v>152</v>
      </c>
      <c r="C192" s="45" t="s">
        <v>0</v>
      </c>
      <c r="D192" s="108"/>
      <c r="E192" s="108"/>
    </row>
    <row r="193" spans="1:5" s="864" customFormat="1" ht="14.25">
      <c r="A193" s="870">
        <v>172</v>
      </c>
      <c r="B193" s="861" t="s">
        <v>1019</v>
      </c>
      <c r="C193" s="874" t="s">
        <v>0</v>
      </c>
      <c r="D193" s="863"/>
      <c r="E193" s="863"/>
    </row>
    <row r="194" spans="1:5" s="8" customFormat="1" ht="14.25">
      <c r="A194" s="127">
        <v>173</v>
      </c>
      <c r="B194" s="22" t="s">
        <v>132</v>
      </c>
      <c r="C194" s="45" t="s">
        <v>0</v>
      </c>
      <c r="D194" s="108"/>
      <c r="E194" s="108"/>
    </row>
    <row r="195" spans="1:5" s="864" customFormat="1" ht="14.25">
      <c r="A195" s="870">
        <v>174</v>
      </c>
      <c r="B195" s="861" t="s">
        <v>153</v>
      </c>
      <c r="C195" s="874" t="s">
        <v>0</v>
      </c>
      <c r="D195" s="863"/>
      <c r="E195" s="863"/>
    </row>
    <row r="196" spans="1:5" s="8" customFormat="1" ht="14.25">
      <c r="A196" s="127">
        <v>175</v>
      </c>
      <c r="B196" s="22" t="s">
        <v>1474</v>
      </c>
      <c r="C196" s="45" t="s">
        <v>0</v>
      </c>
      <c r="D196" s="108"/>
      <c r="E196" s="108"/>
    </row>
    <row r="197" spans="1:5" s="864" customFormat="1" ht="14.25">
      <c r="A197" s="870">
        <v>176</v>
      </c>
      <c r="B197" s="861" t="s">
        <v>236</v>
      </c>
      <c r="C197" s="874" t="s">
        <v>0</v>
      </c>
      <c r="D197" s="863"/>
      <c r="E197" s="863"/>
    </row>
    <row r="198" spans="1:5" s="8" customFormat="1" ht="14.25">
      <c r="A198" s="127">
        <v>177</v>
      </c>
      <c r="B198" s="22" t="s">
        <v>221</v>
      </c>
      <c r="C198" s="45" t="s">
        <v>0</v>
      </c>
      <c r="D198" s="108"/>
      <c r="E198" s="108"/>
    </row>
    <row r="199" spans="1:5" s="864" customFormat="1" ht="14.25">
      <c r="A199" s="870">
        <v>178</v>
      </c>
      <c r="B199" s="861" t="s">
        <v>222</v>
      </c>
      <c r="C199" s="874" t="s">
        <v>0</v>
      </c>
      <c r="D199" s="863"/>
      <c r="E199" s="863"/>
    </row>
    <row r="200" spans="1:5" s="8" customFormat="1" ht="14.25">
      <c r="A200" s="127">
        <v>179</v>
      </c>
      <c r="B200" s="22" t="s">
        <v>223</v>
      </c>
      <c r="C200" s="45" t="s">
        <v>0</v>
      </c>
      <c r="D200" s="108"/>
      <c r="E200" s="108"/>
    </row>
    <row r="201" spans="1:5" s="864" customFormat="1" ht="14.25">
      <c r="A201" s="870">
        <v>180</v>
      </c>
      <c r="B201" s="861" t="s">
        <v>228</v>
      </c>
      <c r="C201" s="874" t="s">
        <v>0</v>
      </c>
      <c r="D201" s="863"/>
      <c r="E201" s="863"/>
    </row>
    <row r="202" spans="1:5" s="8" customFormat="1" ht="14.25">
      <c r="A202" s="127">
        <v>181</v>
      </c>
      <c r="B202" s="22" t="s">
        <v>1476</v>
      </c>
      <c r="C202" s="45" t="s">
        <v>0</v>
      </c>
      <c r="D202" s="108"/>
      <c r="E202" s="108"/>
    </row>
    <row r="203" spans="1:5" s="864" customFormat="1" ht="14.25">
      <c r="A203" s="870">
        <v>182</v>
      </c>
      <c r="B203" s="861" t="s">
        <v>1477</v>
      </c>
      <c r="C203" s="874" t="s">
        <v>0</v>
      </c>
      <c r="D203" s="863"/>
      <c r="E203" s="863"/>
    </row>
    <row r="204" spans="1:5" s="8" customFormat="1" ht="14.25">
      <c r="A204" s="127">
        <v>183</v>
      </c>
      <c r="B204" s="22" t="s">
        <v>162</v>
      </c>
      <c r="C204" s="45" t="s">
        <v>0</v>
      </c>
      <c r="D204" s="108"/>
      <c r="E204" s="108"/>
    </row>
    <row r="205" spans="1:5" s="864" customFormat="1" ht="14.25">
      <c r="A205" s="870">
        <v>184</v>
      </c>
      <c r="B205" s="861" t="s">
        <v>69</v>
      </c>
      <c r="C205" s="874" t="s">
        <v>0</v>
      </c>
      <c r="D205" s="863"/>
      <c r="E205" s="863"/>
    </row>
    <row r="206" spans="1:5" s="8" customFormat="1" ht="14.25">
      <c r="A206" s="127">
        <v>185</v>
      </c>
      <c r="B206" s="22" t="s">
        <v>556</v>
      </c>
      <c r="C206" s="45" t="s">
        <v>0</v>
      </c>
      <c r="D206" s="108"/>
      <c r="E206" s="108"/>
    </row>
    <row r="207" spans="1:5" s="864" customFormat="1" ht="14.25">
      <c r="A207" s="870">
        <v>186</v>
      </c>
      <c r="B207" s="861" t="s">
        <v>148</v>
      </c>
      <c r="C207" s="874" t="s">
        <v>0</v>
      </c>
      <c r="D207" s="863"/>
      <c r="E207" s="863"/>
    </row>
    <row r="208" spans="1:5" s="8" customFormat="1" ht="14.25">
      <c r="A208" s="127">
        <v>187</v>
      </c>
      <c r="B208" s="22" t="s">
        <v>555</v>
      </c>
      <c r="C208" s="45" t="s">
        <v>0</v>
      </c>
      <c r="D208" s="108"/>
      <c r="E208" s="108"/>
    </row>
    <row r="209" spans="1:5" s="864" customFormat="1" ht="14.25">
      <c r="A209" s="870">
        <v>188</v>
      </c>
      <c r="B209" s="861" t="s">
        <v>133</v>
      </c>
      <c r="C209" s="874" t="s">
        <v>0</v>
      </c>
      <c r="D209" s="863"/>
      <c r="E209" s="863"/>
    </row>
    <row r="210" spans="1:5" s="8" customFormat="1" ht="14.25">
      <c r="A210" s="127">
        <v>189</v>
      </c>
      <c r="B210" s="22" t="s">
        <v>39</v>
      </c>
      <c r="C210" s="45" t="s">
        <v>0</v>
      </c>
      <c r="D210" s="108"/>
      <c r="E210" s="108"/>
    </row>
    <row r="211" spans="1:5" s="864" customFormat="1" ht="14.25">
      <c r="A211" s="870">
        <v>190</v>
      </c>
      <c r="B211" s="861" t="s">
        <v>30</v>
      </c>
      <c r="C211" s="874" t="s">
        <v>0</v>
      </c>
      <c r="D211" s="863"/>
      <c r="E211" s="863"/>
    </row>
    <row r="212" spans="1:5" s="8" customFormat="1" ht="14.25">
      <c r="A212" s="127">
        <v>191</v>
      </c>
      <c r="B212" s="22" t="s">
        <v>31</v>
      </c>
      <c r="C212" s="45" t="s">
        <v>0</v>
      </c>
      <c r="D212" s="108"/>
      <c r="E212" s="108"/>
    </row>
    <row r="213" spans="1:5" s="864" customFormat="1" ht="14.25">
      <c r="A213" s="870">
        <v>192</v>
      </c>
      <c r="B213" s="861" t="s">
        <v>41</v>
      </c>
      <c r="C213" s="874" t="s">
        <v>0</v>
      </c>
      <c r="D213" s="863"/>
      <c r="E213" s="863"/>
    </row>
    <row r="214" spans="1:5" s="8" customFormat="1" ht="14.25">
      <c r="A214" s="127">
        <v>193</v>
      </c>
      <c r="B214" s="22" t="s">
        <v>98</v>
      </c>
      <c r="C214" s="45" t="s">
        <v>0</v>
      </c>
      <c r="D214" s="108"/>
      <c r="E214" s="108"/>
    </row>
    <row r="215" spans="1:5" s="864" customFormat="1" ht="14.25">
      <c r="A215" s="870">
        <v>194</v>
      </c>
      <c r="B215" s="861" t="s">
        <v>99</v>
      </c>
      <c r="C215" s="874" t="s">
        <v>0</v>
      </c>
      <c r="D215" s="863"/>
      <c r="E215" s="863"/>
    </row>
    <row r="216" spans="1:5" s="8" customFormat="1" ht="14.25">
      <c r="A216" s="127">
        <v>195</v>
      </c>
      <c r="B216" s="22" t="s">
        <v>102</v>
      </c>
      <c r="C216" s="45" t="s">
        <v>0</v>
      </c>
      <c r="D216" s="108"/>
      <c r="E216" s="108"/>
    </row>
    <row r="217" spans="1:5" s="864" customFormat="1" ht="14.25">
      <c r="A217" s="870">
        <v>196</v>
      </c>
      <c r="B217" s="861" t="s">
        <v>103</v>
      </c>
      <c r="C217" s="874" t="s">
        <v>0</v>
      </c>
      <c r="D217" s="863"/>
      <c r="E217" s="863"/>
    </row>
    <row r="218" spans="1:5" s="8" customFormat="1" ht="14.25">
      <c r="A218" s="127">
        <v>197</v>
      </c>
      <c r="B218" s="22" t="s">
        <v>104</v>
      </c>
      <c r="C218" s="45" t="s">
        <v>0</v>
      </c>
      <c r="D218" s="108"/>
      <c r="E218" s="108"/>
    </row>
    <row r="219" spans="1:5" s="864" customFormat="1" ht="14.25">
      <c r="A219" s="870">
        <v>198</v>
      </c>
      <c r="B219" s="861" t="s">
        <v>105</v>
      </c>
      <c r="C219" s="874" t="s">
        <v>0</v>
      </c>
      <c r="D219" s="863"/>
      <c r="E219" s="863"/>
    </row>
    <row r="220" spans="1:5" s="8" customFormat="1" ht="14.25">
      <c r="A220" s="127">
        <v>199</v>
      </c>
      <c r="B220" s="22" t="s">
        <v>106</v>
      </c>
      <c r="C220" s="45" t="s">
        <v>0</v>
      </c>
      <c r="D220" s="108"/>
      <c r="E220" s="108"/>
    </row>
    <row r="221" spans="1:5" s="864" customFormat="1" ht="14.25">
      <c r="A221" s="870">
        <v>200</v>
      </c>
      <c r="B221" s="861" t="s">
        <v>107</v>
      </c>
      <c r="C221" s="874" t="s">
        <v>0</v>
      </c>
      <c r="D221" s="863"/>
      <c r="E221" s="863"/>
    </row>
    <row r="222" spans="1:5" s="8" customFormat="1">
      <c r="A222" s="127">
        <v>201</v>
      </c>
      <c r="B222" s="117" t="s">
        <v>401</v>
      </c>
      <c r="C222" s="4" t="s">
        <v>0</v>
      </c>
      <c r="D222" s="108"/>
      <c r="E222" s="108"/>
    </row>
    <row r="223" spans="1:5" s="864" customFormat="1">
      <c r="A223" s="870">
        <v>202</v>
      </c>
      <c r="B223" s="867" t="s">
        <v>402</v>
      </c>
      <c r="C223" s="866" t="s">
        <v>0</v>
      </c>
      <c r="D223" s="863"/>
      <c r="E223" s="863"/>
    </row>
    <row r="224" spans="1:5" s="8" customFormat="1">
      <c r="A224" s="127">
        <v>203</v>
      </c>
      <c r="B224" s="117" t="s">
        <v>403</v>
      </c>
      <c r="C224" s="4" t="s">
        <v>0</v>
      </c>
      <c r="D224" s="108"/>
      <c r="E224" s="108"/>
    </row>
    <row r="225" spans="1:5" s="864" customFormat="1">
      <c r="A225" s="870">
        <v>204</v>
      </c>
      <c r="B225" s="867" t="s">
        <v>108</v>
      </c>
      <c r="C225" s="866" t="s">
        <v>0</v>
      </c>
      <c r="D225" s="863"/>
      <c r="E225" s="863"/>
    </row>
    <row r="226" spans="1:5" s="8" customFormat="1">
      <c r="A226" s="127">
        <v>205</v>
      </c>
      <c r="B226" s="117" t="s">
        <v>109</v>
      </c>
      <c r="C226" s="4" t="s">
        <v>0</v>
      </c>
      <c r="D226" s="108"/>
      <c r="E226" s="108"/>
    </row>
    <row r="227" spans="1:5" s="864" customFormat="1">
      <c r="A227" s="870">
        <v>206</v>
      </c>
      <c r="B227" s="867" t="s">
        <v>32</v>
      </c>
      <c r="C227" s="866" t="s">
        <v>0</v>
      </c>
      <c r="D227" s="863"/>
      <c r="E227" s="863"/>
    </row>
    <row r="228" spans="1:5" s="8" customFormat="1">
      <c r="A228" s="127">
        <v>207</v>
      </c>
      <c r="B228" s="117" t="s">
        <v>110</v>
      </c>
      <c r="C228" s="4" t="s">
        <v>0</v>
      </c>
      <c r="D228" s="108"/>
      <c r="E228" s="108"/>
    </row>
    <row r="229" spans="1:5" s="864" customFormat="1">
      <c r="A229" s="870">
        <v>208</v>
      </c>
      <c r="B229" s="867" t="s">
        <v>111</v>
      </c>
      <c r="C229" s="866" t="s">
        <v>0</v>
      </c>
      <c r="D229" s="863"/>
      <c r="E229" s="863"/>
    </row>
    <row r="230" spans="1:5" s="8" customFormat="1">
      <c r="A230" s="127">
        <v>209</v>
      </c>
      <c r="B230" s="117" t="s">
        <v>112</v>
      </c>
      <c r="C230" s="4" t="s">
        <v>0</v>
      </c>
      <c r="D230" s="108"/>
      <c r="E230" s="108"/>
    </row>
    <row r="231" spans="1:5" s="864" customFormat="1">
      <c r="A231" s="870">
        <v>210</v>
      </c>
      <c r="B231" s="867" t="s">
        <v>38</v>
      </c>
      <c r="C231" s="866" t="s">
        <v>0</v>
      </c>
      <c r="D231" s="863"/>
      <c r="E231" s="863"/>
    </row>
    <row r="232" spans="1:5" s="8" customFormat="1">
      <c r="A232" s="127">
        <v>211</v>
      </c>
      <c r="B232" s="117" t="s">
        <v>113</v>
      </c>
      <c r="C232" s="4" t="s">
        <v>0</v>
      </c>
      <c r="D232" s="108"/>
      <c r="E232" s="108"/>
    </row>
    <row r="233" spans="1:5" s="864" customFormat="1">
      <c r="A233" s="870">
        <v>212</v>
      </c>
      <c r="B233" s="867" t="s">
        <v>114</v>
      </c>
      <c r="C233" s="866" t="s">
        <v>0</v>
      </c>
      <c r="D233" s="863"/>
      <c r="E233" s="863"/>
    </row>
    <row r="234" spans="1:5" s="8" customFormat="1">
      <c r="A234" s="127">
        <v>213</v>
      </c>
      <c r="B234" s="117" t="s">
        <v>115</v>
      </c>
      <c r="C234" s="4" t="s">
        <v>0</v>
      </c>
      <c r="D234" s="108"/>
      <c r="E234" s="108"/>
    </row>
    <row r="235" spans="1:5" s="864" customFormat="1">
      <c r="A235" s="870">
        <v>214</v>
      </c>
      <c r="B235" s="867" t="s">
        <v>116</v>
      </c>
      <c r="C235" s="866" t="s">
        <v>0</v>
      </c>
      <c r="D235" s="863"/>
      <c r="E235" s="863"/>
    </row>
    <row r="236" spans="1:5" s="8" customFormat="1">
      <c r="A236" s="127">
        <v>215</v>
      </c>
      <c r="B236" s="117" t="s">
        <v>404</v>
      </c>
      <c r="C236" s="4" t="s">
        <v>0</v>
      </c>
      <c r="D236" s="108"/>
      <c r="E236" s="108"/>
    </row>
    <row r="237" spans="1:5" s="864" customFormat="1">
      <c r="A237" s="870">
        <v>216</v>
      </c>
      <c r="B237" s="867" t="s">
        <v>405</v>
      </c>
      <c r="C237" s="866" t="s">
        <v>0</v>
      </c>
      <c r="D237" s="863"/>
      <c r="E237" s="863"/>
    </row>
    <row r="238" spans="1:5" s="8" customFormat="1">
      <c r="A238" s="127">
        <v>217</v>
      </c>
      <c r="B238" s="117" t="s">
        <v>406</v>
      </c>
      <c r="C238" s="4" t="s">
        <v>0</v>
      </c>
      <c r="D238" s="108"/>
      <c r="E238" s="108"/>
    </row>
    <row r="239" spans="1:5" s="864" customFormat="1" ht="14.25">
      <c r="A239" s="870">
        <v>218</v>
      </c>
      <c r="B239" s="861" t="s">
        <v>33</v>
      </c>
      <c r="C239" s="874" t="s">
        <v>0</v>
      </c>
      <c r="D239" s="863"/>
      <c r="E239" s="863"/>
    </row>
    <row r="240" spans="1:5" s="864" customFormat="1" ht="14.25">
      <c r="A240" s="912"/>
      <c r="B240" s="913" t="s">
        <v>1512</v>
      </c>
      <c r="C240" s="914" t="s">
        <v>0</v>
      </c>
      <c r="D240" s="915"/>
      <c r="E240" s="915"/>
    </row>
    <row r="241" spans="1:5" s="864" customFormat="1" ht="14.25">
      <c r="A241" s="870"/>
      <c r="B241" s="918" t="s">
        <v>1513</v>
      </c>
      <c r="C241" s="870" t="s">
        <v>0</v>
      </c>
      <c r="D241" s="863"/>
      <c r="E241" s="863"/>
    </row>
    <row r="242" spans="1:5" s="864" customFormat="1" ht="14.25">
      <c r="A242" s="906"/>
      <c r="B242" s="916" t="s">
        <v>1514</v>
      </c>
      <c r="C242" s="917" t="s">
        <v>0</v>
      </c>
      <c r="D242" s="907"/>
      <c r="E242" s="907"/>
    </row>
    <row r="243" spans="1:5" s="8" customFormat="1" ht="14.25">
      <c r="A243" s="127">
        <v>219</v>
      </c>
      <c r="B243" s="22" t="s">
        <v>225</v>
      </c>
      <c r="C243" s="45" t="s">
        <v>0</v>
      </c>
      <c r="D243" s="108"/>
      <c r="E243" s="108"/>
    </row>
    <row r="244" spans="1:5" s="864" customFormat="1" ht="14.25">
      <c r="A244" s="870">
        <v>220</v>
      </c>
      <c r="B244" s="861" t="s">
        <v>34</v>
      </c>
      <c r="C244" s="874" t="s">
        <v>0</v>
      </c>
      <c r="D244" s="863"/>
      <c r="E244" s="863"/>
    </row>
    <row r="245" spans="1:5" s="8" customFormat="1" ht="14.25">
      <c r="A245" s="127">
        <v>221</v>
      </c>
      <c r="B245" s="22" t="s">
        <v>230</v>
      </c>
      <c r="C245" s="45" t="s">
        <v>0</v>
      </c>
      <c r="D245" s="108"/>
      <c r="E245" s="108"/>
    </row>
    <row r="246" spans="1:5" s="864" customFormat="1">
      <c r="A246" s="870">
        <v>222</v>
      </c>
      <c r="B246" s="865" t="s">
        <v>238</v>
      </c>
      <c r="C246" s="874" t="s">
        <v>0</v>
      </c>
      <c r="D246" s="863"/>
      <c r="E246" s="863"/>
    </row>
    <row r="247" spans="1:5" s="8" customFormat="1">
      <c r="A247" s="127">
        <v>223</v>
      </c>
      <c r="B247" s="3" t="s">
        <v>239</v>
      </c>
      <c r="C247" s="45" t="s">
        <v>0</v>
      </c>
      <c r="D247" s="108"/>
      <c r="E247" s="108"/>
    </row>
    <row r="248" spans="1:5" s="864" customFormat="1">
      <c r="A248" s="870">
        <v>224</v>
      </c>
      <c r="B248" s="865" t="s">
        <v>240</v>
      </c>
      <c r="C248" s="874" t="s">
        <v>0</v>
      </c>
      <c r="D248" s="863"/>
      <c r="E248" s="863"/>
    </row>
    <row r="249" spans="1:5" s="921" customFormat="1">
      <c r="A249" s="906"/>
      <c r="B249" s="919" t="s">
        <v>1515</v>
      </c>
      <c r="C249" s="920" t="s">
        <v>0</v>
      </c>
      <c r="D249" s="907"/>
      <c r="E249" s="907"/>
    </row>
    <row r="250" spans="1:5" s="8" customFormat="1">
      <c r="A250" s="127">
        <v>225</v>
      </c>
      <c r="B250" s="3" t="s">
        <v>241</v>
      </c>
      <c r="C250" s="45" t="s">
        <v>0</v>
      </c>
      <c r="D250" s="108"/>
      <c r="E250" s="108"/>
    </row>
    <row r="251" spans="1:5" s="864" customFormat="1" ht="14.25">
      <c r="A251" s="870">
        <v>226</v>
      </c>
      <c r="B251" s="861" t="s">
        <v>237</v>
      </c>
      <c r="C251" s="874" t="s">
        <v>0</v>
      </c>
      <c r="D251" s="863"/>
      <c r="E251" s="863"/>
    </row>
    <row r="252" spans="1:5" s="864" customFormat="1" ht="14.25">
      <c r="A252" s="127"/>
      <c r="B252" s="22" t="s">
        <v>1519</v>
      </c>
      <c r="C252" s="45" t="s">
        <v>0</v>
      </c>
      <c r="D252" s="108"/>
      <c r="E252" s="108"/>
    </row>
    <row r="253" spans="1:5" s="864" customFormat="1" ht="14.25">
      <c r="A253" s="870"/>
      <c r="B253" s="861" t="s">
        <v>1517</v>
      </c>
      <c r="C253" s="874" t="s">
        <v>0</v>
      </c>
      <c r="D253" s="863"/>
      <c r="E253" s="863"/>
    </row>
    <row r="254" spans="1:5" s="8" customFormat="1" ht="14.25">
      <c r="A254" s="127">
        <v>227</v>
      </c>
      <c r="B254" s="22" t="s">
        <v>160</v>
      </c>
      <c r="C254" s="45" t="s">
        <v>0</v>
      </c>
      <c r="D254" s="108"/>
      <c r="E254" s="108"/>
    </row>
    <row r="255" spans="1:5" s="864" customFormat="1" ht="14.25">
      <c r="A255" s="870">
        <v>228</v>
      </c>
      <c r="B255" s="861" t="s">
        <v>161</v>
      </c>
      <c r="C255" s="874" t="s">
        <v>0</v>
      </c>
      <c r="D255" s="863"/>
      <c r="E255" s="863"/>
    </row>
    <row r="256" spans="1:5" s="8" customFormat="1" ht="14.25">
      <c r="A256" s="127">
        <v>229</v>
      </c>
      <c r="B256" s="22" t="s">
        <v>128</v>
      </c>
      <c r="C256" s="45" t="s">
        <v>0</v>
      </c>
      <c r="D256" s="108"/>
      <c r="E256" s="108"/>
    </row>
    <row r="257" spans="1:5" s="864" customFormat="1" ht="14.25">
      <c r="A257" s="870">
        <v>230</v>
      </c>
      <c r="B257" s="861" t="s">
        <v>35</v>
      </c>
      <c r="C257" s="874" t="s">
        <v>0</v>
      </c>
      <c r="D257" s="863"/>
      <c r="E257" s="863"/>
    </row>
    <row r="258" spans="1:5" s="8" customFormat="1" ht="14.25">
      <c r="A258" s="127">
        <v>231</v>
      </c>
      <c r="B258" s="22" t="s">
        <v>40</v>
      </c>
      <c r="C258" s="45" t="s">
        <v>0</v>
      </c>
      <c r="D258" s="108"/>
      <c r="E258" s="108"/>
    </row>
    <row r="259" spans="1:5" s="864" customFormat="1" ht="14.25">
      <c r="A259" s="870">
        <v>232</v>
      </c>
      <c r="B259" s="861" t="s">
        <v>156</v>
      </c>
      <c r="C259" s="874" t="s">
        <v>0</v>
      </c>
      <c r="D259" s="863"/>
      <c r="E259" s="863"/>
    </row>
    <row r="260" spans="1:5" s="8" customFormat="1" ht="14.25">
      <c r="A260" s="127">
        <v>233</v>
      </c>
      <c r="B260" s="22" t="s">
        <v>70</v>
      </c>
      <c r="C260" s="45" t="s">
        <v>0</v>
      </c>
      <c r="D260" s="108"/>
      <c r="E260" s="108"/>
    </row>
    <row r="261" spans="1:5" s="864" customFormat="1" ht="14.25">
      <c r="A261" s="870">
        <v>234</v>
      </c>
      <c r="B261" s="861" t="s">
        <v>157</v>
      </c>
      <c r="C261" s="874" t="s">
        <v>0</v>
      </c>
      <c r="D261" s="863"/>
      <c r="E261" s="863"/>
    </row>
    <row r="262" spans="1:5" s="8" customFormat="1" ht="14.25">
      <c r="A262" s="127">
        <v>235</v>
      </c>
      <c r="B262" s="22" t="s">
        <v>71</v>
      </c>
      <c r="C262" s="45" t="s">
        <v>0</v>
      </c>
      <c r="D262" s="108"/>
      <c r="E262" s="108"/>
    </row>
    <row r="263" spans="1:5" s="864" customFormat="1" ht="14.25">
      <c r="A263" s="870">
        <v>236</v>
      </c>
      <c r="B263" s="861" t="s">
        <v>158</v>
      </c>
      <c r="C263" s="874" t="s">
        <v>0</v>
      </c>
      <c r="D263" s="863"/>
      <c r="E263" s="863"/>
    </row>
    <row r="264" spans="1:5" s="8" customFormat="1" ht="14.25">
      <c r="A264" s="127">
        <v>237</v>
      </c>
      <c r="B264" s="22" t="s">
        <v>72</v>
      </c>
      <c r="C264" s="45" t="s">
        <v>0</v>
      </c>
      <c r="D264" s="108"/>
      <c r="E264" s="108"/>
    </row>
    <row r="265" spans="1:5" s="864" customFormat="1" ht="14.25">
      <c r="A265" s="870">
        <v>238</v>
      </c>
      <c r="B265" s="861" t="s">
        <v>159</v>
      </c>
      <c r="C265" s="874" t="s">
        <v>0</v>
      </c>
      <c r="D265" s="863"/>
      <c r="E265" s="863"/>
    </row>
    <row r="266" spans="1:5" s="8" customFormat="1" ht="14.25">
      <c r="A266" s="127">
        <v>239</v>
      </c>
      <c r="B266" s="22" t="s">
        <v>73</v>
      </c>
      <c r="C266" s="45" t="s">
        <v>0</v>
      </c>
      <c r="D266" s="108"/>
      <c r="E266" s="108"/>
    </row>
    <row r="267" spans="1:5" s="8" customFormat="1" ht="14.25">
      <c r="A267" s="127"/>
      <c r="B267" s="861" t="s">
        <v>1552</v>
      </c>
      <c r="C267" s="874" t="s">
        <v>0</v>
      </c>
      <c r="D267" s="863"/>
      <c r="E267" s="863"/>
    </row>
    <row r="268" spans="1:5" s="8" customFormat="1" ht="14.25">
      <c r="A268" s="127"/>
      <c r="B268" s="22" t="s">
        <v>1559</v>
      </c>
      <c r="C268" s="45" t="s">
        <v>0</v>
      </c>
      <c r="D268" s="108"/>
      <c r="E268" s="108"/>
    </row>
    <row r="269" spans="1:5" s="864" customFormat="1" ht="14.25">
      <c r="A269" s="870">
        <v>240</v>
      </c>
      <c r="B269" s="875" t="s">
        <v>254</v>
      </c>
      <c r="C269" s="874" t="s">
        <v>0</v>
      </c>
      <c r="D269" s="863"/>
      <c r="E269" s="863"/>
    </row>
    <row r="270" spans="1:5" s="8" customFormat="1" ht="14.25">
      <c r="A270" s="127">
        <v>241</v>
      </c>
      <c r="B270" s="23" t="s">
        <v>255</v>
      </c>
      <c r="C270" s="45" t="s">
        <v>0</v>
      </c>
      <c r="D270" s="108"/>
      <c r="E270" s="108"/>
    </row>
    <row r="271" spans="1:5" s="864" customFormat="1" ht="14.25">
      <c r="A271" s="870">
        <v>242</v>
      </c>
      <c r="B271" s="875" t="s">
        <v>256</v>
      </c>
      <c r="C271" s="874" t="s">
        <v>0</v>
      </c>
      <c r="D271" s="863"/>
      <c r="E271" s="863"/>
    </row>
    <row r="272" spans="1:5" s="8" customFormat="1" ht="14.25">
      <c r="A272" s="127">
        <v>243</v>
      </c>
      <c r="B272" s="23" t="s">
        <v>257</v>
      </c>
      <c r="C272" s="45" t="s">
        <v>0</v>
      </c>
      <c r="D272" s="108"/>
      <c r="E272" s="108"/>
    </row>
    <row r="273" spans="1:5" s="864" customFormat="1" ht="14.25">
      <c r="A273" s="870">
        <v>244</v>
      </c>
      <c r="B273" s="875" t="s">
        <v>258</v>
      </c>
      <c r="C273" s="874" t="s">
        <v>0</v>
      </c>
      <c r="D273" s="863"/>
      <c r="E273" s="863"/>
    </row>
    <row r="274" spans="1:5" s="8" customFormat="1" ht="14.25">
      <c r="A274" s="127">
        <v>245</v>
      </c>
      <c r="B274" s="23" t="s">
        <v>259</v>
      </c>
      <c r="C274" s="45" t="s">
        <v>0</v>
      </c>
      <c r="D274" s="108"/>
      <c r="E274" s="108"/>
    </row>
    <row r="275" spans="1:5" s="864" customFormat="1" ht="14.25">
      <c r="A275" s="870">
        <v>246</v>
      </c>
      <c r="B275" s="875" t="s">
        <v>260</v>
      </c>
      <c r="C275" s="874" t="s">
        <v>0</v>
      </c>
      <c r="D275" s="863"/>
      <c r="E275" s="863"/>
    </row>
    <row r="276" spans="1:5" s="8" customFormat="1" ht="14.25">
      <c r="A276" s="127">
        <v>247</v>
      </c>
      <c r="B276" s="23" t="s">
        <v>261</v>
      </c>
      <c r="C276" s="45" t="s">
        <v>0</v>
      </c>
      <c r="D276" s="108"/>
      <c r="E276" s="108"/>
    </row>
    <row r="277" spans="1:5" s="864" customFormat="1" ht="14.25">
      <c r="A277" s="870">
        <v>248</v>
      </c>
      <c r="B277" s="875" t="s">
        <v>262</v>
      </c>
      <c r="C277" s="874" t="s">
        <v>0</v>
      </c>
      <c r="D277" s="863"/>
      <c r="E277" s="863"/>
    </row>
    <row r="278" spans="1:5" s="8" customFormat="1" ht="14.25">
      <c r="A278" s="127">
        <v>249</v>
      </c>
      <c r="B278" s="23" t="s">
        <v>263</v>
      </c>
      <c r="C278" s="45" t="s">
        <v>0</v>
      </c>
      <c r="D278" s="108"/>
      <c r="E278" s="108"/>
    </row>
    <row r="279" spans="1:5" s="864" customFormat="1" ht="14.25">
      <c r="A279" s="870">
        <v>250</v>
      </c>
      <c r="B279" s="875" t="s">
        <v>264</v>
      </c>
      <c r="C279" s="874" t="s">
        <v>0</v>
      </c>
      <c r="D279" s="863"/>
      <c r="E279" s="863"/>
    </row>
    <row r="280" spans="1:5" s="8" customFormat="1" ht="14.25">
      <c r="A280" s="127">
        <v>251</v>
      </c>
      <c r="B280" s="23" t="s">
        <v>265</v>
      </c>
      <c r="C280" s="45" t="s">
        <v>0</v>
      </c>
      <c r="D280" s="108"/>
      <c r="E280" s="108"/>
    </row>
    <row r="281" spans="1:5" s="864" customFormat="1" ht="14.25">
      <c r="A281" s="870">
        <v>252</v>
      </c>
      <c r="B281" s="875" t="s">
        <v>266</v>
      </c>
      <c r="C281" s="874" t="s">
        <v>0</v>
      </c>
      <c r="D281" s="863"/>
      <c r="E281" s="863"/>
    </row>
    <row r="282" spans="1:5" s="8" customFormat="1" ht="14.25">
      <c r="A282" s="127">
        <v>253</v>
      </c>
      <c r="B282" s="23" t="s">
        <v>267</v>
      </c>
      <c r="C282" s="45" t="s">
        <v>0</v>
      </c>
      <c r="D282" s="108"/>
      <c r="E282" s="108"/>
    </row>
    <row r="283" spans="1:5" s="864" customFormat="1" ht="14.25">
      <c r="A283" s="870">
        <v>254</v>
      </c>
      <c r="B283" s="875" t="s">
        <v>268</v>
      </c>
      <c r="C283" s="874" t="s">
        <v>0</v>
      </c>
      <c r="D283" s="863"/>
      <c r="E283" s="863"/>
    </row>
    <row r="284" spans="1:5" s="8" customFormat="1" ht="14.25">
      <c r="A284" s="127">
        <v>255</v>
      </c>
      <c r="B284" s="23" t="s">
        <v>269</v>
      </c>
      <c r="C284" s="45" t="s">
        <v>0</v>
      </c>
      <c r="D284" s="108"/>
      <c r="E284" s="108"/>
    </row>
    <row r="285" spans="1:5" s="864" customFormat="1" ht="14.25">
      <c r="A285" s="870">
        <v>256</v>
      </c>
      <c r="B285" s="875" t="s">
        <v>270</v>
      </c>
      <c r="C285" s="874" t="s">
        <v>0</v>
      </c>
      <c r="D285" s="863"/>
      <c r="E285" s="863"/>
    </row>
    <row r="286" spans="1:5" s="8" customFormat="1" ht="14.25">
      <c r="A286" s="127">
        <v>257</v>
      </c>
      <c r="B286" s="23" t="s">
        <v>271</v>
      </c>
      <c r="C286" s="45" t="s">
        <v>0</v>
      </c>
      <c r="D286" s="108"/>
      <c r="E286" s="108"/>
    </row>
    <row r="287" spans="1:5" s="864" customFormat="1" ht="14.25">
      <c r="A287" s="870">
        <v>258</v>
      </c>
      <c r="B287" s="875" t="s">
        <v>272</v>
      </c>
      <c r="C287" s="874" t="s">
        <v>0</v>
      </c>
      <c r="D287" s="863"/>
      <c r="E287" s="863"/>
    </row>
    <row r="288" spans="1:5" s="8" customFormat="1" ht="14.25">
      <c r="A288" s="127">
        <v>259</v>
      </c>
      <c r="B288" s="23" t="s">
        <v>273</v>
      </c>
      <c r="C288" s="45" t="s">
        <v>0</v>
      </c>
      <c r="D288" s="108"/>
      <c r="E288" s="108"/>
    </row>
    <row r="289" spans="1:5" s="864" customFormat="1" ht="14.25">
      <c r="A289" s="870">
        <v>260</v>
      </c>
      <c r="B289" s="875" t="s">
        <v>274</v>
      </c>
      <c r="C289" s="874" t="s">
        <v>0</v>
      </c>
      <c r="D289" s="863"/>
      <c r="E289" s="863"/>
    </row>
    <row r="290" spans="1:5" s="8" customFormat="1" ht="14.25">
      <c r="A290" s="127">
        <v>261</v>
      </c>
      <c r="B290" s="23" t="s">
        <v>275</v>
      </c>
      <c r="C290" s="45" t="s">
        <v>0</v>
      </c>
      <c r="D290" s="108"/>
      <c r="E290" s="108"/>
    </row>
    <row r="291" spans="1:5" s="864" customFormat="1" ht="14.25">
      <c r="A291" s="870">
        <v>262</v>
      </c>
      <c r="B291" s="875" t="s">
        <v>276</v>
      </c>
      <c r="C291" s="874" t="s">
        <v>0</v>
      </c>
      <c r="D291" s="863"/>
      <c r="E291" s="863"/>
    </row>
    <row r="292" spans="1:5" s="8" customFormat="1" ht="14.25">
      <c r="A292" s="127">
        <v>263</v>
      </c>
      <c r="B292" s="23" t="s">
        <v>277</v>
      </c>
      <c r="C292" s="45" t="s">
        <v>0</v>
      </c>
      <c r="D292" s="108"/>
      <c r="E292" s="108"/>
    </row>
    <row r="293" spans="1:5" s="864" customFormat="1" ht="14.25">
      <c r="A293" s="870">
        <v>264</v>
      </c>
      <c r="B293" s="875" t="s">
        <v>278</v>
      </c>
      <c r="C293" s="874" t="s">
        <v>0</v>
      </c>
      <c r="D293" s="863"/>
      <c r="E293" s="863"/>
    </row>
    <row r="294" spans="1:5" s="8" customFormat="1" ht="14.25">
      <c r="A294" s="127">
        <v>265</v>
      </c>
      <c r="B294" s="23" t="s">
        <v>279</v>
      </c>
      <c r="C294" s="45" t="s">
        <v>0</v>
      </c>
      <c r="D294" s="108"/>
      <c r="E294" s="108"/>
    </row>
    <row r="295" spans="1:5" s="864" customFormat="1" ht="14.25">
      <c r="A295" s="870">
        <v>266</v>
      </c>
      <c r="B295" s="875" t="s">
        <v>280</v>
      </c>
      <c r="C295" s="874" t="s">
        <v>0</v>
      </c>
      <c r="D295" s="863"/>
      <c r="E295" s="863"/>
    </row>
    <row r="296" spans="1:5" s="8" customFormat="1" ht="14.25">
      <c r="A296" s="127">
        <v>267</v>
      </c>
      <c r="B296" s="23" t="s">
        <v>281</v>
      </c>
      <c r="C296" s="45" t="s">
        <v>0</v>
      </c>
      <c r="D296" s="108"/>
      <c r="E296" s="108"/>
    </row>
    <row r="297" spans="1:5" s="864" customFormat="1" ht="14.25">
      <c r="A297" s="870">
        <v>268</v>
      </c>
      <c r="B297" s="875" t="s">
        <v>282</v>
      </c>
      <c r="C297" s="874" t="s">
        <v>0</v>
      </c>
      <c r="D297" s="863"/>
      <c r="E297" s="863"/>
    </row>
    <row r="298" spans="1:5" s="8" customFormat="1" ht="14.25">
      <c r="A298" s="127">
        <v>269</v>
      </c>
      <c r="B298" s="23" t="s">
        <v>283</v>
      </c>
      <c r="C298" s="45" t="s">
        <v>0</v>
      </c>
      <c r="D298" s="108"/>
      <c r="E298" s="108"/>
    </row>
    <row r="299" spans="1:5" s="864" customFormat="1" ht="14.25">
      <c r="A299" s="870">
        <v>270</v>
      </c>
      <c r="B299" s="875" t="s">
        <v>284</v>
      </c>
      <c r="C299" s="874" t="s">
        <v>0</v>
      </c>
      <c r="D299" s="863"/>
      <c r="E299" s="863"/>
    </row>
    <row r="300" spans="1:5" s="8" customFormat="1" ht="14.25">
      <c r="A300" s="127">
        <v>271</v>
      </c>
      <c r="B300" s="23" t="s">
        <v>285</v>
      </c>
      <c r="C300" s="45" t="s">
        <v>0</v>
      </c>
      <c r="D300" s="108"/>
      <c r="E300" s="108"/>
    </row>
    <row r="301" spans="1:5" s="864" customFormat="1">
      <c r="A301" s="870">
        <v>272</v>
      </c>
      <c r="B301" s="865" t="s">
        <v>350</v>
      </c>
      <c r="C301" s="874" t="s">
        <v>0</v>
      </c>
      <c r="D301" s="863"/>
      <c r="E301" s="863"/>
    </row>
    <row r="302" spans="1:5" s="8" customFormat="1">
      <c r="A302" s="127">
        <v>273</v>
      </c>
      <c r="B302" s="3" t="s">
        <v>351</v>
      </c>
      <c r="C302" s="45" t="s">
        <v>0</v>
      </c>
      <c r="D302" s="108"/>
      <c r="E302" s="108"/>
    </row>
    <row r="303" spans="1:5" s="864" customFormat="1">
      <c r="A303" s="870">
        <v>274</v>
      </c>
      <c r="B303" s="865" t="s">
        <v>352</v>
      </c>
      <c r="C303" s="874" t="s">
        <v>0</v>
      </c>
      <c r="D303" s="863"/>
      <c r="E303" s="863"/>
    </row>
    <row r="304" spans="1:5" s="8" customFormat="1">
      <c r="A304" s="127">
        <v>275</v>
      </c>
      <c r="B304" s="3" t="s">
        <v>353</v>
      </c>
      <c r="C304" s="45" t="s">
        <v>0</v>
      </c>
      <c r="D304" s="108"/>
      <c r="E304" s="108"/>
    </row>
    <row r="305" spans="1:6" s="864" customFormat="1">
      <c r="A305" s="870">
        <v>276</v>
      </c>
      <c r="B305" s="865" t="s">
        <v>354</v>
      </c>
      <c r="C305" s="874" t="s">
        <v>0</v>
      </c>
      <c r="D305" s="863"/>
      <c r="E305" s="863"/>
    </row>
    <row r="306" spans="1:6" s="8" customFormat="1">
      <c r="A306" s="127">
        <v>277</v>
      </c>
      <c r="B306" s="3" t="s">
        <v>355</v>
      </c>
      <c r="C306" s="45" t="s">
        <v>0</v>
      </c>
      <c r="D306" s="108"/>
      <c r="E306" s="108"/>
    </row>
    <row r="307" spans="1:6" s="876" customFormat="1">
      <c r="A307" s="870">
        <v>278</v>
      </c>
      <c r="B307" s="865" t="s">
        <v>356</v>
      </c>
      <c r="C307" s="874" t="s">
        <v>0</v>
      </c>
      <c r="D307" s="863"/>
      <c r="E307" s="863"/>
      <c r="F307" s="864"/>
    </row>
    <row r="308" spans="1:6" s="24" customFormat="1">
      <c r="A308" s="127">
        <v>279</v>
      </c>
      <c r="B308" s="3" t="s">
        <v>357</v>
      </c>
      <c r="C308" s="45" t="s">
        <v>0</v>
      </c>
      <c r="D308" s="108"/>
      <c r="E308" s="108"/>
      <c r="F308" s="8"/>
    </row>
    <row r="309" spans="1:6" s="24" customFormat="1" ht="28.5" customHeight="1">
      <c r="A309" s="1984" t="s">
        <v>513</v>
      </c>
      <c r="B309" s="1985"/>
      <c r="C309" s="1985"/>
      <c r="D309" s="1985"/>
      <c r="E309" s="1986"/>
    </row>
    <row r="310" spans="1:6" s="24" customFormat="1" ht="14.25" customHeight="1">
      <c r="A310" s="414"/>
      <c r="B310" s="163" t="s">
        <v>1329</v>
      </c>
      <c r="C310" s="643" t="s">
        <v>511</v>
      </c>
      <c r="D310" s="836"/>
      <c r="E310" s="836"/>
    </row>
    <row r="311" spans="1:6" s="823" customFormat="1" ht="14.25" customHeight="1">
      <c r="A311" s="820"/>
      <c r="B311" s="821" t="s">
        <v>1321</v>
      </c>
      <c r="C311" s="822" t="s">
        <v>0</v>
      </c>
      <c r="D311" s="837"/>
      <c r="E311" s="837"/>
    </row>
    <row r="312" spans="1:6" ht="14.25" customHeight="1">
      <c r="A312" s="414"/>
      <c r="B312" s="163" t="s">
        <v>1322</v>
      </c>
      <c r="C312" s="643" t="s">
        <v>0</v>
      </c>
      <c r="D312" s="836"/>
      <c r="E312" s="836"/>
    </row>
    <row r="313" spans="1:6" s="824" customFormat="1" ht="14.25" customHeight="1">
      <c r="A313" s="820"/>
      <c r="B313" s="821" t="s">
        <v>1323</v>
      </c>
      <c r="C313" s="822" t="s">
        <v>0</v>
      </c>
      <c r="D313" s="837"/>
      <c r="E313" s="837"/>
    </row>
    <row r="314" spans="1:6" ht="14.25" customHeight="1">
      <c r="A314" s="414"/>
      <c r="B314" s="163" t="s">
        <v>1324</v>
      </c>
      <c r="C314" s="643" t="s">
        <v>0</v>
      </c>
      <c r="D314" s="836"/>
      <c r="E314" s="836"/>
    </row>
    <row r="315" spans="1:6" s="824" customFormat="1" ht="14.25" customHeight="1">
      <c r="A315" s="820"/>
      <c r="B315" s="821" t="s">
        <v>1325</v>
      </c>
      <c r="C315" s="822" t="s">
        <v>0</v>
      </c>
      <c r="D315" s="837"/>
      <c r="E315" s="837"/>
    </row>
    <row r="316" spans="1:6" ht="14.25" customHeight="1">
      <c r="A316" s="414"/>
      <c r="B316" s="163" t="s">
        <v>1326</v>
      </c>
      <c r="C316" s="643" t="s">
        <v>0</v>
      </c>
      <c r="D316" s="836"/>
      <c r="E316" s="836"/>
    </row>
    <row r="317" spans="1:6" s="824" customFormat="1">
      <c r="A317" s="820"/>
      <c r="B317" s="821" t="s">
        <v>1327</v>
      </c>
      <c r="C317" s="822" t="s">
        <v>0</v>
      </c>
      <c r="D317" s="837"/>
      <c r="E317" s="837"/>
    </row>
    <row r="318" spans="1:6">
      <c r="A318" s="414"/>
      <c r="B318" s="163" t="s">
        <v>1328</v>
      </c>
      <c r="C318" s="643" t="s">
        <v>0</v>
      </c>
      <c r="D318" s="836"/>
      <c r="E318" s="836"/>
    </row>
    <row r="319" spans="1:6" s="824" customFormat="1">
      <c r="A319" s="820"/>
      <c r="B319" s="821" t="s">
        <v>1317</v>
      </c>
      <c r="C319" s="822" t="s">
        <v>0</v>
      </c>
      <c r="D319" s="837"/>
      <c r="E319" s="837"/>
    </row>
    <row r="320" spans="1:6">
      <c r="A320" s="414"/>
      <c r="B320" s="163" t="s">
        <v>1318</v>
      </c>
      <c r="C320" s="643" t="s">
        <v>0</v>
      </c>
      <c r="D320" s="836"/>
      <c r="E320" s="836"/>
    </row>
    <row r="321" spans="1:5" s="824" customFormat="1">
      <c r="A321" s="820"/>
      <c r="B321" s="821" t="s">
        <v>1319</v>
      </c>
      <c r="C321" s="822" t="s">
        <v>0</v>
      </c>
      <c r="D321" s="837"/>
      <c r="E321" s="837"/>
    </row>
    <row r="322" spans="1:5">
      <c r="A322" s="414"/>
      <c r="B322" s="163" t="s">
        <v>1320</v>
      </c>
      <c r="C322" s="643" t="s">
        <v>0</v>
      </c>
      <c r="D322" s="836"/>
      <c r="E322" s="836"/>
    </row>
    <row r="323" spans="1:5" s="824" customFormat="1">
      <c r="A323" s="820"/>
      <c r="B323" s="821" t="s">
        <v>1308</v>
      </c>
      <c r="C323" s="822" t="s">
        <v>0</v>
      </c>
      <c r="D323" s="837"/>
      <c r="E323" s="837"/>
    </row>
    <row r="324" spans="1:5">
      <c r="A324" s="414"/>
      <c r="B324" s="163" t="s">
        <v>1309</v>
      </c>
      <c r="C324" s="643" t="s">
        <v>168</v>
      </c>
      <c r="D324" s="836"/>
      <c r="E324" s="836"/>
    </row>
    <row r="325" spans="1:5" s="824" customFormat="1">
      <c r="A325" s="820"/>
      <c r="B325" s="821" t="s">
        <v>1310</v>
      </c>
      <c r="C325" s="822" t="s">
        <v>168</v>
      </c>
      <c r="D325" s="837"/>
      <c r="E325" s="837"/>
    </row>
    <row r="326" spans="1:5">
      <c r="A326" s="414"/>
      <c r="B326" s="163" t="s">
        <v>1311</v>
      </c>
      <c r="C326" s="643" t="s">
        <v>168</v>
      </c>
      <c r="D326" s="836"/>
      <c r="E326" s="836"/>
    </row>
    <row r="327" spans="1:5" s="824" customFormat="1">
      <c r="A327" s="820"/>
      <c r="B327" s="821" t="s">
        <v>1312</v>
      </c>
      <c r="C327" s="822" t="s">
        <v>168</v>
      </c>
      <c r="D327" s="837"/>
      <c r="E327" s="837"/>
    </row>
    <row r="328" spans="1:5">
      <c r="A328" s="414"/>
      <c r="B328" s="163" t="s">
        <v>1313</v>
      </c>
      <c r="C328" s="643" t="s">
        <v>168</v>
      </c>
      <c r="D328" s="836"/>
      <c r="E328" s="836"/>
    </row>
    <row r="329" spans="1:5" s="824" customFormat="1">
      <c r="A329" s="820"/>
      <c r="B329" s="821" t="s">
        <v>1314</v>
      </c>
      <c r="C329" s="822" t="s">
        <v>168</v>
      </c>
      <c r="D329" s="837"/>
      <c r="E329" s="837"/>
    </row>
    <row r="330" spans="1:5">
      <c r="A330" s="414"/>
      <c r="B330" s="163" t="s">
        <v>1315</v>
      </c>
      <c r="C330" s="643" t="s">
        <v>168</v>
      </c>
      <c r="D330" s="836"/>
      <c r="E330" s="836"/>
    </row>
    <row r="331" spans="1:5" s="824" customFormat="1">
      <c r="A331" s="820"/>
      <c r="B331" s="821" t="s">
        <v>1316</v>
      </c>
      <c r="C331" s="822" t="s">
        <v>168</v>
      </c>
      <c r="D331" s="837"/>
      <c r="E331" s="837"/>
    </row>
    <row r="332" spans="1:5">
      <c r="A332" s="414"/>
      <c r="B332" s="163" t="s">
        <v>1293</v>
      </c>
      <c r="C332" s="643" t="s">
        <v>168</v>
      </c>
      <c r="D332" s="836"/>
      <c r="E332" s="836"/>
    </row>
    <row r="333" spans="1:5" s="824" customFormat="1">
      <c r="A333" s="820"/>
      <c r="B333" s="821" t="s">
        <v>1249</v>
      </c>
      <c r="C333" s="822" t="s">
        <v>168</v>
      </c>
      <c r="D333" s="837"/>
      <c r="E333" s="837"/>
    </row>
    <row r="334" spans="1:5">
      <c r="A334" s="414"/>
      <c r="B334" s="192" t="s">
        <v>432</v>
      </c>
      <c r="C334" s="643" t="s">
        <v>0</v>
      </c>
      <c r="D334" s="836"/>
      <c r="E334" s="836"/>
    </row>
    <row r="335" spans="1:5" s="824" customFormat="1">
      <c r="A335" s="820"/>
      <c r="B335" s="821" t="s">
        <v>465</v>
      </c>
      <c r="C335" s="822" t="s">
        <v>0</v>
      </c>
      <c r="D335" s="837"/>
      <c r="E335" s="837"/>
    </row>
    <row r="336" spans="1:5">
      <c r="A336" s="414"/>
      <c r="B336" s="163" t="s">
        <v>1248</v>
      </c>
      <c r="C336" s="643" t="s">
        <v>0</v>
      </c>
      <c r="D336" s="836"/>
      <c r="E336" s="836"/>
    </row>
    <row r="337" spans="1:5" s="824" customFormat="1">
      <c r="A337" s="820"/>
      <c r="B337" s="825" t="s">
        <v>1247</v>
      </c>
      <c r="C337" s="822" t="s">
        <v>0</v>
      </c>
      <c r="D337" s="837"/>
      <c r="E337" s="837"/>
    </row>
    <row r="338" spans="1:5">
      <c r="A338" s="414"/>
      <c r="B338" s="5" t="s">
        <v>425</v>
      </c>
      <c r="C338" s="643" t="s">
        <v>0</v>
      </c>
      <c r="D338" s="836"/>
      <c r="E338" s="836"/>
    </row>
    <row r="339" spans="1:5" s="824" customFormat="1">
      <c r="A339" s="820"/>
      <c r="B339" s="826" t="s">
        <v>1186</v>
      </c>
      <c r="C339" s="822" t="s">
        <v>0</v>
      </c>
      <c r="D339" s="837"/>
      <c r="E339" s="837"/>
    </row>
    <row r="340" spans="1:5">
      <c r="A340" s="414"/>
      <c r="B340" s="5" t="s">
        <v>1193</v>
      </c>
      <c r="C340" s="643" t="s">
        <v>0</v>
      </c>
      <c r="D340" s="836"/>
      <c r="E340" s="836"/>
    </row>
    <row r="341" spans="1:5" s="824" customFormat="1">
      <c r="A341" s="820"/>
      <c r="B341" s="826" t="s">
        <v>1192</v>
      </c>
      <c r="C341" s="822" t="s">
        <v>0</v>
      </c>
      <c r="D341" s="837"/>
      <c r="E341" s="837"/>
    </row>
    <row r="342" spans="1:5">
      <c r="A342" s="414"/>
      <c r="B342" s="5" t="s">
        <v>1194</v>
      </c>
      <c r="C342" s="643" t="s">
        <v>0</v>
      </c>
      <c r="D342" s="836"/>
      <c r="E342" s="836"/>
    </row>
    <row r="343" spans="1:5" s="824" customFormat="1">
      <c r="A343" s="820"/>
      <c r="B343" s="826" t="s">
        <v>1195</v>
      </c>
      <c r="C343" s="822" t="s">
        <v>0</v>
      </c>
      <c r="D343" s="837"/>
      <c r="E343" s="837"/>
    </row>
    <row r="344" spans="1:5">
      <c r="A344" s="414"/>
      <c r="B344" s="5" t="s">
        <v>1191</v>
      </c>
      <c r="C344" s="643" t="s">
        <v>0</v>
      </c>
      <c r="D344" s="836"/>
      <c r="E344" s="836"/>
    </row>
    <row r="345" spans="1:5" s="824" customFormat="1">
      <c r="A345" s="820"/>
      <c r="B345" s="826" t="s">
        <v>1196</v>
      </c>
      <c r="C345" s="822" t="s">
        <v>0</v>
      </c>
      <c r="D345" s="837"/>
      <c r="E345" s="837"/>
    </row>
    <row r="346" spans="1:5">
      <c r="A346" s="414"/>
      <c r="B346" s="5" t="s">
        <v>1197</v>
      </c>
      <c r="C346" s="643" t="s">
        <v>0</v>
      </c>
      <c r="D346" s="836"/>
      <c r="E346" s="836"/>
    </row>
    <row r="347" spans="1:5" s="824" customFormat="1">
      <c r="A347" s="820"/>
      <c r="B347" s="821" t="s">
        <v>416</v>
      </c>
      <c r="C347" s="822" t="s">
        <v>0</v>
      </c>
      <c r="D347" s="837"/>
      <c r="E347" s="837"/>
    </row>
    <row r="348" spans="1:5">
      <c r="A348" s="414"/>
      <c r="B348" s="192" t="s">
        <v>1304</v>
      </c>
      <c r="C348" s="643" t="s">
        <v>0</v>
      </c>
      <c r="D348" s="836"/>
      <c r="E348" s="836"/>
    </row>
    <row r="349" spans="1:5" s="824" customFormat="1">
      <c r="A349" s="820"/>
      <c r="B349" s="827" t="s">
        <v>1305</v>
      </c>
      <c r="C349" s="822" t="s">
        <v>0</v>
      </c>
      <c r="D349" s="837"/>
      <c r="E349" s="837"/>
    </row>
    <row r="350" spans="1:5">
      <c r="A350" s="414"/>
      <c r="B350" s="192" t="s">
        <v>1306</v>
      </c>
      <c r="C350" s="643" t="s">
        <v>0</v>
      </c>
      <c r="D350" s="836"/>
      <c r="E350" s="836"/>
    </row>
    <row r="351" spans="1:5" s="824" customFormat="1">
      <c r="A351" s="820"/>
      <c r="B351" s="827" t="s">
        <v>1307</v>
      </c>
      <c r="C351" s="822" t="s">
        <v>0</v>
      </c>
      <c r="D351" s="837"/>
      <c r="E351" s="837"/>
    </row>
    <row r="352" spans="1:5">
      <c r="A352" s="414"/>
      <c r="B352" s="163" t="s">
        <v>510</v>
      </c>
      <c r="C352" s="643" t="s">
        <v>0</v>
      </c>
      <c r="D352" s="836"/>
      <c r="E352" s="836"/>
    </row>
    <row r="353" spans="1:5" s="824" customFormat="1">
      <c r="A353" s="820"/>
      <c r="B353" s="821" t="s">
        <v>1200</v>
      </c>
      <c r="C353" s="822" t="s">
        <v>0</v>
      </c>
      <c r="D353" s="837"/>
      <c r="E353" s="837"/>
    </row>
    <row r="354" spans="1:5">
      <c r="A354" s="414"/>
      <c r="B354" s="163" t="s">
        <v>472</v>
      </c>
      <c r="C354" s="643" t="s">
        <v>0</v>
      </c>
      <c r="D354" s="836"/>
      <c r="E354" s="836"/>
    </row>
    <row r="355" spans="1:5" s="824" customFormat="1">
      <c r="A355" s="820"/>
      <c r="B355" s="821" t="s">
        <v>1188</v>
      </c>
      <c r="C355" s="822" t="s">
        <v>0</v>
      </c>
      <c r="D355" s="837"/>
      <c r="E355" s="837"/>
    </row>
    <row r="356" spans="1:5">
      <c r="A356" s="414"/>
      <c r="B356" s="163" t="s">
        <v>443</v>
      </c>
      <c r="C356" s="643" t="s">
        <v>0</v>
      </c>
      <c r="D356" s="836"/>
      <c r="E356" s="836"/>
    </row>
    <row r="357" spans="1:5" s="824" customFormat="1">
      <c r="A357" s="820"/>
      <c r="B357" s="821" t="s">
        <v>473</v>
      </c>
      <c r="C357" s="822" t="s">
        <v>0</v>
      </c>
      <c r="D357" s="837"/>
      <c r="E357" s="837"/>
    </row>
    <row r="358" spans="1:5">
      <c r="A358" s="414"/>
      <c r="B358" s="163" t="s">
        <v>466</v>
      </c>
      <c r="C358" s="643" t="s">
        <v>0</v>
      </c>
      <c r="D358" s="836"/>
      <c r="E358" s="836"/>
    </row>
    <row r="359" spans="1:5" s="824" customFormat="1">
      <c r="A359" s="820"/>
      <c r="B359" s="821" t="s">
        <v>428</v>
      </c>
      <c r="C359" s="822" t="s">
        <v>0</v>
      </c>
      <c r="D359" s="837"/>
      <c r="E359" s="837"/>
    </row>
    <row r="360" spans="1:5">
      <c r="A360" s="414"/>
      <c r="B360" s="163" t="s">
        <v>474</v>
      </c>
      <c r="C360" s="643" t="s">
        <v>0</v>
      </c>
      <c r="D360" s="836"/>
      <c r="E360" s="836"/>
    </row>
    <row r="361" spans="1:5" s="824" customFormat="1">
      <c r="A361" s="820"/>
      <c r="B361" s="821" t="s">
        <v>463</v>
      </c>
      <c r="C361" s="822" t="s">
        <v>0</v>
      </c>
      <c r="D361" s="837"/>
      <c r="E361" s="837"/>
    </row>
    <row r="362" spans="1:5">
      <c r="A362" s="414"/>
      <c r="B362" s="163" t="s">
        <v>475</v>
      </c>
      <c r="C362" s="643" t="s">
        <v>0</v>
      </c>
      <c r="D362" s="836"/>
      <c r="E362" s="836"/>
    </row>
    <row r="363" spans="1:5" s="824" customFormat="1">
      <c r="A363" s="820"/>
      <c r="B363" s="821" t="s">
        <v>1185</v>
      </c>
      <c r="C363" s="822" t="s">
        <v>0</v>
      </c>
      <c r="D363" s="837"/>
      <c r="E363" s="837"/>
    </row>
    <row r="364" spans="1:5">
      <c r="A364" s="414"/>
      <c r="B364" s="163" t="s">
        <v>476</v>
      </c>
      <c r="C364" s="643" t="s">
        <v>0</v>
      </c>
      <c r="D364" s="836"/>
      <c r="E364" s="836"/>
    </row>
    <row r="365" spans="1:5" s="824" customFormat="1">
      <c r="A365" s="820"/>
      <c r="B365" s="821" t="s">
        <v>1199</v>
      </c>
      <c r="C365" s="822" t="s">
        <v>0</v>
      </c>
      <c r="D365" s="837"/>
      <c r="E365" s="837"/>
    </row>
    <row r="366" spans="1:5">
      <c r="A366" s="414"/>
      <c r="B366" s="163" t="s">
        <v>1190</v>
      </c>
      <c r="C366" s="643" t="s">
        <v>0</v>
      </c>
      <c r="D366" s="836"/>
      <c r="E366" s="836"/>
    </row>
    <row r="367" spans="1:5" s="824" customFormat="1">
      <c r="A367" s="820"/>
      <c r="B367" s="821" t="s">
        <v>1189</v>
      </c>
      <c r="C367" s="822" t="s">
        <v>0</v>
      </c>
      <c r="D367" s="837"/>
      <c r="E367" s="837"/>
    </row>
    <row r="368" spans="1:5">
      <c r="A368" s="414"/>
      <c r="B368" s="163" t="s">
        <v>1181</v>
      </c>
      <c r="C368" s="643" t="s">
        <v>0</v>
      </c>
      <c r="D368" s="836"/>
      <c r="E368" s="836"/>
    </row>
    <row r="369" spans="1:5" s="824" customFormat="1">
      <c r="A369" s="820"/>
      <c r="B369" s="821" t="s">
        <v>415</v>
      </c>
      <c r="C369" s="822" t="s">
        <v>0</v>
      </c>
      <c r="D369" s="837"/>
      <c r="E369" s="837"/>
    </row>
    <row r="370" spans="1:5">
      <c r="A370" s="414"/>
      <c r="B370" s="192" t="s">
        <v>1198</v>
      </c>
      <c r="C370" s="643" t="s">
        <v>0</v>
      </c>
      <c r="D370" s="836"/>
      <c r="E370" s="836"/>
    </row>
    <row r="371" spans="1:5" s="824" customFormat="1">
      <c r="A371" s="820"/>
      <c r="B371" s="827" t="s">
        <v>1182</v>
      </c>
      <c r="C371" s="822" t="s">
        <v>0</v>
      </c>
      <c r="D371" s="837"/>
      <c r="E371" s="837"/>
    </row>
    <row r="372" spans="1:5">
      <c r="A372" s="414"/>
      <c r="B372" s="192" t="s">
        <v>1183</v>
      </c>
      <c r="C372" s="643" t="s">
        <v>0</v>
      </c>
      <c r="D372" s="836"/>
      <c r="E372" s="836"/>
    </row>
    <row r="373" spans="1:5" s="824" customFormat="1">
      <c r="A373" s="820"/>
      <c r="B373" s="827" t="s">
        <v>1184</v>
      </c>
      <c r="C373" s="822" t="s">
        <v>0</v>
      </c>
      <c r="D373" s="837"/>
      <c r="E373" s="837"/>
    </row>
    <row r="374" spans="1:5">
      <c r="A374" s="414"/>
      <c r="B374" s="192" t="s">
        <v>444</v>
      </c>
      <c r="C374" s="643" t="s">
        <v>0</v>
      </c>
      <c r="D374" s="836"/>
      <c r="E374" s="836"/>
    </row>
    <row r="375" spans="1:5">
      <c r="A375" s="820"/>
      <c r="B375" s="829" t="s">
        <v>1422</v>
      </c>
      <c r="C375" s="830" t="s">
        <v>743</v>
      </c>
      <c r="D375" s="839"/>
      <c r="E375" s="839"/>
    </row>
    <row r="376" spans="1:5">
      <c r="A376" s="750"/>
      <c r="B376" s="749" t="s">
        <v>1352</v>
      </c>
      <c r="C376" s="751" t="s">
        <v>1337</v>
      </c>
      <c r="D376" s="840"/>
      <c r="E376" s="840"/>
    </row>
    <row r="377" spans="1:5">
      <c r="A377" s="750"/>
      <c r="B377" s="749" t="s">
        <v>1353</v>
      </c>
      <c r="C377" s="751" t="s">
        <v>1338</v>
      </c>
      <c r="D377" s="840"/>
      <c r="E377" s="840"/>
    </row>
    <row r="378" spans="1:5">
      <c r="A378" s="750"/>
      <c r="B378" s="749" t="s">
        <v>1354</v>
      </c>
      <c r="C378" s="751" t="s">
        <v>574</v>
      </c>
      <c r="D378" s="840"/>
      <c r="E378" s="840"/>
    </row>
    <row r="379" spans="1:5">
      <c r="A379" s="750"/>
      <c r="B379" s="749" t="s">
        <v>1355</v>
      </c>
      <c r="C379" s="751" t="s">
        <v>743</v>
      </c>
      <c r="D379" s="840"/>
      <c r="E379" s="840"/>
    </row>
    <row r="380" spans="1:5">
      <c r="A380" s="750"/>
      <c r="B380" s="749" t="s">
        <v>1356</v>
      </c>
      <c r="C380" s="751" t="s">
        <v>0</v>
      </c>
      <c r="D380" s="840"/>
      <c r="E380" s="840"/>
    </row>
    <row r="381" spans="1:5">
      <c r="A381" s="750"/>
      <c r="B381" s="749" t="s">
        <v>1357</v>
      </c>
      <c r="C381" s="751" t="s">
        <v>743</v>
      </c>
      <c r="D381" s="840"/>
      <c r="E381" s="840"/>
    </row>
    <row r="382" spans="1:5">
      <c r="A382" s="749"/>
      <c r="B382" s="749" t="s">
        <v>1358</v>
      </c>
      <c r="C382" s="749" t="s">
        <v>743</v>
      </c>
      <c r="D382" s="840"/>
      <c r="E382" s="840"/>
    </row>
    <row r="383" spans="1:5" s="204" customFormat="1">
      <c r="A383" s="831"/>
      <c r="B383" s="835" t="s">
        <v>1294</v>
      </c>
      <c r="C383" s="833" t="s">
        <v>0</v>
      </c>
      <c r="D383" s="838"/>
      <c r="E383" s="838"/>
    </row>
    <row r="384" spans="1:5">
      <c r="A384" s="828"/>
      <c r="B384" s="826" t="s">
        <v>1295</v>
      </c>
      <c r="C384" s="822" t="s">
        <v>0</v>
      </c>
      <c r="D384" s="837"/>
      <c r="E384" s="837"/>
    </row>
    <row r="385" spans="1:5" s="204" customFormat="1">
      <c r="A385" s="831"/>
      <c r="B385" s="834" t="s">
        <v>1296</v>
      </c>
      <c r="C385" s="833" t="s">
        <v>0</v>
      </c>
      <c r="D385" s="838"/>
      <c r="E385" s="838"/>
    </row>
    <row r="386" spans="1:5">
      <c r="A386" s="828"/>
      <c r="B386" s="826" t="s">
        <v>1297</v>
      </c>
      <c r="C386" s="822" t="s">
        <v>0</v>
      </c>
      <c r="D386" s="837"/>
      <c r="E386" s="837"/>
    </row>
    <row r="387" spans="1:5" s="204" customFormat="1">
      <c r="A387" s="831"/>
      <c r="B387" s="834" t="s">
        <v>1298</v>
      </c>
      <c r="C387" s="833" t="s">
        <v>0</v>
      </c>
      <c r="D387" s="838"/>
      <c r="E387" s="838"/>
    </row>
    <row r="388" spans="1:5">
      <c r="A388" s="828"/>
      <c r="B388" s="826" t="s">
        <v>1299</v>
      </c>
      <c r="C388" s="822" t="s">
        <v>0</v>
      </c>
      <c r="D388" s="837"/>
      <c r="E388" s="837"/>
    </row>
    <row r="389" spans="1:5" s="204" customFormat="1">
      <c r="A389" s="831"/>
      <c r="B389" s="832" t="s">
        <v>1300</v>
      </c>
      <c r="C389" s="833" t="s">
        <v>0</v>
      </c>
      <c r="D389" s="838"/>
      <c r="E389" s="838"/>
    </row>
    <row r="390" spans="1:5">
      <c r="A390" s="828"/>
      <c r="B390" s="821" t="s">
        <v>1301</v>
      </c>
      <c r="C390" s="822" t="s">
        <v>0</v>
      </c>
      <c r="D390" s="837"/>
      <c r="E390" s="837"/>
    </row>
    <row r="391" spans="1:5" s="204" customFormat="1">
      <c r="A391" s="831"/>
      <c r="B391" s="832" t="s">
        <v>1302</v>
      </c>
      <c r="C391" s="833" t="s">
        <v>0</v>
      </c>
      <c r="D391" s="838"/>
      <c r="E391" s="838"/>
    </row>
    <row r="392" spans="1:5">
      <c r="A392" s="828"/>
      <c r="B392" s="821" t="s">
        <v>1303</v>
      </c>
      <c r="C392" s="822" t="s">
        <v>0</v>
      </c>
      <c r="D392" s="837"/>
      <c r="E392" s="837"/>
    </row>
  </sheetData>
  <sheetProtection formatCells="0" formatColumns="0" formatRows="0" insertColumns="0" insertRows="0" insertHyperlinks="0" deleteColumns="0" deleteRows="0" selectLockedCells="1" sort="0" autoFilter="0" pivotTables="0"/>
  <mergeCells count="5">
    <mergeCell ref="A1:E1"/>
    <mergeCell ref="A2:E2"/>
    <mergeCell ref="A3:E3"/>
    <mergeCell ref="F163:G164"/>
    <mergeCell ref="A309:E309"/>
  </mergeCells>
  <pageMargins left="0.511811024" right="0.511811024" top="0.78740157499999996" bottom="0.78740157499999996" header="0.31496062000000002" footer="0.31496062000000002"/>
  <pageSetup paperSize="9" scale="13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4" r:id="rId4" name="Button 6">
              <controlPr defaultSize="0" print="0" autoFill="0" autoPict="0" macro="[0]!Macro10">
                <anchor moveWithCells="1" sizeWithCells="1">
                  <from>
                    <xdr:col>5</xdr:col>
                    <xdr:colOff>76200</xdr:colOff>
                    <xdr:row>0</xdr:row>
                    <xdr:rowOff>47625</xdr:rowOff>
                  </from>
                  <to>
                    <xdr:col>7</xdr:col>
                    <xdr:colOff>85725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5" name="Button 19">
              <controlPr defaultSize="0" print="0" autoFill="0" autoPict="0" macro="[0]!Macro4">
                <anchor moveWithCells="1" sizeWithCells="1">
                  <from>
                    <xdr:col>8</xdr:col>
                    <xdr:colOff>314325</xdr:colOff>
                    <xdr:row>0</xdr:row>
                    <xdr:rowOff>47625</xdr:rowOff>
                  </from>
                  <to>
                    <xdr:col>9</xdr:col>
                    <xdr:colOff>419100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6" name="Button 20">
              <controlPr defaultSize="0" print="0" autoFill="0" autoPict="0" macro="[0]!Macro5">
                <anchor moveWithCells="1" sizeWithCells="1">
                  <from>
                    <xdr:col>9</xdr:col>
                    <xdr:colOff>447675</xdr:colOff>
                    <xdr:row>0</xdr:row>
                    <xdr:rowOff>47625</xdr:rowOff>
                  </from>
                  <to>
                    <xdr:col>11</xdr:col>
                    <xdr:colOff>9525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7" name="Button 21">
              <controlPr defaultSize="0" print="0" autoFill="0" autoPict="0" macro="[0]!Macro17gg">
                <anchor moveWithCells="1" sizeWithCells="1">
                  <from>
                    <xdr:col>7</xdr:col>
                    <xdr:colOff>142875</xdr:colOff>
                    <xdr:row>1</xdr:row>
                    <xdr:rowOff>190500</xdr:rowOff>
                  </from>
                  <to>
                    <xdr:col>8</xdr:col>
                    <xdr:colOff>323850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8" name="Button 23">
              <controlPr defaultSize="0" print="0" autoFill="0" autoPict="0" macro="[0]!Macro3">
                <anchor moveWithCells="1" sizeWithCells="1">
                  <from>
                    <xdr:col>7</xdr:col>
                    <xdr:colOff>171450</xdr:colOff>
                    <xdr:row>0</xdr:row>
                    <xdr:rowOff>47625</xdr:rowOff>
                  </from>
                  <to>
                    <xdr:col>8</xdr:col>
                    <xdr:colOff>266700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" r:id="rId9" name="Button 24">
              <controlPr defaultSize="0" print="0" autoFill="0" autoPict="0" macro="[0]!Macro6">
                <anchor moveWithCells="1" sizeWithCells="1">
                  <from>
                    <xdr:col>11</xdr:col>
                    <xdr:colOff>57150</xdr:colOff>
                    <xdr:row>0</xdr:row>
                    <xdr:rowOff>47625</xdr:rowOff>
                  </from>
                  <to>
                    <xdr:col>12</xdr:col>
                    <xdr:colOff>161925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10" name="Button 25">
              <controlPr defaultSize="0" print="0" autoFill="0" autoPict="0" macro="[0]!Macro7">
                <anchor moveWithCells="1" sizeWithCells="1">
                  <from>
                    <xdr:col>11</xdr:col>
                    <xdr:colOff>171450</xdr:colOff>
                    <xdr:row>1</xdr:row>
                    <xdr:rowOff>200025</xdr:rowOff>
                  </from>
                  <to>
                    <xdr:col>13</xdr:col>
                    <xdr:colOff>323850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" r:id="rId11" name="Button 26">
              <controlPr defaultSize="0" print="0" autoFill="0" autoPict="0" macro="[0]!Macro14">
                <anchor moveWithCells="1" sizeWithCells="1">
                  <from>
                    <xdr:col>8</xdr:col>
                    <xdr:colOff>361950</xdr:colOff>
                    <xdr:row>1</xdr:row>
                    <xdr:rowOff>200025</xdr:rowOff>
                  </from>
                  <to>
                    <xdr:col>11</xdr:col>
                    <xdr:colOff>104775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DE085-39E1-4814-9421-EF4140D21295}">
  <sheetPr codeName="Plan11" filterMode="1"/>
  <dimension ref="A1:DQ2262"/>
  <sheetViews>
    <sheetView showGridLines="0" zoomScale="90" zoomScaleNormal="90" zoomScaleSheetLayoutView="100" workbookViewId="0">
      <selection activeCell="D2" sqref="D2:F2"/>
    </sheetView>
  </sheetViews>
  <sheetFormatPr defaultRowHeight="15.75"/>
  <cols>
    <col min="1" max="1" width="22.5703125" customWidth="1"/>
    <col min="2" max="2" width="54.85546875" hidden="1" customWidth="1"/>
    <col min="3" max="3" width="8.7109375" hidden="1" customWidth="1"/>
    <col min="4" max="4" width="13.28515625" customWidth="1"/>
    <col min="5" max="5" width="12.28515625" customWidth="1"/>
    <col min="6" max="6" width="7.7109375" style="278" customWidth="1"/>
    <col min="8" max="8" width="9.140625" customWidth="1"/>
    <col min="11" max="11" width="2.140625" customWidth="1"/>
    <col min="14" max="14" width="3.85546875" customWidth="1"/>
  </cols>
  <sheetData>
    <row r="1" spans="1:13" ht="48" customHeight="1" thickBot="1">
      <c r="A1" s="2000"/>
      <c r="B1" s="2000"/>
      <c r="C1" s="2000"/>
      <c r="D1" s="2000"/>
      <c r="E1" s="2000"/>
      <c r="F1" s="2000"/>
      <c r="G1" s="2000"/>
      <c r="H1" s="2000"/>
      <c r="I1" s="2000"/>
      <c r="J1" s="2000"/>
      <c r="K1" s="2000"/>
      <c r="L1" s="2000"/>
      <c r="M1" s="2000"/>
    </row>
    <row r="2" spans="1:13" ht="29.1" customHeight="1" thickBot="1">
      <c r="B2" s="299"/>
      <c r="C2" s="299"/>
      <c r="D2" s="1662" t="s">
        <v>1288</v>
      </c>
      <c r="E2" s="1663"/>
      <c r="F2" s="1664"/>
    </row>
    <row r="3" spans="1:13" ht="3.75" customHeight="1" thickBot="1">
      <c r="B3" s="303"/>
      <c r="C3" s="303"/>
      <c r="E3" s="93"/>
      <c r="F3" s="59"/>
    </row>
    <row r="4" spans="1:13" ht="15.75" hidden="1" customHeight="1" thickBot="1">
      <c r="B4" s="303"/>
      <c r="C4" s="303"/>
      <c r="E4" s="883" t="s">
        <v>1480</v>
      </c>
      <c r="F4" s="754">
        <f>SUM(F5:F26)</f>
        <v>0</v>
      </c>
    </row>
    <row r="5" spans="1:13" ht="15.75" hidden="1" customHeight="1" thickBot="1">
      <c r="B5" s="303"/>
      <c r="C5" s="303"/>
      <c r="E5" s="882" t="s">
        <v>74</v>
      </c>
      <c r="F5" s="854">
        <f>'Trifásico 13,8kv '!F5</f>
        <v>0</v>
      </c>
    </row>
    <row r="6" spans="1:13" ht="15.75" hidden="1" customHeight="1" thickBot="1">
      <c r="B6" s="303"/>
      <c r="C6" s="303"/>
      <c r="E6" s="97" t="s">
        <v>75</v>
      </c>
      <c r="F6" s="854">
        <f>'Trifásico 13,8kv '!F6</f>
        <v>0</v>
      </c>
    </row>
    <row r="7" spans="1:13" ht="15.75" hidden="1" customHeight="1" thickBot="1">
      <c r="B7" s="303"/>
      <c r="C7" s="303"/>
      <c r="E7" s="96" t="s">
        <v>76</v>
      </c>
      <c r="F7" s="854">
        <f>'Trifásico 13,8kv '!F7</f>
        <v>0</v>
      </c>
    </row>
    <row r="8" spans="1:13" ht="15.75" hidden="1" customHeight="1" thickBot="1">
      <c r="B8" s="303"/>
      <c r="C8" s="303"/>
      <c r="E8" s="97" t="s">
        <v>77</v>
      </c>
      <c r="F8" s="854">
        <f>'Trifásico 13,8kv '!F8</f>
        <v>0</v>
      </c>
    </row>
    <row r="9" spans="1:13" ht="15.75" hidden="1" customHeight="1" thickBot="1">
      <c r="B9" s="303"/>
      <c r="C9" s="303"/>
      <c r="E9" s="96" t="s">
        <v>100</v>
      </c>
      <c r="F9" s="854">
        <f>'Trifásico 13,8kv '!F9</f>
        <v>0</v>
      </c>
    </row>
    <row r="10" spans="1:13" ht="15.75" hidden="1" customHeight="1" thickBot="1">
      <c r="B10" s="303"/>
      <c r="C10" s="303"/>
      <c r="E10" s="97" t="s">
        <v>78</v>
      </c>
      <c r="F10" s="854">
        <f>'Trifásico 13,8kv '!F10</f>
        <v>0</v>
      </c>
    </row>
    <row r="11" spans="1:13" ht="15.75" hidden="1" customHeight="1" thickBot="1">
      <c r="B11" s="303"/>
      <c r="C11" s="303"/>
      <c r="E11" s="96" t="s">
        <v>79</v>
      </c>
      <c r="F11" s="854">
        <f>'Trifásico 13,8kv '!F11</f>
        <v>0</v>
      </c>
    </row>
    <row r="12" spans="1:13" ht="15.75" hidden="1" customHeight="1" thickBot="1">
      <c r="B12" s="303"/>
      <c r="C12" s="303"/>
      <c r="E12" s="97" t="s">
        <v>80</v>
      </c>
      <c r="F12" s="854">
        <f>'Trifásico 13,8kv '!F12</f>
        <v>0</v>
      </c>
    </row>
    <row r="13" spans="1:13" ht="15.75" hidden="1" customHeight="1" thickBot="1">
      <c r="B13" s="303"/>
      <c r="C13" s="303"/>
      <c r="E13" s="96" t="s">
        <v>81</v>
      </c>
      <c r="F13" s="854">
        <f>'Trifásico 13,8kv '!F13</f>
        <v>0</v>
      </c>
    </row>
    <row r="14" spans="1:13" ht="15.75" hidden="1" customHeight="1" thickBot="1">
      <c r="B14" s="303"/>
      <c r="C14" s="303"/>
      <c r="E14" s="97" t="s">
        <v>82</v>
      </c>
      <c r="F14" s="854">
        <f>'Trifásico 13,8kv '!F14</f>
        <v>0</v>
      </c>
    </row>
    <row r="15" spans="1:13" ht="15.75" hidden="1" customHeight="1" thickBot="1">
      <c r="B15" s="303"/>
      <c r="C15" s="303"/>
      <c r="E15" s="96" t="s">
        <v>83</v>
      </c>
      <c r="F15" s="854">
        <f>'Trifásico 13,8kv '!F15</f>
        <v>0</v>
      </c>
    </row>
    <row r="16" spans="1:13" ht="15.75" hidden="1" customHeight="1" thickBot="1">
      <c r="B16" s="303"/>
      <c r="C16" s="303"/>
      <c r="E16" s="97" t="s">
        <v>85</v>
      </c>
      <c r="F16" s="854">
        <f>'Trifásico 13,8kv '!F16</f>
        <v>0</v>
      </c>
    </row>
    <row r="17" spans="2:6" ht="15.75" hidden="1" customHeight="1" thickBot="1">
      <c r="B17" s="303"/>
      <c r="C17" s="303"/>
      <c r="E17" s="96" t="s">
        <v>84</v>
      </c>
      <c r="F17" s="854">
        <f>'Trifásico 13,8kv '!F17</f>
        <v>0</v>
      </c>
    </row>
    <row r="18" spans="2:6" ht="15.75" hidden="1" customHeight="1" thickBot="1">
      <c r="B18" s="303"/>
      <c r="C18" s="303"/>
      <c r="E18" s="97" t="s">
        <v>86</v>
      </c>
      <c r="F18" s="854">
        <f>'Trifásico 13,8kv '!F18</f>
        <v>0</v>
      </c>
    </row>
    <row r="19" spans="2:6" ht="15.75" hidden="1" customHeight="1" thickBot="1">
      <c r="B19" s="303"/>
      <c r="C19" s="303"/>
      <c r="E19" s="96" t="s">
        <v>87</v>
      </c>
      <c r="F19" s="854">
        <f>'Trifásico 13,8kv '!F19</f>
        <v>0</v>
      </c>
    </row>
    <row r="20" spans="2:6" ht="15.75" hidden="1" customHeight="1" thickBot="1">
      <c r="B20" s="303"/>
      <c r="C20" s="303"/>
      <c r="E20" s="97" t="s">
        <v>101</v>
      </c>
      <c r="F20" s="854">
        <f>'Trifásico 13,8kv '!F20</f>
        <v>0</v>
      </c>
    </row>
    <row r="21" spans="2:6" ht="15.75" hidden="1" customHeight="1" thickBot="1">
      <c r="B21" s="303"/>
      <c r="C21" s="303"/>
      <c r="E21" s="96" t="s">
        <v>88</v>
      </c>
      <c r="F21" s="854">
        <f>'Trifásico 13,8kv '!F21</f>
        <v>0</v>
      </c>
    </row>
    <row r="22" spans="2:6" ht="15.75" hidden="1" customHeight="1" thickBot="1">
      <c r="B22" s="303"/>
      <c r="C22" s="303"/>
      <c r="E22" s="97" t="s">
        <v>89</v>
      </c>
      <c r="F22" s="854">
        <f>'Trifásico 13,8kv '!F22</f>
        <v>0</v>
      </c>
    </row>
    <row r="23" spans="2:6" ht="15.75" hidden="1" customHeight="1" thickBot="1">
      <c r="B23" s="303"/>
      <c r="C23" s="303"/>
      <c r="E23" s="96" t="s">
        <v>90</v>
      </c>
      <c r="F23" s="854">
        <f>'Trifásico 13,8kv '!F23</f>
        <v>0</v>
      </c>
    </row>
    <row r="24" spans="2:6" ht="15.75" hidden="1" customHeight="1" thickBot="1">
      <c r="B24" s="303"/>
      <c r="C24" s="303"/>
      <c r="E24" s="97" t="s">
        <v>93</v>
      </c>
      <c r="F24" s="854">
        <f>'Trifásico 13,8kv '!F24</f>
        <v>0</v>
      </c>
    </row>
    <row r="25" spans="2:6" ht="15.75" hidden="1" customHeight="1" thickBot="1">
      <c r="B25" s="303"/>
      <c r="C25" s="303"/>
      <c r="E25" s="96" t="s">
        <v>91</v>
      </c>
      <c r="F25" s="854">
        <f>'Trifásico 13,8kv '!F25</f>
        <v>0</v>
      </c>
    </row>
    <row r="26" spans="2:6" ht="15.75" hidden="1" customHeight="1" thickBot="1">
      <c r="B26" s="303"/>
      <c r="C26" s="303"/>
      <c r="E26" s="97" t="s">
        <v>92</v>
      </c>
      <c r="F26" s="854">
        <f>'Trifásico 13,8kv '!F26</f>
        <v>0</v>
      </c>
    </row>
    <row r="27" spans="2:6" ht="15.75" hidden="1" customHeight="1">
      <c r="B27" s="112"/>
      <c r="C27" s="112"/>
      <c r="E27" s="130"/>
      <c r="F27" s="881">
        <f>SUM(F5:F26)</f>
        <v>0</v>
      </c>
    </row>
    <row r="28" spans="2:6" ht="15.75" hidden="1" customHeight="1" thickBot="1">
      <c r="B28" s="880"/>
      <c r="C28" s="880"/>
      <c r="E28" s="883" t="s">
        <v>1360</v>
      </c>
      <c r="F28" s="884">
        <f>SUM(F29:F50)</f>
        <v>0</v>
      </c>
    </row>
    <row r="29" spans="2:6" ht="15.75" hidden="1" customHeight="1" thickBot="1">
      <c r="B29" s="303"/>
      <c r="C29" s="303"/>
      <c r="E29" s="882" t="s">
        <v>74</v>
      </c>
      <c r="F29" s="854">
        <f>'Mono 13,8kv'!I5+'Trifásico 13,8kv '!K5</f>
        <v>0</v>
      </c>
    </row>
    <row r="30" spans="2:6" ht="15.75" hidden="1" customHeight="1" thickBot="1">
      <c r="B30" s="303"/>
      <c r="C30" s="303"/>
      <c r="E30" s="97" t="s">
        <v>75</v>
      </c>
      <c r="F30" s="854">
        <f>'Mono 13,8kv'!I6+'Trifásico 13,8kv '!K6</f>
        <v>0</v>
      </c>
    </row>
    <row r="31" spans="2:6" ht="15.75" hidden="1" customHeight="1" thickBot="1">
      <c r="B31" s="303"/>
      <c r="C31" s="303"/>
      <c r="E31" s="96" t="s">
        <v>76</v>
      </c>
      <c r="F31" s="854">
        <f>'Mono 13,8kv'!I7+'Trifásico 13,8kv '!K7</f>
        <v>0</v>
      </c>
    </row>
    <row r="32" spans="2:6" ht="15.75" hidden="1" customHeight="1" thickBot="1">
      <c r="B32" s="303"/>
      <c r="C32" s="303"/>
      <c r="E32" s="97" t="s">
        <v>77</v>
      </c>
      <c r="F32" s="854">
        <f>'Mono 13,8kv'!I8+'Trifásico 13,8kv '!K8</f>
        <v>0</v>
      </c>
    </row>
    <row r="33" spans="2:6" ht="15.75" hidden="1" customHeight="1" thickBot="1">
      <c r="B33" s="303"/>
      <c r="C33" s="303"/>
      <c r="E33" s="96" t="s">
        <v>100</v>
      </c>
      <c r="F33" s="854">
        <f>'Mono 13,8kv'!I9+'Trifásico 13,8kv '!K9</f>
        <v>0</v>
      </c>
    </row>
    <row r="34" spans="2:6" ht="15.75" hidden="1" customHeight="1" thickBot="1">
      <c r="B34" s="303"/>
      <c r="C34" s="303"/>
      <c r="E34" s="97" t="s">
        <v>78</v>
      </c>
      <c r="F34" s="854">
        <f>'Mono 13,8kv'!I10+'Trifásico 13,8kv '!K10</f>
        <v>0</v>
      </c>
    </row>
    <row r="35" spans="2:6" ht="15.75" hidden="1" customHeight="1" thickBot="1">
      <c r="B35" s="303"/>
      <c r="C35" s="303"/>
      <c r="E35" s="96" t="s">
        <v>79</v>
      </c>
      <c r="F35" s="854">
        <f>'Mono 13,8kv'!I11+'Trifásico 13,8kv '!K11</f>
        <v>0</v>
      </c>
    </row>
    <row r="36" spans="2:6" ht="15.75" hidden="1" customHeight="1" thickBot="1">
      <c r="B36" s="303"/>
      <c r="C36" s="303"/>
      <c r="E36" s="97" t="s">
        <v>80</v>
      </c>
      <c r="F36" s="854">
        <f>'Mono 13,8kv'!I12+'Trifásico 13,8kv '!K12</f>
        <v>0</v>
      </c>
    </row>
    <row r="37" spans="2:6" ht="15.75" hidden="1" customHeight="1" thickBot="1">
      <c r="B37" s="303"/>
      <c r="C37" s="303"/>
      <c r="E37" s="96" t="s">
        <v>81</v>
      </c>
      <c r="F37" s="854">
        <f>'Mono 13,8kv'!I13+'Trifásico 13,8kv '!K13</f>
        <v>0</v>
      </c>
    </row>
    <row r="38" spans="2:6" ht="15.75" hidden="1" customHeight="1" thickBot="1">
      <c r="B38" s="303"/>
      <c r="C38" s="303"/>
      <c r="E38" s="97" t="s">
        <v>82</v>
      </c>
      <c r="F38" s="854">
        <f>'Mono 13,8kv'!I14+'Trifásico 13,8kv '!K14</f>
        <v>0</v>
      </c>
    </row>
    <row r="39" spans="2:6" ht="15.75" hidden="1" customHeight="1" thickBot="1">
      <c r="B39" s="303"/>
      <c r="C39" s="303"/>
      <c r="E39" s="96" t="s">
        <v>83</v>
      </c>
      <c r="F39" s="854">
        <f>'Mono 13,8kv'!I15+'Trifásico 13,8kv '!K15</f>
        <v>0</v>
      </c>
    </row>
    <row r="40" spans="2:6" ht="15.75" hidden="1" customHeight="1" thickBot="1">
      <c r="B40" s="303"/>
      <c r="C40" s="303"/>
      <c r="E40" s="97" t="s">
        <v>85</v>
      </c>
      <c r="F40" s="854">
        <f>'Mono 13,8kv'!I16+'Trifásico 13,8kv '!K16</f>
        <v>0</v>
      </c>
    </row>
    <row r="41" spans="2:6" ht="15.75" hidden="1" customHeight="1" thickBot="1">
      <c r="B41" s="303"/>
      <c r="C41" s="303"/>
      <c r="E41" s="96" t="s">
        <v>84</v>
      </c>
      <c r="F41" s="854">
        <f>'Mono 13,8kv'!I17+'Trifásico 13,8kv '!K17</f>
        <v>0</v>
      </c>
    </row>
    <row r="42" spans="2:6" ht="15.75" hidden="1" customHeight="1" thickBot="1">
      <c r="B42" s="303"/>
      <c r="C42" s="303"/>
      <c r="E42" s="97" t="s">
        <v>86</v>
      </c>
      <c r="F42" s="854">
        <f>'Mono 13,8kv'!I18+'Trifásico 13,8kv '!K18</f>
        <v>0</v>
      </c>
    </row>
    <row r="43" spans="2:6" ht="15.75" hidden="1" customHeight="1" thickBot="1">
      <c r="B43" s="303"/>
      <c r="C43" s="303"/>
      <c r="E43" s="96" t="s">
        <v>87</v>
      </c>
      <c r="F43" s="854">
        <f>'Mono 13,8kv'!I19+'Trifásico 13,8kv '!K19</f>
        <v>0</v>
      </c>
    </row>
    <row r="44" spans="2:6" ht="15.75" hidden="1" customHeight="1" thickBot="1">
      <c r="B44" s="303"/>
      <c r="C44" s="303"/>
      <c r="E44" s="97" t="s">
        <v>101</v>
      </c>
      <c r="F44" s="854">
        <f>'Mono 13,8kv'!I20+'Trifásico 13,8kv '!K20</f>
        <v>0</v>
      </c>
    </row>
    <row r="45" spans="2:6" ht="15.75" hidden="1" customHeight="1" thickBot="1">
      <c r="B45" s="303"/>
      <c r="C45" s="303"/>
      <c r="E45" s="96" t="s">
        <v>88</v>
      </c>
      <c r="F45" s="854">
        <f>'Mono 13,8kv'!I21+'Trifásico 13,8kv '!K21</f>
        <v>0</v>
      </c>
    </row>
    <row r="46" spans="2:6" ht="15.75" hidden="1" customHeight="1" thickBot="1">
      <c r="B46" s="303"/>
      <c r="C46" s="303"/>
      <c r="E46" s="97" t="s">
        <v>89</v>
      </c>
      <c r="F46" s="854">
        <f>'Mono 13,8kv'!I22+'Trifásico 13,8kv '!K22</f>
        <v>0</v>
      </c>
    </row>
    <row r="47" spans="2:6" ht="15.75" hidden="1" customHeight="1" thickBot="1">
      <c r="B47" s="303"/>
      <c r="C47" s="303"/>
      <c r="E47" s="96" t="s">
        <v>90</v>
      </c>
      <c r="F47" s="854">
        <f>'Mono 13,8kv'!I23+'Trifásico 13,8kv '!K23</f>
        <v>0</v>
      </c>
    </row>
    <row r="48" spans="2:6" ht="15.75" hidden="1" customHeight="1" thickBot="1">
      <c r="B48" s="303"/>
      <c r="C48" s="303"/>
      <c r="E48" s="97" t="s">
        <v>93</v>
      </c>
      <c r="F48" s="854">
        <f>'Mono 13,8kv'!I24+'Trifásico 13,8kv '!K24</f>
        <v>0</v>
      </c>
    </row>
    <row r="49" spans="2:6" ht="15.75" hidden="1" customHeight="1" thickBot="1">
      <c r="B49" s="303"/>
      <c r="C49" s="303"/>
      <c r="E49" s="96" t="s">
        <v>91</v>
      </c>
      <c r="F49" s="854">
        <f>'Mono 13,8kv'!I25+'Trifásico 13,8kv '!K25</f>
        <v>0</v>
      </c>
    </row>
    <row r="50" spans="2:6" ht="15.75" hidden="1" customHeight="1" thickBot="1">
      <c r="B50" s="303"/>
      <c r="C50" s="303"/>
      <c r="E50" s="97" t="s">
        <v>92</v>
      </c>
      <c r="F50" s="854">
        <f>'Mono 13,8kv'!I26+'Trifásico 13,8kv '!K26</f>
        <v>0</v>
      </c>
    </row>
    <row r="51" spans="2:6" ht="15.75" hidden="1" customHeight="1" thickBot="1">
      <c r="B51" s="303"/>
      <c r="C51" s="303"/>
      <c r="E51" s="93"/>
      <c r="F51" s="753">
        <f>SUM(F29:F50)</f>
        <v>0</v>
      </c>
    </row>
    <row r="52" spans="2:6" ht="15.75" hidden="1" customHeight="1" thickBot="1">
      <c r="B52" s="303"/>
      <c r="C52" s="303"/>
      <c r="E52" s="48" t="s">
        <v>1359</v>
      </c>
      <c r="F52" s="48">
        <f>SUM(F53:F74)</f>
        <v>0</v>
      </c>
    </row>
    <row r="53" spans="2:6" ht="15.75" hidden="1" customHeight="1" thickBot="1">
      <c r="B53" s="303"/>
      <c r="C53" s="303"/>
      <c r="E53" s="225" t="s">
        <v>74</v>
      </c>
      <c r="F53" s="105">
        <f>'Trifásico 13,8kv '!N5+'Trifásico 13,8kv '!O5+'Trifásico 13,8kv '!P5</f>
        <v>0</v>
      </c>
    </row>
    <row r="54" spans="2:6" ht="15.75" hidden="1" customHeight="1" thickBot="1">
      <c r="B54" s="303"/>
      <c r="C54" s="303"/>
      <c r="E54" s="107" t="s">
        <v>75</v>
      </c>
      <c r="F54" s="105">
        <f>'Trifásico 13,8kv '!N6+'Trifásico 13,8kv '!O6+'Trifásico 13,8kv '!P6</f>
        <v>0</v>
      </c>
    </row>
    <row r="55" spans="2:6" ht="15.75" hidden="1" customHeight="1" thickBot="1">
      <c r="B55" s="303"/>
      <c r="C55" s="303"/>
      <c r="E55" s="97" t="s">
        <v>76</v>
      </c>
      <c r="F55" s="105">
        <f>'Trifásico 13,8kv '!N7+'Trifásico 13,8kv '!O7+'Trifásico 13,8kv '!P7</f>
        <v>0</v>
      </c>
    </row>
    <row r="56" spans="2:6" ht="15.75" hidden="1" customHeight="1" thickBot="1">
      <c r="B56" s="303"/>
      <c r="C56" s="303"/>
      <c r="E56" s="107" t="s">
        <v>77</v>
      </c>
      <c r="F56" s="105">
        <f>'Trifásico 13,8kv '!N8+'Trifásico 13,8kv '!O8+'Trifásico 13,8kv '!P8</f>
        <v>0</v>
      </c>
    </row>
    <row r="57" spans="2:6" ht="15.75" hidden="1" customHeight="1" thickBot="1">
      <c r="B57" s="303"/>
      <c r="C57" s="303"/>
      <c r="E57" s="97" t="s">
        <v>100</v>
      </c>
      <c r="F57" s="105">
        <f>'Trifásico 13,8kv '!N9+'Trifásico 13,8kv '!O9+'Trifásico 13,8kv '!P9</f>
        <v>0</v>
      </c>
    </row>
    <row r="58" spans="2:6" ht="15.75" hidden="1" customHeight="1" thickBot="1">
      <c r="B58" s="303"/>
      <c r="C58" s="303"/>
      <c r="E58" s="107" t="s">
        <v>78</v>
      </c>
      <c r="F58" s="105">
        <f>'Trifásico 13,8kv '!N10+'Trifásico 13,8kv '!O10+'Trifásico 13,8kv '!P10</f>
        <v>0</v>
      </c>
    </row>
    <row r="59" spans="2:6" ht="15.75" hidden="1" customHeight="1" thickBot="1">
      <c r="B59" s="303"/>
      <c r="C59" s="303"/>
      <c r="E59" s="97" t="s">
        <v>79</v>
      </c>
      <c r="F59" s="105">
        <f>'Trifásico 13,8kv '!N11+'Trifásico 13,8kv '!O11+'Trifásico 13,8kv '!P11</f>
        <v>0</v>
      </c>
    </row>
    <row r="60" spans="2:6" ht="15.75" hidden="1" customHeight="1" thickBot="1">
      <c r="B60" s="303"/>
      <c r="C60" s="303"/>
      <c r="E60" s="107" t="s">
        <v>80</v>
      </c>
      <c r="F60" s="105">
        <f>'Trifásico 13,8kv '!N12+'Trifásico 13,8kv '!O12+'Trifásico 13,8kv '!P12</f>
        <v>0</v>
      </c>
    </row>
    <row r="61" spans="2:6" ht="15.75" hidden="1" customHeight="1" thickBot="1">
      <c r="B61" s="303"/>
      <c r="C61" s="303"/>
      <c r="E61" s="97" t="s">
        <v>81</v>
      </c>
      <c r="F61" s="105">
        <f>'Trifásico 13,8kv '!N13+'Trifásico 13,8kv '!O13+'Trifásico 13,8kv '!P13</f>
        <v>0</v>
      </c>
    </row>
    <row r="62" spans="2:6" ht="15.75" hidden="1" customHeight="1" thickBot="1">
      <c r="B62" s="303"/>
      <c r="C62" s="303"/>
      <c r="E62" s="107" t="s">
        <v>82</v>
      </c>
      <c r="F62" s="105">
        <f>'Trifásico 13,8kv '!N14+'Trifásico 13,8kv '!O14+'Trifásico 13,8kv '!P14</f>
        <v>0</v>
      </c>
    </row>
    <row r="63" spans="2:6" ht="15.75" hidden="1" customHeight="1" thickBot="1">
      <c r="B63" s="303"/>
      <c r="C63" s="303"/>
      <c r="E63" s="97" t="s">
        <v>83</v>
      </c>
      <c r="F63" s="105">
        <f>'Trifásico 13,8kv '!N15+'Trifásico 13,8kv '!O15+'Trifásico 13,8kv '!P15</f>
        <v>0</v>
      </c>
    </row>
    <row r="64" spans="2:6" ht="15.75" hidden="1" customHeight="1" thickBot="1">
      <c r="B64" s="303"/>
      <c r="C64" s="303"/>
      <c r="E64" s="107" t="s">
        <v>85</v>
      </c>
      <c r="F64" s="105">
        <f>'Trifásico 13,8kv '!N16+'Trifásico 13,8kv '!O16+'Trifásico 13,8kv '!P16</f>
        <v>0</v>
      </c>
    </row>
    <row r="65" spans="1:15" ht="15.75" hidden="1" customHeight="1" thickBot="1">
      <c r="B65" s="303"/>
      <c r="C65" s="303"/>
      <c r="E65" s="97" t="s">
        <v>84</v>
      </c>
      <c r="F65" s="105">
        <f>'Trifásico 13,8kv '!N17+'Trifásico 13,8kv '!O17+'Trifásico 13,8kv '!P17</f>
        <v>0</v>
      </c>
    </row>
    <row r="66" spans="1:15" ht="15.75" hidden="1" customHeight="1" thickBot="1">
      <c r="B66" s="303"/>
      <c r="C66" s="303"/>
      <c r="E66" s="107" t="s">
        <v>86</v>
      </c>
      <c r="F66" s="105">
        <f>'Trifásico 13,8kv '!N18+'Trifásico 13,8kv '!O18+'Trifásico 13,8kv '!P18</f>
        <v>0</v>
      </c>
    </row>
    <row r="67" spans="1:15" ht="15.75" hidden="1" customHeight="1" thickBot="1">
      <c r="B67" s="303"/>
      <c r="C67" s="303"/>
      <c r="E67" s="97" t="s">
        <v>87</v>
      </c>
      <c r="F67" s="105">
        <f>'Trifásico 13,8kv '!N19+'Trifásico 13,8kv '!O19+'Trifásico 13,8kv '!P19</f>
        <v>0</v>
      </c>
    </row>
    <row r="68" spans="1:15" ht="15.75" hidden="1" customHeight="1" thickBot="1">
      <c r="B68" s="303"/>
      <c r="C68" s="303"/>
      <c r="E68" s="107" t="s">
        <v>101</v>
      </c>
      <c r="F68" s="105">
        <f>'Trifásico 13,8kv '!N20+'Trifásico 13,8kv '!O20+'Trifásico 13,8kv '!P20</f>
        <v>0</v>
      </c>
    </row>
    <row r="69" spans="1:15" ht="15.75" hidden="1" customHeight="1" thickBot="1">
      <c r="B69" s="303"/>
      <c r="C69" s="303"/>
      <c r="E69" s="97" t="s">
        <v>88</v>
      </c>
      <c r="F69" s="105">
        <f>'Trifásico 13,8kv '!N21+'Trifásico 13,8kv '!O21+'Trifásico 13,8kv '!P21</f>
        <v>0</v>
      </c>
    </row>
    <row r="70" spans="1:15" ht="15.75" hidden="1" customHeight="1" thickBot="1">
      <c r="B70" s="303"/>
      <c r="C70" s="303"/>
      <c r="E70" s="107" t="s">
        <v>89</v>
      </c>
      <c r="F70" s="105">
        <f>'Trifásico 13,8kv '!N22+'Trifásico 13,8kv '!O22+'Trifásico 13,8kv '!P22</f>
        <v>0</v>
      </c>
    </row>
    <row r="71" spans="1:15" ht="15.75" hidden="1" customHeight="1" thickBot="1">
      <c r="B71" s="303"/>
      <c r="C71" s="303"/>
      <c r="E71" s="97" t="s">
        <v>90</v>
      </c>
      <c r="F71" s="105">
        <f>'Trifásico 13,8kv '!N23+'Trifásico 13,8kv '!O23+'Trifásico 13,8kv '!P23</f>
        <v>0</v>
      </c>
    </row>
    <row r="72" spans="1:15" ht="15.75" hidden="1" customHeight="1" thickBot="1">
      <c r="B72" s="303"/>
      <c r="C72" s="303"/>
      <c r="E72" s="107" t="s">
        <v>93</v>
      </c>
      <c r="F72" s="105">
        <f>'Trifásico 13,8kv '!N24+'Trifásico 13,8kv '!O24+'Trifásico 13,8kv '!P24</f>
        <v>0</v>
      </c>
    </row>
    <row r="73" spans="1:15" ht="15.75" hidden="1" customHeight="1" thickBot="1">
      <c r="B73" s="303"/>
      <c r="C73" s="303"/>
      <c r="E73" s="97" t="s">
        <v>91</v>
      </c>
      <c r="F73" s="105">
        <f>'Trifásico 13,8kv '!N25+'Trifásico 13,8kv '!O25+'Trifásico 13,8kv '!P25</f>
        <v>0</v>
      </c>
    </row>
    <row r="74" spans="1:15" ht="15.75" hidden="1" customHeight="1" thickBot="1">
      <c r="B74" s="303"/>
      <c r="C74" s="303"/>
      <c r="E74" s="107" t="s">
        <v>92</v>
      </c>
      <c r="F74" s="105">
        <f>'Trifásico 13,8kv '!N26+'Trifásico 13,8kv '!O26+'Trifásico 13,8kv '!P26</f>
        <v>0</v>
      </c>
    </row>
    <row r="75" spans="1:15" ht="15.75" hidden="1" customHeight="1" thickBot="1">
      <c r="B75" s="303"/>
      <c r="C75" s="303"/>
      <c r="E75" s="93"/>
      <c r="F75" s="753">
        <f>SUM(F53:F74)</f>
        <v>0</v>
      </c>
    </row>
    <row r="76" spans="1:15" ht="15.75" hidden="1" customHeight="1" thickBot="1">
      <c r="B76" s="1654"/>
      <c r="C76" s="1654"/>
      <c r="D76" s="35"/>
      <c r="E76" s="260" t="s">
        <v>184</v>
      </c>
      <c r="F76" s="260">
        <f>SUM(F77:F98)</f>
        <v>0</v>
      </c>
    </row>
    <row r="77" spans="1:15" s="6" customFormat="1" ht="15.75" hidden="1" customHeight="1">
      <c r="A77"/>
      <c r="B77" s="1655"/>
      <c r="C77" s="1656"/>
      <c r="D77" s="35"/>
      <c r="E77" s="97" t="s">
        <v>74</v>
      </c>
      <c r="F77" s="105">
        <f>'Trifásico 13,8kv '!S5+'Trifásico 13,8kv '!T5+'Trifásico 13,8kv '!U5</f>
        <v>0</v>
      </c>
      <c r="O77" s="6" t="s">
        <v>554</v>
      </c>
    </row>
    <row r="78" spans="1:15" s="8" customFormat="1" ht="15.75" hidden="1" customHeight="1" thickBot="1">
      <c r="A78"/>
      <c r="B78" s="233"/>
      <c r="C78" s="234"/>
      <c r="D78" s="35"/>
      <c r="E78" s="107" t="s">
        <v>75</v>
      </c>
      <c r="F78" s="105">
        <f>'Trifásico 13,8kv '!S6+'Trifásico 13,8kv '!T6+'Trifásico 13,8kv '!U6</f>
        <v>0</v>
      </c>
    </row>
    <row r="79" spans="1:15" s="8" customFormat="1" ht="15.75" hidden="1" customHeight="1">
      <c r="A79"/>
      <c r="B79" s="27"/>
      <c r="C79" s="27"/>
      <c r="D79" s="35"/>
      <c r="E79" s="97" t="s">
        <v>76</v>
      </c>
      <c r="F79" s="105">
        <f>'Trifásico 13,8kv '!S7+'Trifásico 13,8kv '!T7+'Trifásico 13,8kv '!U7</f>
        <v>0</v>
      </c>
    </row>
    <row r="80" spans="1:15" s="8" customFormat="1" ht="15.75" hidden="1" customHeight="1">
      <c r="A80"/>
      <c r="B80" s="206"/>
      <c r="C80" s="235"/>
      <c r="D80" s="35"/>
      <c r="E80" s="107" t="s">
        <v>77</v>
      </c>
      <c r="F80" s="105">
        <f>'Trifásico 13,8kv '!S8+'Trifásico 13,8kv '!T8+'Trifásico 13,8kv '!U8</f>
        <v>0</v>
      </c>
    </row>
    <row r="81" spans="1:6" s="8" customFormat="1" ht="15.75" hidden="1" customHeight="1">
      <c r="A81"/>
      <c r="B81" s="206"/>
      <c r="C81" s="235"/>
      <c r="D81" s="35"/>
      <c r="E81" s="97" t="s">
        <v>100</v>
      </c>
      <c r="F81" s="105">
        <f>'Trifásico 13,8kv '!S9+'Trifásico 13,8kv '!T9+'Trifásico 13,8kv '!U9</f>
        <v>0</v>
      </c>
    </row>
    <row r="82" spans="1:6" s="8" customFormat="1" ht="15.75" hidden="1" customHeight="1">
      <c r="A82"/>
      <c r="B82" s="206"/>
      <c r="C82" s="235"/>
      <c r="D82" s="35"/>
      <c r="E82" s="107" t="s">
        <v>78</v>
      </c>
      <c r="F82" s="105">
        <f>'Trifásico 13,8kv '!S10+'Trifásico 13,8kv '!T10+'Trifásico 13,8kv '!U10</f>
        <v>0</v>
      </c>
    </row>
    <row r="83" spans="1:6" s="8" customFormat="1" ht="15.75" hidden="1" customHeight="1">
      <c r="A83"/>
      <c r="B83" s="206"/>
      <c r="C83" s="235"/>
      <c r="D83" s="35"/>
      <c r="E83" s="97" t="s">
        <v>79</v>
      </c>
      <c r="F83" s="105">
        <f>'Trifásico 13,8kv '!S11+'Trifásico 13,8kv '!T11+'Trifásico 13,8kv '!U11</f>
        <v>0</v>
      </c>
    </row>
    <row r="84" spans="1:6" s="8" customFormat="1" ht="15.75" hidden="1" customHeight="1">
      <c r="A84"/>
      <c r="B84" s="88"/>
      <c r="C84" s="235"/>
      <c r="D84" s="35"/>
      <c r="E84" s="107" t="s">
        <v>80</v>
      </c>
      <c r="F84" s="105">
        <f>'Trifásico 13,8kv '!S12+'Trifásico 13,8kv '!T12+'Trifásico 13,8kv '!U12</f>
        <v>0</v>
      </c>
    </row>
    <row r="85" spans="1:6" s="8" customFormat="1" ht="15.75" hidden="1" customHeight="1">
      <c r="A85"/>
      <c r="B85" s="88"/>
      <c r="C85" s="235"/>
      <c r="D85" s="35"/>
      <c r="E85" s="97" t="s">
        <v>81</v>
      </c>
      <c r="F85" s="105">
        <f>'Trifásico 13,8kv '!S13+'Trifásico 13,8kv '!T13+'Trifásico 13,8kv '!U13</f>
        <v>0</v>
      </c>
    </row>
    <row r="86" spans="1:6" s="8" customFormat="1" ht="15.75" hidden="1" customHeight="1">
      <c r="A86"/>
      <c r="B86" s="88"/>
      <c r="C86" s="235"/>
      <c r="D86" s="35"/>
      <c r="E86" s="107" t="s">
        <v>82</v>
      </c>
      <c r="F86" s="105">
        <f>'Trifásico 13,8kv '!S14+'Trifásico 13,8kv '!T14+'Trifásico 13,8kv '!U14</f>
        <v>0</v>
      </c>
    </row>
    <row r="87" spans="1:6" s="8" customFormat="1" ht="15.75" hidden="1" customHeight="1">
      <c r="A87"/>
      <c r="B87" s="88"/>
      <c r="C87" s="235"/>
      <c r="D87" s="35"/>
      <c r="E87" s="97" t="s">
        <v>83</v>
      </c>
      <c r="F87" s="105">
        <f>'Trifásico 13,8kv '!S15+'Trifásico 13,8kv '!T15+'Trifásico 13,8kv '!U15</f>
        <v>0</v>
      </c>
    </row>
    <row r="88" spans="1:6" s="8" customFormat="1" ht="15.75" hidden="1" customHeight="1">
      <c r="A88"/>
      <c r="B88" s="88"/>
      <c r="C88" s="235"/>
      <c r="D88" s="35"/>
      <c r="E88" s="107" t="s">
        <v>85</v>
      </c>
      <c r="F88" s="105">
        <f>'Trifásico 13,8kv '!S16+'Trifásico 13,8kv '!T16+'Trifásico 13,8kv '!U16</f>
        <v>0</v>
      </c>
    </row>
    <row r="89" spans="1:6" s="8" customFormat="1" ht="15.75" hidden="1" customHeight="1">
      <c r="A89"/>
      <c r="B89" s="88"/>
      <c r="C89" s="235"/>
      <c r="D89" s="35"/>
      <c r="E89" s="97" t="s">
        <v>84</v>
      </c>
      <c r="F89" s="105">
        <f>'Trifásico 13,8kv '!S17+'Trifásico 13,8kv '!T17+'Trifásico 13,8kv '!U17</f>
        <v>0</v>
      </c>
    </row>
    <row r="90" spans="1:6" s="8" customFormat="1" ht="15.75" hidden="1" customHeight="1">
      <c r="A90"/>
      <c r="B90" s="88"/>
      <c r="C90" s="235"/>
      <c r="D90" s="35"/>
      <c r="E90" s="107" t="s">
        <v>86</v>
      </c>
      <c r="F90" s="105">
        <f>'Trifásico 13,8kv '!S18+'Trifásico 13,8kv '!T18+'Trifásico 13,8kv '!U18</f>
        <v>0</v>
      </c>
    </row>
    <row r="91" spans="1:6" s="8" customFormat="1" ht="15.75" hidden="1" customHeight="1">
      <c r="A91"/>
      <c r="B91" s="89"/>
      <c r="C91" s="235"/>
      <c r="D91" s="35"/>
      <c r="E91" s="97" t="s">
        <v>87</v>
      </c>
      <c r="F91" s="105">
        <f>'Trifásico 13,8kv '!S19+'Trifásico 13,8kv '!T19+'Trifásico 13,8kv '!U19</f>
        <v>0</v>
      </c>
    </row>
    <row r="92" spans="1:6" s="8" customFormat="1" ht="15.75" hidden="1" customHeight="1">
      <c r="A92"/>
      <c r="B92" s="88"/>
      <c r="C92" s="236"/>
      <c r="D92" s="35"/>
      <c r="E92" s="107" t="s">
        <v>101</v>
      </c>
      <c r="F92" s="105">
        <f>'Trifásico 13,8kv '!S20+'Trifásico 13,8kv '!T20+'Trifásico 13,8kv '!U20</f>
        <v>0</v>
      </c>
    </row>
    <row r="93" spans="1:6" s="8" customFormat="1" ht="15.75" hidden="1" customHeight="1">
      <c r="A93"/>
      <c r="B93" s="88"/>
      <c r="C93" s="236"/>
      <c r="D93" s="35"/>
      <c r="E93" s="97" t="s">
        <v>88</v>
      </c>
      <c r="F93" s="105">
        <f>'Trifásico 13,8kv '!S21+'Trifásico 13,8kv '!T21+'Trifásico 13,8kv '!U21</f>
        <v>0</v>
      </c>
    </row>
    <row r="94" spans="1:6" s="8" customFormat="1" ht="15.75" hidden="1" customHeight="1">
      <c r="A94"/>
      <c r="B94" s="88"/>
      <c r="C94" s="236"/>
      <c r="D94" s="35"/>
      <c r="E94" s="107" t="s">
        <v>89</v>
      </c>
      <c r="F94" s="105">
        <f>'Trifásico 13,8kv '!S22+'Trifásico 13,8kv '!T22+'Trifásico 13,8kv '!U22</f>
        <v>0</v>
      </c>
    </row>
    <row r="95" spans="1:6" s="8" customFormat="1" ht="15.75" hidden="1" customHeight="1">
      <c r="A95"/>
      <c r="B95" s="237"/>
      <c r="C95" s="236"/>
      <c r="D95" s="35"/>
      <c r="E95" s="97" t="s">
        <v>90</v>
      </c>
      <c r="F95" s="105">
        <f>'Trifásico 13,8kv '!S23+'Trifásico 13,8kv '!T23+'Trifásico 13,8kv '!U23</f>
        <v>0</v>
      </c>
    </row>
    <row r="96" spans="1:6" s="8" customFormat="1" ht="15.75" hidden="1" customHeight="1">
      <c r="A96"/>
      <c r="B96" s="119"/>
      <c r="C96" s="119"/>
      <c r="D96" s="35"/>
      <c r="E96" s="107" t="s">
        <v>93</v>
      </c>
      <c r="F96" s="105">
        <f>'Trifásico 13,8kv '!S24+'Trifásico 13,8kv '!T24+'Trifásico 13,8kv '!U24</f>
        <v>0</v>
      </c>
    </row>
    <row r="97" spans="1:6" s="8" customFormat="1" ht="15.75" hidden="1" customHeight="1">
      <c r="A97"/>
      <c r="B97" s="1657"/>
      <c r="C97" s="1658"/>
      <c r="D97" s="35"/>
      <c r="E97" s="97" t="s">
        <v>91</v>
      </c>
      <c r="F97" s="105">
        <f>'Trifásico 13,8kv '!S25+'Trifásico 13,8kv '!T25+'Trifásico 13,8kv '!U25</f>
        <v>0</v>
      </c>
    </row>
    <row r="98" spans="1:6" s="8" customFormat="1" ht="15.75" hidden="1" customHeight="1" thickBot="1">
      <c r="A98"/>
      <c r="B98" s="1659"/>
      <c r="C98" s="1660"/>
      <c r="D98" s="35"/>
      <c r="E98" s="107" t="s">
        <v>92</v>
      </c>
      <c r="F98" s="105">
        <f>'Trifásico 13,8kv '!S26+'Trifásico 13,8kv '!T26+'Trifásico 13,8kv '!U26</f>
        <v>0</v>
      </c>
    </row>
    <row r="99" spans="1:6" s="8" customFormat="1" ht="15.75" hidden="1" customHeight="1" thickBot="1">
      <c r="A99"/>
      <c r="B99" s="129"/>
      <c r="C99" s="129"/>
      <c r="D99" s="35"/>
      <c r="E99" s="130"/>
      <c r="F99" s="38">
        <f>SUM(F77:F98)</f>
        <v>0</v>
      </c>
    </row>
    <row r="100" spans="1:6" s="8" customFormat="1" ht="15.75" hidden="1" customHeight="1" thickBot="1">
      <c r="A100" s="10"/>
      <c r="B100" s="10"/>
      <c r="C100" s="10"/>
      <c r="D100" s="10"/>
      <c r="E100" s="304" t="s">
        <v>207</v>
      </c>
      <c r="F100" s="305">
        <f>SUM(F101:F122)</f>
        <v>0</v>
      </c>
    </row>
    <row r="101" spans="1:6" s="8" customFormat="1" ht="15.75" hidden="1" customHeight="1">
      <c r="A101" s="10"/>
      <c r="B101" s="10"/>
      <c r="C101" s="10"/>
      <c r="D101" s="10"/>
      <c r="E101" s="97" t="s">
        <v>74</v>
      </c>
      <c r="F101" s="105">
        <f>'Trifásico 13,8kv '!X5+'Trifásico 13,8kv '!Y5+'Trifásico 13,8kv '!Z5</f>
        <v>0</v>
      </c>
    </row>
    <row r="102" spans="1:6" s="8" customFormat="1" ht="15.75" hidden="1" customHeight="1">
      <c r="A102" s="10"/>
      <c r="B102" s="10"/>
      <c r="C102" s="10"/>
      <c r="D102" s="10"/>
      <c r="E102" s="107" t="s">
        <v>75</v>
      </c>
      <c r="F102" s="105">
        <f>'Trifásico 13,8kv '!X6+'Trifásico 13,8kv '!Y6+'Trifásico 13,8kv '!Z6</f>
        <v>0</v>
      </c>
    </row>
    <row r="103" spans="1:6" s="8" customFormat="1" ht="15.75" hidden="1" customHeight="1">
      <c r="A103" s="10"/>
      <c r="B103" s="10"/>
      <c r="C103" s="10"/>
      <c r="D103" s="10"/>
      <c r="E103" s="97" t="s">
        <v>76</v>
      </c>
      <c r="F103" s="105">
        <f>'Trifásico 13,8kv '!X7+'Trifásico 13,8kv '!Y7+'Trifásico 13,8kv '!Z7</f>
        <v>0</v>
      </c>
    </row>
    <row r="104" spans="1:6" s="8" customFormat="1" ht="15.75" hidden="1" customHeight="1">
      <c r="A104" s="10"/>
      <c r="B104" s="10"/>
      <c r="C104" s="10"/>
      <c r="D104" s="10"/>
      <c r="E104" s="107" t="s">
        <v>77</v>
      </c>
      <c r="F104" s="105">
        <f>'Trifásico 13,8kv '!X8+'Trifásico 13,8kv '!Y8+'Trifásico 13,8kv '!Z8</f>
        <v>0</v>
      </c>
    </row>
    <row r="105" spans="1:6" s="8" customFormat="1" ht="15.75" hidden="1" customHeight="1">
      <c r="A105" s="10"/>
      <c r="B105" s="10"/>
      <c r="C105" s="10"/>
      <c r="D105" s="10"/>
      <c r="E105" s="97" t="s">
        <v>100</v>
      </c>
      <c r="F105" s="105">
        <f>'Trifásico 13,8kv '!X9+'Trifásico 13,8kv '!Y9+'Trifásico 13,8kv '!Z9</f>
        <v>0</v>
      </c>
    </row>
    <row r="106" spans="1:6" s="8" customFormat="1" ht="15.75" hidden="1" customHeight="1">
      <c r="A106" s="10"/>
      <c r="B106" s="10"/>
      <c r="C106" s="10"/>
      <c r="D106" s="10"/>
      <c r="E106" s="107" t="s">
        <v>78</v>
      </c>
      <c r="F106" s="105">
        <f>'Trifásico 13,8kv '!X10+'Trifásico 13,8kv '!Y10+'Trifásico 13,8kv '!Z10</f>
        <v>0</v>
      </c>
    </row>
    <row r="107" spans="1:6" s="8" customFormat="1" ht="15.75" hidden="1" customHeight="1">
      <c r="A107" s="10"/>
      <c r="B107" s="10"/>
      <c r="C107" s="10"/>
      <c r="D107" s="10"/>
      <c r="E107" s="97" t="s">
        <v>79</v>
      </c>
      <c r="F107" s="105">
        <f>'Trifásico 13,8kv '!X11+'Trifásico 13,8kv '!Y11+'Trifásico 13,8kv '!Z11</f>
        <v>0</v>
      </c>
    </row>
    <row r="108" spans="1:6" s="8" customFormat="1" ht="15.75" hidden="1" customHeight="1">
      <c r="A108" s="10"/>
      <c r="B108" s="10"/>
      <c r="C108" s="10"/>
      <c r="D108" s="10"/>
      <c r="E108" s="107" t="s">
        <v>80</v>
      </c>
      <c r="F108" s="105">
        <f>'Trifásico 13,8kv '!X12+'Trifásico 13,8kv '!Y12+'Trifásico 13,8kv '!Z12</f>
        <v>0</v>
      </c>
    </row>
    <row r="109" spans="1:6" s="8" customFormat="1" ht="15.75" hidden="1" customHeight="1">
      <c r="A109" s="10"/>
      <c r="B109" s="10"/>
      <c r="C109" s="10"/>
      <c r="D109" s="10"/>
      <c r="E109" s="97" t="s">
        <v>81</v>
      </c>
      <c r="F109" s="105">
        <f>'Trifásico 13,8kv '!X13+'Trifásico 13,8kv '!Y13+'Trifásico 13,8kv '!Z13</f>
        <v>0</v>
      </c>
    </row>
    <row r="110" spans="1:6" s="8" customFormat="1" ht="15.75" hidden="1" customHeight="1">
      <c r="A110" s="10"/>
      <c r="B110" s="10"/>
      <c r="C110" s="10"/>
      <c r="D110" s="10"/>
      <c r="E110" s="107" t="s">
        <v>82</v>
      </c>
      <c r="F110" s="105">
        <f>'Trifásico 13,8kv '!X14+'Trifásico 13,8kv '!Y14+'Trifásico 13,8kv '!Z14</f>
        <v>0</v>
      </c>
    </row>
    <row r="111" spans="1:6" s="8" customFormat="1" ht="15.75" hidden="1" customHeight="1">
      <c r="A111" s="10"/>
      <c r="B111" s="10"/>
      <c r="C111" s="10"/>
      <c r="D111" s="10"/>
      <c r="E111" s="97" t="s">
        <v>83</v>
      </c>
      <c r="F111" s="105">
        <f>'Trifásico 13,8kv '!X15+'Trifásico 13,8kv '!Y15+'Trifásico 13,8kv '!Z15</f>
        <v>0</v>
      </c>
    </row>
    <row r="112" spans="1:6" s="8" customFormat="1" ht="15.75" hidden="1" customHeight="1">
      <c r="A112" s="10"/>
      <c r="B112" s="10"/>
      <c r="C112" s="10"/>
      <c r="D112" s="10"/>
      <c r="E112" s="107" t="s">
        <v>85</v>
      </c>
      <c r="F112" s="105">
        <f>'Trifásico 13,8kv '!X16+'Trifásico 13,8kv '!Y16+'Trifásico 13,8kv '!Z16</f>
        <v>0</v>
      </c>
    </row>
    <row r="113" spans="1:6" s="8" customFormat="1" ht="15.75" hidden="1" customHeight="1">
      <c r="A113" s="10"/>
      <c r="B113" s="10"/>
      <c r="C113" s="10"/>
      <c r="D113" s="10"/>
      <c r="E113" s="97" t="s">
        <v>84</v>
      </c>
      <c r="F113" s="105">
        <f>'Trifásico 13,8kv '!X17+'Trifásico 13,8kv '!Y17+'Trifásico 13,8kv '!Z17</f>
        <v>0</v>
      </c>
    </row>
    <row r="114" spans="1:6" s="8" customFormat="1" ht="15.75" hidden="1" customHeight="1">
      <c r="A114" s="10"/>
      <c r="B114" s="10"/>
      <c r="C114" s="10"/>
      <c r="D114" s="10"/>
      <c r="E114" s="107" t="s">
        <v>86</v>
      </c>
      <c r="F114" s="105">
        <f>'Trifásico 13,8kv '!X18+'Trifásico 13,8kv '!Y18+'Trifásico 13,8kv '!Z18</f>
        <v>0</v>
      </c>
    </row>
    <row r="115" spans="1:6" s="8" customFormat="1" ht="15.75" hidden="1" customHeight="1">
      <c r="A115" s="10"/>
      <c r="B115" s="10"/>
      <c r="C115" s="10"/>
      <c r="D115" s="10"/>
      <c r="E115" s="97" t="s">
        <v>87</v>
      </c>
      <c r="F115" s="105">
        <f>'Trifásico 13,8kv '!X19+'Trifásico 13,8kv '!Y19+'Trifásico 13,8kv '!Z19</f>
        <v>0</v>
      </c>
    </row>
    <row r="116" spans="1:6" s="8" customFormat="1" ht="15.75" hidden="1" customHeight="1">
      <c r="A116" s="10"/>
      <c r="B116" s="10"/>
      <c r="C116" s="10"/>
      <c r="D116" s="10"/>
      <c r="E116" s="107" t="s">
        <v>101</v>
      </c>
      <c r="F116" s="105">
        <f>'Trifásico 13,8kv '!X20+'Trifásico 13,8kv '!Y20+'Trifásico 13,8kv '!Z20</f>
        <v>0</v>
      </c>
    </row>
    <row r="117" spans="1:6" s="8" customFormat="1" ht="15.75" hidden="1" customHeight="1">
      <c r="A117" s="10"/>
      <c r="B117" s="10"/>
      <c r="C117" s="10"/>
      <c r="D117" s="10"/>
      <c r="E117" s="97" t="s">
        <v>88</v>
      </c>
      <c r="F117" s="105">
        <f>'Trifásico 13,8kv '!X21+'Trifásico 13,8kv '!Y21+'Trifásico 13,8kv '!Z21</f>
        <v>0</v>
      </c>
    </row>
    <row r="118" spans="1:6" s="8" customFormat="1" ht="15.75" hidden="1" customHeight="1">
      <c r="A118" s="10"/>
      <c r="B118" s="10"/>
      <c r="C118" s="10"/>
      <c r="D118" s="10"/>
      <c r="E118" s="107" t="s">
        <v>89</v>
      </c>
      <c r="F118" s="105">
        <f>'Trifásico 13,8kv '!X22+'Trifásico 13,8kv '!Y22+'Trifásico 13,8kv '!Z22</f>
        <v>0</v>
      </c>
    </row>
    <row r="119" spans="1:6" s="8" customFormat="1" ht="15.75" hidden="1" customHeight="1">
      <c r="A119" s="10"/>
      <c r="B119" s="10"/>
      <c r="C119" s="10"/>
      <c r="D119" s="10"/>
      <c r="E119" s="97" t="s">
        <v>90</v>
      </c>
      <c r="F119" s="105">
        <f>'Trifásico 13,8kv '!X23+'Trifásico 13,8kv '!Y23+'Trifásico 13,8kv '!Z23</f>
        <v>0</v>
      </c>
    </row>
    <row r="120" spans="1:6" s="8" customFormat="1" ht="15.75" hidden="1" customHeight="1">
      <c r="A120" s="10"/>
      <c r="B120" s="10"/>
      <c r="C120" s="10"/>
      <c r="D120" s="10"/>
      <c r="E120" s="107" t="s">
        <v>93</v>
      </c>
      <c r="F120" s="105">
        <f>'Trifásico 13,8kv '!X24+'Trifásico 13,8kv '!Y24+'Trifásico 13,8kv '!Z24</f>
        <v>0</v>
      </c>
    </row>
    <row r="121" spans="1:6" s="8" customFormat="1" ht="15.75" hidden="1" customHeight="1">
      <c r="A121" s="10"/>
      <c r="B121" s="10"/>
      <c r="C121" s="10"/>
      <c r="D121" s="10"/>
      <c r="E121" s="97" t="s">
        <v>91</v>
      </c>
      <c r="F121" s="105">
        <f>'Trifásico 13,8kv '!X25+'Trifásico 13,8kv '!Y25+'Trifásico 13,8kv '!Z25</f>
        <v>0</v>
      </c>
    </row>
    <row r="122" spans="1:6" s="8" customFormat="1" ht="15.75" hidden="1" customHeight="1">
      <c r="A122" s="10"/>
      <c r="B122" s="10"/>
      <c r="C122" s="10"/>
      <c r="D122" s="10"/>
      <c r="E122" s="107" t="s">
        <v>92</v>
      </c>
      <c r="F122" s="105">
        <f>'Trifásico 13,8kv '!X26+'Trifásico 13,8kv '!Y26+'Trifásico 13,8kv '!Z26</f>
        <v>0</v>
      </c>
    </row>
    <row r="123" spans="1:6" s="8" customFormat="1" ht="15.75" hidden="1" customHeight="1" thickBot="1">
      <c r="A123" s="10"/>
      <c r="B123" s="10"/>
      <c r="C123" s="10"/>
      <c r="D123" s="10"/>
      <c r="E123" s="130"/>
      <c r="F123" s="38">
        <f>SUM(F101:F122)</f>
        <v>0</v>
      </c>
    </row>
    <row r="124" spans="1:6" s="8" customFormat="1" ht="15.75" hidden="1" customHeight="1" thickBot="1">
      <c r="A124" s="10"/>
      <c r="B124" s="10"/>
      <c r="C124" s="10"/>
      <c r="D124" s="10"/>
      <c r="E124" s="304" t="s">
        <v>208</v>
      </c>
      <c r="F124" s="305">
        <f>SUM(F125:F146)</f>
        <v>0</v>
      </c>
    </row>
    <row r="125" spans="1:6" s="8" customFormat="1" ht="15.75" hidden="1" customHeight="1">
      <c r="A125" s="10"/>
      <c r="B125" s="10"/>
      <c r="C125" s="10"/>
      <c r="D125" s="10"/>
      <c r="E125" s="97" t="s">
        <v>74</v>
      </c>
      <c r="F125" s="105">
        <f>'Trifásico 13,8kv '!AC5+'Trifásico 13,8kv '!AD5+'Trifásico 13,8kv '!AE5</f>
        <v>0</v>
      </c>
    </row>
    <row r="126" spans="1:6" s="8" customFormat="1" ht="15.75" hidden="1" customHeight="1">
      <c r="A126" s="10"/>
      <c r="B126" s="10"/>
      <c r="C126" s="10"/>
      <c r="D126" s="10"/>
      <c r="E126" s="107" t="s">
        <v>75</v>
      </c>
      <c r="F126" s="105">
        <f>'Trifásico 13,8kv '!AC6+'Trifásico 13,8kv '!AD6+'Trifásico 13,8kv '!AE6</f>
        <v>0</v>
      </c>
    </row>
    <row r="127" spans="1:6" s="8" customFormat="1" ht="15.75" hidden="1" customHeight="1">
      <c r="A127" s="10"/>
      <c r="B127" s="10"/>
      <c r="C127" s="10"/>
      <c r="D127" s="10"/>
      <c r="E127" s="97" t="s">
        <v>76</v>
      </c>
      <c r="F127" s="105">
        <f>'Trifásico 13,8kv '!AC7+'Trifásico 13,8kv '!AD7+'Trifásico 13,8kv '!AE7</f>
        <v>0</v>
      </c>
    </row>
    <row r="128" spans="1:6" s="8" customFormat="1" ht="15.75" hidden="1" customHeight="1">
      <c r="A128" s="10"/>
      <c r="B128" s="10"/>
      <c r="C128" s="10"/>
      <c r="D128" s="10"/>
      <c r="E128" s="107" t="s">
        <v>77</v>
      </c>
      <c r="F128" s="105">
        <f>'Trifásico 13,8kv '!AC8+'Trifásico 13,8kv '!AD8+'Trifásico 13,8kv '!AE8</f>
        <v>0</v>
      </c>
    </row>
    <row r="129" spans="1:6" s="8" customFormat="1" ht="15.75" hidden="1" customHeight="1">
      <c r="A129" s="10"/>
      <c r="B129" s="10"/>
      <c r="C129" s="10"/>
      <c r="D129" s="10"/>
      <c r="E129" s="97" t="s">
        <v>100</v>
      </c>
      <c r="F129" s="105">
        <f>'Trifásico 13,8kv '!AC9+'Trifásico 13,8kv '!AD9+'Trifásico 13,8kv '!AE9</f>
        <v>0</v>
      </c>
    </row>
    <row r="130" spans="1:6" s="8" customFormat="1" ht="15.75" hidden="1" customHeight="1">
      <c r="A130" s="10"/>
      <c r="B130" s="10"/>
      <c r="C130" s="10"/>
      <c r="D130" s="10"/>
      <c r="E130" s="107" t="s">
        <v>78</v>
      </c>
      <c r="F130" s="105">
        <f>'Trifásico 13,8kv '!AC10+'Trifásico 13,8kv '!AD10+'Trifásico 13,8kv '!AE10</f>
        <v>0</v>
      </c>
    </row>
    <row r="131" spans="1:6" s="8" customFormat="1" ht="15.75" hidden="1" customHeight="1">
      <c r="A131" s="10"/>
      <c r="B131" s="10"/>
      <c r="C131" s="10"/>
      <c r="D131" s="10"/>
      <c r="E131" s="97" t="s">
        <v>79</v>
      </c>
      <c r="F131" s="105">
        <f>'Trifásico 13,8kv '!AC11+'Trifásico 13,8kv '!AD11+'Trifásico 13,8kv '!AE11</f>
        <v>0</v>
      </c>
    </row>
    <row r="132" spans="1:6" s="8" customFormat="1" ht="15.75" hidden="1" customHeight="1">
      <c r="A132" s="10"/>
      <c r="B132" s="10"/>
      <c r="C132" s="10"/>
      <c r="D132" s="10"/>
      <c r="E132" s="107" t="s">
        <v>80</v>
      </c>
      <c r="F132" s="105">
        <f>'Trifásico 13,8kv '!AC12+'Trifásico 13,8kv '!AD12+'Trifásico 13,8kv '!AE12</f>
        <v>0</v>
      </c>
    </row>
    <row r="133" spans="1:6" s="8" customFormat="1" ht="15.75" hidden="1" customHeight="1">
      <c r="A133" s="10"/>
      <c r="B133" s="10"/>
      <c r="C133" s="10"/>
      <c r="D133" s="10"/>
      <c r="E133" s="97" t="s">
        <v>81</v>
      </c>
      <c r="F133" s="105">
        <f>'Trifásico 13,8kv '!AC13+'Trifásico 13,8kv '!AD13+'Trifásico 13,8kv '!AE13</f>
        <v>0</v>
      </c>
    </row>
    <row r="134" spans="1:6" s="8" customFormat="1" ht="15.75" hidden="1" customHeight="1">
      <c r="A134" s="10"/>
      <c r="B134" s="10"/>
      <c r="C134" s="10"/>
      <c r="D134" s="10"/>
      <c r="E134" s="107" t="s">
        <v>82</v>
      </c>
      <c r="F134" s="105">
        <f>'Trifásico 13,8kv '!AC14+'Trifásico 13,8kv '!AD14+'Trifásico 13,8kv '!AE14</f>
        <v>0</v>
      </c>
    </row>
    <row r="135" spans="1:6" s="8" customFormat="1" ht="15.75" hidden="1" customHeight="1">
      <c r="A135" s="10"/>
      <c r="B135" s="10"/>
      <c r="C135" s="10"/>
      <c r="D135" s="10"/>
      <c r="E135" s="97" t="s">
        <v>83</v>
      </c>
      <c r="F135" s="105">
        <f>'Trifásico 13,8kv '!AC15+'Trifásico 13,8kv '!AD15+'Trifásico 13,8kv '!AE15</f>
        <v>0</v>
      </c>
    </row>
    <row r="136" spans="1:6" s="8" customFormat="1" ht="15.75" hidden="1" customHeight="1">
      <c r="A136" s="10"/>
      <c r="B136" s="10"/>
      <c r="C136" s="10"/>
      <c r="D136" s="10"/>
      <c r="E136" s="107" t="s">
        <v>85</v>
      </c>
      <c r="F136" s="105">
        <f>'Trifásico 13,8kv '!AC16+'Trifásico 13,8kv '!AD16+'Trifásico 13,8kv '!AE16</f>
        <v>0</v>
      </c>
    </row>
    <row r="137" spans="1:6" s="8" customFormat="1" ht="15.75" hidden="1" customHeight="1">
      <c r="A137" s="10"/>
      <c r="B137" s="10"/>
      <c r="C137" s="10"/>
      <c r="D137" s="10"/>
      <c r="E137" s="97" t="s">
        <v>84</v>
      </c>
      <c r="F137" s="105">
        <f>'Trifásico 13,8kv '!AC17+'Trifásico 13,8kv '!AD17+'Trifásico 13,8kv '!AE17</f>
        <v>0</v>
      </c>
    </row>
    <row r="138" spans="1:6" s="8" customFormat="1" ht="15.75" hidden="1" customHeight="1">
      <c r="A138" s="10"/>
      <c r="B138" s="10"/>
      <c r="C138" s="10"/>
      <c r="D138" s="10"/>
      <c r="E138" s="107" t="s">
        <v>86</v>
      </c>
      <c r="F138" s="105">
        <f>'Trifásico 13,8kv '!AC18+'Trifásico 13,8kv '!AD18+'Trifásico 13,8kv '!AE18</f>
        <v>0</v>
      </c>
    </row>
    <row r="139" spans="1:6" s="8" customFormat="1" ht="15.75" hidden="1" customHeight="1">
      <c r="A139" s="10"/>
      <c r="B139" s="10"/>
      <c r="C139" s="10"/>
      <c r="D139" s="10"/>
      <c r="E139" s="97" t="s">
        <v>87</v>
      </c>
      <c r="F139" s="105">
        <f>'Trifásico 13,8kv '!AC19+'Trifásico 13,8kv '!AD19+'Trifásico 13,8kv '!AE19</f>
        <v>0</v>
      </c>
    </row>
    <row r="140" spans="1:6" s="8" customFormat="1" ht="15.75" hidden="1" customHeight="1">
      <c r="A140" s="10"/>
      <c r="B140" s="10"/>
      <c r="C140" s="10"/>
      <c r="D140" s="10"/>
      <c r="E140" s="107" t="s">
        <v>101</v>
      </c>
      <c r="F140" s="105">
        <f>'Trifásico 13,8kv '!AC20+'Trifásico 13,8kv '!AD20+'Trifásico 13,8kv '!AE20</f>
        <v>0</v>
      </c>
    </row>
    <row r="141" spans="1:6" s="8" customFormat="1" ht="15.75" hidden="1" customHeight="1">
      <c r="A141" s="10"/>
      <c r="B141" s="10"/>
      <c r="C141" s="10"/>
      <c r="D141" s="10"/>
      <c r="E141" s="97" t="s">
        <v>88</v>
      </c>
      <c r="F141" s="105">
        <f>'Trifásico 13,8kv '!AC21+'Trifásico 13,8kv '!AD21+'Trifásico 13,8kv '!AE21</f>
        <v>0</v>
      </c>
    </row>
    <row r="142" spans="1:6" s="8" customFormat="1" ht="15.75" hidden="1" customHeight="1">
      <c r="A142" s="10"/>
      <c r="B142" s="10"/>
      <c r="C142" s="10"/>
      <c r="D142" s="10"/>
      <c r="E142" s="107" t="s">
        <v>89</v>
      </c>
      <c r="F142" s="105">
        <f>'Trifásico 13,8kv '!AC22+'Trifásico 13,8kv '!AD22+'Trifásico 13,8kv '!AE22</f>
        <v>0</v>
      </c>
    </row>
    <row r="143" spans="1:6" s="8" customFormat="1" ht="15.75" hidden="1" customHeight="1">
      <c r="A143" s="10"/>
      <c r="B143" s="10"/>
      <c r="C143" s="10"/>
      <c r="D143" s="10"/>
      <c r="E143" s="97" t="s">
        <v>90</v>
      </c>
      <c r="F143" s="105">
        <f>'Trifásico 13,8kv '!AC23+'Trifásico 13,8kv '!AD23+'Trifásico 13,8kv '!AE23</f>
        <v>0</v>
      </c>
    </row>
    <row r="144" spans="1:6" s="8" customFormat="1" ht="15.75" hidden="1" customHeight="1">
      <c r="A144" s="10"/>
      <c r="B144" s="10"/>
      <c r="C144" s="10"/>
      <c r="D144" s="10"/>
      <c r="E144" s="107" t="s">
        <v>93</v>
      </c>
      <c r="F144" s="105">
        <f>'Trifásico 13,8kv '!AC24+'Trifásico 13,8kv '!AD24+'Trifásico 13,8kv '!AE24</f>
        <v>0</v>
      </c>
    </row>
    <row r="145" spans="1:7" s="8" customFormat="1" ht="15.75" hidden="1" customHeight="1">
      <c r="A145" s="10"/>
      <c r="B145" s="10"/>
      <c r="C145" s="10"/>
      <c r="D145" s="10"/>
      <c r="E145" s="97" t="s">
        <v>91</v>
      </c>
      <c r="F145" s="105">
        <f>'Trifásico 13,8kv '!AC25+'Trifásico 13,8kv '!AD25+'Trifásico 13,8kv '!AE25</f>
        <v>0</v>
      </c>
    </row>
    <row r="146" spans="1:7" s="8" customFormat="1" ht="15.75" hidden="1" customHeight="1">
      <c r="A146" s="10"/>
      <c r="B146" s="10"/>
      <c r="C146" s="10"/>
      <c r="D146" s="10"/>
      <c r="E146" s="158" t="s">
        <v>92</v>
      </c>
      <c r="F146" s="258">
        <f>'Trifásico 13,8kv '!AC26+'Trifásico 13,8kv '!AD26+'Trifásico 13,8kv '!AE26</f>
        <v>0</v>
      </c>
    </row>
    <row r="147" spans="1:7" s="8" customFormat="1" ht="15.75" hidden="1" customHeight="1" thickBot="1">
      <c r="A147" s="10"/>
      <c r="B147" s="10"/>
      <c r="C147" s="10"/>
      <c r="D147" s="10"/>
      <c r="E147" s="130"/>
      <c r="F147" s="38">
        <f>SUM(F125:F146)</f>
        <v>0</v>
      </c>
    </row>
    <row r="148" spans="1:7" s="8" customFormat="1" ht="15.75" hidden="1" customHeight="1" thickBot="1">
      <c r="A148" s="1672" t="s">
        <v>232</v>
      </c>
      <c r="B148" s="1673"/>
      <c r="C148" s="1673"/>
      <c r="D148" s="1673"/>
      <c r="E148" s="1674"/>
      <c r="F148" s="306">
        <f>SUM(F149:F170)</f>
        <v>0</v>
      </c>
      <c r="G148" s="256"/>
    </row>
    <row r="149" spans="1:7" s="8" customFormat="1" ht="15.75" hidden="1" customHeight="1">
      <c r="A149" s="10"/>
      <c r="B149" s="10"/>
      <c r="C149" s="10"/>
      <c r="D149" s="10"/>
      <c r="E149" s="97" t="s">
        <v>74</v>
      </c>
      <c r="F149" s="105">
        <f>'Trifásico 13,8kv '!AH5+'Trifásico 13,8kv '!AI5+'Trifásico 13,8kv '!AJ5</f>
        <v>0</v>
      </c>
    </row>
    <row r="150" spans="1:7" s="8" customFormat="1" ht="15.75" hidden="1" customHeight="1">
      <c r="A150" s="10"/>
      <c r="B150" s="10"/>
      <c r="C150" s="10"/>
      <c r="D150" s="10"/>
      <c r="E150" s="107" t="s">
        <v>75</v>
      </c>
      <c r="F150" s="105">
        <f>'Trifásico 13,8kv '!AH6+'Trifásico 13,8kv '!AI6+'Trifásico 13,8kv '!AJ6</f>
        <v>0</v>
      </c>
    </row>
    <row r="151" spans="1:7" s="8" customFormat="1" ht="15.75" hidden="1" customHeight="1">
      <c r="A151" s="10"/>
      <c r="B151" s="10"/>
      <c r="C151" s="10"/>
      <c r="D151" s="10"/>
      <c r="E151" s="97" t="s">
        <v>76</v>
      </c>
      <c r="F151" s="105">
        <f>'Trifásico 13,8kv '!AH7+'Trifásico 13,8kv '!AI7+'Trifásico 13,8kv '!AJ7</f>
        <v>0</v>
      </c>
    </row>
    <row r="152" spans="1:7" s="8" customFormat="1" ht="15.75" hidden="1" customHeight="1">
      <c r="A152" s="10"/>
      <c r="B152" s="10"/>
      <c r="C152" s="10"/>
      <c r="D152" s="10"/>
      <c r="E152" s="107" t="s">
        <v>77</v>
      </c>
      <c r="F152" s="105">
        <f>'Trifásico 13,8kv '!AH8+'Trifásico 13,8kv '!AI8+'Trifásico 13,8kv '!AJ8</f>
        <v>0</v>
      </c>
    </row>
    <row r="153" spans="1:7" s="8" customFormat="1" ht="15.75" hidden="1" customHeight="1">
      <c r="A153" s="10"/>
      <c r="B153" s="10"/>
      <c r="C153" s="10"/>
      <c r="D153" s="10"/>
      <c r="E153" s="97" t="s">
        <v>100</v>
      </c>
      <c r="F153" s="105">
        <f>'Trifásico 13,8kv '!AH9+'Trifásico 13,8kv '!AI9+'Trifásico 13,8kv '!AJ9</f>
        <v>0</v>
      </c>
    </row>
    <row r="154" spans="1:7" s="8" customFormat="1" ht="15.75" hidden="1" customHeight="1">
      <c r="A154" s="10"/>
      <c r="B154" s="10"/>
      <c r="C154" s="10"/>
      <c r="D154" s="10"/>
      <c r="E154" s="107" t="s">
        <v>78</v>
      </c>
      <c r="F154" s="105">
        <f>'Trifásico 13,8kv '!AH10+'Trifásico 13,8kv '!AI10+'Trifásico 13,8kv '!AJ10</f>
        <v>0</v>
      </c>
    </row>
    <row r="155" spans="1:7" s="8" customFormat="1" ht="15.75" hidden="1" customHeight="1">
      <c r="A155" s="10"/>
      <c r="B155" s="10"/>
      <c r="C155" s="10"/>
      <c r="D155" s="10"/>
      <c r="E155" s="97" t="s">
        <v>79</v>
      </c>
      <c r="F155" s="105">
        <f>'Trifásico 13,8kv '!AH11+'Trifásico 13,8kv '!AI11+'Trifásico 13,8kv '!AJ11</f>
        <v>0</v>
      </c>
    </row>
    <row r="156" spans="1:7" s="8" customFormat="1" ht="15.75" hidden="1" customHeight="1">
      <c r="A156" s="10"/>
      <c r="B156" s="10"/>
      <c r="C156" s="10"/>
      <c r="D156" s="10"/>
      <c r="E156" s="107" t="s">
        <v>80</v>
      </c>
      <c r="F156" s="105">
        <f>'Trifásico 13,8kv '!AH12+'Trifásico 13,8kv '!AI12+'Trifásico 13,8kv '!AJ12</f>
        <v>0</v>
      </c>
    </row>
    <row r="157" spans="1:7" s="8" customFormat="1" ht="15.75" hidden="1" customHeight="1">
      <c r="A157" s="10"/>
      <c r="B157" s="10"/>
      <c r="C157" s="10"/>
      <c r="D157" s="10"/>
      <c r="E157" s="97" t="s">
        <v>81</v>
      </c>
      <c r="F157" s="105">
        <f>'Trifásico 13,8kv '!AH13+'Trifásico 13,8kv '!AI13+'Trifásico 13,8kv '!AJ13</f>
        <v>0</v>
      </c>
    </row>
    <row r="158" spans="1:7" s="8" customFormat="1" ht="15.75" hidden="1" customHeight="1">
      <c r="A158" s="10"/>
      <c r="B158" s="10"/>
      <c r="C158" s="10"/>
      <c r="D158" s="10"/>
      <c r="E158" s="107" t="s">
        <v>82</v>
      </c>
      <c r="F158" s="105">
        <f>'Trifásico 13,8kv '!AH14+'Trifásico 13,8kv '!AI14+'Trifásico 13,8kv '!AJ14</f>
        <v>0</v>
      </c>
    </row>
    <row r="159" spans="1:7" s="8" customFormat="1" ht="15.75" hidden="1" customHeight="1">
      <c r="A159" s="10"/>
      <c r="B159" s="10"/>
      <c r="C159" s="10"/>
      <c r="D159" s="10"/>
      <c r="E159" s="97" t="s">
        <v>83</v>
      </c>
      <c r="F159" s="105">
        <f>'Trifásico 13,8kv '!AH15+'Trifásico 13,8kv '!AI15+'Trifásico 13,8kv '!AJ15</f>
        <v>0</v>
      </c>
    </row>
    <row r="160" spans="1:7" s="8" customFormat="1" ht="15.75" hidden="1" customHeight="1">
      <c r="A160" s="10"/>
      <c r="B160" s="10"/>
      <c r="C160" s="10"/>
      <c r="D160" s="10"/>
      <c r="E160" s="107" t="s">
        <v>85</v>
      </c>
      <c r="F160" s="105">
        <f>'Trifásico 13,8kv '!AH16+'Trifásico 13,8kv '!AI16+'Trifásico 13,8kv '!AJ16</f>
        <v>0</v>
      </c>
    </row>
    <row r="161" spans="1:6" s="8" customFormat="1" ht="15.75" hidden="1" customHeight="1">
      <c r="A161" s="10"/>
      <c r="B161" s="10"/>
      <c r="C161" s="10"/>
      <c r="D161" s="10"/>
      <c r="E161" s="97" t="s">
        <v>84</v>
      </c>
      <c r="F161" s="105">
        <f>'Trifásico 13,8kv '!AH17+'Trifásico 13,8kv '!AI17+'Trifásico 13,8kv '!AJ17</f>
        <v>0</v>
      </c>
    </row>
    <row r="162" spans="1:6" s="8" customFormat="1" ht="15.75" hidden="1" customHeight="1">
      <c r="A162" s="10"/>
      <c r="B162" s="10"/>
      <c r="C162" s="10"/>
      <c r="D162" s="10"/>
      <c r="E162" s="107" t="s">
        <v>86</v>
      </c>
      <c r="F162" s="105">
        <f>'Trifásico 13,8kv '!AH18+'Trifásico 13,8kv '!AI18+'Trifásico 13,8kv '!AJ18</f>
        <v>0</v>
      </c>
    </row>
    <row r="163" spans="1:6" s="8" customFormat="1" ht="15.75" hidden="1" customHeight="1">
      <c r="A163" s="10"/>
      <c r="B163" s="10"/>
      <c r="C163" s="10"/>
      <c r="D163" s="10"/>
      <c r="E163" s="97" t="s">
        <v>87</v>
      </c>
      <c r="F163" s="105">
        <f>'Trifásico 13,8kv '!AH19+'Trifásico 13,8kv '!AI19+'Trifásico 13,8kv '!AJ19</f>
        <v>0</v>
      </c>
    </row>
    <row r="164" spans="1:6" s="8" customFormat="1" ht="15.75" hidden="1" customHeight="1">
      <c r="A164" s="10"/>
      <c r="B164" s="10"/>
      <c r="C164" s="10"/>
      <c r="D164" s="10"/>
      <c r="E164" s="107" t="s">
        <v>101</v>
      </c>
      <c r="F164" s="105">
        <f>'Trifásico 13,8kv '!AH20+'Trifásico 13,8kv '!AI20+'Trifásico 13,8kv '!AJ20</f>
        <v>0</v>
      </c>
    </row>
    <row r="165" spans="1:6" s="8" customFormat="1" ht="15.75" hidden="1" customHeight="1">
      <c r="A165" s="10"/>
      <c r="B165" s="10"/>
      <c r="C165" s="10"/>
      <c r="D165" s="10"/>
      <c r="E165" s="97" t="s">
        <v>88</v>
      </c>
      <c r="F165" s="105">
        <f>'Trifásico 13,8kv '!AH21+'Trifásico 13,8kv '!AI21+'Trifásico 13,8kv '!AJ21</f>
        <v>0</v>
      </c>
    </row>
    <row r="166" spans="1:6" s="8" customFormat="1" ht="15.75" hidden="1" customHeight="1">
      <c r="A166" s="10"/>
      <c r="B166" s="10"/>
      <c r="C166" s="10"/>
      <c r="D166" s="10"/>
      <c r="E166" s="107" t="s">
        <v>89</v>
      </c>
      <c r="F166" s="105">
        <f>'Trifásico 13,8kv '!AH22+'Trifásico 13,8kv '!AI22+'Trifásico 13,8kv '!AJ22</f>
        <v>0</v>
      </c>
    </row>
    <row r="167" spans="1:6" s="8" customFormat="1" ht="15.75" hidden="1" customHeight="1">
      <c r="A167" s="10"/>
      <c r="B167" s="10"/>
      <c r="C167" s="10"/>
      <c r="D167" s="10"/>
      <c r="E167" s="97" t="s">
        <v>90</v>
      </c>
      <c r="F167" s="105">
        <f>'Trifásico 13,8kv '!AH23+'Trifásico 13,8kv '!AI23+'Trifásico 13,8kv '!AJ23</f>
        <v>0</v>
      </c>
    </row>
    <row r="168" spans="1:6" s="8" customFormat="1" ht="15.75" hidden="1" customHeight="1">
      <c r="A168" s="10"/>
      <c r="B168" s="10"/>
      <c r="C168" s="10"/>
      <c r="D168" s="10"/>
      <c r="E168" s="107" t="s">
        <v>93</v>
      </c>
      <c r="F168" s="105">
        <f>'Trifásico 13,8kv '!AH24+'Trifásico 13,8kv '!AI24+'Trifásico 13,8kv '!AJ24</f>
        <v>0</v>
      </c>
    </row>
    <row r="169" spans="1:6" s="8" customFormat="1" ht="15.75" hidden="1" customHeight="1">
      <c r="A169" s="10"/>
      <c r="B169" s="10"/>
      <c r="C169" s="10"/>
      <c r="D169" s="10"/>
      <c r="E169" s="97" t="s">
        <v>91</v>
      </c>
      <c r="F169" s="105">
        <f>'Trifásico 13,8kv '!AH25+'Trifásico 13,8kv '!AI25+'Trifásico 13,8kv '!AJ25</f>
        <v>0</v>
      </c>
    </row>
    <row r="170" spans="1:6" s="8" customFormat="1" ht="15.75" hidden="1" customHeight="1">
      <c r="A170" s="10"/>
      <c r="B170" s="10"/>
      <c r="C170" s="10"/>
      <c r="D170" s="10"/>
      <c r="E170" s="107" t="s">
        <v>92</v>
      </c>
      <c r="F170" s="105">
        <f>'Trifásico 13,8kv '!AH26+'Trifásico 13,8kv '!AI26+'Trifásico 13,8kv '!AJ26</f>
        <v>0</v>
      </c>
    </row>
    <row r="171" spans="1:6" s="8" customFormat="1" ht="15.75" hidden="1" customHeight="1" thickBot="1">
      <c r="A171" s="10"/>
      <c r="B171" s="10"/>
      <c r="C171" s="10"/>
      <c r="D171" s="10"/>
      <c r="E171" s="130"/>
      <c r="F171" s="38">
        <f>SUM(F149:F170)</f>
        <v>0</v>
      </c>
    </row>
    <row r="172" spans="1:6" s="8" customFormat="1" ht="15.75" hidden="1" customHeight="1" thickBot="1">
      <c r="A172" s="10"/>
      <c r="B172" s="10"/>
      <c r="C172" s="10"/>
      <c r="D172" s="10"/>
      <c r="E172" s="230" t="s">
        <v>218</v>
      </c>
      <c r="F172" s="307">
        <f>SUM(F173:F194)</f>
        <v>0</v>
      </c>
    </row>
    <row r="173" spans="1:6" s="8" customFormat="1" ht="15.75" hidden="1" customHeight="1">
      <c r="A173" s="10"/>
      <c r="B173" s="10"/>
      <c r="C173" s="10"/>
      <c r="D173" s="10"/>
      <c r="E173" s="97" t="s">
        <v>74</v>
      </c>
      <c r="F173" s="105">
        <f>'Trifásico 13,8kv '!AM5+'Trifásico 13,8kv '!AN5+'Trifásico 13,8kv '!AO5</f>
        <v>0</v>
      </c>
    </row>
    <row r="174" spans="1:6" s="8" customFormat="1" ht="15.75" hidden="1" customHeight="1">
      <c r="A174" s="10"/>
      <c r="B174" s="10"/>
      <c r="C174" s="10"/>
      <c r="D174" s="10"/>
      <c r="E174" s="107" t="s">
        <v>75</v>
      </c>
      <c r="F174" s="105">
        <f>'Trifásico 13,8kv '!AM6+'Trifásico 13,8kv '!AN6+'Trifásico 13,8kv '!AO6</f>
        <v>0</v>
      </c>
    </row>
    <row r="175" spans="1:6" s="8" customFormat="1" ht="15.75" hidden="1" customHeight="1">
      <c r="A175" s="10"/>
      <c r="B175" s="10"/>
      <c r="C175" s="10"/>
      <c r="D175" s="10"/>
      <c r="E175" s="97" t="s">
        <v>76</v>
      </c>
      <c r="F175" s="105">
        <f>'Trifásico 13,8kv '!AM7+'Trifásico 13,8kv '!AN7+'Trifásico 13,8kv '!AO7</f>
        <v>0</v>
      </c>
    </row>
    <row r="176" spans="1:6" s="8" customFormat="1" ht="15.75" hidden="1" customHeight="1">
      <c r="A176" s="10"/>
      <c r="B176" s="10"/>
      <c r="C176" s="10"/>
      <c r="D176" s="10"/>
      <c r="E176" s="107" t="s">
        <v>77</v>
      </c>
      <c r="F176" s="105">
        <f>'Trifásico 13,8kv '!AM8+'Trifásico 13,8kv '!AN8+'Trifásico 13,8kv '!AO8</f>
        <v>0</v>
      </c>
    </row>
    <row r="177" spans="1:6" s="8" customFormat="1" ht="15.75" hidden="1" customHeight="1">
      <c r="A177" s="10"/>
      <c r="B177" s="10"/>
      <c r="C177" s="10"/>
      <c r="D177" s="10"/>
      <c r="E177" s="97" t="s">
        <v>100</v>
      </c>
      <c r="F177" s="105">
        <f>'Trifásico 13,8kv '!AM9+'Trifásico 13,8kv '!AN9+'Trifásico 13,8kv '!AO9</f>
        <v>0</v>
      </c>
    </row>
    <row r="178" spans="1:6" s="8" customFormat="1" ht="15.75" hidden="1" customHeight="1">
      <c r="A178" s="10"/>
      <c r="B178" s="10"/>
      <c r="C178" s="10"/>
      <c r="D178" s="10"/>
      <c r="E178" s="107" t="s">
        <v>78</v>
      </c>
      <c r="F178" s="105">
        <f>'Trifásico 13,8kv '!AM10+'Trifásico 13,8kv '!AN10+'Trifásico 13,8kv '!AO10</f>
        <v>0</v>
      </c>
    </row>
    <row r="179" spans="1:6" s="8" customFormat="1" ht="15.75" hidden="1" customHeight="1">
      <c r="A179" s="10"/>
      <c r="B179" s="10"/>
      <c r="C179" s="10"/>
      <c r="D179" s="10"/>
      <c r="E179" s="97" t="s">
        <v>79</v>
      </c>
      <c r="F179" s="105">
        <f>'Trifásico 13,8kv '!AM11+'Trifásico 13,8kv '!AN11+'Trifásico 13,8kv '!AO11</f>
        <v>0</v>
      </c>
    </row>
    <row r="180" spans="1:6" s="8" customFormat="1" ht="15.75" hidden="1" customHeight="1">
      <c r="A180" s="10"/>
      <c r="B180" s="10"/>
      <c r="C180" s="10"/>
      <c r="D180" s="10"/>
      <c r="E180" s="107" t="s">
        <v>80</v>
      </c>
      <c r="F180" s="105">
        <f>'Trifásico 13,8kv '!AM12+'Trifásico 13,8kv '!AN12+'Trifásico 13,8kv '!AO12</f>
        <v>0</v>
      </c>
    </row>
    <row r="181" spans="1:6" s="8" customFormat="1" ht="15.75" hidden="1" customHeight="1">
      <c r="A181" s="10"/>
      <c r="B181" s="10"/>
      <c r="C181" s="10"/>
      <c r="D181" s="10"/>
      <c r="E181" s="97" t="s">
        <v>81</v>
      </c>
      <c r="F181" s="105">
        <f>'Trifásico 13,8kv '!AM13+'Trifásico 13,8kv '!AN13+'Trifásico 13,8kv '!AO13</f>
        <v>0</v>
      </c>
    </row>
    <row r="182" spans="1:6" s="8" customFormat="1" ht="15.75" hidden="1" customHeight="1">
      <c r="A182" s="10"/>
      <c r="B182" s="10"/>
      <c r="C182" s="10"/>
      <c r="D182" s="10"/>
      <c r="E182" s="107" t="s">
        <v>82</v>
      </c>
      <c r="F182" s="105">
        <f>'Trifásico 13,8kv '!AM14+'Trifásico 13,8kv '!AN14+'Trifásico 13,8kv '!AO14</f>
        <v>0</v>
      </c>
    </row>
    <row r="183" spans="1:6" s="8" customFormat="1" ht="15.75" hidden="1" customHeight="1">
      <c r="A183" s="10"/>
      <c r="B183" s="10"/>
      <c r="C183" s="10"/>
      <c r="D183" s="10"/>
      <c r="E183" s="97" t="s">
        <v>83</v>
      </c>
      <c r="F183" s="105">
        <f>'Trifásico 13,8kv '!AM15+'Trifásico 13,8kv '!AN15+'Trifásico 13,8kv '!AO15</f>
        <v>0</v>
      </c>
    </row>
    <row r="184" spans="1:6" s="8" customFormat="1" ht="15.75" hidden="1" customHeight="1">
      <c r="A184" s="10"/>
      <c r="B184" s="10"/>
      <c r="C184" s="10"/>
      <c r="D184" s="10"/>
      <c r="E184" s="107" t="s">
        <v>85</v>
      </c>
      <c r="F184" s="105">
        <f>'Trifásico 13,8kv '!AM16+'Trifásico 13,8kv '!AN16+'Trifásico 13,8kv '!AO16</f>
        <v>0</v>
      </c>
    </row>
    <row r="185" spans="1:6" s="8" customFormat="1" ht="15.75" hidden="1" customHeight="1">
      <c r="A185" s="10"/>
      <c r="B185" s="10"/>
      <c r="C185" s="10"/>
      <c r="D185" s="10"/>
      <c r="E185" s="97" t="s">
        <v>84</v>
      </c>
      <c r="F185" s="105">
        <f>'Trifásico 13,8kv '!AM17+'Trifásico 13,8kv '!AN17+'Trifásico 13,8kv '!AO17</f>
        <v>0</v>
      </c>
    </row>
    <row r="186" spans="1:6" s="8" customFormat="1" ht="15.75" hidden="1" customHeight="1">
      <c r="A186" s="10"/>
      <c r="B186" s="10"/>
      <c r="C186" s="10"/>
      <c r="D186" s="10"/>
      <c r="E186" s="107" t="s">
        <v>86</v>
      </c>
      <c r="F186" s="105">
        <f>'Trifásico 13,8kv '!AM18+'Trifásico 13,8kv '!AN18+'Trifásico 13,8kv '!AO18</f>
        <v>0</v>
      </c>
    </row>
    <row r="187" spans="1:6" s="8" customFormat="1" ht="15.75" hidden="1" customHeight="1">
      <c r="A187" s="10"/>
      <c r="B187" s="10"/>
      <c r="C187" s="10"/>
      <c r="D187" s="10"/>
      <c r="E187" s="97" t="s">
        <v>87</v>
      </c>
      <c r="F187" s="105">
        <f>'Trifásico 13,8kv '!AM19+'Trifásico 13,8kv '!AN19+'Trifásico 13,8kv '!AO19</f>
        <v>0</v>
      </c>
    </row>
    <row r="188" spans="1:6" s="8" customFormat="1" ht="15.75" hidden="1" customHeight="1">
      <c r="A188" s="10"/>
      <c r="B188" s="10"/>
      <c r="C188" s="10"/>
      <c r="D188" s="10"/>
      <c r="E188" s="107" t="s">
        <v>101</v>
      </c>
      <c r="F188" s="105">
        <f>'Trifásico 13,8kv '!AM20+'Trifásico 13,8kv '!AN20+'Trifásico 13,8kv '!AO20</f>
        <v>0</v>
      </c>
    </row>
    <row r="189" spans="1:6" s="8" customFormat="1" ht="15.75" hidden="1" customHeight="1">
      <c r="A189" s="10"/>
      <c r="B189" s="10"/>
      <c r="C189" s="10"/>
      <c r="D189" s="10"/>
      <c r="E189" s="97" t="s">
        <v>88</v>
      </c>
      <c r="F189" s="105">
        <f>'Trifásico 13,8kv '!AM21+'Trifásico 13,8kv '!AN21+'Trifásico 13,8kv '!AO21</f>
        <v>0</v>
      </c>
    </row>
    <row r="190" spans="1:6" s="8" customFormat="1" ht="15.75" hidden="1" customHeight="1">
      <c r="A190" s="10"/>
      <c r="B190" s="10"/>
      <c r="C190" s="10"/>
      <c r="D190" s="10"/>
      <c r="E190" s="107" t="s">
        <v>89</v>
      </c>
      <c r="F190" s="105">
        <f>'Trifásico 13,8kv '!AM22+'Trifásico 13,8kv '!AN22+'Trifásico 13,8kv '!AO22</f>
        <v>0</v>
      </c>
    </row>
    <row r="191" spans="1:6" s="8" customFormat="1" ht="15.75" hidden="1" customHeight="1">
      <c r="A191" s="10"/>
      <c r="B191" s="10"/>
      <c r="C191" s="10"/>
      <c r="D191" s="10"/>
      <c r="E191" s="97" t="s">
        <v>90</v>
      </c>
      <c r="F191" s="105">
        <f>'Trifásico 13,8kv '!AM23+'Trifásico 13,8kv '!AN23+'Trifásico 13,8kv '!AO23</f>
        <v>0</v>
      </c>
    </row>
    <row r="192" spans="1:6" s="8" customFormat="1" ht="15.75" hidden="1" customHeight="1">
      <c r="A192" s="10"/>
      <c r="B192" s="10"/>
      <c r="C192" s="10"/>
      <c r="D192" s="10"/>
      <c r="E192" s="107" t="s">
        <v>93</v>
      </c>
      <c r="F192" s="105">
        <f>'Trifásico 13,8kv '!AM24+'Trifásico 13,8kv '!AN24+'Trifásico 13,8kv '!AO24</f>
        <v>0</v>
      </c>
    </row>
    <row r="193" spans="1:6" s="8" customFormat="1" ht="15.75" hidden="1" customHeight="1">
      <c r="A193" s="10"/>
      <c r="B193" s="10"/>
      <c r="C193" s="10"/>
      <c r="D193" s="10"/>
      <c r="E193" s="97" t="s">
        <v>91</v>
      </c>
      <c r="F193" s="105">
        <f>'Trifásico 13,8kv '!AM25+'Trifásico 13,8kv '!AN25+'Trifásico 13,8kv '!AO25</f>
        <v>0</v>
      </c>
    </row>
    <row r="194" spans="1:6" s="8" customFormat="1" ht="15.75" hidden="1" customHeight="1">
      <c r="A194" s="10"/>
      <c r="B194" s="10"/>
      <c r="C194" s="10"/>
      <c r="D194" s="10"/>
      <c r="E194" s="107" t="s">
        <v>92</v>
      </c>
      <c r="F194" s="105">
        <f>'Trifásico 13,8kv '!AM26+'Trifásico 13,8kv '!AN26+'Trifásico 13,8kv '!AO26</f>
        <v>0</v>
      </c>
    </row>
    <row r="195" spans="1:6" s="8" customFormat="1" ht="15.75" hidden="1" customHeight="1" thickBot="1">
      <c r="A195" s="10"/>
      <c r="B195" s="10"/>
      <c r="C195" s="10"/>
      <c r="D195" s="10"/>
      <c r="E195" s="130"/>
      <c r="F195" s="38">
        <f>SUM(F173:F194)</f>
        <v>0</v>
      </c>
    </row>
    <row r="196" spans="1:6" s="8" customFormat="1" ht="15.75" hidden="1" customHeight="1" thickBot="1">
      <c r="A196" s="10"/>
      <c r="B196" s="10"/>
      <c r="C196" s="10"/>
      <c r="D196" s="10"/>
      <c r="E196" s="230" t="s">
        <v>212</v>
      </c>
      <c r="F196" s="307">
        <f>SUM(F197:F218)</f>
        <v>0</v>
      </c>
    </row>
    <row r="197" spans="1:6" s="8" customFormat="1" ht="15.75" hidden="1" customHeight="1">
      <c r="A197" s="10"/>
      <c r="B197" s="10"/>
      <c r="C197" s="10"/>
      <c r="D197" s="10"/>
      <c r="E197" s="97" t="s">
        <v>74</v>
      </c>
      <c r="F197" s="105">
        <f>'Trifásico 13,8kv '!AR5+'Trifásico 13,8kv '!AS5+'Trifásico 13,8kv '!AT5</f>
        <v>0</v>
      </c>
    </row>
    <row r="198" spans="1:6" s="8" customFormat="1" ht="15.75" hidden="1" customHeight="1">
      <c r="A198" s="10"/>
      <c r="B198" s="10"/>
      <c r="C198" s="10"/>
      <c r="D198" s="10"/>
      <c r="E198" s="107" t="s">
        <v>75</v>
      </c>
      <c r="F198" s="105">
        <f>'Trifásico 13,8kv '!AR6+'Trifásico 13,8kv '!AS6+'Trifásico 13,8kv '!AT6</f>
        <v>0</v>
      </c>
    </row>
    <row r="199" spans="1:6" s="8" customFormat="1" ht="15.75" hidden="1" customHeight="1">
      <c r="A199" s="10"/>
      <c r="B199" s="10"/>
      <c r="C199" s="10"/>
      <c r="D199" s="10"/>
      <c r="E199" s="97" t="s">
        <v>76</v>
      </c>
      <c r="F199" s="105">
        <f>'Trifásico 13,8kv '!AR7+'Trifásico 13,8kv '!AS7+'Trifásico 13,8kv '!AT7</f>
        <v>0</v>
      </c>
    </row>
    <row r="200" spans="1:6" s="8" customFormat="1" ht="15.75" hidden="1" customHeight="1">
      <c r="A200" s="10"/>
      <c r="B200" s="10"/>
      <c r="C200" s="10"/>
      <c r="D200" s="10"/>
      <c r="E200" s="107" t="s">
        <v>77</v>
      </c>
      <c r="F200" s="105">
        <f>'Trifásico 13,8kv '!AR8+'Trifásico 13,8kv '!AS8+'Trifásico 13,8kv '!AT8</f>
        <v>0</v>
      </c>
    </row>
    <row r="201" spans="1:6" s="8" customFormat="1" ht="15.75" hidden="1" customHeight="1">
      <c r="A201" s="10"/>
      <c r="B201" s="10"/>
      <c r="C201" s="10"/>
      <c r="D201" s="10"/>
      <c r="E201" s="97" t="s">
        <v>100</v>
      </c>
      <c r="F201" s="105">
        <f>'Trifásico 13,8kv '!AR9+'Trifásico 13,8kv '!AS9+'Trifásico 13,8kv '!AT9</f>
        <v>0</v>
      </c>
    </row>
    <row r="202" spans="1:6" s="8" customFormat="1" ht="15.75" hidden="1" customHeight="1">
      <c r="A202" s="10"/>
      <c r="B202" s="10"/>
      <c r="C202" s="10"/>
      <c r="D202" s="10"/>
      <c r="E202" s="107" t="s">
        <v>78</v>
      </c>
      <c r="F202" s="105">
        <f>'Trifásico 13,8kv '!AR10+'Trifásico 13,8kv '!AS10+'Trifásico 13,8kv '!AT10</f>
        <v>0</v>
      </c>
    </row>
    <row r="203" spans="1:6" s="8" customFormat="1" ht="15.75" hidden="1" customHeight="1">
      <c r="A203" s="10"/>
      <c r="B203" s="10"/>
      <c r="C203" s="10"/>
      <c r="D203" s="10"/>
      <c r="E203" s="97" t="s">
        <v>79</v>
      </c>
      <c r="F203" s="105">
        <f>'Trifásico 13,8kv '!AR11+'Trifásico 13,8kv '!AS11+'Trifásico 13,8kv '!AT11</f>
        <v>0</v>
      </c>
    </row>
    <row r="204" spans="1:6" s="8" customFormat="1" ht="15.75" hidden="1" customHeight="1">
      <c r="A204" s="10"/>
      <c r="B204" s="10"/>
      <c r="C204" s="10"/>
      <c r="D204" s="10"/>
      <c r="E204" s="107" t="s">
        <v>80</v>
      </c>
      <c r="F204" s="105">
        <f>'Trifásico 13,8kv '!AR12+'Trifásico 13,8kv '!AS12+'Trifásico 13,8kv '!AT12</f>
        <v>0</v>
      </c>
    </row>
    <row r="205" spans="1:6" s="8" customFormat="1" ht="15.75" hidden="1" customHeight="1">
      <c r="A205" s="10"/>
      <c r="B205" s="10"/>
      <c r="C205" s="10"/>
      <c r="D205" s="10"/>
      <c r="E205" s="97" t="s">
        <v>81</v>
      </c>
      <c r="F205" s="105">
        <f>'Trifásico 13,8kv '!AR13+'Trifásico 13,8kv '!AS13+'Trifásico 13,8kv '!AT13</f>
        <v>0</v>
      </c>
    </row>
    <row r="206" spans="1:6" s="8" customFormat="1" ht="15.75" hidden="1" customHeight="1">
      <c r="A206" s="10"/>
      <c r="B206" s="10"/>
      <c r="C206" s="10"/>
      <c r="D206" s="10"/>
      <c r="E206" s="107" t="s">
        <v>82</v>
      </c>
      <c r="F206" s="105">
        <f>'Trifásico 13,8kv '!AR14+'Trifásico 13,8kv '!AS14+'Trifásico 13,8kv '!AT14</f>
        <v>0</v>
      </c>
    </row>
    <row r="207" spans="1:6" s="8" customFormat="1" ht="15.75" hidden="1" customHeight="1">
      <c r="A207" s="10"/>
      <c r="B207" s="10"/>
      <c r="C207" s="10"/>
      <c r="D207" s="10"/>
      <c r="E207" s="97" t="s">
        <v>83</v>
      </c>
      <c r="F207" s="105">
        <f>'Trifásico 13,8kv '!AR15+'Trifásico 13,8kv '!AS15+'Trifásico 13,8kv '!AT15</f>
        <v>0</v>
      </c>
    </row>
    <row r="208" spans="1:6" s="6" customFormat="1" ht="15.75" hidden="1" customHeight="1">
      <c r="A208" s="90"/>
      <c r="B208" s="137"/>
      <c r="C208" s="138"/>
      <c r="D208" s="138"/>
      <c r="E208" s="107" t="s">
        <v>85</v>
      </c>
      <c r="F208" s="105">
        <f>'Trifásico 13,8kv '!AR16+'Trifásico 13,8kv '!AS16+'Trifásico 13,8kv '!AT16</f>
        <v>0</v>
      </c>
    </row>
    <row r="209" spans="1:121" s="6" customFormat="1" ht="15.75" hidden="1" customHeight="1">
      <c r="A209" s="90"/>
      <c r="B209" s="137"/>
      <c r="C209" s="138"/>
      <c r="D209" s="138"/>
      <c r="E209" s="97" t="s">
        <v>84</v>
      </c>
      <c r="F209" s="105">
        <f>'Trifásico 13,8kv '!AR17+'Trifásico 13,8kv '!AS17+'Trifásico 13,8kv '!AT17</f>
        <v>0</v>
      </c>
    </row>
    <row r="210" spans="1:121" s="6" customFormat="1" ht="15.75" hidden="1" customHeight="1">
      <c r="A210" s="90"/>
      <c r="B210" s="137"/>
      <c r="C210" s="138"/>
      <c r="D210" s="138"/>
      <c r="E210" s="107" t="s">
        <v>86</v>
      </c>
      <c r="F210" s="105">
        <f>'Trifásico 13,8kv '!AR18+'Trifásico 13,8kv '!AS18+'Trifásico 13,8kv '!AT18</f>
        <v>0</v>
      </c>
    </row>
    <row r="211" spans="1:121" s="6" customFormat="1" ht="15.75" hidden="1" customHeight="1">
      <c r="A211" s="90"/>
      <c r="B211" s="137"/>
      <c r="C211" s="138"/>
      <c r="D211" s="138"/>
      <c r="E211" s="97" t="s">
        <v>87</v>
      </c>
      <c r="F211" s="105">
        <f>'Trifásico 13,8kv '!AR19+'Trifásico 13,8kv '!AS19+'Trifásico 13,8kv '!AT19</f>
        <v>0</v>
      </c>
    </row>
    <row r="212" spans="1:121" s="6" customFormat="1" ht="15.75" hidden="1" customHeight="1">
      <c r="A212" s="90"/>
      <c r="B212" s="137"/>
      <c r="C212" s="138"/>
      <c r="D212" s="138"/>
      <c r="E212" s="107" t="s">
        <v>101</v>
      </c>
      <c r="F212" s="105">
        <f>'Trifásico 13,8kv '!AR20+'Trifásico 13,8kv '!AS20+'Trifásico 13,8kv '!AT20</f>
        <v>0</v>
      </c>
    </row>
    <row r="213" spans="1:121" s="44" customFormat="1" ht="15.75" hidden="1" customHeight="1">
      <c r="A213" s="90"/>
      <c r="B213" s="137"/>
      <c r="C213" s="138"/>
      <c r="D213" s="138"/>
      <c r="E213" s="97" t="s">
        <v>88</v>
      </c>
      <c r="F213" s="105">
        <f>'Trifásico 13,8kv '!AR21+'Trifásico 13,8kv '!AS21+'Trifásico 13,8kv '!AT21</f>
        <v>0</v>
      </c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  <c r="BH213" s="6"/>
      <c r="BI213" s="6"/>
      <c r="BJ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X213" s="6"/>
      <c r="BY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  <c r="CJ213" s="6"/>
      <c r="CK213" s="6"/>
      <c r="CL213" s="6"/>
      <c r="CM213" s="6"/>
      <c r="CN213" s="6"/>
      <c r="CO213" s="6"/>
      <c r="CP213" s="6"/>
      <c r="CQ213" s="6"/>
      <c r="CR213" s="6"/>
      <c r="CS213" s="6"/>
      <c r="CT213" s="6"/>
      <c r="CU213" s="6"/>
      <c r="CV213" s="6"/>
      <c r="CW213" s="6"/>
      <c r="CX213" s="6"/>
      <c r="CY213" s="6"/>
      <c r="CZ213" s="6"/>
      <c r="DA213" s="6"/>
      <c r="DB213" s="6"/>
      <c r="DC213" s="6"/>
      <c r="DD213" s="6"/>
      <c r="DE213" s="6"/>
      <c r="DF213" s="6"/>
      <c r="DG213" s="6"/>
      <c r="DH213" s="6"/>
      <c r="DI213" s="6"/>
      <c r="DJ213" s="6"/>
      <c r="DK213" s="6"/>
      <c r="DL213" s="6"/>
      <c r="DM213" s="6"/>
      <c r="DN213" s="6"/>
      <c r="DO213" s="6"/>
      <c r="DP213" s="6"/>
      <c r="DQ213" s="6"/>
    </row>
    <row r="214" spans="1:121" s="44" customFormat="1" ht="15.75" hidden="1" customHeight="1">
      <c r="A214" s="90"/>
      <c r="B214" s="137"/>
      <c r="C214" s="138"/>
      <c r="D214" s="138"/>
      <c r="E214" s="107" t="s">
        <v>89</v>
      </c>
      <c r="F214" s="105">
        <f>'Trifásico 13,8kv '!AR22+'Trifásico 13,8kv '!AS22+'Trifásico 13,8kv '!AT22</f>
        <v>0</v>
      </c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  <c r="BH214" s="6"/>
      <c r="BI214" s="6"/>
      <c r="BJ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X214" s="6"/>
      <c r="BY214" s="6"/>
      <c r="BZ214" s="6"/>
      <c r="CA214" s="6"/>
      <c r="CB214" s="6"/>
      <c r="CC214" s="6"/>
      <c r="CD214" s="6"/>
      <c r="CE214" s="6"/>
      <c r="CF214" s="6"/>
      <c r="CG214" s="6"/>
      <c r="CH214" s="6"/>
      <c r="CI214" s="6"/>
      <c r="CJ214" s="6"/>
      <c r="CK214" s="6"/>
      <c r="CL214" s="6"/>
      <c r="CM214" s="6"/>
      <c r="CN214" s="6"/>
      <c r="CO214" s="6"/>
      <c r="CP214" s="6"/>
      <c r="CQ214" s="6"/>
      <c r="CR214" s="6"/>
      <c r="CS214" s="6"/>
      <c r="CT214" s="6"/>
      <c r="CU214" s="6"/>
      <c r="CV214" s="6"/>
      <c r="CW214" s="6"/>
      <c r="CX214" s="6"/>
      <c r="CY214" s="6"/>
      <c r="CZ214" s="6"/>
      <c r="DA214" s="6"/>
      <c r="DB214" s="6"/>
      <c r="DC214" s="6"/>
      <c r="DD214" s="6"/>
      <c r="DE214" s="6"/>
      <c r="DF214" s="6"/>
      <c r="DG214" s="6"/>
      <c r="DH214" s="6"/>
      <c r="DI214" s="6"/>
      <c r="DJ214" s="6"/>
      <c r="DK214" s="6"/>
      <c r="DL214" s="6"/>
      <c r="DM214" s="6"/>
      <c r="DN214" s="6"/>
      <c r="DO214" s="6"/>
      <c r="DP214" s="6"/>
      <c r="DQ214" s="6"/>
    </row>
    <row r="215" spans="1:121" s="44" customFormat="1" ht="15.75" hidden="1" customHeight="1">
      <c r="A215" s="90"/>
      <c r="B215" s="137"/>
      <c r="C215" s="138"/>
      <c r="D215" s="138"/>
      <c r="E215" s="97" t="s">
        <v>90</v>
      </c>
      <c r="F215" s="105">
        <f>'Trifásico 13,8kv '!AR23+'Trifásico 13,8kv '!AS23+'Trifásico 13,8kv '!AT23</f>
        <v>0</v>
      </c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  <c r="BH215" s="6"/>
      <c r="BI215" s="6"/>
      <c r="BJ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X215" s="6"/>
      <c r="BY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  <c r="CJ215" s="6"/>
      <c r="CK215" s="6"/>
      <c r="CL215" s="6"/>
      <c r="CM215" s="6"/>
      <c r="CN215" s="6"/>
      <c r="CO215" s="6"/>
      <c r="CP215" s="6"/>
      <c r="CQ215" s="6"/>
      <c r="CR215" s="6"/>
      <c r="CS215" s="6"/>
      <c r="CT215" s="6"/>
      <c r="CU215" s="6"/>
      <c r="CV215" s="6"/>
      <c r="CW215" s="6"/>
      <c r="CX215" s="6"/>
      <c r="CY215" s="6"/>
      <c r="CZ215" s="6"/>
      <c r="DA215" s="6"/>
      <c r="DB215" s="6"/>
      <c r="DC215" s="6"/>
      <c r="DD215" s="6"/>
      <c r="DE215" s="6"/>
      <c r="DF215" s="6"/>
      <c r="DG215" s="6"/>
      <c r="DH215" s="6"/>
      <c r="DI215" s="6"/>
      <c r="DJ215" s="6"/>
      <c r="DK215" s="6"/>
      <c r="DL215" s="6"/>
      <c r="DM215" s="6"/>
      <c r="DN215" s="6"/>
      <c r="DO215" s="6"/>
      <c r="DP215" s="6"/>
      <c r="DQ215" s="6"/>
    </row>
    <row r="216" spans="1:121" s="6" customFormat="1" ht="15.75" hidden="1" customHeight="1">
      <c r="A216" s="90"/>
      <c r="B216" s="137"/>
      <c r="C216" s="138"/>
      <c r="D216" s="138"/>
      <c r="E216" s="107" t="s">
        <v>93</v>
      </c>
      <c r="F216" s="105">
        <f>'Trifásico 13,8kv '!AR24+'Trifásico 13,8kv '!AS24+'Trifásico 13,8kv '!AT24</f>
        <v>0</v>
      </c>
    </row>
    <row r="217" spans="1:121" s="6" customFormat="1" ht="15.75" hidden="1" customHeight="1">
      <c r="A217" s="90"/>
      <c r="B217" s="137"/>
      <c r="C217" s="138"/>
      <c r="D217" s="138"/>
      <c r="E217" s="97" t="s">
        <v>91</v>
      </c>
      <c r="F217" s="105">
        <f>'Trifásico 13,8kv '!AR25+'Trifásico 13,8kv '!AS25+'Trifásico 13,8kv '!AT25</f>
        <v>0</v>
      </c>
    </row>
    <row r="218" spans="1:121" s="6" customFormat="1" ht="15.75" hidden="1" customHeight="1">
      <c r="A218" s="90"/>
      <c r="B218" s="137"/>
      <c r="C218" s="138"/>
      <c r="D218" s="138"/>
      <c r="E218" s="107" t="s">
        <v>92</v>
      </c>
      <c r="F218" s="105">
        <f>'Trifásico 13,8kv '!AR26+'Trifásico 13,8kv '!AS26+'Trifásico 13,8kv '!AT26</f>
        <v>0</v>
      </c>
    </row>
    <row r="219" spans="1:121" s="6" customFormat="1" ht="15.75" hidden="1" customHeight="1" thickBot="1">
      <c r="A219" s="90"/>
      <c r="B219" s="137"/>
      <c r="C219" s="138"/>
      <c r="D219" s="138"/>
      <c r="E219" s="130"/>
      <c r="F219" s="38">
        <f>SUM(F197:F218)</f>
        <v>0</v>
      </c>
    </row>
    <row r="220" spans="1:121" s="6" customFormat="1" ht="15.75" hidden="1" customHeight="1" thickBot="1">
      <c r="A220" s="238"/>
      <c r="B220" s="137"/>
      <c r="C220" s="138"/>
      <c r="D220" s="1670" t="s">
        <v>1362</v>
      </c>
      <c r="E220" s="1994"/>
      <c r="F220" s="307">
        <f>SUM(F221:F242)</f>
        <v>0</v>
      </c>
    </row>
    <row r="221" spans="1:121" s="6" customFormat="1" ht="15.75" hidden="1" customHeight="1">
      <c r="A221" s="90"/>
      <c r="B221" s="137"/>
      <c r="C221" s="138"/>
      <c r="D221" s="138"/>
      <c r="E221" s="225" t="s">
        <v>74</v>
      </c>
      <c r="F221" s="105">
        <f>'Trifásico 13,8kv '!BB5+'Trifásico 13,8kv '!BC5+'Trifásico 13,8kv '!BD5</f>
        <v>0</v>
      </c>
    </row>
    <row r="222" spans="1:121" s="6" customFormat="1" ht="15.75" hidden="1" customHeight="1">
      <c r="A222" s="90"/>
      <c r="B222" s="137"/>
      <c r="C222" s="138"/>
      <c r="D222" s="138"/>
      <c r="E222" s="107" t="s">
        <v>75</v>
      </c>
      <c r="F222" s="105">
        <f>'Trifásico 13,8kv '!BB6+'Trifásico 13,8kv '!BC6+'Trifásico 13,8kv '!BD6</f>
        <v>0</v>
      </c>
    </row>
    <row r="223" spans="1:121" s="6" customFormat="1" ht="15.75" hidden="1" customHeight="1">
      <c r="A223" s="90"/>
      <c r="B223" s="137"/>
      <c r="C223" s="138"/>
      <c r="D223" s="138"/>
      <c r="E223" s="97" t="s">
        <v>76</v>
      </c>
      <c r="F223" s="105">
        <f>'Trifásico 13,8kv '!BB7+'Trifásico 13,8kv '!BC7+'Trifásico 13,8kv '!BD7</f>
        <v>0</v>
      </c>
    </row>
    <row r="224" spans="1:121" s="6" customFormat="1" ht="15.75" hidden="1" customHeight="1">
      <c r="A224" s="90"/>
      <c r="B224" s="137"/>
      <c r="C224" s="138"/>
      <c r="D224" s="138"/>
      <c r="E224" s="107" t="s">
        <v>77</v>
      </c>
      <c r="F224" s="105">
        <f>'Trifásico 13,8kv '!BB8+'Trifásico 13,8kv '!BC8+'Trifásico 13,8kv '!BD8</f>
        <v>0</v>
      </c>
    </row>
    <row r="225" spans="1:6" s="6" customFormat="1" ht="15.75" hidden="1" customHeight="1">
      <c r="A225" s="90"/>
      <c r="B225" s="137"/>
      <c r="C225" s="138"/>
      <c r="D225" s="138"/>
      <c r="E225" s="97" t="s">
        <v>100</v>
      </c>
      <c r="F225" s="105">
        <f>'Trifásico 13,8kv '!BB9+'Trifásico 13,8kv '!BC9+'Trifásico 13,8kv '!BD9</f>
        <v>0</v>
      </c>
    </row>
    <row r="226" spans="1:6" s="6" customFormat="1" ht="15.75" hidden="1" customHeight="1">
      <c r="A226" s="90"/>
      <c r="B226" s="137"/>
      <c r="C226" s="138"/>
      <c r="D226" s="138"/>
      <c r="E226" s="107" t="s">
        <v>78</v>
      </c>
      <c r="F226" s="105">
        <f>'Trifásico 13,8kv '!BB10+'Trifásico 13,8kv '!BC10+'Trifásico 13,8kv '!BD10</f>
        <v>0</v>
      </c>
    </row>
    <row r="227" spans="1:6" s="6" customFormat="1" ht="15.75" hidden="1" customHeight="1">
      <c r="A227" s="90"/>
      <c r="B227" s="137"/>
      <c r="C227" s="138"/>
      <c r="D227" s="138"/>
      <c r="E227" s="97" t="s">
        <v>79</v>
      </c>
      <c r="F227" s="105">
        <f>'Trifásico 13,8kv '!BB11+'Trifásico 13,8kv '!BC11+'Trifásico 13,8kv '!BD11</f>
        <v>0</v>
      </c>
    </row>
    <row r="228" spans="1:6" s="6" customFormat="1" ht="15.75" hidden="1" customHeight="1">
      <c r="A228" s="90"/>
      <c r="B228" s="137"/>
      <c r="C228" s="138"/>
      <c r="D228" s="138"/>
      <c r="E228" s="107" t="s">
        <v>80</v>
      </c>
      <c r="F228" s="105">
        <f>'Trifásico 13,8kv '!BB12+'Trifásico 13,8kv '!BC12+'Trifásico 13,8kv '!BD12</f>
        <v>0</v>
      </c>
    </row>
    <row r="229" spans="1:6" s="6" customFormat="1" ht="15.75" hidden="1" customHeight="1">
      <c r="A229" s="90"/>
      <c r="B229" s="137"/>
      <c r="C229" s="138"/>
      <c r="D229" s="138"/>
      <c r="E229" s="97" t="s">
        <v>81</v>
      </c>
      <c r="F229" s="105">
        <f>'Trifásico 13,8kv '!BB13+'Trifásico 13,8kv '!BC13+'Trifásico 13,8kv '!BD13</f>
        <v>0</v>
      </c>
    </row>
    <row r="230" spans="1:6" s="6" customFormat="1" ht="15.75" hidden="1" customHeight="1">
      <c r="A230" s="90"/>
      <c r="B230" s="137"/>
      <c r="C230" s="138"/>
      <c r="D230" s="138"/>
      <c r="E230" s="107" t="s">
        <v>82</v>
      </c>
      <c r="F230" s="105">
        <f>'Trifásico 13,8kv '!BB14+'Trifásico 13,8kv '!BC14+'Trifásico 13,8kv '!BD14</f>
        <v>0</v>
      </c>
    </row>
    <row r="231" spans="1:6" s="6" customFormat="1" ht="15.75" hidden="1" customHeight="1">
      <c r="A231" s="90"/>
      <c r="B231" s="137"/>
      <c r="C231" s="138"/>
      <c r="D231" s="138"/>
      <c r="E231" s="97" t="s">
        <v>83</v>
      </c>
      <c r="F231" s="105">
        <f>'Trifásico 13,8kv '!BB15+'Trifásico 13,8kv '!BC15+'Trifásico 13,8kv '!BD15</f>
        <v>0</v>
      </c>
    </row>
    <row r="232" spans="1:6" s="6" customFormat="1" ht="15.75" hidden="1" customHeight="1">
      <c r="A232" s="90"/>
      <c r="B232" s="137"/>
      <c r="C232" s="138"/>
      <c r="D232" s="138"/>
      <c r="E232" s="107" t="s">
        <v>85</v>
      </c>
      <c r="F232" s="105">
        <f>'Trifásico 13,8kv '!BB16+'Trifásico 13,8kv '!BC16+'Trifásico 13,8kv '!BD16</f>
        <v>0</v>
      </c>
    </row>
    <row r="233" spans="1:6" s="6" customFormat="1" ht="15.75" hidden="1" customHeight="1">
      <c r="A233" s="90"/>
      <c r="B233" s="137"/>
      <c r="C233" s="138"/>
      <c r="D233" s="138"/>
      <c r="E233" s="97" t="s">
        <v>84</v>
      </c>
      <c r="F233" s="105">
        <f>'Trifásico 13,8kv '!BB17+'Trifásico 13,8kv '!BC17+'Trifásico 13,8kv '!BD17</f>
        <v>0</v>
      </c>
    </row>
    <row r="234" spans="1:6" s="6" customFormat="1" ht="15.75" hidden="1" customHeight="1">
      <c r="A234" s="90"/>
      <c r="B234" s="137"/>
      <c r="C234" s="138"/>
      <c r="D234" s="138"/>
      <c r="E234" s="107" t="s">
        <v>86</v>
      </c>
      <c r="F234" s="105">
        <f>'Trifásico 13,8kv '!BB18+'Trifásico 13,8kv '!BC18+'Trifásico 13,8kv '!BD18</f>
        <v>0</v>
      </c>
    </row>
    <row r="235" spans="1:6" s="6" customFormat="1" ht="15.75" hidden="1" customHeight="1">
      <c r="A235" s="90"/>
      <c r="B235" s="137"/>
      <c r="C235" s="138"/>
      <c r="D235" s="138"/>
      <c r="E235" s="97" t="s">
        <v>87</v>
      </c>
      <c r="F235" s="105">
        <f>'Trifásico 13,8kv '!BB19+'Trifásico 13,8kv '!BC19+'Trifásico 13,8kv '!BD19</f>
        <v>0</v>
      </c>
    </row>
    <row r="236" spans="1:6" s="6" customFormat="1" ht="15.75" hidden="1" customHeight="1">
      <c r="A236" s="90"/>
      <c r="B236" s="137"/>
      <c r="C236" s="138"/>
      <c r="D236" s="138"/>
      <c r="E236" s="107" t="s">
        <v>101</v>
      </c>
      <c r="F236" s="105">
        <f>'Trifásico 13,8kv '!BB20+'Trifásico 13,8kv '!BC20+'Trifásico 13,8kv '!BD20</f>
        <v>0</v>
      </c>
    </row>
    <row r="237" spans="1:6" s="6" customFormat="1" ht="15.75" hidden="1" customHeight="1">
      <c r="A237" s="90"/>
      <c r="B237" s="137"/>
      <c r="C237" s="138"/>
      <c r="D237" s="138"/>
      <c r="E237" s="97" t="s">
        <v>88</v>
      </c>
      <c r="F237" s="105">
        <f>'Trifásico 13,8kv '!BB21+'Trifásico 13,8kv '!BC21+'Trifásico 13,8kv '!BD21</f>
        <v>0</v>
      </c>
    </row>
    <row r="238" spans="1:6" s="6" customFormat="1" ht="15.75" hidden="1" customHeight="1">
      <c r="A238" s="90"/>
      <c r="B238" s="137"/>
      <c r="C238" s="138"/>
      <c r="D238" s="138"/>
      <c r="E238" s="107" t="s">
        <v>89</v>
      </c>
      <c r="F238" s="105">
        <f>'Trifásico 13,8kv '!BB22+'Trifásico 13,8kv '!BC22+'Trifásico 13,8kv '!BD22</f>
        <v>0</v>
      </c>
    </row>
    <row r="239" spans="1:6" s="6" customFormat="1" ht="15.75" hidden="1" customHeight="1">
      <c r="A239" s="90"/>
      <c r="B239" s="117"/>
      <c r="C239" s="138"/>
      <c r="D239" s="138"/>
      <c r="E239" s="97" t="s">
        <v>90</v>
      </c>
      <c r="F239" s="105">
        <f>'Trifásico 13,8kv '!BB23+'Trifásico 13,8kv '!BC23+'Trifásico 13,8kv '!BD23</f>
        <v>0</v>
      </c>
    </row>
    <row r="240" spans="1:6" s="6" customFormat="1" ht="15.75" hidden="1" customHeight="1">
      <c r="A240" s="90"/>
      <c r="B240" s="117"/>
      <c r="C240" s="138"/>
      <c r="D240" s="138"/>
      <c r="E240" s="107" t="s">
        <v>93</v>
      </c>
      <c r="F240" s="105">
        <f>'Trifásico 13,8kv '!BB24+'Trifásico 13,8kv '!BC24+'Trifásico 13,8kv '!BD24</f>
        <v>0</v>
      </c>
    </row>
    <row r="241" spans="1:6" s="6" customFormat="1" ht="15.75" hidden="1" customHeight="1">
      <c r="A241" s="90"/>
      <c r="B241" s="117"/>
      <c r="C241" s="138"/>
      <c r="D241" s="138"/>
      <c r="E241" s="97" t="s">
        <v>91</v>
      </c>
      <c r="F241" s="105">
        <f>'Trifásico 13,8kv '!BB25+'Trifásico 13,8kv '!BC25+'Trifásico 13,8kv '!BD25</f>
        <v>0</v>
      </c>
    </row>
    <row r="242" spans="1:6" s="6" customFormat="1" ht="15.75" hidden="1" customHeight="1">
      <c r="A242" s="90"/>
      <c r="B242" s="117"/>
      <c r="C242" s="138"/>
      <c r="D242" s="138"/>
      <c r="E242" s="107" t="s">
        <v>92</v>
      </c>
      <c r="F242" s="105">
        <f>'Trifásico 13,8kv '!BB26+'Trifásico 13,8kv '!BC26+'Trifásico 13,8kv '!BD26</f>
        <v>0</v>
      </c>
    </row>
    <row r="243" spans="1:6" s="6" customFormat="1" ht="15.75" hidden="1" customHeight="1" thickBot="1">
      <c r="A243" s="90"/>
      <c r="B243" s="137"/>
      <c r="C243" s="138"/>
      <c r="D243" s="138"/>
      <c r="E243" s="130"/>
      <c r="F243" s="38">
        <f>SUM(F221:F242)</f>
        <v>0</v>
      </c>
    </row>
    <row r="244" spans="1:6" s="6" customFormat="1" ht="15.75" hidden="1" customHeight="1" thickBot="1">
      <c r="A244" s="90"/>
      <c r="B244" s="137"/>
      <c r="C244" s="138"/>
      <c r="D244" s="1670" t="s">
        <v>1361</v>
      </c>
      <c r="E244" s="1994"/>
      <c r="F244" s="307">
        <f>SUM(F245:F266)</f>
        <v>0</v>
      </c>
    </row>
    <row r="245" spans="1:6" s="6" customFormat="1" ht="15.75" hidden="1" customHeight="1">
      <c r="A245" s="90"/>
      <c r="B245" s="137"/>
      <c r="C245" s="138"/>
      <c r="D245" s="138"/>
      <c r="E245" s="225" t="s">
        <v>74</v>
      </c>
      <c r="F245" s="105">
        <f>'Trifásico 13,8kv '!AW5+'Trifásico 13,8kv '!AX5+'Trifásico 13,8kv '!AY5</f>
        <v>0</v>
      </c>
    </row>
    <row r="246" spans="1:6" s="6" customFormat="1" ht="15.75" hidden="1" customHeight="1">
      <c r="A246" s="90"/>
      <c r="B246" s="137"/>
      <c r="C246" s="138"/>
      <c r="D246" s="138"/>
      <c r="E246" s="107" t="s">
        <v>75</v>
      </c>
      <c r="F246" s="105">
        <f>'Trifásico 13,8kv '!AW6+'Trifásico 13,8kv '!AX6+'Trifásico 13,8kv '!AY6</f>
        <v>0</v>
      </c>
    </row>
    <row r="247" spans="1:6" s="6" customFormat="1" ht="15.75" hidden="1" customHeight="1">
      <c r="A247" s="90"/>
      <c r="B247" s="137"/>
      <c r="C247" s="138"/>
      <c r="D247" s="138"/>
      <c r="E247" s="97" t="s">
        <v>76</v>
      </c>
      <c r="F247" s="105">
        <f>'Trifásico 13,8kv '!AW7+'Trifásico 13,8kv '!AX7+'Trifásico 13,8kv '!AY7</f>
        <v>0</v>
      </c>
    </row>
    <row r="248" spans="1:6" s="6" customFormat="1" ht="15.75" hidden="1" customHeight="1">
      <c r="A248" s="90"/>
      <c r="B248" s="137"/>
      <c r="C248" s="138"/>
      <c r="D248" s="138"/>
      <c r="E248" s="107" t="s">
        <v>77</v>
      </c>
      <c r="F248" s="105">
        <f>'Trifásico 13,8kv '!AW8+'Trifásico 13,8kv '!AX8+'Trifásico 13,8kv '!AY8</f>
        <v>0</v>
      </c>
    </row>
    <row r="249" spans="1:6" s="6" customFormat="1" ht="15.75" hidden="1" customHeight="1">
      <c r="A249" s="90"/>
      <c r="B249" s="137"/>
      <c r="C249" s="138"/>
      <c r="D249" s="138"/>
      <c r="E249" s="97" t="s">
        <v>100</v>
      </c>
      <c r="F249" s="105">
        <f>'Trifásico 13,8kv '!AW9+'Trifásico 13,8kv '!AX9+'Trifásico 13,8kv '!AY9</f>
        <v>0</v>
      </c>
    </row>
    <row r="250" spans="1:6" s="6" customFormat="1" ht="15.75" hidden="1" customHeight="1">
      <c r="A250" s="90"/>
      <c r="B250" s="137"/>
      <c r="C250" s="138"/>
      <c r="D250" s="138"/>
      <c r="E250" s="107" t="s">
        <v>78</v>
      </c>
      <c r="F250" s="105">
        <f>'Trifásico 13,8kv '!AW10+'Trifásico 13,8kv '!AX10+'Trifásico 13,8kv '!AY10</f>
        <v>0</v>
      </c>
    </row>
    <row r="251" spans="1:6" s="6" customFormat="1" ht="15.75" hidden="1" customHeight="1">
      <c r="A251" s="90"/>
      <c r="B251" s="137"/>
      <c r="C251" s="138"/>
      <c r="D251" s="138"/>
      <c r="E251" s="97" t="s">
        <v>79</v>
      </c>
      <c r="F251" s="105">
        <f>'Trifásico 13,8kv '!AW11+'Trifásico 13,8kv '!AX11+'Trifásico 13,8kv '!AY11</f>
        <v>0</v>
      </c>
    </row>
    <row r="252" spans="1:6" s="6" customFormat="1" ht="15.75" hidden="1" customHeight="1">
      <c r="A252" s="90"/>
      <c r="B252" s="137"/>
      <c r="C252" s="138"/>
      <c r="D252" s="138"/>
      <c r="E252" s="107" t="s">
        <v>80</v>
      </c>
      <c r="F252" s="105">
        <f>'Trifásico 13,8kv '!AW12+'Trifásico 13,8kv '!AX12+'Trifásico 13,8kv '!AY12</f>
        <v>0</v>
      </c>
    </row>
    <row r="253" spans="1:6" s="6" customFormat="1" ht="15.75" hidden="1" customHeight="1">
      <c r="A253" s="90"/>
      <c r="B253" s="137"/>
      <c r="C253" s="138"/>
      <c r="D253" s="138"/>
      <c r="E253" s="97" t="s">
        <v>81</v>
      </c>
      <c r="F253" s="105">
        <f>'Trifásico 13,8kv '!AW13+'Trifásico 13,8kv '!AX13+'Trifásico 13,8kv '!AY13</f>
        <v>0</v>
      </c>
    </row>
    <row r="254" spans="1:6" s="6" customFormat="1" ht="15.75" hidden="1" customHeight="1">
      <c r="A254" s="90"/>
      <c r="B254" s="137"/>
      <c r="C254" s="138"/>
      <c r="D254" s="138"/>
      <c r="E254" s="107" t="s">
        <v>82</v>
      </c>
      <c r="F254" s="105">
        <f>'Trifásico 13,8kv '!AW14+'Trifásico 13,8kv '!AX14+'Trifásico 13,8kv '!AY14</f>
        <v>0</v>
      </c>
    </row>
    <row r="255" spans="1:6" s="6" customFormat="1" ht="15.75" hidden="1" customHeight="1">
      <c r="A255" s="90"/>
      <c r="B255" s="137"/>
      <c r="C255" s="138"/>
      <c r="D255" s="138"/>
      <c r="E255" s="97" t="s">
        <v>83</v>
      </c>
      <c r="F255" s="105">
        <f>'Trifásico 13,8kv '!AW15+'Trifásico 13,8kv '!AX15+'Trifásico 13,8kv '!AY15</f>
        <v>0</v>
      </c>
    </row>
    <row r="256" spans="1:6" s="6" customFormat="1" ht="15.75" hidden="1" customHeight="1">
      <c r="A256" s="90"/>
      <c r="B256" s="137"/>
      <c r="C256" s="138"/>
      <c r="D256" s="138"/>
      <c r="E256" s="107" t="s">
        <v>85</v>
      </c>
      <c r="F256" s="105">
        <f>'Trifásico 13,8kv '!AW16+'Trifásico 13,8kv '!AX16+'Trifásico 13,8kv '!AY16</f>
        <v>0</v>
      </c>
    </row>
    <row r="257" spans="1:6" s="6" customFormat="1" ht="15.75" hidden="1" customHeight="1">
      <c r="A257" s="90"/>
      <c r="B257" s="137"/>
      <c r="C257" s="138"/>
      <c r="D257" s="138"/>
      <c r="E257" s="97" t="s">
        <v>84</v>
      </c>
      <c r="F257" s="105">
        <f>'Trifásico 13,8kv '!AW17+'Trifásico 13,8kv '!AX17+'Trifásico 13,8kv '!AY17</f>
        <v>0</v>
      </c>
    </row>
    <row r="258" spans="1:6" s="6" customFormat="1" ht="15.75" hidden="1" customHeight="1">
      <c r="A258" s="90"/>
      <c r="B258" s="137"/>
      <c r="C258" s="138"/>
      <c r="D258" s="138"/>
      <c r="E258" s="107" t="s">
        <v>86</v>
      </c>
      <c r="F258" s="105">
        <f>'Trifásico 13,8kv '!AW18+'Trifásico 13,8kv '!AX18+'Trifásico 13,8kv '!AY18</f>
        <v>0</v>
      </c>
    </row>
    <row r="259" spans="1:6" s="6" customFormat="1" ht="15.75" hidden="1" customHeight="1">
      <c r="A259" s="90"/>
      <c r="B259" s="137"/>
      <c r="C259" s="138"/>
      <c r="D259" s="138"/>
      <c r="E259" s="97" t="s">
        <v>87</v>
      </c>
      <c r="F259" s="105">
        <f>'Trifásico 13,8kv '!AW19+'Trifásico 13,8kv '!AX19+'Trifásico 13,8kv '!AY19</f>
        <v>0</v>
      </c>
    </row>
    <row r="260" spans="1:6" s="6" customFormat="1" ht="15.75" hidden="1" customHeight="1">
      <c r="A260" s="90"/>
      <c r="B260" s="137"/>
      <c r="C260" s="138"/>
      <c r="D260" s="138"/>
      <c r="E260" s="107" t="s">
        <v>101</v>
      </c>
      <c r="F260" s="105">
        <f>'Trifásico 13,8kv '!AW20+'Trifásico 13,8kv '!AX20+'Trifásico 13,8kv '!AY20</f>
        <v>0</v>
      </c>
    </row>
    <row r="261" spans="1:6" s="6" customFormat="1" ht="15.75" hidden="1" customHeight="1">
      <c r="A261" s="90"/>
      <c r="B261" s="137"/>
      <c r="C261" s="138"/>
      <c r="D261" s="138"/>
      <c r="E261" s="97" t="s">
        <v>88</v>
      </c>
      <c r="F261" s="105">
        <f>'Trifásico 13,8kv '!AW21+'Trifásico 13,8kv '!AX21+'Trifásico 13,8kv '!AY21</f>
        <v>0</v>
      </c>
    </row>
    <row r="262" spans="1:6" s="6" customFormat="1" ht="15.75" hidden="1" customHeight="1">
      <c r="A262" s="90"/>
      <c r="B262" s="137"/>
      <c r="C262" s="138"/>
      <c r="D262" s="138"/>
      <c r="E262" s="107" t="s">
        <v>89</v>
      </c>
      <c r="F262" s="105">
        <f>'Trifásico 13,8kv '!AW22+'Trifásico 13,8kv '!AX22+'Trifásico 13,8kv '!AY22</f>
        <v>0</v>
      </c>
    </row>
    <row r="263" spans="1:6" s="6" customFormat="1" ht="15.75" hidden="1" customHeight="1">
      <c r="A263" s="90"/>
      <c r="B263" s="137"/>
      <c r="C263" s="138"/>
      <c r="D263" s="138"/>
      <c r="E263" s="97" t="s">
        <v>90</v>
      </c>
      <c r="F263" s="105">
        <f>'Trifásico 13,8kv '!AW23+'Trifásico 13,8kv '!AX23+'Trifásico 13,8kv '!AY23</f>
        <v>0</v>
      </c>
    </row>
    <row r="264" spans="1:6" s="6" customFormat="1" ht="15.75" hidden="1" customHeight="1">
      <c r="A264" s="90"/>
      <c r="B264" s="137"/>
      <c r="C264" s="138"/>
      <c r="D264" s="138"/>
      <c r="E264" s="107" t="s">
        <v>93</v>
      </c>
      <c r="F264" s="105">
        <f>'Trifásico 13,8kv '!AW24+'Trifásico 13,8kv '!AX24+'Trifásico 13,8kv '!AY24</f>
        <v>0</v>
      </c>
    </row>
    <row r="265" spans="1:6" s="6" customFormat="1" ht="15.75" hidden="1" customHeight="1">
      <c r="A265" s="90"/>
      <c r="B265" s="137"/>
      <c r="C265" s="138"/>
      <c r="D265" s="138"/>
      <c r="E265" s="97" t="s">
        <v>91</v>
      </c>
      <c r="F265" s="105">
        <f>'Trifásico 13,8kv '!AW25+'Trifásico 13,8kv '!AX25+'Trifásico 13,8kv '!AY25</f>
        <v>0</v>
      </c>
    </row>
    <row r="266" spans="1:6" s="6" customFormat="1" ht="15.75" hidden="1" customHeight="1">
      <c r="A266" s="90"/>
      <c r="B266" s="137"/>
      <c r="C266" s="138"/>
      <c r="D266" s="138"/>
      <c r="E266" s="107" t="s">
        <v>92</v>
      </c>
      <c r="F266" s="105">
        <f>'Trifásico 13,8kv '!AW26+'Trifásico 13,8kv '!AX26+'Trifásico 13,8kv '!AY26</f>
        <v>0</v>
      </c>
    </row>
    <row r="267" spans="1:6" s="6" customFormat="1" ht="15.75" hidden="1" customHeight="1" thickBot="1">
      <c r="A267" s="90"/>
      <c r="B267" s="137"/>
      <c r="C267" s="138"/>
      <c r="D267" s="138"/>
      <c r="E267" s="130"/>
      <c r="F267" s="38">
        <f>SUM(F245:F266)</f>
        <v>0</v>
      </c>
    </row>
    <row r="268" spans="1:6" s="6" customFormat="1" ht="15.75" hidden="1" customHeight="1" thickBot="1">
      <c r="A268" s="90"/>
      <c r="B268" s="137"/>
      <c r="C268" s="138"/>
      <c r="D268" s="138"/>
      <c r="E268" s="230" t="s">
        <v>220</v>
      </c>
      <c r="F268" s="307">
        <f>SUM(F269:F290)</f>
        <v>0</v>
      </c>
    </row>
    <row r="269" spans="1:6" s="6" customFormat="1" ht="15.75" hidden="1" customHeight="1">
      <c r="A269" s="90"/>
      <c r="B269" s="137"/>
      <c r="C269" s="138"/>
      <c r="D269" s="138"/>
      <c r="E269" s="97" t="s">
        <v>74</v>
      </c>
      <c r="F269" s="105">
        <f>'Trifásico 13,8kv '!BG5+'Trifásico 13,8kv '!BH5+'Trifásico 13,8kv '!BI5</f>
        <v>0</v>
      </c>
    </row>
    <row r="270" spans="1:6" s="6" customFormat="1" ht="15.75" hidden="1" customHeight="1">
      <c r="A270" s="90"/>
      <c r="B270" s="137"/>
      <c r="C270" s="138"/>
      <c r="D270" s="138"/>
      <c r="E270" s="107" t="s">
        <v>75</v>
      </c>
      <c r="F270" s="105">
        <f>'Trifásico 13,8kv '!BG6+'Trifásico 13,8kv '!BH6+'Trifásico 13,8kv '!BI6</f>
        <v>0</v>
      </c>
    </row>
    <row r="271" spans="1:6" s="6" customFormat="1" ht="15.75" hidden="1" customHeight="1">
      <c r="A271" s="90"/>
      <c r="B271" s="137"/>
      <c r="C271" s="138"/>
      <c r="D271" s="138"/>
      <c r="E271" s="97" t="s">
        <v>76</v>
      </c>
      <c r="F271" s="105">
        <f>'Trifásico 13,8kv '!BG7+'Trifásico 13,8kv '!BH7+'Trifásico 13,8kv '!BI7</f>
        <v>0</v>
      </c>
    </row>
    <row r="272" spans="1:6" s="6" customFormat="1" ht="15.75" hidden="1" customHeight="1">
      <c r="A272" s="90"/>
      <c r="B272" s="137"/>
      <c r="C272" s="138"/>
      <c r="D272" s="138"/>
      <c r="E272" s="107" t="s">
        <v>77</v>
      </c>
      <c r="F272" s="105">
        <f>'Trifásico 13,8kv '!BG8+'Trifásico 13,8kv '!BH8+'Trifásico 13,8kv '!BI8</f>
        <v>0</v>
      </c>
    </row>
    <row r="273" spans="1:121" s="6" customFormat="1" ht="15.75" hidden="1" customHeight="1">
      <c r="A273" s="90"/>
      <c r="B273" s="137"/>
      <c r="C273" s="138"/>
      <c r="D273" s="138"/>
      <c r="E273" s="97" t="s">
        <v>100</v>
      </c>
      <c r="F273" s="105">
        <f>'Trifásico 13,8kv '!BG9+'Trifásico 13,8kv '!BH9+'Trifásico 13,8kv '!BI9</f>
        <v>0</v>
      </c>
    </row>
    <row r="274" spans="1:121" s="6" customFormat="1" ht="15.75" hidden="1" customHeight="1">
      <c r="A274" s="90"/>
      <c r="B274" s="137"/>
      <c r="C274" s="138"/>
      <c r="D274" s="138"/>
      <c r="E274" s="107" t="s">
        <v>78</v>
      </c>
      <c r="F274" s="105">
        <f>'Trifásico 13,8kv '!BG10+'Trifásico 13,8kv '!BH10+'Trifásico 13,8kv '!BI10</f>
        <v>0</v>
      </c>
    </row>
    <row r="275" spans="1:121" s="6" customFormat="1" ht="15.75" hidden="1" customHeight="1">
      <c r="A275" s="90"/>
      <c r="B275" s="137"/>
      <c r="C275" s="138"/>
      <c r="D275" s="138"/>
      <c r="E275" s="97" t="s">
        <v>79</v>
      </c>
      <c r="F275" s="105">
        <f>'Trifásico 13,8kv '!BG11+'Trifásico 13,8kv '!BH11+'Trifásico 13,8kv '!BI11</f>
        <v>0</v>
      </c>
    </row>
    <row r="276" spans="1:121" s="6" customFormat="1" ht="15.75" hidden="1" customHeight="1">
      <c r="A276" s="90"/>
      <c r="B276" s="137"/>
      <c r="C276" s="138"/>
      <c r="D276" s="138"/>
      <c r="E276" s="107" t="s">
        <v>80</v>
      </c>
      <c r="F276" s="105">
        <f>'Trifásico 13,8kv '!BG12+'Trifásico 13,8kv '!BH12+'Trifásico 13,8kv '!BI12</f>
        <v>0</v>
      </c>
    </row>
    <row r="277" spans="1:121" s="6" customFormat="1" ht="15.75" hidden="1" customHeight="1">
      <c r="A277" s="90"/>
      <c r="B277" s="137"/>
      <c r="C277" s="138"/>
      <c r="D277" s="138"/>
      <c r="E277" s="97" t="s">
        <v>81</v>
      </c>
      <c r="F277" s="105">
        <f>'Trifásico 13,8kv '!BG13+'Trifásico 13,8kv '!BH13+'Trifásico 13,8kv '!BI13</f>
        <v>0</v>
      </c>
    </row>
    <row r="278" spans="1:121" s="6" customFormat="1" ht="15.75" hidden="1" customHeight="1">
      <c r="A278" s="90"/>
      <c r="B278" s="137"/>
      <c r="C278" s="138"/>
      <c r="D278" s="138"/>
      <c r="E278" s="107" t="s">
        <v>82</v>
      </c>
      <c r="F278" s="105">
        <f>'Trifásico 13,8kv '!BG14+'Trifásico 13,8kv '!BH14+'Trifásico 13,8kv '!BI14</f>
        <v>0</v>
      </c>
    </row>
    <row r="279" spans="1:121" s="6" customFormat="1" ht="15.75" hidden="1" customHeight="1">
      <c r="A279" s="90"/>
      <c r="B279" s="137"/>
      <c r="C279" s="138"/>
      <c r="D279" s="138"/>
      <c r="E279" s="97" t="s">
        <v>83</v>
      </c>
      <c r="F279" s="105">
        <f>'Trifásico 13,8kv '!BG15+'Trifásico 13,8kv '!BH15+'Trifásico 13,8kv '!BI15</f>
        <v>0</v>
      </c>
    </row>
    <row r="280" spans="1:121" s="44" customFormat="1" ht="15.75" hidden="1" customHeight="1">
      <c r="A280" s="90"/>
      <c r="B280" s="137"/>
      <c r="C280" s="138"/>
      <c r="D280" s="138"/>
      <c r="E280" s="107" t="s">
        <v>85</v>
      </c>
      <c r="F280" s="105">
        <f>'Trifásico 13,8kv '!BG16+'Trifásico 13,8kv '!BH16+'Trifásico 13,8kv '!BI16</f>
        <v>0</v>
      </c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BP280" s="6"/>
      <c r="BQ280" s="6"/>
      <c r="BR280" s="6"/>
      <c r="BS280" s="6"/>
      <c r="BT280" s="6"/>
      <c r="BU280" s="6"/>
      <c r="BV280" s="6"/>
      <c r="BW280" s="6"/>
      <c r="BX280" s="6"/>
      <c r="BY280" s="6"/>
      <c r="BZ280" s="6"/>
      <c r="CA280" s="6"/>
      <c r="CB280" s="6"/>
      <c r="CC280" s="6"/>
      <c r="CD280" s="6"/>
      <c r="CE280" s="6"/>
      <c r="CF280" s="6"/>
      <c r="CG280" s="6"/>
      <c r="CH280" s="6"/>
      <c r="CI280" s="6"/>
      <c r="CJ280" s="6"/>
      <c r="CK280" s="6"/>
      <c r="CL280" s="6"/>
      <c r="CM280" s="6"/>
      <c r="CN280" s="6"/>
      <c r="CO280" s="6"/>
      <c r="CP280" s="6"/>
      <c r="CQ280" s="6"/>
      <c r="CR280" s="6"/>
      <c r="CS280" s="6"/>
      <c r="CT280" s="6"/>
      <c r="CU280" s="6"/>
      <c r="CV280" s="6"/>
      <c r="CW280" s="6"/>
      <c r="CX280" s="6"/>
      <c r="CY280" s="6"/>
      <c r="CZ280" s="6"/>
      <c r="DA280" s="6"/>
      <c r="DB280" s="6"/>
      <c r="DC280" s="6"/>
      <c r="DD280" s="6"/>
      <c r="DE280" s="6"/>
      <c r="DF280" s="6"/>
      <c r="DG280" s="6"/>
      <c r="DH280" s="6"/>
      <c r="DI280" s="6"/>
      <c r="DJ280" s="6"/>
      <c r="DK280" s="6"/>
      <c r="DL280" s="6"/>
      <c r="DM280" s="6"/>
      <c r="DN280" s="6"/>
      <c r="DO280" s="6"/>
      <c r="DP280" s="6"/>
      <c r="DQ280" s="6"/>
    </row>
    <row r="281" spans="1:121" s="44" customFormat="1" ht="15.75" hidden="1" customHeight="1">
      <c r="A281" s="90"/>
      <c r="B281" s="137"/>
      <c r="C281" s="138"/>
      <c r="D281" s="138"/>
      <c r="E281" s="97" t="s">
        <v>84</v>
      </c>
      <c r="F281" s="105">
        <f>'Trifásico 13,8kv '!BG17+'Trifásico 13,8kv '!BH17+'Trifásico 13,8kv '!BI17</f>
        <v>0</v>
      </c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BP281" s="6"/>
      <c r="BQ281" s="6"/>
      <c r="BR281" s="6"/>
      <c r="BS281" s="6"/>
      <c r="BT281" s="6"/>
      <c r="BU281" s="6"/>
      <c r="BV281" s="6"/>
      <c r="BW281" s="6"/>
      <c r="BX281" s="6"/>
      <c r="BY281" s="6"/>
      <c r="BZ281" s="6"/>
      <c r="CA281" s="6"/>
      <c r="CB281" s="6"/>
      <c r="CC281" s="6"/>
      <c r="CD281" s="6"/>
      <c r="CE281" s="6"/>
      <c r="CF281" s="6"/>
      <c r="CG281" s="6"/>
      <c r="CH281" s="6"/>
      <c r="CI281" s="6"/>
      <c r="CJ281" s="6"/>
      <c r="CK281" s="6"/>
      <c r="CL281" s="6"/>
      <c r="CM281" s="6"/>
      <c r="CN281" s="6"/>
      <c r="CO281" s="6"/>
      <c r="CP281" s="6"/>
      <c r="CQ281" s="6"/>
      <c r="CR281" s="6"/>
      <c r="CS281" s="6"/>
      <c r="CT281" s="6"/>
      <c r="CU281" s="6"/>
      <c r="CV281" s="6"/>
      <c r="CW281" s="6"/>
      <c r="CX281" s="6"/>
      <c r="CY281" s="6"/>
      <c r="CZ281" s="6"/>
      <c r="DA281" s="6"/>
      <c r="DB281" s="6"/>
      <c r="DC281" s="6"/>
      <c r="DD281" s="6"/>
      <c r="DE281" s="6"/>
      <c r="DF281" s="6"/>
      <c r="DG281" s="6"/>
      <c r="DH281" s="6"/>
      <c r="DI281" s="6"/>
      <c r="DJ281" s="6"/>
      <c r="DK281" s="6"/>
      <c r="DL281" s="6"/>
      <c r="DM281" s="6"/>
      <c r="DN281" s="6"/>
      <c r="DO281" s="6"/>
      <c r="DP281" s="6"/>
      <c r="DQ281" s="6"/>
    </row>
    <row r="282" spans="1:121" s="44" customFormat="1" ht="15.75" hidden="1" customHeight="1">
      <c r="A282" s="90"/>
      <c r="B282" s="137"/>
      <c r="C282" s="138"/>
      <c r="D282" s="138"/>
      <c r="E282" s="107" t="s">
        <v>86</v>
      </c>
      <c r="F282" s="105">
        <f>'Trifásico 13,8kv '!BG18+'Trifásico 13,8kv '!BH18+'Trifásico 13,8kv '!BI18</f>
        <v>0</v>
      </c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BP282" s="6"/>
      <c r="BQ282" s="6"/>
      <c r="BR282" s="6"/>
      <c r="BS282" s="6"/>
      <c r="BT282" s="6"/>
      <c r="BU282" s="6"/>
      <c r="BV282" s="6"/>
      <c r="BW282" s="6"/>
      <c r="BX282" s="6"/>
      <c r="BY282" s="6"/>
      <c r="BZ282" s="6"/>
      <c r="CA282" s="6"/>
      <c r="CB282" s="6"/>
      <c r="CC282" s="6"/>
      <c r="CD282" s="6"/>
      <c r="CE282" s="6"/>
      <c r="CF282" s="6"/>
      <c r="CG282" s="6"/>
      <c r="CH282" s="6"/>
      <c r="CI282" s="6"/>
      <c r="CJ282" s="6"/>
      <c r="CK282" s="6"/>
      <c r="CL282" s="6"/>
      <c r="CM282" s="6"/>
      <c r="CN282" s="6"/>
      <c r="CO282" s="6"/>
      <c r="CP282" s="6"/>
      <c r="CQ282" s="6"/>
      <c r="CR282" s="6"/>
      <c r="CS282" s="6"/>
      <c r="CT282" s="6"/>
      <c r="CU282" s="6"/>
      <c r="CV282" s="6"/>
      <c r="CW282" s="6"/>
      <c r="CX282" s="6"/>
      <c r="CY282" s="6"/>
      <c r="CZ282" s="6"/>
      <c r="DA282" s="6"/>
      <c r="DB282" s="6"/>
      <c r="DC282" s="6"/>
      <c r="DD282" s="6"/>
      <c r="DE282" s="6"/>
      <c r="DF282" s="6"/>
      <c r="DG282" s="6"/>
      <c r="DH282" s="6"/>
      <c r="DI282" s="6"/>
      <c r="DJ282" s="6"/>
      <c r="DK282" s="6"/>
      <c r="DL282" s="6"/>
      <c r="DM282" s="6"/>
      <c r="DN282" s="6"/>
      <c r="DO282" s="6"/>
      <c r="DP282" s="6"/>
      <c r="DQ282" s="6"/>
    </row>
    <row r="283" spans="1:121" s="6" customFormat="1" ht="15.75" hidden="1" customHeight="1">
      <c r="A283" s="90"/>
      <c r="B283" s="137"/>
      <c r="C283" s="138"/>
      <c r="D283" s="138"/>
      <c r="E283" s="97" t="s">
        <v>87</v>
      </c>
      <c r="F283" s="105">
        <f>'Trifásico 13,8kv '!BG19+'Trifásico 13,8kv '!BH19+'Trifásico 13,8kv '!BI19</f>
        <v>0</v>
      </c>
    </row>
    <row r="284" spans="1:121" s="6" customFormat="1" ht="15.75" hidden="1" customHeight="1">
      <c r="A284" s="90"/>
      <c r="B284" s="137"/>
      <c r="C284" s="138"/>
      <c r="D284" s="138"/>
      <c r="E284" s="107" t="s">
        <v>101</v>
      </c>
      <c r="F284" s="105">
        <f>'Trifásico 13,8kv '!BG20+'Trifásico 13,8kv '!BH20+'Trifásico 13,8kv '!BI20</f>
        <v>0</v>
      </c>
    </row>
    <row r="285" spans="1:121" s="6" customFormat="1" ht="15.75" hidden="1" customHeight="1">
      <c r="A285" s="90"/>
      <c r="B285" s="137"/>
      <c r="C285" s="138"/>
      <c r="D285" s="138"/>
      <c r="E285" s="97" t="s">
        <v>88</v>
      </c>
      <c r="F285" s="105">
        <f>'Trifásico 13,8kv '!BG21+'Trifásico 13,8kv '!BH21+'Trifásico 13,8kv '!BI21</f>
        <v>0</v>
      </c>
    </row>
    <row r="286" spans="1:121" s="6" customFormat="1" ht="15.75" hidden="1" customHeight="1">
      <c r="A286" s="90"/>
      <c r="B286" s="137"/>
      <c r="C286" s="138"/>
      <c r="D286" s="138"/>
      <c r="E286" s="107" t="s">
        <v>89</v>
      </c>
      <c r="F286" s="105">
        <f>'Trifásico 13,8kv '!BG22+'Trifásico 13,8kv '!BH22+'Trifásico 13,8kv '!BI22</f>
        <v>0</v>
      </c>
    </row>
    <row r="287" spans="1:121" s="6" customFormat="1" ht="15.75" hidden="1" customHeight="1">
      <c r="A287" s="90"/>
      <c r="B287" s="137"/>
      <c r="C287" s="138"/>
      <c r="D287" s="138"/>
      <c r="E287" s="97" t="s">
        <v>90</v>
      </c>
      <c r="F287" s="105">
        <f>'Trifásico 13,8kv '!BG23+'Trifásico 13,8kv '!BH23+'Trifásico 13,8kv '!BI23</f>
        <v>0</v>
      </c>
    </row>
    <row r="288" spans="1:121" s="6" customFormat="1" ht="15.75" hidden="1" customHeight="1">
      <c r="A288" s="90"/>
      <c r="B288" s="137"/>
      <c r="C288" s="138"/>
      <c r="D288" s="138"/>
      <c r="E288" s="107" t="s">
        <v>93</v>
      </c>
      <c r="F288" s="105">
        <f>'Trifásico 13,8kv '!BG24+'Trifásico 13,8kv '!BH24+'Trifásico 13,8kv '!BI24</f>
        <v>0</v>
      </c>
    </row>
    <row r="289" spans="1:6" s="6" customFormat="1" ht="15.75" hidden="1" customHeight="1">
      <c r="A289" s="90"/>
      <c r="B289" s="137"/>
      <c r="C289" s="138"/>
      <c r="D289" s="138"/>
      <c r="E289" s="97" t="s">
        <v>91</v>
      </c>
      <c r="F289" s="105">
        <f>'Trifásico 13,8kv '!BG25+'Trifásico 13,8kv '!BH25+'Trifásico 13,8kv '!BI25</f>
        <v>0</v>
      </c>
    </row>
    <row r="290" spans="1:6" s="6" customFormat="1" ht="15.75" hidden="1" customHeight="1">
      <c r="A290" s="150"/>
      <c r="B290" s="137"/>
      <c r="C290" s="138"/>
      <c r="D290" s="138"/>
      <c r="E290" s="107" t="s">
        <v>92</v>
      </c>
      <c r="F290" s="105">
        <f>'Trifásico 13,8kv '!BG26+'Trifásico 13,8kv '!BH26+'Trifásico 13,8kv '!BI26</f>
        <v>0</v>
      </c>
    </row>
    <row r="291" spans="1:6" s="6" customFormat="1" ht="15.75" hidden="1" customHeight="1" thickBot="1">
      <c r="A291" s="150"/>
      <c r="B291" s="137"/>
      <c r="C291" s="138"/>
      <c r="D291" s="138"/>
      <c r="E291" s="130"/>
      <c r="F291" s="38">
        <f>SUM(F269:F290)</f>
        <v>0</v>
      </c>
    </row>
    <row r="292" spans="1:6" s="6" customFormat="1" ht="15.75" hidden="1" customHeight="1" thickBot="1">
      <c r="A292" s="150"/>
      <c r="B292" s="117"/>
      <c r="C292" s="138"/>
      <c r="D292" s="248" t="s">
        <v>233</v>
      </c>
      <c r="E292" s="248"/>
      <c r="F292" s="307">
        <f>SUM(F293:F314)</f>
        <v>0</v>
      </c>
    </row>
    <row r="293" spans="1:6" s="6" customFormat="1" ht="15.75" hidden="1" customHeight="1">
      <c r="A293" s="150"/>
      <c r="B293" s="137"/>
      <c r="C293" s="138"/>
      <c r="D293" s="138"/>
      <c r="E293" s="97" t="s">
        <v>74</v>
      </c>
      <c r="F293" s="105">
        <f>'Trifásico 13,8kv '!BL5+'Trifásico 13,8kv '!BM5+'Trifásico 13,8kv '!BN5</f>
        <v>0</v>
      </c>
    </row>
    <row r="294" spans="1:6" s="6" customFormat="1" ht="15.75" hidden="1" customHeight="1">
      <c r="A294" s="150"/>
      <c r="B294" s="137"/>
      <c r="C294" s="138"/>
      <c r="D294" s="138"/>
      <c r="E294" s="107" t="s">
        <v>75</v>
      </c>
      <c r="F294" s="105">
        <f>'Trifásico 13,8kv '!BL6+'Trifásico 13,8kv '!BM6+'Trifásico 13,8kv '!BN6</f>
        <v>0</v>
      </c>
    </row>
    <row r="295" spans="1:6" s="6" customFormat="1" ht="15.75" hidden="1" customHeight="1">
      <c r="A295" s="90"/>
      <c r="B295" s="137"/>
      <c r="C295" s="138"/>
      <c r="D295" s="138"/>
      <c r="E295" s="97" t="s">
        <v>76</v>
      </c>
      <c r="F295" s="105">
        <f>'Trifásico 13,8kv '!BL7+'Trifásico 13,8kv '!BM7+'Trifásico 13,8kv '!BN7</f>
        <v>0</v>
      </c>
    </row>
    <row r="296" spans="1:6" s="6" customFormat="1" ht="15.75" hidden="1" customHeight="1">
      <c r="A296" s="90"/>
      <c r="B296" s="137"/>
      <c r="C296" s="138"/>
      <c r="D296" s="138"/>
      <c r="E296" s="107" t="s">
        <v>77</v>
      </c>
      <c r="F296" s="105">
        <f>'Trifásico 13,8kv '!BL8+'Trifásico 13,8kv '!BM8+'Trifásico 13,8kv '!BN8</f>
        <v>0</v>
      </c>
    </row>
    <row r="297" spans="1:6" s="6" customFormat="1" ht="15.75" hidden="1" customHeight="1">
      <c r="A297" s="90"/>
      <c r="B297" s="137"/>
      <c r="C297" s="138"/>
      <c r="D297" s="138"/>
      <c r="E297" s="97" t="s">
        <v>100</v>
      </c>
      <c r="F297" s="105">
        <f>'Trifásico 13,8kv '!BL9+'Trifásico 13,8kv '!BM9+'Trifásico 13,8kv '!BN9</f>
        <v>0</v>
      </c>
    </row>
    <row r="298" spans="1:6" s="6" customFormat="1" ht="15.75" hidden="1" customHeight="1">
      <c r="A298" s="90"/>
      <c r="B298" s="137"/>
      <c r="C298" s="138"/>
      <c r="D298" s="138"/>
      <c r="E298" s="107" t="s">
        <v>78</v>
      </c>
      <c r="F298" s="105">
        <f>'Trifásico 13,8kv '!BL10+'Trifásico 13,8kv '!BM10+'Trifásico 13,8kv '!BN10</f>
        <v>0</v>
      </c>
    </row>
    <row r="299" spans="1:6" s="6" customFormat="1" ht="15.75" hidden="1" customHeight="1">
      <c r="A299" s="90"/>
      <c r="B299" s="137"/>
      <c r="C299" s="138"/>
      <c r="D299" s="138"/>
      <c r="E299" s="97" t="s">
        <v>79</v>
      </c>
      <c r="F299" s="105">
        <f>'Trifásico 13,8kv '!BL11+'Trifásico 13,8kv '!BM11+'Trifásico 13,8kv '!BN11</f>
        <v>0</v>
      </c>
    </row>
    <row r="300" spans="1:6" s="6" customFormat="1" ht="15.75" hidden="1" customHeight="1">
      <c r="A300" s="90"/>
      <c r="B300" s="137"/>
      <c r="C300" s="138"/>
      <c r="D300" s="138"/>
      <c r="E300" s="107" t="s">
        <v>80</v>
      </c>
      <c r="F300" s="105">
        <f>'Trifásico 13,8kv '!BL12+'Trifásico 13,8kv '!BM12+'Trifásico 13,8kv '!BN12</f>
        <v>0</v>
      </c>
    </row>
    <row r="301" spans="1:6" s="6" customFormat="1" ht="15.75" hidden="1" customHeight="1">
      <c r="A301" s="90"/>
      <c r="B301" s="137"/>
      <c r="C301" s="138"/>
      <c r="D301" s="138"/>
      <c r="E301" s="97" t="s">
        <v>81</v>
      </c>
      <c r="F301" s="105">
        <f>'Trifásico 13,8kv '!BL13+'Trifásico 13,8kv '!BM13+'Trifásico 13,8kv '!BN13</f>
        <v>0</v>
      </c>
    </row>
    <row r="302" spans="1:6" s="6" customFormat="1" ht="15.75" hidden="1" customHeight="1">
      <c r="A302" s="90"/>
      <c r="B302" s="137"/>
      <c r="C302" s="138"/>
      <c r="D302" s="138"/>
      <c r="E302" s="107" t="s">
        <v>82</v>
      </c>
      <c r="F302" s="105">
        <f>'Trifásico 13,8kv '!BL14+'Trifásico 13,8kv '!BM14+'Trifásico 13,8kv '!BN14</f>
        <v>0</v>
      </c>
    </row>
    <row r="303" spans="1:6" s="6" customFormat="1" ht="15.75" hidden="1" customHeight="1">
      <c r="A303" s="90"/>
      <c r="B303" s="137"/>
      <c r="C303" s="138"/>
      <c r="D303" s="138"/>
      <c r="E303" s="97" t="s">
        <v>83</v>
      </c>
      <c r="F303" s="105">
        <f>'Trifásico 13,8kv '!BL15+'Trifásico 13,8kv '!BM15+'Trifásico 13,8kv '!BN15</f>
        <v>0</v>
      </c>
    </row>
    <row r="304" spans="1:6" s="6" customFormat="1" ht="15.75" hidden="1" customHeight="1">
      <c r="A304" s="90"/>
      <c r="B304" s="137"/>
      <c r="C304" s="138"/>
      <c r="D304" s="138"/>
      <c r="E304" s="107" t="s">
        <v>85</v>
      </c>
      <c r="F304" s="105">
        <f>'Trifásico 13,8kv '!BL16+'Trifásico 13,8kv '!BM16+'Trifásico 13,8kv '!BN16</f>
        <v>0</v>
      </c>
    </row>
    <row r="305" spans="1:6" s="6" customFormat="1" ht="15.75" hidden="1" customHeight="1">
      <c r="A305" s="90"/>
      <c r="B305" s="137"/>
      <c r="C305" s="138"/>
      <c r="D305" s="138"/>
      <c r="E305" s="97" t="s">
        <v>84</v>
      </c>
      <c r="F305" s="105">
        <f>'Trifásico 13,8kv '!BL17+'Trifásico 13,8kv '!BM17+'Trifásico 13,8kv '!BN17</f>
        <v>0</v>
      </c>
    </row>
    <row r="306" spans="1:6" s="6" customFormat="1" ht="15.75" hidden="1" customHeight="1">
      <c r="A306" s="90"/>
      <c r="B306" s="137"/>
      <c r="C306" s="138"/>
      <c r="D306" s="138"/>
      <c r="E306" s="107" t="s">
        <v>86</v>
      </c>
      <c r="F306" s="105">
        <f>'Trifásico 13,8kv '!BL18+'Trifásico 13,8kv '!BM18+'Trifásico 13,8kv '!BN18</f>
        <v>0</v>
      </c>
    </row>
    <row r="307" spans="1:6" s="6" customFormat="1" ht="15.75" hidden="1" customHeight="1">
      <c r="A307" s="90"/>
      <c r="B307" s="137"/>
      <c r="C307" s="138"/>
      <c r="D307" s="138"/>
      <c r="E307" s="97" t="s">
        <v>87</v>
      </c>
      <c r="F307" s="105">
        <f>'Trifásico 13,8kv '!BL19+'Trifásico 13,8kv '!BM19+'Trifásico 13,8kv '!BN19</f>
        <v>0</v>
      </c>
    </row>
    <row r="308" spans="1:6" s="6" customFormat="1" ht="15.75" hidden="1" customHeight="1">
      <c r="A308" s="90"/>
      <c r="B308" s="137"/>
      <c r="C308" s="138"/>
      <c r="D308" s="138"/>
      <c r="E308" s="107" t="s">
        <v>101</v>
      </c>
      <c r="F308" s="105">
        <f>'Trifásico 13,8kv '!BL20+'Trifásico 13,8kv '!BM20+'Trifásico 13,8kv '!BN20</f>
        <v>0</v>
      </c>
    </row>
    <row r="309" spans="1:6" s="6" customFormat="1" ht="15.75" hidden="1" customHeight="1">
      <c r="A309" s="90"/>
      <c r="B309" s="137"/>
      <c r="C309" s="138"/>
      <c r="D309" s="138"/>
      <c r="E309" s="97" t="s">
        <v>88</v>
      </c>
      <c r="F309" s="105">
        <f>'Trifásico 13,8kv '!BL21+'Trifásico 13,8kv '!BM21+'Trifásico 13,8kv '!BN21</f>
        <v>0</v>
      </c>
    </row>
    <row r="310" spans="1:6" s="6" customFormat="1" ht="15.75" hidden="1" customHeight="1">
      <c r="A310" s="90"/>
      <c r="B310" s="137"/>
      <c r="C310" s="138"/>
      <c r="D310" s="138"/>
      <c r="E310" s="107" t="s">
        <v>89</v>
      </c>
      <c r="F310" s="105">
        <f>'Trifásico 13,8kv '!BL22+'Trifásico 13,8kv '!BM22+'Trifásico 13,8kv '!BN22</f>
        <v>0</v>
      </c>
    </row>
    <row r="311" spans="1:6" s="6" customFormat="1" ht="15.75" hidden="1" customHeight="1">
      <c r="A311" s="90"/>
      <c r="B311" s="137"/>
      <c r="C311" s="138"/>
      <c r="D311" s="138"/>
      <c r="E311" s="97" t="s">
        <v>90</v>
      </c>
      <c r="F311" s="105">
        <f>'Trifásico 13,8kv '!BL23+'Trifásico 13,8kv '!BM23+'Trifásico 13,8kv '!BN23</f>
        <v>0</v>
      </c>
    </row>
    <row r="312" spans="1:6" s="6" customFormat="1" ht="15.75" hidden="1" customHeight="1">
      <c r="A312" s="90"/>
      <c r="B312" s="137"/>
      <c r="C312" s="138"/>
      <c r="D312" s="138"/>
      <c r="E312" s="107" t="s">
        <v>93</v>
      </c>
      <c r="F312" s="105">
        <f>'Trifásico 13,8kv '!BL24+'Trifásico 13,8kv '!BM24+'Trifásico 13,8kv '!BN24</f>
        <v>0</v>
      </c>
    </row>
    <row r="313" spans="1:6" s="6" customFormat="1" ht="15.75" hidden="1" customHeight="1">
      <c r="A313" s="90"/>
      <c r="B313" s="137"/>
      <c r="C313" s="138"/>
      <c r="D313" s="138"/>
      <c r="E313" s="97" t="s">
        <v>91</v>
      </c>
      <c r="F313" s="105">
        <f>'Trifásico 13,8kv '!BL25+'Trifásico 13,8kv '!BM25+'Trifásico 13,8kv '!BN25</f>
        <v>0</v>
      </c>
    </row>
    <row r="314" spans="1:6" s="6" customFormat="1" ht="15.75" hidden="1" customHeight="1">
      <c r="A314" s="90"/>
      <c r="B314" s="137"/>
      <c r="C314" s="138"/>
      <c r="D314" s="138"/>
      <c r="E314" s="107" t="s">
        <v>92</v>
      </c>
      <c r="F314" s="105">
        <f>'Trifásico 13,8kv '!BL26+'Trifásico 13,8kv '!BM26+'Trifásico 13,8kv '!BN26</f>
        <v>0</v>
      </c>
    </row>
    <row r="315" spans="1:6" s="6" customFormat="1" ht="15.75" hidden="1" customHeight="1" thickBot="1">
      <c r="A315" s="90"/>
      <c r="B315" s="137"/>
      <c r="C315" s="138"/>
      <c r="D315" s="138"/>
      <c r="E315" s="130"/>
      <c r="F315" s="38">
        <f>SUM(F293:F314)</f>
        <v>0</v>
      </c>
    </row>
    <row r="316" spans="1:6" s="6" customFormat="1" ht="15.75" hidden="1" customHeight="1" thickBot="1">
      <c r="A316" s="90"/>
      <c r="B316" s="137"/>
      <c r="C316" s="138"/>
      <c r="D316" s="138"/>
      <c r="E316" s="259" t="s">
        <v>234</v>
      </c>
      <c r="F316" s="308">
        <f>SUM(F317:F338)</f>
        <v>0</v>
      </c>
    </row>
    <row r="317" spans="1:6" s="6" customFormat="1" ht="15.75" hidden="1" customHeight="1">
      <c r="A317" s="90"/>
      <c r="B317" s="137"/>
      <c r="C317" s="138"/>
      <c r="D317" s="138"/>
      <c r="E317" s="97" t="s">
        <v>74</v>
      </c>
      <c r="F317" s="105">
        <f>'Trifásico 13,8kv '!BQ5+'Trifásico 13,8kv '!BR5+'Trifásico 13,8kv '!BS5</f>
        <v>0</v>
      </c>
    </row>
    <row r="318" spans="1:6" s="6" customFormat="1" ht="15.75" hidden="1" customHeight="1">
      <c r="A318" s="90"/>
      <c r="B318" s="137"/>
      <c r="C318" s="138"/>
      <c r="D318" s="138"/>
      <c r="E318" s="107" t="s">
        <v>75</v>
      </c>
      <c r="F318" s="105">
        <f>'Trifásico 13,8kv '!BQ6+'Trifásico 13,8kv '!BR6+'Trifásico 13,8kv '!BS6</f>
        <v>0</v>
      </c>
    </row>
    <row r="319" spans="1:6" s="6" customFormat="1" ht="15.75" hidden="1" customHeight="1">
      <c r="A319" s="90"/>
      <c r="B319" s="137"/>
      <c r="C319" s="138"/>
      <c r="D319" s="138"/>
      <c r="E319" s="97" t="s">
        <v>76</v>
      </c>
      <c r="F319" s="105">
        <f>'Trifásico 13,8kv '!BQ7+'Trifásico 13,8kv '!BR7+'Trifásico 13,8kv '!BS7</f>
        <v>0</v>
      </c>
    </row>
    <row r="320" spans="1:6" s="6" customFormat="1" ht="15.75" hidden="1" customHeight="1">
      <c r="A320" s="90"/>
      <c r="B320" s="137"/>
      <c r="C320" s="138"/>
      <c r="D320" s="138"/>
      <c r="E320" s="107" t="s">
        <v>77</v>
      </c>
      <c r="F320" s="105">
        <f>'Trifásico 13,8kv '!BQ8+'Trifásico 13,8kv '!BR8+'Trifásico 13,8kv '!BS8</f>
        <v>0</v>
      </c>
    </row>
    <row r="321" spans="1:6" s="6" customFormat="1" ht="15.75" hidden="1" customHeight="1">
      <c r="A321" s="90"/>
      <c r="B321" s="137"/>
      <c r="C321" s="138"/>
      <c r="D321" s="138"/>
      <c r="E321" s="97" t="s">
        <v>100</v>
      </c>
      <c r="F321" s="105">
        <f>'Trifásico 13,8kv '!BQ9+'Trifásico 13,8kv '!BR9+'Trifásico 13,8kv '!BS9</f>
        <v>0</v>
      </c>
    </row>
    <row r="322" spans="1:6" s="6" customFormat="1" ht="15.75" hidden="1" customHeight="1">
      <c r="A322" s="90"/>
      <c r="B322" s="137"/>
      <c r="C322" s="138"/>
      <c r="D322" s="138"/>
      <c r="E322" s="107" t="s">
        <v>78</v>
      </c>
      <c r="F322" s="105">
        <f>'Trifásico 13,8kv '!BQ10+'Trifásico 13,8kv '!BR10+'Trifásico 13,8kv '!BS10</f>
        <v>0</v>
      </c>
    </row>
    <row r="323" spans="1:6" s="6" customFormat="1" ht="15.75" hidden="1" customHeight="1">
      <c r="A323" s="90"/>
      <c r="B323" s="137"/>
      <c r="C323" s="138"/>
      <c r="D323" s="138"/>
      <c r="E323" s="97" t="s">
        <v>79</v>
      </c>
      <c r="F323" s="105">
        <f>'Trifásico 13,8kv '!BQ11+'Trifásico 13,8kv '!BR11+'Trifásico 13,8kv '!BS11</f>
        <v>0</v>
      </c>
    </row>
    <row r="324" spans="1:6" s="6" customFormat="1" ht="15.75" hidden="1" customHeight="1">
      <c r="A324" s="90"/>
      <c r="B324" s="137"/>
      <c r="C324" s="138"/>
      <c r="D324" s="138"/>
      <c r="E324" s="107" t="s">
        <v>80</v>
      </c>
      <c r="F324" s="105">
        <f>'Trifásico 13,8kv '!BQ12+'Trifásico 13,8kv '!BR12+'Trifásico 13,8kv '!BS12</f>
        <v>0</v>
      </c>
    </row>
    <row r="325" spans="1:6" s="6" customFormat="1" ht="15.75" hidden="1" customHeight="1">
      <c r="A325" s="90"/>
      <c r="B325" s="137"/>
      <c r="C325" s="138"/>
      <c r="D325" s="138"/>
      <c r="E325" s="97" t="s">
        <v>81</v>
      </c>
      <c r="F325" s="105">
        <f>'Trifásico 13,8kv '!BQ13+'Trifásico 13,8kv '!BR13+'Trifásico 13,8kv '!BS13</f>
        <v>0</v>
      </c>
    </row>
    <row r="326" spans="1:6" s="6" customFormat="1" ht="15.75" hidden="1" customHeight="1">
      <c r="A326" s="90"/>
      <c r="B326" s="137"/>
      <c r="C326" s="138"/>
      <c r="D326" s="138"/>
      <c r="E326" s="107" t="s">
        <v>82</v>
      </c>
      <c r="F326" s="105">
        <f>'Trifásico 13,8kv '!BQ14+'Trifásico 13,8kv '!BR14+'Trifásico 13,8kv '!BS14</f>
        <v>0</v>
      </c>
    </row>
    <row r="327" spans="1:6" s="6" customFormat="1" ht="15.75" hidden="1" customHeight="1">
      <c r="A327" s="90"/>
      <c r="B327" s="137"/>
      <c r="C327" s="138"/>
      <c r="D327" s="138"/>
      <c r="E327" s="97" t="s">
        <v>83</v>
      </c>
      <c r="F327" s="105">
        <f>'Trifásico 13,8kv '!BQ15+'Trifásico 13,8kv '!BR15+'Trifásico 13,8kv '!BS15</f>
        <v>0</v>
      </c>
    </row>
    <row r="328" spans="1:6" s="6" customFormat="1" ht="15.75" hidden="1" customHeight="1">
      <c r="A328" s="90"/>
      <c r="B328" s="137"/>
      <c r="C328" s="138"/>
      <c r="D328" s="138"/>
      <c r="E328" s="107" t="s">
        <v>85</v>
      </c>
      <c r="F328" s="105">
        <f>'Trifásico 13,8kv '!BQ16+'Trifásico 13,8kv '!BR16+'Trifásico 13,8kv '!BS16</f>
        <v>0</v>
      </c>
    </row>
    <row r="329" spans="1:6" s="6" customFormat="1" ht="15.75" hidden="1" customHeight="1">
      <c r="A329" s="90"/>
      <c r="B329" s="137"/>
      <c r="C329" s="138"/>
      <c r="D329" s="138"/>
      <c r="E329" s="97" t="s">
        <v>84</v>
      </c>
      <c r="F329" s="105">
        <f>'Trifásico 13,8kv '!BQ17+'Trifásico 13,8kv '!BR17+'Trifásico 13,8kv '!BS17</f>
        <v>0</v>
      </c>
    </row>
    <row r="330" spans="1:6" s="6" customFormat="1" ht="15.75" hidden="1" customHeight="1">
      <c r="A330" s="90"/>
      <c r="B330" s="137"/>
      <c r="C330" s="138"/>
      <c r="D330" s="138"/>
      <c r="E330" s="107" t="s">
        <v>86</v>
      </c>
      <c r="F330" s="105">
        <f>'Trifásico 13,8kv '!BQ18+'Trifásico 13,8kv '!BR18+'Trifásico 13,8kv '!BS18</f>
        <v>0</v>
      </c>
    </row>
    <row r="331" spans="1:6" s="6" customFormat="1" ht="15.75" hidden="1" customHeight="1">
      <c r="A331" s="90"/>
      <c r="B331" s="137"/>
      <c r="C331" s="138"/>
      <c r="D331" s="138"/>
      <c r="E331" s="97" t="s">
        <v>87</v>
      </c>
      <c r="F331" s="105">
        <f>'Trifásico 13,8kv '!BQ19+'Trifásico 13,8kv '!BR19+'Trifásico 13,8kv '!BS19</f>
        <v>0</v>
      </c>
    </row>
    <row r="332" spans="1:6" s="6" customFormat="1" ht="15.75" hidden="1" customHeight="1">
      <c r="A332" s="90"/>
      <c r="B332" s="137"/>
      <c r="C332" s="138"/>
      <c r="D332" s="138"/>
      <c r="E332" s="107" t="s">
        <v>101</v>
      </c>
      <c r="F332" s="105">
        <f>'Trifásico 13,8kv '!BQ20+'Trifásico 13,8kv '!BR20+'Trifásico 13,8kv '!BS20</f>
        <v>0</v>
      </c>
    </row>
    <row r="333" spans="1:6" s="6" customFormat="1" ht="15.75" hidden="1" customHeight="1">
      <c r="A333" s="90"/>
      <c r="B333" s="137"/>
      <c r="C333" s="138"/>
      <c r="D333" s="138"/>
      <c r="E333" s="97" t="s">
        <v>88</v>
      </c>
      <c r="F333" s="105">
        <f>'Trifásico 13,8kv '!BQ21+'Trifásico 13,8kv '!BR21+'Trifásico 13,8kv '!BS21</f>
        <v>0</v>
      </c>
    </row>
    <row r="334" spans="1:6" s="6" customFormat="1" ht="15.75" hidden="1" customHeight="1">
      <c r="A334" s="90"/>
      <c r="B334" s="137"/>
      <c r="C334" s="138"/>
      <c r="D334" s="138"/>
      <c r="E334" s="107" t="s">
        <v>89</v>
      </c>
      <c r="F334" s="105">
        <f>'Trifásico 13,8kv '!BQ22+'Trifásico 13,8kv '!BR22+'Trifásico 13,8kv '!BS22</f>
        <v>0</v>
      </c>
    </row>
    <row r="335" spans="1:6" s="6" customFormat="1" ht="15.75" hidden="1" customHeight="1">
      <c r="A335" s="90"/>
      <c r="B335" s="137"/>
      <c r="C335" s="138"/>
      <c r="D335" s="138"/>
      <c r="E335" s="97" t="s">
        <v>90</v>
      </c>
      <c r="F335" s="105">
        <f>'Trifásico 13,8kv '!BQ23+'Trifásico 13,8kv '!BR23+'Trifásico 13,8kv '!BS23</f>
        <v>0</v>
      </c>
    </row>
    <row r="336" spans="1:6" s="6" customFormat="1" ht="15.75" hidden="1" customHeight="1">
      <c r="A336" s="90"/>
      <c r="B336" s="137"/>
      <c r="C336" s="138"/>
      <c r="D336" s="138"/>
      <c r="E336" s="107" t="s">
        <v>93</v>
      </c>
      <c r="F336" s="105">
        <f>'Trifásico 13,8kv '!BQ24+'Trifásico 13,8kv '!BR24+'Trifásico 13,8kv '!BS24</f>
        <v>0</v>
      </c>
    </row>
    <row r="337" spans="1:121" s="6" customFormat="1" ht="15.75" hidden="1" customHeight="1">
      <c r="A337" s="90"/>
      <c r="B337" s="137"/>
      <c r="C337" s="138"/>
      <c r="D337" s="138"/>
      <c r="E337" s="97" t="s">
        <v>91</v>
      </c>
      <c r="F337" s="105">
        <f>'Trifásico 13,8kv '!BQ25+'Trifásico 13,8kv '!BR25+'Trifásico 13,8kv '!BS25</f>
        <v>0</v>
      </c>
    </row>
    <row r="338" spans="1:121" s="6" customFormat="1" ht="15.75" hidden="1" customHeight="1">
      <c r="A338" s="90"/>
      <c r="B338" s="137"/>
      <c r="C338" s="138"/>
      <c r="D338" s="138"/>
      <c r="E338" s="107" t="s">
        <v>92</v>
      </c>
      <c r="F338" s="105">
        <f>'Trifásico 13,8kv '!BQ26+'Trifásico 13,8kv '!BR26+'Trifásico 13,8kv '!BS26</f>
        <v>0</v>
      </c>
    </row>
    <row r="339" spans="1:121" s="6" customFormat="1" ht="15.75" hidden="1" customHeight="1" thickBot="1">
      <c r="A339" s="90"/>
      <c r="B339" s="137"/>
      <c r="C339" s="138"/>
      <c r="D339" s="138"/>
      <c r="E339" s="130"/>
      <c r="F339" s="38">
        <f>SUM(F317:F338)</f>
        <v>0</v>
      </c>
    </row>
    <row r="340" spans="1:121" s="44" customFormat="1" ht="15.75" hidden="1" customHeight="1" thickBot="1">
      <c r="A340" s="90"/>
      <c r="B340" s="137"/>
      <c r="C340" s="138"/>
      <c r="D340" s="138"/>
      <c r="E340" s="248" t="s">
        <v>235</v>
      </c>
      <c r="F340" s="308">
        <f>SUM(F341:F362)</f>
        <v>0</v>
      </c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  <c r="BC340" s="6"/>
      <c r="BD340" s="6"/>
      <c r="BE340" s="6"/>
      <c r="BF340" s="6"/>
      <c r="BG340" s="6"/>
      <c r="BH340" s="6"/>
      <c r="BI340" s="6"/>
      <c r="BJ340" s="6"/>
      <c r="BK340" s="6"/>
      <c r="BL340" s="6"/>
      <c r="BM340" s="6"/>
      <c r="BN340" s="6"/>
      <c r="BO340" s="6"/>
      <c r="BP340" s="6"/>
      <c r="BQ340" s="6"/>
      <c r="BR340" s="6"/>
      <c r="BS340" s="6"/>
      <c r="BT340" s="6"/>
      <c r="BU340" s="6"/>
      <c r="BV340" s="6"/>
      <c r="BW340" s="6"/>
      <c r="BX340" s="6"/>
      <c r="BY340" s="6"/>
      <c r="BZ340" s="6"/>
      <c r="CA340" s="6"/>
      <c r="CB340" s="6"/>
      <c r="CC340" s="6"/>
      <c r="CD340" s="6"/>
      <c r="CE340" s="6"/>
      <c r="CF340" s="6"/>
      <c r="CG340" s="6"/>
      <c r="CH340" s="6"/>
      <c r="CI340" s="6"/>
      <c r="CJ340" s="6"/>
      <c r="CK340" s="6"/>
      <c r="CL340" s="6"/>
      <c r="CM340" s="6"/>
      <c r="CN340" s="6"/>
      <c r="CO340" s="6"/>
      <c r="CP340" s="6"/>
      <c r="CQ340" s="6"/>
      <c r="CR340" s="6"/>
      <c r="CS340" s="6"/>
      <c r="CT340" s="6"/>
      <c r="CU340" s="6"/>
      <c r="CV340" s="6"/>
      <c r="CW340" s="6"/>
      <c r="CX340" s="6"/>
      <c r="CY340" s="6"/>
      <c r="CZ340" s="6"/>
      <c r="DA340" s="6"/>
      <c r="DB340" s="6"/>
      <c r="DC340" s="6"/>
      <c r="DD340" s="6"/>
      <c r="DE340" s="6"/>
      <c r="DF340" s="6"/>
      <c r="DG340" s="6"/>
      <c r="DH340" s="6"/>
      <c r="DI340" s="6"/>
      <c r="DJ340" s="6"/>
      <c r="DK340" s="6"/>
      <c r="DL340" s="6"/>
      <c r="DM340" s="6"/>
      <c r="DN340" s="6"/>
      <c r="DO340" s="6"/>
      <c r="DP340" s="6"/>
      <c r="DQ340" s="6"/>
    </row>
    <row r="341" spans="1:121" s="6" customFormat="1" ht="15.75" hidden="1" customHeight="1">
      <c r="A341" s="90"/>
      <c r="B341" s="137"/>
      <c r="C341" s="138"/>
      <c r="D341" s="138"/>
      <c r="E341" s="97" t="s">
        <v>74</v>
      </c>
      <c r="F341" s="105">
        <f>'Trifásico 13,8kv '!BV5+'Trifásico 13,8kv '!BW5+'Trifásico 13,8kv '!BX5</f>
        <v>0</v>
      </c>
    </row>
    <row r="342" spans="1:121" s="6" customFormat="1" ht="15.75" hidden="1" customHeight="1">
      <c r="A342" s="90"/>
      <c r="B342" s="137"/>
      <c r="C342" s="138"/>
      <c r="D342" s="138"/>
      <c r="E342" s="107" t="s">
        <v>75</v>
      </c>
      <c r="F342" s="105">
        <f>'Trifásico 13,8kv '!BV6+'Trifásico 13,8kv '!BW6+'Trifásico 13,8kv '!BX6</f>
        <v>0</v>
      </c>
    </row>
    <row r="343" spans="1:121" s="44" customFormat="1" ht="15.75" hidden="1" customHeight="1">
      <c r="A343" s="90"/>
      <c r="B343" s="137"/>
      <c r="C343" s="138"/>
      <c r="D343" s="138"/>
      <c r="E343" s="97" t="s">
        <v>76</v>
      </c>
      <c r="F343" s="105">
        <f>'Trifásico 13,8kv '!BV7+'Trifásico 13,8kv '!BW7+'Trifásico 13,8kv '!BX7</f>
        <v>0</v>
      </c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  <c r="BC343" s="6"/>
      <c r="BD343" s="6"/>
      <c r="BE343" s="6"/>
      <c r="BF343" s="6"/>
      <c r="BG343" s="6"/>
      <c r="BH343" s="6"/>
      <c r="BI343" s="6"/>
      <c r="BJ343" s="6"/>
      <c r="BK343" s="6"/>
      <c r="BL343" s="6"/>
      <c r="BM343" s="6"/>
      <c r="BN343" s="6"/>
      <c r="BO343" s="6"/>
      <c r="BP343" s="6"/>
      <c r="BQ343" s="6"/>
      <c r="BR343" s="6"/>
      <c r="BS343" s="6"/>
      <c r="BT343" s="6"/>
      <c r="BU343" s="6"/>
      <c r="BV343" s="6"/>
      <c r="BW343" s="6"/>
      <c r="BX343" s="6"/>
      <c r="BY343" s="6"/>
      <c r="BZ343" s="6"/>
      <c r="CA343" s="6"/>
      <c r="CB343" s="6"/>
      <c r="CC343" s="6"/>
      <c r="CD343" s="6"/>
      <c r="CE343" s="6"/>
      <c r="CF343" s="6"/>
      <c r="CG343" s="6"/>
      <c r="CH343" s="6"/>
      <c r="CI343" s="6"/>
      <c r="CJ343" s="6"/>
      <c r="CK343" s="6"/>
      <c r="CL343" s="6"/>
      <c r="CM343" s="6"/>
      <c r="CN343" s="6"/>
      <c r="CO343" s="6"/>
      <c r="CP343" s="6"/>
      <c r="CQ343" s="6"/>
      <c r="CR343" s="6"/>
      <c r="CS343" s="6"/>
      <c r="CT343" s="6"/>
      <c r="CU343" s="6"/>
      <c r="CV343" s="6"/>
      <c r="CW343" s="6"/>
      <c r="CX343" s="6"/>
      <c r="CY343" s="6"/>
      <c r="CZ343" s="6"/>
      <c r="DA343" s="6"/>
      <c r="DB343" s="6"/>
      <c r="DC343" s="6"/>
      <c r="DD343" s="6"/>
      <c r="DE343" s="6"/>
      <c r="DF343" s="6"/>
      <c r="DG343" s="6"/>
      <c r="DH343" s="6"/>
      <c r="DI343" s="6"/>
      <c r="DJ343" s="6"/>
      <c r="DK343" s="6"/>
      <c r="DL343" s="6"/>
      <c r="DM343" s="6"/>
      <c r="DN343" s="6"/>
      <c r="DO343" s="6"/>
      <c r="DP343" s="6"/>
      <c r="DQ343" s="6"/>
    </row>
    <row r="344" spans="1:121" s="44" customFormat="1" ht="15.75" hidden="1" customHeight="1">
      <c r="A344" s="90"/>
      <c r="B344" s="137"/>
      <c r="C344" s="138"/>
      <c r="D344" s="138"/>
      <c r="E344" s="107" t="s">
        <v>77</v>
      </c>
      <c r="F344" s="105">
        <f>'Trifásico 13,8kv '!BV8+'Trifásico 13,8kv '!BW8+'Trifásico 13,8kv '!BX8</f>
        <v>0</v>
      </c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  <c r="BC344" s="6"/>
      <c r="BD344" s="6"/>
      <c r="BE344" s="6"/>
      <c r="BF344" s="6"/>
      <c r="BG344" s="6"/>
      <c r="BH344" s="6"/>
      <c r="BI344" s="6"/>
      <c r="BJ344" s="6"/>
      <c r="BK344" s="6"/>
      <c r="BL344" s="6"/>
      <c r="BM344" s="6"/>
      <c r="BN344" s="6"/>
      <c r="BO344" s="6"/>
      <c r="BP344" s="6"/>
      <c r="BQ344" s="6"/>
      <c r="BR344" s="6"/>
      <c r="BS344" s="6"/>
      <c r="BT344" s="6"/>
      <c r="BU344" s="6"/>
      <c r="BV344" s="6"/>
      <c r="BW344" s="6"/>
      <c r="BX344" s="6"/>
      <c r="BY344" s="6"/>
      <c r="BZ344" s="6"/>
      <c r="CA344" s="6"/>
      <c r="CB344" s="6"/>
      <c r="CC344" s="6"/>
      <c r="CD344" s="6"/>
      <c r="CE344" s="6"/>
      <c r="CF344" s="6"/>
      <c r="CG344" s="6"/>
      <c r="CH344" s="6"/>
      <c r="CI344" s="6"/>
      <c r="CJ344" s="6"/>
      <c r="CK344" s="6"/>
      <c r="CL344" s="6"/>
      <c r="CM344" s="6"/>
      <c r="CN344" s="6"/>
      <c r="CO344" s="6"/>
      <c r="CP344" s="6"/>
      <c r="CQ344" s="6"/>
      <c r="CR344" s="6"/>
      <c r="CS344" s="6"/>
      <c r="CT344" s="6"/>
      <c r="CU344" s="6"/>
      <c r="CV344" s="6"/>
      <c r="CW344" s="6"/>
      <c r="CX344" s="6"/>
      <c r="CY344" s="6"/>
      <c r="CZ344" s="6"/>
      <c r="DA344" s="6"/>
      <c r="DB344" s="6"/>
      <c r="DC344" s="6"/>
      <c r="DD344" s="6"/>
      <c r="DE344" s="6"/>
      <c r="DF344" s="6"/>
      <c r="DG344" s="6"/>
      <c r="DH344" s="6"/>
      <c r="DI344" s="6"/>
      <c r="DJ344" s="6"/>
      <c r="DK344" s="6"/>
      <c r="DL344" s="6"/>
      <c r="DM344" s="6"/>
      <c r="DN344" s="6"/>
      <c r="DO344" s="6"/>
      <c r="DP344" s="6"/>
      <c r="DQ344" s="6"/>
    </row>
    <row r="345" spans="1:121" s="44" customFormat="1" ht="15.75" hidden="1" customHeight="1">
      <c r="A345" s="90"/>
      <c r="B345" s="137"/>
      <c r="C345" s="138"/>
      <c r="D345" s="138"/>
      <c r="E345" s="97" t="s">
        <v>100</v>
      </c>
      <c r="F345" s="105">
        <f>'Trifásico 13,8kv '!BV9+'Trifásico 13,8kv '!BW9+'Trifásico 13,8kv '!BX9</f>
        <v>0</v>
      </c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  <c r="BC345" s="6"/>
      <c r="BD345" s="6"/>
      <c r="BE345" s="6"/>
      <c r="BF345" s="6"/>
      <c r="BG345" s="6"/>
      <c r="BH345" s="6"/>
      <c r="BI345" s="6"/>
      <c r="BJ345" s="6"/>
      <c r="BK345" s="6"/>
      <c r="BL345" s="6"/>
      <c r="BM345" s="6"/>
      <c r="BN345" s="6"/>
      <c r="BO345" s="6"/>
      <c r="BP345" s="6"/>
      <c r="BQ345" s="6"/>
      <c r="BR345" s="6"/>
      <c r="BS345" s="6"/>
      <c r="BT345" s="6"/>
      <c r="BU345" s="6"/>
      <c r="BV345" s="6"/>
      <c r="BW345" s="6"/>
      <c r="BX345" s="6"/>
      <c r="BY345" s="6"/>
      <c r="BZ345" s="6"/>
      <c r="CA345" s="6"/>
      <c r="CB345" s="6"/>
      <c r="CC345" s="6"/>
      <c r="CD345" s="6"/>
      <c r="CE345" s="6"/>
      <c r="CF345" s="6"/>
      <c r="CG345" s="6"/>
      <c r="CH345" s="6"/>
      <c r="CI345" s="6"/>
      <c r="CJ345" s="6"/>
      <c r="CK345" s="6"/>
      <c r="CL345" s="6"/>
      <c r="CM345" s="6"/>
      <c r="CN345" s="6"/>
      <c r="CO345" s="6"/>
      <c r="CP345" s="6"/>
      <c r="CQ345" s="6"/>
      <c r="CR345" s="6"/>
      <c r="CS345" s="6"/>
      <c r="CT345" s="6"/>
      <c r="CU345" s="6"/>
      <c r="CV345" s="6"/>
      <c r="CW345" s="6"/>
      <c r="CX345" s="6"/>
      <c r="CY345" s="6"/>
      <c r="CZ345" s="6"/>
      <c r="DA345" s="6"/>
      <c r="DB345" s="6"/>
      <c r="DC345" s="6"/>
      <c r="DD345" s="6"/>
      <c r="DE345" s="6"/>
      <c r="DF345" s="6"/>
      <c r="DG345" s="6"/>
      <c r="DH345" s="6"/>
      <c r="DI345" s="6"/>
      <c r="DJ345" s="6"/>
      <c r="DK345" s="6"/>
      <c r="DL345" s="6"/>
      <c r="DM345" s="6"/>
      <c r="DN345" s="6"/>
      <c r="DO345" s="6"/>
      <c r="DP345" s="6"/>
      <c r="DQ345" s="6"/>
    </row>
    <row r="346" spans="1:121" s="6" customFormat="1" ht="15.75" hidden="1" customHeight="1">
      <c r="A346" s="90"/>
      <c r="B346" s="137"/>
      <c r="C346" s="138"/>
      <c r="D346" s="138"/>
      <c r="E346" s="107" t="s">
        <v>78</v>
      </c>
      <c r="F346" s="105">
        <f>'Trifásico 13,8kv '!BV10+'Trifásico 13,8kv '!BW10+'Trifásico 13,8kv '!BX10</f>
        <v>0</v>
      </c>
    </row>
    <row r="347" spans="1:121" s="6" customFormat="1" ht="15.75" hidden="1" customHeight="1">
      <c r="A347" s="90"/>
      <c r="B347" s="137"/>
      <c r="C347" s="138"/>
      <c r="D347" s="138"/>
      <c r="E347" s="97" t="s">
        <v>79</v>
      </c>
      <c r="F347" s="105">
        <f>'Trifásico 13,8kv '!BV11+'Trifásico 13,8kv '!BW11+'Trifásico 13,8kv '!BX11</f>
        <v>0</v>
      </c>
    </row>
    <row r="348" spans="1:121" s="6" customFormat="1" ht="15.75" hidden="1" customHeight="1">
      <c r="A348" s="90"/>
      <c r="B348" s="137"/>
      <c r="C348" s="138"/>
      <c r="D348" s="138"/>
      <c r="E348" s="107" t="s">
        <v>80</v>
      </c>
      <c r="F348" s="105">
        <f>'Trifásico 13,8kv '!BV12+'Trifásico 13,8kv '!BW12+'Trifásico 13,8kv '!BX12</f>
        <v>0</v>
      </c>
    </row>
    <row r="349" spans="1:121" s="6" customFormat="1" ht="15.75" hidden="1" customHeight="1">
      <c r="A349" s="90"/>
      <c r="B349" s="137"/>
      <c r="C349" s="138"/>
      <c r="D349" s="138"/>
      <c r="E349" s="97" t="s">
        <v>81</v>
      </c>
      <c r="F349" s="105">
        <f>'Trifásico 13,8kv '!BV13+'Trifásico 13,8kv '!BW13+'Trifásico 13,8kv '!BX13</f>
        <v>0</v>
      </c>
    </row>
    <row r="350" spans="1:121" s="6" customFormat="1" ht="15.75" hidden="1" customHeight="1">
      <c r="A350" s="90"/>
      <c r="B350" s="137"/>
      <c r="C350" s="138"/>
      <c r="D350" s="138"/>
      <c r="E350" s="107" t="s">
        <v>82</v>
      </c>
      <c r="F350" s="105">
        <f>'Trifásico 13,8kv '!BV14+'Trifásico 13,8kv '!BW14+'Trifásico 13,8kv '!BX14</f>
        <v>0</v>
      </c>
    </row>
    <row r="351" spans="1:121" s="6" customFormat="1" ht="15.75" hidden="1" customHeight="1">
      <c r="A351" s="90"/>
      <c r="B351" s="137"/>
      <c r="C351" s="138"/>
      <c r="D351" s="138"/>
      <c r="E351" s="97" t="s">
        <v>83</v>
      </c>
      <c r="F351" s="105">
        <f>'Trifásico 13,8kv '!BV15+'Trifásico 13,8kv '!BW15+'Trifásico 13,8kv '!BX15</f>
        <v>0</v>
      </c>
    </row>
    <row r="352" spans="1:121" s="6" customFormat="1" ht="15.75" hidden="1" customHeight="1">
      <c r="A352" s="90"/>
      <c r="B352" s="137"/>
      <c r="C352" s="138"/>
      <c r="D352" s="138"/>
      <c r="E352" s="107" t="s">
        <v>85</v>
      </c>
      <c r="F352" s="105">
        <f>'Trifásico 13,8kv '!BV16+'Trifásico 13,8kv '!BW16+'Trifásico 13,8kv '!BX16</f>
        <v>0</v>
      </c>
    </row>
    <row r="353" spans="1:6" s="6" customFormat="1" ht="15.75" hidden="1" customHeight="1">
      <c r="A353" s="90"/>
      <c r="B353" s="137"/>
      <c r="C353" s="138"/>
      <c r="D353" s="138"/>
      <c r="E353" s="97" t="s">
        <v>84</v>
      </c>
      <c r="F353" s="105">
        <f>'Trifásico 13,8kv '!BV17+'Trifásico 13,8kv '!BW17+'Trifásico 13,8kv '!BX17</f>
        <v>0</v>
      </c>
    </row>
    <row r="354" spans="1:6" s="6" customFormat="1" ht="15.75" hidden="1" customHeight="1">
      <c r="A354" s="90"/>
      <c r="B354" s="137"/>
      <c r="C354" s="138"/>
      <c r="D354" s="138"/>
      <c r="E354" s="107" t="s">
        <v>86</v>
      </c>
      <c r="F354" s="105">
        <f>'Trifásico 13,8kv '!BV18+'Trifásico 13,8kv '!BW18+'Trifásico 13,8kv '!BX18</f>
        <v>0</v>
      </c>
    </row>
    <row r="355" spans="1:6" s="6" customFormat="1" ht="15.75" hidden="1" customHeight="1">
      <c r="A355" s="90"/>
      <c r="B355" s="137"/>
      <c r="C355" s="138"/>
      <c r="D355" s="138"/>
      <c r="E355" s="97" t="s">
        <v>87</v>
      </c>
      <c r="F355" s="105">
        <f>'Trifásico 13,8kv '!BV19+'Trifásico 13,8kv '!BW19+'Trifásico 13,8kv '!BX19</f>
        <v>0</v>
      </c>
    </row>
    <row r="356" spans="1:6" s="6" customFormat="1" ht="15.75" hidden="1" customHeight="1">
      <c r="A356" s="90"/>
      <c r="B356" s="137"/>
      <c r="C356" s="138"/>
      <c r="D356" s="138"/>
      <c r="E356" s="107" t="s">
        <v>101</v>
      </c>
      <c r="F356" s="105">
        <f>'Trifásico 13,8kv '!BV20+'Trifásico 13,8kv '!BW20+'Trifásico 13,8kv '!BX20</f>
        <v>0</v>
      </c>
    </row>
    <row r="357" spans="1:6" s="6" customFormat="1" ht="15.75" hidden="1" customHeight="1">
      <c r="A357" s="90"/>
      <c r="B357" s="137"/>
      <c r="C357" s="138"/>
      <c r="D357" s="138"/>
      <c r="E357" s="97" t="s">
        <v>88</v>
      </c>
      <c r="F357" s="105">
        <f>'Trifásico 13,8kv '!BV21+'Trifásico 13,8kv '!BW21+'Trifásico 13,8kv '!BX21</f>
        <v>0</v>
      </c>
    </row>
    <row r="358" spans="1:6" s="6" customFormat="1" ht="15.75" hidden="1" customHeight="1">
      <c r="A358" s="90"/>
      <c r="B358" s="137"/>
      <c r="C358" s="138"/>
      <c r="D358" s="138"/>
      <c r="E358" s="107" t="s">
        <v>89</v>
      </c>
      <c r="F358" s="105">
        <f>'Trifásico 13,8kv '!BV22+'Trifásico 13,8kv '!BW22+'Trifásico 13,8kv '!BX22</f>
        <v>0</v>
      </c>
    </row>
    <row r="359" spans="1:6" s="6" customFormat="1" ht="15.75" hidden="1" customHeight="1">
      <c r="A359" s="90"/>
      <c r="B359" s="137"/>
      <c r="C359" s="138"/>
      <c r="D359" s="138"/>
      <c r="E359" s="97" t="s">
        <v>90</v>
      </c>
      <c r="F359" s="105">
        <f>'Trifásico 13,8kv '!BV23+'Trifásico 13,8kv '!BW23+'Trifásico 13,8kv '!BX23</f>
        <v>0</v>
      </c>
    </row>
    <row r="360" spans="1:6" s="6" customFormat="1" ht="15.75" hidden="1" customHeight="1">
      <c r="A360" s="68"/>
      <c r="B360" s="153"/>
      <c r="C360" s="138"/>
      <c r="D360" s="154"/>
      <c r="E360" s="107" t="s">
        <v>93</v>
      </c>
      <c r="F360" s="105">
        <f>'Trifásico 13,8kv '!BV24+'Trifásico 13,8kv '!BW24+'Trifásico 13,8kv '!BX24</f>
        <v>0</v>
      </c>
    </row>
    <row r="361" spans="1:6" s="6" customFormat="1" ht="15.75" hidden="1" customHeight="1">
      <c r="A361" s="68"/>
      <c r="B361" s="153"/>
      <c r="C361" s="138"/>
      <c r="D361" s="154"/>
      <c r="E361" s="97" t="s">
        <v>91</v>
      </c>
      <c r="F361" s="105">
        <f>'Trifásico 13,8kv '!BV25+'Trifásico 13,8kv '!BW25+'Trifásico 13,8kv '!BX25</f>
        <v>0</v>
      </c>
    </row>
    <row r="362" spans="1:6" s="6" customFormat="1" ht="15.75" hidden="1" customHeight="1">
      <c r="A362" s="68"/>
      <c r="B362" s="153"/>
      <c r="C362" s="138"/>
      <c r="D362" s="154"/>
      <c r="E362" s="107" t="s">
        <v>92</v>
      </c>
      <c r="F362" s="105">
        <f>'Trifásico 13,8kv '!BV26+'Trifásico 13,8kv '!BW26+'Trifásico 13,8kv '!BX26</f>
        <v>0</v>
      </c>
    </row>
    <row r="363" spans="1:6" s="6" customFormat="1" ht="15.75" hidden="1" customHeight="1" thickBot="1">
      <c r="A363" s="68"/>
      <c r="B363" s="153"/>
      <c r="C363" s="138"/>
      <c r="D363" s="154"/>
      <c r="E363" s="130"/>
      <c r="F363" s="38">
        <f>SUM(F341:F362)</f>
        <v>0</v>
      </c>
    </row>
    <row r="364" spans="1:6" s="6" customFormat="1" ht="15.75" hidden="1" customHeight="1" thickBot="1">
      <c r="A364" s="8"/>
      <c r="B364" s="153"/>
      <c r="C364" s="138"/>
      <c r="D364" s="154"/>
      <c r="E364" s="257" t="s">
        <v>227</v>
      </c>
      <c r="F364" s="308">
        <f>SUM(F365:F386)</f>
        <v>0</v>
      </c>
    </row>
    <row r="365" spans="1:6" s="6" customFormat="1" ht="15.75" hidden="1" customHeight="1">
      <c r="A365" s="8"/>
      <c r="B365" s="153"/>
      <c r="C365" s="138"/>
      <c r="D365" s="154"/>
      <c r="E365" s="97" t="s">
        <v>74</v>
      </c>
      <c r="F365" s="105">
        <f>'Trifásico 13,8kv '!CA5+'Trifásico 13,8kv '!CB5+'Trifásico 13,8kv '!CC5</f>
        <v>0</v>
      </c>
    </row>
    <row r="366" spans="1:6" s="6" customFormat="1" ht="15.75" hidden="1" customHeight="1">
      <c r="A366" s="90"/>
      <c r="B366" s="137"/>
      <c r="C366" s="138"/>
      <c r="D366" s="154"/>
      <c r="E366" s="107" t="s">
        <v>75</v>
      </c>
      <c r="F366" s="105">
        <f>'Trifásico 13,8kv '!CA6+'Trifásico 13,8kv '!CB6+'Trifásico 13,8kv '!CC6</f>
        <v>0</v>
      </c>
    </row>
    <row r="367" spans="1:6" s="6" customFormat="1" ht="15.75" hidden="1" customHeight="1">
      <c r="A367" s="90"/>
      <c r="B367" s="137"/>
      <c r="C367" s="138"/>
      <c r="D367" s="154"/>
      <c r="E367" s="97" t="s">
        <v>76</v>
      </c>
      <c r="F367" s="105">
        <f>'Trifásico 13,8kv '!CA7+'Trifásico 13,8kv '!CB7+'Trifásico 13,8kv '!CC7</f>
        <v>0</v>
      </c>
    </row>
    <row r="368" spans="1:6" s="6" customFormat="1" ht="15.75" hidden="1" customHeight="1">
      <c r="A368" s="90"/>
      <c r="B368" s="137"/>
      <c r="C368" s="138"/>
      <c r="D368" s="154"/>
      <c r="E368" s="107" t="s">
        <v>77</v>
      </c>
      <c r="F368" s="105">
        <f>'Trifásico 13,8kv '!CA8+'Trifásico 13,8kv '!CB8+'Trifásico 13,8kv '!CC8</f>
        <v>0</v>
      </c>
    </row>
    <row r="369" spans="1:6" s="6" customFormat="1" ht="15.75" hidden="1" customHeight="1">
      <c r="A369" s="90"/>
      <c r="B369" s="137"/>
      <c r="C369" s="138"/>
      <c r="D369" s="138"/>
      <c r="E369" s="97" t="s">
        <v>100</v>
      </c>
      <c r="F369" s="105">
        <f>'Trifásico 13,8kv '!CA9+'Trifásico 13,8kv '!CB9+'Trifásico 13,8kv '!CC9</f>
        <v>0</v>
      </c>
    </row>
    <row r="370" spans="1:6" s="6" customFormat="1" ht="15.75" hidden="1" customHeight="1">
      <c r="A370" s="90"/>
      <c r="B370" s="137"/>
      <c r="C370" s="138"/>
      <c r="D370" s="138"/>
      <c r="E370" s="107" t="s">
        <v>78</v>
      </c>
      <c r="F370" s="105">
        <f>'Trifásico 13,8kv '!CA10+'Trifásico 13,8kv '!CB10+'Trifásico 13,8kv '!CC10</f>
        <v>0</v>
      </c>
    </row>
    <row r="371" spans="1:6" s="6" customFormat="1" ht="15.75" hidden="1" customHeight="1">
      <c r="A371" s="90"/>
      <c r="B371" s="137"/>
      <c r="C371" s="138"/>
      <c r="D371" s="138"/>
      <c r="E371" s="97" t="s">
        <v>79</v>
      </c>
      <c r="F371" s="105">
        <f>'Trifásico 13,8kv '!CA11+'Trifásico 13,8kv '!CB11+'Trifásico 13,8kv '!CC11</f>
        <v>0</v>
      </c>
    </row>
    <row r="372" spans="1:6" s="6" customFormat="1" ht="15.75" hidden="1" customHeight="1">
      <c r="A372" s="90"/>
      <c r="B372" s="137"/>
      <c r="C372" s="138"/>
      <c r="D372" s="138"/>
      <c r="E372" s="107" t="s">
        <v>80</v>
      </c>
      <c r="F372" s="105">
        <f>'Trifásico 13,8kv '!CA12+'Trifásico 13,8kv '!CB12+'Trifásico 13,8kv '!CC12</f>
        <v>0</v>
      </c>
    </row>
    <row r="373" spans="1:6" s="6" customFormat="1" ht="15.75" hidden="1" customHeight="1">
      <c r="A373" s="90"/>
      <c r="B373" s="137"/>
      <c r="C373" s="138"/>
      <c r="D373" s="138"/>
      <c r="E373" s="97" t="s">
        <v>81</v>
      </c>
      <c r="F373" s="105">
        <f>'Trifásico 13,8kv '!CA13+'Trifásico 13,8kv '!CB13+'Trifásico 13,8kv '!CC13</f>
        <v>0</v>
      </c>
    </row>
    <row r="374" spans="1:6" s="6" customFormat="1" ht="15.75" hidden="1" customHeight="1">
      <c r="A374" s="90"/>
      <c r="B374" s="137"/>
      <c r="C374" s="138"/>
      <c r="D374" s="138"/>
      <c r="E374" s="107" t="s">
        <v>82</v>
      </c>
      <c r="F374" s="105">
        <f>'Trifásico 13,8kv '!CA14+'Trifásico 13,8kv '!CB14+'Trifásico 13,8kv '!CC14</f>
        <v>0</v>
      </c>
    </row>
    <row r="375" spans="1:6" s="6" customFormat="1" ht="15.75" hidden="1" customHeight="1">
      <c r="A375" s="150"/>
      <c r="B375" s="137"/>
      <c r="C375" s="138"/>
      <c r="D375" s="138"/>
      <c r="E375" s="97" t="s">
        <v>83</v>
      </c>
      <c r="F375" s="105">
        <f>'Trifásico 13,8kv '!CA15+'Trifásico 13,8kv '!CB15+'Trifásico 13,8kv '!CC15</f>
        <v>0</v>
      </c>
    </row>
    <row r="376" spans="1:6" s="6" customFormat="1" ht="15.75" hidden="1" customHeight="1">
      <c r="A376" s="150"/>
      <c r="B376" s="137"/>
      <c r="C376" s="138"/>
      <c r="D376" s="138"/>
      <c r="E376" s="107" t="s">
        <v>85</v>
      </c>
      <c r="F376" s="105">
        <f>'Trifásico 13,8kv '!CA16+'Trifásico 13,8kv '!CB16+'Trifásico 13,8kv '!CC16</f>
        <v>0</v>
      </c>
    </row>
    <row r="377" spans="1:6" s="6" customFormat="1" ht="15.75" hidden="1" customHeight="1">
      <c r="A377" s="150"/>
      <c r="B377" s="137"/>
      <c r="C377" s="138"/>
      <c r="D377" s="138"/>
      <c r="E377" s="97" t="s">
        <v>84</v>
      </c>
      <c r="F377" s="105">
        <f>'Trifásico 13,8kv '!CA17+'Trifásico 13,8kv '!CB17+'Trifásico 13,8kv '!CC17</f>
        <v>0</v>
      </c>
    </row>
    <row r="378" spans="1:6" s="6" customFormat="1" ht="15.75" hidden="1" customHeight="1">
      <c r="A378" s="150"/>
      <c r="B378" s="137"/>
      <c r="C378" s="138"/>
      <c r="D378" s="138"/>
      <c r="E378" s="107" t="s">
        <v>86</v>
      </c>
      <c r="F378" s="105">
        <f>'Trifásico 13,8kv '!CA18+'Trifásico 13,8kv '!CB18+'Trifásico 13,8kv '!CC18</f>
        <v>0</v>
      </c>
    </row>
    <row r="379" spans="1:6" s="6" customFormat="1" ht="15.75" hidden="1" customHeight="1">
      <c r="A379" s="150"/>
      <c r="B379" s="137"/>
      <c r="C379" s="138"/>
      <c r="D379" s="138"/>
      <c r="E379" s="97" t="s">
        <v>87</v>
      </c>
      <c r="F379" s="105">
        <f>'Trifásico 13,8kv '!CA19+'Trifásico 13,8kv '!CB19+'Trifásico 13,8kv '!CC19</f>
        <v>0</v>
      </c>
    </row>
    <row r="380" spans="1:6" s="6" customFormat="1" ht="15.75" hidden="1" customHeight="1">
      <c r="A380" s="90"/>
      <c r="B380" s="137"/>
      <c r="C380" s="138"/>
      <c r="D380" s="138"/>
      <c r="E380" s="107" t="s">
        <v>101</v>
      </c>
      <c r="F380" s="105">
        <f>'Trifásico 13,8kv '!CA20+'Trifásico 13,8kv '!CB20+'Trifásico 13,8kv '!CC20</f>
        <v>0</v>
      </c>
    </row>
    <row r="381" spans="1:6" s="6" customFormat="1" ht="15.75" hidden="1" customHeight="1">
      <c r="A381" s="90"/>
      <c r="B381" s="137"/>
      <c r="C381" s="138"/>
      <c r="D381" s="138"/>
      <c r="E381" s="97" t="s">
        <v>88</v>
      </c>
      <c r="F381" s="105">
        <f>'Trifásico 13,8kv '!CA21+'Trifásico 13,8kv '!CB21+'Trifásico 13,8kv '!CC21</f>
        <v>0</v>
      </c>
    </row>
    <row r="382" spans="1:6" s="6" customFormat="1" ht="15.75" hidden="1" customHeight="1">
      <c r="A382" s="90"/>
      <c r="B382" s="137"/>
      <c r="C382" s="138"/>
      <c r="D382" s="138"/>
      <c r="E382" s="107" t="s">
        <v>89</v>
      </c>
      <c r="F382" s="105">
        <f>'Trifásico 13,8kv '!CA22+'Trifásico 13,8kv '!CB22+'Trifásico 13,8kv '!CC22</f>
        <v>0</v>
      </c>
    </row>
    <row r="383" spans="1:6" s="6" customFormat="1" ht="15.75" hidden="1" customHeight="1">
      <c r="A383" s="90"/>
      <c r="B383" s="137"/>
      <c r="C383" s="138"/>
      <c r="D383" s="138"/>
      <c r="E383" s="97" t="s">
        <v>90</v>
      </c>
      <c r="F383" s="105">
        <f>'Trifásico 13,8kv '!CA23+'Trifásico 13,8kv '!CB23+'Trifásico 13,8kv '!CC23</f>
        <v>0</v>
      </c>
    </row>
    <row r="384" spans="1:6" s="6" customFormat="1" ht="15.75" hidden="1" customHeight="1">
      <c r="A384" s="90"/>
      <c r="B384" s="137"/>
      <c r="C384" s="138"/>
      <c r="D384" s="138"/>
      <c r="E384" s="107" t="s">
        <v>93</v>
      </c>
      <c r="F384" s="105">
        <f>'Trifásico 13,8kv '!CA24+'Trifásico 13,8kv '!CB24+'Trifásico 13,8kv '!CC24</f>
        <v>0</v>
      </c>
    </row>
    <row r="385" spans="1:6" s="6" customFormat="1" ht="15.75" hidden="1" customHeight="1">
      <c r="A385" s="90"/>
      <c r="B385" s="137"/>
      <c r="C385" s="138"/>
      <c r="D385" s="138"/>
      <c r="E385" s="97" t="s">
        <v>91</v>
      </c>
      <c r="F385" s="105">
        <f>'Trifásico 13,8kv '!CA25+'Trifásico 13,8kv '!CB25+'Trifásico 13,8kv '!CC25</f>
        <v>0</v>
      </c>
    </row>
    <row r="386" spans="1:6" s="6" customFormat="1" ht="15.75" hidden="1" customHeight="1">
      <c r="A386" s="90"/>
      <c r="B386" s="137"/>
      <c r="C386" s="138"/>
      <c r="D386" s="138"/>
      <c r="E386" s="107" t="s">
        <v>92</v>
      </c>
      <c r="F386" s="105">
        <f>'Trifásico 13,8kv '!CA26+'Trifásico 13,8kv '!CB26+'Trifásico 13,8kv '!CC26</f>
        <v>0</v>
      </c>
    </row>
    <row r="387" spans="1:6" s="6" customFormat="1" ht="15.75" hidden="1" customHeight="1" thickBot="1">
      <c r="A387" s="90"/>
      <c r="B387" s="137"/>
      <c r="C387" s="138"/>
      <c r="D387" s="138"/>
      <c r="E387" s="130"/>
      <c r="F387" s="38">
        <f>SUM(F365:F386)</f>
        <v>0</v>
      </c>
    </row>
    <row r="388" spans="1:6" s="6" customFormat="1" ht="15.75" hidden="1" customHeight="1" thickBot="1">
      <c r="A388" s="90"/>
      <c r="B388" s="137"/>
      <c r="C388" s="138"/>
      <c r="D388" s="138"/>
      <c r="E388" s="248" t="s">
        <v>518</v>
      </c>
      <c r="F388" s="307">
        <f>SUM(F389:F410)</f>
        <v>0</v>
      </c>
    </row>
    <row r="389" spans="1:6" s="6" customFormat="1" ht="15.75" hidden="1" customHeight="1">
      <c r="A389" s="90"/>
      <c r="B389" s="137"/>
      <c r="C389" s="138"/>
      <c r="D389" s="138"/>
      <c r="E389" s="97" t="s">
        <v>74</v>
      </c>
      <c r="F389" s="105">
        <f>'Trifásico 13,8kv '!CF5+'Trifásico 13,8kv '!CG5+'Trifásico 13,8kv '!CH5</f>
        <v>0</v>
      </c>
    </row>
    <row r="390" spans="1:6" s="6" customFormat="1" ht="15.75" hidden="1" customHeight="1">
      <c r="A390" s="90"/>
      <c r="B390" s="137"/>
      <c r="C390" s="138"/>
      <c r="D390" s="138"/>
      <c r="E390" s="107" t="s">
        <v>75</v>
      </c>
      <c r="F390" s="105">
        <f>'Trifásico 13,8kv '!CF6+'Trifásico 13,8kv '!CG6+'Trifásico 13,8kv '!CH6</f>
        <v>0</v>
      </c>
    </row>
    <row r="391" spans="1:6" s="6" customFormat="1" ht="15.75" hidden="1" customHeight="1">
      <c r="A391" s="90"/>
      <c r="B391" s="137"/>
      <c r="C391" s="138"/>
      <c r="D391" s="138"/>
      <c r="E391" s="97" t="s">
        <v>76</v>
      </c>
      <c r="F391" s="105">
        <f>'Trifásico 13,8kv '!CF7+'Trifásico 13,8kv '!CG7+'Trifásico 13,8kv '!CH7</f>
        <v>0</v>
      </c>
    </row>
    <row r="392" spans="1:6" s="6" customFormat="1" ht="15.75" hidden="1" customHeight="1">
      <c r="A392" s="90"/>
      <c r="B392" s="137"/>
      <c r="C392" s="138"/>
      <c r="D392" s="138"/>
      <c r="E392" s="107" t="s">
        <v>77</v>
      </c>
      <c r="F392" s="105">
        <f>'Trifásico 13,8kv '!CF8+'Trifásico 13,8kv '!CG8+'Trifásico 13,8kv '!CH8</f>
        <v>0</v>
      </c>
    </row>
    <row r="393" spans="1:6" s="6" customFormat="1" ht="15.75" hidden="1" customHeight="1">
      <c r="A393" s="90"/>
      <c r="B393" s="137"/>
      <c r="C393" s="138"/>
      <c r="D393" s="138"/>
      <c r="E393" s="97" t="s">
        <v>100</v>
      </c>
      <c r="F393" s="105">
        <f>'Trifásico 13,8kv '!CF9+'Trifásico 13,8kv '!CG9+'Trifásico 13,8kv '!CH9</f>
        <v>0</v>
      </c>
    </row>
    <row r="394" spans="1:6" s="6" customFormat="1" ht="15.75" hidden="1" customHeight="1">
      <c r="A394" s="90"/>
      <c r="B394" s="137"/>
      <c r="C394" s="138"/>
      <c r="D394" s="138"/>
      <c r="E394" s="107" t="s">
        <v>78</v>
      </c>
      <c r="F394" s="105">
        <f>'Trifásico 13,8kv '!CF10+'Trifásico 13,8kv '!CG10+'Trifásico 13,8kv '!CH10</f>
        <v>0</v>
      </c>
    </row>
    <row r="395" spans="1:6" s="6" customFormat="1" ht="15.75" hidden="1" customHeight="1">
      <c r="A395" s="90"/>
      <c r="B395" s="137"/>
      <c r="C395" s="138"/>
      <c r="D395" s="138"/>
      <c r="E395" s="97" t="s">
        <v>79</v>
      </c>
      <c r="F395" s="105">
        <f>'Trifásico 13,8kv '!CF11+'Trifásico 13,8kv '!CG11+'Trifásico 13,8kv '!CH11</f>
        <v>0</v>
      </c>
    </row>
    <row r="396" spans="1:6" s="6" customFormat="1" ht="15.75" hidden="1" customHeight="1">
      <c r="A396" s="90"/>
      <c r="B396" s="137"/>
      <c r="C396" s="138"/>
      <c r="D396" s="138"/>
      <c r="E396" s="107" t="s">
        <v>80</v>
      </c>
      <c r="F396" s="105">
        <f>'Trifásico 13,8kv '!CF12+'Trifásico 13,8kv '!CG12+'Trifásico 13,8kv '!CH12</f>
        <v>0</v>
      </c>
    </row>
    <row r="397" spans="1:6" s="6" customFormat="1" ht="15.75" hidden="1" customHeight="1">
      <c r="A397" s="90"/>
      <c r="B397" s="137"/>
      <c r="C397" s="138"/>
      <c r="D397" s="138"/>
      <c r="E397" s="97" t="s">
        <v>81</v>
      </c>
      <c r="F397" s="105">
        <f>'Trifásico 13,8kv '!CF13+'Trifásico 13,8kv '!CG13+'Trifásico 13,8kv '!CH13</f>
        <v>0</v>
      </c>
    </row>
    <row r="398" spans="1:6" s="6" customFormat="1" ht="15.75" hidden="1" customHeight="1">
      <c r="A398" s="90"/>
      <c r="B398" s="137"/>
      <c r="C398" s="138"/>
      <c r="D398" s="138"/>
      <c r="E398" s="107" t="s">
        <v>82</v>
      </c>
      <c r="F398" s="105">
        <f>'Trifásico 13,8kv '!CF14+'Trifásico 13,8kv '!CG14+'Trifásico 13,8kv '!CH14</f>
        <v>0</v>
      </c>
    </row>
    <row r="399" spans="1:6" s="6" customFormat="1" ht="15.75" hidden="1" customHeight="1">
      <c r="A399" s="90"/>
      <c r="B399" s="137"/>
      <c r="C399" s="138"/>
      <c r="D399" s="138"/>
      <c r="E399" s="97" t="s">
        <v>83</v>
      </c>
      <c r="F399" s="105">
        <f>'Trifásico 13,8kv '!CF15+'Trifásico 13,8kv '!CG15+'Trifásico 13,8kv '!CH15</f>
        <v>0</v>
      </c>
    </row>
    <row r="400" spans="1:6" s="6" customFormat="1" ht="15.75" hidden="1" customHeight="1">
      <c r="A400" s="90"/>
      <c r="B400" s="137"/>
      <c r="C400" s="138"/>
      <c r="D400" s="138"/>
      <c r="E400" s="107" t="s">
        <v>85</v>
      </c>
      <c r="F400" s="105">
        <f>'Trifásico 13,8kv '!CF16+'Trifásico 13,8kv '!CG16+'Trifásico 13,8kv '!CH16</f>
        <v>0</v>
      </c>
    </row>
    <row r="401" spans="1:6" s="6" customFormat="1" ht="15.75" hidden="1" customHeight="1">
      <c r="A401" s="90"/>
      <c r="B401" s="137"/>
      <c r="C401" s="138"/>
      <c r="D401" s="138"/>
      <c r="E401" s="97" t="s">
        <v>84</v>
      </c>
      <c r="F401" s="105">
        <f>'Trifásico 13,8kv '!CF17+'Trifásico 13,8kv '!CG17+'Trifásico 13,8kv '!CH17</f>
        <v>0</v>
      </c>
    </row>
    <row r="402" spans="1:6" s="6" customFormat="1" ht="15.75" hidden="1" customHeight="1">
      <c r="A402" s="90"/>
      <c r="B402" s="137"/>
      <c r="C402" s="138"/>
      <c r="D402" s="138"/>
      <c r="E402" s="107" t="s">
        <v>86</v>
      </c>
      <c r="F402" s="105">
        <f>'Trifásico 13,8kv '!CF18+'Trifásico 13,8kv '!CG18+'Trifásico 13,8kv '!CH18</f>
        <v>0</v>
      </c>
    </row>
    <row r="403" spans="1:6" s="6" customFormat="1" ht="15.75" hidden="1" customHeight="1">
      <c r="A403" s="90"/>
      <c r="B403" s="137"/>
      <c r="C403" s="138"/>
      <c r="D403" s="138"/>
      <c r="E403" s="97" t="s">
        <v>87</v>
      </c>
      <c r="F403" s="105">
        <f>'Trifásico 13,8kv '!CF19+'Trifásico 13,8kv '!CG19+'Trifásico 13,8kv '!CH19</f>
        <v>0</v>
      </c>
    </row>
    <row r="404" spans="1:6" s="6" customFormat="1" ht="15.75" hidden="1" customHeight="1">
      <c r="A404" s="90"/>
      <c r="B404" s="137"/>
      <c r="C404" s="138"/>
      <c r="D404" s="138"/>
      <c r="E404" s="107" t="s">
        <v>101</v>
      </c>
      <c r="F404" s="105">
        <f>'Trifásico 13,8kv '!CF20+'Trifásico 13,8kv '!CG20+'Trifásico 13,8kv '!CH20</f>
        <v>0</v>
      </c>
    </row>
    <row r="405" spans="1:6" s="6" customFormat="1" ht="15.75" hidden="1" customHeight="1">
      <c r="A405" s="90"/>
      <c r="B405" s="137"/>
      <c r="C405" s="138"/>
      <c r="D405" s="138"/>
      <c r="E405" s="97" t="s">
        <v>88</v>
      </c>
      <c r="F405" s="105">
        <f>'Trifásico 13,8kv '!CF21+'Trifásico 13,8kv '!CG21+'Trifásico 13,8kv '!CH21</f>
        <v>0</v>
      </c>
    </row>
    <row r="406" spans="1:6" s="6" customFormat="1" ht="15.75" hidden="1" customHeight="1">
      <c r="A406" s="90"/>
      <c r="B406" s="137"/>
      <c r="C406" s="138"/>
      <c r="D406" s="138"/>
      <c r="E406" s="107" t="s">
        <v>89</v>
      </c>
      <c r="F406" s="105">
        <f>'Trifásico 13,8kv '!CF22+'Trifásico 13,8kv '!CG22+'Trifásico 13,8kv '!CH22</f>
        <v>0</v>
      </c>
    </row>
    <row r="407" spans="1:6" s="6" customFormat="1" ht="15.75" hidden="1" customHeight="1">
      <c r="A407" s="90"/>
      <c r="B407" s="137"/>
      <c r="C407" s="138"/>
      <c r="D407" s="138"/>
      <c r="E407" s="97" t="s">
        <v>90</v>
      </c>
      <c r="F407" s="105">
        <f>'Trifásico 13,8kv '!CF23+'Trifásico 13,8kv '!CG23+'Trifásico 13,8kv '!CH23</f>
        <v>0</v>
      </c>
    </row>
    <row r="408" spans="1:6" s="6" customFormat="1" ht="15.75" hidden="1" customHeight="1">
      <c r="A408" s="90"/>
      <c r="B408" s="137"/>
      <c r="C408" s="138"/>
      <c r="D408" s="138"/>
      <c r="E408" s="107" t="s">
        <v>93</v>
      </c>
      <c r="F408" s="105">
        <f>'Trifásico 13,8kv '!CF24+'Trifásico 13,8kv '!CG24+'Trifásico 13,8kv '!CH24</f>
        <v>0</v>
      </c>
    </row>
    <row r="409" spans="1:6" s="6" customFormat="1" ht="15.75" hidden="1" customHeight="1">
      <c r="A409" s="90"/>
      <c r="B409" s="137"/>
      <c r="C409" s="138"/>
      <c r="D409" s="138"/>
      <c r="E409" s="97" t="s">
        <v>91</v>
      </c>
      <c r="F409" s="105">
        <f>'Trifásico 13,8kv '!CF25+'Trifásico 13,8kv '!CG25+'Trifásico 13,8kv '!CH25</f>
        <v>0</v>
      </c>
    </row>
    <row r="410" spans="1:6" s="6" customFormat="1" ht="15.75" hidden="1" customHeight="1">
      <c r="A410" s="90"/>
      <c r="B410" s="137"/>
      <c r="C410" s="138"/>
      <c r="D410" s="138"/>
      <c r="E410" s="107" t="s">
        <v>92</v>
      </c>
      <c r="F410" s="105">
        <f>'Trifásico 13,8kv '!CF26+'Trifásico 13,8kv '!CG26+'Trifásico 13,8kv '!CH26</f>
        <v>0</v>
      </c>
    </row>
    <row r="411" spans="1:6" s="6" customFormat="1" ht="15.75" hidden="1" customHeight="1" thickBot="1">
      <c r="A411" s="90"/>
      <c r="B411" s="137"/>
      <c r="C411" s="138"/>
      <c r="D411" s="138"/>
      <c r="E411" s="130"/>
      <c r="F411" s="38">
        <f>SUM(F389:F410)</f>
        <v>0</v>
      </c>
    </row>
    <row r="412" spans="1:6" s="6" customFormat="1" ht="15.75" hidden="1" customHeight="1" thickBot="1">
      <c r="A412" s="90"/>
      <c r="B412" s="137"/>
      <c r="C412" s="138"/>
      <c r="D412" s="138"/>
      <c r="E412" s="248" t="s">
        <v>530</v>
      </c>
      <c r="F412" s="308">
        <f>SUM(F413:F434)</f>
        <v>0</v>
      </c>
    </row>
    <row r="413" spans="1:6" s="6" customFormat="1" ht="15.75" hidden="1" customHeight="1">
      <c r="A413" s="90"/>
      <c r="B413" s="137"/>
      <c r="C413" s="138"/>
      <c r="D413" s="138"/>
      <c r="E413" s="97" t="s">
        <v>74</v>
      </c>
      <c r="F413" s="105">
        <f>'Trifásico 13,8kv '!CK5+'Trifásico 13,8kv '!CL5+'Trifásico 13,8kv '!CM5</f>
        <v>0</v>
      </c>
    </row>
    <row r="414" spans="1:6" s="6" customFormat="1" ht="15.75" hidden="1" customHeight="1">
      <c r="A414" s="150"/>
      <c r="B414" s="137"/>
      <c r="C414" s="138"/>
      <c r="D414" s="138"/>
      <c r="E414" s="107" t="s">
        <v>75</v>
      </c>
      <c r="F414" s="105">
        <f>'Trifásico 13,8kv '!CK6+'Trifásico 13,8kv '!CL6+'Trifásico 13,8kv '!CM6</f>
        <v>0</v>
      </c>
    </row>
    <row r="415" spans="1:6" s="6" customFormat="1" ht="15.75" hidden="1" customHeight="1">
      <c r="A415" s="90"/>
      <c r="B415" s="137"/>
      <c r="C415" s="138"/>
      <c r="D415" s="138"/>
      <c r="E415" s="97" t="s">
        <v>76</v>
      </c>
      <c r="F415" s="105">
        <f>'Trifásico 13,8kv '!CK7+'Trifásico 13,8kv '!CL7+'Trifásico 13,8kv '!CM7</f>
        <v>0</v>
      </c>
    </row>
    <row r="416" spans="1:6" s="6" customFormat="1" ht="15.75" hidden="1" customHeight="1">
      <c r="A416" s="90"/>
      <c r="B416" s="137"/>
      <c r="C416" s="138"/>
      <c r="D416" s="138"/>
      <c r="E416" s="107" t="s">
        <v>77</v>
      </c>
      <c r="F416" s="105">
        <f>'Trifásico 13,8kv '!CK8+'Trifásico 13,8kv '!CL8+'Trifásico 13,8kv '!CM8</f>
        <v>0</v>
      </c>
    </row>
    <row r="417" spans="1:6" s="6" customFormat="1" ht="15.75" hidden="1" customHeight="1">
      <c r="A417" s="90"/>
      <c r="B417" s="137"/>
      <c r="C417" s="138"/>
      <c r="D417" s="138"/>
      <c r="E417" s="97" t="s">
        <v>100</v>
      </c>
      <c r="F417" s="105">
        <f>'Trifásico 13,8kv '!CK9+'Trifásico 13,8kv '!CL9+'Trifásico 13,8kv '!CM9</f>
        <v>0</v>
      </c>
    </row>
    <row r="418" spans="1:6" s="6" customFormat="1" ht="15.75" hidden="1" customHeight="1">
      <c r="A418" s="90"/>
      <c r="B418" s="137"/>
      <c r="C418" s="138"/>
      <c r="D418" s="138"/>
      <c r="E418" s="107" t="s">
        <v>78</v>
      </c>
      <c r="F418" s="105">
        <f>'Trifásico 13,8kv '!CK10+'Trifásico 13,8kv '!CL10+'Trifásico 13,8kv '!CM10</f>
        <v>0</v>
      </c>
    </row>
    <row r="419" spans="1:6" s="6" customFormat="1" ht="15.75" hidden="1" customHeight="1">
      <c r="A419" s="90"/>
      <c r="B419" s="137"/>
      <c r="C419" s="138"/>
      <c r="D419" s="138"/>
      <c r="E419" s="97" t="s">
        <v>79</v>
      </c>
      <c r="F419" s="105">
        <f>'Trifásico 13,8kv '!CK11+'Trifásico 13,8kv '!CL11+'Trifásico 13,8kv '!CM11</f>
        <v>0</v>
      </c>
    </row>
    <row r="420" spans="1:6" s="6" customFormat="1" ht="15.75" hidden="1" customHeight="1">
      <c r="A420" s="90"/>
      <c r="B420" s="137"/>
      <c r="C420" s="138"/>
      <c r="D420" s="138"/>
      <c r="E420" s="107" t="s">
        <v>80</v>
      </c>
      <c r="F420" s="105">
        <f>'Trifásico 13,8kv '!CK12+'Trifásico 13,8kv '!CL12+'Trifásico 13,8kv '!CM12</f>
        <v>0</v>
      </c>
    </row>
    <row r="421" spans="1:6" s="6" customFormat="1" ht="15.75" hidden="1" customHeight="1">
      <c r="A421" s="90"/>
      <c r="B421" s="137"/>
      <c r="C421" s="138"/>
      <c r="D421" s="138"/>
      <c r="E421" s="97" t="s">
        <v>81</v>
      </c>
      <c r="F421" s="105">
        <f>'Trifásico 13,8kv '!CK13+'Trifásico 13,8kv '!CL13+'Trifásico 13,8kv '!CM13</f>
        <v>0</v>
      </c>
    </row>
    <row r="422" spans="1:6" s="6" customFormat="1" ht="15.75" hidden="1" customHeight="1">
      <c r="A422" s="90"/>
      <c r="B422" s="137"/>
      <c r="C422" s="138"/>
      <c r="D422" s="138"/>
      <c r="E422" s="107" t="s">
        <v>82</v>
      </c>
      <c r="F422" s="105">
        <f>'Trifásico 13,8kv '!CK14+'Trifásico 13,8kv '!CL14+'Trifásico 13,8kv '!CM14</f>
        <v>0</v>
      </c>
    </row>
    <row r="423" spans="1:6" s="6" customFormat="1" ht="15.75" hidden="1" customHeight="1">
      <c r="A423" s="90"/>
      <c r="B423" s="137"/>
      <c r="C423" s="138"/>
      <c r="D423" s="138"/>
      <c r="E423" s="97" t="s">
        <v>83</v>
      </c>
      <c r="F423" s="105">
        <f>'Trifásico 13,8kv '!CK15+'Trifásico 13,8kv '!CL15+'Trifásico 13,8kv '!CM15</f>
        <v>0</v>
      </c>
    </row>
    <row r="424" spans="1:6" s="6" customFormat="1" ht="15.75" hidden="1" customHeight="1">
      <c r="A424" s="90"/>
      <c r="B424" s="137"/>
      <c r="C424" s="138"/>
      <c r="D424" s="138"/>
      <c r="E424" s="107" t="s">
        <v>85</v>
      </c>
      <c r="F424" s="105">
        <f>'Trifásico 13,8kv '!CK16+'Trifásico 13,8kv '!CL16+'Trifásico 13,8kv '!CM16</f>
        <v>0</v>
      </c>
    </row>
    <row r="425" spans="1:6" s="6" customFormat="1" ht="15.75" hidden="1" customHeight="1">
      <c r="A425" s="90"/>
      <c r="B425" s="137"/>
      <c r="C425" s="138"/>
      <c r="D425" s="138"/>
      <c r="E425" s="97" t="s">
        <v>84</v>
      </c>
      <c r="F425" s="105">
        <f>'Trifásico 13,8kv '!CK17+'Trifásico 13,8kv '!CL17+'Trifásico 13,8kv '!CM17</f>
        <v>0</v>
      </c>
    </row>
    <row r="426" spans="1:6" s="6" customFormat="1" ht="15.75" hidden="1" customHeight="1">
      <c r="A426" s="90"/>
      <c r="B426" s="137"/>
      <c r="C426" s="138"/>
      <c r="D426" s="138"/>
      <c r="E426" s="107" t="s">
        <v>86</v>
      </c>
      <c r="F426" s="105">
        <f>'Trifásico 13,8kv '!CK18+'Trifásico 13,8kv '!CL18+'Trifásico 13,8kv '!CM18</f>
        <v>0</v>
      </c>
    </row>
    <row r="427" spans="1:6" s="6" customFormat="1" ht="15.75" hidden="1" customHeight="1">
      <c r="A427" s="90"/>
      <c r="B427" s="137"/>
      <c r="C427" s="138"/>
      <c r="D427" s="138"/>
      <c r="E427" s="97" t="s">
        <v>87</v>
      </c>
      <c r="F427" s="105">
        <f>'Trifásico 13,8kv '!CK19+'Trifásico 13,8kv '!CL19+'Trifásico 13,8kv '!CM19</f>
        <v>0</v>
      </c>
    </row>
    <row r="428" spans="1:6" s="6" customFormat="1" ht="15.75" hidden="1" customHeight="1">
      <c r="A428" s="90"/>
      <c r="B428" s="137"/>
      <c r="C428" s="138"/>
      <c r="D428" s="138"/>
      <c r="E428" s="107" t="s">
        <v>101</v>
      </c>
      <c r="F428" s="105">
        <f>'Trifásico 13,8kv '!CK20+'Trifásico 13,8kv '!CL20+'Trifásico 13,8kv '!CM20</f>
        <v>0</v>
      </c>
    </row>
    <row r="429" spans="1:6" s="6" customFormat="1" ht="15.75" hidden="1" customHeight="1">
      <c r="A429" s="90"/>
      <c r="B429" s="137"/>
      <c r="C429" s="138"/>
      <c r="D429" s="138"/>
      <c r="E429" s="97" t="s">
        <v>88</v>
      </c>
      <c r="F429" s="105">
        <f>'Trifásico 13,8kv '!CK21+'Trifásico 13,8kv '!CL21+'Trifásico 13,8kv '!CM21</f>
        <v>0</v>
      </c>
    </row>
    <row r="430" spans="1:6" s="6" customFormat="1" ht="15.75" hidden="1" customHeight="1">
      <c r="A430" s="90"/>
      <c r="B430" s="137"/>
      <c r="C430" s="138"/>
      <c r="D430" s="138"/>
      <c r="E430" s="107" t="s">
        <v>89</v>
      </c>
      <c r="F430" s="105">
        <f>'Trifásico 13,8kv '!CK22+'Trifásico 13,8kv '!CL22+'Trifásico 13,8kv '!CM22</f>
        <v>0</v>
      </c>
    </row>
    <row r="431" spans="1:6" s="6" customFormat="1" ht="15.75" hidden="1" customHeight="1">
      <c r="A431" s="90"/>
      <c r="B431" s="137"/>
      <c r="C431" s="138"/>
      <c r="D431" s="138"/>
      <c r="E431" s="97" t="s">
        <v>90</v>
      </c>
      <c r="F431" s="105">
        <f>'Trifásico 13,8kv '!CK23+'Trifásico 13,8kv '!CL23+'Trifásico 13,8kv '!CM23</f>
        <v>0</v>
      </c>
    </row>
    <row r="432" spans="1:6" s="6" customFormat="1" ht="15.75" hidden="1" customHeight="1">
      <c r="A432" s="90"/>
      <c r="B432" s="137"/>
      <c r="C432" s="138"/>
      <c r="D432" s="138"/>
      <c r="E432" s="107" t="s">
        <v>93</v>
      </c>
      <c r="F432" s="105">
        <f>'Trifásico 13,8kv '!CK24+'Trifásico 13,8kv '!CL24+'Trifásico 13,8kv '!CM24</f>
        <v>0</v>
      </c>
    </row>
    <row r="433" spans="1:6" s="6" customFormat="1" ht="15.75" hidden="1" customHeight="1">
      <c r="A433" s="90"/>
      <c r="B433" s="137"/>
      <c r="C433" s="138"/>
      <c r="D433" s="138"/>
      <c r="E433" s="97" t="s">
        <v>91</v>
      </c>
      <c r="F433" s="105">
        <f>'Trifásico 13,8kv '!CK25+'Trifásico 13,8kv '!CL25+'Trifásico 13,8kv '!CM25</f>
        <v>0</v>
      </c>
    </row>
    <row r="434" spans="1:6" s="6" customFormat="1" ht="15.75" hidden="1" customHeight="1">
      <c r="A434" s="90"/>
      <c r="B434" s="137"/>
      <c r="C434" s="138"/>
      <c r="D434" s="138"/>
      <c r="E434" s="107" t="s">
        <v>92</v>
      </c>
      <c r="F434" s="105">
        <f>'Trifásico 13,8kv '!CK26+'Trifásico 13,8kv '!CL26+'Trifásico 13,8kv '!CM26</f>
        <v>0</v>
      </c>
    </row>
    <row r="435" spans="1:6" s="6" customFormat="1" ht="15.75" hidden="1" customHeight="1" thickBot="1">
      <c r="A435" s="90"/>
      <c r="B435" s="137"/>
      <c r="C435" s="138"/>
      <c r="D435" s="138"/>
      <c r="E435" s="130"/>
      <c r="F435" s="38">
        <f>SUM(F413:F434)</f>
        <v>0</v>
      </c>
    </row>
    <row r="436" spans="1:6" ht="15.75" hidden="1" customHeight="1" thickBot="1">
      <c r="A436" s="69"/>
      <c r="B436" s="153"/>
      <c r="C436" s="138"/>
      <c r="E436" s="230" t="s">
        <v>224</v>
      </c>
      <c r="F436" s="308">
        <f>SUM(F437:F458)</f>
        <v>0</v>
      </c>
    </row>
    <row r="437" spans="1:6" ht="15.75" hidden="1" customHeight="1">
      <c r="A437" s="69"/>
      <c r="B437" s="153"/>
      <c r="C437" s="138"/>
      <c r="E437" s="97" t="s">
        <v>74</v>
      </c>
      <c r="F437" s="105">
        <f>'Trifásico 13,8kv '!CP5+'Trifásico 13,8kv '!CQ5+'Trifásico 13,8kv '!CR5</f>
        <v>0</v>
      </c>
    </row>
    <row r="438" spans="1:6" ht="15.75" hidden="1" customHeight="1">
      <c r="A438" s="68"/>
      <c r="B438" s="153"/>
      <c r="C438" s="138"/>
      <c r="E438" s="107" t="s">
        <v>75</v>
      </c>
      <c r="F438" s="105">
        <f>'Trifásico 13,8kv '!CP6+'Trifásico 13,8kv '!CQ6+'Trifásico 13,8kv '!CR6</f>
        <v>0</v>
      </c>
    </row>
    <row r="439" spans="1:6" ht="15.75" hidden="1" customHeight="1">
      <c r="A439" s="69"/>
      <c r="B439" s="153"/>
      <c r="C439" s="138"/>
      <c r="E439" s="97" t="s">
        <v>76</v>
      </c>
      <c r="F439" s="105">
        <f>'Trifásico 13,8kv '!CP7+'Trifásico 13,8kv '!CQ7+'Trifásico 13,8kv '!CR7</f>
        <v>0</v>
      </c>
    </row>
    <row r="440" spans="1:6" ht="15.75" hidden="1" customHeight="1">
      <c r="A440" s="68"/>
      <c r="B440" s="153"/>
      <c r="C440" s="138"/>
      <c r="E440" s="107" t="s">
        <v>77</v>
      </c>
      <c r="F440" s="105">
        <f>'Trifásico 13,8kv '!CP8+'Trifásico 13,8kv '!CQ8+'Trifásico 13,8kv '!CR8</f>
        <v>0</v>
      </c>
    </row>
    <row r="441" spans="1:6" ht="15.75" hidden="1" customHeight="1">
      <c r="A441" s="69"/>
      <c r="B441" s="153"/>
      <c r="C441" s="138"/>
      <c r="E441" s="97" t="s">
        <v>100</v>
      </c>
      <c r="F441" s="105">
        <f>'Trifásico 13,8kv '!CP9+'Trifásico 13,8kv '!CQ9+'Trifásico 13,8kv '!CR9</f>
        <v>0</v>
      </c>
    </row>
    <row r="442" spans="1:6" ht="15.75" hidden="1" customHeight="1">
      <c r="A442" s="68"/>
      <c r="B442" s="153"/>
      <c r="C442" s="138"/>
      <c r="E442" s="107" t="s">
        <v>78</v>
      </c>
      <c r="F442" s="105">
        <f>'Trifásico 13,8kv '!CP10+'Trifásico 13,8kv '!CQ10+'Trifásico 13,8kv '!CR10</f>
        <v>0</v>
      </c>
    </row>
    <row r="443" spans="1:6" ht="15.75" hidden="1" customHeight="1">
      <c r="A443" s="69"/>
      <c r="B443" s="153"/>
      <c r="C443" s="138"/>
      <c r="E443" s="97" t="s">
        <v>79</v>
      </c>
      <c r="F443" s="105">
        <f>'Trifásico 13,8kv '!CP11+'Trifásico 13,8kv '!CQ11+'Trifásico 13,8kv '!CR11</f>
        <v>0</v>
      </c>
    </row>
    <row r="444" spans="1:6" ht="15.75" hidden="1" customHeight="1">
      <c r="A444" s="68"/>
      <c r="B444" s="153"/>
      <c r="C444" s="138"/>
      <c r="E444" s="107" t="s">
        <v>80</v>
      </c>
      <c r="F444" s="105">
        <f>'Trifásico 13,8kv '!CP12+'Trifásico 13,8kv '!CQ12+'Trifásico 13,8kv '!CR12</f>
        <v>0</v>
      </c>
    </row>
    <row r="445" spans="1:6" ht="15.75" hidden="1" customHeight="1">
      <c r="A445" s="69"/>
      <c r="B445" s="153"/>
      <c r="C445" s="138"/>
      <c r="E445" s="97" t="s">
        <v>81</v>
      </c>
      <c r="F445" s="105">
        <f>'Trifásico 13,8kv '!CP13+'Trifásico 13,8kv '!CQ13+'Trifásico 13,8kv '!CR13</f>
        <v>0</v>
      </c>
    </row>
    <row r="446" spans="1:6" ht="15.75" hidden="1" customHeight="1">
      <c r="A446" s="68"/>
      <c r="B446" s="153"/>
      <c r="C446" s="138"/>
      <c r="E446" s="107" t="s">
        <v>82</v>
      </c>
      <c r="F446" s="105">
        <f>'Trifásico 13,8kv '!CP14+'Trifásico 13,8kv '!CQ14+'Trifásico 13,8kv '!CR14</f>
        <v>0</v>
      </c>
    </row>
    <row r="447" spans="1:6" ht="15.75" hidden="1" customHeight="1">
      <c r="A447" s="69"/>
      <c r="B447" s="153"/>
      <c r="C447" s="138"/>
      <c r="E447" s="97" t="s">
        <v>83</v>
      </c>
      <c r="F447" s="105">
        <f>'Trifásico 13,8kv '!CP15+'Trifásico 13,8kv '!CQ15+'Trifásico 13,8kv '!CR15</f>
        <v>0</v>
      </c>
    </row>
    <row r="448" spans="1:6" ht="15.75" hidden="1" customHeight="1">
      <c r="A448" s="68"/>
      <c r="B448" s="153"/>
      <c r="C448" s="138"/>
      <c r="E448" s="107" t="s">
        <v>85</v>
      </c>
      <c r="F448" s="105">
        <f>'Trifásico 13,8kv '!CP16+'Trifásico 13,8kv '!CQ16+'Trifásico 13,8kv '!CR16</f>
        <v>0</v>
      </c>
    </row>
    <row r="449" spans="1:6" ht="15.75" hidden="1" customHeight="1">
      <c r="A449" s="69"/>
      <c r="B449" s="153"/>
      <c r="C449" s="138"/>
      <c r="E449" s="97" t="s">
        <v>84</v>
      </c>
      <c r="F449" s="105">
        <f>'Trifásico 13,8kv '!CP17+'Trifásico 13,8kv '!CQ17+'Trifásico 13,8kv '!CR17</f>
        <v>0</v>
      </c>
    </row>
    <row r="450" spans="1:6" ht="15.75" hidden="1" customHeight="1">
      <c r="A450" s="68"/>
      <c r="B450" s="153"/>
      <c r="C450" s="138"/>
      <c r="E450" s="107" t="s">
        <v>86</v>
      </c>
      <c r="F450" s="105">
        <f>'Trifásico 13,8kv '!CP18+'Trifásico 13,8kv '!CQ18+'Trifásico 13,8kv '!CR18</f>
        <v>0</v>
      </c>
    </row>
    <row r="451" spans="1:6" ht="15.75" hidden="1" customHeight="1">
      <c r="A451" s="69"/>
      <c r="B451" s="153"/>
      <c r="C451" s="138"/>
      <c r="E451" s="97" t="s">
        <v>87</v>
      </c>
      <c r="F451" s="105">
        <f>'Trifásico 13,8kv '!CP19+'Trifásico 13,8kv '!CQ19+'Trifásico 13,8kv '!CR19</f>
        <v>0</v>
      </c>
    </row>
    <row r="452" spans="1:6" ht="15.75" hidden="1" customHeight="1">
      <c r="A452" s="68"/>
      <c r="B452" s="153"/>
      <c r="C452" s="138"/>
      <c r="E452" s="107" t="s">
        <v>101</v>
      </c>
      <c r="F452" s="105">
        <f>'Trifásico 13,8kv '!CP20+'Trifásico 13,8kv '!CQ20+'Trifásico 13,8kv '!CR20</f>
        <v>0</v>
      </c>
    </row>
    <row r="453" spans="1:6" ht="15.75" hidden="1" customHeight="1">
      <c r="A453" s="69"/>
      <c r="B453" s="153"/>
      <c r="C453" s="138"/>
      <c r="E453" s="97" t="s">
        <v>88</v>
      </c>
      <c r="F453" s="105">
        <f>'Trifásico 13,8kv '!CP21+'Trifásico 13,8kv '!CQ21+'Trifásico 13,8kv '!CR21</f>
        <v>0</v>
      </c>
    </row>
    <row r="454" spans="1:6" ht="15.75" hidden="1" customHeight="1">
      <c r="A454" s="68"/>
      <c r="B454" s="153"/>
      <c r="C454" s="138"/>
      <c r="E454" s="107" t="s">
        <v>89</v>
      </c>
      <c r="F454" s="105">
        <f>'Trifásico 13,8kv '!CP22+'Trifásico 13,8kv '!CQ22+'Trifásico 13,8kv '!CR22</f>
        <v>0</v>
      </c>
    </row>
    <row r="455" spans="1:6" ht="15.75" hidden="1" customHeight="1">
      <c r="A455" s="69"/>
      <c r="B455" s="153"/>
      <c r="C455" s="138"/>
      <c r="E455" s="97" t="s">
        <v>90</v>
      </c>
      <c r="F455" s="105">
        <f>'Trifásico 13,8kv '!CP23+'Trifásico 13,8kv '!CQ23+'Trifásico 13,8kv '!CR23</f>
        <v>0</v>
      </c>
    </row>
    <row r="456" spans="1:6" ht="15.75" hidden="1" customHeight="1">
      <c r="A456" s="68"/>
      <c r="B456" s="153"/>
      <c r="C456" s="138"/>
      <c r="E456" s="107" t="s">
        <v>93</v>
      </c>
      <c r="F456" s="105">
        <f>'Trifásico 13,8kv '!CP24+'Trifásico 13,8kv '!CQ24+'Trifásico 13,8kv '!CR24</f>
        <v>0</v>
      </c>
    </row>
    <row r="457" spans="1:6" ht="15.75" hidden="1" customHeight="1">
      <c r="A457" s="69"/>
      <c r="B457" s="153"/>
      <c r="C457" s="138"/>
      <c r="E457" s="97" t="s">
        <v>91</v>
      </c>
      <c r="F457" s="105">
        <f>'Trifásico 13,8kv '!CP25+'Trifásico 13,8kv '!CQ25+'Trifásico 13,8kv '!CR25</f>
        <v>0</v>
      </c>
    </row>
    <row r="458" spans="1:6" ht="15.75" hidden="1" customHeight="1">
      <c r="A458" s="68"/>
      <c r="B458" s="153"/>
      <c r="C458" s="138"/>
      <c r="E458" s="107" t="s">
        <v>92</v>
      </c>
      <c r="F458" s="105">
        <f>'Trifásico 13,8kv '!CP26+'Trifásico 13,8kv '!CQ26+'Trifásico 13,8kv '!CR26</f>
        <v>0</v>
      </c>
    </row>
    <row r="459" spans="1:6" ht="15.75" hidden="1" customHeight="1" thickBot="1">
      <c r="A459" s="68"/>
      <c r="B459" s="153"/>
      <c r="C459" s="138"/>
      <c r="E459" s="130"/>
      <c r="F459" s="38">
        <f>SUM(F437:F458)</f>
        <v>0</v>
      </c>
    </row>
    <row r="460" spans="1:6" ht="15.75" hidden="1" customHeight="1" thickBot="1">
      <c r="A460" s="68"/>
      <c r="B460" s="153"/>
      <c r="C460" s="138"/>
      <c r="E460" s="259" t="s">
        <v>231</v>
      </c>
      <c r="F460" s="308">
        <f>SUM(F461:F482)</f>
        <v>0</v>
      </c>
    </row>
    <row r="461" spans="1:6" ht="15.75" hidden="1" customHeight="1">
      <c r="A461" s="68"/>
      <c r="B461" s="153"/>
      <c r="C461" s="138"/>
      <c r="E461" s="97" t="s">
        <v>74</v>
      </c>
      <c r="F461" s="105">
        <f>'Trifásico 13,8kv '!CU5+'Trifásico 13,8kv '!CV5+'Trifásico 13,8kv '!CW5</f>
        <v>0</v>
      </c>
    </row>
    <row r="462" spans="1:6" ht="15.75" hidden="1" customHeight="1">
      <c r="A462" s="69"/>
      <c r="B462" s="153"/>
      <c r="C462" s="138"/>
      <c r="E462" s="107" t="s">
        <v>75</v>
      </c>
      <c r="F462" s="105">
        <f>'Trifásico 13,8kv '!CU6+'Trifásico 13,8kv '!CV6+'Trifásico 13,8kv '!CW6</f>
        <v>0</v>
      </c>
    </row>
    <row r="463" spans="1:6" ht="15.75" hidden="1" customHeight="1">
      <c r="A463" s="68"/>
      <c r="B463" s="153"/>
      <c r="C463" s="138"/>
      <c r="E463" s="97" t="s">
        <v>76</v>
      </c>
      <c r="F463" s="105">
        <f>'Trifásico 13,8kv '!CU7+'Trifásico 13,8kv '!CV7+'Trifásico 13,8kv '!CW7</f>
        <v>0</v>
      </c>
    </row>
    <row r="464" spans="1:6" ht="15.75" hidden="1" customHeight="1">
      <c r="A464" s="69"/>
      <c r="B464" s="153"/>
      <c r="C464" s="138"/>
      <c r="E464" s="107" t="s">
        <v>77</v>
      </c>
      <c r="F464" s="105">
        <f>'Trifásico 13,8kv '!CU8+'Trifásico 13,8kv '!CV8+'Trifásico 13,8kv '!CW8</f>
        <v>0</v>
      </c>
    </row>
    <row r="465" spans="1:6" ht="15.75" hidden="1" customHeight="1">
      <c r="A465" s="90"/>
      <c r="B465" s="137"/>
      <c r="C465" s="138"/>
      <c r="E465" s="97" t="s">
        <v>100</v>
      </c>
      <c r="F465" s="105">
        <f>'Trifásico 13,8kv '!CU9+'Trifásico 13,8kv '!CV9+'Trifásico 13,8kv '!CW9</f>
        <v>0</v>
      </c>
    </row>
    <row r="466" spans="1:6" ht="15.75" hidden="1" customHeight="1">
      <c r="A466" s="90"/>
      <c r="B466" s="137"/>
      <c r="C466" s="138"/>
      <c r="E466" s="107" t="s">
        <v>78</v>
      </c>
      <c r="F466" s="105">
        <f>'Trifásico 13,8kv '!CU10+'Trifásico 13,8kv '!CV10+'Trifásico 13,8kv '!CW10</f>
        <v>0</v>
      </c>
    </row>
    <row r="467" spans="1:6" ht="15.75" hidden="1" customHeight="1">
      <c r="A467" s="90"/>
      <c r="B467" s="137"/>
      <c r="C467" s="138"/>
      <c r="E467" s="97" t="s">
        <v>79</v>
      </c>
      <c r="F467" s="105">
        <f>'Trifásico 13,8kv '!CU11+'Trifásico 13,8kv '!CV11+'Trifásico 13,8kv '!CW11</f>
        <v>0</v>
      </c>
    </row>
    <row r="468" spans="1:6" ht="15.75" hidden="1" customHeight="1">
      <c r="A468" s="90"/>
      <c r="B468" s="137"/>
      <c r="C468" s="138"/>
      <c r="E468" s="107" t="s">
        <v>80</v>
      </c>
      <c r="F468" s="105">
        <f>'Trifásico 13,8kv '!CU12+'Trifásico 13,8kv '!CV12+'Trifásico 13,8kv '!CW12</f>
        <v>0</v>
      </c>
    </row>
    <row r="469" spans="1:6" ht="15.75" hidden="1" customHeight="1">
      <c r="A469" s="90"/>
      <c r="B469" s="137"/>
      <c r="C469" s="138"/>
      <c r="E469" s="97" t="s">
        <v>81</v>
      </c>
      <c r="F469" s="105">
        <f>'Trifásico 13,8kv '!CU13+'Trifásico 13,8kv '!CV13+'Trifásico 13,8kv '!CW13</f>
        <v>0</v>
      </c>
    </row>
    <row r="470" spans="1:6" ht="15.75" hidden="1" customHeight="1">
      <c r="A470" s="90"/>
      <c r="B470" s="137"/>
      <c r="C470" s="138"/>
      <c r="E470" s="107" t="s">
        <v>82</v>
      </c>
      <c r="F470" s="105">
        <f>'Trifásico 13,8kv '!CU14+'Trifásico 13,8kv '!CV14+'Trifásico 13,8kv '!CW14</f>
        <v>0</v>
      </c>
    </row>
    <row r="471" spans="1:6" ht="15.75" hidden="1" customHeight="1">
      <c r="A471" s="90"/>
      <c r="B471" s="137"/>
      <c r="C471" s="138"/>
      <c r="E471" s="97" t="s">
        <v>83</v>
      </c>
      <c r="F471" s="105">
        <f>'Trifásico 13,8kv '!CU15+'Trifásico 13,8kv '!CV15+'Trifásico 13,8kv '!CW15</f>
        <v>0</v>
      </c>
    </row>
    <row r="472" spans="1:6" ht="15.75" hidden="1" customHeight="1">
      <c r="A472" s="90"/>
      <c r="B472" s="137"/>
      <c r="C472" s="138"/>
      <c r="E472" s="107" t="s">
        <v>85</v>
      </c>
      <c r="F472" s="105">
        <f>'Trifásico 13,8kv '!CU16+'Trifásico 13,8kv '!CV16+'Trifásico 13,8kv '!CW16</f>
        <v>0</v>
      </c>
    </row>
    <row r="473" spans="1:6" ht="15.75" hidden="1" customHeight="1">
      <c r="A473" s="157"/>
      <c r="B473" s="90"/>
      <c r="E473" s="97" t="s">
        <v>84</v>
      </c>
      <c r="F473" s="105">
        <f>'Trifásico 13,8kv '!CU17+'Trifásico 13,8kv '!CV17+'Trifásico 13,8kv '!CW17</f>
        <v>0</v>
      </c>
    </row>
    <row r="474" spans="1:6" ht="15.75" hidden="1" customHeight="1">
      <c r="B474" s="90"/>
      <c r="E474" s="107" t="s">
        <v>86</v>
      </c>
      <c r="F474" s="105">
        <f>'Trifásico 13,8kv '!CU18+'Trifásico 13,8kv '!CV18+'Trifásico 13,8kv '!CW18</f>
        <v>0</v>
      </c>
    </row>
    <row r="475" spans="1:6" ht="15.75" hidden="1" customHeight="1">
      <c r="B475" s="90"/>
      <c r="E475" s="97" t="s">
        <v>87</v>
      </c>
      <c r="F475" s="105">
        <f>'Trifásico 13,8kv '!CU19+'Trifásico 13,8kv '!CV19+'Trifásico 13,8kv '!CW19</f>
        <v>0</v>
      </c>
    </row>
    <row r="476" spans="1:6" ht="15.75" hidden="1" customHeight="1">
      <c r="B476" s="90"/>
      <c r="E476" s="107" t="s">
        <v>101</v>
      </c>
      <c r="F476" s="105">
        <f>'Trifásico 13,8kv '!CU20+'Trifásico 13,8kv '!CV20+'Trifásico 13,8kv '!CW20</f>
        <v>0</v>
      </c>
    </row>
    <row r="477" spans="1:6" ht="15.75" hidden="1" customHeight="1">
      <c r="B477" s="90"/>
      <c r="E477" s="97" t="s">
        <v>88</v>
      </c>
      <c r="F477" s="105">
        <f>'Trifásico 13,8kv '!CU21+'Trifásico 13,8kv '!CV21+'Trifásico 13,8kv '!CW21</f>
        <v>0</v>
      </c>
    </row>
    <row r="478" spans="1:6" ht="15.75" hidden="1" customHeight="1">
      <c r="A478" s="157"/>
      <c r="B478" s="90"/>
      <c r="E478" s="107" t="s">
        <v>89</v>
      </c>
      <c r="F478" s="105">
        <f>'Trifásico 13,8kv '!CU22+'Trifásico 13,8kv '!CV22+'Trifásico 13,8kv '!CW22</f>
        <v>0</v>
      </c>
    </row>
    <row r="479" spans="1:6" ht="15.75" hidden="1" customHeight="1">
      <c r="B479" s="90"/>
      <c r="E479" s="97" t="s">
        <v>90</v>
      </c>
      <c r="F479" s="105">
        <f>'Trifásico 13,8kv '!CU23+'Trifásico 13,8kv '!CV23+'Trifásico 13,8kv '!CW23</f>
        <v>0</v>
      </c>
    </row>
    <row r="480" spans="1:6" ht="15.75" hidden="1" customHeight="1">
      <c r="E480" s="107" t="s">
        <v>93</v>
      </c>
      <c r="F480" s="105">
        <f>'Trifásico 13,8kv '!CU24+'Trifásico 13,8kv '!CV24+'Trifásico 13,8kv '!CW24</f>
        <v>0</v>
      </c>
    </row>
    <row r="481" spans="1:6" ht="15.75" hidden="1" customHeight="1">
      <c r="E481" s="97" t="s">
        <v>91</v>
      </c>
      <c r="F481" s="105">
        <f>'Trifásico 13,8kv '!CU25+'Trifásico 13,8kv '!CV25+'Trifásico 13,8kv '!CW25</f>
        <v>0</v>
      </c>
    </row>
    <row r="482" spans="1:6" ht="15.75" hidden="1" customHeight="1">
      <c r="E482" s="107" t="s">
        <v>92</v>
      </c>
      <c r="F482" s="105">
        <f>'Trifásico 13,8kv '!CU26+'Trifásico 13,8kv '!CV26+'Trifásico 13,8kv '!CW26</f>
        <v>0</v>
      </c>
    </row>
    <row r="483" spans="1:6" ht="15.75" hidden="1" customHeight="1" thickBot="1">
      <c r="A483" s="157"/>
      <c r="F483" s="278">
        <f>SUM(F461:F482)</f>
        <v>0</v>
      </c>
    </row>
    <row r="484" spans="1:6" ht="15.75" hidden="1" customHeight="1" thickBot="1">
      <c r="A484" s="157"/>
      <c r="E484" s="257" t="s">
        <v>1472</v>
      </c>
      <c r="F484" s="260">
        <f>SUM(F485:F506)</f>
        <v>0</v>
      </c>
    </row>
    <row r="485" spans="1:6" ht="15.75" hidden="1" customHeight="1">
      <c r="A485" s="157"/>
      <c r="E485" s="97" t="s">
        <v>74</v>
      </c>
      <c r="F485" s="105">
        <f>'Trifásico 13,8kv '!CZ5+'Trifásico 13,8kv '!DA5+'Trifásico 13,8kv '!DB5</f>
        <v>0</v>
      </c>
    </row>
    <row r="486" spans="1:6" ht="15.75" hidden="1" customHeight="1">
      <c r="A486" s="157"/>
      <c r="E486" s="107" t="s">
        <v>75</v>
      </c>
      <c r="F486" s="105">
        <f>'Trifásico 13,8kv '!CZ6+'Trifásico 13,8kv '!DA6+'Trifásico 13,8kv '!DB6</f>
        <v>0</v>
      </c>
    </row>
    <row r="487" spans="1:6" ht="15.75" hidden="1" customHeight="1">
      <c r="A487" s="157"/>
      <c r="E487" s="97" t="s">
        <v>76</v>
      </c>
      <c r="F487" s="105">
        <f>'Trifásico 13,8kv '!CZ7+'Trifásico 13,8kv '!DA7+'Trifásico 13,8kv '!DB7</f>
        <v>0</v>
      </c>
    </row>
    <row r="488" spans="1:6" ht="15.75" hidden="1" customHeight="1">
      <c r="A488" s="157"/>
      <c r="E488" s="107" t="s">
        <v>77</v>
      </c>
      <c r="F488" s="105">
        <f>'Trifásico 13,8kv '!CZ8+'Trifásico 13,8kv '!DA8+'Trifásico 13,8kv '!DB8</f>
        <v>0</v>
      </c>
    </row>
    <row r="489" spans="1:6" ht="15.75" hidden="1" customHeight="1">
      <c r="A489" s="157"/>
      <c r="E489" s="97" t="s">
        <v>100</v>
      </c>
      <c r="F489" s="105">
        <f>'Trifásico 13,8kv '!CZ9+'Trifásico 13,8kv '!DA9+'Trifásico 13,8kv '!DB9</f>
        <v>0</v>
      </c>
    </row>
    <row r="490" spans="1:6" ht="15.75" hidden="1" customHeight="1">
      <c r="A490" s="157"/>
      <c r="E490" s="107" t="s">
        <v>78</v>
      </c>
      <c r="F490" s="105">
        <f>'Trifásico 13,8kv '!CZ10+'Trifásico 13,8kv '!DA10+'Trifásico 13,8kv '!DB10</f>
        <v>0</v>
      </c>
    </row>
    <row r="491" spans="1:6" ht="15.75" hidden="1" customHeight="1">
      <c r="A491" s="157"/>
      <c r="E491" s="97" t="s">
        <v>79</v>
      </c>
      <c r="F491" s="105">
        <f>'Trifásico 13,8kv '!CZ11+'Trifásico 13,8kv '!DA11+'Trifásico 13,8kv '!DB11</f>
        <v>0</v>
      </c>
    </row>
    <row r="492" spans="1:6" ht="15.75" hidden="1" customHeight="1">
      <c r="A492" s="157"/>
      <c r="E492" s="107" t="s">
        <v>80</v>
      </c>
      <c r="F492" s="105">
        <f>'Trifásico 13,8kv '!CZ12+'Trifásico 13,8kv '!DA12+'Trifásico 13,8kv '!DB12</f>
        <v>0</v>
      </c>
    </row>
    <row r="493" spans="1:6" ht="15.75" hidden="1" customHeight="1">
      <c r="A493" s="157"/>
      <c r="E493" s="97" t="s">
        <v>81</v>
      </c>
      <c r="F493" s="105">
        <f>'Trifásico 13,8kv '!CZ13+'Trifásico 13,8kv '!DA13+'Trifásico 13,8kv '!DB13</f>
        <v>0</v>
      </c>
    </row>
    <row r="494" spans="1:6" ht="15.75" hidden="1" customHeight="1">
      <c r="A494" s="157"/>
      <c r="E494" s="107" t="s">
        <v>82</v>
      </c>
      <c r="F494" s="105">
        <f>'Trifásico 13,8kv '!CZ14+'Trifásico 13,8kv '!DA14+'Trifásico 13,8kv '!DB14</f>
        <v>0</v>
      </c>
    </row>
    <row r="495" spans="1:6" ht="15.75" hidden="1" customHeight="1">
      <c r="A495" s="157"/>
      <c r="E495" s="97" t="s">
        <v>83</v>
      </c>
      <c r="F495" s="105">
        <f>'Trifásico 13,8kv '!CZ15+'Trifásico 13,8kv '!DA15+'Trifásico 13,8kv '!DB15</f>
        <v>0</v>
      </c>
    </row>
    <row r="496" spans="1:6" ht="15.75" hidden="1" customHeight="1">
      <c r="A496" s="157"/>
      <c r="E496" s="107" t="s">
        <v>85</v>
      </c>
      <c r="F496" s="105">
        <f>'Trifásico 13,8kv '!CZ16+'Trifásico 13,8kv '!DA16+'Trifásico 13,8kv '!DB16</f>
        <v>0</v>
      </c>
    </row>
    <row r="497" spans="1:6" ht="15.75" hidden="1" customHeight="1">
      <c r="A497" s="157"/>
      <c r="E497" s="97" t="s">
        <v>84</v>
      </c>
      <c r="F497" s="105">
        <f>'Trifásico 13,8kv '!CZ17+'Trifásico 13,8kv '!DA17+'Trifásico 13,8kv '!DB17</f>
        <v>0</v>
      </c>
    </row>
    <row r="498" spans="1:6" ht="15.75" hidden="1" customHeight="1">
      <c r="A498" s="157"/>
      <c r="E498" s="107" t="s">
        <v>86</v>
      </c>
      <c r="F498" s="105">
        <f>'Trifásico 13,8kv '!CZ18+'Trifásico 13,8kv '!DA18+'Trifásico 13,8kv '!DB18</f>
        <v>0</v>
      </c>
    </row>
    <row r="499" spans="1:6" ht="15.75" hidden="1" customHeight="1">
      <c r="A499" s="157"/>
      <c r="E499" s="97" t="s">
        <v>87</v>
      </c>
      <c r="F499" s="105">
        <f>'Trifásico 13,8kv '!CZ19+'Trifásico 13,8kv '!DA19+'Trifásico 13,8kv '!DB19</f>
        <v>0</v>
      </c>
    </row>
    <row r="500" spans="1:6" ht="15.75" hidden="1" customHeight="1">
      <c r="A500" s="157"/>
      <c r="E500" s="107" t="s">
        <v>101</v>
      </c>
      <c r="F500" s="105">
        <f>'Trifásico 13,8kv '!CZ20+'Trifásico 13,8kv '!DA20+'Trifásico 13,8kv '!DB20</f>
        <v>0</v>
      </c>
    </row>
    <row r="501" spans="1:6" ht="15.75" hidden="1" customHeight="1">
      <c r="A501" s="157"/>
      <c r="E501" s="97" t="s">
        <v>88</v>
      </c>
      <c r="F501" s="105">
        <f>'Trifásico 13,8kv '!CZ21+'Trifásico 13,8kv '!DA21+'Trifásico 13,8kv '!DB21</f>
        <v>0</v>
      </c>
    </row>
    <row r="502" spans="1:6" ht="15.75" hidden="1" customHeight="1">
      <c r="A502" s="157"/>
      <c r="E502" s="107" t="s">
        <v>89</v>
      </c>
      <c r="F502" s="105">
        <f>'Trifásico 13,8kv '!CZ22+'Trifásico 13,8kv '!DA22+'Trifásico 13,8kv '!DB22</f>
        <v>0</v>
      </c>
    </row>
    <row r="503" spans="1:6" ht="15.75" hidden="1" customHeight="1">
      <c r="A503" s="157"/>
      <c r="E503" s="97" t="s">
        <v>90</v>
      </c>
      <c r="F503" s="105">
        <f>'Trifásico 13,8kv '!CZ23+'Trifásico 13,8kv '!DA23+'Trifásico 13,8kv '!DB23</f>
        <v>0</v>
      </c>
    </row>
    <row r="504" spans="1:6" ht="15.75" hidden="1" customHeight="1">
      <c r="A504" s="157"/>
      <c r="E504" s="107" t="s">
        <v>93</v>
      </c>
      <c r="F504" s="105">
        <f>'Trifásico 13,8kv '!CZ24+'Trifásico 13,8kv '!DA24+'Trifásico 13,8kv '!DB24</f>
        <v>0</v>
      </c>
    </row>
    <row r="505" spans="1:6" ht="15.75" hidden="1" customHeight="1">
      <c r="A505" s="157"/>
      <c r="E505" s="97" t="s">
        <v>91</v>
      </c>
      <c r="F505" s="105">
        <f>'Trifásico 13,8kv '!CZ25+'Trifásico 13,8kv '!DA25+'Trifásico 13,8kv '!DB25</f>
        <v>0</v>
      </c>
    </row>
    <row r="506" spans="1:6" ht="15.75" hidden="1" customHeight="1">
      <c r="A506" s="157"/>
      <c r="E506" s="107" t="s">
        <v>92</v>
      </c>
      <c r="F506" s="105">
        <f>'Trifásico 13,8kv '!CZ26+'Trifásico 13,8kv '!DA26+'Trifásico 13,8kv '!DB26</f>
        <v>0</v>
      </c>
    </row>
    <row r="507" spans="1:6" ht="15.75" hidden="1" customHeight="1" thickBot="1">
      <c r="A507" s="157"/>
      <c r="F507" s="278">
        <f>SUM(F485:F506)</f>
        <v>0</v>
      </c>
    </row>
    <row r="508" spans="1:6" ht="15.75" hidden="1" customHeight="1" thickBot="1">
      <c r="E508" s="257" t="s">
        <v>229</v>
      </c>
      <c r="F508" s="260">
        <f>SUM(F509:F530)</f>
        <v>0</v>
      </c>
    </row>
    <row r="509" spans="1:6" ht="15.75" hidden="1" customHeight="1">
      <c r="E509" s="97" t="s">
        <v>74</v>
      </c>
      <c r="F509" s="105">
        <f>'Trifásico 13,8kv '!DE5+'Trifásico 13,8kv '!DF5+'Trifásico 13,8kv '!DG5</f>
        <v>0</v>
      </c>
    </row>
    <row r="510" spans="1:6" ht="15.75" hidden="1" customHeight="1">
      <c r="E510" s="107" t="s">
        <v>75</v>
      </c>
      <c r="F510" s="105">
        <f>'Trifásico 13,8kv '!DE6+'Trifásico 13,8kv '!DF6+'Trifásico 13,8kv '!DG6</f>
        <v>0</v>
      </c>
    </row>
    <row r="511" spans="1:6" ht="15.75" hidden="1" customHeight="1">
      <c r="E511" s="97" t="s">
        <v>76</v>
      </c>
      <c r="F511" s="105">
        <f>'Trifásico 13,8kv '!DE7+'Trifásico 13,8kv '!DF7+'Trifásico 13,8kv '!DG7</f>
        <v>0</v>
      </c>
    </row>
    <row r="512" spans="1:6" ht="15.75" hidden="1" customHeight="1">
      <c r="E512" s="107" t="s">
        <v>77</v>
      </c>
      <c r="F512" s="105">
        <f>'Trifásico 13,8kv '!DE8+'Trifásico 13,8kv '!DF8+'Trifásico 13,8kv '!DG8</f>
        <v>0</v>
      </c>
    </row>
    <row r="513" spans="5:6" ht="15.75" hidden="1" customHeight="1">
      <c r="E513" s="97" t="s">
        <v>100</v>
      </c>
      <c r="F513" s="105">
        <f>'Trifásico 13,8kv '!DE9+'Trifásico 13,8kv '!DF9+'Trifásico 13,8kv '!DG9</f>
        <v>0</v>
      </c>
    </row>
    <row r="514" spans="5:6" ht="15.75" hidden="1" customHeight="1">
      <c r="E514" s="107" t="s">
        <v>78</v>
      </c>
      <c r="F514" s="105">
        <f>'Trifásico 13,8kv '!DE10+'Trifásico 13,8kv '!DF10+'Trifásico 13,8kv '!DG10</f>
        <v>0</v>
      </c>
    </row>
    <row r="515" spans="5:6" ht="15.75" hidden="1" customHeight="1">
      <c r="E515" s="97" t="s">
        <v>79</v>
      </c>
      <c r="F515" s="105">
        <f>'Trifásico 13,8kv '!DE11+'Trifásico 13,8kv '!DF11+'Trifásico 13,8kv '!DG11</f>
        <v>0</v>
      </c>
    </row>
    <row r="516" spans="5:6" ht="15.75" hidden="1" customHeight="1">
      <c r="E516" s="107" t="s">
        <v>80</v>
      </c>
      <c r="F516" s="105">
        <f>'Trifásico 13,8kv '!DE12+'Trifásico 13,8kv '!DF12+'Trifásico 13,8kv '!DG12</f>
        <v>0</v>
      </c>
    </row>
    <row r="517" spans="5:6" ht="15.75" hidden="1" customHeight="1">
      <c r="E517" s="97" t="s">
        <v>81</v>
      </c>
      <c r="F517" s="105">
        <f>'Trifásico 13,8kv '!DE13+'Trifásico 13,8kv '!DF13+'Trifásico 13,8kv '!DG13</f>
        <v>0</v>
      </c>
    </row>
    <row r="518" spans="5:6" ht="15.75" hidden="1" customHeight="1">
      <c r="E518" s="107" t="s">
        <v>82</v>
      </c>
      <c r="F518" s="105">
        <f>'Trifásico 13,8kv '!DE14+'Trifásico 13,8kv '!DF14+'Trifásico 13,8kv '!DG14</f>
        <v>0</v>
      </c>
    </row>
    <row r="519" spans="5:6" ht="15.75" hidden="1" customHeight="1">
      <c r="E519" s="97" t="s">
        <v>83</v>
      </c>
      <c r="F519" s="105">
        <f>'Trifásico 13,8kv '!DE15+'Trifásico 13,8kv '!DF15+'Trifásico 13,8kv '!DG15</f>
        <v>0</v>
      </c>
    </row>
    <row r="520" spans="5:6" ht="15.75" hidden="1" customHeight="1">
      <c r="E520" s="107" t="s">
        <v>85</v>
      </c>
      <c r="F520" s="105">
        <f>'Trifásico 13,8kv '!DE16+'Trifásico 13,8kv '!DF16+'Trifásico 13,8kv '!DG16</f>
        <v>0</v>
      </c>
    </row>
    <row r="521" spans="5:6" ht="15.75" hidden="1" customHeight="1">
      <c r="E521" s="97" t="s">
        <v>84</v>
      </c>
      <c r="F521" s="105">
        <f>'Trifásico 13,8kv '!DE17+'Trifásico 13,8kv '!DF17+'Trifásico 13,8kv '!DG17</f>
        <v>0</v>
      </c>
    </row>
    <row r="522" spans="5:6" ht="15.75" hidden="1" customHeight="1">
      <c r="E522" s="107" t="s">
        <v>86</v>
      </c>
      <c r="F522" s="105">
        <f>'Trifásico 13,8kv '!DE18+'Trifásico 13,8kv '!DF18+'Trifásico 13,8kv '!DG18</f>
        <v>0</v>
      </c>
    </row>
    <row r="523" spans="5:6" ht="15.75" hidden="1" customHeight="1">
      <c r="E523" s="97" t="s">
        <v>87</v>
      </c>
      <c r="F523" s="105">
        <f>'Trifásico 13,8kv '!DE19+'Trifásico 13,8kv '!DF19+'Trifásico 13,8kv '!DG19</f>
        <v>0</v>
      </c>
    </row>
    <row r="524" spans="5:6" ht="15.75" hidden="1" customHeight="1">
      <c r="E524" s="107" t="s">
        <v>101</v>
      </c>
      <c r="F524" s="105">
        <f>'Trifásico 13,8kv '!DE20+'Trifásico 13,8kv '!DF20+'Trifásico 13,8kv '!DG20</f>
        <v>0</v>
      </c>
    </row>
    <row r="525" spans="5:6" ht="15.75" hidden="1" customHeight="1">
      <c r="E525" s="97" t="s">
        <v>88</v>
      </c>
      <c r="F525" s="105">
        <f>'Trifásico 13,8kv '!DE21+'Trifásico 13,8kv '!DF21+'Trifásico 13,8kv '!DG21</f>
        <v>0</v>
      </c>
    </row>
    <row r="526" spans="5:6" ht="15.75" hidden="1" customHeight="1">
      <c r="E526" s="107" t="s">
        <v>89</v>
      </c>
      <c r="F526" s="105">
        <f>'Trifásico 13,8kv '!DE22+'Trifásico 13,8kv '!DF22+'Trifásico 13,8kv '!DG22</f>
        <v>0</v>
      </c>
    </row>
    <row r="527" spans="5:6" ht="15.75" hidden="1" customHeight="1">
      <c r="E527" s="97" t="s">
        <v>90</v>
      </c>
      <c r="F527" s="105">
        <f>'Trifásico 13,8kv '!DE23+'Trifásico 13,8kv '!DF23+'Trifásico 13,8kv '!DG23</f>
        <v>0</v>
      </c>
    </row>
    <row r="528" spans="5:6" ht="15.75" hidden="1" customHeight="1">
      <c r="E528" s="107" t="s">
        <v>93</v>
      </c>
      <c r="F528" s="105">
        <f>'Trifásico 13,8kv '!DE24+'Trifásico 13,8kv '!DF24+'Trifásico 13,8kv '!DG24</f>
        <v>0</v>
      </c>
    </row>
    <row r="529" spans="1:6" ht="15.75" hidden="1" customHeight="1">
      <c r="E529" s="97" t="s">
        <v>91</v>
      </c>
      <c r="F529" s="105">
        <f>'Trifásico 13,8kv '!DE25+'Trifásico 13,8kv '!DF25+'Trifásico 13,8kv '!DG25</f>
        <v>0</v>
      </c>
    </row>
    <row r="530" spans="1:6" ht="15.75" hidden="1" customHeight="1">
      <c r="E530" s="107" t="s">
        <v>92</v>
      </c>
      <c r="F530" s="105">
        <f>'Trifásico 13,8kv '!DE26+'Trifásico 13,8kv '!DF26+'Trifásico 13,8kv '!DG26</f>
        <v>0</v>
      </c>
    </row>
    <row r="531" spans="1:6" ht="15.75" hidden="1" customHeight="1" thickBot="1">
      <c r="E531" s="130"/>
      <c r="F531" s="38">
        <f>SUM(F509:F530)</f>
        <v>0</v>
      </c>
    </row>
    <row r="532" spans="1:6" ht="15.75" hidden="1" customHeight="1" thickBot="1">
      <c r="A532" s="1996" t="s">
        <v>487</v>
      </c>
      <c r="B532" s="1997"/>
      <c r="C532" s="1997"/>
      <c r="D532" s="1997"/>
      <c r="E532" s="1998"/>
      <c r="F532" s="279">
        <f>SUM(F533:F554)</f>
        <v>0</v>
      </c>
    </row>
    <row r="533" spans="1:6" ht="15.75" hidden="1" customHeight="1">
      <c r="E533" s="225" t="s">
        <v>74</v>
      </c>
      <c r="F533" s="105">
        <f>'Trifásico 13,8kv '!DJ5+'Trifásico 13,8kv '!DK5+'Trifásico 13,8kv '!DL5</f>
        <v>0</v>
      </c>
    </row>
    <row r="534" spans="1:6" ht="15.75" hidden="1" customHeight="1">
      <c r="E534" s="107" t="s">
        <v>75</v>
      </c>
      <c r="F534" s="105">
        <f>'Trifásico 13,8kv '!DJ6+'Trifásico 13,8kv '!DK6+'Trifásico 13,8kv '!DL6</f>
        <v>0</v>
      </c>
    </row>
    <row r="535" spans="1:6" ht="15.75" hidden="1" customHeight="1">
      <c r="E535" s="97" t="s">
        <v>76</v>
      </c>
      <c r="F535" s="105">
        <f>'Trifásico 13,8kv '!DJ7+'Trifásico 13,8kv '!DK7+'Trifásico 13,8kv '!DL7</f>
        <v>0</v>
      </c>
    </row>
    <row r="536" spans="1:6" ht="15.75" hidden="1" customHeight="1">
      <c r="E536" s="107" t="s">
        <v>77</v>
      </c>
      <c r="F536" s="105">
        <f>'Trifásico 13,8kv '!DJ8+'Trifásico 13,8kv '!DK8+'Trifásico 13,8kv '!DL8</f>
        <v>0</v>
      </c>
    </row>
    <row r="537" spans="1:6" ht="15.75" hidden="1" customHeight="1">
      <c r="E537" s="97" t="s">
        <v>100</v>
      </c>
      <c r="F537" s="105">
        <f>'Trifásico 13,8kv '!DJ9+'Trifásico 13,8kv '!DK9+'Trifásico 13,8kv '!DL9</f>
        <v>0</v>
      </c>
    </row>
    <row r="538" spans="1:6" ht="15.75" hidden="1" customHeight="1">
      <c r="E538" s="107" t="s">
        <v>78</v>
      </c>
      <c r="F538" s="105">
        <f>'Trifásico 13,8kv '!DJ10+'Trifásico 13,8kv '!DK10+'Trifásico 13,8kv '!DL10</f>
        <v>0</v>
      </c>
    </row>
    <row r="539" spans="1:6" ht="15.75" hidden="1" customHeight="1">
      <c r="E539" s="97" t="s">
        <v>79</v>
      </c>
      <c r="F539" s="105">
        <f>'Trifásico 13,8kv '!DJ11+'Trifásico 13,8kv '!DK11+'Trifásico 13,8kv '!DL11</f>
        <v>0</v>
      </c>
    </row>
    <row r="540" spans="1:6" ht="15.75" hidden="1" customHeight="1">
      <c r="E540" s="107" t="s">
        <v>80</v>
      </c>
      <c r="F540" s="105">
        <f>'Trifásico 13,8kv '!DJ12+'Trifásico 13,8kv '!DK12+'Trifásico 13,8kv '!DL12</f>
        <v>0</v>
      </c>
    </row>
    <row r="541" spans="1:6" ht="15.75" hidden="1" customHeight="1">
      <c r="E541" s="97" t="s">
        <v>81</v>
      </c>
      <c r="F541" s="105">
        <f>'Trifásico 13,8kv '!DJ13+'Trifásico 13,8kv '!DK13+'Trifásico 13,8kv '!DL13</f>
        <v>0</v>
      </c>
    </row>
    <row r="542" spans="1:6" ht="15.75" hidden="1" customHeight="1">
      <c r="E542" s="107" t="s">
        <v>82</v>
      </c>
      <c r="F542" s="105">
        <f>'Trifásico 13,8kv '!DJ14+'Trifásico 13,8kv '!DK14+'Trifásico 13,8kv '!DL14</f>
        <v>0</v>
      </c>
    </row>
    <row r="543" spans="1:6" ht="15.75" hidden="1" customHeight="1">
      <c r="E543" s="97" t="s">
        <v>83</v>
      </c>
      <c r="F543" s="105">
        <f>'Trifásico 13,8kv '!DJ15+'Trifásico 13,8kv '!DK15+'Trifásico 13,8kv '!DL15</f>
        <v>0</v>
      </c>
    </row>
    <row r="544" spans="1:6" ht="15.75" hidden="1" customHeight="1">
      <c r="E544" s="107" t="s">
        <v>85</v>
      </c>
      <c r="F544" s="105">
        <f>'Trifásico 13,8kv '!DJ16+'Trifásico 13,8kv '!DK16+'Trifásico 13,8kv '!DL16</f>
        <v>0</v>
      </c>
    </row>
    <row r="545" spans="1:6" ht="15.75" hidden="1" customHeight="1">
      <c r="E545" s="97" t="s">
        <v>84</v>
      </c>
      <c r="F545" s="105">
        <f>'Trifásico 13,8kv '!DJ17+'Trifásico 13,8kv '!DK17+'Trifásico 13,8kv '!DL17</f>
        <v>0</v>
      </c>
    </row>
    <row r="546" spans="1:6" ht="15.75" hidden="1" customHeight="1">
      <c r="E546" s="107" t="s">
        <v>86</v>
      </c>
      <c r="F546" s="105">
        <f>'Trifásico 13,8kv '!DJ18+'Trifásico 13,8kv '!DK18+'Trifásico 13,8kv '!DL18</f>
        <v>0</v>
      </c>
    </row>
    <row r="547" spans="1:6" ht="15.75" hidden="1" customHeight="1">
      <c r="E547" s="97" t="s">
        <v>87</v>
      </c>
      <c r="F547" s="105">
        <f>'Trifásico 13,8kv '!DJ19+'Trifásico 13,8kv '!DK19+'Trifásico 13,8kv '!DL19</f>
        <v>0</v>
      </c>
    </row>
    <row r="548" spans="1:6" ht="15.75" hidden="1" customHeight="1">
      <c r="E548" s="107" t="s">
        <v>101</v>
      </c>
      <c r="F548" s="105">
        <f>'Trifásico 13,8kv '!DJ20+'Trifásico 13,8kv '!DK20+'Trifásico 13,8kv '!DL20</f>
        <v>0</v>
      </c>
    </row>
    <row r="549" spans="1:6" ht="15.75" hidden="1" customHeight="1">
      <c r="E549" s="97" t="s">
        <v>88</v>
      </c>
      <c r="F549" s="105">
        <f>'Trifásico 13,8kv '!DJ21+'Trifásico 13,8kv '!DK21+'Trifásico 13,8kv '!DL21</f>
        <v>0</v>
      </c>
    </row>
    <row r="550" spans="1:6" ht="15.75" hidden="1" customHeight="1">
      <c r="E550" s="107" t="s">
        <v>89</v>
      </c>
      <c r="F550" s="105">
        <f>'Trifásico 13,8kv '!DJ22+'Trifásico 13,8kv '!DK22+'Trifásico 13,8kv '!DL22</f>
        <v>0</v>
      </c>
    </row>
    <row r="551" spans="1:6" ht="15.75" hidden="1" customHeight="1">
      <c r="E551" s="97" t="s">
        <v>90</v>
      </c>
      <c r="F551" s="105">
        <f>'Trifásico 13,8kv '!DJ23+'Trifásico 13,8kv '!DK23+'Trifásico 13,8kv '!DL23</f>
        <v>0</v>
      </c>
    </row>
    <row r="552" spans="1:6" ht="15.75" hidden="1" customHeight="1">
      <c r="E552" s="107" t="s">
        <v>93</v>
      </c>
      <c r="F552" s="105">
        <f>'Trifásico 13,8kv '!DJ24+'Trifásico 13,8kv '!DK24+'Trifásico 13,8kv '!DL24</f>
        <v>0</v>
      </c>
    </row>
    <row r="553" spans="1:6" ht="15.75" hidden="1" customHeight="1">
      <c r="E553" s="97" t="s">
        <v>91</v>
      </c>
      <c r="F553" s="105">
        <f>'Trifásico 13,8kv '!DJ25+'Trifásico 13,8kv '!DK25+'Trifásico 13,8kv '!DL25</f>
        <v>0</v>
      </c>
    </row>
    <row r="554" spans="1:6" ht="15.75" hidden="1" customHeight="1">
      <c r="E554" s="107" t="s">
        <v>92</v>
      </c>
      <c r="F554" s="105">
        <f>'Trifásico 13,8kv '!DJ26+'Trifásico 13,8kv '!DK26+'Trifásico 13,8kv '!DL26</f>
        <v>0</v>
      </c>
    </row>
    <row r="555" spans="1:6" ht="15.75" hidden="1" customHeight="1" thickBot="1">
      <c r="F555" s="280">
        <f>SUM(F533:F554)</f>
        <v>0</v>
      </c>
    </row>
    <row r="556" spans="1:6" ht="15.75" hidden="1" customHeight="1" thickBot="1">
      <c r="A556" s="1996" t="s">
        <v>482</v>
      </c>
      <c r="B556" s="1997"/>
      <c r="C556" s="1997"/>
      <c r="D556" s="1997"/>
      <c r="E556" s="1998"/>
      <c r="F556" s="279">
        <f>SUM(F557:F578)</f>
        <v>0</v>
      </c>
    </row>
    <row r="557" spans="1:6" ht="15.75" hidden="1" customHeight="1">
      <c r="E557" s="225" t="s">
        <v>74</v>
      </c>
      <c r="F557" s="105">
        <f>'Trifásico 13,8kv '!DO5+'Trifásico 13,8kv '!DP5+'Trifásico 13,8kv '!DQ5</f>
        <v>0</v>
      </c>
    </row>
    <row r="558" spans="1:6" ht="15.75" hidden="1" customHeight="1">
      <c r="E558" s="107" t="s">
        <v>75</v>
      </c>
      <c r="F558" s="105">
        <f>'Trifásico 13,8kv '!DO6+'Trifásico 13,8kv '!DP6+'Trifásico 13,8kv '!DQ6</f>
        <v>0</v>
      </c>
    </row>
    <row r="559" spans="1:6" ht="15.75" hidden="1" customHeight="1">
      <c r="E559" s="97" t="s">
        <v>76</v>
      </c>
      <c r="F559" s="105">
        <f>'Trifásico 13,8kv '!DO7+'Trifásico 13,8kv '!DP7+'Trifásico 13,8kv '!DQ7</f>
        <v>0</v>
      </c>
    </row>
    <row r="560" spans="1:6" ht="15.75" hidden="1" customHeight="1">
      <c r="E560" s="107" t="s">
        <v>77</v>
      </c>
      <c r="F560" s="105">
        <f>'Trifásico 13,8kv '!DO8+'Trifásico 13,8kv '!DP8+'Trifásico 13,8kv '!DQ8</f>
        <v>0</v>
      </c>
    </row>
    <row r="561" spans="5:6" ht="15.75" hidden="1" customHeight="1">
      <c r="E561" s="97" t="s">
        <v>100</v>
      </c>
      <c r="F561" s="105">
        <f>'Trifásico 13,8kv '!DO9+'Trifásico 13,8kv '!DP9+'Trifásico 13,8kv '!DQ9</f>
        <v>0</v>
      </c>
    </row>
    <row r="562" spans="5:6" ht="15.75" hidden="1" customHeight="1">
      <c r="E562" s="107" t="s">
        <v>78</v>
      </c>
      <c r="F562" s="105">
        <f>'Trifásico 13,8kv '!DO10+'Trifásico 13,8kv '!DP10+'Trifásico 13,8kv '!DQ10</f>
        <v>0</v>
      </c>
    </row>
    <row r="563" spans="5:6" ht="15.75" hidden="1" customHeight="1">
      <c r="E563" s="97" t="s">
        <v>79</v>
      </c>
      <c r="F563" s="105">
        <f>'Trifásico 13,8kv '!DO11+'Trifásico 13,8kv '!DP11+'Trifásico 13,8kv '!DQ11</f>
        <v>0</v>
      </c>
    </row>
    <row r="564" spans="5:6" ht="15.75" hidden="1" customHeight="1">
      <c r="E564" s="107" t="s">
        <v>80</v>
      </c>
      <c r="F564" s="105">
        <f>'Trifásico 13,8kv '!DO12+'Trifásico 13,8kv '!DP12+'Trifásico 13,8kv '!DQ12</f>
        <v>0</v>
      </c>
    </row>
    <row r="565" spans="5:6" ht="15.75" hidden="1" customHeight="1">
      <c r="E565" s="97" t="s">
        <v>81</v>
      </c>
      <c r="F565" s="105">
        <f>'Trifásico 13,8kv '!DO13+'Trifásico 13,8kv '!DP13+'Trifásico 13,8kv '!DQ13</f>
        <v>0</v>
      </c>
    </row>
    <row r="566" spans="5:6" ht="15.75" hidden="1" customHeight="1">
      <c r="E566" s="107" t="s">
        <v>82</v>
      </c>
      <c r="F566" s="105">
        <f>'Trifásico 13,8kv '!DO14+'Trifásico 13,8kv '!DP14+'Trifásico 13,8kv '!DQ14</f>
        <v>0</v>
      </c>
    </row>
    <row r="567" spans="5:6" ht="15.75" hidden="1" customHeight="1">
      <c r="E567" s="97" t="s">
        <v>83</v>
      </c>
      <c r="F567" s="105">
        <f>'Trifásico 13,8kv '!DO15+'Trifásico 13,8kv '!DP15+'Trifásico 13,8kv '!DQ15</f>
        <v>0</v>
      </c>
    </row>
    <row r="568" spans="5:6" ht="15.75" hidden="1" customHeight="1">
      <c r="E568" s="107" t="s">
        <v>85</v>
      </c>
      <c r="F568" s="105">
        <f>'Trifásico 13,8kv '!DO16+'Trifásico 13,8kv '!DP16+'Trifásico 13,8kv '!DQ16</f>
        <v>0</v>
      </c>
    </row>
    <row r="569" spans="5:6" ht="15.75" hidden="1" customHeight="1">
      <c r="E569" s="97" t="s">
        <v>84</v>
      </c>
      <c r="F569" s="105">
        <f>'Trifásico 13,8kv '!DO17+'Trifásico 13,8kv '!DP17+'Trifásico 13,8kv '!DQ17</f>
        <v>0</v>
      </c>
    </row>
    <row r="570" spans="5:6" ht="15.75" hidden="1" customHeight="1">
      <c r="E570" s="107" t="s">
        <v>86</v>
      </c>
      <c r="F570" s="105">
        <f>'Trifásico 13,8kv '!DO18+'Trifásico 13,8kv '!DP18+'Trifásico 13,8kv '!DQ18</f>
        <v>0</v>
      </c>
    </row>
    <row r="571" spans="5:6" ht="15.75" hidden="1" customHeight="1">
      <c r="E571" s="97" t="s">
        <v>87</v>
      </c>
      <c r="F571" s="105">
        <f>'Trifásico 13,8kv '!DO19+'Trifásico 13,8kv '!DP19+'Trifásico 13,8kv '!DQ19</f>
        <v>0</v>
      </c>
    </row>
    <row r="572" spans="5:6" ht="15.75" hidden="1" customHeight="1">
      <c r="E572" s="107" t="s">
        <v>101</v>
      </c>
      <c r="F572" s="105">
        <f>'Trifásico 13,8kv '!DO20+'Trifásico 13,8kv '!DP20+'Trifásico 13,8kv '!DQ20</f>
        <v>0</v>
      </c>
    </row>
    <row r="573" spans="5:6" ht="15.75" hidden="1" customHeight="1">
      <c r="E573" s="97" t="s">
        <v>88</v>
      </c>
      <c r="F573" s="105">
        <f>'Trifásico 13,8kv '!DO21+'Trifásico 13,8kv '!DP21+'Trifásico 13,8kv '!DQ21</f>
        <v>0</v>
      </c>
    </row>
    <row r="574" spans="5:6" ht="15.75" hidden="1" customHeight="1">
      <c r="E574" s="107" t="s">
        <v>89</v>
      </c>
      <c r="F574" s="105">
        <f>'Trifásico 13,8kv '!DO22+'Trifásico 13,8kv '!DP22+'Trifásico 13,8kv '!DQ22</f>
        <v>0</v>
      </c>
    </row>
    <row r="575" spans="5:6" ht="15.75" hidden="1" customHeight="1">
      <c r="E575" s="97" t="s">
        <v>90</v>
      </c>
      <c r="F575" s="105">
        <f>'Trifásico 13,8kv '!DO23+'Trifásico 13,8kv '!DP23+'Trifásico 13,8kv '!DQ23</f>
        <v>0</v>
      </c>
    </row>
    <row r="576" spans="5:6" ht="15.75" hidden="1" customHeight="1">
      <c r="E576" s="107" t="s">
        <v>93</v>
      </c>
      <c r="F576" s="105">
        <f>'Trifásico 13,8kv '!DO24+'Trifásico 13,8kv '!DP24+'Trifásico 13,8kv '!DQ24</f>
        <v>0</v>
      </c>
    </row>
    <row r="577" spans="1:7" ht="15.75" hidden="1" customHeight="1">
      <c r="E577" s="97" t="s">
        <v>91</v>
      </c>
      <c r="F577" s="105">
        <f>'Trifásico 13,8kv '!DO25+'Trifásico 13,8kv '!DP25+'Trifásico 13,8kv '!DQ25</f>
        <v>0</v>
      </c>
    </row>
    <row r="578" spans="1:7" ht="15.75" hidden="1" customHeight="1">
      <c r="E578" s="107" t="s">
        <v>92</v>
      </c>
      <c r="F578" s="105">
        <f>'Trifásico 13,8kv '!DO26+'Trifásico 13,8kv '!DP26+'Trifásico 13,8kv '!DQ26</f>
        <v>0</v>
      </c>
    </row>
    <row r="579" spans="1:7" ht="15.75" hidden="1" customHeight="1" thickBot="1">
      <c r="F579" s="280">
        <f>SUM(F557:F578)</f>
        <v>0</v>
      </c>
    </row>
    <row r="580" spans="1:7" ht="15.75" hidden="1" customHeight="1" thickBot="1">
      <c r="A580" s="1672" t="s">
        <v>483</v>
      </c>
      <c r="B580" s="1673"/>
      <c r="C580" s="1673"/>
      <c r="D580" s="1673"/>
      <c r="E580" s="1674"/>
      <c r="F580" s="260">
        <f>SUM(F581:F602)</f>
        <v>0</v>
      </c>
      <c r="G580" s="256"/>
    </row>
    <row r="581" spans="1:7" ht="15.75" hidden="1" customHeight="1">
      <c r="E581" s="97" t="s">
        <v>74</v>
      </c>
      <c r="F581" s="105">
        <f>'Trifásico 13,8kv '!DT5+'Trifásico 13,8kv '!DU5+'Trifásico 13,8kv '!DV5</f>
        <v>0</v>
      </c>
    </row>
    <row r="582" spans="1:7" ht="15.75" hidden="1" customHeight="1">
      <c r="E582" s="107" t="s">
        <v>75</v>
      </c>
      <c r="F582" s="105">
        <f>'Trifásico 13,8kv '!DT6+'Trifásico 13,8kv '!DU6+'Trifásico 13,8kv '!DV6</f>
        <v>0</v>
      </c>
    </row>
    <row r="583" spans="1:7" ht="15.75" hidden="1" customHeight="1">
      <c r="E583" s="97" t="s">
        <v>76</v>
      </c>
      <c r="F583" s="105">
        <f>'Trifásico 13,8kv '!DT7+'Trifásico 13,8kv '!DU7+'Trifásico 13,8kv '!DV7</f>
        <v>0</v>
      </c>
    </row>
    <row r="584" spans="1:7" ht="15.75" hidden="1" customHeight="1">
      <c r="E584" s="107" t="s">
        <v>77</v>
      </c>
      <c r="F584" s="105">
        <f>'Trifásico 13,8kv '!DT8+'Trifásico 13,8kv '!DU8+'Trifásico 13,8kv '!DV8</f>
        <v>0</v>
      </c>
    </row>
    <row r="585" spans="1:7" ht="15.75" hidden="1" customHeight="1">
      <c r="E585" s="97" t="s">
        <v>100</v>
      </c>
      <c r="F585" s="105">
        <f>'Trifásico 13,8kv '!DT9+'Trifásico 13,8kv '!DU9+'Trifásico 13,8kv '!DV9</f>
        <v>0</v>
      </c>
    </row>
    <row r="586" spans="1:7" ht="15.75" hidden="1" customHeight="1">
      <c r="E586" s="107" t="s">
        <v>78</v>
      </c>
      <c r="F586" s="105">
        <f>'Trifásico 13,8kv '!DT10+'Trifásico 13,8kv '!DU10+'Trifásico 13,8kv '!DV10</f>
        <v>0</v>
      </c>
    </row>
    <row r="587" spans="1:7" ht="15.75" hidden="1" customHeight="1">
      <c r="E587" s="97" t="s">
        <v>79</v>
      </c>
      <c r="F587" s="105">
        <f>'Trifásico 13,8kv '!DT11+'Trifásico 13,8kv '!DU11+'Trifásico 13,8kv '!DV11</f>
        <v>0</v>
      </c>
    </row>
    <row r="588" spans="1:7" ht="15.75" hidden="1" customHeight="1">
      <c r="E588" s="107" t="s">
        <v>80</v>
      </c>
      <c r="F588" s="105">
        <f>'Trifásico 13,8kv '!DT12+'Trifásico 13,8kv '!DU12+'Trifásico 13,8kv '!DV12</f>
        <v>0</v>
      </c>
    </row>
    <row r="589" spans="1:7" ht="15.75" hidden="1" customHeight="1">
      <c r="E589" s="97" t="s">
        <v>81</v>
      </c>
      <c r="F589" s="105">
        <f>'Trifásico 13,8kv '!DT13+'Trifásico 13,8kv '!DU13+'Trifásico 13,8kv '!DV13</f>
        <v>0</v>
      </c>
    </row>
    <row r="590" spans="1:7" ht="15.75" hidden="1" customHeight="1">
      <c r="E590" s="107" t="s">
        <v>82</v>
      </c>
      <c r="F590" s="105">
        <f>'Trifásico 13,8kv '!DT14+'Trifásico 13,8kv '!DU14+'Trifásico 13,8kv '!DV14</f>
        <v>0</v>
      </c>
    </row>
    <row r="591" spans="1:7" ht="15.75" hidden="1" customHeight="1">
      <c r="E591" s="97" t="s">
        <v>83</v>
      </c>
      <c r="F591" s="105">
        <f>'Trifásico 13,8kv '!DT15+'Trifásico 13,8kv '!DU15+'Trifásico 13,8kv '!DV15</f>
        <v>0</v>
      </c>
    </row>
    <row r="592" spans="1:7" ht="15.75" hidden="1" customHeight="1">
      <c r="E592" s="107" t="s">
        <v>85</v>
      </c>
      <c r="F592" s="105">
        <f>'Trifásico 13,8kv '!DT16+'Trifásico 13,8kv '!DU16+'Trifásico 13,8kv '!DV16</f>
        <v>0</v>
      </c>
    </row>
    <row r="593" spans="1:6" ht="15.75" hidden="1" customHeight="1">
      <c r="E593" s="97" t="s">
        <v>84</v>
      </c>
      <c r="F593" s="105">
        <f>'Trifásico 13,8kv '!DT17+'Trifásico 13,8kv '!DU17+'Trifásico 13,8kv '!DV17</f>
        <v>0</v>
      </c>
    </row>
    <row r="594" spans="1:6" ht="15.75" hidden="1" customHeight="1">
      <c r="E594" s="107" t="s">
        <v>86</v>
      </c>
      <c r="F594" s="105">
        <f>'Trifásico 13,8kv '!DT18+'Trifásico 13,8kv '!DU18+'Trifásico 13,8kv '!DV18</f>
        <v>0</v>
      </c>
    </row>
    <row r="595" spans="1:6" ht="15.75" hidden="1" customHeight="1">
      <c r="E595" s="97" t="s">
        <v>87</v>
      </c>
      <c r="F595" s="105">
        <f>'Trifásico 13,8kv '!DT19+'Trifásico 13,8kv '!DU19+'Trifásico 13,8kv '!DV19</f>
        <v>0</v>
      </c>
    </row>
    <row r="596" spans="1:6" ht="15.75" hidden="1" customHeight="1">
      <c r="E596" s="107" t="s">
        <v>101</v>
      </c>
      <c r="F596" s="105">
        <f>'Trifásico 13,8kv '!DT20+'Trifásico 13,8kv '!DU20+'Trifásico 13,8kv '!DV20</f>
        <v>0</v>
      </c>
    </row>
    <row r="597" spans="1:6" ht="15.75" hidden="1" customHeight="1">
      <c r="E597" s="97" t="s">
        <v>88</v>
      </c>
      <c r="F597" s="105">
        <f>'Trifásico 13,8kv '!DT21+'Trifásico 13,8kv '!DU21+'Trifásico 13,8kv '!DV21</f>
        <v>0</v>
      </c>
    </row>
    <row r="598" spans="1:6" ht="15.75" hidden="1" customHeight="1">
      <c r="E598" s="107" t="s">
        <v>89</v>
      </c>
      <c r="F598" s="105">
        <f>'Trifásico 13,8kv '!DT22+'Trifásico 13,8kv '!DU22+'Trifásico 13,8kv '!DV22</f>
        <v>0</v>
      </c>
    </row>
    <row r="599" spans="1:6" ht="15.75" hidden="1" customHeight="1">
      <c r="E599" s="97" t="s">
        <v>90</v>
      </c>
      <c r="F599" s="105">
        <f>'Trifásico 13,8kv '!DT23+'Trifásico 13,8kv '!DU23+'Trifásico 13,8kv '!DV23</f>
        <v>0</v>
      </c>
    </row>
    <row r="600" spans="1:6" ht="15.75" hidden="1" customHeight="1">
      <c r="E600" s="107" t="s">
        <v>93</v>
      </c>
      <c r="F600" s="105">
        <f>'Trifásico 13,8kv '!DT24+'Trifásico 13,8kv '!DU24+'Trifásico 13,8kv '!DV24</f>
        <v>0</v>
      </c>
    </row>
    <row r="601" spans="1:6" ht="15.75" hidden="1" customHeight="1">
      <c r="E601" s="97" t="s">
        <v>91</v>
      </c>
      <c r="F601" s="105">
        <f>'Trifásico 13,8kv '!DT25+'Trifásico 13,8kv '!DU25+'Trifásico 13,8kv '!DV25</f>
        <v>0</v>
      </c>
    </row>
    <row r="602" spans="1:6" ht="15.75" hidden="1" customHeight="1">
      <c r="E602" s="107" t="s">
        <v>92</v>
      </c>
      <c r="F602" s="105">
        <f>'Trifásico 13,8kv '!DT26+'Trifásico 13,8kv '!DU26+'Trifásico 13,8kv '!DV26</f>
        <v>0</v>
      </c>
    </row>
    <row r="603" spans="1:6" ht="15.75" hidden="1" customHeight="1" thickBot="1">
      <c r="E603" s="130"/>
      <c r="F603" s="38">
        <f>SUM(F581:F602)</f>
        <v>0</v>
      </c>
    </row>
    <row r="604" spans="1:6" ht="15.75" hidden="1" customHeight="1" thickBot="1">
      <c r="A604" s="1672" t="s">
        <v>486</v>
      </c>
      <c r="B604" s="1673"/>
      <c r="C604" s="1673"/>
      <c r="D604" s="1673"/>
      <c r="E604" s="1674"/>
      <c r="F604" s="260">
        <f>SUM(F605:F626)</f>
        <v>0</v>
      </c>
    </row>
    <row r="605" spans="1:6" ht="15.75" hidden="1" customHeight="1">
      <c r="E605" s="97" t="s">
        <v>74</v>
      </c>
      <c r="F605" s="105">
        <f>'Trifásico 13,8kv '!DY5+'Trifásico 13,8kv '!DZ5+'Trifásico 13,8kv '!EA5</f>
        <v>0</v>
      </c>
    </row>
    <row r="606" spans="1:6" ht="15.75" hidden="1" customHeight="1">
      <c r="E606" s="107" t="s">
        <v>75</v>
      </c>
      <c r="F606" s="105">
        <f>'Trifásico 13,8kv '!DY6+'Trifásico 13,8kv '!DZ6+'Trifásico 13,8kv '!EA6</f>
        <v>0</v>
      </c>
    </row>
    <row r="607" spans="1:6" ht="15.75" hidden="1" customHeight="1">
      <c r="E607" s="97" t="s">
        <v>76</v>
      </c>
      <c r="F607" s="105">
        <f>'Trifásico 13,8kv '!DY7+'Trifásico 13,8kv '!DZ7+'Trifásico 13,8kv '!EA7</f>
        <v>0</v>
      </c>
    </row>
    <row r="608" spans="1:6" ht="15.75" hidden="1" customHeight="1">
      <c r="E608" s="107" t="s">
        <v>77</v>
      </c>
      <c r="F608" s="105">
        <f>'Trifásico 13,8kv '!DY8+'Trifásico 13,8kv '!DZ8+'Trifásico 13,8kv '!EA8</f>
        <v>0</v>
      </c>
    </row>
    <row r="609" spans="5:6" ht="15.75" hidden="1" customHeight="1">
      <c r="E609" s="97" t="s">
        <v>100</v>
      </c>
      <c r="F609" s="105">
        <f>'Trifásico 13,8kv '!DY9+'Trifásico 13,8kv '!DZ9+'Trifásico 13,8kv '!EA9</f>
        <v>0</v>
      </c>
    </row>
    <row r="610" spans="5:6" ht="15.75" hidden="1" customHeight="1">
      <c r="E610" s="107" t="s">
        <v>78</v>
      </c>
      <c r="F610" s="105">
        <f>'Trifásico 13,8kv '!DY10+'Trifásico 13,8kv '!DZ10+'Trifásico 13,8kv '!EA10</f>
        <v>0</v>
      </c>
    </row>
    <row r="611" spans="5:6" ht="15.75" hidden="1" customHeight="1">
      <c r="E611" s="97" t="s">
        <v>79</v>
      </c>
      <c r="F611" s="105">
        <f>'Trifásico 13,8kv '!DY11+'Trifásico 13,8kv '!DZ11+'Trifásico 13,8kv '!EA11</f>
        <v>0</v>
      </c>
    </row>
    <row r="612" spans="5:6" ht="15.75" hidden="1" customHeight="1">
      <c r="E612" s="107" t="s">
        <v>80</v>
      </c>
      <c r="F612" s="105">
        <f>'Trifásico 13,8kv '!DY12+'Trifásico 13,8kv '!DZ12+'Trifásico 13,8kv '!EA12</f>
        <v>0</v>
      </c>
    </row>
    <row r="613" spans="5:6" ht="15.75" hidden="1" customHeight="1">
      <c r="E613" s="97" t="s">
        <v>81</v>
      </c>
      <c r="F613" s="105">
        <f>'Trifásico 13,8kv '!DY13+'Trifásico 13,8kv '!DZ13+'Trifásico 13,8kv '!EA13</f>
        <v>0</v>
      </c>
    </row>
    <row r="614" spans="5:6" ht="15.75" hidden="1" customHeight="1">
      <c r="E614" s="107" t="s">
        <v>82</v>
      </c>
      <c r="F614" s="105">
        <f>'Trifásico 13,8kv '!DY14+'Trifásico 13,8kv '!DZ14+'Trifásico 13,8kv '!EA14</f>
        <v>0</v>
      </c>
    </row>
    <row r="615" spans="5:6" ht="15.75" hidden="1" customHeight="1">
      <c r="E615" s="97" t="s">
        <v>83</v>
      </c>
      <c r="F615" s="105">
        <f>'Trifásico 13,8kv '!DY15+'Trifásico 13,8kv '!DZ15+'Trifásico 13,8kv '!EA15</f>
        <v>0</v>
      </c>
    </row>
    <row r="616" spans="5:6" ht="15.75" hidden="1" customHeight="1">
      <c r="E616" s="107" t="s">
        <v>85</v>
      </c>
      <c r="F616" s="105">
        <f>'Trifásico 13,8kv '!DY16+'Trifásico 13,8kv '!DZ16+'Trifásico 13,8kv '!EA16</f>
        <v>0</v>
      </c>
    </row>
    <row r="617" spans="5:6" ht="15.75" hidden="1" customHeight="1">
      <c r="E617" s="97" t="s">
        <v>84</v>
      </c>
      <c r="F617" s="105">
        <f>'Trifásico 13,8kv '!DY17+'Trifásico 13,8kv '!DZ17+'Trifásico 13,8kv '!EA17</f>
        <v>0</v>
      </c>
    </row>
    <row r="618" spans="5:6" ht="15.75" hidden="1" customHeight="1">
      <c r="E618" s="107" t="s">
        <v>86</v>
      </c>
      <c r="F618" s="105">
        <f>'Trifásico 13,8kv '!DY18+'Trifásico 13,8kv '!DZ18+'Trifásico 13,8kv '!EA18</f>
        <v>0</v>
      </c>
    </row>
    <row r="619" spans="5:6" ht="15.75" hidden="1" customHeight="1">
      <c r="E619" s="97" t="s">
        <v>87</v>
      </c>
      <c r="F619" s="105">
        <f>'Trifásico 13,8kv '!DY19+'Trifásico 13,8kv '!DZ19+'Trifásico 13,8kv '!EA19</f>
        <v>0</v>
      </c>
    </row>
    <row r="620" spans="5:6" ht="15.75" hidden="1" customHeight="1">
      <c r="E620" s="107" t="s">
        <v>101</v>
      </c>
      <c r="F620" s="105">
        <f>'Trifásico 13,8kv '!DY20+'Trifásico 13,8kv '!DZ20+'Trifásico 13,8kv '!EA20</f>
        <v>0</v>
      </c>
    </row>
    <row r="621" spans="5:6" ht="15.75" hidden="1" customHeight="1">
      <c r="E621" s="97" t="s">
        <v>88</v>
      </c>
      <c r="F621" s="105">
        <f>'Trifásico 13,8kv '!DY21+'Trifásico 13,8kv '!DZ21+'Trifásico 13,8kv '!EA21</f>
        <v>0</v>
      </c>
    </row>
    <row r="622" spans="5:6" ht="15.75" hidden="1" customHeight="1">
      <c r="E622" s="107" t="s">
        <v>89</v>
      </c>
      <c r="F622" s="105">
        <f>'Trifásico 13,8kv '!DY22+'Trifásico 13,8kv '!DZ22+'Trifásico 13,8kv '!EA22</f>
        <v>0</v>
      </c>
    </row>
    <row r="623" spans="5:6" ht="15.75" hidden="1" customHeight="1">
      <c r="E623" s="97" t="s">
        <v>90</v>
      </c>
      <c r="F623" s="105">
        <f>'Trifásico 13,8kv '!DY23+'Trifásico 13,8kv '!DZ23+'Trifásico 13,8kv '!EA23</f>
        <v>0</v>
      </c>
    </row>
    <row r="624" spans="5:6" ht="15.75" hidden="1" customHeight="1">
      <c r="E624" s="107" t="s">
        <v>93</v>
      </c>
      <c r="F624" s="105">
        <f>'Trifásico 13,8kv '!DY24+'Trifásico 13,8kv '!DZ24+'Trifásico 13,8kv '!EA24</f>
        <v>0</v>
      </c>
    </row>
    <row r="625" spans="1:6" ht="15.75" hidden="1" customHeight="1">
      <c r="E625" s="97" t="s">
        <v>91</v>
      </c>
      <c r="F625" s="105">
        <f>'Trifásico 13,8kv '!DY25+'Trifásico 13,8kv '!DZ25+'Trifásico 13,8kv '!EA25</f>
        <v>0</v>
      </c>
    </row>
    <row r="626" spans="1:6" ht="15.75" hidden="1" customHeight="1">
      <c r="E626" s="107" t="s">
        <v>92</v>
      </c>
      <c r="F626" s="105">
        <f>'Trifásico 13,8kv '!DY26+'Trifásico 13,8kv '!DZ26+'Trifásico 13,8kv '!EA26</f>
        <v>0</v>
      </c>
    </row>
    <row r="627" spans="1:6" ht="15.75" hidden="1" customHeight="1" thickBot="1">
      <c r="F627" s="280">
        <f>SUM(F605:F626)</f>
        <v>0</v>
      </c>
    </row>
    <row r="628" spans="1:6" ht="15.75" hidden="1" customHeight="1" thickBot="1">
      <c r="A628" s="1996" t="s">
        <v>484</v>
      </c>
      <c r="B628" s="1997"/>
      <c r="C628" s="1997"/>
      <c r="D628" s="1997"/>
      <c r="E628" s="1998"/>
      <c r="F628" s="279">
        <f>SUM(F629:F650)</f>
        <v>0</v>
      </c>
    </row>
    <row r="629" spans="1:6" ht="15.75" hidden="1" customHeight="1">
      <c r="E629" s="97" t="s">
        <v>74</v>
      </c>
      <c r="F629" s="105">
        <f>'Trifásico 13,8kv '!ED5+'Trifásico 13,8kv '!EE5+'Trifásico 13,8kv '!EF5</f>
        <v>0</v>
      </c>
    </row>
    <row r="630" spans="1:6" ht="15.75" hidden="1" customHeight="1">
      <c r="E630" s="107" t="s">
        <v>75</v>
      </c>
      <c r="F630" s="105">
        <f>'Trifásico 13,8kv '!ED6+'Trifásico 13,8kv '!EE6+'Trifásico 13,8kv '!EF6</f>
        <v>0</v>
      </c>
    </row>
    <row r="631" spans="1:6" ht="15.75" hidden="1" customHeight="1">
      <c r="E631" s="97" t="s">
        <v>76</v>
      </c>
      <c r="F631" s="105">
        <f>'Trifásico 13,8kv '!ED7+'Trifásico 13,8kv '!EE7+'Trifásico 13,8kv '!EF7</f>
        <v>0</v>
      </c>
    </row>
    <row r="632" spans="1:6" ht="15.75" hidden="1" customHeight="1">
      <c r="E632" s="107" t="s">
        <v>77</v>
      </c>
      <c r="F632" s="105">
        <f>'Trifásico 13,8kv '!ED8+'Trifásico 13,8kv '!EE8+'Trifásico 13,8kv '!EF8</f>
        <v>0</v>
      </c>
    </row>
    <row r="633" spans="1:6" ht="15.75" hidden="1" customHeight="1">
      <c r="E633" s="97" t="s">
        <v>100</v>
      </c>
      <c r="F633" s="105">
        <f>'Trifásico 13,8kv '!ED9+'Trifásico 13,8kv '!EE9+'Trifásico 13,8kv '!EF9</f>
        <v>0</v>
      </c>
    </row>
    <row r="634" spans="1:6" ht="15.75" hidden="1" customHeight="1">
      <c r="E634" s="107" t="s">
        <v>78</v>
      </c>
      <c r="F634" s="105">
        <f>'Trifásico 13,8kv '!ED10+'Trifásico 13,8kv '!EE10+'Trifásico 13,8kv '!EF10</f>
        <v>0</v>
      </c>
    </row>
    <row r="635" spans="1:6" ht="15.75" hidden="1" customHeight="1">
      <c r="E635" s="97" t="s">
        <v>79</v>
      </c>
      <c r="F635" s="105">
        <f>'Trifásico 13,8kv '!ED11+'Trifásico 13,8kv '!EE11+'Trifásico 13,8kv '!EF11</f>
        <v>0</v>
      </c>
    </row>
    <row r="636" spans="1:6" ht="15.75" hidden="1" customHeight="1">
      <c r="E636" s="107" t="s">
        <v>80</v>
      </c>
      <c r="F636" s="105">
        <f>'Trifásico 13,8kv '!ED12+'Trifásico 13,8kv '!EE12+'Trifásico 13,8kv '!EF12</f>
        <v>0</v>
      </c>
    </row>
    <row r="637" spans="1:6" ht="15.75" hidden="1" customHeight="1">
      <c r="E637" s="97" t="s">
        <v>81</v>
      </c>
      <c r="F637" s="105">
        <f>'Trifásico 13,8kv '!ED13+'Trifásico 13,8kv '!EE13+'Trifásico 13,8kv '!EF13</f>
        <v>0</v>
      </c>
    </row>
    <row r="638" spans="1:6" ht="15.75" hidden="1" customHeight="1">
      <c r="E638" s="107" t="s">
        <v>82</v>
      </c>
      <c r="F638" s="105">
        <f>'Trifásico 13,8kv '!ED14+'Trifásico 13,8kv '!EE14+'Trifásico 13,8kv '!EF14</f>
        <v>0</v>
      </c>
    </row>
    <row r="639" spans="1:6" ht="15.75" hidden="1" customHeight="1">
      <c r="E639" s="97" t="s">
        <v>83</v>
      </c>
      <c r="F639" s="105">
        <f>'Trifásico 13,8kv '!ED15+'Trifásico 13,8kv '!EE15+'Trifásico 13,8kv '!EF15</f>
        <v>0</v>
      </c>
    </row>
    <row r="640" spans="1:6" ht="15.75" hidden="1" customHeight="1">
      <c r="E640" s="107" t="s">
        <v>85</v>
      </c>
      <c r="F640" s="105">
        <f>'Trifásico 13,8kv '!ED16+'Trifásico 13,8kv '!EE16+'Trifásico 13,8kv '!EF16</f>
        <v>0</v>
      </c>
    </row>
    <row r="641" spans="1:8" ht="15.75" hidden="1" customHeight="1">
      <c r="E641" s="97" t="s">
        <v>84</v>
      </c>
      <c r="F641" s="105">
        <f>'Trifásico 13,8kv '!ED17+'Trifásico 13,8kv '!EE17+'Trifásico 13,8kv '!EF17</f>
        <v>0</v>
      </c>
    </row>
    <row r="642" spans="1:8" ht="15.75" hidden="1" customHeight="1">
      <c r="E642" s="107" t="s">
        <v>86</v>
      </c>
      <c r="F642" s="105">
        <f>'Trifásico 13,8kv '!ED18+'Trifásico 13,8kv '!EE18+'Trifásico 13,8kv '!EF18</f>
        <v>0</v>
      </c>
    </row>
    <row r="643" spans="1:8" ht="15.75" hidden="1" customHeight="1">
      <c r="E643" s="97" t="s">
        <v>87</v>
      </c>
      <c r="F643" s="105">
        <f>'Trifásico 13,8kv '!ED19+'Trifásico 13,8kv '!EE19+'Trifásico 13,8kv '!EF19</f>
        <v>0</v>
      </c>
    </row>
    <row r="644" spans="1:8" ht="15.75" hidden="1" customHeight="1">
      <c r="E644" s="107" t="s">
        <v>101</v>
      </c>
      <c r="F644" s="105">
        <f>'Trifásico 13,8kv '!ED20+'Trifásico 13,8kv '!EE20+'Trifásico 13,8kv '!EF20</f>
        <v>0</v>
      </c>
    </row>
    <row r="645" spans="1:8" ht="15.75" hidden="1" customHeight="1">
      <c r="E645" s="97" t="s">
        <v>88</v>
      </c>
      <c r="F645" s="105">
        <f>'Trifásico 13,8kv '!ED21+'Trifásico 13,8kv '!EE21+'Trifásico 13,8kv '!EF21</f>
        <v>0</v>
      </c>
    </row>
    <row r="646" spans="1:8" ht="15.75" hidden="1" customHeight="1">
      <c r="E646" s="107" t="s">
        <v>89</v>
      </c>
      <c r="F646" s="105">
        <f>'Trifásico 13,8kv '!ED22+'Trifásico 13,8kv '!EE22+'Trifásico 13,8kv '!EF22</f>
        <v>0</v>
      </c>
    </row>
    <row r="647" spans="1:8" ht="15.75" hidden="1" customHeight="1">
      <c r="E647" s="97" t="s">
        <v>90</v>
      </c>
      <c r="F647" s="105">
        <f>'Trifásico 13,8kv '!ED23+'Trifásico 13,8kv '!EE23+'Trifásico 13,8kv '!EF23</f>
        <v>0</v>
      </c>
    </row>
    <row r="648" spans="1:8" ht="15.75" hidden="1" customHeight="1">
      <c r="E648" s="107" t="s">
        <v>93</v>
      </c>
      <c r="F648" s="105">
        <f>'Trifásico 13,8kv '!ED24+'Trifásico 13,8kv '!EE24+'Trifásico 13,8kv '!EF24</f>
        <v>0</v>
      </c>
    </row>
    <row r="649" spans="1:8" ht="15.75" hidden="1" customHeight="1">
      <c r="E649" s="97" t="s">
        <v>91</v>
      </c>
      <c r="F649" s="105">
        <f>'Trifásico 13,8kv '!ED25+'Trifásico 13,8kv '!EE25+'Trifásico 13,8kv '!EF25</f>
        <v>0</v>
      </c>
    </row>
    <row r="650" spans="1:8" ht="15.75" hidden="1" customHeight="1">
      <c r="E650" s="107" t="s">
        <v>92</v>
      </c>
      <c r="F650" s="105">
        <f>'Trifásico 13,8kv '!ED26+'Trifásico 13,8kv '!EE26+'Trifásico 13,8kv '!EF26</f>
        <v>0</v>
      </c>
    </row>
    <row r="651" spans="1:8" ht="15.75" hidden="1" customHeight="1" thickBot="1">
      <c r="F651" s="280">
        <f>SUM(F629:F650)</f>
        <v>0</v>
      </c>
    </row>
    <row r="652" spans="1:8" ht="15.75" hidden="1" customHeight="1" thickBot="1">
      <c r="A652" s="1996" t="s">
        <v>485</v>
      </c>
      <c r="B652" s="1997"/>
      <c r="C652" s="1997"/>
      <c r="D652" s="1997"/>
      <c r="E652" s="1998"/>
      <c r="F652" s="279">
        <f>SUM(F653:F674)</f>
        <v>0</v>
      </c>
      <c r="G652" s="256"/>
      <c r="H652" s="256"/>
    </row>
    <row r="653" spans="1:8" ht="15.75" hidden="1" customHeight="1">
      <c r="E653" s="97" t="s">
        <v>74</v>
      </c>
      <c r="F653" s="105">
        <f>'Trifásico 13,8kv '!EI5+'Trifásico 13,8kv '!EJ5+'Trifásico 13,8kv '!EK5</f>
        <v>0</v>
      </c>
    </row>
    <row r="654" spans="1:8" ht="15.75" hidden="1" customHeight="1">
      <c r="E654" s="107" t="s">
        <v>75</v>
      </c>
      <c r="F654" s="105">
        <f>'Trifásico 13,8kv '!EI6+'Trifásico 13,8kv '!EJ6+'Trifásico 13,8kv '!EK6</f>
        <v>0</v>
      </c>
    </row>
    <row r="655" spans="1:8" ht="15.75" hidden="1" customHeight="1">
      <c r="E655" s="97" t="s">
        <v>76</v>
      </c>
      <c r="F655" s="105">
        <f>'Trifásico 13,8kv '!EI7+'Trifásico 13,8kv '!EJ7+'Trifásico 13,8kv '!EK7</f>
        <v>0</v>
      </c>
    </row>
    <row r="656" spans="1:8" ht="15.75" hidden="1" customHeight="1">
      <c r="E656" s="107" t="s">
        <v>77</v>
      </c>
      <c r="F656" s="105">
        <f>'Trifásico 13,8kv '!EI8+'Trifásico 13,8kv '!EJ8+'Trifásico 13,8kv '!EK8</f>
        <v>0</v>
      </c>
    </row>
    <row r="657" spans="5:6" ht="15.75" hidden="1" customHeight="1">
      <c r="E657" s="97" t="s">
        <v>100</v>
      </c>
      <c r="F657" s="105">
        <f>'Trifásico 13,8kv '!EI9+'Trifásico 13,8kv '!EJ9+'Trifásico 13,8kv '!EK9</f>
        <v>0</v>
      </c>
    </row>
    <row r="658" spans="5:6" ht="15.75" hidden="1" customHeight="1">
      <c r="E658" s="107" t="s">
        <v>78</v>
      </c>
      <c r="F658" s="105">
        <f>'Trifásico 13,8kv '!EI10+'Trifásico 13,8kv '!EJ10+'Trifásico 13,8kv '!EK10</f>
        <v>0</v>
      </c>
    </row>
    <row r="659" spans="5:6" ht="15.75" hidden="1" customHeight="1">
      <c r="E659" s="97" t="s">
        <v>79</v>
      </c>
      <c r="F659" s="105">
        <f>'Trifásico 13,8kv '!EI11+'Trifásico 13,8kv '!EJ11+'Trifásico 13,8kv '!EK11</f>
        <v>0</v>
      </c>
    </row>
    <row r="660" spans="5:6" ht="15.75" hidden="1" customHeight="1">
      <c r="E660" s="107" t="s">
        <v>80</v>
      </c>
      <c r="F660" s="105">
        <f>'Trifásico 13,8kv '!EI12+'Trifásico 13,8kv '!EJ12+'Trifásico 13,8kv '!EK12</f>
        <v>0</v>
      </c>
    </row>
    <row r="661" spans="5:6" ht="15.75" hidden="1" customHeight="1">
      <c r="E661" s="97" t="s">
        <v>81</v>
      </c>
      <c r="F661" s="105">
        <f>'Trifásico 13,8kv '!EI13+'Trifásico 13,8kv '!EJ13+'Trifásico 13,8kv '!EK13</f>
        <v>0</v>
      </c>
    </row>
    <row r="662" spans="5:6" ht="15.75" hidden="1" customHeight="1">
      <c r="E662" s="107" t="s">
        <v>82</v>
      </c>
      <c r="F662" s="105">
        <f>'Trifásico 13,8kv '!EI14+'Trifásico 13,8kv '!EJ14+'Trifásico 13,8kv '!EK14</f>
        <v>0</v>
      </c>
    </row>
    <row r="663" spans="5:6" ht="15.75" hidden="1" customHeight="1">
      <c r="E663" s="97" t="s">
        <v>83</v>
      </c>
      <c r="F663" s="105">
        <f>'Trifásico 13,8kv '!EI15+'Trifásico 13,8kv '!EJ15+'Trifásico 13,8kv '!EK15</f>
        <v>0</v>
      </c>
    </row>
    <row r="664" spans="5:6" ht="15.75" hidden="1" customHeight="1">
      <c r="E664" s="107" t="s">
        <v>85</v>
      </c>
      <c r="F664" s="105">
        <f>'Trifásico 13,8kv '!EI16+'Trifásico 13,8kv '!EJ16+'Trifásico 13,8kv '!EK16</f>
        <v>0</v>
      </c>
    </row>
    <row r="665" spans="5:6" ht="15.75" hidden="1" customHeight="1">
      <c r="E665" s="97" t="s">
        <v>84</v>
      </c>
      <c r="F665" s="105">
        <f>'Trifásico 13,8kv '!EI17+'Trifásico 13,8kv '!EJ17+'Trifásico 13,8kv '!EK17</f>
        <v>0</v>
      </c>
    </row>
    <row r="666" spans="5:6" ht="15.75" hidden="1" customHeight="1">
      <c r="E666" s="107" t="s">
        <v>86</v>
      </c>
      <c r="F666" s="105">
        <f>'Trifásico 13,8kv '!EI18+'Trifásico 13,8kv '!EJ18+'Trifásico 13,8kv '!EK18</f>
        <v>0</v>
      </c>
    </row>
    <row r="667" spans="5:6" ht="15.75" hidden="1" customHeight="1">
      <c r="E667" s="97" t="s">
        <v>87</v>
      </c>
      <c r="F667" s="105">
        <f>'Trifásico 13,8kv '!EI19+'Trifásico 13,8kv '!EJ19+'Trifásico 13,8kv '!EK19</f>
        <v>0</v>
      </c>
    </row>
    <row r="668" spans="5:6" ht="15.75" hidden="1" customHeight="1">
      <c r="E668" s="107" t="s">
        <v>101</v>
      </c>
      <c r="F668" s="105">
        <f>'Trifásico 13,8kv '!EI20+'Trifásico 13,8kv '!EJ20+'Trifásico 13,8kv '!EK20</f>
        <v>0</v>
      </c>
    </row>
    <row r="669" spans="5:6" ht="15.75" hidden="1" customHeight="1">
      <c r="E669" s="97" t="s">
        <v>88</v>
      </c>
      <c r="F669" s="105">
        <f>'Trifásico 13,8kv '!EI21+'Trifásico 13,8kv '!EJ21+'Trifásico 13,8kv '!EK21</f>
        <v>0</v>
      </c>
    </row>
    <row r="670" spans="5:6" ht="15.75" hidden="1" customHeight="1">
      <c r="E670" s="107" t="s">
        <v>89</v>
      </c>
      <c r="F670" s="105">
        <f>'Trifásico 13,8kv '!EI22+'Trifásico 13,8kv '!EJ22+'Trifásico 13,8kv '!EK22</f>
        <v>0</v>
      </c>
    </row>
    <row r="671" spans="5:6" ht="15.75" hidden="1" customHeight="1">
      <c r="E671" s="97" t="s">
        <v>90</v>
      </c>
      <c r="F671" s="105">
        <f>'Trifásico 13,8kv '!EI23+'Trifásico 13,8kv '!EJ23+'Trifásico 13,8kv '!EK23</f>
        <v>0</v>
      </c>
    </row>
    <row r="672" spans="5:6" ht="15.75" hidden="1" customHeight="1">
      <c r="E672" s="107" t="s">
        <v>93</v>
      </c>
      <c r="F672" s="105">
        <f>'Trifásico 13,8kv '!EI24+'Trifásico 13,8kv '!EJ24+'Trifásico 13,8kv '!EK24</f>
        <v>0</v>
      </c>
    </row>
    <row r="673" spans="1:6" ht="15.75" hidden="1" customHeight="1">
      <c r="E673" s="97" t="s">
        <v>91</v>
      </c>
      <c r="F673" s="105">
        <f>'Trifásico 13,8kv '!EI25+'Trifásico 13,8kv '!EJ25+'Trifásico 13,8kv '!EK25</f>
        <v>0</v>
      </c>
    </row>
    <row r="674" spans="1:6" ht="15.75" hidden="1" customHeight="1">
      <c r="E674" s="107" t="s">
        <v>92</v>
      </c>
      <c r="F674" s="105">
        <f>'Trifásico 13,8kv '!EI26+'Trifásico 13,8kv '!EJ26+'Trifásico 13,8kv '!EK26</f>
        <v>0</v>
      </c>
    </row>
    <row r="675" spans="1:6" ht="15.75" hidden="1" customHeight="1" thickBot="1">
      <c r="F675" s="280">
        <f>SUM(F653:F674)</f>
        <v>0</v>
      </c>
    </row>
    <row r="676" spans="1:6" ht="15.75" hidden="1" customHeight="1" thickBot="1">
      <c r="A676" s="1648" t="s">
        <v>1227</v>
      </c>
      <c r="B676" s="1649"/>
      <c r="C676" s="1649"/>
      <c r="D676" s="1649"/>
      <c r="E676" s="1650"/>
      <c r="F676" s="771">
        <f>SUM(F677:F692)</f>
        <v>0</v>
      </c>
    </row>
    <row r="677" spans="1:6" ht="15.75" hidden="1" customHeight="1">
      <c r="D677" s="755" t="s">
        <v>328</v>
      </c>
      <c r="E677" s="756" t="s">
        <v>1363</v>
      </c>
      <c r="F677" s="106">
        <f>'Trifásico 13,8kv '!EN5+'Trifásico 13,8kv '!EO5</f>
        <v>0</v>
      </c>
    </row>
    <row r="678" spans="1:6" ht="15.75" hidden="1" customHeight="1">
      <c r="D678" s="757" t="s">
        <v>329</v>
      </c>
      <c r="E678" s="758" t="s">
        <v>1363</v>
      </c>
      <c r="F678" s="106">
        <f>'Trifásico 13,8kv '!EN6+'Trifásico 13,8kv '!EO6</f>
        <v>0</v>
      </c>
    </row>
    <row r="679" spans="1:6" ht="15.75" hidden="1" customHeight="1">
      <c r="D679" s="755" t="s">
        <v>330</v>
      </c>
      <c r="E679" s="756" t="s">
        <v>1363</v>
      </c>
      <c r="F679" s="106">
        <f>'Trifásico 13,8kv '!EN7+'Trifásico 13,8kv '!EO7</f>
        <v>0</v>
      </c>
    </row>
    <row r="680" spans="1:6" ht="15.75" hidden="1" customHeight="1">
      <c r="D680" s="757" t="s">
        <v>331</v>
      </c>
      <c r="E680" s="758" t="s">
        <v>1363</v>
      </c>
      <c r="F680" s="106">
        <f>'Trifásico 13,8kv '!EN8+'Trifásico 13,8kv '!EO8</f>
        <v>0</v>
      </c>
    </row>
    <row r="681" spans="1:6" ht="15.75" hidden="1" customHeight="1">
      <c r="D681" s="755" t="s">
        <v>332</v>
      </c>
      <c r="E681" s="756" t="s">
        <v>1363</v>
      </c>
      <c r="F681" s="106">
        <f>'Trifásico 13,8kv '!EN9+'Trifásico 13,8kv '!EO9</f>
        <v>0</v>
      </c>
    </row>
    <row r="682" spans="1:6" ht="15.75" hidden="1" customHeight="1">
      <c r="D682" s="757" t="s">
        <v>333</v>
      </c>
      <c r="E682" s="758" t="s">
        <v>1363</v>
      </c>
      <c r="F682" s="106">
        <f>'Trifásico 13,8kv '!EN10+'Trifásico 13,8kv '!EO10</f>
        <v>0</v>
      </c>
    </row>
    <row r="683" spans="1:6" ht="15.75" hidden="1" customHeight="1">
      <c r="D683" s="755" t="s">
        <v>334</v>
      </c>
      <c r="E683" s="756" t="s">
        <v>1363</v>
      </c>
      <c r="F683" s="106">
        <f>'Trifásico 13,8kv '!EN11+'Trifásico 13,8kv '!EO11</f>
        <v>0</v>
      </c>
    </row>
    <row r="684" spans="1:6" ht="15.75" hidden="1" customHeight="1">
      <c r="D684" s="757" t="s">
        <v>335</v>
      </c>
      <c r="E684" s="758" t="s">
        <v>1363</v>
      </c>
      <c r="F684" s="106">
        <f>'Trifásico 13,8kv '!EN12+'Trifásico 13,8kv '!EO12</f>
        <v>0</v>
      </c>
    </row>
    <row r="685" spans="1:6" ht="15.75" hidden="1" customHeight="1">
      <c r="D685" s="763" t="s">
        <v>328</v>
      </c>
      <c r="E685" s="764" t="s">
        <v>1364</v>
      </c>
      <c r="F685" s="105">
        <f>'Trifásico 13,8kv '!EP5+'Trifásico 13,8kv '!EQ5</f>
        <v>0</v>
      </c>
    </row>
    <row r="686" spans="1:6" ht="15.75" hidden="1" customHeight="1">
      <c r="D686" s="765" t="s">
        <v>329</v>
      </c>
      <c r="E686" s="766" t="s">
        <v>1364</v>
      </c>
      <c r="F686" s="105">
        <f>'Trifásico 13,8kv '!EP6+'Trifásico 13,8kv '!EQ6</f>
        <v>0</v>
      </c>
    </row>
    <row r="687" spans="1:6" ht="15.75" hidden="1" customHeight="1">
      <c r="D687" s="763" t="s">
        <v>330</v>
      </c>
      <c r="E687" s="764" t="s">
        <v>1364</v>
      </c>
      <c r="F687" s="105">
        <f>'Trifásico 13,8kv '!EP7+'Trifásico 13,8kv '!EQ7</f>
        <v>0</v>
      </c>
    </row>
    <row r="688" spans="1:6" ht="15.75" hidden="1" customHeight="1">
      <c r="D688" s="765" t="s">
        <v>331</v>
      </c>
      <c r="E688" s="766" t="s">
        <v>1364</v>
      </c>
      <c r="F688" s="105">
        <f>'Trifásico 13,8kv '!EP8+'Trifásico 13,8kv '!EQ8</f>
        <v>0</v>
      </c>
    </row>
    <row r="689" spans="1:6" ht="15.75" hidden="1" customHeight="1">
      <c r="D689" s="763" t="s">
        <v>332</v>
      </c>
      <c r="E689" s="764" t="s">
        <v>1364</v>
      </c>
      <c r="F689" s="105">
        <f>'Trifásico 13,8kv '!EP9+'Trifásico 13,8kv '!EQ9</f>
        <v>0</v>
      </c>
    </row>
    <row r="690" spans="1:6" ht="15.75" hidden="1" customHeight="1">
      <c r="D690" s="765" t="s">
        <v>333</v>
      </c>
      <c r="E690" s="766" t="s">
        <v>1364</v>
      </c>
      <c r="F690" s="105">
        <f>'Trifásico 13,8kv '!EP10+'Trifásico 13,8kv '!EQ10</f>
        <v>0</v>
      </c>
    </row>
    <row r="691" spans="1:6" ht="15.75" hidden="1" customHeight="1">
      <c r="D691" s="763" t="s">
        <v>334</v>
      </c>
      <c r="E691" s="764" t="s">
        <v>1364</v>
      </c>
      <c r="F691" s="105">
        <f>'Trifásico 13,8kv '!EP11+'Trifásico 13,8kv '!EQ11</f>
        <v>0</v>
      </c>
    </row>
    <row r="692" spans="1:6" ht="15.75" hidden="1" customHeight="1">
      <c r="D692" s="765" t="s">
        <v>335</v>
      </c>
      <c r="E692" s="766" t="s">
        <v>1364</v>
      </c>
      <c r="F692" s="105">
        <f>'Trifásico 13,8kv '!EP12+'Trifásico 13,8kv '!EQ12</f>
        <v>0</v>
      </c>
    </row>
    <row r="693" spans="1:6" ht="15.75" hidden="1" customHeight="1" thickBot="1">
      <c r="F693" s="280">
        <f>SUM(F677:F692)</f>
        <v>0</v>
      </c>
    </row>
    <row r="694" spans="1:6" ht="15.75" hidden="1" customHeight="1" thickBot="1">
      <c r="A694" s="1645" t="s">
        <v>1203</v>
      </c>
      <c r="B694" s="1646"/>
      <c r="C694" s="1646"/>
      <c r="D694" s="1646"/>
      <c r="E694" s="1647"/>
      <c r="F694" s="772">
        <f>SUM(F695:F706)</f>
        <v>0</v>
      </c>
    </row>
    <row r="695" spans="1:6" ht="15.75" hidden="1" customHeight="1">
      <c r="D695" s="759" t="s">
        <v>341</v>
      </c>
      <c r="E695" s="760" t="s">
        <v>1363</v>
      </c>
      <c r="F695" s="106">
        <f>'Trifásico 13,8kv '!ET7+'Trifásico 13,8kv '!EU6</f>
        <v>0</v>
      </c>
    </row>
    <row r="696" spans="1:6" ht="15.75" hidden="1" customHeight="1">
      <c r="D696" s="761" t="s">
        <v>336</v>
      </c>
      <c r="E696" s="762" t="s">
        <v>1363</v>
      </c>
      <c r="F696" s="106">
        <f>'Trifásico 13,8kv '!ET8+'Trifásico 13,8kv '!EU7</f>
        <v>0</v>
      </c>
    </row>
    <row r="697" spans="1:6" ht="15.75" hidden="1" customHeight="1">
      <c r="D697" s="759" t="s">
        <v>337</v>
      </c>
      <c r="E697" s="760" t="s">
        <v>1363</v>
      </c>
      <c r="F697" s="106">
        <f>'Trifásico 13,8kv '!ET9+'Trifásico 13,8kv '!EU8</f>
        <v>0</v>
      </c>
    </row>
    <row r="698" spans="1:6" ht="15.75" hidden="1" customHeight="1">
      <c r="D698" s="761" t="s">
        <v>338</v>
      </c>
      <c r="E698" s="762" t="s">
        <v>1363</v>
      </c>
      <c r="F698" s="106">
        <f>'Trifásico 13,8kv '!ET10+'Trifásico 13,8kv '!EU9</f>
        <v>0</v>
      </c>
    </row>
    <row r="699" spans="1:6" ht="15.75" hidden="1" customHeight="1">
      <c r="D699" s="759" t="s">
        <v>339</v>
      </c>
      <c r="E699" s="760" t="s">
        <v>1363</v>
      </c>
      <c r="F699" s="106">
        <f>'Trifásico 13,8kv '!ET11+'Trifásico 13,8kv '!EU10</f>
        <v>0</v>
      </c>
    </row>
    <row r="700" spans="1:6" ht="15.75" hidden="1" customHeight="1">
      <c r="D700" s="761" t="s">
        <v>340</v>
      </c>
      <c r="E700" s="762" t="s">
        <v>1363</v>
      </c>
      <c r="F700" s="106">
        <f>'Trifásico 13,8kv '!ET12+'Trifásico 13,8kv '!EU11</f>
        <v>0</v>
      </c>
    </row>
    <row r="701" spans="1:6" ht="15.75" hidden="1" customHeight="1">
      <c r="D701" s="769" t="s">
        <v>341</v>
      </c>
      <c r="E701" s="770" t="s">
        <v>1364</v>
      </c>
      <c r="F701" s="106">
        <f>'Trifásico 13,8kv '!EV7+'Trifásico 13,8kv '!EW7</f>
        <v>0</v>
      </c>
    </row>
    <row r="702" spans="1:6" ht="15.75" hidden="1" customHeight="1">
      <c r="D702" s="767" t="s">
        <v>336</v>
      </c>
      <c r="E702" s="768" t="s">
        <v>1364</v>
      </c>
      <c r="F702" s="106">
        <f>'Trifásico 13,8kv '!EV8+'Trifásico 13,8kv '!EW8</f>
        <v>0</v>
      </c>
    </row>
    <row r="703" spans="1:6" ht="15.75" hidden="1" customHeight="1">
      <c r="D703" s="769" t="s">
        <v>337</v>
      </c>
      <c r="E703" s="770" t="s">
        <v>1364</v>
      </c>
      <c r="F703" s="106">
        <f>'Trifásico 13,8kv '!EV9+'Trifásico 13,8kv '!EW9</f>
        <v>0</v>
      </c>
    </row>
    <row r="704" spans="1:6" ht="15.75" hidden="1" customHeight="1">
      <c r="D704" s="767" t="s">
        <v>338</v>
      </c>
      <c r="E704" s="768" t="s">
        <v>1364</v>
      </c>
      <c r="F704" s="106">
        <f>'Trifásico 13,8kv '!EV10+'Trifásico 13,8kv '!EW10</f>
        <v>0</v>
      </c>
    </row>
    <row r="705" spans="1:8" ht="15.75" hidden="1" customHeight="1">
      <c r="D705" s="769" t="s">
        <v>339</v>
      </c>
      <c r="E705" s="770" t="s">
        <v>1364</v>
      </c>
      <c r="F705" s="106">
        <f>'Trifásico 13,8kv '!EV11+'Trifásico 13,8kv '!EW11</f>
        <v>0</v>
      </c>
    </row>
    <row r="706" spans="1:8" ht="15.75" hidden="1" customHeight="1">
      <c r="D706" s="767" t="s">
        <v>340</v>
      </c>
      <c r="E706" s="768" t="s">
        <v>1364</v>
      </c>
      <c r="F706" s="106">
        <f>'Trifásico 13,8kv '!EV12+'Trifásico 13,8kv '!EW12</f>
        <v>0</v>
      </c>
    </row>
    <row r="707" spans="1:8" ht="15.75" hidden="1" customHeight="1">
      <c r="F707" s="280">
        <f>SUM(F695:F706)</f>
        <v>0</v>
      </c>
    </row>
    <row r="708" spans="1:8" s="240" customFormat="1" ht="15.75" hidden="1" customHeight="1">
      <c r="A708" s="1680" t="s">
        <v>526</v>
      </c>
      <c r="B708" s="1681"/>
      <c r="C708" s="1681"/>
      <c r="D708" s="1681"/>
      <c r="E708" s="1682"/>
      <c r="F708" s="87">
        <f>'Trifásico 13,8kv '!C8</f>
        <v>0</v>
      </c>
    </row>
    <row r="709" spans="1:8" s="240" customFormat="1" ht="15.75" hidden="1" customHeight="1">
      <c r="A709" s="1642" t="s">
        <v>531</v>
      </c>
      <c r="B709" s="1643"/>
      <c r="C709" s="1643"/>
      <c r="D709" s="1643"/>
      <c r="E709" s="1644"/>
      <c r="F709" s="87">
        <f>'Mono 13,8kv'!C8</f>
        <v>0</v>
      </c>
    </row>
    <row r="710" spans="1:8" s="240" customFormat="1" ht="15.75" hidden="1" customHeight="1">
      <c r="A710" s="1639" t="s">
        <v>527</v>
      </c>
      <c r="B710" s="1640"/>
      <c r="C710" s="1640"/>
      <c r="D710" s="1640"/>
      <c r="E710" s="1641"/>
      <c r="F710" s="87">
        <f>'Trifásico 13,8kv '!C9</f>
        <v>0</v>
      </c>
    </row>
    <row r="711" spans="1:8" s="240" customFormat="1" ht="15.75" hidden="1" customHeight="1">
      <c r="A711" s="1639" t="s">
        <v>534</v>
      </c>
      <c r="B711" s="1640"/>
      <c r="C711" s="1640"/>
      <c r="D711" s="1640"/>
      <c r="E711" s="1641"/>
      <c r="F711" s="87">
        <f>'Mono 13,8kv'!C9</f>
        <v>0</v>
      </c>
    </row>
    <row r="712" spans="1:8" s="240" customFormat="1" ht="15.75" hidden="1" customHeight="1">
      <c r="A712" s="1642" t="s">
        <v>528</v>
      </c>
      <c r="B712" s="1643"/>
      <c r="C712" s="1643"/>
      <c r="D712" s="1643"/>
      <c r="E712" s="1644"/>
      <c r="F712" s="87">
        <f>'Trifásico 13,8kv '!C10</f>
        <v>0</v>
      </c>
    </row>
    <row r="713" spans="1:8" s="240" customFormat="1" ht="15.75" hidden="1" customHeight="1">
      <c r="A713" s="1642" t="s">
        <v>533</v>
      </c>
      <c r="B713" s="1643"/>
      <c r="C713" s="1643"/>
      <c r="D713" s="1643"/>
      <c r="E713" s="1644"/>
      <c r="F713" s="87">
        <f>'Mono 13,8kv'!C10</f>
        <v>0</v>
      </c>
    </row>
    <row r="714" spans="1:8" s="240" customFormat="1" ht="15.75" hidden="1" customHeight="1">
      <c r="A714" s="245" t="s">
        <v>529</v>
      </c>
      <c r="B714" s="246"/>
      <c r="C714" s="246"/>
      <c r="D714" s="246"/>
      <c r="E714" s="247"/>
      <c r="F714" s="87">
        <f>'Trifásico 13,8kv '!C11</f>
        <v>0</v>
      </c>
    </row>
    <row r="715" spans="1:8" s="240" customFormat="1" ht="15.75" hidden="1" customHeight="1">
      <c r="A715" s="1639" t="s">
        <v>532</v>
      </c>
      <c r="B715" s="1640"/>
      <c r="C715" s="1640"/>
      <c r="D715" s="1640"/>
      <c r="E715" s="1641"/>
      <c r="F715" s="87">
        <f>'Mono 13,8kv'!C11</f>
        <v>0</v>
      </c>
    </row>
    <row r="716" spans="1:8" s="240" customFormat="1" ht="15.75" hidden="1" customHeight="1">
      <c r="A716" s="242" t="s">
        <v>177</v>
      </c>
      <c r="B716" s="243"/>
      <c r="C716" s="243"/>
      <c r="D716" s="243"/>
      <c r="E716" s="244"/>
      <c r="F716" s="87">
        <f>'Trifásico 13,8kv '!C12+'Mono 13,8kv'!C12</f>
        <v>0</v>
      </c>
      <c r="G716" s="241"/>
      <c r="H716" s="241"/>
    </row>
    <row r="717" spans="1:8" s="240" customFormat="1" ht="15.75" hidden="1" customHeight="1">
      <c r="A717" s="245" t="s">
        <v>358</v>
      </c>
      <c r="B717" s="246"/>
      <c r="C717" s="246"/>
      <c r="D717" s="246"/>
      <c r="E717" s="247"/>
      <c r="F717" s="87">
        <f>'Mono 13,8kv'!C13</f>
        <v>0</v>
      </c>
      <c r="G717" s="241"/>
      <c r="H717" s="241"/>
    </row>
    <row r="718" spans="1:8" s="240" customFormat="1" ht="15.75" hidden="1" customHeight="1">
      <c r="A718" s="245"/>
      <c r="B718" s="246"/>
      <c r="C718" s="246"/>
      <c r="D718" s="246"/>
      <c r="E718" s="247"/>
      <c r="F718" s="87">
        <v>0</v>
      </c>
      <c r="G718" s="241"/>
      <c r="H718" s="241"/>
    </row>
    <row r="719" spans="1:8" s="240" customFormat="1" ht="15.75" hidden="1" customHeight="1">
      <c r="A719" s="242" t="s">
        <v>178</v>
      </c>
      <c r="B719" s="243"/>
      <c r="C719" s="243"/>
      <c r="D719" s="243"/>
      <c r="E719" s="244"/>
      <c r="F719" s="87">
        <f>'Trifásico 13,8kv '!C14+'Mono 13,8kv'!C14</f>
        <v>0</v>
      </c>
      <c r="G719" s="241"/>
      <c r="H719" s="241"/>
    </row>
    <row r="720" spans="1:8" s="240" customFormat="1" ht="15.75" hidden="1" customHeight="1">
      <c r="A720" s="253"/>
      <c r="B720" s="254"/>
      <c r="C720" s="254"/>
      <c r="D720" s="254"/>
      <c r="E720" s="255"/>
      <c r="F720" s="87">
        <v>0</v>
      </c>
      <c r="G720" s="241"/>
      <c r="H720" s="241"/>
    </row>
    <row r="721" spans="1:8" s="240" customFormat="1" ht="15.75" hidden="1" customHeight="1">
      <c r="A721" s="250" t="s">
        <v>524</v>
      </c>
      <c r="B721" s="251"/>
      <c r="C721" s="251"/>
      <c r="D721" s="251"/>
      <c r="E721" s="252"/>
      <c r="F721" s="87">
        <f>'Trifásico 13,8kv '!C16+'Mono 13,8kv'!C16</f>
        <v>0</v>
      </c>
      <c r="G721" s="241"/>
      <c r="H721" s="241"/>
    </row>
    <row r="722" spans="1:8" s="240" customFormat="1" ht="15.75" hidden="1" customHeight="1">
      <c r="A722" s="253"/>
      <c r="B722" s="254"/>
      <c r="C722" s="254"/>
      <c r="D722" s="254"/>
      <c r="E722" s="255"/>
      <c r="F722" s="87">
        <v>0</v>
      </c>
      <c r="G722" s="241"/>
      <c r="H722" s="241"/>
    </row>
    <row r="723" spans="1:8" s="240" customFormat="1" ht="15.75" hidden="1" customHeight="1">
      <c r="A723" s="250" t="s">
        <v>525</v>
      </c>
      <c r="B723" s="251"/>
      <c r="C723" s="251"/>
      <c r="D723" s="251"/>
      <c r="E723" s="252"/>
      <c r="F723" s="87">
        <f>'Trifásico 13,8kv '!C18+'Mono 13,8kv'!C18</f>
        <v>0</v>
      </c>
      <c r="G723" s="241"/>
      <c r="H723" s="241"/>
    </row>
    <row r="724" spans="1:8" hidden="1">
      <c r="F724" s="280">
        <f>SUM(F708:F723)</f>
        <v>0</v>
      </c>
    </row>
    <row r="725" spans="1:8" ht="19.5" hidden="1">
      <c r="E725" s="95" t="s">
        <v>1479</v>
      </c>
      <c r="F725" s="281">
        <f>SUM(F726:F747)</f>
        <v>0</v>
      </c>
    </row>
    <row r="726" spans="1:8" hidden="1">
      <c r="E726" s="96" t="s">
        <v>74</v>
      </c>
      <c r="F726" s="113">
        <f>'Mono 13,8kv'!F5</f>
        <v>0</v>
      </c>
    </row>
    <row r="727" spans="1:8" hidden="1">
      <c r="E727" s="97" t="s">
        <v>75</v>
      </c>
      <c r="F727" s="113">
        <f>'Mono 13,8kv'!F6</f>
        <v>0</v>
      </c>
    </row>
    <row r="728" spans="1:8" hidden="1">
      <c r="E728" s="96" t="s">
        <v>76</v>
      </c>
      <c r="F728" s="113">
        <f>'Mono 13,8kv'!F7</f>
        <v>0</v>
      </c>
    </row>
    <row r="729" spans="1:8" hidden="1">
      <c r="E729" s="97" t="s">
        <v>77</v>
      </c>
      <c r="F729" s="113">
        <f>'Mono 13,8kv'!F8</f>
        <v>0</v>
      </c>
    </row>
    <row r="730" spans="1:8" hidden="1">
      <c r="E730" s="96" t="s">
        <v>100</v>
      </c>
      <c r="F730" s="113">
        <f>'Mono 13,8kv'!F9</f>
        <v>0</v>
      </c>
    </row>
    <row r="731" spans="1:8" hidden="1">
      <c r="E731" s="97" t="s">
        <v>78</v>
      </c>
      <c r="F731" s="113">
        <f>'Mono 13,8kv'!F10</f>
        <v>0</v>
      </c>
    </row>
    <row r="732" spans="1:8" hidden="1">
      <c r="E732" s="96" t="s">
        <v>79</v>
      </c>
      <c r="F732" s="113">
        <f>'Mono 13,8kv'!F11</f>
        <v>0</v>
      </c>
    </row>
    <row r="733" spans="1:8" hidden="1">
      <c r="E733" s="97" t="s">
        <v>80</v>
      </c>
      <c r="F733" s="113">
        <f>'Mono 13,8kv'!F12</f>
        <v>0</v>
      </c>
    </row>
    <row r="734" spans="1:8" hidden="1">
      <c r="E734" s="96" t="s">
        <v>81</v>
      </c>
      <c r="F734" s="113">
        <f>'Mono 13,8kv'!F13</f>
        <v>0</v>
      </c>
    </row>
    <row r="735" spans="1:8" hidden="1">
      <c r="E735" s="97" t="s">
        <v>82</v>
      </c>
      <c r="F735" s="113">
        <f>'Mono 13,8kv'!F14</f>
        <v>0</v>
      </c>
    </row>
    <row r="736" spans="1:8" hidden="1">
      <c r="E736" s="96" t="s">
        <v>83</v>
      </c>
      <c r="F736" s="113">
        <f>'Mono 13,8kv'!F15</f>
        <v>0</v>
      </c>
    </row>
    <row r="737" spans="5:6" hidden="1">
      <c r="E737" s="97" t="s">
        <v>85</v>
      </c>
      <c r="F737" s="113">
        <f>'Mono 13,8kv'!F16</f>
        <v>0</v>
      </c>
    </row>
    <row r="738" spans="5:6" hidden="1">
      <c r="E738" s="96" t="s">
        <v>84</v>
      </c>
      <c r="F738" s="113">
        <f>'Mono 13,8kv'!F17</f>
        <v>0</v>
      </c>
    </row>
    <row r="739" spans="5:6" hidden="1">
      <c r="E739" s="97" t="s">
        <v>86</v>
      </c>
      <c r="F739" s="113">
        <f>'Mono 13,8kv'!F18</f>
        <v>0</v>
      </c>
    </row>
    <row r="740" spans="5:6" hidden="1">
      <c r="E740" s="96" t="s">
        <v>87</v>
      </c>
      <c r="F740" s="113">
        <f>'Mono 13,8kv'!F19</f>
        <v>0</v>
      </c>
    </row>
    <row r="741" spans="5:6" hidden="1">
      <c r="E741" s="97" t="s">
        <v>101</v>
      </c>
      <c r="F741" s="113">
        <f>'Mono 13,8kv'!F20</f>
        <v>0</v>
      </c>
    </row>
    <row r="742" spans="5:6" hidden="1">
      <c r="E742" s="96" t="s">
        <v>88</v>
      </c>
      <c r="F742" s="113">
        <f>'Mono 13,8kv'!F21</f>
        <v>0</v>
      </c>
    </row>
    <row r="743" spans="5:6" hidden="1">
      <c r="E743" s="97" t="s">
        <v>89</v>
      </c>
      <c r="F743" s="113">
        <f>'Mono 13,8kv'!F22</f>
        <v>0</v>
      </c>
    </row>
    <row r="744" spans="5:6" hidden="1">
      <c r="E744" s="96" t="s">
        <v>90</v>
      </c>
      <c r="F744" s="113">
        <f>'Mono 13,8kv'!F23</f>
        <v>0</v>
      </c>
    </row>
    <row r="745" spans="5:6" hidden="1">
      <c r="E745" s="97" t="s">
        <v>93</v>
      </c>
      <c r="F745" s="113">
        <f>'Mono 13,8kv'!F24</f>
        <v>0</v>
      </c>
    </row>
    <row r="746" spans="5:6" hidden="1">
      <c r="E746" s="96" t="s">
        <v>91</v>
      </c>
      <c r="F746" s="113">
        <f>'Mono 13,8kv'!F25</f>
        <v>0</v>
      </c>
    </row>
    <row r="747" spans="5:6" hidden="1">
      <c r="E747" s="97" t="s">
        <v>92</v>
      </c>
      <c r="F747" s="113">
        <f>'Mono 13,8kv'!F26</f>
        <v>0</v>
      </c>
    </row>
    <row r="748" spans="5:6" hidden="1">
      <c r="F748" s="886">
        <f>SUM(F726:F747)</f>
        <v>0</v>
      </c>
    </row>
    <row r="749" spans="5:6" ht="18.75" hidden="1">
      <c r="E749" s="261" t="s">
        <v>535</v>
      </c>
      <c r="F749" s="281">
        <f>SUM(F750:F771)</f>
        <v>0</v>
      </c>
    </row>
    <row r="750" spans="5:6" hidden="1">
      <c r="E750" s="96" t="s">
        <v>74</v>
      </c>
      <c r="F750" s="75">
        <f>'Mono 13,8kv'!L5+'Mono 13,8kv'!M5</f>
        <v>0</v>
      </c>
    </row>
    <row r="751" spans="5:6" hidden="1">
      <c r="E751" s="97" t="s">
        <v>75</v>
      </c>
      <c r="F751" s="75">
        <f>'Mono 13,8kv'!L6+'Mono 13,8kv'!M6</f>
        <v>0</v>
      </c>
    </row>
    <row r="752" spans="5:6" hidden="1">
      <c r="E752" s="96" t="s">
        <v>76</v>
      </c>
      <c r="F752" s="75">
        <f>'Mono 13,8kv'!L7+'Mono 13,8kv'!M7</f>
        <v>0</v>
      </c>
    </row>
    <row r="753" spans="5:6" hidden="1">
      <c r="E753" s="97" t="s">
        <v>77</v>
      </c>
      <c r="F753" s="75">
        <f>'Mono 13,8kv'!L8+'Mono 13,8kv'!M8</f>
        <v>0</v>
      </c>
    </row>
    <row r="754" spans="5:6" hidden="1">
      <c r="E754" s="96" t="s">
        <v>100</v>
      </c>
      <c r="F754" s="75">
        <f>'Mono 13,8kv'!L9+'Mono 13,8kv'!M9</f>
        <v>0</v>
      </c>
    </row>
    <row r="755" spans="5:6" hidden="1">
      <c r="E755" s="97" t="s">
        <v>78</v>
      </c>
      <c r="F755" s="75">
        <f>'Mono 13,8kv'!L10+'Mono 13,8kv'!M10</f>
        <v>0</v>
      </c>
    </row>
    <row r="756" spans="5:6" hidden="1">
      <c r="E756" s="96" t="s">
        <v>79</v>
      </c>
      <c r="F756" s="75">
        <f>'Mono 13,8kv'!L11+'Mono 13,8kv'!M11</f>
        <v>0</v>
      </c>
    </row>
    <row r="757" spans="5:6" hidden="1">
      <c r="E757" s="97" t="s">
        <v>80</v>
      </c>
      <c r="F757" s="75">
        <f>'Mono 13,8kv'!L12+'Mono 13,8kv'!M12</f>
        <v>0</v>
      </c>
    </row>
    <row r="758" spans="5:6" hidden="1">
      <c r="E758" s="96" t="s">
        <v>81</v>
      </c>
      <c r="F758" s="75">
        <f>'Mono 13,8kv'!L13+'Mono 13,8kv'!M13</f>
        <v>0</v>
      </c>
    </row>
    <row r="759" spans="5:6" hidden="1">
      <c r="E759" s="97" t="s">
        <v>82</v>
      </c>
      <c r="F759" s="75">
        <f>'Mono 13,8kv'!L14+'Mono 13,8kv'!M14</f>
        <v>0</v>
      </c>
    </row>
    <row r="760" spans="5:6" hidden="1">
      <c r="E760" s="96" t="s">
        <v>83</v>
      </c>
      <c r="F760" s="75">
        <f>'Mono 13,8kv'!L15+'Mono 13,8kv'!M15</f>
        <v>0</v>
      </c>
    </row>
    <row r="761" spans="5:6" hidden="1">
      <c r="E761" s="97" t="s">
        <v>85</v>
      </c>
      <c r="F761" s="75">
        <f>'Mono 13,8kv'!L16+'Mono 13,8kv'!M16</f>
        <v>0</v>
      </c>
    </row>
    <row r="762" spans="5:6" hidden="1">
      <c r="E762" s="96" t="s">
        <v>84</v>
      </c>
      <c r="F762" s="75">
        <f>'Mono 13,8kv'!L17+'Mono 13,8kv'!M17</f>
        <v>0</v>
      </c>
    </row>
    <row r="763" spans="5:6" hidden="1">
      <c r="E763" s="97" t="s">
        <v>86</v>
      </c>
      <c r="F763" s="75">
        <f>'Mono 13,8kv'!L18+'Mono 13,8kv'!M18</f>
        <v>0</v>
      </c>
    </row>
    <row r="764" spans="5:6" hidden="1">
      <c r="E764" s="96" t="s">
        <v>87</v>
      </c>
      <c r="F764" s="75">
        <f>'Mono 13,8kv'!L19+'Mono 13,8kv'!M19</f>
        <v>0</v>
      </c>
    </row>
    <row r="765" spans="5:6" hidden="1">
      <c r="E765" s="97" t="s">
        <v>101</v>
      </c>
      <c r="F765" s="75">
        <f>'Mono 13,8kv'!L20+'Mono 13,8kv'!M20</f>
        <v>0</v>
      </c>
    </row>
    <row r="766" spans="5:6" hidden="1">
      <c r="E766" s="96" t="s">
        <v>88</v>
      </c>
      <c r="F766" s="75">
        <f>'Mono 13,8kv'!L21+'Mono 13,8kv'!M21</f>
        <v>0</v>
      </c>
    </row>
    <row r="767" spans="5:6" hidden="1">
      <c r="E767" s="97" t="s">
        <v>89</v>
      </c>
      <c r="F767" s="75">
        <f>'Mono 13,8kv'!L22+'Mono 13,8kv'!M22</f>
        <v>0</v>
      </c>
    </row>
    <row r="768" spans="5:6" hidden="1">
      <c r="E768" s="96" t="s">
        <v>90</v>
      </c>
      <c r="F768" s="75">
        <f>'Mono 13,8kv'!L23+'Mono 13,8kv'!M23</f>
        <v>0</v>
      </c>
    </row>
    <row r="769" spans="4:6" hidden="1">
      <c r="E769" s="97" t="s">
        <v>93</v>
      </c>
      <c r="F769" s="75">
        <f>'Mono 13,8kv'!L24+'Mono 13,8kv'!M24</f>
        <v>0</v>
      </c>
    </row>
    <row r="770" spans="4:6" hidden="1">
      <c r="E770" s="96" t="s">
        <v>91</v>
      </c>
      <c r="F770" s="75">
        <f>'Mono 13,8kv'!L25+'Mono 13,8kv'!M25</f>
        <v>0</v>
      </c>
    </row>
    <row r="771" spans="4:6" hidden="1">
      <c r="E771" s="97" t="s">
        <v>92</v>
      </c>
      <c r="F771" s="75">
        <f>'Mono 13,8kv'!L26+'Mono 13,8kv'!M26</f>
        <v>0</v>
      </c>
    </row>
    <row r="772" spans="4:6" hidden="1">
      <c r="F772" s="278">
        <f>SUM(F750:F771)</f>
        <v>0</v>
      </c>
    </row>
    <row r="773" spans="4:6" ht="19.5" hidden="1" thickBot="1">
      <c r="D773" s="36"/>
      <c r="E773" s="228" t="s">
        <v>135</v>
      </c>
      <c r="F773" s="292">
        <f>SUM(F774:F795)</f>
        <v>0</v>
      </c>
    </row>
    <row r="774" spans="4:6" hidden="1">
      <c r="D774" s="37"/>
      <c r="E774" s="74" t="s">
        <v>74</v>
      </c>
      <c r="F774" s="226">
        <f>'Mono 13,8kv'!P5+'Mono 13,8kv'!Q5</f>
        <v>0</v>
      </c>
    </row>
    <row r="775" spans="4:6" hidden="1">
      <c r="D775" s="37"/>
      <c r="E775" s="77" t="s">
        <v>75</v>
      </c>
      <c r="F775" s="75">
        <f>'Mono 13,8kv'!P6+'Mono 13,8kv'!Q6</f>
        <v>0</v>
      </c>
    </row>
    <row r="776" spans="4:6" hidden="1">
      <c r="D776" s="37"/>
      <c r="E776" s="74" t="s">
        <v>76</v>
      </c>
      <c r="F776" s="75">
        <f>'Mono 13,8kv'!P7+'Mono 13,8kv'!Q7</f>
        <v>0</v>
      </c>
    </row>
    <row r="777" spans="4:6" hidden="1">
      <c r="D777" s="37"/>
      <c r="E777" s="77" t="s">
        <v>77</v>
      </c>
      <c r="F777" s="75">
        <f>'Mono 13,8kv'!P8+'Mono 13,8kv'!Q8</f>
        <v>0</v>
      </c>
    </row>
    <row r="778" spans="4:6" hidden="1">
      <c r="D778" s="37"/>
      <c r="E778" s="74" t="s">
        <v>100</v>
      </c>
      <c r="F778" s="75">
        <f>'Mono 13,8kv'!P9+'Mono 13,8kv'!Q9</f>
        <v>0</v>
      </c>
    </row>
    <row r="779" spans="4:6" hidden="1">
      <c r="D779" s="37"/>
      <c r="E779" s="77" t="s">
        <v>78</v>
      </c>
      <c r="F779" s="75">
        <f>'Mono 13,8kv'!P10+'Mono 13,8kv'!Q10</f>
        <v>0</v>
      </c>
    </row>
    <row r="780" spans="4:6" hidden="1">
      <c r="D780" s="37"/>
      <c r="E780" s="74" t="s">
        <v>79</v>
      </c>
      <c r="F780" s="75">
        <f>'Mono 13,8kv'!P11+'Mono 13,8kv'!Q11</f>
        <v>0</v>
      </c>
    </row>
    <row r="781" spans="4:6" hidden="1">
      <c r="D781" s="37"/>
      <c r="E781" s="77" t="s">
        <v>80</v>
      </c>
      <c r="F781" s="75">
        <f>'Mono 13,8kv'!P12+'Mono 13,8kv'!Q12</f>
        <v>0</v>
      </c>
    </row>
    <row r="782" spans="4:6" hidden="1">
      <c r="D782" s="37"/>
      <c r="E782" s="74" t="s">
        <v>81</v>
      </c>
      <c r="F782" s="75">
        <f>'Mono 13,8kv'!P13+'Mono 13,8kv'!Q13</f>
        <v>0</v>
      </c>
    </row>
    <row r="783" spans="4:6" hidden="1">
      <c r="D783" s="37"/>
      <c r="E783" s="77" t="s">
        <v>82</v>
      </c>
      <c r="F783" s="75">
        <f>'Mono 13,8kv'!P14+'Mono 13,8kv'!Q14</f>
        <v>0</v>
      </c>
    </row>
    <row r="784" spans="4:6" hidden="1">
      <c r="D784" s="37"/>
      <c r="E784" s="74" t="s">
        <v>83</v>
      </c>
      <c r="F784" s="75">
        <f>'Mono 13,8kv'!P15+'Mono 13,8kv'!Q15</f>
        <v>0</v>
      </c>
    </row>
    <row r="785" spans="4:6" hidden="1">
      <c r="D785" s="37"/>
      <c r="E785" s="77" t="s">
        <v>85</v>
      </c>
      <c r="F785" s="75">
        <f>'Mono 13,8kv'!P16+'Mono 13,8kv'!Q16</f>
        <v>0</v>
      </c>
    </row>
    <row r="786" spans="4:6" hidden="1">
      <c r="D786" s="37"/>
      <c r="E786" s="74" t="s">
        <v>84</v>
      </c>
      <c r="F786" s="75">
        <f>'Mono 13,8kv'!P17+'Mono 13,8kv'!Q17</f>
        <v>0</v>
      </c>
    </row>
    <row r="787" spans="4:6" hidden="1">
      <c r="D787" s="37"/>
      <c r="E787" s="77" t="s">
        <v>86</v>
      </c>
      <c r="F787" s="75">
        <f>'Mono 13,8kv'!P18+'Mono 13,8kv'!Q18</f>
        <v>0</v>
      </c>
    </row>
    <row r="788" spans="4:6" hidden="1">
      <c r="D788" s="37"/>
      <c r="E788" s="74" t="s">
        <v>87</v>
      </c>
      <c r="F788" s="75">
        <f>'Mono 13,8kv'!P19+'Mono 13,8kv'!Q19</f>
        <v>0</v>
      </c>
    </row>
    <row r="789" spans="4:6" hidden="1">
      <c r="D789" s="37"/>
      <c r="E789" s="77" t="s">
        <v>101</v>
      </c>
      <c r="F789" s="75">
        <f>'Mono 13,8kv'!P20+'Mono 13,8kv'!Q20</f>
        <v>0</v>
      </c>
    </row>
    <row r="790" spans="4:6" hidden="1">
      <c r="D790" s="37"/>
      <c r="E790" s="74" t="s">
        <v>88</v>
      </c>
      <c r="F790" s="75">
        <f>'Mono 13,8kv'!P21+'Mono 13,8kv'!Q21</f>
        <v>0</v>
      </c>
    </row>
    <row r="791" spans="4:6" hidden="1">
      <c r="D791" s="37"/>
      <c r="E791" s="77" t="s">
        <v>89</v>
      </c>
      <c r="F791" s="75">
        <f>'Mono 13,8kv'!P22+'Mono 13,8kv'!Q22</f>
        <v>0</v>
      </c>
    </row>
    <row r="792" spans="4:6" hidden="1">
      <c r="D792" s="37"/>
      <c r="E792" s="74" t="s">
        <v>90</v>
      </c>
      <c r="F792" s="75">
        <f>'Mono 13,8kv'!P23+'Mono 13,8kv'!Q23</f>
        <v>0</v>
      </c>
    </row>
    <row r="793" spans="4:6" hidden="1">
      <c r="D793" s="37"/>
      <c r="E793" s="77" t="s">
        <v>93</v>
      </c>
      <c r="F793" s="75">
        <f>'Mono 13,8kv'!P24+'Mono 13,8kv'!Q24</f>
        <v>0</v>
      </c>
    </row>
    <row r="794" spans="4:6" hidden="1">
      <c r="D794" s="37"/>
      <c r="E794" s="74" t="s">
        <v>91</v>
      </c>
      <c r="F794" s="75">
        <f>'Mono 13,8kv'!P25+'Mono 13,8kv'!Q25</f>
        <v>0</v>
      </c>
    </row>
    <row r="795" spans="4:6" hidden="1">
      <c r="D795" s="37"/>
      <c r="E795" s="77" t="s">
        <v>92</v>
      </c>
      <c r="F795" s="75">
        <f>'Mono 13,8kv'!P26+'Mono 13,8kv'!Q26</f>
        <v>0</v>
      </c>
    </row>
    <row r="796" spans="4:6" hidden="1">
      <c r="F796" s="278">
        <f>SUM(F774:F795)</f>
        <v>0</v>
      </c>
    </row>
    <row r="797" spans="4:6" ht="19.5" hidden="1" thickBot="1">
      <c r="D797" s="1675" t="s">
        <v>360</v>
      </c>
      <c r="E797" s="1676"/>
      <c r="F797" s="290">
        <f>SUM(F798:F819)</f>
        <v>0</v>
      </c>
    </row>
    <row r="798" spans="4:6" hidden="1">
      <c r="D798" s="38"/>
      <c r="E798" s="74" t="s">
        <v>74</v>
      </c>
      <c r="F798" s="75">
        <f>'Mono 13,8kv'!T5+'Mono 13,8kv'!U5</f>
        <v>0</v>
      </c>
    </row>
    <row r="799" spans="4:6" hidden="1">
      <c r="D799" s="38"/>
      <c r="E799" s="77" t="s">
        <v>75</v>
      </c>
      <c r="F799" s="75">
        <f>'Mono 13,8kv'!T6+'Mono 13,8kv'!U6</f>
        <v>0</v>
      </c>
    </row>
    <row r="800" spans="4:6" hidden="1">
      <c r="D800" s="38"/>
      <c r="E800" s="74" t="s">
        <v>76</v>
      </c>
      <c r="F800" s="75">
        <f>'Mono 13,8kv'!T7+'Mono 13,8kv'!U7</f>
        <v>0</v>
      </c>
    </row>
    <row r="801" spans="4:6" hidden="1">
      <c r="D801" s="38"/>
      <c r="E801" s="77" t="s">
        <v>77</v>
      </c>
      <c r="F801" s="75">
        <f>'Mono 13,8kv'!T8+'Mono 13,8kv'!U8</f>
        <v>0</v>
      </c>
    </row>
    <row r="802" spans="4:6" hidden="1">
      <c r="D802" s="38"/>
      <c r="E802" s="74" t="s">
        <v>100</v>
      </c>
      <c r="F802" s="75">
        <f>'Mono 13,8kv'!T9+'Mono 13,8kv'!U9</f>
        <v>0</v>
      </c>
    </row>
    <row r="803" spans="4:6" hidden="1">
      <c r="D803" s="38"/>
      <c r="E803" s="77" t="s">
        <v>78</v>
      </c>
      <c r="F803" s="75">
        <f>'Mono 13,8kv'!T10+'Mono 13,8kv'!U10</f>
        <v>0</v>
      </c>
    </row>
    <row r="804" spans="4:6" hidden="1">
      <c r="D804" s="38"/>
      <c r="E804" s="74" t="s">
        <v>79</v>
      </c>
      <c r="F804" s="75">
        <f>'Mono 13,8kv'!T11+'Mono 13,8kv'!U11</f>
        <v>0</v>
      </c>
    </row>
    <row r="805" spans="4:6" hidden="1">
      <c r="D805" s="38"/>
      <c r="E805" s="77" t="s">
        <v>80</v>
      </c>
      <c r="F805" s="75">
        <f>'Mono 13,8kv'!T12+'Mono 13,8kv'!U12</f>
        <v>0</v>
      </c>
    </row>
    <row r="806" spans="4:6" hidden="1">
      <c r="D806" s="38"/>
      <c r="E806" s="74" t="s">
        <v>81</v>
      </c>
      <c r="F806" s="75">
        <f>'Mono 13,8kv'!T13+'Mono 13,8kv'!U13</f>
        <v>0</v>
      </c>
    </row>
    <row r="807" spans="4:6" hidden="1">
      <c r="D807" s="38"/>
      <c r="E807" s="77" t="s">
        <v>82</v>
      </c>
      <c r="F807" s="75">
        <f>'Mono 13,8kv'!T14+'Mono 13,8kv'!U14</f>
        <v>0</v>
      </c>
    </row>
    <row r="808" spans="4:6" hidden="1">
      <c r="D808" s="38"/>
      <c r="E808" s="74" t="s">
        <v>83</v>
      </c>
      <c r="F808" s="75">
        <f>'Mono 13,8kv'!T15+'Mono 13,8kv'!U15</f>
        <v>0</v>
      </c>
    </row>
    <row r="809" spans="4:6" hidden="1">
      <c r="D809" s="38"/>
      <c r="E809" s="77" t="s">
        <v>85</v>
      </c>
      <c r="F809" s="75">
        <f>'Mono 13,8kv'!T16+'Mono 13,8kv'!U16</f>
        <v>0</v>
      </c>
    </row>
    <row r="810" spans="4:6" hidden="1">
      <c r="D810" s="38"/>
      <c r="E810" s="74" t="s">
        <v>84</v>
      </c>
      <c r="F810" s="75">
        <f>'Mono 13,8kv'!T17+'Mono 13,8kv'!U17</f>
        <v>0</v>
      </c>
    </row>
    <row r="811" spans="4:6" hidden="1">
      <c r="D811" s="38"/>
      <c r="E811" s="77" t="s">
        <v>86</v>
      </c>
      <c r="F811" s="75">
        <f>'Mono 13,8kv'!T18+'Mono 13,8kv'!U18</f>
        <v>0</v>
      </c>
    </row>
    <row r="812" spans="4:6" hidden="1">
      <c r="D812" s="38"/>
      <c r="E812" s="74" t="s">
        <v>87</v>
      </c>
      <c r="F812" s="75">
        <f>'Mono 13,8kv'!T19+'Mono 13,8kv'!U19</f>
        <v>0</v>
      </c>
    </row>
    <row r="813" spans="4:6" hidden="1">
      <c r="D813" s="38"/>
      <c r="E813" s="77" t="s">
        <v>101</v>
      </c>
      <c r="F813" s="75">
        <f>'Mono 13,8kv'!T20+'Mono 13,8kv'!U20</f>
        <v>0</v>
      </c>
    </row>
    <row r="814" spans="4:6" hidden="1">
      <c r="D814" s="38"/>
      <c r="E814" s="74" t="s">
        <v>88</v>
      </c>
      <c r="F814" s="75">
        <f>'Mono 13,8kv'!T21+'Mono 13,8kv'!U21</f>
        <v>0</v>
      </c>
    </row>
    <row r="815" spans="4:6" hidden="1">
      <c r="D815" s="38"/>
      <c r="E815" s="77" t="s">
        <v>89</v>
      </c>
      <c r="F815" s="75">
        <f>'Mono 13,8kv'!T22+'Mono 13,8kv'!U22</f>
        <v>0</v>
      </c>
    </row>
    <row r="816" spans="4:6" hidden="1">
      <c r="D816" s="38"/>
      <c r="E816" s="74" t="s">
        <v>90</v>
      </c>
      <c r="F816" s="75">
        <f>'Mono 13,8kv'!T23+'Mono 13,8kv'!U23</f>
        <v>0</v>
      </c>
    </row>
    <row r="817" spans="4:6" hidden="1">
      <c r="D817" s="38"/>
      <c r="E817" s="77" t="s">
        <v>93</v>
      </c>
      <c r="F817" s="75">
        <f>'Mono 13,8kv'!T24+'Mono 13,8kv'!U24</f>
        <v>0</v>
      </c>
    </row>
    <row r="818" spans="4:6" hidden="1">
      <c r="D818" s="38"/>
      <c r="E818" s="74" t="s">
        <v>91</v>
      </c>
      <c r="F818" s="75">
        <f>'Mono 13,8kv'!T25+'Mono 13,8kv'!U25</f>
        <v>0</v>
      </c>
    </row>
    <row r="819" spans="4:6" hidden="1">
      <c r="D819" s="38"/>
      <c r="E819" s="77" t="s">
        <v>92</v>
      </c>
      <c r="F819" s="75">
        <f>'Mono 13,8kv'!T26+'Mono 13,8kv'!U26</f>
        <v>0</v>
      </c>
    </row>
    <row r="820" spans="4:6" hidden="1">
      <c r="F820" s="280">
        <f>SUM(F798:F819)</f>
        <v>0</v>
      </c>
    </row>
    <row r="821" spans="4:6" ht="18.75" hidden="1">
      <c r="E821" s="261" t="s">
        <v>536</v>
      </c>
      <c r="F821" s="281">
        <f>SUM(F822:F843)</f>
        <v>0</v>
      </c>
    </row>
    <row r="822" spans="4:6" hidden="1">
      <c r="E822" s="74" t="s">
        <v>74</v>
      </c>
      <c r="F822" s="75">
        <f>'Mono 13,8kv'!X5+'Mono 13,8kv'!Y5</f>
        <v>0</v>
      </c>
    </row>
    <row r="823" spans="4:6" hidden="1">
      <c r="E823" s="77" t="s">
        <v>75</v>
      </c>
      <c r="F823" s="75">
        <f>'Mono 13,8kv'!X6+'Mono 13,8kv'!Y6</f>
        <v>0</v>
      </c>
    </row>
    <row r="824" spans="4:6" hidden="1">
      <c r="E824" s="74" t="s">
        <v>76</v>
      </c>
      <c r="F824" s="75">
        <f>'Mono 13,8kv'!X7+'Mono 13,8kv'!Y7</f>
        <v>0</v>
      </c>
    </row>
    <row r="825" spans="4:6" hidden="1">
      <c r="E825" s="77" t="s">
        <v>77</v>
      </c>
      <c r="F825" s="75">
        <f>'Mono 13,8kv'!X8+'Mono 13,8kv'!Y8</f>
        <v>0</v>
      </c>
    </row>
    <row r="826" spans="4:6" hidden="1">
      <c r="E826" s="74" t="s">
        <v>100</v>
      </c>
      <c r="F826" s="75">
        <f>'Mono 13,8kv'!X9+'Mono 13,8kv'!Y9</f>
        <v>0</v>
      </c>
    </row>
    <row r="827" spans="4:6" hidden="1">
      <c r="E827" s="77" t="s">
        <v>78</v>
      </c>
      <c r="F827" s="75">
        <f>'Mono 13,8kv'!X10+'Mono 13,8kv'!Y10</f>
        <v>0</v>
      </c>
    </row>
    <row r="828" spans="4:6" hidden="1">
      <c r="E828" s="74" t="s">
        <v>79</v>
      </c>
      <c r="F828" s="75">
        <f>'Mono 13,8kv'!X11+'Mono 13,8kv'!Y11</f>
        <v>0</v>
      </c>
    </row>
    <row r="829" spans="4:6" hidden="1">
      <c r="E829" s="77" t="s">
        <v>80</v>
      </c>
      <c r="F829" s="75">
        <f>'Mono 13,8kv'!X12+'Mono 13,8kv'!Y12</f>
        <v>0</v>
      </c>
    </row>
    <row r="830" spans="4:6" hidden="1">
      <c r="E830" s="74" t="s">
        <v>81</v>
      </c>
      <c r="F830" s="75">
        <f>'Mono 13,8kv'!X13+'Mono 13,8kv'!Y13</f>
        <v>0</v>
      </c>
    </row>
    <row r="831" spans="4:6" hidden="1">
      <c r="E831" s="77" t="s">
        <v>82</v>
      </c>
      <c r="F831" s="75">
        <f>'Mono 13,8kv'!X14+'Mono 13,8kv'!Y14</f>
        <v>0</v>
      </c>
    </row>
    <row r="832" spans="4:6" hidden="1">
      <c r="E832" s="74" t="s">
        <v>83</v>
      </c>
      <c r="F832" s="75">
        <f>'Mono 13,8kv'!X15+'Mono 13,8kv'!Y15</f>
        <v>0</v>
      </c>
    </row>
    <row r="833" spans="4:6" hidden="1">
      <c r="E833" s="77" t="s">
        <v>85</v>
      </c>
      <c r="F833" s="75">
        <f>'Mono 13,8kv'!X16+'Mono 13,8kv'!Y16</f>
        <v>0</v>
      </c>
    </row>
    <row r="834" spans="4:6" hidden="1">
      <c r="E834" s="74" t="s">
        <v>84</v>
      </c>
      <c r="F834" s="75">
        <f>'Mono 13,8kv'!X17+'Mono 13,8kv'!Y17</f>
        <v>0</v>
      </c>
    </row>
    <row r="835" spans="4:6" hidden="1">
      <c r="E835" s="77" t="s">
        <v>86</v>
      </c>
      <c r="F835" s="75">
        <f>'Mono 13,8kv'!X18+'Mono 13,8kv'!Y18</f>
        <v>0</v>
      </c>
    </row>
    <row r="836" spans="4:6" hidden="1">
      <c r="E836" s="74" t="s">
        <v>87</v>
      </c>
      <c r="F836" s="75">
        <f>'Mono 13,8kv'!X19+'Mono 13,8kv'!Y19</f>
        <v>0</v>
      </c>
    </row>
    <row r="837" spans="4:6" hidden="1">
      <c r="E837" s="77" t="s">
        <v>101</v>
      </c>
      <c r="F837" s="75">
        <f>'Mono 13,8kv'!X20+'Mono 13,8kv'!Y20</f>
        <v>0</v>
      </c>
    </row>
    <row r="838" spans="4:6" hidden="1">
      <c r="E838" s="74" t="s">
        <v>88</v>
      </c>
      <c r="F838" s="75">
        <f>'Mono 13,8kv'!X21+'Mono 13,8kv'!Y21</f>
        <v>0</v>
      </c>
    </row>
    <row r="839" spans="4:6" hidden="1">
      <c r="E839" s="77" t="s">
        <v>89</v>
      </c>
      <c r="F839" s="75">
        <f>'Mono 13,8kv'!X22+'Mono 13,8kv'!Y22</f>
        <v>0</v>
      </c>
    </row>
    <row r="840" spans="4:6" hidden="1">
      <c r="E840" s="74" t="s">
        <v>90</v>
      </c>
      <c r="F840" s="75">
        <f>'Mono 13,8kv'!X23+'Mono 13,8kv'!Y23</f>
        <v>0</v>
      </c>
    </row>
    <row r="841" spans="4:6" hidden="1">
      <c r="E841" s="77" t="s">
        <v>93</v>
      </c>
      <c r="F841" s="75">
        <f>'Mono 13,8kv'!X24+'Mono 13,8kv'!Y24</f>
        <v>0</v>
      </c>
    </row>
    <row r="842" spans="4:6" hidden="1">
      <c r="E842" s="74" t="s">
        <v>91</v>
      </c>
      <c r="F842" s="75">
        <f>'Mono 13,8kv'!X25+'Mono 13,8kv'!Y25</f>
        <v>0</v>
      </c>
    </row>
    <row r="843" spans="4:6" hidden="1">
      <c r="E843" s="77" t="s">
        <v>92</v>
      </c>
      <c r="F843" s="75">
        <f>'Mono 13,8kv'!X26+'Mono 13,8kv'!Y26</f>
        <v>0</v>
      </c>
    </row>
    <row r="844" spans="4:6" hidden="1">
      <c r="F844" s="280">
        <f>SUM(F822:F843)</f>
        <v>0</v>
      </c>
    </row>
    <row r="845" spans="4:6" ht="19.5" hidden="1" thickBot="1">
      <c r="D845" s="1689" t="s">
        <v>537</v>
      </c>
      <c r="E845" s="1690"/>
      <c r="F845" s="286">
        <f>SUM(F846:F867)</f>
        <v>0</v>
      </c>
    </row>
    <row r="846" spans="4:6" hidden="1">
      <c r="E846" s="263" t="s">
        <v>74</v>
      </c>
      <c r="F846" s="79">
        <f>'Mono 13,8kv'!AB5</f>
        <v>0</v>
      </c>
    </row>
    <row r="847" spans="4:6" hidden="1">
      <c r="E847" s="77" t="s">
        <v>75</v>
      </c>
      <c r="F847" s="79">
        <f>'Mono 13,8kv'!AB6</f>
        <v>0</v>
      </c>
    </row>
    <row r="848" spans="4:6" hidden="1">
      <c r="E848" s="74" t="s">
        <v>76</v>
      </c>
      <c r="F848" s="79">
        <f>'Mono 13,8kv'!AB7</f>
        <v>0</v>
      </c>
    </row>
    <row r="849" spans="5:6" hidden="1">
      <c r="E849" s="77" t="s">
        <v>77</v>
      </c>
      <c r="F849" s="79">
        <f>'Mono 13,8kv'!AB8</f>
        <v>0</v>
      </c>
    </row>
    <row r="850" spans="5:6" hidden="1">
      <c r="E850" s="74" t="s">
        <v>100</v>
      </c>
      <c r="F850" s="79">
        <f>'Mono 13,8kv'!AB9</f>
        <v>0</v>
      </c>
    </row>
    <row r="851" spans="5:6" hidden="1">
      <c r="E851" s="77" t="s">
        <v>78</v>
      </c>
      <c r="F851" s="79">
        <f>'Mono 13,8kv'!AB10</f>
        <v>0</v>
      </c>
    </row>
    <row r="852" spans="5:6" hidden="1">
      <c r="E852" s="74" t="s">
        <v>79</v>
      </c>
      <c r="F852" s="79">
        <f>'Mono 13,8kv'!AB11</f>
        <v>0</v>
      </c>
    </row>
    <row r="853" spans="5:6" hidden="1">
      <c r="E853" s="77" t="s">
        <v>80</v>
      </c>
      <c r="F853" s="79">
        <f>'Mono 13,8kv'!AB12</f>
        <v>0</v>
      </c>
    </row>
    <row r="854" spans="5:6" hidden="1">
      <c r="E854" s="74" t="s">
        <v>81</v>
      </c>
      <c r="F854" s="79">
        <f>'Mono 13,8kv'!AB13</f>
        <v>0</v>
      </c>
    </row>
    <row r="855" spans="5:6" hidden="1">
      <c r="E855" s="77" t="s">
        <v>82</v>
      </c>
      <c r="F855" s="79">
        <f>'Mono 13,8kv'!AB14</f>
        <v>0</v>
      </c>
    </row>
    <row r="856" spans="5:6" hidden="1">
      <c r="E856" s="74" t="s">
        <v>83</v>
      </c>
      <c r="F856" s="79">
        <f>'Mono 13,8kv'!AB15</f>
        <v>0</v>
      </c>
    </row>
    <row r="857" spans="5:6" hidden="1">
      <c r="E857" s="77" t="s">
        <v>85</v>
      </c>
      <c r="F857" s="79">
        <f>'Mono 13,8kv'!AB16</f>
        <v>0</v>
      </c>
    </row>
    <row r="858" spans="5:6" hidden="1">
      <c r="E858" s="74" t="s">
        <v>84</v>
      </c>
      <c r="F858" s="79">
        <f>'Mono 13,8kv'!AB17</f>
        <v>0</v>
      </c>
    </row>
    <row r="859" spans="5:6" hidden="1">
      <c r="E859" s="77" t="s">
        <v>86</v>
      </c>
      <c r="F859" s="79">
        <f>'Mono 13,8kv'!AB18</f>
        <v>0</v>
      </c>
    </row>
    <row r="860" spans="5:6" hidden="1">
      <c r="E860" s="74" t="s">
        <v>87</v>
      </c>
      <c r="F860" s="79">
        <f>'Mono 13,8kv'!AB19</f>
        <v>0</v>
      </c>
    </row>
    <row r="861" spans="5:6" hidden="1">
      <c r="E861" s="77" t="s">
        <v>101</v>
      </c>
      <c r="F861" s="79">
        <f>'Mono 13,8kv'!AB20</f>
        <v>0</v>
      </c>
    </row>
    <row r="862" spans="5:6" hidden="1">
      <c r="E862" s="74" t="s">
        <v>88</v>
      </c>
      <c r="F862" s="79">
        <f>'Mono 13,8kv'!AB21</f>
        <v>0</v>
      </c>
    </row>
    <row r="863" spans="5:6" hidden="1">
      <c r="E863" s="77" t="s">
        <v>89</v>
      </c>
      <c r="F863" s="79">
        <f>'Mono 13,8kv'!AB22</f>
        <v>0</v>
      </c>
    </row>
    <row r="864" spans="5:6" hidden="1">
      <c r="E864" s="74" t="s">
        <v>90</v>
      </c>
      <c r="F864" s="79">
        <f>'Mono 13,8kv'!AB23</f>
        <v>0</v>
      </c>
    </row>
    <row r="865" spans="5:6" hidden="1">
      <c r="E865" s="77" t="s">
        <v>93</v>
      </c>
      <c r="F865" s="79">
        <f>'Mono 13,8kv'!AB24</f>
        <v>0</v>
      </c>
    </row>
    <row r="866" spans="5:6" hidden="1">
      <c r="E866" s="74" t="s">
        <v>91</v>
      </c>
      <c r="F866" s="79">
        <f>'Mono 13,8kv'!AB25</f>
        <v>0</v>
      </c>
    </row>
    <row r="867" spans="5:6" hidden="1">
      <c r="E867" s="77" t="s">
        <v>92</v>
      </c>
      <c r="F867" s="79">
        <f>'Mono 13,8kv'!AB26</f>
        <v>0</v>
      </c>
    </row>
    <row r="868" spans="5:6" hidden="1">
      <c r="F868" s="278">
        <f>SUM(F846:F867)</f>
        <v>0</v>
      </c>
    </row>
    <row r="869" spans="5:6" ht="19.5" hidden="1" thickBot="1">
      <c r="E869" s="262" t="s">
        <v>538</v>
      </c>
      <c r="F869" s="292">
        <f>SUM(F870:F891)</f>
        <v>0</v>
      </c>
    </row>
    <row r="870" spans="5:6" ht="16.5" hidden="1" thickBot="1">
      <c r="E870" s="32" t="s">
        <v>74</v>
      </c>
      <c r="F870" s="226">
        <f>'Mono 13,8kv'!AE5+'Mono 13,8kv'!AF5</f>
        <v>0</v>
      </c>
    </row>
    <row r="871" spans="5:6" hidden="1">
      <c r="E871" s="30" t="s">
        <v>75</v>
      </c>
      <c r="F871" s="226">
        <f>'Mono 13,8kv'!AE6+'Mono 13,8kv'!AF6</f>
        <v>0</v>
      </c>
    </row>
    <row r="872" spans="5:6" ht="16.5" hidden="1" thickBot="1">
      <c r="E872" s="32" t="s">
        <v>76</v>
      </c>
      <c r="F872" s="226">
        <f>'Mono 13,8kv'!AE7+'Mono 13,8kv'!AF7</f>
        <v>0</v>
      </c>
    </row>
    <row r="873" spans="5:6" hidden="1">
      <c r="E873" s="30" t="s">
        <v>77</v>
      </c>
      <c r="F873" s="226">
        <f>'Mono 13,8kv'!AE8+'Mono 13,8kv'!AF8</f>
        <v>0</v>
      </c>
    </row>
    <row r="874" spans="5:6" ht="16.5" hidden="1" thickBot="1">
      <c r="E874" s="32" t="s">
        <v>100</v>
      </c>
      <c r="F874" s="226">
        <f>'Mono 13,8kv'!AE9+'Mono 13,8kv'!AF9</f>
        <v>0</v>
      </c>
    </row>
    <row r="875" spans="5:6" hidden="1">
      <c r="E875" s="30" t="s">
        <v>78</v>
      </c>
      <c r="F875" s="226">
        <f>'Mono 13,8kv'!AE10+'Mono 13,8kv'!AF10</f>
        <v>0</v>
      </c>
    </row>
    <row r="876" spans="5:6" hidden="1">
      <c r="E876" s="98" t="s">
        <v>79</v>
      </c>
      <c r="F876" s="226">
        <f>'Mono 13,8kv'!AE11+'Mono 13,8kv'!AF11</f>
        <v>0</v>
      </c>
    </row>
    <row r="877" spans="5:6" ht="16.5" hidden="1" thickBot="1">
      <c r="E877" s="33" t="s">
        <v>80</v>
      </c>
      <c r="F877" s="226">
        <f>'Mono 13,8kv'!AE12+'Mono 13,8kv'!AF12</f>
        <v>0</v>
      </c>
    </row>
    <row r="878" spans="5:6" ht="16.5" hidden="1" thickBot="1">
      <c r="E878" s="28" t="s">
        <v>81</v>
      </c>
      <c r="F878" s="226">
        <f>'Mono 13,8kv'!AE13+'Mono 13,8kv'!AF13</f>
        <v>0</v>
      </c>
    </row>
    <row r="879" spans="5:6" ht="16.5" hidden="1" thickBot="1">
      <c r="E879" s="33" t="s">
        <v>82</v>
      </c>
      <c r="F879" s="226">
        <f>'Mono 13,8kv'!AE14+'Mono 13,8kv'!AF14</f>
        <v>0</v>
      </c>
    </row>
    <row r="880" spans="5:6" ht="16.5" hidden="1" thickBot="1">
      <c r="E880" s="32" t="s">
        <v>83</v>
      </c>
      <c r="F880" s="226">
        <f>'Mono 13,8kv'!AE15+'Mono 13,8kv'!AF15</f>
        <v>0</v>
      </c>
    </row>
    <row r="881" spans="4:6" ht="16.5" hidden="1" thickBot="1">
      <c r="E881" s="33" t="s">
        <v>85</v>
      </c>
      <c r="F881" s="226">
        <f>'Mono 13,8kv'!AE16+'Mono 13,8kv'!AF16</f>
        <v>0</v>
      </c>
    </row>
    <row r="882" spans="4:6" ht="16.5" hidden="1" thickBot="1">
      <c r="E882" s="32" t="s">
        <v>84</v>
      </c>
      <c r="F882" s="226">
        <f>'Mono 13,8kv'!AE17+'Mono 13,8kv'!AF17</f>
        <v>0</v>
      </c>
    </row>
    <row r="883" spans="4:6" ht="16.5" hidden="1" thickBot="1">
      <c r="E883" s="33" t="s">
        <v>86</v>
      </c>
      <c r="F883" s="226">
        <f>'Mono 13,8kv'!AE18+'Mono 13,8kv'!AF18</f>
        <v>0</v>
      </c>
    </row>
    <row r="884" spans="4:6" ht="16.5" hidden="1" thickBot="1">
      <c r="E884" s="32" t="s">
        <v>87</v>
      </c>
      <c r="F884" s="226">
        <f>'Mono 13,8kv'!AE19+'Mono 13,8kv'!AF19</f>
        <v>0</v>
      </c>
    </row>
    <row r="885" spans="4:6" ht="16.5" hidden="1" thickBot="1">
      <c r="E885" s="33" t="s">
        <v>101</v>
      </c>
      <c r="F885" s="226">
        <f>'Mono 13,8kv'!AE20+'Mono 13,8kv'!AF20</f>
        <v>0</v>
      </c>
    </row>
    <row r="886" spans="4:6" ht="16.5" hidden="1" thickBot="1">
      <c r="E886" s="32" t="s">
        <v>88</v>
      </c>
      <c r="F886" s="226">
        <f>'Mono 13,8kv'!AE21+'Mono 13,8kv'!AF21</f>
        <v>0</v>
      </c>
    </row>
    <row r="887" spans="4:6" hidden="1">
      <c r="E887" s="30" t="s">
        <v>89</v>
      </c>
      <c r="F887" s="226">
        <f>'Mono 13,8kv'!AE22+'Mono 13,8kv'!AF22</f>
        <v>0</v>
      </c>
    </row>
    <row r="888" spans="4:6" ht="16.5" hidden="1" thickBot="1">
      <c r="E888" s="32" t="s">
        <v>90</v>
      </c>
      <c r="F888" s="226">
        <f>'Mono 13,8kv'!AE23+'Mono 13,8kv'!AF23</f>
        <v>0</v>
      </c>
    </row>
    <row r="889" spans="4:6" ht="16.5" hidden="1" thickBot="1">
      <c r="E889" s="33" t="s">
        <v>93</v>
      </c>
      <c r="F889" s="226">
        <f>'Mono 13,8kv'!AE24+'Mono 13,8kv'!AF24</f>
        <v>0</v>
      </c>
    </row>
    <row r="890" spans="4:6" hidden="1">
      <c r="E890" s="34" t="s">
        <v>91</v>
      </c>
      <c r="F890" s="226">
        <f>'Mono 13,8kv'!AE25+'Mono 13,8kv'!AF25</f>
        <v>0</v>
      </c>
    </row>
    <row r="891" spans="4:6" hidden="1">
      <c r="E891" s="77" t="s">
        <v>92</v>
      </c>
      <c r="F891" s="226">
        <f>'Mono 13,8kv'!AE26+'Mono 13,8kv'!AF26</f>
        <v>0</v>
      </c>
    </row>
    <row r="892" spans="4:6" hidden="1">
      <c r="F892" s="280">
        <f>SUM(F870:F891)</f>
        <v>0</v>
      </c>
    </row>
    <row r="893" spans="4:6" ht="19.5" hidden="1" thickBot="1">
      <c r="D893" s="1689" t="s">
        <v>539</v>
      </c>
      <c r="E893" s="1690"/>
      <c r="F893" s="286">
        <f>SUM(F894:F915)</f>
        <v>0</v>
      </c>
    </row>
    <row r="894" spans="4:6" ht="16.5" hidden="1" thickBot="1">
      <c r="E894" s="28" t="s">
        <v>74</v>
      </c>
      <c r="F894" s="79">
        <f>'Mono 13,8kv'!AI5</f>
        <v>0</v>
      </c>
    </row>
    <row r="895" spans="4:6" hidden="1">
      <c r="E895" s="30" t="s">
        <v>75</v>
      </c>
      <c r="F895" s="79">
        <f>'Mono 13,8kv'!AI6</f>
        <v>0</v>
      </c>
    </row>
    <row r="896" spans="4:6" ht="16.5" hidden="1" thickBot="1">
      <c r="E896" s="32" t="s">
        <v>76</v>
      </c>
      <c r="F896" s="79">
        <f>'Mono 13,8kv'!AI7</f>
        <v>0</v>
      </c>
    </row>
    <row r="897" spans="5:6" hidden="1">
      <c r="E897" s="30" t="s">
        <v>77</v>
      </c>
      <c r="F897" s="79">
        <f>'Mono 13,8kv'!AI8</f>
        <v>0</v>
      </c>
    </row>
    <row r="898" spans="5:6" ht="16.5" hidden="1" thickBot="1">
      <c r="E898" s="32" t="s">
        <v>100</v>
      </c>
      <c r="F898" s="79">
        <f>'Mono 13,8kv'!AI9</f>
        <v>0</v>
      </c>
    </row>
    <row r="899" spans="5:6" hidden="1">
      <c r="E899" s="30" t="s">
        <v>78</v>
      </c>
      <c r="F899" s="79">
        <f>'Mono 13,8kv'!AI10</f>
        <v>0</v>
      </c>
    </row>
    <row r="900" spans="5:6" hidden="1">
      <c r="E900" s="98" t="s">
        <v>79</v>
      </c>
      <c r="F900" s="79">
        <f>'Mono 13,8kv'!AI11</f>
        <v>0</v>
      </c>
    </row>
    <row r="901" spans="5:6" ht="16.5" hidden="1" thickBot="1">
      <c r="E901" s="33" t="s">
        <v>80</v>
      </c>
      <c r="F901" s="79">
        <f>'Mono 13,8kv'!AI12</f>
        <v>0</v>
      </c>
    </row>
    <row r="902" spans="5:6" ht="16.5" hidden="1" thickBot="1">
      <c r="E902" s="28" t="s">
        <v>81</v>
      </c>
      <c r="F902" s="79">
        <f>'Mono 13,8kv'!AI13</f>
        <v>0</v>
      </c>
    </row>
    <row r="903" spans="5:6" ht="16.5" hidden="1" thickBot="1">
      <c r="E903" s="33" t="s">
        <v>82</v>
      </c>
      <c r="F903" s="79">
        <f>'Mono 13,8kv'!AI14</f>
        <v>0</v>
      </c>
    </row>
    <row r="904" spans="5:6" ht="16.5" hidden="1" thickBot="1">
      <c r="E904" s="32" t="s">
        <v>83</v>
      </c>
      <c r="F904" s="79">
        <f>'Mono 13,8kv'!AI15</f>
        <v>0</v>
      </c>
    </row>
    <row r="905" spans="5:6" ht="16.5" hidden="1" thickBot="1">
      <c r="E905" s="33" t="s">
        <v>85</v>
      </c>
      <c r="F905" s="79">
        <f>'Mono 13,8kv'!AI16</f>
        <v>0</v>
      </c>
    </row>
    <row r="906" spans="5:6" ht="16.5" hidden="1" thickBot="1">
      <c r="E906" s="32" t="s">
        <v>84</v>
      </c>
      <c r="F906" s="79">
        <f>'Mono 13,8kv'!AI17</f>
        <v>0</v>
      </c>
    </row>
    <row r="907" spans="5:6" ht="16.5" hidden="1" thickBot="1">
      <c r="E907" s="33" t="s">
        <v>86</v>
      </c>
      <c r="F907" s="79">
        <f>'Mono 13,8kv'!AI18</f>
        <v>0</v>
      </c>
    </row>
    <row r="908" spans="5:6" ht="16.5" hidden="1" thickBot="1">
      <c r="E908" s="32" t="s">
        <v>87</v>
      </c>
      <c r="F908" s="79">
        <f>'Mono 13,8kv'!AI19</f>
        <v>0</v>
      </c>
    </row>
    <row r="909" spans="5:6" ht="16.5" hidden="1" thickBot="1">
      <c r="E909" s="33" t="s">
        <v>101</v>
      </c>
      <c r="F909" s="79">
        <f>'Mono 13,8kv'!AI20</f>
        <v>0</v>
      </c>
    </row>
    <row r="910" spans="5:6" ht="16.5" hidden="1" thickBot="1">
      <c r="E910" s="32" t="s">
        <v>88</v>
      </c>
      <c r="F910" s="79">
        <f>'Mono 13,8kv'!AI21</f>
        <v>0</v>
      </c>
    </row>
    <row r="911" spans="5:6" hidden="1">
      <c r="E911" s="30" t="s">
        <v>89</v>
      </c>
      <c r="F911" s="79">
        <f>'Mono 13,8kv'!AI22</f>
        <v>0</v>
      </c>
    </row>
    <row r="912" spans="5:6" ht="16.5" hidden="1" thickBot="1">
      <c r="E912" s="32" t="s">
        <v>90</v>
      </c>
      <c r="F912" s="79">
        <f>'Mono 13,8kv'!AI23</f>
        <v>0</v>
      </c>
    </row>
    <row r="913" spans="5:6" hidden="1">
      <c r="E913" s="134" t="s">
        <v>93</v>
      </c>
      <c r="F913" s="79">
        <f>'Mono 13,8kv'!AI24</f>
        <v>0</v>
      </c>
    </row>
    <row r="914" spans="5:6" hidden="1">
      <c r="E914" s="74" t="s">
        <v>91</v>
      </c>
      <c r="F914" s="79">
        <f>'Mono 13,8kv'!AI25</f>
        <v>0</v>
      </c>
    </row>
    <row r="915" spans="5:6" hidden="1">
      <c r="E915" s="77" t="s">
        <v>92</v>
      </c>
      <c r="F915" s="79">
        <f>'Mono 13,8kv'!AI26</f>
        <v>0</v>
      </c>
    </row>
    <row r="916" spans="5:6" hidden="1">
      <c r="F916" s="280">
        <f>SUM(F894:F915)</f>
        <v>0</v>
      </c>
    </row>
    <row r="917" spans="5:6" ht="19.5" hidden="1" thickBot="1">
      <c r="E917" s="265" t="s">
        <v>130</v>
      </c>
      <c r="F917" s="291">
        <f>SUM(F918:F939)</f>
        <v>0</v>
      </c>
    </row>
    <row r="918" spans="5:6" hidden="1">
      <c r="E918" s="74" t="s">
        <v>74</v>
      </c>
      <c r="F918" s="75">
        <f>'Mono 13,8kv'!AL5+'Mono 13,8kv'!AM5</f>
        <v>0</v>
      </c>
    </row>
    <row r="919" spans="5:6" hidden="1">
      <c r="E919" s="77" t="s">
        <v>75</v>
      </c>
      <c r="F919" s="75">
        <f>'Mono 13,8kv'!AL6+'Mono 13,8kv'!AM6</f>
        <v>0</v>
      </c>
    </row>
    <row r="920" spans="5:6" hidden="1">
      <c r="E920" s="74" t="s">
        <v>76</v>
      </c>
      <c r="F920" s="75">
        <f>'Mono 13,8kv'!AL7+'Mono 13,8kv'!AM7</f>
        <v>0</v>
      </c>
    </row>
    <row r="921" spans="5:6" hidden="1">
      <c r="E921" s="77" t="s">
        <v>77</v>
      </c>
      <c r="F921" s="75">
        <f>'Mono 13,8kv'!AL8+'Mono 13,8kv'!AM8</f>
        <v>0</v>
      </c>
    </row>
    <row r="922" spans="5:6" hidden="1">
      <c r="E922" s="74" t="s">
        <v>100</v>
      </c>
      <c r="F922" s="75">
        <f>'Mono 13,8kv'!AL9+'Mono 13,8kv'!AM9</f>
        <v>0</v>
      </c>
    </row>
    <row r="923" spans="5:6" hidden="1">
      <c r="E923" s="77" t="s">
        <v>78</v>
      </c>
      <c r="F923" s="75">
        <f>'Mono 13,8kv'!AL10+'Mono 13,8kv'!AM10</f>
        <v>0</v>
      </c>
    </row>
    <row r="924" spans="5:6" hidden="1">
      <c r="E924" s="74" t="s">
        <v>79</v>
      </c>
      <c r="F924" s="75">
        <f>'Mono 13,8kv'!AL11+'Mono 13,8kv'!AM11</f>
        <v>0</v>
      </c>
    </row>
    <row r="925" spans="5:6" hidden="1">
      <c r="E925" s="77" t="s">
        <v>80</v>
      </c>
      <c r="F925" s="75">
        <f>'Mono 13,8kv'!AL12+'Mono 13,8kv'!AM12</f>
        <v>0</v>
      </c>
    </row>
    <row r="926" spans="5:6" hidden="1">
      <c r="E926" s="74" t="s">
        <v>81</v>
      </c>
      <c r="F926" s="75">
        <f>'Mono 13,8kv'!AL13+'Mono 13,8kv'!AM13</f>
        <v>0</v>
      </c>
    </row>
    <row r="927" spans="5:6" hidden="1">
      <c r="E927" s="77" t="s">
        <v>82</v>
      </c>
      <c r="F927" s="75">
        <f>'Mono 13,8kv'!AL14+'Mono 13,8kv'!AM14</f>
        <v>0</v>
      </c>
    </row>
    <row r="928" spans="5:6" hidden="1">
      <c r="E928" s="74" t="s">
        <v>83</v>
      </c>
      <c r="F928" s="75">
        <f>'Mono 13,8kv'!AL15+'Mono 13,8kv'!AM15</f>
        <v>0</v>
      </c>
    </row>
    <row r="929" spans="4:6" hidden="1">
      <c r="E929" s="77" t="s">
        <v>85</v>
      </c>
      <c r="F929" s="75">
        <f>'Mono 13,8kv'!AL16+'Mono 13,8kv'!AM16</f>
        <v>0</v>
      </c>
    </row>
    <row r="930" spans="4:6" hidden="1">
      <c r="E930" s="74" t="s">
        <v>84</v>
      </c>
      <c r="F930" s="75">
        <f>'Mono 13,8kv'!AL17+'Mono 13,8kv'!AM17</f>
        <v>0</v>
      </c>
    </row>
    <row r="931" spans="4:6" hidden="1">
      <c r="E931" s="77" t="s">
        <v>86</v>
      </c>
      <c r="F931" s="75">
        <f>'Mono 13,8kv'!AL18+'Mono 13,8kv'!AM18</f>
        <v>0</v>
      </c>
    </row>
    <row r="932" spans="4:6" hidden="1">
      <c r="E932" s="74" t="s">
        <v>87</v>
      </c>
      <c r="F932" s="75">
        <f>'Mono 13,8kv'!AL19+'Mono 13,8kv'!AM19</f>
        <v>0</v>
      </c>
    </row>
    <row r="933" spans="4:6" hidden="1">
      <c r="E933" s="77" t="s">
        <v>101</v>
      </c>
      <c r="F933" s="75">
        <f>'Mono 13,8kv'!AL20+'Mono 13,8kv'!AM20</f>
        <v>0</v>
      </c>
    </row>
    <row r="934" spans="4:6" hidden="1">
      <c r="E934" s="74" t="s">
        <v>88</v>
      </c>
      <c r="F934" s="75">
        <f>'Mono 13,8kv'!AL21+'Mono 13,8kv'!AM21</f>
        <v>0</v>
      </c>
    </row>
    <row r="935" spans="4:6" hidden="1">
      <c r="E935" s="77" t="s">
        <v>89</v>
      </c>
      <c r="F935" s="75">
        <f>'Mono 13,8kv'!AL22+'Mono 13,8kv'!AM22</f>
        <v>0</v>
      </c>
    </row>
    <row r="936" spans="4:6" hidden="1">
      <c r="E936" s="74" t="s">
        <v>90</v>
      </c>
      <c r="F936" s="75">
        <f>'Mono 13,8kv'!AL23+'Mono 13,8kv'!AM23</f>
        <v>0</v>
      </c>
    </row>
    <row r="937" spans="4:6" hidden="1">
      <c r="E937" s="77" t="s">
        <v>93</v>
      </c>
      <c r="F937" s="75">
        <f>'Mono 13,8kv'!AL24+'Mono 13,8kv'!AM24</f>
        <v>0</v>
      </c>
    </row>
    <row r="938" spans="4:6" hidden="1">
      <c r="E938" s="74" t="s">
        <v>91</v>
      </c>
      <c r="F938" s="75">
        <f>'Mono 13,8kv'!AL25+'Mono 13,8kv'!AM25</f>
        <v>0</v>
      </c>
    </row>
    <row r="939" spans="4:6" hidden="1">
      <c r="E939" s="133" t="s">
        <v>92</v>
      </c>
      <c r="F939" s="75">
        <f>'Mono 13,8kv'!AL26+'Mono 13,8kv'!AM26</f>
        <v>0</v>
      </c>
    </row>
    <row r="940" spans="4:6" hidden="1">
      <c r="F940" s="280">
        <f>SUM(F918:F939)</f>
        <v>0</v>
      </c>
    </row>
    <row r="941" spans="4:6" ht="19.5" hidden="1" thickBot="1">
      <c r="D941" s="266" t="s">
        <v>540</v>
      </c>
      <c r="E941" s="264"/>
      <c r="F941" s="286">
        <f>SUM(F942:F963)</f>
        <v>0</v>
      </c>
    </row>
    <row r="942" spans="4:6" hidden="1">
      <c r="D942" s="29"/>
      <c r="E942" s="263" t="s">
        <v>74</v>
      </c>
      <c r="F942" s="79">
        <f>'Mono 13,8kv'!AP5</f>
        <v>0</v>
      </c>
    </row>
    <row r="943" spans="4:6" hidden="1">
      <c r="D943" s="31"/>
      <c r="E943" s="77" t="s">
        <v>75</v>
      </c>
      <c r="F943" s="79">
        <f>'Mono 13,8kv'!AP6</f>
        <v>0</v>
      </c>
    </row>
    <row r="944" spans="4:6" hidden="1">
      <c r="D944" s="31"/>
      <c r="E944" s="74" t="s">
        <v>76</v>
      </c>
      <c r="F944" s="79">
        <f>'Mono 13,8kv'!AP7</f>
        <v>0</v>
      </c>
    </row>
    <row r="945" spans="4:6" hidden="1">
      <c r="D945" s="31"/>
      <c r="E945" s="77" t="s">
        <v>77</v>
      </c>
      <c r="F945" s="79">
        <f>'Mono 13,8kv'!AP8</f>
        <v>0</v>
      </c>
    </row>
    <row r="946" spans="4:6" hidden="1">
      <c r="D946" s="31"/>
      <c r="E946" s="74" t="s">
        <v>100</v>
      </c>
      <c r="F946" s="79">
        <f>'Mono 13,8kv'!AP9</f>
        <v>0</v>
      </c>
    </row>
    <row r="947" spans="4:6" hidden="1">
      <c r="D947" s="31"/>
      <c r="E947" s="77" t="s">
        <v>78</v>
      </c>
      <c r="F947" s="79">
        <f>'Mono 13,8kv'!AP10</f>
        <v>0</v>
      </c>
    </row>
    <row r="948" spans="4:6" hidden="1">
      <c r="D948" s="31"/>
      <c r="E948" s="74" t="s">
        <v>79</v>
      </c>
      <c r="F948" s="79">
        <f>'Mono 13,8kv'!AP11</f>
        <v>0</v>
      </c>
    </row>
    <row r="949" spans="4:6" hidden="1">
      <c r="D949" s="31"/>
      <c r="E949" s="77" t="s">
        <v>80</v>
      </c>
      <c r="F949" s="79">
        <f>'Mono 13,8kv'!AP12</f>
        <v>0</v>
      </c>
    </row>
    <row r="950" spans="4:6" hidden="1">
      <c r="D950" s="31"/>
      <c r="E950" s="74" t="s">
        <v>81</v>
      </c>
      <c r="F950" s="79">
        <f>'Mono 13,8kv'!AP13</f>
        <v>0</v>
      </c>
    </row>
    <row r="951" spans="4:6" hidden="1">
      <c r="D951" s="31"/>
      <c r="E951" s="77" t="s">
        <v>82</v>
      </c>
      <c r="F951" s="79">
        <f>'Mono 13,8kv'!AP14</f>
        <v>0</v>
      </c>
    </row>
    <row r="952" spans="4:6" hidden="1">
      <c r="D952" s="31"/>
      <c r="E952" s="74" t="s">
        <v>83</v>
      </c>
      <c r="F952" s="79">
        <f>'Mono 13,8kv'!AP15</f>
        <v>0</v>
      </c>
    </row>
    <row r="953" spans="4:6" hidden="1">
      <c r="D953" s="31"/>
      <c r="E953" s="77" t="s">
        <v>85</v>
      </c>
      <c r="F953" s="79">
        <f>'Mono 13,8kv'!AP16</f>
        <v>0</v>
      </c>
    </row>
    <row r="954" spans="4:6" hidden="1">
      <c r="D954" s="31"/>
      <c r="E954" s="74" t="s">
        <v>84</v>
      </c>
      <c r="F954" s="79">
        <f>'Mono 13,8kv'!AP17</f>
        <v>0</v>
      </c>
    </row>
    <row r="955" spans="4:6" hidden="1">
      <c r="D955" s="31"/>
      <c r="E955" s="77" t="s">
        <v>86</v>
      </c>
      <c r="F955" s="79">
        <f>'Mono 13,8kv'!AP18</f>
        <v>0</v>
      </c>
    </row>
    <row r="956" spans="4:6" hidden="1">
      <c r="D956" s="31"/>
      <c r="E956" s="74" t="s">
        <v>87</v>
      </c>
      <c r="F956" s="79">
        <f>'Mono 13,8kv'!AP19</f>
        <v>0</v>
      </c>
    </row>
    <row r="957" spans="4:6" hidden="1">
      <c r="D957" s="31"/>
      <c r="E957" s="77" t="s">
        <v>101</v>
      </c>
      <c r="F957" s="79">
        <f>'Mono 13,8kv'!AP20</f>
        <v>0</v>
      </c>
    </row>
    <row r="958" spans="4:6" hidden="1">
      <c r="D958" s="31"/>
      <c r="E958" s="74" t="s">
        <v>88</v>
      </c>
      <c r="F958" s="79">
        <f>'Mono 13,8kv'!AP21</f>
        <v>0</v>
      </c>
    </row>
    <row r="959" spans="4:6" hidden="1">
      <c r="D959" s="31"/>
      <c r="E959" s="77" t="s">
        <v>89</v>
      </c>
      <c r="F959" s="79">
        <f>'Mono 13,8kv'!AP22</f>
        <v>0</v>
      </c>
    </row>
    <row r="960" spans="4:6" hidden="1">
      <c r="D960" s="31"/>
      <c r="E960" s="74" t="s">
        <v>90</v>
      </c>
      <c r="F960" s="79">
        <f>'Mono 13,8kv'!AP23</f>
        <v>0</v>
      </c>
    </row>
    <row r="961" spans="4:6" hidden="1">
      <c r="D961" s="31"/>
      <c r="E961" s="77" t="s">
        <v>93</v>
      </c>
      <c r="F961" s="79">
        <f>'Mono 13,8kv'!AP24</f>
        <v>0</v>
      </c>
    </row>
    <row r="962" spans="4:6" hidden="1">
      <c r="D962" s="31"/>
      <c r="E962" s="74" t="s">
        <v>91</v>
      </c>
      <c r="F962" s="79">
        <f>'Mono 13,8kv'!AP25</f>
        <v>0</v>
      </c>
    </row>
    <row r="963" spans="4:6" hidden="1">
      <c r="D963" s="31"/>
      <c r="E963" s="133" t="s">
        <v>92</v>
      </c>
      <c r="F963" s="79">
        <f>'Mono 13,8kv'!AP26</f>
        <v>0</v>
      </c>
    </row>
    <row r="964" spans="4:6" hidden="1">
      <c r="F964" s="280">
        <f>SUM(F942:F963)</f>
        <v>0</v>
      </c>
    </row>
    <row r="965" spans="4:6" ht="18.75" hidden="1">
      <c r="E965" s="267" t="s">
        <v>94</v>
      </c>
      <c r="F965" s="290">
        <f>SUM(F966:F987)</f>
        <v>0</v>
      </c>
    </row>
    <row r="966" spans="4:6" hidden="1">
      <c r="E966" s="74" t="s">
        <v>74</v>
      </c>
      <c r="F966" s="75">
        <f>'Mono 13,8kv'!AS5+'Mono 13,8kv'!AT5</f>
        <v>0</v>
      </c>
    </row>
    <row r="967" spans="4:6" hidden="1">
      <c r="E967" s="77" t="s">
        <v>75</v>
      </c>
      <c r="F967" s="75">
        <f>'Mono 13,8kv'!AS6+'Mono 13,8kv'!AT6</f>
        <v>0</v>
      </c>
    </row>
    <row r="968" spans="4:6" hidden="1">
      <c r="E968" s="74" t="s">
        <v>76</v>
      </c>
      <c r="F968" s="75">
        <f>'Mono 13,8kv'!AS7+'Mono 13,8kv'!AT7</f>
        <v>0</v>
      </c>
    </row>
    <row r="969" spans="4:6" hidden="1">
      <c r="E969" s="77" t="s">
        <v>77</v>
      </c>
      <c r="F969" s="75">
        <f>'Mono 13,8kv'!AS8+'Mono 13,8kv'!AT8</f>
        <v>0</v>
      </c>
    </row>
    <row r="970" spans="4:6" hidden="1">
      <c r="E970" s="74" t="s">
        <v>100</v>
      </c>
      <c r="F970" s="75">
        <f>'Mono 13,8kv'!AS9+'Mono 13,8kv'!AT9</f>
        <v>0</v>
      </c>
    </row>
    <row r="971" spans="4:6" hidden="1">
      <c r="E971" s="77" t="s">
        <v>78</v>
      </c>
      <c r="F971" s="75">
        <f>'Mono 13,8kv'!AS10+'Mono 13,8kv'!AT10</f>
        <v>0</v>
      </c>
    </row>
    <row r="972" spans="4:6" hidden="1">
      <c r="E972" s="74" t="s">
        <v>79</v>
      </c>
      <c r="F972" s="75">
        <f>'Mono 13,8kv'!AS11+'Mono 13,8kv'!AT11</f>
        <v>0</v>
      </c>
    </row>
    <row r="973" spans="4:6" hidden="1">
      <c r="E973" s="77" t="s">
        <v>80</v>
      </c>
      <c r="F973" s="75">
        <f>'Mono 13,8kv'!AS12+'Mono 13,8kv'!AT12</f>
        <v>0</v>
      </c>
    </row>
    <row r="974" spans="4:6" hidden="1">
      <c r="E974" s="74" t="s">
        <v>81</v>
      </c>
      <c r="F974" s="75">
        <f>'Mono 13,8kv'!AS13+'Mono 13,8kv'!AT13</f>
        <v>0</v>
      </c>
    </row>
    <row r="975" spans="4:6" hidden="1">
      <c r="E975" s="77" t="s">
        <v>82</v>
      </c>
      <c r="F975" s="75">
        <f>'Mono 13,8kv'!AS14+'Mono 13,8kv'!AT14</f>
        <v>0</v>
      </c>
    </row>
    <row r="976" spans="4:6" hidden="1">
      <c r="E976" s="74" t="s">
        <v>83</v>
      </c>
      <c r="F976" s="75">
        <f>'Mono 13,8kv'!AS15+'Mono 13,8kv'!AT15</f>
        <v>0</v>
      </c>
    </row>
    <row r="977" spans="4:19" hidden="1">
      <c r="E977" s="77" t="s">
        <v>85</v>
      </c>
      <c r="F977" s="75">
        <f>'Mono 13,8kv'!AS16+'Mono 13,8kv'!AT16</f>
        <v>0</v>
      </c>
    </row>
    <row r="978" spans="4:19" hidden="1">
      <c r="E978" s="74" t="s">
        <v>84</v>
      </c>
      <c r="F978" s="75">
        <f>'Mono 13,8kv'!AS17+'Mono 13,8kv'!AT17</f>
        <v>0</v>
      </c>
    </row>
    <row r="979" spans="4:19" hidden="1">
      <c r="E979" s="77" t="s">
        <v>86</v>
      </c>
      <c r="F979" s="75">
        <f>'Mono 13,8kv'!AS18+'Mono 13,8kv'!AT18</f>
        <v>0</v>
      </c>
    </row>
    <row r="980" spans="4:19" hidden="1">
      <c r="E980" s="74" t="s">
        <v>87</v>
      </c>
      <c r="F980" s="75">
        <f>'Mono 13,8kv'!AS19+'Mono 13,8kv'!AT19</f>
        <v>0</v>
      </c>
    </row>
    <row r="981" spans="4:19" hidden="1">
      <c r="E981" s="77" t="s">
        <v>101</v>
      </c>
      <c r="F981" s="75">
        <f>'Mono 13,8kv'!AS20+'Mono 13,8kv'!AT20</f>
        <v>0</v>
      </c>
    </row>
    <row r="982" spans="4:19" hidden="1">
      <c r="E982" s="74" t="s">
        <v>88</v>
      </c>
      <c r="F982" s="75">
        <f>'Mono 13,8kv'!AS21+'Mono 13,8kv'!AT21</f>
        <v>0</v>
      </c>
    </row>
    <row r="983" spans="4:19" hidden="1">
      <c r="E983" s="77" t="s">
        <v>89</v>
      </c>
      <c r="F983" s="75">
        <f>'Mono 13,8kv'!AS22+'Mono 13,8kv'!AT22</f>
        <v>0</v>
      </c>
    </row>
    <row r="984" spans="4:19" hidden="1">
      <c r="E984" s="74" t="s">
        <v>90</v>
      </c>
      <c r="F984" s="75">
        <f>'Mono 13,8kv'!AS23+'Mono 13,8kv'!AT23</f>
        <v>0</v>
      </c>
    </row>
    <row r="985" spans="4:19" hidden="1">
      <c r="E985" s="77" t="s">
        <v>93</v>
      </c>
      <c r="F985" s="75">
        <f>'Mono 13,8kv'!AS24+'Mono 13,8kv'!AT24</f>
        <v>0</v>
      </c>
    </row>
    <row r="986" spans="4:19" hidden="1">
      <c r="E986" s="74" t="s">
        <v>91</v>
      </c>
      <c r="F986" s="75">
        <f>'Mono 13,8kv'!AS25+'Mono 13,8kv'!AT25</f>
        <v>0</v>
      </c>
    </row>
    <row r="987" spans="4:19" hidden="1">
      <c r="E987" s="133" t="s">
        <v>92</v>
      </c>
      <c r="F987" s="75">
        <f>'Mono 13,8kv'!AS26+'Mono 13,8kv'!AT26</f>
        <v>0</v>
      </c>
    </row>
    <row r="988" spans="4:19" hidden="1">
      <c r="F988" s="280">
        <f>SUM(F966:F987)</f>
        <v>0</v>
      </c>
    </row>
    <row r="989" spans="4:19" ht="19.5" hidden="1" thickBot="1">
      <c r="D989" s="266" t="s">
        <v>541</v>
      </c>
      <c r="E989" s="264"/>
      <c r="F989" s="286">
        <f>SUM(F990:F1011)</f>
        <v>0</v>
      </c>
      <c r="J989" s="93"/>
      <c r="M989" s="93"/>
      <c r="O989" s="93"/>
      <c r="S989" s="92"/>
    </row>
    <row r="990" spans="4:19" hidden="1">
      <c r="E990" s="263" t="s">
        <v>74</v>
      </c>
      <c r="F990" s="79">
        <f>'Mono 13,8kv'!AW5</f>
        <v>0</v>
      </c>
      <c r="J990" s="29"/>
      <c r="M990" s="29"/>
      <c r="O990" s="29"/>
      <c r="S990" s="29"/>
    </row>
    <row r="991" spans="4:19" hidden="1">
      <c r="E991" s="77" t="s">
        <v>75</v>
      </c>
      <c r="F991" s="79">
        <f>'Mono 13,8kv'!AW6</f>
        <v>0</v>
      </c>
      <c r="J991" s="31"/>
      <c r="M991" s="31"/>
      <c r="O991" s="31"/>
      <c r="S991" s="31"/>
    </row>
    <row r="992" spans="4:19" hidden="1">
      <c r="E992" s="74" t="s">
        <v>76</v>
      </c>
      <c r="F992" s="79">
        <f>'Mono 13,8kv'!AW7</f>
        <v>0</v>
      </c>
      <c r="J992" s="31"/>
      <c r="M992" s="31"/>
      <c r="O992" s="31"/>
      <c r="S992" s="31"/>
    </row>
    <row r="993" spans="5:19" hidden="1">
      <c r="E993" s="77" t="s">
        <v>77</v>
      </c>
      <c r="F993" s="79">
        <f>'Mono 13,8kv'!AW8</f>
        <v>0</v>
      </c>
      <c r="J993" s="31"/>
      <c r="M993" s="31"/>
      <c r="O993" s="31"/>
      <c r="S993" s="31"/>
    </row>
    <row r="994" spans="5:19" hidden="1">
      <c r="E994" s="74" t="s">
        <v>100</v>
      </c>
      <c r="F994" s="79">
        <f>'Mono 13,8kv'!AW9</f>
        <v>0</v>
      </c>
      <c r="J994" s="31"/>
      <c r="M994" s="31"/>
      <c r="O994" s="31"/>
      <c r="S994" s="31"/>
    </row>
    <row r="995" spans="5:19" hidden="1">
      <c r="E995" s="77" t="s">
        <v>78</v>
      </c>
      <c r="F995" s="79">
        <f>'Mono 13,8kv'!AW10</f>
        <v>0</v>
      </c>
      <c r="J995" s="31"/>
      <c r="M995" s="31"/>
      <c r="O995" s="31"/>
      <c r="S995" s="31"/>
    </row>
    <row r="996" spans="5:19" hidden="1">
      <c r="E996" s="74" t="s">
        <v>79</v>
      </c>
      <c r="F996" s="79">
        <f>'Mono 13,8kv'!AW11</f>
        <v>0</v>
      </c>
      <c r="J996" s="31"/>
      <c r="M996" s="31"/>
      <c r="O996" s="31"/>
      <c r="S996" s="31"/>
    </row>
    <row r="997" spans="5:19" hidden="1">
      <c r="E997" s="77" t="s">
        <v>80</v>
      </c>
      <c r="F997" s="79">
        <f>'Mono 13,8kv'!AW12</f>
        <v>0</v>
      </c>
      <c r="J997" s="31"/>
      <c r="M997" s="31"/>
      <c r="O997" s="31"/>
      <c r="S997" s="31"/>
    </row>
    <row r="998" spans="5:19" hidden="1">
      <c r="E998" s="74" t="s">
        <v>81</v>
      </c>
      <c r="F998" s="79">
        <f>'Mono 13,8kv'!AW13</f>
        <v>0</v>
      </c>
      <c r="J998" s="31"/>
      <c r="M998" s="31"/>
      <c r="O998" s="31"/>
      <c r="S998" s="31"/>
    </row>
    <row r="999" spans="5:19" hidden="1">
      <c r="E999" s="77" t="s">
        <v>82</v>
      </c>
      <c r="F999" s="79">
        <f>'Mono 13,8kv'!AW14</f>
        <v>0</v>
      </c>
      <c r="J999" s="31"/>
      <c r="M999" s="31"/>
      <c r="O999" s="31"/>
      <c r="S999" s="31"/>
    </row>
    <row r="1000" spans="5:19" hidden="1">
      <c r="E1000" s="74" t="s">
        <v>83</v>
      </c>
      <c r="F1000" s="79">
        <f>'Mono 13,8kv'!AW15</f>
        <v>0</v>
      </c>
      <c r="J1000" s="31"/>
      <c r="M1000" s="31"/>
      <c r="O1000" s="31"/>
      <c r="S1000" s="31"/>
    </row>
    <row r="1001" spans="5:19" hidden="1">
      <c r="E1001" s="77" t="s">
        <v>85</v>
      </c>
      <c r="F1001" s="79">
        <f>'Mono 13,8kv'!AW16</f>
        <v>0</v>
      </c>
      <c r="J1001" s="31"/>
      <c r="M1001" s="31"/>
      <c r="O1001" s="31"/>
      <c r="S1001" s="31"/>
    </row>
    <row r="1002" spans="5:19" hidden="1">
      <c r="E1002" s="74" t="s">
        <v>84</v>
      </c>
      <c r="F1002" s="79">
        <f>'Mono 13,8kv'!AW17</f>
        <v>0</v>
      </c>
      <c r="J1002" s="31"/>
      <c r="M1002" s="31"/>
      <c r="O1002" s="31"/>
      <c r="S1002" s="31"/>
    </row>
    <row r="1003" spans="5:19" hidden="1">
      <c r="E1003" s="77" t="s">
        <v>86</v>
      </c>
      <c r="F1003" s="79">
        <f>'Mono 13,8kv'!AW18</f>
        <v>0</v>
      </c>
      <c r="J1003" s="31"/>
      <c r="M1003" s="31"/>
      <c r="O1003" s="31"/>
      <c r="S1003" s="31"/>
    </row>
    <row r="1004" spans="5:19" hidden="1">
      <c r="E1004" s="74" t="s">
        <v>87</v>
      </c>
      <c r="F1004" s="79">
        <f>'Mono 13,8kv'!AW19</f>
        <v>0</v>
      </c>
      <c r="J1004" s="31"/>
      <c r="M1004" s="31"/>
      <c r="O1004" s="31"/>
      <c r="S1004" s="31"/>
    </row>
    <row r="1005" spans="5:19" hidden="1">
      <c r="E1005" s="77" t="s">
        <v>101</v>
      </c>
      <c r="F1005" s="79">
        <f>'Mono 13,8kv'!AW20</f>
        <v>0</v>
      </c>
      <c r="J1005" s="31"/>
      <c r="M1005" s="31"/>
      <c r="O1005" s="31"/>
      <c r="S1005" s="31"/>
    </row>
    <row r="1006" spans="5:19" hidden="1">
      <c r="E1006" s="74" t="s">
        <v>88</v>
      </c>
      <c r="F1006" s="79">
        <f>'Mono 13,8kv'!AW21</f>
        <v>0</v>
      </c>
      <c r="J1006" s="31"/>
      <c r="M1006" s="31"/>
      <c r="O1006" s="31"/>
      <c r="S1006" s="31"/>
    </row>
    <row r="1007" spans="5:19" hidden="1">
      <c r="E1007" s="77" t="s">
        <v>89</v>
      </c>
      <c r="F1007" s="79">
        <f>'Mono 13,8kv'!AW22</f>
        <v>0</v>
      </c>
      <c r="J1007" s="31"/>
      <c r="M1007" s="31"/>
      <c r="O1007" s="31"/>
      <c r="S1007" s="31"/>
    </row>
    <row r="1008" spans="5:19" hidden="1">
      <c r="E1008" s="74" t="s">
        <v>90</v>
      </c>
      <c r="F1008" s="79">
        <f>'Mono 13,8kv'!AW23</f>
        <v>0</v>
      </c>
      <c r="J1008" s="31"/>
      <c r="M1008" s="31"/>
      <c r="O1008" s="31"/>
      <c r="S1008" s="31"/>
    </row>
    <row r="1009" spans="4:19" hidden="1">
      <c r="E1009" s="77" t="s">
        <v>93</v>
      </c>
      <c r="F1009" s="79">
        <f>'Mono 13,8kv'!AW24</f>
        <v>0</v>
      </c>
      <c r="J1009" s="31"/>
      <c r="M1009" s="31"/>
      <c r="O1009" s="31"/>
      <c r="S1009" s="31"/>
    </row>
    <row r="1010" spans="4:19" hidden="1">
      <c r="E1010" s="74" t="s">
        <v>91</v>
      </c>
      <c r="F1010" s="79">
        <f>'Mono 13,8kv'!AW25</f>
        <v>0</v>
      </c>
      <c r="J1010" s="31"/>
      <c r="M1010" s="31"/>
      <c r="O1010" s="31"/>
      <c r="S1010" s="31"/>
    </row>
    <row r="1011" spans="4:19" hidden="1">
      <c r="E1011" s="77" t="s">
        <v>92</v>
      </c>
      <c r="F1011" s="79">
        <f>'Mono 13,8kv'!AW26</f>
        <v>0</v>
      </c>
      <c r="J1011" s="31"/>
      <c r="M1011" s="31"/>
      <c r="O1011" s="31"/>
      <c r="S1011" s="31"/>
    </row>
    <row r="1012" spans="4:19" hidden="1">
      <c r="F1012" s="280">
        <f>SUM(F990:F1011)</f>
        <v>0</v>
      </c>
    </row>
    <row r="1013" spans="4:19" ht="18.75" hidden="1">
      <c r="D1013" s="93"/>
      <c r="E1013" s="268" t="s">
        <v>129</v>
      </c>
      <c r="F1013" s="289">
        <f>SUM(F1014:F1035)</f>
        <v>0</v>
      </c>
    </row>
    <row r="1014" spans="4:19" hidden="1">
      <c r="D1014" s="29"/>
      <c r="E1014" s="74" t="s">
        <v>74</v>
      </c>
      <c r="F1014" s="75">
        <f>'Mono 13,8kv'!AZ5+'Mono 13,8kv'!BA5</f>
        <v>0</v>
      </c>
    </row>
    <row r="1015" spans="4:19" hidden="1">
      <c r="D1015" s="31"/>
      <c r="E1015" s="77" t="s">
        <v>75</v>
      </c>
      <c r="F1015" s="75">
        <f>'Mono 13,8kv'!AZ6+'Mono 13,8kv'!BA6</f>
        <v>0</v>
      </c>
    </row>
    <row r="1016" spans="4:19" hidden="1">
      <c r="D1016" s="31"/>
      <c r="E1016" s="74" t="s">
        <v>76</v>
      </c>
      <c r="F1016" s="75">
        <f>'Mono 13,8kv'!AZ7+'Mono 13,8kv'!BA7</f>
        <v>0</v>
      </c>
    </row>
    <row r="1017" spans="4:19" hidden="1">
      <c r="D1017" s="31"/>
      <c r="E1017" s="77" t="s">
        <v>77</v>
      </c>
      <c r="F1017" s="75">
        <f>'Mono 13,8kv'!AZ8+'Mono 13,8kv'!BA8</f>
        <v>0</v>
      </c>
    </row>
    <row r="1018" spans="4:19" hidden="1">
      <c r="D1018" s="31"/>
      <c r="E1018" s="74" t="s">
        <v>100</v>
      </c>
      <c r="F1018" s="75">
        <f>'Mono 13,8kv'!AZ9+'Mono 13,8kv'!BA9</f>
        <v>0</v>
      </c>
    </row>
    <row r="1019" spans="4:19" hidden="1">
      <c r="D1019" s="31"/>
      <c r="E1019" s="77" t="s">
        <v>78</v>
      </c>
      <c r="F1019" s="75">
        <f>'Mono 13,8kv'!AZ10+'Mono 13,8kv'!BA10</f>
        <v>0</v>
      </c>
    </row>
    <row r="1020" spans="4:19" hidden="1">
      <c r="D1020" s="31"/>
      <c r="E1020" s="74" t="s">
        <v>79</v>
      </c>
      <c r="F1020" s="75">
        <f>'Mono 13,8kv'!AZ11+'Mono 13,8kv'!BA11</f>
        <v>0</v>
      </c>
    </row>
    <row r="1021" spans="4:19" hidden="1">
      <c r="D1021" s="31"/>
      <c r="E1021" s="77" t="s">
        <v>80</v>
      </c>
      <c r="F1021" s="75">
        <f>'Mono 13,8kv'!AZ12+'Mono 13,8kv'!BA12</f>
        <v>0</v>
      </c>
    </row>
    <row r="1022" spans="4:19" hidden="1">
      <c r="D1022" s="31"/>
      <c r="E1022" s="74" t="s">
        <v>81</v>
      </c>
      <c r="F1022" s="75">
        <f>'Mono 13,8kv'!AZ13+'Mono 13,8kv'!BA13</f>
        <v>0</v>
      </c>
    </row>
    <row r="1023" spans="4:19" hidden="1">
      <c r="D1023" s="31"/>
      <c r="E1023" s="77" t="s">
        <v>82</v>
      </c>
      <c r="F1023" s="75">
        <f>'Mono 13,8kv'!AZ14+'Mono 13,8kv'!BA14</f>
        <v>0</v>
      </c>
    </row>
    <row r="1024" spans="4:19" hidden="1">
      <c r="D1024" s="31"/>
      <c r="E1024" s="74" t="s">
        <v>83</v>
      </c>
      <c r="F1024" s="75">
        <f>'Mono 13,8kv'!AZ15+'Mono 13,8kv'!BA15</f>
        <v>0</v>
      </c>
    </row>
    <row r="1025" spans="4:6" hidden="1">
      <c r="D1025" s="31"/>
      <c r="E1025" s="77" t="s">
        <v>85</v>
      </c>
      <c r="F1025" s="75">
        <f>'Mono 13,8kv'!AZ16+'Mono 13,8kv'!BA16</f>
        <v>0</v>
      </c>
    </row>
    <row r="1026" spans="4:6" hidden="1">
      <c r="D1026" s="31"/>
      <c r="E1026" s="74" t="s">
        <v>84</v>
      </c>
      <c r="F1026" s="75">
        <f>'Mono 13,8kv'!AZ17+'Mono 13,8kv'!BA17</f>
        <v>0</v>
      </c>
    </row>
    <row r="1027" spans="4:6" hidden="1">
      <c r="D1027" s="31"/>
      <c r="E1027" s="77" t="s">
        <v>86</v>
      </c>
      <c r="F1027" s="75">
        <f>'Mono 13,8kv'!AZ18+'Mono 13,8kv'!BA18</f>
        <v>0</v>
      </c>
    </row>
    <row r="1028" spans="4:6" hidden="1">
      <c r="D1028" s="31"/>
      <c r="E1028" s="74" t="s">
        <v>87</v>
      </c>
      <c r="F1028" s="75">
        <f>'Mono 13,8kv'!AZ19+'Mono 13,8kv'!BA19</f>
        <v>0</v>
      </c>
    </row>
    <row r="1029" spans="4:6" hidden="1">
      <c r="D1029" s="31"/>
      <c r="E1029" s="77" t="s">
        <v>101</v>
      </c>
      <c r="F1029" s="75">
        <f>'Mono 13,8kv'!AZ20+'Mono 13,8kv'!BA20</f>
        <v>0</v>
      </c>
    </row>
    <row r="1030" spans="4:6" hidden="1">
      <c r="D1030" s="31"/>
      <c r="E1030" s="74" t="s">
        <v>88</v>
      </c>
      <c r="F1030" s="75">
        <f>'Mono 13,8kv'!AZ21+'Mono 13,8kv'!BA21</f>
        <v>0</v>
      </c>
    </row>
    <row r="1031" spans="4:6" hidden="1">
      <c r="D1031" s="31"/>
      <c r="E1031" s="77" t="s">
        <v>89</v>
      </c>
      <c r="F1031" s="75">
        <f>'Mono 13,8kv'!AZ22+'Mono 13,8kv'!BA22</f>
        <v>0</v>
      </c>
    </row>
    <row r="1032" spans="4:6" hidden="1">
      <c r="D1032" s="31"/>
      <c r="E1032" s="74" t="s">
        <v>90</v>
      </c>
      <c r="F1032" s="75">
        <f>'Mono 13,8kv'!AZ23+'Mono 13,8kv'!BA23</f>
        <v>0</v>
      </c>
    </row>
    <row r="1033" spans="4:6" hidden="1">
      <c r="D1033" s="31"/>
      <c r="E1033" s="77" t="s">
        <v>93</v>
      </c>
      <c r="F1033" s="75">
        <f>'Mono 13,8kv'!AZ24+'Mono 13,8kv'!BA24</f>
        <v>0</v>
      </c>
    </row>
    <row r="1034" spans="4:6" hidden="1">
      <c r="D1034" s="31"/>
      <c r="E1034" s="74" t="s">
        <v>91</v>
      </c>
      <c r="F1034" s="75">
        <f>'Mono 13,8kv'!AZ25+'Mono 13,8kv'!BA25</f>
        <v>0</v>
      </c>
    </row>
    <row r="1035" spans="4:6" hidden="1">
      <c r="D1035" s="31"/>
      <c r="E1035" s="77" t="s">
        <v>92</v>
      </c>
      <c r="F1035" s="75">
        <f>'Mono 13,8kv'!AZ26+'Mono 13,8kv'!BA26</f>
        <v>0</v>
      </c>
    </row>
    <row r="1036" spans="4:6" hidden="1">
      <c r="F1036" s="280">
        <f>SUM(F1014:F1035)</f>
        <v>0</v>
      </c>
    </row>
    <row r="1037" spans="4:6" ht="19.5" hidden="1" thickBot="1">
      <c r="D1037" s="266" t="s">
        <v>542</v>
      </c>
      <c r="E1037" s="269"/>
      <c r="F1037" s="286">
        <f>SUM(F1038:F1059)</f>
        <v>0</v>
      </c>
    </row>
    <row r="1038" spans="4:6" hidden="1">
      <c r="E1038" s="263" t="s">
        <v>74</v>
      </c>
      <c r="F1038" s="79">
        <f>'Mono 13,8kv'!BD5</f>
        <v>0</v>
      </c>
    </row>
    <row r="1039" spans="4:6" hidden="1">
      <c r="E1039" s="77" t="s">
        <v>75</v>
      </c>
      <c r="F1039" s="79">
        <f>'Mono 13,8kv'!BD6</f>
        <v>0</v>
      </c>
    </row>
    <row r="1040" spans="4:6" hidden="1">
      <c r="E1040" s="74" t="s">
        <v>76</v>
      </c>
      <c r="F1040" s="79">
        <f>'Mono 13,8kv'!BD7</f>
        <v>0</v>
      </c>
    </row>
    <row r="1041" spans="5:6" hidden="1">
      <c r="E1041" s="77" t="s">
        <v>77</v>
      </c>
      <c r="F1041" s="79">
        <f>'Mono 13,8kv'!BD8</f>
        <v>0</v>
      </c>
    </row>
    <row r="1042" spans="5:6" hidden="1">
      <c r="E1042" s="74" t="s">
        <v>100</v>
      </c>
      <c r="F1042" s="79">
        <f>'Mono 13,8kv'!BD9</f>
        <v>0</v>
      </c>
    </row>
    <row r="1043" spans="5:6" hidden="1">
      <c r="E1043" s="77" t="s">
        <v>78</v>
      </c>
      <c r="F1043" s="79">
        <f>'Mono 13,8kv'!BD10</f>
        <v>0</v>
      </c>
    </row>
    <row r="1044" spans="5:6" hidden="1">
      <c r="E1044" s="74" t="s">
        <v>79</v>
      </c>
      <c r="F1044" s="79">
        <f>'Mono 13,8kv'!BD11</f>
        <v>0</v>
      </c>
    </row>
    <row r="1045" spans="5:6" hidden="1">
      <c r="E1045" s="77" t="s">
        <v>80</v>
      </c>
      <c r="F1045" s="79">
        <f>'Mono 13,8kv'!BD12</f>
        <v>0</v>
      </c>
    </row>
    <row r="1046" spans="5:6" hidden="1">
      <c r="E1046" s="74" t="s">
        <v>81</v>
      </c>
      <c r="F1046" s="79">
        <f>'Mono 13,8kv'!BD13</f>
        <v>0</v>
      </c>
    </row>
    <row r="1047" spans="5:6" hidden="1">
      <c r="E1047" s="77" t="s">
        <v>82</v>
      </c>
      <c r="F1047" s="79">
        <f>'Mono 13,8kv'!BD14</f>
        <v>0</v>
      </c>
    </row>
    <row r="1048" spans="5:6" hidden="1">
      <c r="E1048" s="74" t="s">
        <v>83</v>
      </c>
      <c r="F1048" s="79">
        <f>'Mono 13,8kv'!BD15</f>
        <v>0</v>
      </c>
    </row>
    <row r="1049" spans="5:6" hidden="1">
      <c r="E1049" s="77" t="s">
        <v>85</v>
      </c>
      <c r="F1049" s="79">
        <f>'Mono 13,8kv'!BD16</f>
        <v>0</v>
      </c>
    </row>
    <row r="1050" spans="5:6" hidden="1">
      <c r="E1050" s="74" t="s">
        <v>84</v>
      </c>
      <c r="F1050" s="79">
        <f>'Mono 13,8kv'!BD17</f>
        <v>0</v>
      </c>
    </row>
    <row r="1051" spans="5:6" hidden="1">
      <c r="E1051" s="77" t="s">
        <v>86</v>
      </c>
      <c r="F1051" s="79">
        <f>'Mono 13,8kv'!BD18</f>
        <v>0</v>
      </c>
    </row>
    <row r="1052" spans="5:6" hidden="1">
      <c r="E1052" s="74" t="s">
        <v>87</v>
      </c>
      <c r="F1052" s="79">
        <f>'Mono 13,8kv'!BD19</f>
        <v>0</v>
      </c>
    </row>
    <row r="1053" spans="5:6" hidden="1">
      <c r="E1053" s="77" t="s">
        <v>101</v>
      </c>
      <c r="F1053" s="79">
        <f>'Mono 13,8kv'!BD20</f>
        <v>0</v>
      </c>
    </row>
    <row r="1054" spans="5:6" hidden="1">
      <c r="E1054" s="74" t="s">
        <v>88</v>
      </c>
      <c r="F1054" s="79">
        <f>'Mono 13,8kv'!BD21</f>
        <v>0</v>
      </c>
    </row>
    <row r="1055" spans="5:6" hidden="1">
      <c r="E1055" s="77" t="s">
        <v>89</v>
      </c>
      <c r="F1055" s="79">
        <f>'Mono 13,8kv'!BD22</f>
        <v>0</v>
      </c>
    </row>
    <row r="1056" spans="5:6" hidden="1">
      <c r="E1056" s="74" t="s">
        <v>90</v>
      </c>
      <c r="F1056" s="79">
        <f>'Mono 13,8kv'!BD23</f>
        <v>0</v>
      </c>
    </row>
    <row r="1057" spans="5:6" hidden="1">
      <c r="E1057" s="77" t="s">
        <v>93</v>
      </c>
      <c r="F1057" s="79">
        <f>'Mono 13,8kv'!BD24</f>
        <v>0</v>
      </c>
    </row>
    <row r="1058" spans="5:6" hidden="1">
      <c r="E1058" s="74" t="s">
        <v>91</v>
      </c>
      <c r="F1058" s="79">
        <f>'Mono 13,8kv'!BD25</f>
        <v>0</v>
      </c>
    </row>
    <row r="1059" spans="5:6" hidden="1">
      <c r="E1059" s="77" t="s">
        <v>92</v>
      </c>
      <c r="F1059" s="79">
        <f>'Mono 13,8kv'!BD26</f>
        <v>0</v>
      </c>
    </row>
    <row r="1060" spans="5:6" hidden="1">
      <c r="F1060" s="282">
        <f>SUM(F1038:F1059)</f>
        <v>0</v>
      </c>
    </row>
    <row r="1061" spans="5:6" ht="18.75" hidden="1">
      <c r="E1061" s="271" t="s">
        <v>97</v>
      </c>
      <c r="F1061" s="289">
        <f>SUM(F1062:F1083)</f>
        <v>0</v>
      </c>
    </row>
    <row r="1062" spans="5:6" hidden="1">
      <c r="E1062" s="74" t="s">
        <v>74</v>
      </c>
      <c r="F1062" s="75">
        <f>'Mono 13,8kv'!BG5+'Mono 13,8kv'!BH5</f>
        <v>0</v>
      </c>
    </row>
    <row r="1063" spans="5:6" hidden="1">
      <c r="E1063" s="77" t="s">
        <v>75</v>
      </c>
      <c r="F1063" s="75">
        <f>'Mono 13,8kv'!BG6+'Mono 13,8kv'!BH6</f>
        <v>0</v>
      </c>
    </row>
    <row r="1064" spans="5:6" hidden="1">
      <c r="E1064" s="74" t="s">
        <v>76</v>
      </c>
      <c r="F1064" s="75">
        <f>'Mono 13,8kv'!BG7+'Mono 13,8kv'!BH7</f>
        <v>0</v>
      </c>
    </row>
    <row r="1065" spans="5:6" hidden="1">
      <c r="E1065" s="77" t="s">
        <v>77</v>
      </c>
      <c r="F1065" s="75">
        <f>'Mono 13,8kv'!BG8+'Mono 13,8kv'!BH8</f>
        <v>0</v>
      </c>
    </row>
    <row r="1066" spans="5:6" hidden="1">
      <c r="E1066" s="74" t="s">
        <v>100</v>
      </c>
      <c r="F1066" s="75">
        <f>'Mono 13,8kv'!BG9+'Mono 13,8kv'!BH9</f>
        <v>0</v>
      </c>
    </row>
    <row r="1067" spans="5:6" hidden="1">
      <c r="E1067" s="77" t="s">
        <v>78</v>
      </c>
      <c r="F1067" s="75">
        <f>'Mono 13,8kv'!BG10+'Mono 13,8kv'!BH10</f>
        <v>0</v>
      </c>
    </row>
    <row r="1068" spans="5:6" hidden="1">
      <c r="E1068" s="74" t="s">
        <v>79</v>
      </c>
      <c r="F1068" s="75">
        <f>'Mono 13,8kv'!BG11+'Mono 13,8kv'!BH11</f>
        <v>0</v>
      </c>
    </row>
    <row r="1069" spans="5:6" hidden="1">
      <c r="E1069" s="77" t="s">
        <v>80</v>
      </c>
      <c r="F1069" s="75">
        <f>'Mono 13,8kv'!BG12+'Mono 13,8kv'!BH12</f>
        <v>0</v>
      </c>
    </row>
    <row r="1070" spans="5:6" hidden="1">
      <c r="E1070" s="74" t="s">
        <v>81</v>
      </c>
      <c r="F1070" s="75">
        <f>'Mono 13,8kv'!BG13+'Mono 13,8kv'!BH13</f>
        <v>0</v>
      </c>
    </row>
    <row r="1071" spans="5:6" hidden="1">
      <c r="E1071" s="77" t="s">
        <v>82</v>
      </c>
      <c r="F1071" s="75">
        <f>'Mono 13,8kv'!BG14+'Mono 13,8kv'!BH14</f>
        <v>0</v>
      </c>
    </row>
    <row r="1072" spans="5:6" hidden="1">
      <c r="E1072" s="74" t="s">
        <v>83</v>
      </c>
      <c r="F1072" s="75">
        <f>'Mono 13,8kv'!BG15+'Mono 13,8kv'!BH15</f>
        <v>0</v>
      </c>
    </row>
    <row r="1073" spans="4:8" hidden="1">
      <c r="E1073" s="77" t="s">
        <v>85</v>
      </c>
      <c r="F1073" s="75">
        <f>'Mono 13,8kv'!BG16+'Mono 13,8kv'!BH16</f>
        <v>0</v>
      </c>
    </row>
    <row r="1074" spans="4:8" hidden="1">
      <c r="E1074" s="74" t="s">
        <v>84</v>
      </c>
      <c r="F1074" s="75">
        <f>'Mono 13,8kv'!BG17+'Mono 13,8kv'!BH17</f>
        <v>0</v>
      </c>
    </row>
    <row r="1075" spans="4:8" hidden="1">
      <c r="E1075" s="77" t="s">
        <v>86</v>
      </c>
      <c r="F1075" s="75">
        <f>'Mono 13,8kv'!BG18+'Mono 13,8kv'!BH18</f>
        <v>0</v>
      </c>
    </row>
    <row r="1076" spans="4:8" hidden="1">
      <c r="E1076" s="74" t="s">
        <v>87</v>
      </c>
      <c r="F1076" s="75">
        <f>'Mono 13,8kv'!BG19+'Mono 13,8kv'!BH19</f>
        <v>0</v>
      </c>
    </row>
    <row r="1077" spans="4:8" hidden="1">
      <c r="E1077" s="77" t="s">
        <v>101</v>
      </c>
      <c r="F1077" s="75">
        <f>'Mono 13,8kv'!BG20+'Mono 13,8kv'!BH20</f>
        <v>0</v>
      </c>
    </row>
    <row r="1078" spans="4:8" hidden="1">
      <c r="E1078" s="74" t="s">
        <v>88</v>
      </c>
      <c r="F1078" s="75">
        <f>'Mono 13,8kv'!BG21+'Mono 13,8kv'!BH21</f>
        <v>0</v>
      </c>
    </row>
    <row r="1079" spans="4:8" hidden="1">
      <c r="E1079" s="77" t="s">
        <v>89</v>
      </c>
      <c r="F1079" s="75">
        <f>'Mono 13,8kv'!BG22+'Mono 13,8kv'!BH22</f>
        <v>0</v>
      </c>
    </row>
    <row r="1080" spans="4:8" hidden="1">
      <c r="E1080" s="74" t="s">
        <v>90</v>
      </c>
      <c r="F1080" s="75">
        <f>'Mono 13,8kv'!BG23+'Mono 13,8kv'!BH23</f>
        <v>0</v>
      </c>
    </row>
    <row r="1081" spans="4:8" hidden="1">
      <c r="E1081" s="77" t="s">
        <v>93</v>
      </c>
      <c r="F1081" s="75">
        <f>'Mono 13,8kv'!BG24+'Mono 13,8kv'!BH24</f>
        <v>0</v>
      </c>
    </row>
    <row r="1082" spans="4:8" hidden="1">
      <c r="E1082" s="74" t="s">
        <v>91</v>
      </c>
      <c r="F1082" s="75">
        <f>'Mono 13,8kv'!BG25+'Mono 13,8kv'!BH25</f>
        <v>0</v>
      </c>
    </row>
    <row r="1083" spans="4:8" hidden="1">
      <c r="E1083" s="77" t="s">
        <v>92</v>
      </c>
      <c r="F1083" s="75">
        <f>'Mono 13,8kv'!BG26+'Mono 13,8kv'!BH26</f>
        <v>0</v>
      </c>
    </row>
    <row r="1084" spans="4:8" hidden="1">
      <c r="F1084" s="280">
        <f>SUM(F1062:F1083)</f>
        <v>0</v>
      </c>
      <c r="H1084" s="186"/>
    </row>
    <row r="1085" spans="4:8" ht="19.5" hidden="1" thickBot="1">
      <c r="D1085" s="1687" t="s">
        <v>543</v>
      </c>
      <c r="E1085" s="1688"/>
      <c r="F1085" s="286">
        <f>SUM(F1086:F1107)</f>
        <v>0</v>
      </c>
    </row>
    <row r="1086" spans="4:8" hidden="1">
      <c r="E1086" s="263" t="s">
        <v>74</v>
      </c>
      <c r="F1086" s="79">
        <f>'Mono 13,8kv'!BK5</f>
        <v>0</v>
      </c>
    </row>
    <row r="1087" spans="4:8" hidden="1">
      <c r="E1087" s="77" t="s">
        <v>75</v>
      </c>
      <c r="F1087" s="79">
        <f>'Mono 13,8kv'!BK6</f>
        <v>0</v>
      </c>
    </row>
    <row r="1088" spans="4:8" hidden="1">
      <c r="E1088" s="74" t="s">
        <v>76</v>
      </c>
      <c r="F1088" s="79">
        <f>'Mono 13,8kv'!BK7</f>
        <v>0</v>
      </c>
    </row>
    <row r="1089" spans="5:6" hidden="1">
      <c r="E1089" s="77" t="s">
        <v>77</v>
      </c>
      <c r="F1089" s="79">
        <f>'Mono 13,8kv'!BK8</f>
        <v>0</v>
      </c>
    </row>
    <row r="1090" spans="5:6" hidden="1">
      <c r="E1090" s="74" t="s">
        <v>100</v>
      </c>
      <c r="F1090" s="79">
        <f>'Mono 13,8kv'!BK9</f>
        <v>0</v>
      </c>
    </row>
    <row r="1091" spans="5:6" hidden="1">
      <c r="E1091" s="77" t="s">
        <v>78</v>
      </c>
      <c r="F1091" s="79">
        <f>'Mono 13,8kv'!BK10</f>
        <v>0</v>
      </c>
    </row>
    <row r="1092" spans="5:6" hidden="1">
      <c r="E1092" s="74" t="s">
        <v>79</v>
      </c>
      <c r="F1092" s="79">
        <f>'Mono 13,8kv'!BK11</f>
        <v>0</v>
      </c>
    </row>
    <row r="1093" spans="5:6" hidden="1">
      <c r="E1093" s="77" t="s">
        <v>80</v>
      </c>
      <c r="F1093" s="79">
        <f>'Mono 13,8kv'!BK12</f>
        <v>0</v>
      </c>
    </row>
    <row r="1094" spans="5:6" hidden="1">
      <c r="E1094" s="74" t="s">
        <v>81</v>
      </c>
      <c r="F1094" s="79">
        <f>'Mono 13,8kv'!BK13</f>
        <v>0</v>
      </c>
    </row>
    <row r="1095" spans="5:6" hidden="1">
      <c r="E1095" s="77" t="s">
        <v>82</v>
      </c>
      <c r="F1095" s="79">
        <f>'Mono 13,8kv'!BK14</f>
        <v>0</v>
      </c>
    </row>
    <row r="1096" spans="5:6" hidden="1">
      <c r="E1096" s="74" t="s">
        <v>83</v>
      </c>
      <c r="F1096" s="79">
        <f>'Mono 13,8kv'!BK15</f>
        <v>0</v>
      </c>
    </row>
    <row r="1097" spans="5:6" hidden="1">
      <c r="E1097" s="77" t="s">
        <v>85</v>
      </c>
      <c r="F1097" s="79">
        <f>'Mono 13,8kv'!BK16</f>
        <v>0</v>
      </c>
    </row>
    <row r="1098" spans="5:6" hidden="1">
      <c r="E1098" s="74" t="s">
        <v>84</v>
      </c>
      <c r="F1098" s="79">
        <f>'Mono 13,8kv'!BK17</f>
        <v>0</v>
      </c>
    </row>
    <row r="1099" spans="5:6" hidden="1">
      <c r="E1099" s="77" t="s">
        <v>86</v>
      </c>
      <c r="F1099" s="79">
        <f>'Mono 13,8kv'!BK18</f>
        <v>0</v>
      </c>
    </row>
    <row r="1100" spans="5:6" hidden="1">
      <c r="E1100" s="74" t="s">
        <v>87</v>
      </c>
      <c r="F1100" s="79">
        <f>'Mono 13,8kv'!BK19</f>
        <v>0</v>
      </c>
    </row>
    <row r="1101" spans="5:6" hidden="1">
      <c r="E1101" s="77" t="s">
        <v>101</v>
      </c>
      <c r="F1101" s="79">
        <f>'Mono 13,8kv'!BK20</f>
        <v>0</v>
      </c>
    </row>
    <row r="1102" spans="5:6" hidden="1">
      <c r="E1102" s="74" t="s">
        <v>88</v>
      </c>
      <c r="F1102" s="79">
        <f>'Mono 13,8kv'!BK21</f>
        <v>0</v>
      </c>
    </row>
    <row r="1103" spans="5:6" hidden="1">
      <c r="E1103" s="77" t="s">
        <v>89</v>
      </c>
      <c r="F1103" s="79">
        <f>'Mono 13,8kv'!BK22</f>
        <v>0</v>
      </c>
    </row>
    <row r="1104" spans="5:6" hidden="1">
      <c r="E1104" s="74" t="s">
        <v>90</v>
      </c>
      <c r="F1104" s="79">
        <f>'Mono 13,8kv'!BK23</f>
        <v>0</v>
      </c>
    </row>
    <row r="1105" spans="5:6" hidden="1">
      <c r="E1105" s="77" t="s">
        <v>93</v>
      </c>
      <c r="F1105" s="79">
        <f>'Mono 13,8kv'!BK24</f>
        <v>0</v>
      </c>
    </row>
    <row r="1106" spans="5:6" hidden="1">
      <c r="E1106" s="74" t="s">
        <v>91</v>
      </c>
      <c r="F1106" s="79">
        <f>'Mono 13,8kv'!BK25</f>
        <v>0</v>
      </c>
    </row>
    <row r="1107" spans="5:6" hidden="1">
      <c r="E1107" s="77" t="s">
        <v>92</v>
      </c>
      <c r="F1107" s="79">
        <f>'Mono 13,8kv'!BK26</f>
        <v>0</v>
      </c>
    </row>
    <row r="1108" spans="5:6" hidden="1">
      <c r="F1108" s="280">
        <f>SUM(F1086:F1107)</f>
        <v>0</v>
      </c>
    </row>
    <row r="1109" spans="5:6" ht="18.75" hidden="1">
      <c r="E1109" s="270" t="s">
        <v>143</v>
      </c>
      <c r="F1109" s="288">
        <f>SUM(F1110:F1131)</f>
        <v>0</v>
      </c>
    </row>
    <row r="1110" spans="5:6" hidden="1">
      <c r="E1110" s="74" t="s">
        <v>74</v>
      </c>
      <c r="F1110" s="75">
        <f>'Mono 13,8kv'!BN5+'Mono 13,8kv'!BO5</f>
        <v>0</v>
      </c>
    </row>
    <row r="1111" spans="5:6" hidden="1">
      <c r="E1111" s="77" t="s">
        <v>75</v>
      </c>
      <c r="F1111" s="75">
        <f>'Mono 13,8kv'!BN6+'Mono 13,8kv'!BO6</f>
        <v>0</v>
      </c>
    </row>
    <row r="1112" spans="5:6" hidden="1">
      <c r="E1112" s="74" t="s">
        <v>76</v>
      </c>
      <c r="F1112" s="75">
        <f>'Mono 13,8kv'!BN7+'Mono 13,8kv'!BO7</f>
        <v>0</v>
      </c>
    </row>
    <row r="1113" spans="5:6" hidden="1">
      <c r="E1113" s="77" t="s">
        <v>77</v>
      </c>
      <c r="F1113" s="75">
        <f>'Mono 13,8kv'!BN8+'Mono 13,8kv'!BO8</f>
        <v>0</v>
      </c>
    </row>
    <row r="1114" spans="5:6" hidden="1">
      <c r="E1114" s="74" t="s">
        <v>100</v>
      </c>
      <c r="F1114" s="75">
        <f>'Mono 13,8kv'!BN9+'Mono 13,8kv'!BO9</f>
        <v>0</v>
      </c>
    </row>
    <row r="1115" spans="5:6" hidden="1">
      <c r="E1115" s="77" t="s">
        <v>78</v>
      </c>
      <c r="F1115" s="75">
        <f>'Mono 13,8kv'!BN10+'Mono 13,8kv'!BO10</f>
        <v>0</v>
      </c>
    </row>
    <row r="1116" spans="5:6" hidden="1">
      <c r="E1116" s="74" t="s">
        <v>79</v>
      </c>
      <c r="F1116" s="75">
        <f>'Mono 13,8kv'!BN11+'Mono 13,8kv'!BO11</f>
        <v>0</v>
      </c>
    </row>
    <row r="1117" spans="5:6" hidden="1">
      <c r="E1117" s="77" t="s">
        <v>80</v>
      </c>
      <c r="F1117" s="75">
        <f>'Mono 13,8kv'!BN12+'Mono 13,8kv'!BO12</f>
        <v>0</v>
      </c>
    </row>
    <row r="1118" spans="5:6" hidden="1">
      <c r="E1118" s="74" t="s">
        <v>81</v>
      </c>
      <c r="F1118" s="75">
        <f>'Mono 13,8kv'!BN13+'Mono 13,8kv'!BO13</f>
        <v>0</v>
      </c>
    </row>
    <row r="1119" spans="5:6" hidden="1">
      <c r="E1119" s="77" t="s">
        <v>82</v>
      </c>
      <c r="F1119" s="75">
        <f>'Mono 13,8kv'!BN14+'Mono 13,8kv'!BO14</f>
        <v>0</v>
      </c>
    </row>
    <row r="1120" spans="5:6" hidden="1">
      <c r="E1120" s="74" t="s">
        <v>83</v>
      </c>
      <c r="F1120" s="75">
        <f>'Mono 13,8kv'!BN15+'Mono 13,8kv'!BO15</f>
        <v>0</v>
      </c>
    </row>
    <row r="1121" spans="4:6" hidden="1">
      <c r="E1121" s="77" t="s">
        <v>85</v>
      </c>
      <c r="F1121" s="75">
        <f>'Mono 13,8kv'!BN16+'Mono 13,8kv'!BO16</f>
        <v>0</v>
      </c>
    </row>
    <row r="1122" spans="4:6" hidden="1">
      <c r="E1122" s="74" t="s">
        <v>84</v>
      </c>
      <c r="F1122" s="75">
        <f>'Mono 13,8kv'!BN17+'Mono 13,8kv'!BO17</f>
        <v>0</v>
      </c>
    </row>
    <row r="1123" spans="4:6" hidden="1">
      <c r="E1123" s="77" t="s">
        <v>86</v>
      </c>
      <c r="F1123" s="75">
        <f>'Mono 13,8kv'!BN18+'Mono 13,8kv'!BO18</f>
        <v>0</v>
      </c>
    </row>
    <row r="1124" spans="4:6" hidden="1">
      <c r="E1124" s="74" t="s">
        <v>87</v>
      </c>
      <c r="F1124" s="75">
        <f>'Mono 13,8kv'!BN19+'Mono 13,8kv'!BO19</f>
        <v>0</v>
      </c>
    </row>
    <row r="1125" spans="4:6" hidden="1">
      <c r="E1125" s="77" t="s">
        <v>101</v>
      </c>
      <c r="F1125" s="75">
        <f>'Mono 13,8kv'!BN20+'Mono 13,8kv'!BO20</f>
        <v>0</v>
      </c>
    </row>
    <row r="1126" spans="4:6" hidden="1">
      <c r="E1126" s="74" t="s">
        <v>88</v>
      </c>
      <c r="F1126" s="75">
        <f>'Mono 13,8kv'!BN21+'Mono 13,8kv'!BO21</f>
        <v>0</v>
      </c>
    </row>
    <row r="1127" spans="4:6" hidden="1">
      <c r="E1127" s="77" t="s">
        <v>89</v>
      </c>
      <c r="F1127" s="75">
        <f>'Mono 13,8kv'!BN22+'Mono 13,8kv'!BO22</f>
        <v>0</v>
      </c>
    </row>
    <row r="1128" spans="4:6" hidden="1">
      <c r="E1128" s="74" t="s">
        <v>90</v>
      </c>
      <c r="F1128" s="75">
        <f>'Mono 13,8kv'!BN23+'Mono 13,8kv'!BO23</f>
        <v>0</v>
      </c>
    </row>
    <row r="1129" spans="4:6" hidden="1">
      <c r="E1129" s="77" t="s">
        <v>93</v>
      </c>
      <c r="F1129" s="75">
        <f>'Mono 13,8kv'!BN24+'Mono 13,8kv'!BO24</f>
        <v>0</v>
      </c>
    </row>
    <row r="1130" spans="4:6" hidden="1">
      <c r="E1130" s="74" t="s">
        <v>91</v>
      </c>
      <c r="F1130" s="75">
        <f>'Mono 13,8kv'!BN25+'Mono 13,8kv'!BO25</f>
        <v>0</v>
      </c>
    </row>
    <row r="1131" spans="4:6" hidden="1">
      <c r="E1131" s="77" t="s">
        <v>92</v>
      </c>
      <c r="F1131" s="75">
        <f>'Mono 13,8kv'!BN26+'Mono 13,8kv'!BO26</f>
        <v>0</v>
      </c>
    </row>
    <row r="1132" spans="4:6" hidden="1">
      <c r="F1132" s="280">
        <f>SUM(F1110:F1131)</f>
        <v>0</v>
      </c>
    </row>
    <row r="1133" spans="4:6" ht="19.5" hidden="1" thickBot="1">
      <c r="D1133" s="272" t="s">
        <v>544</v>
      </c>
      <c r="E1133" s="273"/>
      <c r="F1133" s="286">
        <f>SUM(F1134:F1155)</f>
        <v>0</v>
      </c>
    </row>
    <row r="1134" spans="4:6" hidden="1">
      <c r="E1134" s="263" t="s">
        <v>74</v>
      </c>
      <c r="F1134" s="79">
        <f>'Mono 13,8kv'!BR5</f>
        <v>0</v>
      </c>
    </row>
    <row r="1135" spans="4:6" hidden="1">
      <c r="E1135" s="77" t="s">
        <v>75</v>
      </c>
      <c r="F1135" s="79">
        <f>'Mono 13,8kv'!BR6</f>
        <v>0</v>
      </c>
    </row>
    <row r="1136" spans="4:6" hidden="1">
      <c r="E1136" s="74" t="s">
        <v>76</v>
      </c>
      <c r="F1136" s="79">
        <f>'Mono 13,8kv'!BR7</f>
        <v>0</v>
      </c>
    </row>
    <row r="1137" spans="5:6" hidden="1">
      <c r="E1137" s="77" t="s">
        <v>77</v>
      </c>
      <c r="F1137" s="79">
        <f>'Mono 13,8kv'!BR8</f>
        <v>0</v>
      </c>
    </row>
    <row r="1138" spans="5:6" hidden="1">
      <c r="E1138" s="74" t="s">
        <v>100</v>
      </c>
      <c r="F1138" s="79">
        <f>'Mono 13,8kv'!BR9</f>
        <v>0</v>
      </c>
    </row>
    <row r="1139" spans="5:6" hidden="1">
      <c r="E1139" s="77" t="s">
        <v>78</v>
      </c>
      <c r="F1139" s="79">
        <f>'Mono 13,8kv'!BR10</f>
        <v>0</v>
      </c>
    </row>
    <row r="1140" spans="5:6" hidden="1">
      <c r="E1140" s="74" t="s">
        <v>79</v>
      </c>
      <c r="F1140" s="79">
        <f>'Mono 13,8kv'!BR11</f>
        <v>0</v>
      </c>
    </row>
    <row r="1141" spans="5:6" hidden="1">
      <c r="E1141" s="77" t="s">
        <v>80</v>
      </c>
      <c r="F1141" s="79">
        <f>'Mono 13,8kv'!BR12</f>
        <v>0</v>
      </c>
    </row>
    <row r="1142" spans="5:6" hidden="1">
      <c r="E1142" s="74" t="s">
        <v>81</v>
      </c>
      <c r="F1142" s="79">
        <f>'Mono 13,8kv'!BR13</f>
        <v>0</v>
      </c>
    </row>
    <row r="1143" spans="5:6" hidden="1">
      <c r="E1143" s="77" t="s">
        <v>82</v>
      </c>
      <c r="F1143" s="79">
        <f>'Mono 13,8kv'!BR14</f>
        <v>0</v>
      </c>
    </row>
    <row r="1144" spans="5:6" hidden="1">
      <c r="E1144" s="74" t="s">
        <v>83</v>
      </c>
      <c r="F1144" s="79">
        <f>'Mono 13,8kv'!BR15</f>
        <v>0</v>
      </c>
    </row>
    <row r="1145" spans="5:6" hidden="1">
      <c r="E1145" s="77" t="s">
        <v>85</v>
      </c>
      <c r="F1145" s="79">
        <f>'Mono 13,8kv'!BR16</f>
        <v>0</v>
      </c>
    </row>
    <row r="1146" spans="5:6" hidden="1">
      <c r="E1146" s="74" t="s">
        <v>84</v>
      </c>
      <c r="F1146" s="79">
        <f>'Mono 13,8kv'!BR17</f>
        <v>0</v>
      </c>
    </row>
    <row r="1147" spans="5:6" hidden="1">
      <c r="E1147" s="77" t="s">
        <v>86</v>
      </c>
      <c r="F1147" s="79">
        <f>'Mono 13,8kv'!BR18</f>
        <v>0</v>
      </c>
    </row>
    <row r="1148" spans="5:6" hidden="1">
      <c r="E1148" s="74" t="s">
        <v>87</v>
      </c>
      <c r="F1148" s="79">
        <f>'Mono 13,8kv'!BR19</f>
        <v>0</v>
      </c>
    </row>
    <row r="1149" spans="5:6" hidden="1">
      <c r="E1149" s="77" t="s">
        <v>101</v>
      </c>
      <c r="F1149" s="79">
        <f>'Mono 13,8kv'!BR20</f>
        <v>0</v>
      </c>
    </row>
    <row r="1150" spans="5:6" hidden="1">
      <c r="E1150" s="74" t="s">
        <v>88</v>
      </c>
      <c r="F1150" s="79">
        <f>'Mono 13,8kv'!BR21</f>
        <v>0</v>
      </c>
    </row>
    <row r="1151" spans="5:6" hidden="1">
      <c r="E1151" s="77" t="s">
        <v>89</v>
      </c>
      <c r="F1151" s="79">
        <f>'Mono 13,8kv'!BR22</f>
        <v>0</v>
      </c>
    </row>
    <row r="1152" spans="5:6" hidden="1">
      <c r="E1152" s="74" t="s">
        <v>90</v>
      </c>
      <c r="F1152" s="79">
        <f>'Mono 13,8kv'!BR23</f>
        <v>0</v>
      </c>
    </row>
    <row r="1153" spans="5:6" hidden="1">
      <c r="E1153" s="77" t="s">
        <v>93</v>
      </c>
      <c r="F1153" s="79">
        <f>'Mono 13,8kv'!BR24</f>
        <v>0</v>
      </c>
    </row>
    <row r="1154" spans="5:6" hidden="1">
      <c r="E1154" s="74" t="s">
        <v>91</v>
      </c>
      <c r="F1154" s="79">
        <f>'Mono 13,8kv'!BR25</f>
        <v>0</v>
      </c>
    </row>
    <row r="1155" spans="5:6" hidden="1">
      <c r="E1155" s="133" t="s">
        <v>92</v>
      </c>
      <c r="F1155" s="79">
        <f>'Mono 13,8kv'!BR26</f>
        <v>0</v>
      </c>
    </row>
    <row r="1156" spans="5:6" hidden="1">
      <c r="F1156" s="280">
        <f>SUM(F1134:F1155)</f>
        <v>0</v>
      </c>
    </row>
    <row r="1157" spans="5:6" ht="19.5" hidden="1" thickBot="1">
      <c r="E1157" s="229" t="s">
        <v>131</v>
      </c>
      <c r="F1157" s="287">
        <f>SUM(F1158:F1179)</f>
        <v>0</v>
      </c>
    </row>
    <row r="1158" spans="5:6" hidden="1">
      <c r="E1158" s="74" t="s">
        <v>74</v>
      </c>
      <c r="F1158" s="75">
        <f>'Mono 13,8kv'!BU5+'Mono 13,8kv'!BV5</f>
        <v>0</v>
      </c>
    </row>
    <row r="1159" spans="5:6" hidden="1">
      <c r="E1159" s="77" t="s">
        <v>75</v>
      </c>
      <c r="F1159" s="75">
        <f>'Mono 13,8kv'!BU6+'Mono 13,8kv'!BV6</f>
        <v>0</v>
      </c>
    </row>
    <row r="1160" spans="5:6" hidden="1">
      <c r="E1160" s="74" t="s">
        <v>76</v>
      </c>
      <c r="F1160" s="75">
        <f>'Mono 13,8kv'!BU7+'Mono 13,8kv'!BV7</f>
        <v>0</v>
      </c>
    </row>
    <row r="1161" spans="5:6" hidden="1">
      <c r="E1161" s="77" t="s">
        <v>77</v>
      </c>
      <c r="F1161" s="75">
        <f>'Mono 13,8kv'!BU8+'Mono 13,8kv'!BV8</f>
        <v>0</v>
      </c>
    </row>
    <row r="1162" spans="5:6" hidden="1">
      <c r="E1162" s="74" t="s">
        <v>100</v>
      </c>
      <c r="F1162" s="75">
        <f>'Mono 13,8kv'!BU9+'Mono 13,8kv'!BV9</f>
        <v>0</v>
      </c>
    </row>
    <row r="1163" spans="5:6" hidden="1">
      <c r="E1163" s="77" t="s">
        <v>78</v>
      </c>
      <c r="F1163" s="75">
        <f>'Mono 13,8kv'!BU10+'Mono 13,8kv'!BV10</f>
        <v>0</v>
      </c>
    </row>
    <row r="1164" spans="5:6" hidden="1">
      <c r="E1164" s="74" t="s">
        <v>79</v>
      </c>
      <c r="F1164" s="75">
        <f>'Mono 13,8kv'!BU11+'Mono 13,8kv'!BV11</f>
        <v>0</v>
      </c>
    </row>
    <row r="1165" spans="5:6" hidden="1">
      <c r="E1165" s="77" t="s">
        <v>80</v>
      </c>
      <c r="F1165" s="75">
        <f>'Mono 13,8kv'!BU12+'Mono 13,8kv'!BV12</f>
        <v>0</v>
      </c>
    </row>
    <row r="1166" spans="5:6" hidden="1">
      <c r="E1166" s="74" t="s">
        <v>81</v>
      </c>
      <c r="F1166" s="75">
        <f>'Mono 13,8kv'!BU13+'Mono 13,8kv'!BV13</f>
        <v>0</v>
      </c>
    </row>
    <row r="1167" spans="5:6" hidden="1">
      <c r="E1167" s="77" t="s">
        <v>82</v>
      </c>
      <c r="F1167" s="75">
        <f>'Mono 13,8kv'!BU14+'Mono 13,8kv'!BV14</f>
        <v>0</v>
      </c>
    </row>
    <row r="1168" spans="5:6" hidden="1">
      <c r="E1168" s="74" t="s">
        <v>83</v>
      </c>
      <c r="F1168" s="75">
        <f>'Mono 13,8kv'!BU15+'Mono 13,8kv'!BV15</f>
        <v>0</v>
      </c>
    </row>
    <row r="1169" spans="4:6" hidden="1">
      <c r="E1169" s="77" t="s">
        <v>85</v>
      </c>
      <c r="F1169" s="75">
        <f>'Mono 13,8kv'!BU16+'Mono 13,8kv'!BV16</f>
        <v>0</v>
      </c>
    </row>
    <row r="1170" spans="4:6" hidden="1">
      <c r="E1170" s="74" t="s">
        <v>84</v>
      </c>
      <c r="F1170" s="75">
        <f>'Mono 13,8kv'!BU17+'Mono 13,8kv'!BV17</f>
        <v>0</v>
      </c>
    </row>
    <row r="1171" spans="4:6" hidden="1">
      <c r="E1171" s="77" t="s">
        <v>86</v>
      </c>
      <c r="F1171" s="75">
        <f>'Mono 13,8kv'!BU18+'Mono 13,8kv'!BV18</f>
        <v>0</v>
      </c>
    </row>
    <row r="1172" spans="4:6" hidden="1">
      <c r="E1172" s="74" t="s">
        <v>87</v>
      </c>
      <c r="F1172" s="75">
        <f>'Mono 13,8kv'!BU19+'Mono 13,8kv'!BV19</f>
        <v>0</v>
      </c>
    </row>
    <row r="1173" spans="4:6" hidden="1">
      <c r="E1173" s="77" t="s">
        <v>101</v>
      </c>
      <c r="F1173" s="75">
        <f>'Mono 13,8kv'!BU20+'Mono 13,8kv'!BV20</f>
        <v>0</v>
      </c>
    </row>
    <row r="1174" spans="4:6" hidden="1">
      <c r="E1174" s="74" t="s">
        <v>88</v>
      </c>
      <c r="F1174" s="75">
        <f>'Mono 13,8kv'!BU21+'Mono 13,8kv'!BV21</f>
        <v>0</v>
      </c>
    </row>
    <row r="1175" spans="4:6" hidden="1">
      <c r="E1175" s="77" t="s">
        <v>89</v>
      </c>
      <c r="F1175" s="75">
        <f>'Mono 13,8kv'!BU22+'Mono 13,8kv'!BV22</f>
        <v>0</v>
      </c>
    </row>
    <row r="1176" spans="4:6" hidden="1">
      <c r="E1176" s="74" t="s">
        <v>90</v>
      </c>
      <c r="F1176" s="75">
        <f>'Mono 13,8kv'!BU23+'Mono 13,8kv'!BV23</f>
        <v>0</v>
      </c>
    </row>
    <row r="1177" spans="4:6" hidden="1">
      <c r="E1177" s="77" t="s">
        <v>93</v>
      </c>
      <c r="F1177" s="75">
        <f>'Mono 13,8kv'!BU24+'Mono 13,8kv'!BV24</f>
        <v>0</v>
      </c>
    </row>
    <row r="1178" spans="4:6" hidden="1">
      <c r="E1178" s="74" t="s">
        <v>91</v>
      </c>
      <c r="F1178" s="75">
        <f>'Mono 13,8kv'!BU25+'Mono 13,8kv'!BV25</f>
        <v>0</v>
      </c>
    </row>
    <row r="1179" spans="4:6" hidden="1">
      <c r="E1179" s="77" t="s">
        <v>92</v>
      </c>
      <c r="F1179" s="75">
        <f>'Mono 13,8kv'!BU26+'Mono 13,8kv'!BV26</f>
        <v>0</v>
      </c>
    </row>
    <row r="1180" spans="4:6" hidden="1">
      <c r="F1180" s="280">
        <f>SUM(F1158:F1179)</f>
        <v>0</v>
      </c>
    </row>
    <row r="1181" spans="4:6" ht="19.5" hidden="1" thickBot="1">
      <c r="D1181" s="272" t="s">
        <v>545</v>
      </c>
      <c r="E1181" s="274"/>
      <c r="F1181" s="286">
        <f>SUM(F1182:F1203)</f>
        <v>0</v>
      </c>
    </row>
    <row r="1182" spans="4:6" hidden="1">
      <c r="E1182" s="263" t="s">
        <v>74</v>
      </c>
      <c r="F1182" s="79">
        <f>'Mono 13,8kv'!BY5</f>
        <v>0</v>
      </c>
    </row>
    <row r="1183" spans="4:6" hidden="1">
      <c r="E1183" s="77" t="s">
        <v>75</v>
      </c>
      <c r="F1183" s="79">
        <f>'Mono 13,8kv'!BY6</f>
        <v>0</v>
      </c>
    </row>
    <row r="1184" spans="4:6" hidden="1">
      <c r="E1184" s="74" t="s">
        <v>76</v>
      </c>
      <c r="F1184" s="79">
        <f>'Mono 13,8kv'!BY7</f>
        <v>0</v>
      </c>
    </row>
    <row r="1185" spans="5:6" hidden="1">
      <c r="E1185" s="77" t="s">
        <v>77</v>
      </c>
      <c r="F1185" s="79">
        <f>'Mono 13,8kv'!BY8</f>
        <v>0</v>
      </c>
    </row>
    <row r="1186" spans="5:6" hidden="1">
      <c r="E1186" s="74" t="s">
        <v>100</v>
      </c>
      <c r="F1186" s="79">
        <f>'Mono 13,8kv'!BY9</f>
        <v>0</v>
      </c>
    </row>
    <row r="1187" spans="5:6" hidden="1">
      <c r="E1187" s="77" t="s">
        <v>78</v>
      </c>
      <c r="F1187" s="79">
        <f>'Mono 13,8kv'!BY10</f>
        <v>0</v>
      </c>
    </row>
    <row r="1188" spans="5:6" hidden="1">
      <c r="E1188" s="74" t="s">
        <v>79</v>
      </c>
      <c r="F1188" s="79">
        <f>'Mono 13,8kv'!BY11</f>
        <v>0</v>
      </c>
    </row>
    <row r="1189" spans="5:6" hidden="1">
      <c r="E1189" s="77" t="s">
        <v>80</v>
      </c>
      <c r="F1189" s="79">
        <f>'Mono 13,8kv'!BY12</f>
        <v>0</v>
      </c>
    </row>
    <row r="1190" spans="5:6" hidden="1">
      <c r="E1190" s="74" t="s">
        <v>81</v>
      </c>
      <c r="F1190" s="79">
        <f>'Mono 13,8kv'!BY13</f>
        <v>0</v>
      </c>
    </row>
    <row r="1191" spans="5:6" hidden="1">
      <c r="E1191" s="77" t="s">
        <v>82</v>
      </c>
      <c r="F1191" s="79">
        <f>'Mono 13,8kv'!BY14</f>
        <v>0</v>
      </c>
    </row>
    <row r="1192" spans="5:6" hidden="1">
      <c r="E1192" s="74" t="s">
        <v>83</v>
      </c>
      <c r="F1192" s="79">
        <f>'Mono 13,8kv'!BY15</f>
        <v>0</v>
      </c>
    </row>
    <row r="1193" spans="5:6" hidden="1">
      <c r="E1193" s="77" t="s">
        <v>85</v>
      </c>
      <c r="F1193" s="79">
        <f>'Mono 13,8kv'!BY16</f>
        <v>0</v>
      </c>
    </row>
    <row r="1194" spans="5:6" hidden="1">
      <c r="E1194" s="74" t="s">
        <v>84</v>
      </c>
      <c r="F1194" s="79">
        <f>'Mono 13,8kv'!BY17</f>
        <v>0</v>
      </c>
    </row>
    <row r="1195" spans="5:6" hidden="1">
      <c r="E1195" s="77" t="s">
        <v>86</v>
      </c>
      <c r="F1195" s="79">
        <f>'Mono 13,8kv'!BY18</f>
        <v>0</v>
      </c>
    </row>
    <row r="1196" spans="5:6" hidden="1">
      <c r="E1196" s="74" t="s">
        <v>87</v>
      </c>
      <c r="F1196" s="79">
        <f>'Mono 13,8kv'!BY19</f>
        <v>0</v>
      </c>
    </row>
    <row r="1197" spans="5:6" hidden="1">
      <c r="E1197" s="77" t="s">
        <v>101</v>
      </c>
      <c r="F1197" s="79">
        <f>'Mono 13,8kv'!BY20</f>
        <v>0</v>
      </c>
    </row>
    <row r="1198" spans="5:6" hidden="1">
      <c r="E1198" s="74" t="s">
        <v>88</v>
      </c>
      <c r="F1198" s="79">
        <f>'Mono 13,8kv'!BY21</f>
        <v>0</v>
      </c>
    </row>
    <row r="1199" spans="5:6" hidden="1">
      <c r="E1199" s="77" t="s">
        <v>89</v>
      </c>
      <c r="F1199" s="79">
        <f>'Mono 13,8kv'!BY22</f>
        <v>0</v>
      </c>
    </row>
    <row r="1200" spans="5:6" hidden="1">
      <c r="E1200" s="74" t="s">
        <v>90</v>
      </c>
      <c r="F1200" s="79">
        <f>'Mono 13,8kv'!BY23</f>
        <v>0</v>
      </c>
    </row>
    <row r="1201" spans="5:6" hidden="1">
      <c r="E1201" s="77" t="s">
        <v>93</v>
      </c>
      <c r="F1201" s="79">
        <f>'Mono 13,8kv'!BY24</f>
        <v>0</v>
      </c>
    </row>
    <row r="1202" spans="5:6" hidden="1">
      <c r="E1202" s="74" t="s">
        <v>91</v>
      </c>
      <c r="F1202" s="79">
        <f>'Mono 13,8kv'!BY25</f>
        <v>0</v>
      </c>
    </row>
    <row r="1203" spans="5:6" hidden="1">
      <c r="E1203" s="77" t="s">
        <v>92</v>
      </c>
      <c r="F1203" s="79">
        <f>'Mono 13,8kv'!BY26</f>
        <v>0</v>
      </c>
    </row>
    <row r="1204" spans="5:6" hidden="1">
      <c r="F1204" s="280">
        <f>SUM(F1182:F1203)</f>
        <v>0</v>
      </c>
    </row>
    <row r="1205" spans="5:6" ht="18.75" hidden="1">
      <c r="E1205" s="275" t="s">
        <v>146</v>
      </c>
      <c r="F1205" s="283">
        <f>SUM(F1206:F1227)</f>
        <v>0</v>
      </c>
    </row>
    <row r="1206" spans="5:6" hidden="1">
      <c r="E1206" s="74" t="s">
        <v>74</v>
      </c>
      <c r="F1206" s="75">
        <f>'Mono 13,8kv'!CB5+'Mono 13,8kv'!CC5</f>
        <v>0</v>
      </c>
    </row>
    <row r="1207" spans="5:6" hidden="1">
      <c r="E1207" s="77" t="s">
        <v>75</v>
      </c>
      <c r="F1207" s="75">
        <f>'Mono 13,8kv'!CB6+'Mono 13,8kv'!CC6</f>
        <v>0</v>
      </c>
    </row>
    <row r="1208" spans="5:6" hidden="1">
      <c r="E1208" s="74" t="s">
        <v>76</v>
      </c>
      <c r="F1208" s="75">
        <f>'Mono 13,8kv'!CB7+'Mono 13,8kv'!CC7</f>
        <v>0</v>
      </c>
    </row>
    <row r="1209" spans="5:6" hidden="1">
      <c r="E1209" s="77" t="s">
        <v>77</v>
      </c>
      <c r="F1209" s="75">
        <f>'Mono 13,8kv'!CB8+'Mono 13,8kv'!CC8</f>
        <v>0</v>
      </c>
    </row>
    <row r="1210" spans="5:6" hidden="1">
      <c r="E1210" s="74" t="s">
        <v>100</v>
      </c>
      <c r="F1210" s="75">
        <f>'Mono 13,8kv'!CB9+'Mono 13,8kv'!CC9</f>
        <v>0</v>
      </c>
    </row>
    <row r="1211" spans="5:6" hidden="1">
      <c r="E1211" s="77" t="s">
        <v>78</v>
      </c>
      <c r="F1211" s="75">
        <f>'Mono 13,8kv'!CB10+'Mono 13,8kv'!CC10</f>
        <v>0</v>
      </c>
    </row>
    <row r="1212" spans="5:6" hidden="1">
      <c r="E1212" s="74" t="s">
        <v>79</v>
      </c>
      <c r="F1212" s="75">
        <f>'Mono 13,8kv'!CB11+'Mono 13,8kv'!CC11</f>
        <v>0</v>
      </c>
    </row>
    <row r="1213" spans="5:6" hidden="1">
      <c r="E1213" s="77" t="s">
        <v>80</v>
      </c>
      <c r="F1213" s="75">
        <f>'Mono 13,8kv'!CB12+'Mono 13,8kv'!CC12</f>
        <v>0</v>
      </c>
    </row>
    <row r="1214" spans="5:6" hidden="1">
      <c r="E1214" s="74" t="s">
        <v>81</v>
      </c>
      <c r="F1214" s="75">
        <f>'Mono 13,8kv'!CB13+'Mono 13,8kv'!CC13</f>
        <v>0</v>
      </c>
    </row>
    <row r="1215" spans="5:6" hidden="1">
      <c r="E1215" s="77" t="s">
        <v>82</v>
      </c>
      <c r="F1215" s="75">
        <f>'Mono 13,8kv'!CB14+'Mono 13,8kv'!CC14</f>
        <v>0</v>
      </c>
    </row>
    <row r="1216" spans="5:6" hidden="1">
      <c r="E1216" s="74" t="s">
        <v>83</v>
      </c>
      <c r="F1216" s="75">
        <f>'Mono 13,8kv'!CB15+'Mono 13,8kv'!CC15</f>
        <v>0</v>
      </c>
    </row>
    <row r="1217" spans="4:19" hidden="1">
      <c r="E1217" s="77" t="s">
        <v>85</v>
      </c>
      <c r="F1217" s="75">
        <f>'Mono 13,8kv'!CB16+'Mono 13,8kv'!CC16</f>
        <v>0</v>
      </c>
    </row>
    <row r="1218" spans="4:19" hidden="1">
      <c r="E1218" s="74" t="s">
        <v>84</v>
      </c>
      <c r="F1218" s="75">
        <f>'Mono 13,8kv'!CB17+'Mono 13,8kv'!CC17</f>
        <v>0</v>
      </c>
    </row>
    <row r="1219" spans="4:19" hidden="1">
      <c r="E1219" s="77" t="s">
        <v>86</v>
      </c>
      <c r="F1219" s="75">
        <f>'Mono 13,8kv'!CB18+'Mono 13,8kv'!CC18</f>
        <v>0</v>
      </c>
    </row>
    <row r="1220" spans="4:19" hidden="1">
      <c r="E1220" s="74" t="s">
        <v>87</v>
      </c>
      <c r="F1220" s="75">
        <f>'Mono 13,8kv'!CB19+'Mono 13,8kv'!CC19</f>
        <v>0</v>
      </c>
    </row>
    <row r="1221" spans="4:19" hidden="1">
      <c r="E1221" s="77" t="s">
        <v>101</v>
      </c>
      <c r="F1221" s="75">
        <f>'Mono 13,8kv'!CB20+'Mono 13,8kv'!CC20</f>
        <v>0</v>
      </c>
    </row>
    <row r="1222" spans="4:19" hidden="1">
      <c r="E1222" s="74" t="s">
        <v>88</v>
      </c>
      <c r="F1222" s="75">
        <f>'Mono 13,8kv'!CB21+'Mono 13,8kv'!CC21</f>
        <v>0</v>
      </c>
    </row>
    <row r="1223" spans="4:19" hidden="1">
      <c r="E1223" s="77" t="s">
        <v>89</v>
      </c>
      <c r="F1223" s="75">
        <f>'Mono 13,8kv'!CB22+'Mono 13,8kv'!CC22</f>
        <v>0</v>
      </c>
    </row>
    <row r="1224" spans="4:19" hidden="1">
      <c r="E1224" s="74" t="s">
        <v>90</v>
      </c>
      <c r="F1224" s="75">
        <f>'Mono 13,8kv'!CB23+'Mono 13,8kv'!CC23</f>
        <v>0</v>
      </c>
    </row>
    <row r="1225" spans="4:19" hidden="1">
      <c r="E1225" s="77" t="s">
        <v>93</v>
      </c>
      <c r="F1225" s="75">
        <f>'Mono 13,8kv'!CB24+'Mono 13,8kv'!CC24</f>
        <v>0</v>
      </c>
    </row>
    <row r="1226" spans="4:19" hidden="1">
      <c r="E1226" s="74" t="s">
        <v>91</v>
      </c>
      <c r="F1226" s="75">
        <f>'Mono 13,8kv'!CB25+'Mono 13,8kv'!CC25</f>
        <v>0</v>
      </c>
    </row>
    <row r="1227" spans="4:19" hidden="1">
      <c r="E1227" s="77" t="s">
        <v>92</v>
      </c>
      <c r="F1227" s="75">
        <f>'Mono 13,8kv'!CB26+'Mono 13,8kv'!CC26</f>
        <v>0</v>
      </c>
    </row>
    <row r="1228" spans="4:19" hidden="1">
      <c r="E1228" s="8"/>
      <c r="F1228" s="280">
        <f>SUM(F1206:F1227)</f>
        <v>0</v>
      </c>
    </row>
    <row r="1229" spans="4:19" ht="20.25" hidden="1" thickBot="1">
      <c r="D1229" s="1677" t="s">
        <v>546</v>
      </c>
      <c r="E1229" s="1686"/>
      <c r="F1229" s="287">
        <f>SUM(F1230:F1251)</f>
        <v>0</v>
      </c>
      <c r="G1229" s="18"/>
      <c r="H1229" s="16"/>
      <c r="I1229" s="18"/>
      <c r="J1229" s="18"/>
      <c r="K1229" s="18"/>
      <c r="L1229" s="16"/>
      <c r="M1229" s="18"/>
      <c r="N1229" s="18"/>
      <c r="O1229" s="18"/>
      <c r="P1229" s="16"/>
      <c r="Q1229" s="18"/>
      <c r="R1229" s="18"/>
      <c r="S1229" s="18"/>
    </row>
    <row r="1230" spans="4:19" hidden="1">
      <c r="E1230" s="263" t="s">
        <v>74</v>
      </c>
      <c r="F1230" s="226">
        <f>'Mono 13,8kv'!CF5+'Mono 13,8kv'!CG5</f>
        <v>0</v>
      </c>
      <c r="G1230" s="132"/>
      <c r="H1230" s="29"/>
      <c r="I1230" s="277"/>
      <c r="J1230" s="132"/>
      <c r="K1230" s="132"/>
      <c r="L1230" s="29"/>
      <c r="M1230" s="277"/>
      <c r="N1230" s="132"/>
      <c r="O1230" s="132"/>
      <c r="P1230" s="29"/>
      <c r="Q1230" s="277"/>
      <c r="R1230" s="132"/>
      <c r="S1230" s="132"/>
    </row>
    <row r="1231" spans="4:19" hidden="1">
      <c r="E1231" s="77" t="s">
        <v>75</v>
      </c>
      <c r="F1231" s="75">
        <f>'Mono 13,8kv'!CF6+'Mono 13,8kv'!CG6</f>
        <v>0</v>
      </c>
      <c r="G1231" s="132"/>
      <c r="H1231" s="31"/>
      <c r="I1231" s="277"/>
      <c r="J1231" s="132"/>
      <c r="K1231" s="132"/>
      <c r="L1231" s="31"/>
      <c r="M1231" s="277"/>
      <c r="N1231" s="132"/>
      <c r="O1231" s="132"/>
      <c r="P1231" s="31"/>
      <c r="Q1231" s="277"/>
      <c r="R1231" s="132"/>
      <c r="S1231" s="132"/>
    </row>
    <row r="1232" spans="4:19" hidden="1">
      <c r="E1232" s="74" t="s">
        <v>76</v>
      </c>
      <c r="F1232" s="75">
        <f>'Mono 13,8kv'!CF7+'Mono 13,8kv'!CG7</f>
        <v>0</v>
      </c>
      <c r="G1232" s="132"/>
      <c r="H1232" s="31"/>
      <c r="I1232" s="277"/>
      <c r="J1232" s="132"/>
      <c r="K1232" s="132"/>
      <c r="L1232" s="31"/>
      <c r="M1232" s="277"/>
      <c r="N1232" s="132"/>
      <c r="O1232" s="132"/>
      <c r="P1232" s="31"/>
      <c r="Q1232" s="277"/>
      <c r="R1232" s="132"/>
      <c r="S1232" s="132"/>
    </row>
    <row r="1233" spans="5:19" hidden="1">
      <c r="E1233" s="77" t="s">
        <v>77</v>
      </c>
      <c r="F1233" s="75">
        <f>'Mono 13,8kv'!CF8+'Mono 13,8kv'!CG8</f>
        <v>0</v>
      </c>
      <c r="G1233" s="132"/>
      <c r="H1233" s="31"/>
      <c r="I1233" s="277"/>
      <c r="J1233" s="132"/>
      <c r="K1233" s="132"/>
      <c r="L1233" s="31"/>
      <c r="M1233" s="277"/>
      <c r="N1233" s="132"/>
      <c r="O1233" s="132"/>
      <c r="P1233" s="31"/>
      <c r="Q1233" s="277"/>
      <c r="R1233" s="132"/>
      <c r="S1233" s="132"/>
    </row>
    <row r="1234" spans="5:19" hidden="1">
      <c r="E1234" s="74" t="s">
        <v>100</v>
      </c>
      <c r="F1234" s="75">
        <f>'Mono 13,8kv'!CF9+'Mono 13,8kv'!CG9</f>
        <v>0</v>
      </c>
      <c r="G1234" s="132"/>
      <c r="H1234" s="31"/>
      <c r="I1234" s="277"/>
      <c r="J1234" s="132"/>
      <c r="K1234" s="132"/>
      <c r="L1234" s="31"/>
      <c r="M1234" s="277"/>
      <c r="N1234" s="132"/>
      <c r="O1234" s="132"/>
      <c r="P1234" s="31"/>
      <c r="Q1234" s="277"/>
      <c r="R1234" s="132"/>
      <c r="S1234" s="132"/>
    </row>
    <row r="1235" spans="5:19" hidden="1">
      <c r="E1235" s="77" t="s">
        <v>78</v>
      </c>
      <c r="F1235" s="75">
        <f>'Mono 13,8kv'!CF10+'Mono 13,8kv'!CG10</f>
        <v>0</v>
      </c>
      <c r="G1235" s="132"/>
      <c r="H1235" s="31"/>
      <c r="I1235" s="277"/>
      <c r="J1235" s="132"/>
      <c r="K1235" s="132"/>
      <c r="L1235" s="31"/>
      <c r="M1235" s="277"/>
      <c r="N1235" s="132"/>
      <c r="O1235" s="132"/>
      <c r="P1235" s="31"/>
      <c r="Q1235" s="277"/>
      <c r="R1235" s="132"/>
      <c r="S1235" s="132"/>
    </row>
    <row r="1236" spans="5:19" hidden="1">
      <c r="E1236" s="74" t="s">
        <v>79</v>
      </c>
      <c r="F1236" s="75">
        <f>'Mono 13,8kv'!CF11+'Mono 13,8kv'!CG11</f>
        <v>0</v>
      </c>
      <c r="G1236" s="132"/>
      <c r="H1236" s="31"/>
      <c r="I1236" s="277"/>
      <c r="J1236" s="132"/>
      <c r="K1236" s="132"/>
      <c r="L1236" s="31"/>
      <c r="M1236" s="277"/>
      <c r="N1236" s="132"/>
      <c r="O1236" s="132"/>
      <c r="P1236" s="31"/>
      <c r="Q1236" s="277"/>
      <c r="R1236" s="132"/>
      <c r="S1236" s="132"/>
    </row>
    <row r="1237" spans="5:19" hidden="1">
      <c r="E1237" s="77" t="s">
        <v>80</v>
      </c>
      <c r="F1237" s="75">
        <f>'Mono 13,8kv'!CF12+'Mono 13,8kv'!CG12</f>
        <v>0</v>
      </c>
      <c r="G1237" s="132"/>
      <c r="H1237" s="31"/>
      <c r="I1237" s="277"/>
      <c r="J1237" s="132"/>
      <c r="K1237" s="132"/>
      <c r="L1237" s="31"/>
      <c r="M1237" s="277"/>
      <c r="N1237" s="132"/>
      <c r="O1237" s="132"/>
      <c r="P1237" s="31"/>
      <c r="Q1237" s="277"/>
      <c r="R1237" s="132"/>
      <c r="S1237" s="132"/>
    </row>
    <row r="1238" spans="5:19" hidden="1">
      <c r="E1238" s="74" t="s">
        <v>81</v>
      </c>
      <c r="F1238" s="75">
        <f>'Mono 13,8kv'!CF13+'Mono 13,8kv'!CG13</f>
        <v>0</v>
      </c>
      <c r="G1238" s="132"/>
      <c r="H1238" s="31"/>
      <c r="I1238" s="277"/>
      <c r="J1238" s="132"/>
      <c r="K1238" s="132"/>
      <c r="L1238" s="31"/>
      <c r="M1238" s="277"/>
      <c r="N1238" s="132"/>
      <c r="O1238" s="132"/>
      <c r="P1238" s="31"/>
      <c r="Q1238" s="277"/>
      <c r="R1238" s="132"/>
      <c r="S1238" s="132"/>
    </row>
    <row r="1239" spans="5:19" hidden="1">
      <c r="E1239" s="77" t="s">
        <v>82</v>
      </c>
      <c r="F1239" s="75">
        <f>'Mono 13,8kv'!CF14+'Mono 13,8kv'!CG14</f>
        <v>0</v>
      </c>
      <c r="G1239" s="132"/>
      <c r="H1239" s="31"/>
      <c r="I1239" s="277"/>
      <c r="J1239" s="132"/>
      <c r="K1239" s="132"/>
      <c r="L1239" s="31"/>
      <c r="M1239" s="277"/>
      <c r="N1239" s="132"/>
      <c r="O1239" s="132"/>
      <c r="P1239" s="31"/>
      <c r="Q1239" s="277"/>
      <c r="R1239" s="132"/>
      <c r="S1239" s="132"/>
    </row>
    <row r="1240" spans="5:19" hidden="1">
      <c r="E1240" s="74" t="s">
        <v>83</v>
      </c>
      <c r="F1240" s="75">
        <f>'Mono 13,8kv'!CF15+'Mono 13,8kv'!CG15</f>
        <v>0</v>
      </c>
      <c r="G1240" s="132"/>
      <c r="H1240" s="31"/>
      <c r="I1240" s="277"/>
      <c r="J1240" s="132"/>
      <c r="K1240" s="132"/>
      <c r="L1240" s="31"/>
      <c r="M1240" s="277"/>
      <c r="N1240" s="132"/>
      <c r="O1240" s="132"/>
      <c r="P1240" s="31"/>
      <c r="Q1240" s="277"/>
      <c r="R1240" s="132"/>
      <c r="S1240" s="132"/>
    </row>
    <row r="1241" spans="5:19" hidden="1">
      <c r="E1241" s="77" t="s">
        <v>85</v>
      </c>
      <c r="F1241" s="75">
        <f>'Mono 13,8kv'!CF16+'Mono 13,8kv'!CG16</f>
        <v>0</v>
      </c>
      <c r="G1241" s="132"/>
      <c r="H1241" s="31"/>
      <c r="I1241" s="277"/>
      <c r="J1241" s="132"/>
      <c r="K1241" s="132"/>
      <c r="L1241" s="31"/>
      <c r="M1241" s="277"/>
      <c r="N1241" s="132"/>
      <c r="O1241" s="132"/>
      <c r="P1241" s="31"/>
      <c r="Q1241" s="277"/>
      <c r="R1241" s="132"/>
      <c r="S1241" s="132"/>
    </row>
    <row r="1242" spans="5:19" hidden="1">
      <c r="E1242" s="74" t="s">
        <v>84</v>
      </c>
      <c r="F1242" s="75">
        <f>'Mono 13,8kv'!CF17+'Mono 13,8kv'!CG17</f>
        <v>0</v>
      </c>
      <c r="G1242" s="132"/>
      <c r="H1242" s="31"/>
      <c r="I1242" s="277"/>
      <c r="J1242" s="132"/>
      <c r="K1242" s="132"/>
      <c r="L1242" s="31"/>
      <c r="M1242" s="277"/>
      <c r="N1242" s="132"/>
      <c r="O1242" s="132"/>
      <c r="P1242" s="31"/>
      <c r="Q1242" s="277"/>
      <c r="R1242" s="132"/>
      <c r="S1242" s="132"/>
    </row>
    <row r="1243" spans="5:19" hidden="1">
      <c r="E1243" s="77" t="s">
        <v>86</v>
      </c>
      <c r="F1243" s="75">
        <f>'Mono 13,8kv'!CF18+'Mono 13,8kv'!CG18</f>
        <v>0</v>
      </c>
      <c r="G1243" s="132"/>
      <c r="H1243" s="31"/>
      <c r="I1243" s="277"/>
      <c r="J1243" s="132"/>
      <c r="K1243" s="132"/>
      <c r="L1243" s="31"/>
      <c r="M1243" s="277"/>
      <c r="N1243" s="132"/>
      <c r="O1243" s="132"/>
      <c r="P1243" s="31"/>
      <c r="Q1243" s="277"/>
      <c r="R1243" s="132"/>
      <c r="S1243" s="132"/>
    </row>
    <row r="1244" spans="5:19" hidden="1">
      <c r="E1244" s="74" t="s">
        <v>87</v>
      </c>
      <c r="F1244" s="75">
        <f>'Mono 13,8kv'!CF19+'Mono 13,8kv'!CG19</f>
        <v>0</v>
      </c>
      <c r="G1244" s="132"/>
      <c r="H1244" s="31"/>
      <c r="I1244" s="277"/>
      <c r="J1244" s="132"/>
      <c r="K1244" s="132"/>
      <c r="L1244" s="31"/>
      <c r="M1244" s="277"/>
      <c r="N1244" s="132"/>
      <c r="O1244" s="132"/>
      <c r="P1244" s="31"/>
      <c r="Q1244" s="277"/>
      <c r="R1244" s="132"/>
      <c r="S1244" s="132"/>
    </row>
    <row r="1245" spans="5:19" hidden="1">
      <c r="E1245" s="77" t="s">
        <v>101</v>
      </c>
      <c r="F1245" s="75">
        <f>'Mono 13,8kv'!CF20+'Mono 13,8kv'!CG20</f>
        <v>0</v>
      </c>
      <c r="G1245" s="132"/>
      <c r="H1245" s="31"/>
      <c r="I1245" s="277"/>
      <c r="J1245" s="132"/>
      <c r="K1245" s="132"/>
      <c r="L1245" s="31"/>
      <c r="M1245" s="277"/>
      <c r="N1245" s="132"/>
      <c r="O1245" s="132"/>
      <c r="P1245" s="31"/>
      <c r="Q1245" s="277"/>
      <c r="R1245" s="132"/>
      <c r="S1245" s="132"/>
    </row>
    <row r="1246" spans="5:19" hidden="1">
      <c r="E1246" s="74" t="s">
        <v>88</v>
      </c>
      <c r="F1246" s="75">
        <f>'Mono 13,8kv'!CF21+'Mono 13,8kv'!CG21</f>
        <v>0</v>
      </c>
      <c r="G1246" s="132"/>
      <c r="H1246" s="31"/>
      <c r="I1246" s="277"/>
      <c r="J1246" s="132"/>
      <c r="K1246" s="132"/>
      <c r="L1246" s="31"/>
      <c r="M1246" s="277"/>
      <c r="N1246" s="132"/>
      <c r="O1246" s="132"/>
      <c r="P1246" s="31"/>
      <c r="Q1246" s="277"/>
      <c r="R1246" s="132"/>
      <c r="S1246" s="132"/>
    </row>
    <row r="1247" spans="5:19" hidden="1">
      <c r="E1247" s="77" t="s">
        <v>89</v>
      </c>
      <c r="F1247" s="75">
        <f>'Mono 13,8kv'!CF22+'Mono 13,8kv'!CG22</f>
        <v>0</v>
      </c>
      <c r="G1247" s="132"/>
      <c r="H1247" s="31"/>
      <c r="I1247" s="277"/>
      <c r="J1247" s="132"/>
      <c r="K1247" s="132"/>
      <c r="L1247" s="31"/>
      <c r="M1247" s="277"/>
      <c r="N1247" s="132"/>
      <c r="O1247" s="132"/>
      <c r="P1247" s="31"/>
      <c r="Q1247" s="277"/>
      <c r="R1247" s="132"/>
      <c r="S1247" s="132"/>
    </row>
    <row r="1248" spans="5:19" hidden="1">
      <c r="E1248" s="74" t="s">
        <v>90</v>
      </c>
      <c r="F1248" s="75">
        <f>'Mono 13,8kv'!CF23+'Mono 13,8kv'!CG23</f>
        <v>0</v>
      </c>
      <c r="G1248" s="132"/>
      <c r="H1248" s="31"/>
      <c r="I1248" s="277"/>
      <c r="J1248" s="132"/>
      <c r="K1248" s="132"/>
      <c r="L1248" s="31"/>
      <c r="M1248" s="277"/>
      <c r="N1248" s="132"/>
      <c r="O1248" s="132"/>
      <c r="P1248" s="31"/>
      <c r="Q1248" s="277"/>
      <c r="R1248" s="132"/>
      <c r="S1248" s="132"/>
    </row>
    <row r="1249" spans="4:19" hidden="1">
      <c r="E1249" s="77" t="s">
        <v>93</v>
      </c>
      <c r="F1249" s="75">
        <f>'Mono 13,8kv'!CF24+'Mono 13,8kv'!CG24</f>
        <v>0</v>
      </c>
      <c r="G1249" s="132"/>
      <c r="H1249" s="31"/>
      <c r="I1249" s="277"/>
      <c r="J1249" s="132"/>
      <c r="K1249" s="132"/>
      <c r="L1249" s="31"/>
      <c r="M1249" s="277"/>
      <c r="N1249" s="132"/>
      <c r="O1249" s="132"/>
      <c r="P1249" s="31"/>
      <c r="Q1249" s="277"/>
      <c r="R1249" s="132"/>
      <c r="S1249" s="132"/>
    </row>
    <row r="1250" spans="4:19" hidden="1">
      <c r="E1250" s="74" t="s">
        <v>91</v>
      </c>
      <c r="F1250" s="75">
        <f>'Mono 13,8kv'!CF25+'Mono 13,8kv'!CG25</f>
        <v>0</v>
      </c>
      <c r="G1250" s="132"/>
      <c r="H1250" s="31"/>
      <c r="I1250" s="277"/>
      <c r="J1250" s="132"/>
      <c r="K1250" s="132"/>
      <c r="L1250" s="31"/>
      <c r="M1250" s="277"/>
      <c r="N1250" s="132"/>
      <c r="O1250" s="132"/>
      <c r="P1250" s="31"/>
      <c r="Q1250" s="277"/>
      <c r="R1250" s="132"/>
      <c r="S1250" s="132"/>
    </row>
    <row r="1251" spans="4:19" hidden="1">
      <c r="E1251" s="77" t="s">
        <v>92</v>
      </c>
      <c r="F1251" s="75">
        <f>'Mono 13,8kv'!CF26+'Mono 13,8kv'!CG26</f>
        <v>0</v>
      </c>
      <c r="G1251" s="132"/>
      <c r="H1251" s="31"/>
      <c r="I1251" s="277"/>
      <c r="J1251" s="132"/>
      <c r="K1251" s="132"/>
      <c r="L1251" s="31"/>
      <c r="M1251" s="277"/>
      <c r="N1251" s="132"/>
      <c r="O1251" s="132"/>
      <c r="P1251" s="31"/>
      <c r="Q1251" s="277"/>
      <c r="R1251" s="132"/>
      <c r="S1251" s="132"/>
    </row>
    <row r="1252" spans="4:19" hidden="1">
      <c r="F1252" s="282">
        <f>SUM(F1230:F1240)</f>
        <v>0</v>
      </c>
    </row>
    <row r="1253" spans="4:19" ht="19.5" hidden="1" thickBot="1">
      <c r="D1253" s="1677" t="s">
        <v>547</v>
      </c>
      <c r="E1253" s="1686"/>
      <c r="F1253" s="285">
        <f>SUM(F1254:F1275)</f>
        <v>0</v>
      </c>
    </row>
    <row r="1254" spans="4:19" hidden="1">
      <c r="E1254" s="74" t="s">
        <v>74</v>
      </c>
      <c r="F1254" s="75">
        <f>'Mono 13,8kv'!CJ5+'Mono 13,8kv'!CK5</f>
        <v>0</v>
      </c>
    </row>
    <row r="1255" spans="4:19" hidden="1">
      <c r="E1255" s="77" t="s">
        <v>75</v>
      </c>
      <c r="F1255" s="75">
        <f>'Mono 13,8kv'!CJ6+'Mono 13,8kv'!CK6</f>
        <v>0</v>
      </c>
    </row>
    <row r="1256" spans="4:19" hidden="1">
      <c r="E1256" s="74" t="s">
        <v>76</v>
      </c>
      <c r="F1256" s="75">
        <f>'Mono 13,8kv'!CJ7+'Mono 13,8kv'!CK7</f>
        <v>0</v>
      </c>
    </row>
    <row r="1257" spans="4:19" hidden="1">
      <c r="E1257" s="77" t="s">
        <v>77</v>
      </c>
      <c r="F1257" s="75">
        <f>'Mono 13,8kv'!CJ8+'Mono 13,8kv'!CK8</f>
        <v>0</v>
      </c>
    </row>
    <row r="1258" spans="4:19" hidden="1">
      <c r="E1258" s="74" t="s">
        <v>100</v>
      </c>
      <c r="F1258" s="75">
        <f>'Mono 13,8kv'!CJ9+'Mono 13,8kv'!CK9</f>
        <v>0</v>
      </c>
    </row>
    <row r="1259" spans="4:19" hidden="1">
      <c r="E1259" s="77" t="s">
        <v>78</v>
      </c>
      <c r="F1259" s="75">
        <f>'Mono 13,8kv'!CJ10+'Mono 13,8kv'!CK10</f>
        <v>0</v>
      </c>
    </row>
    <row r="1260" spans="4:19" hidden="1">
      <c r="E1260" s="74" t="s">
        <v>79</v>
      </c>
      <c r="F1260" s="75">
        <f>'Mono 13,8kv'!CJ11+'Mono 13,8kv'!CK11</f>
        <v>0</v>
      </c>
    </row>
    <row r="1261" spans="4:19" hidden="1">
      <c r="E1261" s="77" t="s">
        <v>80</v>
      </c>
      <c r="F1261" s="75">
        <f>'Mono 13,8kv'!CJ12+'Mono 13,8kv'!CK12</f>
        <v>0</v>
      </c>
    </row>
    <row r="1262" spans="4:19" hidden="1">
      <c r="E1262" s="74" t="s">
        <v>81</v>
      </c>
      <c r="F1262" s="75">
        <f>'Mono 13,8kv'!CJ13+'Mono 13,8kv'!CK13</f>
        <v>0</v>
      </c>
    </row>
    <row r="1263" spans="4:19" hidden="1">
      <c r="E1263" s="77" t="s">
        <v>82</v>
      </c>
      <c r="F1263" s="75">
        <f>'Mono 13,8kv'!CJ14+'Mono 13,8kv'!CK14</f>
        <v>0</v>
      </c>
    </row>
    <row r="1264" spans="4:19" hidden="1">
      <c r="E1264" s="74" t="s">
        <v>83</v>
      </c>
      <c r="F1264" s="75">
        <f>'Mono 13,8kv'!CJ15+'Mono 13,8kv'!CK15</f>
        <v>0</v>
      </c>
    </row>
    <row r="1265" spans="4:6" hidden="1">
      <c r="E1265" s="77" t="s">
        <v>85</v>
      </c>
      <c r="F1265" s="75">
        <f>'Mono 13,8kv'!CJ16+'Mono 13,8kv'!CK16</f>
        <v>0</v>
      </c>
    </row>
    <row r="1266" spans="4:6" hidden="1">
      <c r="E1266" s="74" t="s">
        <v>84</v>
      </c>
      <c r="F1266" s="75">
        <f>'Mono 13,8kv'!CJ17+'Mono 13,8kv'!CK17</f>
        <v>0</v>
      </c>
    </row>
    <row r="1267" spans="4:6" hidden="1">
      <c r="E1267" s="77" t="s">
        <v>86</v>
      </c>
      <c r="F1267" s="75">
        <f>'Mono 13,8kv'!CJ18+'Mono 13,8kv'!CK18</f>
        <v>0</v>
      </c>
    </row>
    <row r="1268" spans="4:6" hidden="1">
      <c r="E1268" s="74" t="s">
        <v>87</v>
      </c>
      <c r="F1268" s="75">
        <f>'Mono 13,8kv'!CJ19+'Mono 13,8kv'!CK19</f>
        <v>0</v>
      </c>
    </row>
    <row r="1269" spans="4:6" hidden="1">
      <c r="E1269" s="77" t="s">
        <v>101</v>
      </c>
      <c r="F1269" s="75">
        <f>'Mono 13,8kv'!CJ20+'Mono 13,8kv'!CK20</f>
        <v>0</v>
      </c>
    </row>
    <row r="1270" spans="4:6" hidden="1">
      <c r="E1270" s="74" t="s">
        <v>88</v>
      </c>
      <c r="F1270" s="75">
        <f>'Mono 13,8kv'!CJ21+'Mono 13,8kv'!CK21</f>
        <v>0</v>
      </c>
    </row>
    <row r="1271" spans="4:6" hidden="1">
      <c r="E1271" s="77" t="s">
        <v>89</v>
      </c>
      <c r="F1271" s="75">
        <f>'Mono 13,8kv'!CJ22+'Mono 13,8kv'!CK22</f>
        <v>0</v>
      </c>
    </row>
    <row r="1272" spans="4:6" hidden="1">
      <c r="E1272" s="74" t="s">
        <v>90</v>
      </c>
      <c r="F1272" s="75">
        <f>'Mono 13,8kv'!CJ23+'Mono 13,8kv'!CK23</f>
        <v>0</v>
      </c>
    </row>
    <row r="1273" spans="4:6" hidden="1">
      <c r="E1273" s="77" t="s">
        <v>93</v>
      </c>
      <c r="F1273" s="75">
        <f>'Mono 13,8kv'!CJ24+'Mono 13,8kv'!CK24</f>
        <v>0</v>
      </c>
    </row>
    <row r="1274" spans="4:6" hidden="1">
      <c r="E1274" s="74" t="s">
        <v>91</v>
      </c>
      <c r="F1274" s="75">
        <f>'Mono 13,8kv'!CJ25+'Mono 13,8kv'!CK25</f>
        <v>0</v>
      </c>
    </row>
    <row r="1275" spans="4:6" hidden="1">
      <c r="E1275" s="77" t="s">
        <v>92</v>
      </c>
      <c r="F1275" s="75">
        <f>'Mono 13,8kv'!CJ26+'Mono 13,8kv'!CK26</f>
        <v>0</v>
      </c>
    </row>
    <row r="1276" spans="4:6" hidden="1">
      <c r="F1276" s="280">
        <f>SUM(F1254:F1275)</f>
        <v>0</v>
      </c>
    </row>
    <row r="1277" spans="4:6" ht="19.5" hidden="1" thickBot="1">
      <c r="D1277" s="1677" t="s">
        <v>548</v>
      </c>
      <c r="E1277" s="1686"/>
      <c r="F1277" s="285">
        <f>SUM(F1278:F1299)</f>
        <v>0</v>
      </c>
    </row>
    <row r="1278" spans="4:6" hidden="1">
      <c r="E1278" s="74" t="s">
        <v>74</v>
      </c>
      <c r="F1278" s="75">
        <f>'Mono 13,8kv'!CN5+'Mono 13,8kv'!CO5</f>
        <v>0</v>
      </c>
    </row>
    <row r="1279" spans="4:6" hidden="1">
      <c r="E1279" s="77" t="s">
        <v>75</v>
      </c>
      <c r="F1279" s="75">
        <f>'Mono 13,8kv'!CN6+'Mono 13,8kv'!CO6</f>
        <v>0</v>
      </c>
    </row>
    <row r="1280" spans="4:6" hidden="1">
      <c r="E1280" s="74" t="s">
        <v>76</v>
      </c>
      <c r="F1280" s="75">
        <f>'Mono 13,8kv'!CN7+'Mono 13,8kv'!CO7</f>
        <v>0</v>
      </c>
    </row>
    <row r="1281" spans="5:6" hidden="1">
      <c r="E1281" s="77" t="s">
        <v>77</v>
      </c>
      <c r="F1281" s="75">
        <f>'Mono 13,8kv'!CN8+'Mono 13,8kv'!CO8</f>
        <v>0</v>
      </c>
    </row>
    <row r="1282" spans="5:6" hidden="1">
      <c r="E1282" s="74" t="s">
        <v>100</v>
      </c>
      <c r="F1282" s="75">
        <f>'Mono 13,8kv'!CN9+'Mono 13,8kv'!CO9</f>
        <v>0</v>
      </c>
    </row>
    <row r="1283" spans="5:6" hidden="1">
      <c r="E1283" s="77" t="s">
        <v>78</v>
      </c>
      <c r="F1283" s="75">
        <f>'Mono 13,8kv'!CN10+'Mono 13,8kv'!CO10</f>
        <v>0</v>
      </c>
    </row>
    <row r="1284" spans="5:6" hidden="1">
      <c r="E1284" s="74" t="s">
        <v>79</v>
      </c>
      <c r="F1284" s="75">
        <f>'Mono 13,8kv'!CN11+'Mono 13,8kv'!CO11</f>
        <v>0</v>
      </c>
    </row>
    <row r="1285" spans="5:6" hidden="1">
      <c r="E1285" s="77" t="s">
        <v>80</v>
      </c>
      <c r="F1285" s="75">
        <f>'Mono 13,8kv'!CN12+'Mono 13,8kv'!CO12</f>
        <v>0</v>
      </c>
    </row>
    <row r="1286" spans="5:6" hidden="1">
      <c r="E1286" s="74" t="s">
        <v>81</v>
      </c>
      <c r="F1286" s="75">
        <f>'Mono 13,8kv'!CN13+'Mono 13,8kv'!CO13</f>
        <v>0</v>
      </c>
    </row>
    <row r="1287" spans="5:6" hidden="1">
      <c r="E1287" s="77" t="s">
        <v>82</v>
      </c>
      <c r="F1287" s="75">
        <f>'Mono 13,8kv'!CN14+'Mono 13,8kv'!CO14</f>
        <v>0</v>
      </c>
    </row>
    <row r="1288" spans="5:6" hidden="1">
      <c r="E1288" s="74" t="s">
        <v>83</v>
      </c>
      <c r="F1288" s="75">
        <f>'Mono 13,8kv'!CN15+'Mono 13,8kv'!CO15</f>
        <v>0</v>
      </c>
    </row>
    <row r="1289" spans="5:6" hidden="1">
      <c r="E1289" s="77" t="s">
        <v>85</v>
      </c>
      <c r="F1289" s="75">
        <f>'Mono 13,8kv'!CN16+'Mono 13,8kv'!CO16</f>
        <v>0</v>
      </c>
    </row>
    <row r="1290" spans="5:6" hidden="1">
      <c r="E1290" s="74" t="s">
        <v>84</v>
      </c>
      <c r="F1290" s="75">
        <f>'Mono 13,8kv'!CN17+'Mono 13,8kv'!CO17</f>
        <v>0</v>
      </c>
    </row>
    <row r="1291" spans="5:6" hidden="1">
      <c r="E1291" s="77" t="s">
        <v>86</v>
      </c>
      <c r="F1291" s="75">
        <f>'Mono 13,8kv'!CN18+'Mono 13,8kv'!CO18</f>
        <v>0</v>
      </c>
    </row>
    <row r="1292" spans="5:6" hidden="1">
      <c r="E1292" s="74" t="s">
        <v>87</v>
      </c>
      <c r="F1292" s="75">
        <f>'Mono 13,8kv'!CN19+'Mono 13,8kv'!CO19</f>
        <v>0</v>
      </c>
    </row>
    <row r="1293" spans="5:6" hidden="1">
      <c r="E1293" s="77" t="s">
        <v>101</v>
      </c>
      <c r="F1293" s="75">
        <f>'Mono 13,8kv'!CN20+'Mono 13,8kv'!CO20</f>
        <v>0</v>
      </c>
    </row>
    <row r="1294" spans="5:6" hidden="1">
      <c r="E1294" s="74" t="s">
        <v>88</v>
      </c>
      <c r="F1294" s="75">
        <f>'Mono 13,8kv'!CN21+'Mono 13,8kv'!CO21</f>
        <v>0</v>
      </c>
    </row>
    <row r="1295" spans="5:6" hidden="1">
      <c r="E1295" s="77" t="s">
        <v>89</v>
      </c>
      <c r="F1295" s="75">
        <f>'Mono 13,8kv'!CN22+'Mono 13,8kv'!CO22</f>
        <v>0</v>
      </c>
    </row>
    <row r="1296" spans="5:6" hidden="1">
      <c r="E1296" s="74" t="s">
        <v>90</v>
      </c>
      <c r="F1296" s="75">
        <f>'Mono 13,8kv'!CN23+'Mono 13,8kv'!CO23</f>
        <v>0</v>
      </c>
    </row>
    <row r="1297" spans="4:6" hidden="1">
      <c r="E1297" s="77" t="s">
        <v>93</v>
      </c>
      <c r="F1297" s="75">
        <f>'Mono 13,8kv'!CN24+'Mono 13,8kv'!CO24</f>
        <v>0</v>
      </c>
    </row>
    <row r="1298" spans="4:6" hidden="1">
      <c r="E1298" s="74" t="s">
        <v>91</v>
      </c>
      <c r="F1298" s="75">
        <f>'Mono 13,8kv'!CN25+'Mono 13,8kv'!CO25</f>
        <v>0</v>
      </c>
    </row>
    <row r="1299" spans="4:6" hidden="1">
      <c r="E1299" s="77" t="s">
        <v>92</v>
      </c>
      <c r="F1299" s="75">
        <f>'Mono 13,8kv'!CN26+'Mono 13,8kv'!CO26</f>
        <v>0</v>
      </c>
    </row>
    <row r="1300" spans="4:6" hidden="1">
      <c r="F1300" s="282">
        <f>SUM(F1278:F1299)</f>
        <v>0</v>
      </c>
    </row>
    <row r="1301" spans="4:6" ht="19.5" hidden="1" thickBot="1">
      <c r="D1301" s="1677" t="s">
        <v>549</v>
      </c>
      <c r="E1301" s="1686"/>
      <c r="F1301" s="287">
        <f>SUM(F1302:F1323)</f>
        <v>0</v>
      </c>
    </row>
    <row r="1302" spans="4:6" hidden="1">
      <c r="E1302" s="263" t="s">
        <v>74</v>
      </c>
      <c r="F1302" s="226">
        <f>'Mono 13,8kv'!CV5+'Mono 13,8kv'!CW5</f>
        <v>0</v>
      </c>
    </row>
    <row r="1303" spans="4:6" hidden="1">
      <c r="E1303" s="77" t="s">
        <v>75</v>
      </c>
      <c r="F1303" s="75">
        <f>'Mono 13,8kv'!CV6+'Mono 13,8kv'!CW6</f>
        <v>0</v>
      </c>
    </row>
    <row r="1304" spans="4:6" hidden="1">
      <c r="E1304" s="74" t="s">
        <v>76</v>
      </c>
      <c r="F1304" s="75">
        <f>'Mono 13,8kv'!CV7+'Mono 13,8kv'!CW7</f>
        <v>0</v>
      </c>
    </row>
    <row r="1305" spans="4:6" hidden="1">
      <c r="E1305" s="77" t="s">
        <v>77</v>
      </c>
      <c r="F1305" s="75">
        <f>'Mono 13,8kv'!CV8+'Mono 13,8kv'!CW8</f>
        <v>0</v>
      </c>
    </row>
    <row r="1306" spans="4:6" hidden="1">
      <c r="E1306" s="74" t="s">
        <v>100</v>
      </c>
      <c r="F1306" s="75">
        <f>'Mono 13,8kv'!CV9+'Mono 13,8kv'!CW9</f>
        <v>0</v>
      </c>
    </row>
    <row r="1307" spans="4:6" hidden="1">
      <c r="E1307" s="77" t="s">
        <v>78</v>
      </c>
      <c r="F1307" s="75">
        <f>'Mono 13,8kv'!CV10+'Mono 13,8kv'!CW10</f>
        <v>0</v>
      </c>
    </row>
    <row r="1308" spans="4:6" hidden="1">
      <c r="E1308" s="74" t="s">
        <v>79</v>
      </c>
      <c r="F1308" s="75">
        <f>'Mono 13,8kv'!CV11+'Mono 13,8kv'!CW11</f>
        <v>0</v>
      </c>
    </row>
    <row r="1309" spans="4:6" hidden="1">
      <c r="E1309" s="77" t="s">
        <v>80</v>
      </c>
      <c r="F1309" s="75">
        <f>'Mono 13,8kv'!CV12+'Mono 13,8kv'!CW12</f>
        <v>0</v>
      </c>
    </row>
    <row r="1310" spans="4:6" hidden="1">
      <c r="E1310" s="74" t="s">
        <v>81</v>
      </c>
      <c r="F1310" s="75">
        <f>'Mono 13,8kv'!CV13+'Mono 13,8kv'!CW13</f>
        <v>0</v>
      </c>
    </row>
    <row r="1311" spans="4:6" hidden="1">
      <c r="E1311" s="77" t="s">
        <v>82</v>
      </c>
      <c r="F1311" s="75">
        <f>'Mono 13,8kv'!CV14+'Mono 13,8kv'!CW14</f>
        <v>0</v>
      </c>
    </row>
    <row r="1312" spans="4:6" hidden="1">
      <c r="E1312" s="74" t="s">
        <v>83</v>
      </c>
      <c r="F1312" s="75">
        <f>'Mono 13,8kv'!CV15+'Mono 13,8kv'!CW15</f>
        <v>0</v>
      </c>
    </row>
    <row r="1313" spans="4:6" hidden="1">
      <c r="E1313" s="77" t="s">
        <v>85</v>
      </c>
      <c r="F1313" s="75">
        <f>'Mono 13,8kv'!CV16+'Mono 13,8kv'!CW16</f>
        <v>0</v>
      </c>
    </row>
    <row r="1314" spans="4:6" hidden="1">
      <c r="E1314" s="74" t="s">
        <v>84</v>
      </c>
      <c r="F1314" s="75">
        <f>'Mono 13,8kv'!CV17+'Mono 13,8kv'!CW17</f>
        <v>0</v>
      </c>
    </row>
    <row r="1315" spans="4:6" hidden="1">
      <c r="E1315" s="77" t="s">
        <v>86</v>
      </c>
      <c r="F1315" s="75">
        <f>'Mono 13,8kv'!CV18+'Mono 13,8kv'!CW18</f>
        <v>0</v>
      </c>
    </row>
    <row r="1316" spans="4:6" hidden="1">
      <c r="E1316" s="74" t="s">
        <v>87</v>
      </c>
      <c r="F1316" s="75">
        <f>'Mono 13,8kv'!CV19+'Mono 13,8kv'!CW19</f>
        <v>0</v>
      </c>
    </row>
    <row r="1317" spans="4:6" hidden="1">
      <c r="E1317" s="77" t="s">
        <v>101</v>
      </c>
      <c r="F1317" s="75">
        <f>'Mono 13,8kv'!CV20+'Mono 13,8kv'!CW20</f>
        <v>0</v>
      </c>
    </row>
    <row r="1318" spans="4:6" hidden="1">
      <c r="E1318" s="74" t="s">
        <v>88</v>
      </c>
      <c r="F1318" s="75">
        <f>'Mono 13,8kv'!CV21+'Mono 13,8kv'!CW21</f>
        <v>0</v>
      </c>
    </row>
    <row r="1319" spans="4:6" hidden="1">
      <c r="E1319" s="77" t="s">
        <v>89</v>
      </c>
      <c r="F1319" s="75">
        <f>'Mono 13,8kv'!CV22+'Mono 13,8kv'!CW22</f>
        <v>0</v>
      </c>
    </row>
    <row r="1320" spans="4:6" hidden="1">
      <c r="E1320" s="74" t="s">
        <v>90</v>
      </c>
      <c r="F1320" s="75">
        <f>'Mono 13,8kv'!CV23+'Mono 13,8kv'!CW23</f>
        <v>0</v>
      </c>
    </row>
    <row r="1321" spans="4:6" hidden="1">
      <c r="E1321" s="77" t="s">
        <v>93</v>
      </c>
      <c r="F1321" s="75">
        <f>'Mono 13,8kv'!CV24+'Mono 13,8kv'!CW24</f>
        <v>0</v>
      </c>
    </row>
    <row r="1322" spans="4:6" hidden="1">
      <c r="E1322" s="74" t="s">
        <v>91</v>
      </c>
      <c r="F1322" s="75">
        <f>'Mono 13,8kv'!CV25+'Mono 13,8kv'!CW25</f>
        <v>0</v>
      </c>
    </row>
    <row r="1323" spans="4:6" hidden="1">
      <c r="E1323" s="77" t="s">
        <v>92</v>
      </c>
      <c r="F1323" s="75">
        <f>'Mono 13,8kv'!CV26+'Mono 13,8kv'!CW26</f>
        <v>0</v>
      </c>
    </row>
    <row r="1324" spans="4:6" hidden="1">
      <c r="F1324" s="282">
        <f>SUM(F1302:F1323)</f>
        <v>0</v>
      </c>
    </row>
    <row r="1325" spans="4:6" ht="19.5" hidden="1" thickBot="1">
      <c r="D1325" s="1677" t="s">
        <v>550</v>
      </c>
      <c r="E1325" s="1686"/>
      <c r="F1325" s="287">
        <f>SUM(F1326:F1347)</f>
        <v>0</v>
      </c>
    </row>
    <row r="1326" spans="4:6" hidden="1">
      <c r="E1326" s="263" t="s">
        <v>74</v>
      </c>
      <c r="F1326" s="226">
        <f>'Mono 13,8kv'!CZ5+'Mono 13,8kv'!DA5</f>
        <v>0</v>
      </c>
    </row>
    <row r="1327" spans="4:6" hidden="1">
      <c r="E1327" s="77" t="s">
        <v>75</v>
      </c>
      <c r="F1327" s="75">
        <f>'Mono 13,8kv'!CZ6+'Mono 13,8kv'!DA6</f>
        <v>0</v>
      </c>
    </row>
    <row r="1328" spans="4:6" hidden="1">
      <c r="E1328" s="74" t="s">
        <v>76</v>
      </c>
      <c r="F1328" s="75">
        <f>'Mono 13,8kv'!CZ7+'Mono 13,8kv'!DA7</f>
        <v>0</v>
      </c>
    </row>
    <row r="1329" spans="5:6" hidden="1">
      <c r="E1329" s="77" t="s">
        <v>77</v>
      </c>
      <c r="F1329" s="75">
        <f>'Mono 13,8kv'!CZ8+'Mono 13,8kv'!DA8</f>
        <v>0</v>
      </c>
    </row>
    <row r="1330" spans="5:6" hidden="1">
      <c r="E1330" s="74" t="s">
        <v>100</v>
      </c>
      <c r="F1330" s="75">
        <f>'Mono 13,8kv'!CZ9+'Mono 13,8kv'!DA9</f>
        <v>0</v>
      </c>
    </row>
    <row r="1331" spans="5:6" hidden="1">
      <c r="E1331" s="77" t="s">
        <v>78</v>
      </c>
      <c r="F1331" s="75">
        <f>'Mono 13,8kv'!CZ10+'Mono 13,8kv'!DA10</f>
        <v>0</v>
      </c>
    </row>
    <row r="1332" spans="5:6" hidden="1">
      <c r="E1332" s="74" t="s">
        <v>79</v>
      </c>
      <c r="F1332" s="75">
        <f>'Mono 13,8kv'!CZ11+'Mono 13,8kv'!DA11</f>
        <v>0</v>
      </c>
    </row>
    <row r="1333" spans="5:6" hidden="1">
      <c r="E1333" s="77" t="s">
        <v>80</v>
      </c>
      <c r="F1333" s="75">
        <f>'Mono 13,8kv'!CZ12+'Mono 13,8kv'!DA12</f>
        <v>0</v>
      </c>
    </row>
    <row r="1334" spans="5:6" hidden="1">
      <c r="E1334" s="74" t="s">
        <v>81</v>
      </c>
      <c r="F1334" s="75">
        <f>'Mono 13,8kv'!CZ13+'Mono 13,8kv'!DA13</f>
        <v>0</v>
      </c>
    </row>
    <row r="1335" spans="5:6" hidden="1">
      <c r="E1335" s="77" t="s">
        <v>82</v>
      </c>
      <c r="F1335" s="75">
        <f>'Mono 13,8kv'!CZ14+'Mono 13,8kv'!DA14</f>
        <v>0</v>
      </c>
    </row>
    <row r="1336" spans="5:6" hidden="1">
      <c r="E1336" s="74" t="s">
        <v>83</v>
      </c>
      <c r="F1336" s="75">
        <f>'Mono 13,8kv'!CZ15+'Mono 13,8kv'!DA15</f>
        <v>0</v>
      </c>
    </row>
    <row r="1337" spans="5:6" hidden="1">
      <c r="E1337" s="77" t="s">
        <v>85</v>
      </c>
      <c r="F1337" s="75">
        <f>'Mono 13,8kv'!CZ16+'Mono 13,8kv'!DA16</f>
        <v>0</v>
      </c>
    </row>
    <row r="1338" spans="5:6" hidden="1">
      <c r="E1338" s="74" t="s">
        <v>84</v>
      </c>
      <c r="F1338" s="75">
        <f>'Mono 13,8kv'!CZ17+'Mono 13,8kv'!DA17</f>
        <v>0</v>
      </c>
    </row>
    <row r="1339" spans="5:6" hidden="1">
      <c r="E1339" s="77" t="s">
        <v>86</v>
      </c>
      <c r="F1339" s="75">
        <f>'Mono 13,8kv'!CZ18+'Mono 13,8kv'!DA18</f>
        <v>0</v>
      </c>
    </row>
    <row r="1340" spans="5:6" hidden="1">
      <c r="E1340" s="74" t="s">
        <v>87</v>
      </c>
      <c r="F1340" s="75">
        <f>'Mono 13,8kv'!CZ19+'Mono 13,8kv'!DA19</f>
        <v>0</v>
      </c>
    </row>
    <row r="1341" spans="5:6" hidden="1">
      <c r="E1341" s="77" t="s">
        <v>101</v>
      </c>
      <c r="F1341" s="75">
        <f>'Mono 13,8kv'!CZ20+'Mono 13,8kv'!DA20</f>
        <v>0</v>
      </c>
    </row>
    <row r="1342" spans="5:6" hidden="1">
      <c r="E1342" s="74" t="s">
        <v>88</v>
      </c>
      <c r="F1342" s="75">
        <f>'Mono 13,8kv'!CZ21+'Mono 13,8kv'!DA21</f>
        <v>0</v>
      </c>
    </row>
    <row r="1343" spans="5:6" hidden="1">
      <c r="E1343" s="77" t="s">
        <v>89</v>
      </c>
      <c r="F1343" s="75">
        <f>'Mono 13,8kv'!CZ22+'Mono 13,8kv'!DA22</f>
        <v>0</v>
      </c>
    </row>
    <row r="1344" spans="5:6" hidden="1">
      <c r="E1344" s="74" t="s">
        <v>90</v>
      </c>
      <c r="F1344" s="75">
        <f>'Mono 13,8kv'!CZ23+'Mono 13,8kv'!DA23</f>
        <v>0</v>
      </c>
    </row>
    <row r="1345" spans="4:6" hidden="1">
      <c r="E1345" s="77" t="s">
        <v>93</v>
      </c>
      <c r="F1345" s="75">
        <f>'Mono 13,8kv'!CZ24+'Mono 13,8kv'!DA24</f>
        <v>0</v>
      </c>
    </row>
    <row r="1346" spans="4:6" hidden="1">
      <c r="E1346" s="74" t="s">
        <v>91</v>
      </c>
      <c r="F1346" s="75">
        <f>'Mono 13,8kv'!CZ25+'Mono 13,8kv'!DA25</f>
        <v>0</v>
      </c>
    </row>
    <row r="1347" spans="4:6" hidden="1">
      <c r="E1347" s="77" t="s">
        <v>92</v>
      </c>
      <c r="F1347" s="75">
        <f>'Mono 13,8kv'!CZ26+'Mono 13,8kv'!DA26</f>
        <v>0</v>
      </c>
    </row>
    <row r="1348" spans="4:6" hidden="1">
      <c r="F1348" s="282">
        <f>SUM(F1326:F1347)</f>
        <v>0</v>
      </c>
    </row>
    <row r="1349" spans="4:6" ht="19.5" hidden="1" thickBot="1">
      <c r="D1349" s="1677" t="s">
        <v>551</v>
      </c>
      <c r="E1349" s="1678"/>
      <c r="F1349" s="287">
        <f>SUM(F1350:F1371)</f>
        <v>0</v>
      </c>
    </row>
    <row r="1350" spans="4:6" hidden="1">
      <c r="E1350" s="263" t="s">
        <v>74</v>
      </c>
      <c r="F1350" s="226">
        <f>'Mono 13,8kv'!DD5+'Mono 13,8kv'!DE5</f>
        <v>0</v>
      </c>
    </row>
    <row r="1351" spans="4:6" hidden="1">
      <c r="E1351" s="77" t="s">
        <v>75</v>
      </c>
      <c r="F1351" s="75">
        <f>'Mono 13,8kv'!DD6+'Mono 13,8kv'!DE6</f>
        <v>0</v>
      </c>
    </row>
    <row r="1352" spans="4:6" hidden="1">
      <c r="E1352" s="74" t="s">
        <v>76</v>
      </c>
      <c r="F1352" s="75">
        <f>'Mono 13,8kv'!DD7+'Mono 13,8kv'!DE7</f>
        <v>0</v>
      </c>
    </row>
    <row r="1353" spans="4:6" hidden="1">
      <c r="E1353" s="77" t="s">
        <v>77</v>
      </c>
      <c r="F1353" s="75">
        <f>'Mono 13,8kv'!DD8+'Mono 13,8kv'!DE8</f>
        <v>0</v>
      </c>
    </row>
    <row r="1354" spans="4:6" hidden="1">
      <c r="E1354" s="74" t="s">
        <v>100</v>
      </c>
      <c r="F1354" s="75">
        <f>'Mono 13,8kv'!DD9+'Mono 13,8kv'!DE9</f>
        <v>0</v>
      </c>
    </row>
    <row r="1355" spans="4:6" hidden="1">
      <c r="E1355" s="77" t="s">
        <v>78</v>
      </c>
      <c r="F1355" s="75">
        <f>'Mono 13,8kv'!DD10+'Mono 13,8kv'!DE10</f>
        <v>0</v>
      </c>
    </row>
    <row r="1356" spans="4:6" hidden="1">
      <c r="E1356" s="74" t="s">
        <v>79</v>
      </c>
      <c r="F1356" s="75">
        <f>'Mono 13,8kv'!DD11+'Mono 13,8kv'!DE11</f>
        <v>0</v>
      </c>
    </row>
    <row r="1357" spans="4:6" hidden="1">
      <c r="E1357" s="77" t="s">
        <v>80</v>
      </c>
      <c r="F1357" s="75">
        <f>'Mono 13,8kv'!DD12+'Mono 13,8kv'!DE12</f>
        <v>0</v>
      </c>
    </row>
    <row r="1358" spans="4:6" hidden="1">
      <c r="E1358" s="74" t="s">
        <v>81</v>
      </c>
      <c r="F1358" s="75">
        <f>'Mono 13,8kv'!DD13+'Mono 13,8kv'!DE13</f>
        <v>0</v>
      </c>
    </row>
    <row r="1359" spans="4:6" hidden="1">
      <c r="E1359" s="77" t="s">
        <v>82</v>
      </c>
      <c r="F1359" s="75">
        <f>'Mono 13,8kv'!DD14+'Mono 13,8kv'!DE14</f>
        <v>0</v>
      </c>
    </row>
    <row r="1360" spans="4:6" hidden="1">
      <c r="E1360" s="74" t="s">
        <v>83</v>
      </c>
      <c r="F1360" s="75">
        <f>'Mono 13,8kv'!DD15+'Mono 13,8kv'!DE15</f>
        <v>0</v>
      </c>
    </row>
    <row r="1361" spans="4:6" hidden="1">
      <c r="E1361" s="77" t="s">
        <v>85</v>
      </c>
      <c r="F1361" s="75">
        <f>'Mono 13,8kv'!DD16+'Mono 13,8kv'!DE16</f>
        <v>0</v>
      </c>
    </row>
    <row r="1362" spans="4:6" hidden="1">
      <c r="E1362" s="74" t="s">
        <v>84</v>
      </c>
      <c r="F1362" s="75">
        <f>'Mono 13,8kv'!DD17+'Mono 13,8kv'!DE17</f>
        <v>0</v>
      </c>
    </row>
    <row r="1363" spans="4:6" hidden="1">
      <c r="E1363" s="77" t="s">
        <v>86</v>
      </c>
      <c r="F1363" s="75">
        <f>'Mono 13,8kv'!DD18+'Mono 13,8kv'!DE18</f>
        <v>0</v>
      </c>
    </row>
    <row r="1364" spans="4:6" hidden="1">
      <c r="E1364" s="74" t="s">
        <v>87</v>
      </c>
      <c r="F1364" s="75">
        <f>'Mono 13,8kv'!DD19+'Mono 13,8kv'!DE19</f>
        <v>0</v>
      </c>
    </row>
    <row r="1365" spans="4:6" hidden="1">
      <c r="E1365" s="77" t="s">
        <v>101</v>
      </c>
      <c r="F1365" s="75">
        <f>'Mono 13,8kv'!DD20+'Mono 13,8kv'!DE20</f>
        <v>0</v>
      </c>
    </row>
    <row r="1366" spans="4:6" hidden="1">
      <c r="E1366" s="74" t="s">
        <v>88</v>
      </c>
      <c r="F1366" s="75">
        <f>'Mono 13,8kv'!DD21+'Mono 13,8kv'!DE21</f>
        <v>0</v>
      </c>
    </row>
    <row r="1367" spans="4:6" hidden="1">
      <c r="E1367" s="77" t="s">
        <v>89</v>
      </c>
      <c r="F1367" s="75">
        <f>'Mono 13,8kv'!DD22+'Mono 13,8kv'!DE22</f>
        <v>0</v>
      </c>
    </row>
    <row r="1368" spans="4:6" hidden="1">
      <c r="E1368" s="74" t="s">
        <v>90</v>
      </c>
      <c r="F1368" s="75">
        <f>'Mono 13,8kv'!DD23+'Mono 13,8kv'!DE23</f>
        <v>0</v>
      </c>
    </row>
    <row r="1369" spans="4:6" hidden="1">
      <c r="E1369" s="77" t="s">
        <v>93</v>
      </c>
      <c r="F1369" s="75">
        <f>'Mono 13,8kv'!DD24+'Mono 13,8kv'!DE24</f>
        <v>0</v>
      </c>
    </row>
    <row r="1370" spans="4:6" hidden="1">
      <c r="E1370" s="74" t="s">
        <v>91</v>
      </c>
      <c r="F1370" s="75">
        <f>'Mono 13,8kv'!DD25+'Mono 13,8kv'!DE25</f>
        <v>0</v>
      </c>
    </row>
    <row r="1371" spans="4:6" hidden="1">
      <c r="E1371" s="77" t="s">
        <v>92</v>
      </c>
      <c r="F1371" s="75">
        <f>'Mono 13,8kv'!DD26+'Mono 13,8kv'!DE26</f>
        <v>0</v>
      </c>
    </row>
    <row r="1372" spans="4:6" hidden="1">
      <c r="F1372" s="280">
        <f>SUM(F1350:F1371)</f>
        <v>0</v>
      </c>
    </row>
    <row r="1373" spans="4:6" ht="19.5" hidden="1" thickBot="1">
      <c r="D1373" s="1677" t="s">
        <v>552</v>
      </c>
      <c r="E1373" s="1686"/>
      <c r="F1373" s="287">
        <f>SUM(F1374:F1395)</f>
        <v>0</v>
      </c>
    </row>
    <row r="1374" spans="4:6" hidden="1">
      <c r="E1374" s="263" t="s">
        <v>74</v>
      </c>
      <c r="F1374" s="226">
        <f>'Mono 13,8kv'!DH5+'Mono 13,8kv'!DI5</f>
        <v>0</v>
      </c>
    </row>
    <row r="1375" spans="4:6" hidden="1">
      <c r="E1375" s="77" t="s">
        <v>75</v>
      </c>
      <c r="F1375" s="75">
        <f>'Mono 13,8kv'!DH6+'Mono 13,8kv'!DI6</f>
        <v>0</v>
      </c>
    </row>
    <row r="1376" spans="4:6" hidden="1">
      <c r="E1376" s="74" t="s">
        <v>76</v>
      </c>
      <c r="F1376" s="75">
        <f>'Mono 13,8kv'!DH7+'Mono 13,8kv'!DI7</f>
        <v>0</v>
      </c>
    </row>
    <row r="1377" spans="5:6" hidden="1">
      <c r="E1377" s="77" t="s">
        <v>77</v>
      </c>
      <c r="F1377" s="75">
        <f>'Mono 13,8kv'!DH8+'Mono 13,8kv'!DI8</f>
        <v>0</v>
      </c>
    </row>
    <row r="1378" spans="5:6" hidden="1">
      <c r="E1378" s="74" t="s">
        <v>100</v>
      </c>
      <c r="F1378" s="75">
        <f>'Mono 13,8kv'!DH9+'Mono 13,8kv'!DI9</f>
        <v>0</v>
      </c>
    </row>
    <row r="1379" spans="5:6" hidden="1">
      <c r="E1379" s="77" t="s">
        <v>78</v>
      </c>
      <c r="F1379" s="75">
        <f>'Mono 13,8kv'!DH10+'Mono 13,8kv'!DI10</f>
        <v>0</v>
      </c>
    </row>
    <row r="1380" spans="5:6" hidden="1">
      <c r="E1380" s="74" t="s">
        <v>79</v>
      </c>
      <c r="F1380" s="75">
        <f>'Mono 13,8kv'!DH11+'Mono 13,8kv'!DI11</f>
        <v>0</v>
      </c>
    </row>
    <row r="1381" spans="5:6" hidden="1">
      <c r="E1381" s="77" t="s">
        <v>80</v>
      </c>
      <c r="F1381" s="75">
        <f>'Mono 13,8kv'!DH12+'Mono 13,8kv'!DI12</f>
        <v>0</v>
      </c>
    </row>
    <row r="1382" spans="5:6" hidden="1">
      <c r="E1382" s="74" t="s">
        <v>81</v>
      </c>
      <c r="F1382" s="75">
        <f>'Mono 13,8kv'!DH13+'Mono 13,8kv'!DI13</f>
        <v>0</v>
      </c>
    </row>
    <row r="1383" spans="5:6" hidden="1">
      <c r="E1383" s="77" t="s">
        <v>82</v>
      </c>
      <c r="F1383" s="75">
        <f>'Mono 13,8kv'!DH14+'Mono 13,8kv'!DI14</f>
        <v>0</v>
      </c>
    </row>
    <row r="1384" spans="5:6" hidden="1">
      <c r="E1384" s="74" t="s">
        <v>83</v>
      </c>
      <c r="F1384" s="75">
        <f>'Mono 13,8kv'!DH15+'Mono 13,8kv'!DI15</f>
        <v>0</v>
      </c>
    </row>
    <row r="1385" spans="5:6" hidden="1">
      <c r="E1385" s="77" t="s">
        <v>85</v>
      </c>
      <c r="F1385" s="75">
        <f>'Mono 13,8kv'!DH16+'Mono 13,8kv'!DI16</f>
        <v>0</v>
      </c>
    </row>
    <row r="1386" spans="5:6" hidden="1">
      <c r="E1386" s="74" t="s">
        <v>84</v>
      </c>
      <c r="F1386" s="75">
        <f>'Mono 13,8kv'!DH17+'Mono 13,8kv'!DI17</f>
        <v>0</v>
      </c>
    </row>
    <row r="1387" spans="5:6" hidden="1">
      <c r="E1387" s="77" t="s">
        <v>86</v>
      </c>
      <c r="F1387" s="75">
        <f>'Mono 13,8kv'!DH18+'Mono 13,8kv'!DI18</f>
        <v>0</v>
      </c>
    </row>
    <row r="1388" spans="5:6" hidden="1">
      <c r="E1388" s="74" t="s">
        <v>87</v>
      </c>
      <c r="F1388" s="75">
        <f>'Mono 13,8kv'!DH19+'Mono 13,8kv'!DI19</f>
        <v>0</v>
      </c>
    </row>
    <row r="1389" spans="5:6" hidden="1">
      <c r="E1389" s="77" t="s">
        <v>101</v>
      </c>
      <c r="F1389" s="75">
        <f>'Mono 13,8kv'!DH20+'Mono 13,8kv'!DI20</f>
        <v>0</v>
      </c>
    </row>
    <row r="1390" spans="5:6" hidden="1">
      <c r="E1390" s="74" t="s">
        <v>88</v>
      </c>
      <c r="F1390" s="75">
        <f>'Mono 13,8kv'!DH21+'Mono 13,8kv'!DI21</f>
        <v>0</v>
      </c>
    </row>
    <row r="1391" spans="5:6" hidden="1">
      <c r="E1391" s="77" t="s">
        <v>89</v>
      </c>
      <c r="F1391" s="75">
        <f>'Mono 13,8kv'!DH22+'Mono 13,8kv'!DI22</f>
        <v>0</v>
      </c>
    </row>
    <row r="1392" spans="5:6" hidden="1">
      <c r="E1392" s="74" t="s">
        <v>90</v>
      </c>
      <c r="F1392" s="75">
        <f>'Mono 13,8kv'!DH23+'Mono 13,8kv'!DI23</f>
        <v>0</v>
      </c>
    </row>
    <row r="1393" spans="4:6" hidden="1">
      <c r="E1393" s="77" t="s">
        <v>93</v>
      </c>
      <c r="F1393" s="75">
        <f>'Mono 13,8kv'!DH24+'Mono 13,8kv'!DI24</f>
        <v>0</v>
      </c>
    </row>
    <row r="1394" spans="4:6" hidden="1">
      <c r="E1394" s="74" t="s">
        <v>91</v>
      </c>
      <c r="F1394" s="75">
        <f>'Mono 13,8kv'!DH25+'Mono 13,8kv'!DI25</f>
        <v>0</v>
      </c>
    </row>
    <row r="1395" spans="4:6" hidden="1">
      <c r="E1395" s="77" t="s">
        <v>92</v>
      </c>
      <c r="F1395" s="75">
        <f>'Mono 13,8kv'!DH26+'Mono 13,8kv'!DI26</f>
        <v>0</v>
      </c>
    </row>
    <row r="1396" spans="4:6" hidden="1">
      <c r="F1396" s="282">
        <f>SUM(F1374:F1395)</f>
        <v>0</v>
      </c>
    </row>
    <row r="1397" spans="4:6" ht="19.5" hidden="1" thickBot="1">
      <c r="D1397" s="1677" t="s">
        <v>553</v>
      </c>
      <c r="E1397" s="1686"/>
      <c r="F1397" s="287">
        <f>SUM(F1398:F1419)</f>
        <v>0</v>
      </c>
    </row>
    <row r="1398" spans="4:6" hidden="1">
      <c r="E1398" s="263" t="s">
        <v>74</v>
      </c>
      <c r="F1398" s="226">
        <f>'Mono 13,8kv'!DP5+'Mono 13,8kv'!DQ5</f>
        <v>0</v>
      </c>
    </row>
    <row r="1399" spans="4:6" hidden="1">
      <c r="E1399" s="77" t="s">
        <v>75</v>
      </c>
      <c r="F1399" s="75">
        <f>'Mono 13,8kv'!DP6+'Mono 13,8kv'!DQ6</f>
        <v>0</v>
      </c>
    </row>
    <row r="1400" spans="4:6" hidden="1">
      <c r="E1400" s="74" t="s">
        <v>76</v>
      </c>
      <c r="F1400" s="75">
        <f>'Mono 13,8kv'!DP7+'Mono 13,8kv'!DQ7</f>
        <v>0</v>
      </c>
    </row>
    <row r="1401" spans="4:6" hidden="1">
      <c r="E1401" s="77" t="s">
        <v>77</v>
      </c>
      <c r="F1401" s="75">
        <f>'Mono 13,8kv'!DP8+'Mono 13,8kv'!DQ8</f>
        <v>0</v>
      </c>
    </row>
    <row r="1402" spans="4:6" hidden="1">
      <c r="E1402" s="74" t="s">
        <v>100</v>
      </c>
      <c r="F1402" s="75">
        <f>'Mono 13,8kv'!DP9+'Mono 13,8kv'!DQ9</f>
        <v>0</v>
      </c>
    </row>
    <row r="1403" spans="4:6" hidden="1">
      <c r="E1403" s="77" t="s">
        <v>78</v>
      </c>
      <c r="F1403" s="75">
        <f>'Mono 13,8kv'!DP10+'Mono 13,8kv'!DQ10</f>
        <v>0</v>
      </c>
    </row>
    <row r="1404" spans="4:6" hidden="1">
      <c r="E1404" s="74" t="s">
        <v>79</v>
      </c>
      <c r="F1404" s="75">
        <f>'Mono 13,8kv'!DP11+'Mono 13,8kv'!DQ11</f>
        <v>0</v>
      </c>
    </row>
    <row r="1405" spans="4:6" hidden="1">
      <c r="E1405" s="77" t="s">
        <v>80</v>
      </c>
      <c r="F1405" s="75">
        <f>'Mono 13,8kv'!DP12+'Mono 13,8kv'!DQ12</f>
        <v>0</v>
      </c>
    </row>
    <row r="1406" spans="4:6" hidden="1">
      <c r="E1406" s="74" t="s">
        <v>81</v>
      </c>
      <c r="F1406" s="75">
        <f>'Mono 13,8kv'!DP13+'Mono 13,8kv'!DQ13</f>
        <v>0</v>
      </c>
    </row>
    <row r="1407" spans="4:6" hidden="1">
      <c r="E1407" s="77" t="s">
        <v>82</v>
      </c>
      <c r="F1407" s="75">
        <f>'Mono 13,8kv'!DP14+'Mono 13,8kv'!DQ14</f>
        <v>0</v>
      </c>
    </row>
    <row r="1408" spans="4:6" hidden="1">
      <c r="E1408" s="74" t="s">
        <v>83</v>
      </c>
      <c r="F1408" s="75">
        <f>'Mono 13,8kv'!DP15+'Mono 13,8kv'!DQ15</f>
        <v>0</v>
      </c>
    </row>
    <row r="1409" spans="1:6" hidden="1">
      <c r="E1409" s="77" t="s">
        <v>85</v>
      </c>
      <c r="F1409" s="75">
        <f>'Mono 13,8kv'!DP16+'Mono 13,8kv'!DQ16</f>
        <v>0</v>
      </c>
    </row>
    <row r="1410" spans="1:6" hidden="1">
      <c r="E1410" s="74" t="s">
        <v>84</v>
      </c>
      <c r="F1410" s="75">
        <f>'Mono 13,8kv'!DP17+'Mono 13,8kv'!DQ17</f>
        <v>0</v>
      </c>
    </row>
    <row r="1411" spans="1:6" hidden="1">
      <c r="E1411" s="77" t="s">
        <v>86</v>
      </c>
      <c r="F1411" s="75">
        <f>'Mono 13,8kv'!DP18+'Mono 13,8kv'!DQ18</f>
        <v>0</v>
      </c>
    </row>
    <row r="1412" spans="1:6" hidden="1">
      <c r="E1412" s="74" t="s">
        <v>87</v>
      </c>
      <c r="F1412" s="75">
        <f>'Mono 13,8kv'!DP19+'Mono 13,8kv'!DQ19</f>
        <v>0</v>
      </c>
    </row>
    <row r="1413" spans="1:6" hidden="1">
      <c r="E1413" s="77" t="s">
        <v>101</v>
      </c>
      <c r="F1413" s="75">
        <f>'Mono 13,8kv'!DP20+'Mono 13,8kv'!DQ20</f>
        <v>0</v>
      </c>
    </row>
    <row r="1414" spans="1:6" hidden="1">
      <c r="E1414" s="74" t="s">
        <v>88</v>
      </c>
      <c r="F1414" s="75">
        <f>'Mono 13,8kv'!DP21+'Mono 13,8kv'!DQ21</f>
        <v>0</v>
      </c>
    </row>
    <row r="1415" spans="1:6" hidden="1">
      <c r="E1415" s="77" t="s">
        <v>89</v>
      </c>
      <c r="F1415" s="75">
        <f>'Mono 13,8kv'!DP22+'Mono 13,8kv'!DQ22</f>
        <v>0</v>
      </c>
    </row>
    <row r="1416" spans="1:6" hidden="1">
      <c r="E1416" s="74" t="s">
        <v>90</v>
      </c>
      <c r="F1416" s="75">
        <f>'Mono 13,8kv'!DP23+'Mono 13,8kv'!DQ23</f>
        <v>0</v>
      </c>
    </row>
    <row r="1417" spans="1:6" hidden="1">
      <c r="E1417" s="77" t="s">
        <v>93</v>
      </c>
      <c r="F1417" s="75">
        <f>'Mono 13,8kv'!DP24+'Mono 13,8kv'!DQ24</f>
        <v>0</v>
      </c>
    </row>
    <row r="1418" spans="1:6" hidden="1">
      <c r="E1418" s="74" t="s">
        <v>91</v>
      </c>
      <c r="F1418" s="75">
        <f>'Mono 13,8kv'!DP25+'Mono 13,8kv'!DQ25</f>
        <v>0</v>
      </c>
    </row>
    <row r="1419" spans="1:6" hidden="1">
      <c r="E1419" s="77" t="s">
        <v>92</v>
      </c>
      <c r="F1419" s="75">
        <f>'Mono 13,8kv'!DP26+'Mono 13,8kv'!DQ26</f>
        <v>0</v>
      </c>
    </row>
    <row r="1420" spans="1:6" hidden="1">
      <c r="F1420" s="282">
        <f>SUM(F1398:F1419)</f>
        <v>0</v>
      </c>
    </row>
    <row r="1421" spans="1:6" ht="20.25" hidden="1" thickBot="1">
      <c r="A1421" s="1668" t="s">
        <v>1411</v>
      </c>
      <c r="B1421" s="2001"/>
      <c r="C1421" s="2001"/>
      <c r="D1421" s="2001"/>
      <c r="E1421" s="1669"/>
      <c r="F1421" s="48">
        <f>SUM(F1422:F1443)</f>
        <v>0</v>
      </c>
    </row>
    <row r="1422" spans="1:6" hidden="1">
      <c r="E1422" s="225" t="s">
        <v>74</v>
      </c>
      <c r="F1422" s="105">
        <f>SUM(Compcta!F7:N7)</f>
        <v>0</v>
      </c>
    </row>
    <row r="1423" spans="1:6" hidden="1">
      <c r="E1423" s="107" t="s">
        <v>75</v>
      </c>
      <c r="F1423" s="105">
        <f>SUM(Compcta!F8:N8)</f>
        <v>0</v>
      </c>
    </row>
    <row r="1424" spans="1:6" hidden="1">
      <c r="E1424" s="97" t="s">
        <v>76</v>
      </c>
      <c r="F1424" s="105">
        <f>SUM(Compcta!F9:N9)</f>
        <v>0</v>
      </c>
    </row>
    <row r="1425" spans="5:6" hidden="1">
      <c r="E1425" s="107" t="s">
        <v>77</v>
      </c>
      <c r="F1425" s="105">
        <f>SUM(Compcta!F10:N10)</f>
        <v>0</v>
      </c>
    </row>
    <row r="1426" spans="5:6" hidden="1">
      <c r="E1426" s="97" t="s">
        <v>100</v>
      </c>
      <c r="F1426" s="105">
        <f>SUM(Compcta!F11:N11)</f>
        <v>0</v>
      </c>
    </row>
    <row r="1427" spans="5:6" hidden="1">
      <c r="E1427" s="107" t="s">
        <v>78</v>
      </c>
      <c r="F1427" s="105">
        <f>SUM(Compcta!F12:N12)</f>
        <v>0</v>
      </c>
    </row>
    <row r="1428" spans="5:6" hidden="1">
      <c r="E1428" s="97" t="s">
        <v>79</v>
      </c>
      <c r="F1428" s="105">
        <f>SUM(Compcta!F13:N13)</f>
        <v>0</v>
      </c>
    </row>
    <row r="1429" spans="5:6" hidden="1">
      <c r="E1429" s="107" t="s">
        <v>80</v>
      </c>
      <c r="F1429" s="105">
        <f>SUM(Compcta!F14:N14)</f>
        <v>0</v>
      </c>
    </row>
    <row r="1430" spans="5:6" hidden="1">
      <c r="E1430" s="97" t="s">
        <v>81</v>
      </c>
      <c r="F1430" s="105">
        <f>SUM(Compcta!F15:N15)</f>
        <v>0</v>
      </c>
    </row>
    <row r="1431" spans="5:6" hidden="1">
      <c r="E1431" s="107" t="s">
        <v>82</v>
      </c>
      <c r="F1431" s="105">
        <f>SUM(Compcta!F16:N16)</f>
        <v>0</v>
      </c>
    </row>
    <row r="1432" spans="5:6" hidden="1">
      <c r="E1432" s="97" t="s">
        <v>83</v>
      </c>
      <c r="F1432" s="105">
        <f>SUM(Compcta!F17:N17)</f>
        <v>0</v>
      </c>
    </row>
    <row r="1433" spans="5:6" hidden="1">
      <c r="E1433" s="107" t="s">
        <v>85</v>
      </c>
      <c r="F1433" s="105">
        <f>SUM(Compcta!F18:N18)</f>
        <v>0</v>
      </c>
    </row>
    <row r="1434" spans="5:6" hidden="1">
      <c r="E1434" s="97" t="s">
        <v>84</v>
      </c>
      <c r="F1434" s="105">
        <f>SUM(Compcta!F19:N19)</f>
        <v>0</v>
      </c>
    </row>
    <row r="1435" spans="5:6" hidden="1">
      <c r="E1435" s="107" t="s">
        <v>86</v>
      </c>
      <c r="F1435" s="105">
        <f>SUM(Compcta!F20:N20)</f>
        <v>0</v>
      </c>
    </row>
    <row r="1436" spans="5:6" hidden="1">
      <c r="E1436" s="97" t="s">
        <v>87</v>
      </c>
      <c r="F1436" s="105">
        <f>SUM(Compcta!F21:N21)</f>
        <v>0</v>
      </c>
    </row>
    <row r="1437" spans="5:6" hidden="1">
      <c r="E1437" s="107" t="s">
        <v>101</v>
      </c>
      <c r="F1437" s="105">
        <f>SUM(Compcta!F22:N22)</f>
        <v>0</v>
      </c>
    </row>
    <row r="1438" spans="5:6" hidden="1">
      <c r="E1438" s="97" t="s">
        <v>88</v>
      </c>
      <c r="F1438" s="105">
        <f>SUM(Compcta!F23:N23)</f>
        <v>0</v>
      </c>
    </row>
    <row r="1439" spans="5:6" hidden="1">
      <c r="E1439" s="107" t="s">
        <v>89</v>
      </c>
      <c r="F1439" s="105">
        <f>SUM(Compcta!F24:N24)</f>
        <v>0</v>
      </c>
    </row>
    <row r="1440" spans="5:6" hidden="1">
      <c r="E1440" s="97" t="s">
        <v>90</v>
      </c>
      <c r="F1440" s="105">
        <f>SUM(Compcta!F25:N25)</f>
        <v>0</v>
      </c>
    </row>
    <row r="1441" spans="1:6" hidden="1">
      <c r="E1441" s="107" t="s">
        <v>93</v>
      </c>
      <c r="F1441" s="105">
        <f>SUM(Compcta!F26:N26)</f>
        <v>0</v>
      </c>
    </row>
    <row r="1442" spans="1:6" hidden="1">
      <c r="E1442" s="97" t="s">
        <v>91</v>
      </c>
      <c r="F1442" s="105">
        <f>SUM(Compcta!F27:N27)</f>
        <v>0</v>
      </c>
    </row>
    <row r="1443" spans="1:6" hidden="1">
      <c r="E1443" s="107" t="s">
        <v>92</v>
      </c>
      <c r="F1443" s="105">
        <f>SUM(Compcta!F28:N28)</f>
        <v>0</v>
      </c>
    </row>
    <row r="1444" spans="1:6" hidden="1">
      <c r="F1444" s="282">
        <f>SUM(F1422:F1443)</f>
        <v>0</v>
      </c>
    </row>
    <row r="1445" spans="1:6" ht="20.25" hidden="1" thickBot="1">
      <c r="A1445" s="1668" t="s">
        <v>1413</v>
      </c>
      <c r="B1445" s="2001"/>
      <c r="C1445" s="2001"/>
      <c r="D1445" s="2001"/>
      <c r="E1445" s="1669"/>
      <c r="F1445" s="48">
        <f>SUM(F1446:F1467)</f>
        <v>0</v>
      </c>
    </row>
    <row r="1446" spans="1:6" hidden="1">
      <c r="E1446" s="225" t="s">
        <v>74</v>
      </c>
      <c r="F1446" s="105">
        <f>SUM(Compcta!Q7:Y7)</f>
        <v>0</v>
      </c>
    </row>
    <row r="1447" spans="1:6" hidden="1">
      <c r="E1447" s="107" t="s">
        <v>75</v>
      </c>
      <c r="F1447" s="105">
        <f>SUM(Compcta!Q8:Y8)</f>
        <v>0</v>
      </c>
    </row>
    <row r="1448" spans="1:6" hidden="1">
      <c r="E1448" s="97" t="s">
        <v>76</v>
      </c>
      <c r="F1448" s="105">
        <f>SUM(Compcta!Q9:Y9)</f>
        <v>0</v>
      </c>
    </row>
    <row r="1449" spans="1:6" hidden="1">
      <c r="E1449" s="107" t="s">
        <v>77</v>
      </c>
      <c r="F1449" s="105">
        <f>SUM(Compcta!Q10:Y10)</f>
        <v>0</v>
      </c>
    </row>
    <row r="1450" spans="1:6" hidden="1">
      <c r="E1450" s="97" t="s">
        <v>100</v>
      </c>
      <c r="F1450" s="105">
        <f>SUM(Compcta!Q11:Y11)</f>
        <v>0</v>
      </c>
    </row>
    <row r="1451" spans="1:6" hidden="1">
      <c r="E1451" s="107" t="s">
        <v>78</v>
      </c>
      <c r="F1451" s="105">
        <f>SUM(Compcta!Q12:Y12)</f>
        <v>0</v>
      </c>
    </row>
    <row r="1452" spans="1:6" hidden="1">
      <c r="E1452" s="97" t="s">
        <v>79</v>
      </c>
      <c r="F1452" s="105">
        <f>SUM(Compcta!Q13:Y13)</f>
        <v>0</v>
      </c>
    </row>
    <row r="1453" spans="1:6" hidden="1">
      <c r="E1453" s="107" t="s">
        <v>80</v>
      </c>
      <c r="F1453" s="105">
        <f>SUM(Compcta!Q14:Y14)</f>
        <v>0</v>
      </c>
    </row>
    <row r="1454" spans="1:6" hidden="1">
      <c r="E1454" s="97" t="s">
        <v>81</v>
      </c>
      <c r="F1454" s="105">
        <f>SUM(Compcta!Q15:Y15)</f>
        <v>0</v>
      </c>
    </row>
    <row r="1455" spans="1:6" hidden="1">
      <c r="E1455" s="107" t="s">
        <v>82</v>
      </c>
      <c r="F1455" s="105">
        <f>SUM(Compcta!Q16:Y16)</f>
        <v>0</v>
      </c>
    </row>
    <row r="1456" spans="1:6" hidden="1">
      <c r="E1456" s="97" t="s">
        <v>83</v>
      </c>
      <c r="F1456" s="105">
        <f>SUM(Compcta!Q17:Y17)</f>
        <v>0</v>
      </c>
    </row>
    <row r="1457" spans="1:6" hidden="1">
      <c r="E1457" s="107" t="s">
        <v>85</v>
      </c>
      <c r="F1457" s="105">
        <f>SUM(Compcta!Q18:Y18)</f>
        <v>0</v>
      </c>
    </row>
    <row r="1458" spans="1:6" hidden="1">
      <c r="E1458" s="97" t="s">
        <v>84</v>
      </c>
      <c r="F1458" s="105">
        <f>SUM(Compcta!Q19:Y19)</f>
        <v>0</v>
      </c>
    </row>
    <row r="1459" spans="1:6" hidden="1">
      <c r="E1459" s="107" t="s">
        <v>86</v>
      </c>
      <c r="F1459" s="105">
        <f>SUM(Compcta!Q20:Y20)</f>
        <v>0</v>
      </c>
    </row>
    <row r="1460" spans="1:6" hidden="1">
      <c r="E1460" s="97" t="s">
        <v>87</v>
      </c>
      <c r="F1460" s="105">
        <f>SUM(Compcta!Q21:Y21)</f>
        <v>0</v>
      </c>
    </row>
    <row r="1461" spans="1:6" hidden="1">
      <c r="E1461" s="107" t="s">
        <v>101</v>
      </c>
      <c r="F1461" s="105">
        <f>SUM(Compcta!Q22:Y22)</f>
        <v>0</v>
      </c>
    </row>
    <row r="1462" spans="1:6" hidden="1">
      <c r="E1462" s="97" t="s">
        <v>88</v>
      </c>
      <c r="F1462" s="105">
        <f>SUM(Compcta!Q23:Y23)</f>
        <v>0</v>
      </c>
    </row>
    <row r="1463" spans="1:6" hidden="1">
      <c r="E1463" s="107" t="s">
        <v>89</v>
      </c>
      <c r="F1463" s="105">
        <f>SUM(Compcta!Q24:Y24)</f>
        <v>0</v>
      </c>
    </row>
    <row r="1464" spans="1:6" hidden="1">
      <c r="E1464" s="97" t="s">
        <v>90</v>
      </c>
      <c r="F1464" s="105">
        <f>SUM(Compcta!Q25:Y25)</f>
        <v>0</v>
      </c>
    </row>
    <row r="1465" spans="1:6" hidden="1">
      <c r="E1465" s="107" t="s">
        <v>93</v>
      </c>
      <c r="F1465" s="105">
        <f>SUM(Compcta!Q26:Y26)</f>
        <v>0</v>
      </c>
    </row>
    <row r="1466" spans="1:6" hidden="1">
      <c r="E1466" s="97" t="s">
        <v>91</v>
      </c>
      <c r="F1466" s="105">
        <f>SUM(Compcta!Q27:Y27)</f>
        <v>0</v>
      </c>
    </row>
    <row r="1467" spans="1:6" hidden="1">
      <c r="E1467" s="107" t="s">
        <v>92</v>
      </c>
      <c r="F1467" s="105">
        <f>SUM(Compcta!Q28:Y28)</f>
        <v>0</v>
      </c>
    </row>
    <row r="1468" spans="1:6" hidden="1">
      <c r="F1468" s="282">
        <f>SUM(F1446:F1467)</f>
        <v>0</v>
      </c>
    </row>
    <row r="1469" spans="1:6" ht="20.25" hidden="1" thickBot="1">
      <c r="A1469" s="1668" t="s">
        <v>1398</v>
      </c>
      <c r="B1469" s="2001"/>
      <c r="C1469" s="2001"/>
      <c r="D1469" s="2001"/>
      <c r="E1469" s="1669"/>
      <c r="F1469" s="48">
        <f>SUM(F1470:F1491)</f>
        <v>0</v>
      </c>
    </row>
    <row r="1470" spans="1:6" hidden="1">
      <c r="E1470" s="225" t="s">
        <v>74</v>
      </c>
      <c r="F1470" s="105">
        <f>SUM(Compcta!AB7:AJ7)</f>
        <v>0</v>
      </c>
    </row>
    <row r="1471" spans="1:6" hidden="1">
      <c r="E1471" s="107" t="s">
        <v>75</v>
      </c>
      <c r="F1471" s="105">
        <f>SUM(Compcta!AB8:AJ8)</f>
        <v>0</v>
      </c>
    </row>
    <row r="1472" spans="1:6" hidden="1">
      <c r="E1472" s="97" t="s">
        <v>76</v>
      </c>
      <c r="F1472" s="105">
        <f>SUM(Compcta!AB9:AJ9)</f>
        <v>0</v>
      </c>
    </row>
    <row r="1473" spans="5:6" hidden="1">
      <c r="E1473" s="107" t="s">
        <v>77</v>
      </c>
      <c r="F1473" s="105">
        <f>SUM(Compcta!AB10:AJ10)</f>
        <v>0</v>
      </c>
    </row>
    <row r="1474" spans="5:6" hidden="1">
      <c r="E1474" s="97" t="s">
        <v>100</v>
      </c>
      <c r="F1474" s="105">
        <f>SUM(Compcta!AB11:AJ11)</f>
        <v>0</v>
      </c>
    </row>
    <row r="1475" spans="5:6" hidden="1">
      <c r="E1475" s="107" t="s">
        <v>78</v>
      </c>
      <c r="F1475" s="105">
        <f>SUM(Compcta!AB12:AJ12)</f>
        <v>0</v>
      </c>
    </row>
    <row r="1476" spans="5:6" hidden="1">
      <c r="E1476" s="97" t="s">
        <v>79</v>
      </c>
      <c r="F1476" s="105">
        <f>SUM(Compcta!AB13:AJ13)</f>
        <v>0</v>
      </c>
    </row>
    <row r="1477" spans="5:6" hidden="1">
      <c r="E1477" s="107" t="s">
        <v>80</v>
      </c>
      <c r="F1477" s="105">
        <f>SUM(Compcta!AB14:AJ14)</f>
        <v>0</v>
      </c>
    </row>
    <row r="1478" spans="5:6" hidden="1">
      <c r="E1478" s="97" t="s">
        <v>81</v>
      </c>
      <c r="F1478" s="105">
        <f>SUM(Compcta!AB15:AJ15)</f>
        <v>0</v>
      </c>
    </row>
    <row r="1479" spans="5:6" hidden="1">
      <c r="E1479" s="107" t="s">
        <v>82</v>
      </c>
      <c r="F1479" s="105">
        <f>SUM(Compcta!AB16:AJ16)</f>
        <v>0</v>
      </c>
    </row>
    <row r="1480" spans="5:6" hidden="1">
      <c r="E1480" s="97" t="s">
        <v>83</v>
      </c>
      <c r="F1480" s="105">
        <f>SUM(Compcta!AB17:AJ17)</f>
        <v>0</v>
      </c>
    </row>
    <row r="1481" spans="5:6" hidden="1">
      <c r="E1481" s="107" t="s">
        <v>85</v>
      </c>
      <c r="F1481" s="105">
        <f>SUM(Compcta!AB18:AJ18)</f>
        <v>0</v>
      </c>
    </row>
    <row r="1482" spans="5:6" hidden="1">
      <c r="E1482" s="97" t="s">
        <v>84</v>
      </c>
      <c r="F1482" s="105">
        <f>SUM(Compcta!AB19:AJ19)</f>
        <v>0</v>
      </c>
    </row>
    <row r="1483" spans="5:6" hidden="1">
      <c r="E1483" s="107" t="s">
        <v>86</v>
      </c>
      <c r="F1483" s="105">
        <f>SUM(Compcta!AB20:AJ20)</f>
        <v>0</v>
      </c>
    </row>
    <row r="1484" spans="5:6" hidden="1">
      <c r="E1484" s="97" t="s">
        <v>87</v>
      </c>
      <c r="F1484" s="105">
        <f>SUM(Compcta!AB21:AJ21)</f>
        <v>0</v>
      </c>
    </row>
    <row r="1485" spans="5:6" hidden="1">
      <c r="E1485" s="107" t="s">
        <v>101</v>
      </c>
      <c r="F1485" s="105">
        <f>SUM(Compcta!AB22:AJ22)</f>
        <v>0</v>
      </c>
    </row>
    <row r="1486" spans="5:6" hidden="1">
      <c r="E1486" s="97" t="s">
        <v>88</v>
      </c>
      <c r="F1486" s="105">
        <f>SUM(Compcta!AB23:AJ23)</f>
        <v>0</v>
      </c>
    </row>
    <row r="1487" spans="5:6" hidden="1">
      <c r="E1487" s="107" t="s">
        <v>89</v>
      </c>
      <c r="F1487" s="105">
        <f>SUM(Compcta!AB24:AJ24)</f>
        <v>0</v>
      </c>
    </row>
    <row r="1488" spans="5:6" hidden="1">
      <c r="E1488" s="97" t="s">
        <v>90</v>
      </c>
      <c r="F1488" s="105">
        <f>SUM(Compcta!AB25:AJ25)</f>
        <v>0</v>
      </c>
    </row>
    <row r="1489" spans="1:6" hidden="1">
      <c r="E1489" s="107" t="s">
        <v>93</v>
      </c>
      <c r="F1489" s="105">
        <f>SUM(Compcta!AB26:AJ26)</f>
        <v>0</v>
      </c>
    </row>
    <row r="1490" spans="1:6" hidden="1">
      <c r="E1490" s="97" t="s">
        <v>91</v>
      </c>
      <c r="F1490" s="105">
        <f>SUM(Compcta!AB27:AJ27)</f>
        <v>0</v>
      </c>
    </row>
    <row r="1491" spans="1:6" hidden="1">
      <c r="E1491" s="107" t="s">
        <v>92</v>
      </c>
      <c r="F1491" s="105">
        <f>SUM(Compcta!AB28:AJ28)</f>
        <v>0</v>
      </c>
    </row>
    <row r="1492" spans="1:6" hidden="1">
      <c r="F1492" s="282">
        <f>SUM(F1470:F1491)</f>
        <v>0</v>
      </c>
    </row>
    <row r="1493" spans="1:6" ht="20.25" hidden="1" thickBot="1">
      <c r="A1493" s="1668" t="s">
        <v>1414</v>
      </c>
      <c r="B1493" s="2001"/>
      <c r="C1493" s="2001"/>
      <c r="D1493" s="2001"/>
      <c r="E1493" s="1669"/>
      <c r="F1493" s="48">
        <f>SUM(F1494:F1515)</f>
        <v>0</v>
      </c>
    </row>
    <row r="1494" spans="1:6" hidden="1">
      <c r="E1494" s="225" t="s">
        <v>74</v>
      </c>
      <c r="F1494" s="105">
        <f>SUM(Compcta!AM7:AU7)</f>
        <v>0</v>
      </c>
    </row>
    <row r="1495" spans="1:6" hidden="1">
      <c r="E1495" s="107" t="s">
        <v>75</v>
      </c>
      <c r="F1495" s="105">
        <f>SUM(Compcta!AM8:AU8)</f>
        <v>0</v>
      </c>
    </row>
    <row r="1496" spans="1:6" hidden="1">
      <c r="E1496" s="97" t="s">
        <v>76</v>
      </c>
      <c r="F1496" s="105">
        <f>SUM(Compcta!AM9:AU9)</f>
        <v>0</v>
      </c>
    </row>
    <row r="1497" spans="1:6" hidden="1">
      <c r="E1497" s="107" t="s">
        <v>77</v>
      </c>
      <c r="F1497" s="105">
        <f>SUM(Compcta!AM10:AU10)</f>
        <v>0</v>
      </c>
    </row>
    <row r="1498" spans="1:6" hidden="1">
      <c r="E1498" s="97" t="s">
        <v>100</v>
      </c>
      <c r="F1498" s="105">
        <f>SUM(Compcta!AM11:AU11)</f>
        <v>0</v>
      </c>
    </row>
    <row r="1499" spans="1:6" hidden="1">
      <c r="E1499" s="107" t="s">
        <v>78</v>
      </c>
      <c r="F1499" s="105">
        <f>SUM(Compcta!AM12:AU12)</f>
        <v>0</v>
      </c>
    </row>
    <row r="1500" spans="1:6" hidden="1">
      <c r="E1500" s="97" t="s">
        <v>79</v>
      </c>
      <c r="F1500" s="105">
        <f>SUM(Compcta!AM13:AU13)</f>
        <v>0</v>
      </c>
    </row>
    <row r="1501" spans="1:6" hidden="1">
      <c r="E1501" s="107" t="s">
        <v>80</v>
      </c>
      <c r="F1501" s="105">
        <f>SUM(Compcta!AM14:AU14)</f>
        <v>0</v>
      </c>
    </row>
    <row r="1502" spans="1:6" hidden="1">
      <c r="E1502" s="97" t="s">
        <v>81</v>
      </c>
      <c r="F1502" s="105">
        <f>SUM(Compcta!AM15:AU15)</f>
        <v>0</v>
      </c>
    </row>
    <row r="1503" spans="1:6" hidden="1">
      <c r="E1503" s="107" t="s">
        <v>82</v>
      </c>
      <c r="F1503" s="105">
        <f>SUM(Compcta!AM16:AU16)</f>
        <v>0</v>
      </c>
    </row>
    <row r="1504" spans="1:6" hidden="1">
      <c r="E1504" s="97" t="s">
        <v>83</v>
      </c>
      <c r="F1504" s="105">
        <f>SUM(Compcta!AM17:AU17)</f>
        <v>0</v>
      </c>
    </row>
    <row r="1505" spans="1:6" hidden="1">
      <c r="E1505" s="107" t="s">
        <v>85</v>
      </c>
      <c r="F1505" s="105">
        <f>SUM(Compcta!AM18:AU18)</f>
        <v>0</v>
      </c>
    </row>
    <row r="1506" spans="1:6" hidden="1">
      <c r="E1506" s="97" t="s">
        <v>84</v>
      </c>
      <c r="F1506" s="105">
        <f>SUM(Compcta!AM19:AU19)</f>
        <v>0</v>
      </c>
    </row>
    <row r="1507" spans="1:6" hidden="1">
      <c r="E1507" s="107" t="s">
        <v>86</v>
      </c>
      <c r="F1507" s="105">
        <f>SUM(Compcta!AM20:AU20)</f>
        <v>0</v>
      </c>
    </row>
    <row r="1508" spans="1:6" hidden="1">
      <c r="E1508" s="97" t="s">
        <v>87</v>
      </c>
      <c r="F1508" s="105">
        <f>SUM(Compcta!AM21:AU21)</f>
        <v>0</v>
      </c>
    </row>
    <row r="1509" spans="1:6" hidden="1">
      <c r="E1509" s="107" t="s">
        <v>101</v>
      </c>
      <c r="F1509" s="105">
        <f>SUM(Compcta!AM22:AU22)</f>
        <v>0</v>
      </c>
    </row>
    <row r="1510" spans="1:6" hidden="1">
      <c r="E1510" s="97" t="s">
        <v>88</v>
      </c>
      <c r="F1510" s="105">
        <f>SUM(Compcta!AM23:AU23)</f>
        <v>0</v>
      </c>
    </row>
    <row r="1511" spans="1:6" hidden="1">
      <c r="E1511" s="107" t="s">
        <v>89</v>
      </c>
      <c r="F1511" s="105">
        <f>SUM(Compcta!AM24:AU24)</f>
        <v>0</v>
      </c>
    </row>
    <row r="1512" spans="1:6" hidden="1">
      <c r="E1512" s="97" t="s">
        <v>90</v>
      </c>
      <c r="F1512" s="105">
        <f>SUM(Compcta!AM25:AU25)</f>
        <v>0</v>
      </c>
    </row>
    <row r="1513" spans="1:6" hidden="1">
      <c r="E1513" s="107" t="s">
        <v>93</v>
      </c>
      <c r="F1513" s="105">
        <f>SUM(Compcta!AM26:AU26)</f>
        <v>0</v>
      </c>
    </row>
    <row r="1514" spans="1:6" hidden="1">
      <c r="E1514" s="97" t="s">
        <v>91</v>
      </c>
      <c r="F1514" s="105">
        <f>SUM(Compcta!AM27:AU27)</f>
        <v>0</v>
      </c>
    </row>
    <row r="1515" spans="1:6" hidden="1">
      <c r="E1515" s="107" t="s">
        <v>92</v>
      </c>
      <c r="F1515" s="105">
        <f>SUM(Compcta!AM28:AU28)</f>
        <v>0</v>
      </c>
    </row>
    <row r="1516" spans="1:6" hidden="1">
      <c r="F1516" s="282">
        <f>SUM(F1494:F1515)</f>
        <v>0</v>
      </c>
    </row>
    <row r="1517" spans="1:6" ht="20.25" hidden="1" thickBot="1">
      <c r="A1517" s="1668" t="s">
        <v>1390</v>
      </c>
      <c r="B1517" s="2001"/>
      <c r="C1517" s="2001"/>
      <c r="D1517" s="2001"/>
      <c r="E1517" s="1669"/>
      <c r="F1517" s="48">
        <f>SUM(F1518:F1539)</f>
        <v>0</v>
      </c>
    </row>
    <row r="1518" spans="1:6" hidden="1">
      <c r="E1518" s="225" t="s">
        <v>74</v>
      </c>
      <c r="F1518" s="105">
        <f>SUM(Compcta!AX7:BF7)</f>
        <v>0</v>
      </c>
    </row>
    <row r="1519" spans="1:6" hidden="1">
      <c r="E1519" s="107" t="s">
        <v>75</v>
      </c>
      <c r="F1519" s="105">
        <f>SUM(Compcta!AX8:BF8)</f>
        <v>0</v>
      </c>
    </row>
    <row r="1520" spans="1:6" hidden="1">
      <c r="E1520" s="97" t="s">
        <v>76</v>
      </c>
      <c r="F1520" s="105">
        <f>SUM(Compcta!AX9:BF9)</f>
        <v>0</v>
      </c>
    </row>
    <row r="1521" spans="5:6" hidden="1">
      <c r="E1521" s="107" t="s">
        <v>77</v>
      </c>
      <c r="F1521" s="105">
        <f>SUM(Compcta!AX10:BF10)</f>
        <v>0</v>
      </c>
    </row>
    <row r="1522" spans="5:6" hidden="1">
      <c r="E1522" s="97" t="s">
        <v>100</v>
      </c>
      <c r="F1522" s="105">
        <f>SUM(Compcta!AX11:BF11)</f>
        <v>0</v>
      </c>
    </row>
    <row r="1523" spans="5:6" hidden="1">
      <c r="E1523" s="107" t="s">
        <v>78</v>
      </c>
      <c r="F1523" s="105">
        <f>SUM(Compcta!AX12:BF12)</f>
        <v>0</v>
      </c>
    </row>
    <row r="1524" spans="5:6" hidden="1">
      <c r="E1524" s="97" t="s">
        <v>79</v>
      </c>
      <c r="F1524" s="105">
        <f>SUM(Compcta!AX13:BF13)</f>
        <v>0</v>
      </c>
    </row>
    <row r="1525" spans="5:6" hidden="1">
      <c r="E1525" s="107" t="s">
        <v>80</v>
      </c>
      <c r="F1525" s="105">
        <f>SUM(Compcta!AX14:BF14)</f>
        <v>0</v>
      </c>
    </row>
    <row r="1526" spans="5:6" hidden="1">
      <c r="E1526" s="97" t="s">
        <v>81</v>
      </c>
      <c r="F1526" s="105">
        <f>SUM(Compcta!AX15:BF15)</f>
        <v>0</v>
      </c>
    </row>
    <row r="1527" spans="5:6" hidden="1">
      <c r="E1527" s="107" t="s">
        <v>82</v>
      </c>
      <c r="F1527" s="105">
        <f>SUM(Compcta!AX16:BF16)</f>
        <v>0</v>
      </c>
    </row>
    <row r="1528" spans="5:6" hidden="1">
      <c r="E1528" s="97" t="s">
        <v>83</v>
      </c>
      <c r="F1528" s="105">
        <f>SUM(Compcta!AX17:BF17)</f>
        <v>0</v>
      </c>
    </row>
    <row r="1529" spans="5:6" hidden="1">
      <c r="E1529" s="107" t="s">
        <v>85</v>
      </c>
      <c r="F1529" s="105">
        <f>SUM(Compcta!AX18:BF18)</f>
        <v>0</v>
      </c>
    </row>
    <row r="1530" spans="5:6" hidden="1">
      <c r="E1530" s="97" t="s">
        <v>84</v>
      </c>
      <c r="F1530" s="105">
        <f>SUM(Compcta!AX19:BF19)</f>
        <v>0</v>
      </c>
    </row>
    <row r="1531" spans="5:6" hidden="1">
      <c r="E1531" s="107" t="s">
        <v>86</v>
      </c>
      <c r="F1531" s="105">
        <f>SUM(Compcta!AX20:BF20)</f>
        <v>0</v>
      </c>
    </row>
    <row r="1532" spans="5:6" hidden="1">
      <c r="E1532" s="97" t="s">
        <v>87</v>
      </c>
      <c r="F1532" s="105">
        <f>SUM(Compcta!AX21:BF21)</f>
        <v>0</v>
      </c>
    </row>
    <row r="1533" spans="5:6" hidden="1">
      <c r="E1533" s="107" t="s">
        <v>101</v>
      </c>
      <c r="F1533" s="105">
        <f>SUM(Compcta!AX22:BF22)</f>
        <v>0</v>
      </c>
    </row>
    <row r="1534" spans="5:6" hidden="1">
      <c r="E1534" s="97" t="s">
        <v>88</v>
      </c>
      <c r="F1534" s="105">
        <f>SUM(Compcta!AX23:BF23)</f>
        <v>0</v>
      </c>
    </row>
    <row r="1535" spans="5:6" hidden="1">
      <c r="E1535" s="107" t="s">
        <v>89</v>
      </c>
      <c r="F1535" s="105">
        <f>SUM(Compcta!AX24:BF24)</f>
        <v>0</v>
      </c>
    </row>
    <row r="1536" spans="5:6" hidden="1">
      <c r="E1536" s="97" t="s">
        <v>90</v>
      </c>
      <c r="F1536" s="105">
        <f>SUM(Compcta!AX25:BF25)</f>
        <v>0</v>
      </c>
    </row>
    <row r="1537" spans="1:6" hidden="1">
      <c r="E1537" s="107" t="s">
        <v>93</v>
      </c>
      <c r="F1537" s="105">
        <f>SUM(Compcta!AX26:BF26)</f>
        <v>0</v>
      </c>
    </row>
    <row r="1538" spans="1:6" hidden="1">
      <c r="E1538" s="97" t="s">
        <v>91</v>
      </c>
      <c r="F1538" s="105">
        <f>SUM(Compcta!AX27:BF27)</f>
        <v>0</v>
      </c>
    </row>
    <row r="1539" spans="1:6" hidden="1">
      <c r="E1539" s="107" t="s">
        <v>92</v>
      </c>
      <c r="F1539" s="105">
        <f>SUM(Compcta!AX28:BF28)</f>
        <v>0</v>
      </c>
    </row>
    <row r="1540" spans="1:6" hidden="1">
      <c r="F1540" s="282">
        <f>SUM(F1518:F1539)</f>
        <v>0</v>
      </c>
    </row>
    <row r="1541" spans="1:6" ht="20.25" hidden="1" thickBot="1">
      <c r="A1541" s="1668" t="s">
        <v>1386</v>
      </c>
      <c r="B1541" s="2001"/>
      <c r="C1541" s="2001"/>
      <c r="D1541" s="2001"/>
      <c r="E1541" s="1669"/>
      <c r="F1541" s="48">
        <f>SUM(F1542:F1563)</f>
        <v>0</v>
      </c>
    </row>
    <row r="1542" spans="1:6" hidden="1">
      <c r="E1542" s="225" t="s">
        <v>74</v>
      </c>
      <c r="F1542" s="105">
        <f>SUM(Compcta!BI7:BQ7)</f>
        <v>0</v>
      </c>
    </row>
    <row r="1543" spans="1:6" hidden="1">
      <c r="E1543" s="107" t="s">
        <v>75</v>
      </c>
      <c r="F1543" s="105">
        <f>SUM(Compcta!BI8:BQ8)</f>
        <v>0</v>
      </c>
    </row>
    <row r="1544" spans="1:6" hidden="1">
      <c r="E1544" s="97" t="s">
        <v>76</v>
      </c>
      <c r="F1544" s="105">
        <f>SUM(Compcta!BI9:BQ9)</f>
        <v>0</v>
      </c>
    </row>
    <row r="1545" spans="1:6" hidden="1">
      <c r="E1545" s="107" t="s">
        <v>77</v>
      </c>
      <c r="F1545" s="105">
        <f>SUM(Compcta!BI10:BQ10)</f>
        <v>0</v>
      </c>
    </row>
    <row r="1546" spans="1:6" hidden="1">
      <c r="E1546" s="97" t="s">
        <v>100</v>
      </c>
      <c r="F1546" s="105">
        <f>SUM(Compcta!BI11:BQ11)</f>
        <v>0</v>
      </c>
    </row>
    <row r="1547" spans="1:6" hidden="1">
      <c r="E1547" s="107" t="s">
        <v>78</v>
      </c>
      <c r="F1547" s="105">
        <f>SUM(Compcta!BI12:BQ12)</f>
        <v>0</v>
      </c>
    </row>
    <row r="1548" spans="1:6" hidden="1">
      <c r="E1548" s="97" t="s">
        <v>79</v>
      </c>
      <c r="F1548" s="105">
        <f>SUM(Compcta!BI13:BQ13)</f>
        <v>0</v>
      </c>
    </row>
    <row r="1549" spans="1:6" hidden="1">
      <c r="E1549" s="107" t="s">
        <v>80</v>
      </c>
      <c r="F1549" s="105">
        <f>SUM(Compcta!BI14:BQ14)</f>
        <v>0</v>
      </c>
    </row>
    <row r="1550" spans="1:6" hidden="1">
      <c r="E1550" s="97" t="s">
        <v>81</v>
      </c>
      <c r="F1550" s="105">
        <f>SUM(Compcta!BI15:BQ15)</f>
        <v>0</v>
      </c>
    </row>
    <row r="1551" spans="1:6" hidden="1">
      <c r="E1551" s="107" t="s">
        <v>82</v>
      </c>
      <c r="F1551" s="105">
        <f>SUM(Compcta!BI16:BQ16)</f>
        <v>0</v>
      </c>
    </row>
    <row r="1552" spans="1:6" hidden="1">
      <c r="E1552" s="97" t="s">
        <v>83</v>
      </c>
      <c r="F1552" s="105">
        <f>SUM(Compcta!BI17:BQ17)</f>
        <v>0</v>
      </c>
    </row>
    <row r="1553" spans="1:6" hidden="1">
      <c r="E1553" s="107" t="s">
        <v>85</v>
      </c>
      <c r="F1553" s="105">
        <f>SUM(Compcta!BI18:BQ18)</f>
        <v>0</v>
      </c>
    </row>
    <row r="1554" spans="1:6" hidden="1">
      <c r="E1554" s="97" t="s">
        <v>84</v>
      </c>
      <c r="F1554" s="105">
        <f>SUM(Compcta!BI19:BQ19)</f>
        <v>0</v>
      </c>
    </row>
    <row r="1555" spans="1:6" hidden="1">
      <c r="E1555" s="107" t="s">
        <v>86</v>
      </c>
      <c r="F1555" s="105">
        <f>SUM(Compcta!BI20:BQ20)</f>
        <v>0</v>
      </c>
    </row>
    <row r="1556" spans="1:6" hidden="1">
      <c r="E1556" s="97" t="s">
        <v>87</v>
      </c>
      <c r="F1556" s="105">
        <f>SUM(Compcta!BI21:BQ21)</f>
        <v>0</v>
      </c>
    </row>
    <row r="1557" spans="1:6" hidden="1">
      <c r="E1557" s="107" t="s">
        <v>101</v>
      </c>
      <c r="F1557" s="105">
        <f>SUM(Compcta!BI22:BQ22)</f>
        <v>0</v>
      </c>
    </row>
    <row r="1558" spans="1:6" hidden="1">
      <c r="E1558" s="97" t="s">
        <v>88</v>
      </c>
      <c r="F1558" s="105">
        <f>SUM(Compcta!BI23:BQ23)</f>
        <v>0</v>
      </c>
    </row>
    <row r="1559" spans="1:6" hidden="1">
      <c r="E1559" s="107" t="s">
        <v>89</v>
      </c>
      <c r="F1559" s="105">
        <f>SUM(Compcta!BI24:BQ24)</f>
        <v>0</v>
      </c>
    </row>
    <row r="1560" spans="1:6" hidden="1">
      <c r="E1560" s="97" t="s">
        <v>90</v>
      </c>
      <c r="F1560" s="105">
        <f>SUM(Compcta!BI25:BQ25)</f>
        <v>0</v>
      </c>
    </row>
    <row r="1561" spans="1:6" hidden="1">
      <c r="E1561" s="107" t="s">
        <v>93</v>
      </c>
      <c r="F1561" s="105">
        <f>SUM(Compcta!BI26:BQ26)</f>
        <v>0</v>
      </c>
    </row>
    <row r="1562" spans="1:6" hidden="1">
      <c r="E1562" s="97" t="s">
        <v>91</v>
      </c>
      <c r="F1562" s="105">
        <f>SUM(Compcta!BI27:BQ27)</f>
        <v>0</v>
      </c>
    </row>
    <row r="1563" spans="1:6" hidden="1">
      <c r="E1563" s="107" t="s">
        <v>92</v>
      </c>
      <c r="F1563" s="105">
        <f>SUM(Compcta!BI28:BQ28)</f>
        <v>0</v>
      </c>
    </row>
    <row r="1564" spans="1:6" hidden="1">
      <c r="F1564" s="282">
        <f>SUM(F1542:F1563)</f>
        <v>0</v>
      </c>
    </row>
    <row r="1565" spans="1:6" ht="20.25" hidden="1" thickBot="1">
      <c r="A1565" s="1668" t="s">
        <v>1415</v>
      </c>
      <c r="B1565" s="2001"/>
      <c r="C1565" s="2001"/>
      <c r="D1565" s="2001"/>
      <c r="E1565" s="1669"/>
      <c r="F1565" s="48">
        <f>SUM(F1566:F1587)</f>
        <v>0</v>
      </c>
    </row>
    <row r="1566" spans="1:6" hidden="1">
      <c r="E1566" s="225" t="s">
        <v>74</v>
      </c>
      <c r="F1566" s="105">
        <f>SUM(Compcta!BT7:CB7)</f>
        <v>0</v>
      </c>
    </row>
    <row r="1567" spans="1:6" hidden="1">
      <c r="E1567" s="107" t="s">
        <v>75</v>
      </c>
      <c r="F1567" s="105">
        <f>SUM(Compcta!BT8:CB8)</f>
        <v>0</v>
      </c>
    </row>
    <row r="1568" spans="1:6" hidden="1">
      <c r="E1568" s="97" t="s">
        <v>76</v>
      </c>
      <c r="F1568" s="105">
        <f>SUM(Compcta!BT9:CB9)</f>
        <v>0</v>
      </c>
    </row>
    <row r="1569" spans="5:6" hidden="1">
      <c r="E1569" s="107" t="s">
        <v>77</v>
      </c>
      <c r="F1569" s="105">
        <f>SUM(Compcta!BT10:CB10)</f>
        <v>0</v>
      </c>
    </row>
    <row r="1570" spans="5:6" hidden="1">
      <c r="E1570" s="97" t="s">
        <v>100</v>
      </c>
      <c r="F1570" s="105">
        <f>SUM(Compcta!BT11:CB11)</f>
        <v>0</v>
      </c>
    </row>
    <row r="1571" spans="5:6" hidden="1">
      <c r="E1571" s="107" t="s">
        <v>78</v>
      </c>
      <c r="F1571" s="105">
        <f>SUM(Compcta!BT12:CB12)</f>
        <v>0</v>
      </c>
    </row>
    <row r="1572" spans="5:6" hidden="1">
      <c r="E1572" s="97" t="s">
        <v>79</v>
      </c>
      <c r="F1572" s="105">
        <f>SUM(Compcta!BT13:CB13)</f>
        <v>0</v>
      </c>
    </row>
    <row r="1573" spans="5:6" hidden="1">
      <c r="E1573" s="107" t="s">
        <v>80</v>
      </c>
      <c r="F1573" s="105">
        <f>SUM(Compcta!BT14:CB14)</f>
        <v>0</v>
      </c>
    </row>
    <row r="1574" spans="5:6" hidden="1">
      <c r="E1574" s="97" t="s">
        <v>81</v>
      </c>
      <c r="F1574" s="105">
        <f>SUM(Compcta!BT15:CB15)</f>
        <v>0</v>
      </c>
    </row>
    <row r="1575" spans="5:6" hidden="1">
      <c r="E1575" s="107" t="s">
        <v>82</v>
      </c>
      <c r="F1575" s="105">
        <f>SUM(Compcta!BT16:CB16)</f>
        <v>0</v>
      </c>
    </row>
    <row r="1576" spans="5:6" hidden="1">
      <c r="E1576" s="97" t="s">
        <v>83</v>
      </c>
      <c r="F1576" s="105">
        <f>SUM(Compcta!BT17:CB17)</f>
        <v>0</v>
      </c>
    </row>
    <row r="1577" spans="5:6" hidden="1">
      <c r="E1577" s="107" t="s">
        <v>85</v>
      </c>
      <c r="F1577" s="105">
        <f>SUM(Compcta!BT18:CB18)</f>
        <v>0</v>
      </c>
    </row>
    <row r="1578" spans="5:6" hidden="1">
      <c r="E1578" s="97" t="s">
        <v>84</v>
      </c>
      <c r="F1578" s="105">
        <f>SUM(Compcta!BT19:CB19)</f>
        <v>0</v>
      </c>
    </row>
    <row r="1579" spans="5:6" hidden="1">
      <c r="E1579" s="107" t="s">
        <v>86</v>
      </c>
      <c r="F1579" s="105">
        <f>SUM(Compcta!BT20:CB20)</f>
        <v>0</v>
      </c>
    </row>
    <row r="1580" spans="5:6" hidden="1">
      <c r="E1580" s="97" t="s">
        <v>87</v>
      </c>
      <c r="F1580" s="105">
        <f>SUM(Compcta!BT21:CB21)</f>
        <v>0</v>
      </c>
    </row>
    <row r="1581" spans="5:6" hidden="1">
      <c r="E1581" s="107" t="s">
        <v>101</v>
      </c>
      <c r="F1581" s="105">
        <f>SUM(Compcta!BT22:CB22)</f>
        <v>0</v>
      </c>
    </row>
    <row r="1582" spans="5:6" hidden="1">
      <c r="E1582" s="97" t="s">
        <v>88</v>
      </c>
      <c r="F1582" s="105">
        <f>SUM(Compcta!BT23:CB23)</f>
        <v>0</v>
      </c>
    </row>
    <row r="1583" spans="5:6" hidden="1">
      <c r="E1583" s="107" t="s">
        <v>89</v>
      </c>
      <c r="F1583" s="105">
        <f>SUM(Compcta!BT24:CB24)</f>
        <v>0</v>
      </c>
    </row>
    <row r="1584" spans="5:6" hidden="1">
      <c r="E1584" s="97" t="s">
        <v>90</v>
      </c>
      <c r="F1584" s="105">
        <f>SUM(Compcta!BT25:CB25)</f>
        <v>0</v>
      </c>
    </row>
    <row r="1585" spans="5:6" hidden="1">
      <c r="E1585" s="107" t="s">
        <v>93</v>
      </c>
      <c r="F1585" s="105">
        <f>SUM(Compcta!BT26:CB26)</f>
        <v>0</v>
      </c>
    </row>
    <row r="1586" spans="5:6" hidden="1">
      <c r="E1586" s="97" t="s">
        <v>91</v>
      </c>
      <c r="F1586" s="105">
        <f>SUM(Compcta!BT27:CB27)</f>
        <v>0</v>
      </c>
    </row>
    <row r="1587" spans="5:6" hidden="1">
      <c r="E1587" s="107" t="s">
        <v>92</v>
      </c>
      <c r="F1587" s="105">
        <f>SUM(Compcta!BT28:CB28)</f>
        <v>0</v>
      </c>
    </row>
    <row r="1588" spans="5:6" hidden="1">
      <c r="F1588" s="282">
        <f>SUM(F1566:F1587)</f>
        <v>0</v>
      </c>
    </row>
    <row r="1589" spans="5:6" ht="20.25" hidden="1" thickBot="1">
      <c r="E1589" s="48" t="s">
        <v>1132</v>
      </c>
      <c r="F1589" s="48">
        <f>SUM(F1590:F1611)</f>
        <v>0</v>
      </c>
    </row>
    <row r="1590" spans="5:6" hidden="1">
      <c r="E1590" s="225" t="s">
        <v>74</v>
      </c>
      <c r="F1590" s="105">
        <f>SUM(Compcta!CE7:CG7)</f>
        <v>0</v>
      </c>
    </row>
    <row r="1591" spans="5:6" hidden="1">
      <c r="E1591" s="107" t="s">
        <v>75</v>
      </c>
      <c r="F1591" s="105">
        <f>SUM(Compcta!CE8:CG8)</f>
        <v>0</v>
      </c>
    </row>
    <row r="1592" spans="5:6" hidden="1">
      <c r="E1592" s="97" t="s">
        <v>76</v>
      </c>
      <c r="F1592" s="105">
        <f>SUM(Compcta!CE9:CG9)</f>
        <v>0</v>
      </c>
    </row>
    <row r="1593" spans="5:6" hidden="1">
      <c r="E1593" s="107" t="s">
        <v>77</v>
      </c>
      <c r="F1593" s="105">
        <f>SUM(Compcta!CE10:CG10)</f>
        <v>0</v>
      </c>
    </row>
    <row r="1594" spans="5:6" hidden="1">
      <c r="E1594" s="97" t="s">
        <v>100</v>
      </c>
      <c r="F1594" s="105">
        <f>SUM(Compcta!CE11:CG11)</f>
        <v>0</v>
      </c>
    </row>
    <row r="1595" spans="5:6" hidden="1">
      <c r="E1595" s="107" t="s">
        <v>78</v>
      </c>
      <c r="F1595" s="105">
        <f>SUM(Compcta!CE12:CG12)</f>
        <v>0</v>
      </c>
    </row>
    <row r="1596" spans="5:6" hidden="1">
      <c r="E1596" s="97" t="s">
        <v>79</v>
      </c>
      <c r="F1596" s="105">
        <f>SUM(Compcta!CE13:CG13)</f>
        <v>0</v>
      </c>
    </row>
    <row r="1597" spans="5:6" hidden="1">
      <c r="E1597" s="107" t="s">
        <v>80</v>
      </c>
      <c r="F1597" s="105">
        <f>SUM(Compcta!CE14:CG14)</f>
        <v>0</v>
      </c>
    </row>
    <row r="1598" spans="5:6" hidden="1">
      <c r="E1598" s="97" t="s">
        <v>81</v>
      </c>
      <c r="F1598" s="105">
        <f>SUM(Compcta!CE15:CG15)</f>
        <v>0</v>
      </c>
    </row>
    <row r="1599" spans="5:6" hidden="1">
      <c r="E1599" s="107" t="s">
        <v>82</v>
      </c>
      <c r="F1599" s="105">
        <f>SUM(Compcta!CE16:CG16)</f>
        <v>0</v>
      </c>
    </row>
    <row r="1600" spans="5:6" hidden="1">
      <c r="E1600" s="97" t="s">
        <v>83</v>
      </c>
      <c r="F1600" s="105">
        <f>SUM(Compcta!CE17:CG17)</f>
        <v>0</v>
      </c>
    </row>
    <row r="1601" spans="5:6" hidden="1">
      <c r="E1601" s="107" t="s">
        <v>85</v>
      </c>
      <c r="F1601" s="105">
        <f>SUM(Compcta!CE18:CG18)</f>
        <v>0</v>
      </c>
    </row>
    <row r="1602" spans="5:6" hidden="1">
      <c r="E1602" s="97" t="s">
        <v>84</v>
      </c>
      <c r="F1602" s="105">
        <f>SUM(Compcta!CE19:CG19)</f>
        <v>0</v>
      </c>
    </row>
    <row r="1603" spans="5:6" hidden="1">
      <c r="E1603" s="107" t="s">
        <v>86</v>
      </c>
      <c r="F1603" s="105">
        <f>SUM(Compcta!CE20:CG20)</f>
        <v>0</v>
      </c>
    </row>
    <row r="1604" spans="5:6" hidden="1">
      <c r="E1604" s="97" t="s">
        <v>87</v>
      </c>
      <c r="F1604" s="105">
        <f>SUM(Compcta!CE21:CG21)</f>
        <v>0</v>
      </c>
    </row>
    <row r="1605" spans="5:6" hidden="1">
      <c r="E1605" s="107" t="s">
        <v>101</v>
      </c>
      <c r="F1605" s="105">
        <f>SUM(Compcta!CE22:CG22)</f>
        <v>0</v>
      </c>
    </row>
    <row r="1606" spans="5:6" hidden="1">
      <c r="E1606" s="97" t="s">
        <v>88</v>
      </c>
      <c r="F1606" s="105">
        <f>SUM(Compcta!CE23:CG23)</f>
        <v>0</v>
      </c>
    </row>
    <row r="1607" spans="5:6" hidden="1">
      <c r="E1607" s="107" t="s">
        <v>89</v>
      </c>
      <c r="F1607" s="105">
        <f>SUM(Compcta!CE24:CG24)</f>
        <v>0</v>
      </c>
    </row>
    <row r="1608" spans="5:6" hidden="1">
      <c r="E1608" s="97" t="s">
        <v>90</v>
      </c>
      <c r="F1608" s="105">
        <f>SUM(Compcta!CE25:CG25)</f>
        <v>0</v>
      </c>
    </row>
    <row r="1609" spans="5:6" hidden="1">
      <c r="E1609" s="107" t="s">
        <v>93</v>
      </c>
      <c r="F1609" s="105">
        <f>SUM(Compcta!CE26:CG26)</f>
        <v>0</v>
      </c>
    </row>
    <row r="1610" spans="5:6" hidden="1">
      <c r="E1610" s="97" t="s">
        <v>91</v>
      </c>
      <c r="F1610" s="105">
        <f>SUM(Compcta!CE27:CG27)</f>
        <v>0</v>
      </c>
    </row>
    <row r="1611" spans="5:6" hidden="1">
      <c r="E1611" s="107" t="s">
        <v>92</v>
      </c>
      <c r="F1611" s="105">
        <f>SUM(Compcta!CE28:CG28)</f>
        <v>0</v>
      </c>
    </row>
    <row r="1612" spans="5:6" hidden="1">
      <c r="F1612" s="278">
        <f>SUM(F1590:F1611)</f>
        <v>0</v>
      </c>
    </row>
    <row r="1613" spans="5:6" ht="20.25" hidden="1" thickBot="1">
      <c r="E1613" s="48" t="s">
        <v>1133</v>
      </c>
      <c r="F1613" s="48">
        <f>SUM(F1614:F1635)</f>
        <v>0</v>
      </c>
    </row>
    <row r="1614" spans="5:6" hidden="1">
      <c r="E1614" s="225" t="s">
        <v>74</v>
      </c>
      <c r="F1614" s="105">
        <f>SUM(Compcta!CJ7:CL7)</f>
        <v>0</v>
      </c>
    </row>
    <row r="1615" spans="5:6" hidden="1">
      <c r="E1615" s="107" t="s">
        <v>75</v>
      </c>
      <c r="F1615" s="105">
        <f>SUM(Compcta!CJ8:CL8)</f>
        <v>0</v>
      </c>
    </row>
    <row r="1616" spans="5:6" hidden="1">
      <c r="E1616" s="97" t="s">
        <v>76</v>
      </c>
      <c r="F1616" s="105">
        <f>SUM(Compcta!CJ9:CL9)</f>
        <v>0</v>
      </c>
    </row>
    <row r="1617" spans="5:6" hidden="1">
      <c r="E1617" s="107" t="s">
        <v>77</v>
      </c>
      <c r="F1617" s="105">
        <f>SUM(Compcta!CJ10:CL10)</f>
        <v>0</v>
      </c>
    </row>
    <row r="1618" spans="5:6" hidden="1">
      <c r="E1618" s="97" t="s">
        <v>100</v>
      </c>
      <c r="F1618" s="105">
        <f>SUM(Compcta!CJ11:CL11)</f>
        <v>0</v>
      </c>
    </row>
    <row r="1619" spans="5:6" hidden="1">
      <c r="E1619" s="107" t="s">
        <v>78</v>
      </c>
      <c r="F1619" s="105">
        <f>SUM(Compcta!CJ12:CL12)</f>
        <v>0</v>
      </c>
    </row>
    <row r="1620" spans="5:6" hidden="1">
      <c r="E1620" s="97" t="s">
        <v>79</v>
      </c>
      <c r="F1620" s="105">
        <f>SUM(Compcta!CJ13:CL13)</f>
        <v>0</v>
      </c>
    </row>
    <row r="1621" spans="5:6" hidden="1">
      <c r="E1621" s="107" t="s">
        <v>80</v>
      </c>
      <c r="F1621" s="105">
        <f>SUM(Compcta!CJ14:CL14)</f>
        <v>0</v>
      </c>
    </row>
    <row r="1622" spans="5:6" hidden="1">
      <c r="E1622" s="97" t="s">
        <v>81</v>
      </c>
      <c r="F1622" s="105">
        <f>SUM(Compcta!CJ15:CL15)</f>
        <v>0</v>
      </c>
    </row>
    <row r="1623" spans="5:6" hidden="1">
      <c r="E1623" s="107" t="s">
        <v>82</v>
      </c>
      <c r="F1623" s="105">
        <f>SUM(Compcta!CJ16:CL16)</f>
        <v>0</v>
      </c>
    </row>
    <row r="1624" spans="5:6" hidden="1">
      <c r="E1624" s="97" t="s">
        <v>83</v>
      </c>
      <c r="F1624" s="105">
        <f>SUM(Compcta!CJ17:CL17)</f>
        <v>0</v>
      </c>
    </row>
    <row r="1625" spans="5:6" hidden="1">
      <c r="E1625" s="107" t="s">
        <v>85</v>
      </c>
      <c r="F1625" s="105">
        <f>SUM(Compcta!CJ18:CL18)</f>
        <v>0</v>
      </c>
    </row>
    <row r="1626" spans="5:6" hidden="1">
      <c r="E1626" s="97" t="s">
        <v>84</v>
      </c>
      <c r="F1626" s="105">
        <f>SUM(Compcta!CJ19:CL19)</f>
        <v>0</v>
      </c>
    </row>
    <row r="1627" spans="5:6" hidden="1">
      <c r="E1627" s="107" t="s">
        <v>86</v>
      </c>
      <c r="F1627" s="105">
        <f>SUM(Compcta!CJ20:CL20)</f>
        <v>0</v>
      </c>
    </row>
    <row r="1628" spans="5:6" hidden="1">
      <c r="E1628" s="97" t="s">
        <v>87</v>
      </c>
      <c r="F1628" s="105">
        <f>SUM(Compcta!CJ21:CL21)</f>
        <v>0</v>
      </c>
    </row>
    <row r="1629" spans="5:6" hidden="1">
      <c r="E1629" s="107" t="s">
        <v>101</v>
      </c>
      <c r="F1629" s="105">
        <f>SUM(Compcta!CJ22:CL22)</f>
        <v>0</v>
      </c>
    </row>
    <row r="1630" spans="5:6" hidden="1">
      <c r="E1630" s="97" t="s">
        <v>88</v>
      </c>
      <c r="F1630" s="105">
        <f>SUM(Compcta!CJ23:CL23)</f>
        <v>0</v>
      </c>
    </row>
    <row r="1631" spans="5:6" hidden="1">
      <c r="E1631" s="107" t="s">
        <v>89</v>
      </c>
      <c r="F1631" s="105">
        <f>SUM(Compcta!CJ24:CL24)</f>
        <v>0</v>
      </c>
    </row>
    <row r="1632" spans="5:6" hidden="1">
      <c r="E1632" s="97" t="s">
        <v>90</v>
      </c>
      <c r="F1632" s="105">
        <f>SUM(Compcta!CJ25:CL25)</f>
        <v>0</v>
      </c>
    </row>
    <row r="1633" spans="5:6" hidden="1">
      <c r="E1633" s="107" t="s">
        <v>93</v>
      </c>
      <c r="F1633" s="105">
        <f>SUM(Compcta!CJ26:CL26)</f>
        <v>0</v>
      </c>
    </row>
    <row r="1634" spans="5:6" hidden="1">
      <c r="E1634" s="97" t="s">
        <v>91</v>
      </c>
      <c r="F1634" s="105">
        <f>SUM(Compcta!CJ27:CL27)</f>
        <v>0</v>
      </c>
    </row>
    <row r="1635" spans="5:6" hidden="1">
      <c r="E1635" s="107" t="s">
        <v>92</v>
      </c>
      <c r="F1635" s="105">
        <f>SUM(Compcta!CJ28:CL28)</f>
        <v>0</v>
      </c>
    </row>
    <row r="1636" spans="5:6" hidden="1">
      <c r="F1636" s="278">
        <f>SUM(F1614:F1635)</f>
        <v>0</v>
      </c>
    </row>
    <row r="1637" spans="5:6" ht="20.25" hidden="1" thickBot="1">
      <c r="E1637" s="48" t="s">
        <v>1134</v>
      </c>
      <c r="F1637" s="48">
        <f>SUM(F1638:F1659)</f>
        <v>0</v>
      </c>
    </row>
    <row r="1638" spans="5:6" hidden="1">
      <c r="E1638" s="225" t="s">
        <v>74</v>
      </c>
      <c r="F1638" s="105">
        <f>SUM(Compcta!CO7:CQ7)</f>
        <v>0</v>
      </c>
    </row>
    <row r="1639" spans="5:6" hidden="1">
      <c r="E1639" s="107" t="s">
        <v>75</v>
      </c>
      <c r="F1639" s="105">
        <f>SUM(Compcta!CO8:CQ8)</f>
        <v>0</v>
      </c>
    </row>
    <row r="1640" spans="5:6" hidden="1">
      <c r="E1640" s="97" t="s">
        <v>76</v>
      </c>
      <c r="F1640" s="105">
        <f>SUM(Compcta!CO9:CQ9)</f>
        <v>0</v>
      </c>
    </row>
    <row r="1641" spans="5:6" hidden="1">
      <c r="E1641" s="107" t="s">
        <v>77</v>
      </c>
      <c r="F1641" s="105">
        <f>SUM(Compcta!CO10:CQ10)</f>
        <v>0</v>
      </c>
    </row>
    <row r="1642" spans="5:6" hidden="1">
      <c r="E1642" s="97" t="s">
        <v>100</v>
      </c>
      <c r="F1642" s="105">
        <f>SUM(Compcta!CO11:CQ11)</f>
        <v>0</v>
      </c>
    </row>
    <row r="1643" spans="5:6" hidden="1">
      <c r="E1643" s="107" t="s">
        <v>78</v>
      </c>
      <c r="F1643" s="105">
        <f>SUM(Compcta!CO12:CQ12)</f>
        <v>0</v>
      </c>
    </row>
    <row r="1644" spans="5:6" hidden="1">
      <c r="E1644" s="97" t="s">
        <v>79</v>
      </c>
      <c r="F1644" s="105">
        <f>SUM(Compcta!CO13:CQ13)</f>
        <v>0</v>
      </c>
    </row>
    <row r="1645" spans="5:6" hidden="1">
      <c r="E1645" s="107" t="s">
        <v>80</v>
      </c>
      <c r="F1645" s="105">
        <f>SUM(Compcta!CO14:CQ14)</f>
        <v>0</v>
      </c>
    </row>
    <row r="1646" spans="5:6" hidden="1">
      <c r="E1646" s="97" t="s">
        <v>81</v>
      </c>
      <c r="F1646" s="105">
        <f>SUM(Compcta!CO15:CQ15)</f>
        <v>0</v>
      </c>
    </row>
    <row r="1647" spans="5:6" hidden="1">
      <c r="E1647" s="107" t="s">
        <v>82</v>
      </c>
      <c r="F1647" s="105">
        <f>SUM(Compcta!CO16:CQ16)</f>
        <v>0</v>
      </c>
    </row>
    <row r="1648" spans="5:6" hidden="1">
      <c r="E1648" s="97" t="s">
        <v>83</v>
      </c>
      <c r="F1648" s="105">
        <f>SUM(Compcta!CO17:CQ17)</f>
        <v>0</v>
      </c>
    </row>
    <row r="1649" spans="5:6" hidden="1">
      <c r="E1649" s="107" t="s">
        <v>85</v>
      </c>
      <c r="F1649" s="105">
        <f>SUM(Compcta!CO18:CQ18)</f>
        <v>0</v>
      </c>
    </row>
    <row r="1650" spans="5:6" hidden="1">
      <c r="E1650" s="97" t="s">
        <v>84</v>
      </c>
      <c r="F1650" s="105">
        <f>SUM(Compcta!CO19:CQ19)</f>
        <v>0</v>
      </c>
    </row>
    <row r="1651" spans="5:6" hidden="1">
      <c r="E1651" s="107" t="s">
        <v>86</v>
      </c>
      <c r="F1651" s="105">
        <f>SUM(Compcta!CO20:CQ20)</f>
        <v>0</v>
      </c>
    </row>
    <row r="1652" spans="5:6" hidden="1">
      <c r="E1652" s="97" t="s">
        <v>87</v>
      </c>
      <c r="F1652" s="105">
        <f>SUM(Compcta!CO21:CQ21)</f>
        <v>0</v>
      </c>
    </row>
    <row r="1653" spans="5:6" hidden="1">
      <c r="E1653" s="107" t="s">
        <v>101</v>
      </c>
      <c r="F1653" s="105">
        <f>SUM(Compcta!CO22:CQ22)</f>
        <v>0</v>
      </c>
    </row>
    <row r="1654" spans="5:6" hidden="1">
      <c r="E1654" s="97" t="s">
        <v>88</v>
      </c>
      <c r="F1654" s="105">
        <f>SUM(Compcta!CO23:CQ23)</f>
        <v>0</v>
      </c>
    </row>
    <row r="1655" spans="5:6" hidden="1">
      <c r="E1655" s="107" t="s">
        <v>89</v>
      </c>
      <c r="F1655" s="105">
        <f>SUM(Compcta!CO24:CQ24)</f>
        <v>0</v>
      </c>
    </row>
    <row r="1656" spans="5:6" hidden="1">
      <c r="E1656" s="97" t="s">
        <v>90</v>
      </c>
      <c r="F1656" s="105">
        <f>SUM(Compcta!CO25:CQ25)</f>
        <v>0</v>
      </c>
    </row>
    <row r="1657" spans="5:6" hidden="1">
      <c r="E1657" s="107" t="s">
        <v>93</v>
      </c>
      <c r="F1657" s="105">
        <f>SUM(Compcta!CO26:CQ26)</f>
        <v>0</v>
      </c>
    </row>
    <row r="1658" spans="5:6" hidden="1">
      <c r="E1658" s="97" t="s">
        <v>91</v>
      </c>
      <c r="F1658" s="105">
        <f>SUM(Compcta!CO27:CQ27)</f>
        <v>0</v>
      </c>
    </row>
    <row r="1659" spans="5:6" hidden="1">
      <c r="E1659" s="107" t="s">
        <v>92</v>
      </c>
      <c r="F1659" s="105">
        <f>SUM(Compcta!CO28:CQ28)</f>
        <v>0</v>
      </c>
    </row>
    <row r="1660" spans="5:6" hidden="1">
      <c r="F1660" s="278">
        <f>SUM(F1638:F1659)</f>
        <v>0</v>
      </c>
    </row>
    <row r="1661" spans="5:6" ht="20.25" hidden="1" thickBot="1">
      <c r="E1661" s="48" t="s">
        <v>1135</v>
      </c>
      <c r="F1661" s="48">
        <f>SUM(F1662:F1683)</f>
        <v>0</v>
      </c>
    </row>
    <row r="1662" spans="5:6" hidden="1">
      <c r="E1662" s="225" t="s">
        <v>74</v>
      </c>
      <c r="F1662" s="105">
        <f>SUM(Compcta!CT7:CV7)</f>
        <v>0</v>
      </c>
    </row>
    <row r="1663" spans="5:6" hidden="1">
      <c r="E1663" s="107" t="s">
        <v>75</v>
      </c>
      <c r="F1663" s="105">
        <f>SUM(Compcta!CT8:CV8)</f>
        <v>0</v>
      </c>
    </row>
    <row r="1664" spans="5:6" hidden="1">
      <c r="E1664" s="97" t="s">
        <v>76</v>
      </c>
      <c r="F1664" s="105">
        <f>SUM(Compcta!CT9:CV9)</f>
        <v>0</v>
      </c>
    </row>
    <row r="1665" spans="5:6" hidden="1">
      <c r="E1665" s="107" t="s">
        <v>77</v>
      </c>
      <c r="F1665" s="105">
        <f>SUM(Compcta!CT10:CV10)</f>
        <v>0</v>
      </c>
    </row>
    <row r="1666" spans="5:6" hidden="1">
      <c r="E1666" s="97" t="s">
        <v>100</v>
      </c>
      <c r="F1666" s="105">
        <f>SUM(Compcta!CT11:CV11)</f>
        <v>0</v>
      </c>
    </row>
    <row r="1667" spans="5:6" hidden="1">
      <c r="E1667" s="107" t="s">
        <v>78</v>
      </c>
      <c r="F1667" s="105">
        <f>SUM(Compcta!CT12:CV12)</f>
        <v>0</v>
      </c>
    </row>
    <row r="1668" spans="5:6" hidden="1">
      <c r="E1668" s="97" t="s">
        <v>79</v>
      </c>
      <c r="F1668" s="105">
        <f>SUM(Compcta!CT13:CV13)</f>
        <v>0</v>
      </c>
    </row>
    <row r="1669" spans="5:6" hidden="1">
      <c r="E1669" s="107" t="s">
        <v>80</v>
      </c>
      <c r="F1669" s="105">
        <f>SUM(Compcta!CT14:CV14)</f>
        <v>0</v>
      </c>
    </row>
    <row r="1670" spans="5:6" hidden="1">
      <c r="E1670" s="97" t="s">
        <v>81</v>
      </c>
      <c r="F1670" s="105">
        <f>SUM(Compcta!CT15:CV15)</f>
        <v>0</v>
      </c>
    </row>
    <row r="1671" spans="5:6" hidden="1">
      <c r="E1671" s="107" t="s">
        <v>82</v>
      </c>
      <c r="F1671" s="105">
        <f>SUM(Compcta!CT16:CV16)</f>
        <v>0</v>
      </c>
    </row>
    <row r="1672" spans="5:6" hidden="1">
      <c r="E1672" s="97" t="s">
        <v>83</v>
      </c>
      <c r="F1672" s="105">
        <f>SUM(Compcta!CT17:CV17)</f>
        <v>0</v>
      </c>
    </row>
    <row r="1673" spans="5:6" hidden="1">
      <c r="E1673" s="107" t="s">
        <v>85</v>
      </c>
      <c r="F1673" s="105">
        <f>SUM(Compcta!CT18:CV18)</f>
        <v>0</v>
      </c>
    </row>
    <row r="1674" spans="5:6" hidden="1">
      <c r="E1674" s="97" t="s">
        <v>84</v>
      </c>
      <c r="F1674" s="105">
        <f>SUM(Compcta!CT19:CV19)</f>
        <v>0</v>
      </c>
    </row>
    <row r="1675" spans="5:6" hidden="1">
      <c r="E1675" s="107" t="s">
        <v>86</v>
      </c>
      <c r="F1675" s="105">
        <f>SUM(Compcta!CT20:CV20)</f>
        <v>0</v>
      </c>
    </row>
    <row r="1676" spans="5:6" hidden="1">
      <c r="E1676" s="97" t="s">
        <v>87</v>
      </c>
      <c r="F1676" s="105">
        <f>SUM(Compcta!CT21:CV21)</f>
        <v>0</v>
      </c>
    </row>
    <row r="1677" spans="5:6" hidden="1">
      <c r="E1677" s="107" t="s">
        <v>101</v>
      </c>
      <c r="F1677" s="105">
        <f>SUM(Compcta!CT22:CV22)</f>
        <v>0</v>
      </c>
    </row>
    <row r="1678" spans="5:6" hidden="1">
      <c r="E1678" s="97" t="s">
        <v>88</v>
      </c>
      <c r="F1678" s="105">
        <f>SUM(Compcta!CT23:CV23)</f>
        <v>0</v>
      </c>
    </row>
    <row r="1679" spans="5:6" hidden="1">
      <c r="E1679" s="107" t="s">
        <v>89</v>
      </c>
      <c r="F1679" s="105">
        <f>SUM(Compcta!CT24:CV24)</f>
        <v>0</v>
      </c>
    </row>
    <row r="1680" spans="5:6" hidden="1">
      <c r="E1680" s="97" t="s">
        <v>90</v>
      </c>
      <c r="F1680" s="105">
        <f>SUM(Compcta!CT25:CV25)</f>
        <v>0</v>
      </c>
    </row>
    <row r="1681" spans="5:6" hidden="1">
      <c r="E1681" s="107" t="s">
        <v>93</v>
      </c>
      <c r="F1681" s="105">
        <f>SUM(Compcta!CT26:CV26)</f>
        <v>0</v>
      </c>
    </row>
    <row r="1682" spans="5:6" hidden="1">
      <c r="E1682" s="97" t="s">
        <v>91</v>
      </c>
      <c r="F1682" s="105">
        <f>SUM(Compcta!CT27:CV27)</f>
        <v>0</v>
      </c>
    </row>
    <row r="1683" spans="5:6" hidden="1">
      <c r="E1683" s="107" t="s">
        <v>92</v>
      </c>
      <c r="F1683" s="105">
        <f>SUM(Compcta!CT28:CV28)</f>
        <v>0</v>
      </c>
    </row>
    <row r="1684" spans="5:6" hidden="1">
      <c r="F1684" s="278">
        <f>SUM(F1662:F1683)</f>
        <v>0</v>
      </c>
    </row>
    <row r="1685" spans="5:6" ht="20.25" hidden="1" thickBot="1">
      <c r="E1685" s="48" t="s">
        <v>560</v>
      </c>
      <c r="F1685" s="48">
        <f>SUM(F1686:F1707)</f>
        <v>0</v>
      </c>
    </row>
    <row r="1686" spans="5:6" hidden="1">
      <c r="E1686" s="225" t="s">
        <v>74</v>
      </c>
      <c r="F1686" s="105">
        <f>SUM(Compcta!CY7:DA7)</f>
        <v>0</v>
      </c>
    </row>
    <row r="1687" spans="5:6" hidden="1">
      <c r="E1687" s="107" t="s">
        <v>75</v>
      </c>
      <c r="F1687" s="105">
        <f>SUM(Compcta!CY8:DA8)</f>
        <v>0</v>
      </c>
    </row>
    <row r="1688" spans="5:6" hidden="1">
      <c r="E1688" s="97" t="s">
        <v>76</v>
      </c>
      <c r="F1688" s="105">
        <f>SUM(Compcta!CY9:DA9)</f>
        <v>0</v>
      </c>
    </row>
    <row r="1689" spans="5:6" hidden="1">
      <c r="E1689" s="107" t="s">
        <v>77</v>
      </c>
      <c r="F1689" s="105">
        <f>SUM(Compcta!CY10:DA10)</f>
        <v>0</v>
      </c>
    </row>
    <row r="1690" spans="5:6" hidden="1">
      <c r="E1690" s="97" t="s">
        <v>100</v>
      </c>
      <c r="F1690" s="105">
        <f>SUM(Compcta!CY11:DA11)</f>
        <v>0</v>
      </c>
    </row>
    <row r="1691" spans="5:6" hidden="1">
      <c r="E1691" s="107" t="s">
        <v>78</v>
      </c>
      <c r="F1691" s="105">
        <f>SUM(Compcta!CY12:DA12)</f>
        <v>0</v>
      </c>
    </row>
    <row r="1692" spans="5:6" hidden="1">
      <c r="E1692" s="97" t="s">
        <v>79</v>
      </c>
      <c r="F1692" s="105">
        <f>SUM(Compcta!CY13:DA13)</f>
        <v>0</v>
      </c>
    </row>
    <row r="1693" spans="5:6" hidden="1">
      <c r="E1693" s="107" t="s">
        <v>80</v>
      </c>
      <c r="F1693" s="105">
        <f>SUM(Compcta!CY14:DA14)</f>
        <v>0</v>
      </c>
    </row>
    <row r="1694" spans="5:6" hidden="1">
      <c r="E1694" s="97" t="s">
        <v>81</v>
      </c>
      <c r="F1694" s="105">
        <f>SUM(Compcta!CY15:DA15)</f>
        <v>0</v>
      </c>
    </row>
    <row r="1695" spans="5:6" hidden="1">
      <c r="E1695" s="107" t="s">
        <v>82</v>
      </c>
      <c r="F1695" s="105">
        <f>SUM(Compcta!CY16:DA16)</f>
        <v>0</v>
      </c>
    </row>
    <row r="1696" spans="5:6" hidden="1">
      <c r="E1696" s="97" t="s">
        <v>83</v>
      </c>
      <c r="F1696" s="105">
        <f>SUM(Compcta!CY17:DA17)</f>
        <v>0</v>
      </c>
    </row>
    <row r="1697" spans="5:6" hidden="1">
      <c r="E1697" s="107" t="s">
        <v>85</v>
      </c>
      <c r="F1697" s="105">
        <f>SUM(Compcta!CY18:DA18)</f>
        <v>0</v>
      </c>
    </row>
    <row r="1698" spans="5:6" hidden="1">
      <c r="E1698" s="97" t="s">
        <v>84</v>
      </c>
      <c r="F1698" s="105">
        <f>SUM(Compcta!CY19:DA19)</f>
        <v>0</v>
      </c>
    </row>
    <row r="1699" spans="5:6" hidden="1">
      <c r="E1699" s="107" t="s">
        <v>86</v>
      </c>
      <c r="F1699" s="105">
        <f>SUM(Compcta!CY20:DA20)</f>
        <v>0</v>
      </c>
    </row>
    <row r="1700" spans="5:6" hidden="1">
      <c r="E1700" s="97" t="s">
        <v>87</v>
      </c>
      <c r="F1700" s="105">
        <f>SUM(Compcta!CY21:DA21)</f>
        <v>0</v>
      </c>
    </row>
    <row r="1701" spans="5:6" hidden="1">
      <c r="E1701" s="107" t="s">
        <v>101</v>
      </c>
      <c r="F1701" s="105">
        <f>SUM(Compcta!CY22:DA22)</f>
        <v>0</v>
      </c>
    </row>
    <row r="1702" spans="5:6" hidden="1">
      <c r="E1702" s="97" t="s">
        <v>88</v>
      </c>
      <c r="F1702" s="105">
        <f>SUM(Compcta!CY23:DA23)</f>
        <v>0</v>
      </c>
    </row>
    <row r="1703" spans="5:6" hidden="1">
      <c r="E1703" s="107" t="s">
        <v>89</v>
      </c>
      <c r="F1703" s="105">
        <f>SUM(Compcta!CY24:DA24)</f>
        <v>0</v>
      </c>
    </row>
    <row r="1704" spans="5:6" hidden="1">
      <c r="E1704" s="97" t="s">
        <v>90</v>
      </c>
      <c r="F1704" s="105">
        <f>SUM(Compcta!CY25:DA25)</f>
        <v>0</v>
      </c>
    </row>
    <row r="1705" spans="5:6" hidden="1">
      <c r="E1705" s="107" t="s">
        <v>93</v>
      </c>
      <c r="F1705" s="105">
        <f>SUM(Compcta!CY26:DA26)</f>
        <v>0</v>
      </c>
    </row>
    <row r="1706" spans="5:6" hidden="1">
      <c r="E1706" s="97" t="s">
        <v>91</v>
      </c>
      <c r="F1706" s="105">
        <f>SUM(Compcta!CY27:DA27)</f>
        <v>0</v>
      </c>
    </row>
    <row r="1707" spans="5:6" hidden="1">
      <c r="E1707" s="107" t="s">
        <v>92</v>
      </c>
      <c r="F1707" s="105">
        <f>SUM(Compcta!CY28:DA28)</f>
        <v>0</v>
      </c>
    </row>
    <row r="1708" spans="5:6" hidden="1">
      <c r="F1708" s="278">
        <f>SUM(F1686:F1707)</f>
        <v>0</v>
      </c>
    </row>
    <row r="1709" spans="5:6" ht="20.25" hidden="1" thickBot="1">
      <c r="E1709" s="48" t="s">
        <v>1136</v>
      </c>
      <c r="F1709" s="48">
        <f>SUM(F1710:F1731)</f>
        <v>0</v>
      </c>
    </row>
    <row r="1710" spans="5:6" hidden="1">
      <c r="E1710" s="225" t="s">
        <v>74</v>
      </c>
      <c r="F1710" s="105">
        <f>SUM(Compcta!DD7:DF7)</f>
        <v>0</v>
      </c>
    </row>
    <row r="1711" spans="5:6" hidden="1">
      <c r="E1711" s="107" t="s">
        <v>75</v>
      </c>
      <c r="F1711" s="105">
        <f>SUM(Compcta!DD8:DF8)</f>
        <v>0</v>
      </c>
    </row>
    <row r="1712" spans="5:6" hidden="1">
      <c r="E1712" s="97" t="s">
        <v>76</v>
      </c>
      <c r="F1712" s="105">
        <f>SUM(Compcta!DD9:DF9)</f>
        <v>0</v>
      </c>
    </row>
    <row r="1713" spans="5:6" hidden="1">
      <c r="E1713" s="107" t="s">
        <v>77</v>
      </c>
      <c r="F1713" s="105">
        <f>SUM(Compcta!DD10:DF10)</f>
        <v>0</v>
      </c>
    </row>
    <row r="1714" spans="5:6" hidden="1">
      <c r="E1714" s="97" t="s">
        <v>100</v>
      </c>
      <c r="F1714" s="105">
        <f>SUM(Compcta!DD11:DF11)</f>
        <v>0</v>
      </c>
    </row>
    <row r="1715" spans="5:6" hidden="1">
      <c r="E1715" s="107" t="s">
        <v>78</v>
      </c>
      <c r="F1715" s="105">
        <f>SUM(Compcta!DD12:DF12)</f>
        <v>0</v>
      </c>
    </row>
    <row r="1716" spans="5:6" hidden="1">
      <c r="E1716" s="97" t="s">
        <v>79</v>
      </c>
      <c r="F1716" s="105">
        <f>SUM(Compcta!DD13:DF13)</f>
        <v>0</v>
      </c>
    </row>
    <row r="1717" spans="5:6" hidden="1">
      <c r="E1717" s="107" t="s">
        <v>80</v>
      </c>
      <c r="F1717" s="105">
        <f>SUM(Compcta!DD14:DF14)</f>
        <v>0</v>
      </c>
    </row>
    <row r="1718" spans="5:6" hidden="1">
      <c r="E1718" s="97" t="s">
        <v>81</v>
      </c>
      <c r="F1718" s="105">
        <f>SUM(Compcta!DD15:DF15)</f>
        <v>0</v>
      </c>
    </row>
    <row r="1719" spans="5:6" hidden="1">
      <c r="E1719" s="107" t="s">
        <v>82</v>
      </c>
      <c r="F1719" s="105">
        <f>SUM(Compcta!DD16:DF16)</f>
        <v>0</v>
      </c>
    </row>
    <row r="1720" spans="5:6" hidden="1">
      <c r="E1720" s="97" t="s">
        <v>83</v>
      </c>
      <c r="F1720" s="105">
        <f>SUM(Compcta!DD17:DF17)</f>
        <v>0</v>
      </c>
    </row>
    <row r="1721" spans="5:6" hidden="1">
      <c r="E1721" s="107" t="s">
        <v>85</v>
      </c>
      <c r="F1721" s="105">
        <f>SUM(Compcta!DD18:DF18)</f>
        <v>0</v>
      </c>
    </row>
    <row r="1722" spans="5:6" hidden="1">
      <c r="E1722" s="97" t="s">
        <v>84</v>
      </c>
      <c r="F1722" s="105">
        <f>SUM(Compcta!DD19:DF19)</f>
        <v>0</v>
      </c>
    </row>
    <row r="1723" spans="5:6" hidden="1">
      <c r="E1723" s="107" t="s">
        <v>86</v>
      </c>
      <c r="F1723" s="105">
        <f>SUM(Compcta!DD20:DF20)</f>
        <v>0</v>
      </c>
    </row>
    <row r="1724" spans="5:6" hidden="1">
      <c r="E1724" s="97" t="s">
        <v>87</v>
      </c>
      <c r="F1724" s="105">
        <f>SUM(Compcta!DD21:DF21)</f>
        <v>0</v>
      </c>
    </row>
    <row r="1725" spans="5:6" hidden="1">
      <c r="E1725" s="107" t="s">
        <v>101</v>
      </c>
      <c r="F1725" s="105">
        <f>SUM(Compcta!DD22:DF22)</f>
        <v>0</v>
      </c>
    </row>
    <row r="1726" spans="5:6" hidden="1">
      <c r="E1726" s="97" t="s">
        <v>88</v>
      </c>
      <c r="F1726" s="105">
        <f>SUM(Compcta!DD23:DF23)</f>
        <v>0</v>
      </c>
    </row>
    <row r="1727" spans="5:6" hidden="1">
      <c r="E1727" s="107" t="s">
        <v>89</v>
      </c>
      <c r="F1727" s="105">
        <f>SUM(Compcta!DD24:DF24)</f>
        <v>0</v>
      </c>
    </row>
    <row r="1728" spans="5:6" hidden="1">
      <c r="E1728" s="97" t="s">
        <v>90</v>
      </c>
      <c r="F1728" s="105">
        <f>SUM(Compcta!DD25:DF25)</f>
        <v>0</v>
      </c>
    </row>
    <row r="1729" spans="5:6" hidden="1">
      <c r="E1729" s="107" t="s">
        <v>93</v>
      </c>
      <c r="F1729" s="105">
        <f>SUM(Compcta!DD26:DF26)</f>
        <v>0</v>
      </c>
    </row>
    <row r="1730" spans="5:6" hidden="1">
      <c r="E1730" s="97" t="s">
        <v>91</v>
      </c>
      <c r="F1730" s="105">
        <f>SUM(Compcta!DD27:DF27)</f>
        <v>0</v>
      </c>
    </row>
    <row r="1731" spans="5:6" hidden="1">
      <c r="E1731" s="107" t="s">
        <v>92</v>
      </c>
      <c r="F1731" s="105">
        <f>SUM(Compcta!DD28:DF28)</f>
        <v>0</v>
      </c>
    </row>
    <row r="1732" spans="5:6" hidden="1">
      <c r="F1732" s="278">
        <f>SUM(F1710:F1731)</f>
        <v>0</v>
      </c>
    </row>
    <row r="1733" spans="5:6" ht="20.25" hidden="1" thickBot="1">
      <c r="E1733" s="48" t="s">
        <v>1137</v>
      </c>
      <c r="F1733" s="48">
        <f>SUM(F1734:F1755)</f>
        <v>0</v>
      </c>
    </row>
    <row r="1734" spans="5:6" hidden="1">
      <c r="E1734" s="225" t="s">
        <v>74</v>
      </c>
      <c r="F1734" s="105">
        <f>SUM(Compcta!DI7:DK7)</f>
        <v>0</v>
      </c>
    </row>
    <row r="1735" spans="5:6" hidden="1">
      <c r="E1735" s="107" t="s">
        <v>75</v>
      </c>
      <c r="F1735" s="105">
        <f>SUM(Compcta!DI8:DK8)</f>
        <v>0</v>
      </c>
    </row>
    <row r="1736" spans="5:6" hidden="1">
      <c r="E1736" s="97" t="s">
        <v>76</v>
      </c>
      <c r="F1736" s="105">
        <f>SUM(Compcta!DI9:DK9)</f>
        <v>0</v>
      </c>
    </row>
    <row r="1737" spans="5:6" hidden="1">
      <c r="E1737" s="107" t="s">
        <v>77</v>
      </c>
      <c r="F1737" s="105">
        <f>SUM(Compcta!DI10:DK10)</f>
        <v>0</v>
      </c>
    </row>
    <row r="1738" spans="5:6" hidden="1">
      <c r="E1738" s="97" t="s">
        <v>100</v>
      </c>
      <c r="F1738" s="105">
        <f>SUM(Compcta!DI11:DK11)</f>
        <v>0</v>
      </c>
    </row>
    <row r="1739" spans="5:6" hidden="1">
      <c r="E1739" s="107" t="s">
        <v>78</v>
      </c>
      <c r="F1739" s="105">
        <f>SUM(Compcta!DI12:DK12)</f>
        <v>0</v>
      </c>
    </row>
    <row r="1740" spans="5:6" hidden="1">
      <c r="E1740" s="97" t="s">
        <v>79</v>
      </c>
      <c r="F1740" s="105">
        <f>SUM(Compcta!DI13:DK13)</f>
        <v>0</v>
      </c>
    </row>
    <row r="1741" spans="5:6" hidden="1">
      <c r="E1741" s="107" t="s">
        <v>80</v>
      </c>
      <c r="F1741" s="105">
        <f>SUM(Compcta!DI14:DK14)</f>
        <v>0</v>
      </c>
    </row>
    <row r="1742" spans="5:6" hidden="1">
      <c r="E1742" s="97" t="s">
        <v>81</v>
      </c>
      <c r="F1742" s="105">
        <f>SUM(Compcta!DI15:DK15)</f>
        <v>0</v>
      </c>
    </row>
    <row r="1743" spans="5:6" hidden="1">
      <c r="E1743" s="107" t="s">
        <v>82</v>
      </c>
      <c r="F1743" s="105">
        <f>SUM(Compcta!DI16:DK16)</f>
        <v>0</v>
      </c>
    </row>
    <row r="1744" spans="5:6" hidden="1">
      <c r="E1744" s="97" t="s">
        <v>83</v>
      </c>
      <c r="F1744" s="105">
        <f>SUM(Compcta!DI17:DK17)</f>
        <v>0</v>
      </c>
    </row>
    <row r="1745" spans="5:6" hidden="1">
      <c r="E1745" s="107" t="s">
        <v>85</v>
      </c>
      <c r="F1745" s="105">
        <f>SUM(Compcta!DI18:DK18)</f>
        <v>0</v>
      </c>
    </row>
    <row r="1746" spans="5:6" hidden="1">
      <c r="E1746" s="97" t="s">
        <v>84</v>
      </c>
      <c r="F1746" s="105">
        <f>SUM(Compcta!DI19:DK19)</f>
        <v>0</v>
      </c>
    </row>
    <row r="1747" spans="5:6" hidden="1">
      <c r="E1747" s="107" t="s">
        <v>86</v>
      </c>
      <c r="F1747" s="105">
        <f>SUM(Compcta!DI20:DK20)</f>
        <v>0</v>
      </c>
    </row>
    <row r="1748" spans="5:6" hidden="1">
      <c r="E1748" s="97" t="s">
        <v>87</v>
      </c>
      <c r="F1748" s="105">
        <f>SUM(Compcta!DI21:DK21)</f>
        <v>0</v>
      </c>
    </row>
    <row r="1749" spans="5:6" hidden="1">
      <c r="E1749" s="107" t="s">
        <v>101</v>
      </c>
      <c r="F1749" s="105">
        <f>SUM(Compcta!DI22:DK22)</f>
        <v>0</v>
      </c>
    </row>
    <row r="1750" spans="5:6" hidden="1">
      <c r="E1750" s="97" t="s">
        <v>88</v>
      </c>
      <c r="F1750" s="105">
        <f>SUM(Compcta!DI23:DK23)</f>
        <v>0</v>
      </c>
    </row>
    <row r="1751" spans="5:6" hidden="1">
      <c r="E1751" s="107" t="s">
        <v>89</v>
      </c>
      <c r="F1751" s="105">
        <f>SUM(Compcta!DI24:DK24)</f>
        <v>0</v>
      </c>
    </row>
    <row r="1752" spans="5:6" hidden="1">
      <c r="E1752" s="97" t="s">
        <v>90</v>
      </c>
      <c r="F1752" s="105">
        <f>SUM(Compcta!DI25:DK25)</f>
        <v>0</v>
      </c>
    </row>
    <row r="1753" spans="5:6" hidden="1">
      <c r="E1753" s="107" t="s">
        <v>93</v>
      </c>
      <c r="F1753" s="105">
        <f>SUM(Compcta!DI26:DK26)</f>
        <v>0</v>
      </c>
    </row>
    <row r="1754" spans="5:6" hidden="1">
      <c r="E1754" s="97" t="s">
        <v>91</v>
      </c>
      <c r="F1754" s="105">
        <f>SUM(Compcta!DI27:DK27)</f>
        <v>0</v>
      </c>
    </row>
    <row r="1755" spans="5:6" hidden="1">
      <c r="E1755" s="107" t="s">
        <v>92</v>
      </c>
      <c r="F1755" s="105">
        <f>SUM(Compcta!DI28:DK28)</f>
        <v>0</v>
      </c>
    </row>
    <row r="1756" spans="5:6" hidden="1">
      <c r="F1756" s="278">
        <f>SUM(F1734:F1755)</f>
        <v>0</v>
      </c>
    </row>
    <row r="1757" spans="5:6" ht="20.25" hidden="1" thickBot="1">
      <c r="E1757" s="48" t="s">
        <v>1138</v>
      </c>
      <c r="F1757" s="48">
        <f>SUM(F1758:F1779)</f>
        <v>0</v>
      </c>
    </row>
    <row r="1758" spans="5:6" hidden="1">
      <c r="E1758" s="225" t="s">
        <v>74</v>
      </c>
      <c r="F1758" s="105">
        <f>SUM(Compcta!DN7:DP7)</f>
        <v>0</v>
      </c>
    </row>
    <row r="1759" spans="5:6" hidden="1">
      <c r="E1759" s="107" t="s">
        <v>75</v>
      </c>
      <c r="F1759" s="105">
        <f>SUM(Compcta!DN8:DP8)</f>
        <v>0</v>
      </c>
    </row>
    <row r="1760" spans="5:6" hidden="1">
      <c r="E1760" s="97" t="s">
        <v>76</v>
      </c>
      <c r="F1760" s="105">
        <f>SUM(Compcta!DN9:DP9)</f>
        <v>0</v>
      </c>
    </row>
    <row r="1761" spans="5:6" hidden="1">
      <c r="E1761" s="107" t="s">
        <v>77</v>
      </c>
      <c r="F1761" s="105">
        <f>SUM(Compcta!DN10:DP10)</f>
        <v>0</v>
      </c>
    </row>
    <row r="1762" spans="5:6" hidden="1">
      <c r="E1762" s="97" t="s">
        <v>100</v>
      </c>
      <c r="F1762" s="105">
        <f>SUM(Compcta!DN11:DP11)</f>
        <v>0</v>
      </c>
    </row>
    <row r="1763" spans="5:6" hidden="1">
      <c r="E1763" s="107" t="s">
        <v>78</v>
      </c>
      <c r="F1763" s="105">
        <f>SUM(Compcta!DN12:DP12)</f>
        <v>0</v>
      </c>
    </row>
    <row r="1764" spans="5:6" hidden="1">
      <c r="E1764" s="97" t="s">
        <v>79</v>
      </c>
      <c r="F1764" s="105">
        <f>SUM(Compcta!DN13:DP13)</f>
        <v>0</v>
      </c>
    </row>
    <row r="1765" spans="5:6" hidden="1">
      <c r="E1765" s="107" t="s">
        <v>80</v>
      </c>
      <c r="F1765" s="105">
        <f>SUM(Compcta!DN14:DP14)</f>
        <v>0</v>
      </c>
    </row>
    <row r="1766" spans="5:6" hidden="1">
      <c r="E1766" s="97" t="s">
        <v>81</v>
      </c>
      <c r="F1766" s="105">
        <f>SUM(Compcta!DN15:DP15)</f>
        <v>0</v>
      </c>
    </row>
    <row r="1767" spans="5:6" hidden="1">
      <c r="E1767" s="107" t="s">
        <v>82</v>
      </c>
      <c r="F1767" s="105">
        <f>SUM(Compcta!DN16:DP16)</f>
        <v>0</v>
      </c>
    </row>
    <row r="1768" spans="5:6" hidden="1">
      <c r="E1768" s="97" t="s">
        <v>83</v>
      </c>
      <c r="F1768" s="105">
        <f>SUM(Compcta!DN17:DP17)</f>
        <v>0</v>
      </c>
    </row>
    <row r="1769" spans="5:6" hidden="1">
      <c r="E1769" s="107" t="s">
        <v>85</v>
      </c>
      <c r="F1769" s="105">
        <f>SUM(Compcta!DN18:DP18)</f>
        <v>0</v>
      </c>
    </row>
    <row r="1770" spans="5:6" hidden="1">
      <c r="E1770" s="97" t="s">
        <v>84</v>
      </c>
      <c r="F1770" s="105">
        <f>SUM(Compcta!DN19:DP19)</f>
        <v>0</v>
      </c>
    </row>
    <row r="1771" spans="5:6" hidden="1">
      <c r="E1771" s="107" t="s">
        <v>86</v>
      </c>
      <c r="F1771" s="105">
        <f>SUM(Compcta!DN20:DP20)</f>
        <v>0</v>
      </c>
    </row>
    <row r="1772" spans="5:6" hidden="1">
      <c r="E1772" s="97" t="s">
        <v>87</v>
      </c>
      <c r="F1772" s="105">
        <f>SUM(Compcta!DN21:DP21)</f>
        <v>0</v>
      </c>
    </row>
    <row r="1773" spans="5:6" hidden="1">
      <c r="E1773" s="107" t="s">
        <v>101</v>
      </c>
      <c r="F1773" s="105">
        <f>SUM(Compcta!DN22:DP22)</f>
        <v>0</v>
      </c>
    </row>
    <row r="1774" spans="5:6" hidden="1">
      <c r="E1774" s="97" t="s">
        <v>88</v>
      </c>
      <c r="F1774" s="105">
        <f>SUM(Compcta!DN23:DP23)</f>
        <v>0</v>
      </c>
    </row>
    <row r="1775" spans="5:6" hidden="1">
      <c r="E1775" s="107" t="s">
        <v>89</v>
      </c>
      <c r="F1775" s="105">
        <f>SUM(Compcta!DN24:DP24)</f>
        <v>0</v>
      </c>
    </row>
    <row r="1776" spans="5:6" hidden="1">
      <c r="E1776" s="97" t="s">
        <v>90</v>
      </c>
      <c r="F1776" s="105">
        <f>SUM(Compcta!DN25:DP25)</f>
        <v>0</v>
      </c>
    </row>
    <row r="1777" spans="5:6" hidden="1">
      <c r="E1777" s="107" t="s">
        <v>93</v>
      </c>
      <c r="F1777" s="105">
        <f>SUM(Compcta!DN26:DP26)</f>
        <v>0</v>
      </c>
    </row>
    <row r="1778" spans="5:6" hidden="1">
      <c r="E1778" s="97" t="s">
        <v>91</v>
      </c>
      <c r="F1778" s="105">
        <f>SUM(Compcta!DN27:DP27)</f>
        <v>0</v>
      </c>
    </row>
    <row r="1779" spans="5:6" hidden="1">
      <c r="E1779" s="107" t="s">
        <v>92</v>
      </c>
      <c r="F1779" s="105">
        <f>SUM(Compcta!DN28:DP28)</f>
        <v>0</v>
      </c>
    </row>
    <row r="1780" spans="5:6" hidden="1">
      <c r="F1780" s="278">
        <f>SUM(F1758:F1779)</f>
        <v>0</v>
      </c>
    </row>
    <row r="1781" spans="5:6" ht="20.25" hidden="1" thickBot="1">
      <c r="E1781" s="48" t="s">
        <v>1139</v>
      </c>
      <c r="F1781" s="48">
        <f>SUM(F1782:F1803)</f>
        <v>0</v>
      </c>
    </row>
    <row r="1782" spans="5:6" hidden="1">
      <c r="E1782" s="225" t="s">
        <v>74</v>
      </c>
      <c r="F1782" s="105">
        <f>SUM(Compcta!DS7:DU7)</f>
        <v>0</v>
      </c>
    </row>
    <row r="1783" spans="5:6" hidden="1">
      <c r="E1783" s="107" t="s">
        <v>75</v>
      </c>
      <c r="F1783" s="105">
        <f>SUM(Compcta!DS8:DU8)</f>
        <v>0</v>
      </c>
    </row>
    <row r="1784" spans="5:6" hidden="1">
      <c r="E1784" s="97" t="s">
        <v>76</v>
      </c>
      <c r="F1784" s="105">
        <f>SUM(Compcta!DS9:DU9)</f>
        <v>0</v>
      </c>
    </row>
    <row r="1785" spans="5:6" hidden="1">
      <c r="E1785" s="107" t="s">
        <v>77</v>
      </c>
      <c r="F1785" s="105">
        <f>SUM(Compcta!DS10:DU10)</f>
        <v>0</v>
      </c>
    </row>
    <row r="1786" spans="5:6" hidden="1">
      <c r="E1786" s="97" t="s">
        <v>100</v>
      </c>
      <c r="F1786" s="105">
        <f>SUM(Compcta!DS11:DU11)</f>
        <v>0</v>
      </c>
    </row>
    <row r="1787" spans="5:6" hidden="1">
      <c r="E1787" s="107" t="s">
        <v>78</v>
      </c>
      <c r="F1787" s="105">
        <f>SUM(Compcta!DS12:DU12)</f>
        <v>0</v>
      </c>
    </row>
    <row r="1788" spans="5:6" hidden="1">
      <c r="E1788" s="97" t="s">
        <v>79</v>
      </c>
      <c r="F1788" s="105">
        <f>SUM(Compcta!DS13:DU13)</f>
        <v>0</v>
      </c>
    </row>
    <row r="1789" spans="5:6" hidden="1">
      <c r="E1789" s="107" t="s">
        <v>80</v>
      </c>
      <c r="F1789" s="105">
        <f>SUM(Compcta!DS14:DU14)</f>
        <v>0</v>
      </c>
    </row>
    <row r="1790" spans="5:6" hidden="1">
      <c r="E1790" s="97" t="s">
        <v>81</v>
      </c>
      <c r="F1790" s="105">
        <f>SUM(Compcta!DS15:DU15)</f>
        <v>0</v>
      </c>
    </row>
    <row r="1791" spans="5:6" hidden="1">
      <c r="E1791" s="107" t="s">
        <v>82</v>
      </c>
      <c r="F1791" s="105">
        <f>SUM(Compcta!DS16:DU16)</f>
        <v>0</v>
      </c>
    </row>
    <row r="1792" spans="5:6" hidden="1">
      <c r="E1792" s="97" t="s">
        <v>83</v>
      </c>
      <c r="F1792" s="105">
        <f>SUM(Compcta!DS17:DU17)</f>
        <v>0</v>
      </c>
    </row>
    <row r="1793" spans="5:6" hidden="1">
      <c r="E1793" s="107" t="s">
        <v>85</v>
      </c>
      <c r="F1793" s="105">
        <f>SUM(Compcta!DS18:DU18)</f>
        <v>0</v>
      </c>
    </row>
    <row r="1794" spans="5:6" hidden="1">
      <c r="E1794" s="97" t="s">
        <v>84</v>
      </c>
      <c r="F1794" s="105">
        <f>SUM(Compcta!DS19:DU19)</f>
        <v>0</v>
      </c>
    </row>
    <row r="1795" spans="5:6" hidden="1">
      <c r="E1795" s="107" t="s">
        <v>86</v>
      </c>
      <c r="F1795" s="105">
        <f>SUM(Compcta!DS20:DU20)</f>
        <v>0</v>
      </c>
    </row>
    <row r="1796" spans="5:6" hidden="1">
      <c r="E1796" s="97" t="s">
        <v>87</v>
      </c>
      <c r="F1796" s="105">
        <f>SUM(Compcta!DS21:DU21)</f>
        <v>0</v>
      </c>
    </row>
    <row r="1797" spans="5:6" hidden="1">
      <c r="E1797" s="107" t="s">
        <v>101</v>
      </c>
      <c r="F1797" s="105">
        <f>SUM(Compcta!DS22:DU22)</f>
        <v>0</v>
      </c>
    </row>
    <row r="1798" spans="5:6" hidden="1">
      <c r="E1798" s="97" t="s">
        <v>88</v>
      </c>
      <c r="F1798" s="105">
        <f>SUM(Compcta!DS23:DU23)</f>
        <v>0</v>
      </c>
    </row>
    <row r="1799" spans="5:6" hidden="1">
      <c r="E1799" s="107" t="s">
        <v>89</v>
      </c>
      <c r="F1799" s="105">
        <f>SUM(Compcta!DS24:DU24)</f>
        <v>0</v>
      </c>
    </row>
    <row r="1800" spans="5:6" hidden="1">
      <c r="E1800" s="97" t="s">
        <v>90</v>
      </c>
      <c r="F1800" s="105">
        <f>SUM(Compcta!DS25:DU25)</f>
        <v>0</v>
      </c>
    </row>
    <row r="1801" spans="5:6" hidden="1">
      <c r="E1801" s="107" t="s">
        <v>93</v>
      </c>
      <c r="F1801" s="105">
        <f>SUM(Compcta!DS26:DU26)</f>
        <v>0</v>
      </c>
    </row>
    <row r="1802" spans="5:6" hidden="1">
      <c r="E1802" s="97" t="s">
        <v>91</v>
      </c>
      <c r="F1802" s="105">
        <f>SUM(Compcta!DS27:DU27)</f>
        <v>0</v>
      </c>
    </row>
    <row r="1803" spans="5:6" hidden="1">
      <c r="E1803" s="107" t="s">
        <v>92</v>
      </c>
      <c r="F1803" s="105">
        <f>SUM(Compcta!DS28:DU28)</f>
        <v>0</v>
      </c>
    </row>
    <row r="1804" spans="5:6" hidden="1">
      <c r="F1804" s="278">
        <f>SUM(F1782:F1803)</f>
        <v>0</v>
      </c>
    </row>
    <row r="1805" spans="5:6" ht="20.25" hidden="1" thickBot="1">
      <c r="E1805" s="48" t="s">
        <v>1140</v>
      </c>
      <c r="F1805" s="48">
        <f>SUM(F1806:F1827)</f>
        <v>0</v>
      </c>
    </row>
    <row r="1806" spans="5:6" hidden="1">
      <c r="E1806" s="225" t="s">
        <v>74</v>
      </c>
      <c r="F1806" s="105">
        <f>SUM(Compcta!DX7:DZ7)</f>
        <v>0</v>
      </c>
    </row>
    <row r="1807" spans="5:6" hidden="1">
      <c r="E1807" s="107" t="s">
        <v>75</v>
      </c>
      <c r="F1807" s="105">
        <f>SUM(Compcta!DX8:DZ8)</f>
        <v>0</v>
      </c>
    </row>
    <row r="1808" spans="5:6" hidden="1">
      <c r="E1808" s="97" t="s">
        <v>76</v>
      </c>
      <c r="F1808" s="105">
        <f>SUM(Compcta!DX9:DZ9)</f>
        <v>0</v>
      </c>
    </row>
    <row r="1809" spans="5:6" hidden="1">
      <c r="E1809" s="107" t="s">
        <v>77</v>
      </c>
      <c r="F1809" s="105">
        <f>SUM(Compcta!DX10:DZ10)</f>
        <v>0</v>
      </c>
    </row>
    <row r="1810" spans="5:6" hidden="1">
      <c r="E1810" s="97" t="s">
        <v>100</v>
      </c>
      <c r="F1810" s="105">
        <f>SUM(Compcta!DX11:DZ11)</f>
        <v>0</v>
      </c>
    </row>
    <row r="1811" spans="5:6" hidden="1">
      <c r="E1811" s="107" t="s">
        <v>78</v>
      </c>
      <c r="F1811" s="105">
        <f>SUM(Compcta!DX12:DZ12)</f>
        <v>0</v>
      </c>
    </row>
    <row r="1812" spans="5:6" hidden="1">
      <c r="E1812" s="97" t="s">
        <v>79</v>
      </c>
      <c r="F1812" s="105">
        <f>SUM(Compcta!DX13:DZ13)</f>
        <v>0</v>
      </c>
    </row>
    <row r="1813" spans="5:6" hidden="1">
      <c r="E1813" s="107" t="s">
        <v>80</v>
      </c>
      <c r="F1813" s="105">
        <f>SUM(Compcta!DX14:DZ14)</f>
        <v>0</v>
      </c>
    </row>
    <row r="1814" spans="5:6" hidden="1">
      <c r="E1814" s="97" t="s">
        <v>81</v>
      </c>
      <c r="F1814" s="105">
        <f>SUM(Compcta!DX15:DZ15)</f>
        <v>0</v>
      </c>
    </row>
    <row r="1815" spans="5:6" hidden="1">
      <c r="E1815" s="107" t="s">
        <v>82</v>
      </c>
      <c r="F1815" s="105">
        <f>SUM(Compcta!DX16:DZ16)</f>
        <v>0</v>
      </c>
    </row>
    <row r="1816" spans="5:6" hidden="1">
      <c r="E1816" s="97" t="s">
        <v>83</v>
      </c>
      <c r="F1816" s="105">
        <f>SUM(Compcta!DX17:DZ17)</f>
        <v>0</v>
      </c>
    </row>
    <row r="1817" spans="5:6" hidden="1">
      <c r="E1817" s="107" t="s">
        <v>85</v>
      </c>
      <c r="F1817" s="105">
        <f>SUM(Compcta!DX18:DZ18)</f>
        <v>0</v>
      </c>
    </row>
    <row r="1818" spans="5:6" hidden="1">
      <c r="E1818" s="97" t="s">
        <v>84</v>
      </c>
      <c r="F1818" s="105">
        <f>SUM(Compcta!DX19:DZ19)</f>
        <v>0</v>
      </c>
    </row>
    <row r="1819" spans="5:6" hidden="1">
      <c r="E1819" s="107" t="s">
        <v>86</v>
      </c>
      <c r="F1819" s="105">
        <f>SUM(Compcta!DX20:DZ20)</f>
        <v>0</v>
      </c>
    </row>
    <row r="1820" spans="5:6" hidden="1">
      <c r="E1820" s="97" t="s">
        <v>87</v>
      </c>
      <c r="F1820" s="105">
        <f>SUM(Compcta!DX21:DZ21)</f>
        <v>0</v>
      </c>
    </row>
    <row r="1821" spans="5:6" hidden="1">
      <c r="E1821" s="107" t="s">
        <v>101</v>
      </c>
      <c r="F1821" s="105">
        <f>SUM(Compcta!DX22:DZ22)</f>
        <v>0</v>
      </c>
    </row>
    <row r="1822" spans="5:6" hidden="1">
      <c r="E1822" s="97" t="s">
        <v>88</v>
      </c>
      <c r="F1822" s="105">
        <f>SUM(Compcta!DX23:DZ23)</f>
        <v>0</v>
      </c>
    </row>
    <row r="1823" spans="5:6" hidden="1">
      <c r="E1823" s="107" t="s">
        <v>89</v>
      </c>
      <c r="F1823" s="105">
        <f>SUM(Compcta!DX24:DZ24)</f>
        <v>0</v>
      </c>
    </row>
    <row r="1824" spans="5:6" hidden="1">
      <c r="E1824" s="97" t="s">
        <v>90</v>
      </c>
      <c r="F1824" s="105">
        <f>SUM(Compcta!DX25:DZ25)</f>
        <v>0</v>
      </c>
    </row>
    <row r="1825" spans="5:6" hidden="1">
      <c r="E1825" s="107" t="s">
        <v>93</v>
      </c>
      <c r="F1825" s="105">
        <f>SUM(Compcta!DX26:DZ26)</f>
        <v>0</v>
      </c>
    </row>
    <row r="1826" spans="5:6" hidden="1">
      <c r="E1826" s="97" t="s">
        <v>91</v>
      </c>
      <c r="F1826" s="105">
        <f>SUM(Compcta!DX27:DZ27)</f>
        <v>0</v>
      </c>
    </row>
    <row r="1827" spans="5:6" hidden="1">
      <c r="E1827" s="107" t="s">
        <v>92</v>
      </c>
      <c r="F1827" s="105">
        <f>SUM(Compcta!DX28:DZ28)</f>
        <v>0</v>
      </c>
    </row>
    <row r="1828" spans="5:6" hidden="1">
      <c r="F1828" s="278">
        <f>SUM(F1806:F1827)</f>
        <v>0</v>
      </c>
    </row>
    <row r="1829" spans="5:6" ht="20.25" hidden="1" thickBot="1">
      <c r="E1829" s="48" t="s">
        <v>1141</v>
      </c>
      <c r="F1829" s="300">
        <f>SUM(F1830:F1851)</f>
        <v>0</v>
      </c>
    </row>
    <row r="1830" spans="5:6" hidden="1">
      <c r="E1830" s="225" t="s">
        <v>74</v>
      </c>
      <c r="F1830" s="105">
        <f>SUM(Compcta!EM7:EO7)</f>
        <v>0</v>
      </c>
    </row>
    <row r="1831" spans="5:6" hidden="1">
      <c r="E1831" s="107" t="s">
        <v>75</v>
      </c>
      <c r="F1831" s="105">
        <f>SUM(Compcta!EM8:EO8)</f>
        <v>0</v>
      </c>
    </row>
    <row r="1832" spans="5:6" hidden="1">
      <c r="E1832" s="97" t="s">
        <v>76</v>
      </c>
      <c r="F1832" s="105">
        <f>SUM(Compcta!EM9:EO9)</f>
        <v>0</v>
      </c>
    </row>
    <row r="1833" spans="5:6" hidden="1">
      <c r="E1833" s="107" t="s">
        <v>77</v>
      </c>
      <c r="F1833" s="105">
        <f>SUM(Compcta!EM10:EO10)</f>
        <v>0</v>
      </c>
    </row>
    <row r="1834" spans="5:6" hidden="1">
      <c r="E1834" s="97" t="s">
        <v>100</v>
      </c>
      <c r="F1834" s="105">
        <f>SUM(Compcta!EM11:EO11)</f>
        <v>0</v>
      </c>
    </row>
    <row r="1835" spans="5:6" hidden="1">
      <c r="E1835" s="107" t="s">
        <v>78</v>
      </c>
      <c r="F1835" s="105">
        <f>SUM(Compcta!EM12:EO12)</f>
        <v>0</v>
      </c>
    </row>
    <row r="1836" spans="5:6" hidden="1">
      <c r="E1836" s="97" t="s">
        <v>79</v>
      </c>
      <c r="F1836" s="105">
        <f>SUM(Compcta!EM13:EO13)</f>
        <v>0</v>
      </c>
    </row>
    <row r="1837" spans="5:6" hidden="1">
      <c r="E1837" s="107" t="s">
        <v>80</v>
      </c>
      <c r="F1837" s="105">
        <f>SUM(Compcta!EM14:EO14)</f>
        <v>0</v>
      </c>
    </row>
    <row r="1838" spans="5:6" hidden="1">
      <c r="E1838" s="97" t="s">
        <v>81</v>
      </c>
      <c r="F1838" s="105">
        <f>SUM(Compcta!EM15:EO15)</f>
        <v>0</v>
      </c>
    </row>
    <row r="1839" spans="5:6" hidden="1">
      <c r="E1839" s="107" t="s">
        <v>82</v>
      </c>
      <c r="F1839" s="105">
        <f>SUM(Compcta!EM16:EO16)</f>
        <v>0</v>
      </c>
    </row>
    <row r="1840" spans="5:6" hidden="1">
      <c r="E1840" s="97" t="s">
        <v>83</v>
      </c>
      <c r="F1840" s="105">
        <f>SUM(Compcta!EM17:EO17)</f>
        <v>0</v>
      </c>
    </row>
    <row r="1841" spans="5:6" hidden="1">
      <c r="E1841" s="107" t="s">
        <v>85</v>
      </c>
      <c r="F1841" s="105">
        <f>SUM(Compcta!EM18:EO18)</f>
        <v>0</v>
      </c>
    </row>
    <row r="1842" spans="5:6" hidden="1">
      <c r="E1842" s="97" t="s">
        <v>84</v>
      </c>
      <c r="F1842" s="105">
        <f>SUM(Compcta!EM19:EO19)</f>
        <v>0</v>
      </c>
    </row>
    <row r="1843" spans="5:6" hidden="1">
      <c r="E1843" s="107" t="s">
        <v>86</v>
      </c>
      <c r="F1843" s="105">
        <f>SUM(Compcta!EM20:EO20)</f>
        <v>0</v>
      </c>
    </row>
    <row r="1844" spans="5:6" hidden="1">
      <c r="E1844" s="97" t="s">
        <v>87</v>
      </c>
      <c r="F1844" s="105">
        <f>SUM(Compcta!EM21:EO21)</f>
        <v>0</v>
      </c>
    </row>
    <row r="1845" spans="5:6" hidden="1">
      <c r="E1845" s="107" t="s">
        <v>101</v>
      </c>
      <c r="F1845" s="105">
        <f>SUM(Compcta!EM22:EO22)</f>
        <v>0</v>
      </c>
    </row>
    <row r="1846" spans="5:6" hidden="1">
      <c r="E1846" s="97" t="s">
        <v>88</v>
      </c>
      <c r="F1846" s="105">
        <f>SUM(Compcta!EM23:EO23)</f>
        <v>0</v>
      </c>
    </row>
    <row r="1847" spans="5:6" hidden="1">
      <c r="E1847" s="107" t="s">
        <v>89</v>
      </c>
      <c r="F1847" s="105">
        <f>SUM(Compcta!EM24:EO24)</f>
        <v>0</v>
      </c>
    </row>
    <row r="1848" spans="5:6" hidden="1">
      <c r="E1848" s="97" t="s">
        <v>90</v>
      </c>
      <c r="F1848" s="105">
        <f>SUM(Compcta!EM25:EO25)</f>
        <v>0</v>
      </c>
    </row>
    <row r="1849" spans="5:6" hidden="1">
      <c r="E1849" s="107" t="s">
        <v>93</v>
      </c>
      <c r="F1849" s="105">
        <f>SUM(Compcta!EM26:EO26)</f>
        <v>0</v>
      </c>
    </row>
    <row r="1850" spans="5:6" hidden="1">
      <c r="E1850" s="97" t="s">
        <v>91</v>
      </c>
      <c r="F1850" s="105">
        <f>SUM(Compcta!EM27:EO27)</f>
        <v>0</v>
      </c>
    </row>
    <row r="1851" spans="5:6" hidden="1">
      <c r="E1851" s="107" t="s">
        <v>92</v>
      </c>
      <c r="F1851" s="105">
        <f>SUM(Compcta!EM28:EO28)</f>
        <v>0</v>
      </c>
    </row>
    <row r="1852" spans="5:6" hidden="1">
      <c r="F1852" s="278">
        <f>SUM(F1830:F1851)</f>
        <v>0</v>
      </c>
    </row>
    <row r="1853" spans="5:6" ht="20.25" hidden="1" thickBot="1">
      <c r="E1853" s="48" t="s">
        <v>1142</v>
      </c>
      <c r="F1853" s="300">
        <f>SUM(F1854:F1875)</f>
        <v>0</v>
      </c>
    </row>
    <row r="1854" spans="5:6" hidden="1">
      <c r="E1854" s="225" t="s">
        <v>74</v>
      </c>
      <c r="F1854" s="105">
        <f>SUM(Compcta!ER7:ET7)</f>
        <v>0</v>
      </c>
    </row>
    <row r="1855" spans="5:6" hidden="1">
      <c r="E1855" s="107" t="s">
        <v>75</v>
      </c>
      <c r="F1855" s="105">
        <f>SUM(Compcta!ER8:ET8)</f>
        <v>0</v>
      </c>
    </row>
    <row r="1856" spans="5:6" hidden="1">
      <c r="E1856" s="97" t="s">
        <v>76</v>
      </c>
      <c r="F1856" s="105">
        <f>SUM(Compcta!ER9:ET9)</f>
        <v>0</v>
      </c>
    </row>
    <row r="1857" spans="5:6" hidden="1">
      <c r="E1857" s="107" t="s">
        <v>77</v>
      </c>
      <c r="F1857" s="105">
        <f>SUM(Compcta!ER10:ET10)</f>
        <v>0</v>
      </c>
    </row>
    <row r="1858" spans="5:6" hidden="1">
      <c r="E1858" s="97" t="s">
        <v>100</v>
      </c>
      <c r="F1858" s="105">
        <f>SUM(Compcta!ER11:ET11)</f>
        <v>0</v>
      </c>
    </row>
    <row r="1859" spans="5:6" hidden="1">
      <c r="E1859" s="107" t="s">
        <v>78</v>
      </c>
      <c r="F1859" s="105">
        <f>SUM(Compcta!ER12:ET12)</f>
        <v>0</v>
      </c>
    </row>
    <row r="1860" spans="5:6" hidden="1">
      <c r="E1860" s="97" t="s">
        <v>79</v>
      </c>
      <c r="F1860" s="105">
        <f>SUM(Compcta!ER13:ET13)</f>
        <v>0</v>
      </c>
    </row>
    <row r="1861" spans="5:6" hidden="1">
      <c r="E1861" s="107" t="s">
        <v>80</v>
      </c>
      <c r="F1861" s="105">
        <f>SUM(Compcta!ER14:ET14)</f>
        <v>0</v>
      </c>
    </row>
    <row r="1862" spans="5:6" hidden="1">
      <c r="E1862" s="97" t="s">
        <v>81</v>
      </c>
      <c r="F1862" s="105">
        <f>SUM(Compcta!ER15:ET15)</f>
        <v>0</v>
      </c>
    </row>
    <row r="1863" spans="5:6" hidden="1">
      <c r="E1863" s="107" t="s">
        <v>82</v>
      </c>
      <c r="F1863" s="105">
        <f>SUM(Compcta!ER16:ET16)</f>
        <v>0</v>
      </c>
    </row>
    <row r="1864" spans="5:6" hidden="1">
      <c r="E1864" s="97" t="s">
        <v>83</v>
      </c>
      <c r="F1864" s="105">
        <f>SUM(Compcta!ER17:ET17)</f>
        <v>0</v>
      </c>
    </row>
    <row r="1865" spans="5:6" hidden="1">
      <c r="E1865" s="107" t="s">
        <v>85</v>
      </c>
      <c r="F1865" s="105">
        <f>SUM(Compcta!ER18:ET18)</f>
        <v>0</v>
      </c>
    </row>
    <row r="1866" spans="5:6" hidden="1">
      <c r="E1866" s="97" t="s">
        <v>84</v>
      </c>
      <c r="F1866" s="105">
        <f>SUM(Compcta!ER19:ET19)</f>
        <v>0</v>
      </c>
    </row>
    <row r="1867" spans="5:6" hidden="1">
      <c r="E1867" s="107" t="s">
        <v>86</v>
      </c>
      <c r="F1867" s="105">
        <f>SUM(Compcta!ER20:ET20)</f>
        <v>0</v>
      </c>
    </row>
    <row r="1868" spans="5:6" hidden="1">
      <c r="E1868" s="97" t="s">
        <v>87</v>
      </c>
      <c r="F1868" s="105">
        <f>SUM(Compcta!ER21:ET21)</f>
        <v>0</v>
      </c>
    </row>
    <row r="1869" spans="5:6" hidden="1">
      <c r="E1869" s="107" t="s">
        <v>101</v>
      </c>
      <c r="F1869" s="105">
        <f>SUM(Compcta!ER22:ET22)</f>
        <v>0</v>
      </c>
    </row>
    <row r="1870" spans="5:6" hidden="1">
      <c r="E1870" s="97" t="s">
        <v>88</v>
      </c>
      <c r="F1870" s="105">
        <f>SUM(Compcta!ER23:ET23)</f>
        <v>0</v>
      </c>
    </row>
    <row r="1871" spans="5:6" hidden="1">
      <c r="E1871" s="107" t="s">
        <v>89</v>
      </c>
      <c r="F1871" s="105">
        <f>SUM(Compcta!ER24:ET24)</f>
        <v>0</v>
      </c>
    </row>
    <row r="1872" spans="5:6" hidden="1">
      <c r="E1872" s="97" t="s">
        <v>90</v>
      </c>
      <c r="F1872" s="105">
        <f>SUM(Compcta!ER25:ET25)</f>
        <v>0</v>
      </c>
    </row>
    <row r="1873" spans="5:6" hidden="1">
      <c r="E1873" s="107" t="s">
        <v>93</v>
      </c>
      <c r="F1873" s="105">
        <f>SUM(Compcta!ER26:ET26)</f>
        <v>0</v>
      </c>
    </row>
    <row r="1874" spans="5:6" hidden="1">
      <c r="E1874" s="97" t="s">
        <v>91</v>
      </c>
      <c r="F1874" s="105">
        <f>SUM(Compcta!ER27:ET27)</f>
        <v>0</v>
      </c>
    </row>
    <row r="1875" spans="5:6" hidden="1">
      <c r="E1875" s="107" t="s">
        <v>92</v>
      </c>
      <c r="F1875" s="105">
        <f>SUM(Compcta!ER28:ET28)</f>
        <v>0</v>
      </c>
    </row>
    <row r="1876" spans="5:6" hidden="1">
      <c r="F1876" s="278">
        <f>SUM(F1854:F1875)</f>
        <v>0</v>
      </c>
    </row>
    <row r="1877" spans="5:6" ht="20.25" hidden="1" thickBot="1">
      <c r="E1877" s="48" t="s">
        <v>1143</v>
      </c>
      <c r="F1877" s="48">
        <f>SUM(F1878:F1899)</f>
        <v>0</v>
      </c>
    </row>
    <row r="1878" spans="5:6" hidden="1">
      <c r="E1878" s="225" t="s">
        <v>74</v>
      </c>
      <c r="F1878" s="105">
        <f>SUM(Compcta!EW7:EY7)</f>
        <v>0</v>
      </c>
    </row>
    <row r="1879" spans="5:6" hidden="1">
      <c r="E1879" s="107" t="s">
        <v>75</v>
      </c>
      <c r="F1879" s="105">
        <f>SUM(Compcta!EW8:EY8)</f>
        <v>0</v>
      </c>
    </row>
    <row r="1880" spans="5:6" hidden="1">
      <c r="E1880" s="97" t="s">
        <v>76</v>
      </c>
      <c r="F1880" s="105">
        <f>SUM(Compcta!EW9:EY9)</f>
        <v>0</v>
      </c>
    </row>
    <row r="1881" spans="5:6" hidden="1">
      <c r="E1881" s="107" t="s">
        <v>77</v>
      </c>
      <c r="F1881" s="105">
        <f>SUM(Compcta!EW10:EY10)</f>
        <v>0</v>
      </c>
    </row>
    <row r="1882" spans="5:6" hidden="1">
      <c r="E1882" s="97" t="s">
        <v>100</v>
      </c>
      <c r="F1882" s="105">
        <f>SUM(Compcta!EW11:EY11)</f>
        <v>0</v>
      </c>
    </row>
    <row r="1883" spans="5:6" hidden="1">
      <c r="E1883" s="107" t="s">
        <v>78</v>
      </c>
      <c r="F1883" s="105">
        <f>SUM(Compcta!EW12:EY12)</f>
        <v>0</v>
      </c>
    </row>
    <row r="1884" spans="5:6" hidden="1">
      <c r="E1884" s="97" t="s">
        <v>79</v>
      </c>
      <c r="F1884" s="105">
        <f>SUM(Compcta!EW13:EY13)</f>
        <v>0</v>
      </c>
    </row>
    <row r="1885" spans="5:6" hidden="1">
      <c r="E1885" s="107" t="s">
        <v>80</v>
      </c>
      <c r="F1885" s="105">
        <f>SUM(Compcta!EW14:EY14)</f>
        <v>0</v>
      </c>
    </row>
    <row r="1886" spans="5:6" hidden="1">
      <c r="E1886" s="97" t="s">
        <v>81</v>
      </c>
      <c r="F1886" s="105">
        <f>SUM(Compcta!EW15:EY15)</f>
        <v>0</v>
      </c>
    </row>
    <row r="1887" spans="5:6" hidden="1">
      <c r="E1887" s="107" t="s">
        <v>82</v>
      </c>
      <c r="F1887" s="105">
        <f>SUM(Compcta!EW16:EY16)</f>
        <v>0</v>
      </c>
    </row>
    <row r="1888" spans="5:6" hidden="1">
      <c r="E1888" s="97" t="s">
        <v>83</v>
      </c>
      <c r="F1888" s="105">
        <f>SUM(Compcta!EW17:EY17)</f>
        <v>0</v>
      </c>
    </row>
    <row r="1889" spans="5:6" hidden="1">
      <c r="E1889" s="107" t="s">
        <v>85</v>
      </c>
      <c r="F1889" s="105">
        <f>SUM(Compcta!EW18:EY18)</f>
        <v>0</v>
      </c>
    </row>
    <row r="1890" spans="5:6" hidden="1">
      <c r="E1890" s="97" t="s">
        <v>84</v>
      </c>
      <c r="F1890" s="105">
        <f>SUM(Compcta!EW19:EY19)</f>
        <v>0</v>
      </c>
    </row>
    <row r="1891" spans="5:6" hidden="1">
      <c r="E1891" s="107" t="s">
        <v>86</v>
      </c>
      <c r="F1891" s="105">
        <f>SUM(Compcta!EW20:EY20)</f>
        <v>0</v>
      </c>
    </row>
    <row r="1892" spans="5:6" hidden="1">
      <c r="E1892" s="97" t="s">
        <v>87</v>
      </c>
      <c r="F1892" s="105">
        <f>SUM(Compcta!EW21:EY21)</f>
        <v>0</v>
      </c>
    </row>
    <row r="1893" spans="5:6" hidden="1">
      <c r="E1893" s="107" t="s">
        <v>101</v>
      </c>
      <c r="F1893" s="105">
        <f>SUM(Compcta!EW22:EY22)</f>
        <v>0</v>
      </c>
    </row>
    <row r="1894" spans="5:6" hidden="1">
      <c r="E1894" s="97" t="s">
        <v>88</v>
      </c>
      <c r="F1894" s="105">
        <f>SUM(Compcta!EW23:EY23)</f>
        <v>0</v>
      </c>
    </row>
    <row r="1895" spans="5:6" hidden="1">
      <c r="E1895" s="107" t="s">
        <v>89</v>
      </c>
      <c r="F1895" s="105">
        <f>SUM(Compcta!EW24:EY24)</f>
        <v>0</v>
      </c>
    </row>
    <row r="1896" spans="5:6" hidden="1">
      <c r="E1896" s="97" t="s">
        <v>90</v>
      </c>
      <c r="F1896" s="105">
        <f>SUM(Compcta!EW25:EY25)</f>
        <v>0</v>
      </c>
    </row>
    <row r="1897" spans="5:6" hidden="1">
      <c r="E1897" s="107" t="s">
        <v>93</v>
      </c>
      <c r="F1897" s="105">
        <f>SUM(Compcta!EW26:EY26)</f>
        <v>0</v>
      </c>
    </row>
    <row r="1898" spans="5:6" hidden="1">
      <c r="E1898" s="97" t="s">
        <v>91</v>
      </c>
      <c r="F1898" s="105">
        <f>SUM(Compcta!EW27:EY27)</f>
        <v>0</v>
      </c>
    </row>
    <row r="1899" spans="5:6" hidden="1">
      <c r="E1899" s="107" t="s">
        <v>92</v>
      </c>
      <c r="F1899" s="105">
        <f>SUM(Compcta!EW28:EY28)</f>
        <v>0</v>
      </c>
    </row>
    <row r="1900" spans="5:6" hidden="1">
      <c r="F1900" s="278">
        <f>SUM(F1878:F1899)</f>
        <v>0</v>
      </c>
    </row>
    <row r="1901" spans="5:6" ht="20.25" hidden="1" thickBot="1">
      <c r="E1901" s="48" t="s">
        <v>1144</v>
      </c>
      <c r="F1901" s="48">
        <f>SUM(F1902:F1923)</f>
        <v>0</v>
      </c>
    </row>
    <row r="1902" spans="5:6" hidden="1">
      <c r="E1902" s="225" t="s">
        <v>74</v>
      </c>
      <c r="F1902" s="105">
        <f>SUM(Compcta!FB7:FD7)</f>
        <v>0</v>
      </c>
    </row>
    <row r="1903" spans="5:6" hidden="1">
      <c r="E1903" s="107" t="s">
        <v>75</v>
      </c>
      <c r="F1903" s="105">
        <f>SUM(Compcta!FB8:FD8)</f>
        <v>0</v>
      </c>
    </row>
    <row r="1904" spans="5:6" hidden="1">
      <c r="E1904" s="97" t="s">
        <v>76</v>
      </c>
      <c r="F1904" s="105">
        <f>SUM(Compcta!FB9:FD9)</f>
        <v>0</v>
      </c>
    </row>
    <row r="1905" spans="5:6" hidden="1">
      <c r="E1905" s="107" t="s">
        <v>77</v>
      </c>
      <c r="F1905" s="105">
        <f>SUM(Compcta!FB10:FD10)</f>
        <v>0</v>
      </c>
    </row>
    <row r="1906" spans="5:6" hidden="1">
      <c r="E1906" s="97" t="s">
        <v>100</v>
      </c>
      <c r="F1906" s="105">
        <f>SUM(Compcta!FB11:FD11)</f>
        <v>0</v>
      </c>
    </row>
    <row r="1907" spans="5:6" hidden="1">
      <c r="E1907" s="107" t="s">
        <v>78</v>
      </c>
      <c r="F1907" s="105">
        <f>SUM(Compcta!FB12:FD12)</f>
        <v>0</v>
      </c>
    </row>
    <row r="1908" spans="5:6" hidden="1">
      <c r="E1908" s="97" t="s">
        <v>79</v>
      </c>
      <c r="F1908" s="105">
        <f>SUM(Compcta!FB13:FD13)</f>
        <v>0</v>
      </c>
    </row>
    <row r="1909" spans="5:6" hidden="1">
      <c r="E1909" s="107" t="s">
        <v>80</v>
      </c>
      <c r="F1909" s="105">
        <f>SUM(Compcta!FB14:FD14)</f>
        <v>0</v>
      </c>
    </row>
    <row r="1910" spans="5:6" hidden="1">
      <c r="E1910" s="97" t="s">
        <v>81</v>
      </c>
      <c r="F1910" s="105">
        <f>SUM(Compcta!FB15:FD15)</f>
        <v>0</v>
      </c>
    </row>
    <row r="1911" spans="5:6" hidden="1">
      <c r="E1911" s="107" t="s">
        <v>82</v>
      </c>
      <c r="F1911" s="105">
        <f>SUM(Compcta!FB16:FD16)</f>
        <v>0</v>
      </c>
    </row>
    <row r="1912" spans="5:6" hidden="1">
      <c r="E1912" s="97" t="s">
        <v>83</v>
      </c>
      <c r="F1912" s="105">
        <f>SUM(Compcta!FB17:FD17)</f>
        <v>0</v>
      </c>
    </row>
    <row r="1913" spans="5:6" hidden="1">
      <c r="E1913" s="107" t="s">
        <v>85</v>
      </c>
      <c r="F1913" s="105">
        <f>SUM(Compcta!FB18:FD18)</f>
        <v>0</v>
      </c>
    </row>
    <row r="1914" spans="5:6" hidden="1">
      <c r="E1914" s="97" t="s">
        <v>84</v>
      </c>
      <c r="F1914" s="105">
        <f>SUM(Compcta!FB19:FD19)</f>
        <v>0</v>
      </c>
    </row>
    <row r="1915" spans="5:6" hidden="1">
      <c r="E1915" s="107" t="s">
        <v>86</v>
      </c>
      <c r="F1915" s="105">
        <f>SUM(Compcta!FB20:FD20)</f>
        <v>0</v>
      </c>
    </row>
    <row r="1916" spans="5:6" hidden="1">
      <c r="E1916" s="97" t="s">
        <v>87</v>
      </c>
      <c r="F1916" s="105">
        <f>SUM(Compcta!FB21:FD21)</f>
        <v>0</v>
      </c>
    </row>
    <row r="1917" spans="5:6" hidden="1">
      <c r="E1917" s="107" t="s">
        <v>101</v>
      </c>
      <c r="F1917" s="105">
        <f>SUM(Compcta!FB22:FD22)</f>
        <v>0</v>
      </c>
    </row>
    <row r="1918" spans="5:6" hidden="1">
      <c r="E1918" s="97" t="s">
        <v>88</v>
      </c>
      <c r="F1918" s="105">
        <f>SUM(Compcta!FB23:FD23)</f>
        <v>0</v>
      </c>
    </row>
    <row r="1919" spans="5:6" hidden="1">
      <c r="E1919" s="107" t="s">
        <v>89</v>
      </c>
      <c r="F1919" s="105">
        <f>SUM(Compcta!FB24:FD24)</f>
        <v>0</v>
      </c>
    </row>
    <row r="1920" spans="5:6" hidden="1">
      <c r="E1920" s="97" t="s">
        <v>90</v>
      </c>
      <c r="F1920" s="105">
        <f>SUM(Compcta!FB25:FD25)</f>
        <v>0</v>
      </c>
    </row>
    <row r="1921" spans="4:6" hidden="1">
      <c r="E1921" s="107" t="s">
        <v>93</v>
      </c>
      <c r="F1921" s="105">
        <f>SUM(Compcta!FB26:FD26)</f>
        <v>0</v>
      </c>
    </row>
    <row r="1922" spans="4:6" hidden="1">
      <c r="E1922" s="97" t="s">
        <v>91</v>
      </c>
      <c r="F1922" s="105">
        <f>SUM(Compcta!FB27:FD27)</f>
        <v>0</v>
      </c>
    </row>
    <row r="1923" spans="4:6" hidden="1">
      <c r="E1923" s="107" t="s">
        <v>92</v>
      </c>
      <c r="F1923" s="105">
        <f>SUM(Compcta!FB28:FD28)</f>
        <v>0</v>
      </c>
    </row>
    <row r="1924" spans="4:6" hidden="1">
      <c r="F1924" s="278">
        <f>SUM(F1902:F1923)</f>
        <v>0</v>
      </c>
    </row>
    <row r="1925" spans="4:6" ht="20.25" hidden="1" thickBot="1">
      <c r="D1925" s="1668" t="s">
        <v>1365</v>
      </c>
      <c r="E1925" s="1669"/>
      <c r="F1925" s="300">
        <f>SUM(F1926:F1947)</f>
        <v>0</v>
      </c>
    </row>
    <row r="1926" spans="4:6" hidden="1">
      <c r="E1926" s="225" t="s">
        <v>74</v>
      </c>
      <c r="F1926" s="105">
        <f>SUM(Compcta!FG7:FI7)</f>
        <v>0</v>
      </c>
    </row>
    <row r="1927" spans="4:6" hidden="1">
      <c r="E1927" s="107" t="s">
        <v>75</v>
      </c>
      <c r="F1927" s="105">
        <f>SUM(Compcta!FG8:FI8)</f>
        <v>0</v>
      </c>
    </row>
    <row r="1928" spans="4:6" hidden="1">
      <c r="E1928" s="97" t="s">
        <v>76</v>
      </c>
      <c r="F1928" s="105">
        <f>SUM(Compcta!FG9:FI9)</f>
        <v>0</v>
      </c>
    </row>
    <row r="1929" spans="4:6" hidden="1">
      <c r="E1929" s="107" t="s">
        <v>77</v>
      </c>
      <c r="F1929" s="105">
        <f>SUM(Compcta!FG10:FI10)</f>
        <v>0</v>
      </c>
    </row>
    <row r="1930" spans="4:6" hidden="1">
      <c r="E1930" s="97" t="s">
        <v>100</v>
      </c>
      <c r="F1930" s="105">
        <f>SUM(Compcta!FG11:FI11)</f>
        <v>0</v>
      </c>
    </row>
    <row r="1931" spans="4:6" hidden="1">
      <c r="E1931" s="107" t="s">
        <v>78</v>
      </c>
      <c r="F1931" s="105">
        <f>SUM(Compcta!FG12:FI12)</f>
        <v>0</v>
      </c>
    </row>
    <row r="1932" spans="4:6" hidden="1">
      <c r="E1932" s="97" t="s">
        <v>79</v>
      </c>
      <c r="F1932" s="105">
        <f>SUM(Compcta!FG13:FI13)</f>
        <v>0</v>
      </c>
    </row>
    <row r="1933" spans="4:6" hidden="1">
      <c r="E1933" s="107" t="s">
        <v>80</v>
      </c>
      <c r="F1933" s="105">
        <f>SUM(Compcta!FG14:FI14)</f>
        <v>0</v>
      </c>
    </row>
    <row r="1934" spans="4:6" hidden="1">
      <c r="E1934" s="97" t="s">
        <v>81</v>
      </c>
      <c r="F1934" s="105">
        <f>SUM(Compcta!FG15:FI15)</f>
        <v>0</v>
      </c>
    </row>
    <row r="1935" spans="4:6" hidden="1">
      <c r="E1935" s="107" t="s">
        <v>82</v>
      </c>
      <c r="F1935" s="105">
        <f>SUM(Compcta!FG16:FI16)</f>
        <v>0</v>
      </c>
    </row>
    <row r="1936" spans="4:6" hidden="1">
      <c r="E1936" s="97" t="s">
        <v>83</v>
      </c>
      <c r="F1936" s="105">
        <f>SUM(Compcta!FG17:FI17)</f>
        <v>0</v>
      </c>
    </row>
    <row r="1937" spans="4:6" hidden="1">
      <c r="E1937" s="107" t="s">
        <v>85</v>
      </c>
      <c r="F1937" s="105">
        <f>SUM(Compcta!FG18:FI18)</f>
        <v>0</v>
      </c>
    </row>
    <row r="1938" spans="4:6" hidden="1">
      <c r="E1938" s="97" t="s">
        <v>84</v>
      </c>
      <c r="F1938" s="105">
        <f>SUM(Compcta!FG19:FI19)</f>
        <v>0</v>
      </c>
    </row>
    <row r="1939" spans="4:6" hidden="1">
      <c r="E1939" s="107" t="s">
        <v>86</v>
      </c>
      <c r="F1939" s="105">
        <f>SUM(Compcta!FG20:FI20)</f>
        <v>0</v>
      </c>
    </row>
    <row r="1940" spans="4:6" hidden="1">
      <c r="E1940" s="97" t="s">
        <v>87</v>
      </c>
      <c r="F1940" s="105">
        <f>SUM(Compcta!FG21:FI21)</f>
        <v>0</v>
      </c>
    </row>
    <row r="1941" spans="4:6" hidden="1">
      <c r="E1941" s="107" t="s">
        <v>101</v>
      </c>
      <c r="F1941" s="105">
        <f>SUM(Compcta!FG22:FI22)</f>
        <v>0</v>
      </c>
    </row>
    <row r="1942" spans="4:6" hidden="1">
      <c r="E1942" s="97" t="s">
        <v>88</v>
      </c>
      <c r="F1942" s="105">
        <f>SUM(Compcta!FG23:FI23)</f>
        <v>0</v>
      </c>
    </row>
    <row r="1943" spans="4:6" hidden="1">
      <c r="E1943" s="107" t="s">
        <v>89</v>
      </c>
      <c r="F1943" s="105">
        <f>SUM(Compcta!FG24:FI24)</f>
        <v>0</v>
      </c>
    </row>
    <row r="1944" spans="4:6" hidden="1">
      <c r="E1944" s="97" t="s">
        <v>90</v>
      </c>
      <c r="F1944" s="105">
        <f>SUM(Compcta!FG25:FI25)</f>
        <v>0</v>
      </c>
    </row>
    <row r="1945" spans="4:6" hidden="1">
      <c r="E1945" s="107" t="s">
        <v>93</v>
      </c>
      <c r="F1945" s="105">
        <f>SUM(Compcta!FG26:FI26)</f>
        <v>0</v>
      </c>
    </row>
    <row r="1946" spans="4:6" hidden="1">
      <c r="E1946" s="97" t="s">
        <v>91</v>
      </c>
      <c r="F1946" s="105">
        <f>SUM(Compcta!FG27:FI27)</f>
        <v>0</v>
      </c>
    </row>
    <row r="1947" spans="4:6" hidden="1">
      <c r="E1947" s="107" t="s">
        <v>92</v>
      </c>
      <c r="F1947" s="105">
        <f>SUM(Compcta!FG28:FI28)</f>
        <v>0</v>
      </c>
    </row>
    <row r="1948" spans="4:6" hidden="1">
      <c r="F1948" s="278">
        <f>SUM(F1926:F1947)</f>
        <v>0</v>
      </c>
    </row>
    <row r="1949" spans="4:6" ht="20.25" hidden="1" thickBot="1">
      <c r="D1949" s="1668" t="s">
        <v>1366</v>
      </c>
      <c r="E1949" s="1669"/>
      <c r="F1949" s="48">
        <f>SUM(F1950:F1971)</f>
        <v>0</v>
      </c>
    </row>
    <row r="1950" spans="4:6" hidden="1">
      <c r="E1950" s="225" t="s">
        <v>74</v>
      </c>
      <c r="F1950" s="105">
        <f>SUM(Compcta!FM7:FO7)</f>
        <v>0</v>
      </c>
    </row>
    <row r="1951" spans="4:6" hidden="1">
      <c r="E1951" s="107" t="s">
        <v>75</v>
      </c>
      <c r="F1951" s="105">
        <f>SUM(Compcta!FM8:FO8)</f>
        <v>0</v>
      </c>
    </row>
    <row r="1952" spans="4:6" hidden="1">
      <c r="E1952" s="97" t="s">
        <v>76</v>
      </c>
      <c r="F1952" s="105">
        <f>SUM(Compcta!FM9:FO9)</f>
        <v>0</v>
      </c>
    </row>
    <row r="1953" spans="5:6" hidden="1">
      <c r="E1953" s="107" t="s">
        <v>77</v>
      </c>
      <c r="F1953" s="105">
        <f>SUM(Compcta!FM10:FO10)</f>
        <v>0</v>
      </c>
    </row>
    <row r="1954" spans="5:6" hidden="1">
      <c r="E1954" s="97" t="s">
        <v>100</v>
      </c>
      <c r="F1954" s="105">
        <f>SUM(Compcta!FM11:FO11)</f>
        <v>0</v>
      </c>
    </row>
    <row r="1955" spans="5:6" hidden="1">
      <c r="E1955" s="107" t="s">
        <v>78</v>
      </c>
      <c r="F1955" s="105">
        <f>SUM(Compcta!FM12:FO12)</f>
        <v>0</v>
      </c>
    </row>
    <row r="1956" spans="5:6" hidden="1">
      <c r="E1956" s="97" t="s">
        <v>79</v>
      </c>
      <c r="F1956" s="105">
        <f>SUM(Compcta!FM13:FO13)</f>
        <v>0</v>
      </c>
    </row>
    <row r="1957" spans="5:6" hidden="1">
      <c r="E1957" s="107" t="s">
        <v>80</v>
      </c>
      <c r="F1957" s="105">
        <f>SUM(Compcta!FM14:FO14)</f>
        <v>0</v>
      </c>
    </row>
    <row r="1958" spans="5:6" hidden="1">
      <c r="E1958" s="97" t="s">
        <v>81</v>
      </c>
      <c r="F1958" s="105">
        <f>SUM(Compcta!FM15:FO15)</f>
        <v>0</v>
      </c>
    </row>
    <row r="1959" spans="5:6" hidden="1">
      <c r="E1959" s="107" t="s">
        <v>82</v>
      </c>
      <c r="F1959" s="105">
        <f>SUM(Compcta!FM16:FO16)</f>
        <v>0</v>
      </c>
    </row>
    <row r="1960" spans="5:6" hidden="1">
      <c r="E1960" s="97" t="s">
        <v>83</v>
      </c>
      <c r="F1960" s="105">
        <f>SUM(Compcta!FM17:FO17)</f>
        <v>0</v>
      </c>
    </row>
    <row r="1961" spans="5:6" hidden="1">
      <c r="E1961" s="107" t="s">
        <v>85</v>
      </c>
      <c r="F1961" s="105">
        <f>SUM(Compcta!FM18:FO18)</f>
        <v>0</v>
      </c>
    </row>
    <row r="1962" spans="5:6" hidden="1">
      <c r="E1962" s="97" t="s">
        <v>84</v>
      </c>
      <c r="F1962" s="105">
        <f>SUM(Compcta!FM19:FO19)</f>
        <v>0</v>
      </c>
    </row>
    <row r="1963" spans="5:6" hidden="1">
      <c r="E1963" s="107" t="s">
        <v>86</v>
      </c>
      <c r="F1963" s="105">
        <f>SUM(Compcta!FM20:FO20)</f>
        <v>0</v>
      </c>
    </row>
    <row r="1964" spans="5:6" hidden="1">
      <c r="E1964" s="97" t="s">
        <v>87</v>
      </c>
      <c r="F1964" s="105">
        <f>SUM(Compcta!FM21:FO21)</f>
        <v>0</v>
      </c>
    </row>
    <row r="1965" spans="5:6" hidden="1">
      <c r="E1965" s="107" t="s">
        <v>101</v>
      </c>
      <c r="F1965" s="105">
        <f>SUM(Compcta!FM22:FO22)</f>
        <v>0</v>
      </c>
    </row>
    <row r="1966" spans="5:6" hidden="1">
      <c r="E1966" s="97" t="s">
        <v>88</v>
      </c>
      <c r="F1966" s="105">
        <f>SUM(Compcta!FM23:FO23)</f>
        <v>0</v>
      </c>
    </row>
    <row r="1967" spans="5:6" hidden="1">
      <c r="E1967" s="107" t="s">
        <v>89</v>
      </c>
      <c r="F1967" s="105">
        <f>SUM(Compcta!FM24:FO24)</f>
        <v>0</v>
      </c>
    </row>
    <row r="1968" spans="5:6" hidden="1">
      <c r="E1968" s="97" t="s">
        <v>90</v>
      </c>
      <c r="F1968" s="105">
        <f>SUM(Compcta!FM25:FO25)</f>
        <v>0</v>
      </c>
    </row>
    <row r="1969" spans="1:6" hidden="1">
      <c r="E1969" s="107" t="s">
        <v>93</v>
      </c>
      <c r="F1969" s="105">
        <f>SUM(Compcta!FM26:FO26)</f>
        <v>0</v>
      </c>
    </row>
    <row r="1970" spans="1:6" hidden="1">
      <c r="E1970" s="97" t="s">
        <v>91</v>
      </c>
      <c r="F1970" s="105">
        <f>SUM(Compcta!FM27:FO27)</f>
        <v>0</v>
      </c>
    </row>
    <row r="1971" spans="1:6" hidden="1">
      <c r="E1971" s="107" t="s">
        <v>92</v>
      </c>
      <c r="F1971" s="105">
        <f>SUM(Compcta!FM28:FO28)</f>
        <v>0</v>
      </c>
    </row>
    <row r="1972" spans="1:6" hidden="1">
      <c r="F1972" s="278">
        <f>SUM(F1950:F1971)</f>
        <v>0</v>
      </c>
    </row>
    <row r="1973" spans="1:6" hidden="1">
      <c r="A1973" s="459" t="s">
        <v>1145</v>
      </c>
      <c r="D1973" s="427"/>
      <c r="E1973" s="427"/>
      <c r="F1973" s="428">
        <f>Compcta!C7</f>
        <v>0</v>
      </c>
    </row>
    <row r="1974" spans="1:6" hidden="1">
      <c r="A1974" s="460" t="s">
        <v>1146</v>
      </c>
      <c r="D1974" s="429"/>
      <c r="E1974" s="429"/>
      <c r="F1974" s="428">
        <f>Compcta!C8</f>
        <v>0</v>
      </c>
    </row>
    <row r="1975" spans="1:6" hidden="1">
      <c r="A1975" s="459" t="s">
        <v>1147</v>
      </c>
      <c r="D1975" s="427"/>
      <c r="E1975" s="427"/>
      <c r="F1975" s="428">
        <f>Compcta!C9</f>
        <v>0</v>
      </c>
    </row>
    <row r="1976" spans="1:6" hidden="1">
      <c r="A1976" s="460" t="s">
        <v>1148</v>
      </c>
      <c r="D1976" s="429"/>
      <c r="E1976" s="429"/>
      <c r="F1976" s="428">
        <f>Compcta!C10</f>
        <v>0</v>
      </c>
    </row>
    <row r="1977" spans="1:6" hidden="1">
      <c r="A1977" s="461" t="s">
        <v>1149</v>
      </c>
      <c r="D1977" s="430"/>
      <c r="E1977" s="430"/>
      <c r="F1977" s="428">
        <f>Compcta!C11</f>
        <v>0</v>
      </c>
    </row>
    <row r="1978" spans="1:6" hidden="1">
      <c r="A1978" s="462" t="s">
        <v>1150</v>
      </c>
      <c r="D1978" s="431"/>
      <c r="E1978" s="431"/>
      <c r="F1978" s="428">
        <f>Compcta!C12</f>
        <v>0</v>
      </c>
    </row>
    <row r="1979" spans="1:6" hidden="1">
      <c r="A1979" s="461" t="s">
        <v>1151</v>
      </c>
      <c r="D1979" s="430"/>
      <c r="E1979" s="430"/>
      <c r="F1979" s="428">
        <f>Compcta!C13</f>
        <v>0</v>
      </c>
    </row>
    <row r="1980" spans="1:6" hidden="1">
      <c r="A1980" s="462" t="s">
        <v>1152</v>
      </c>
      <c r="D1980" s="431"/>
      <c r="E1980" s="431"/>
      <c r="F1980" s="428">
        <f>Compcta!C14</f>
        <v>0</v>
      </c>
    </row>
    <row r="1981" spans="1:6" hidden="1">
      <c r="A1981" s="461" t="s">
        <v>1153</v>
      </c>
      <c r="D1981" s="430"/>
      <c r="E1981" s="430"/>
      <c r="F1981" s="428">
        <f>Compcta!C15</f>
        <v>0</v>
      </c>
    </row>
    <row r="1982" spans="1:6" hidden="1">
      <c r="A1982" s="462" t="s">
        <v>1154</v>
      </c>
      <c r="D1982" s="431"/>
      <c r="E1982" s="431"/>
      <c r="F1982" s="428">
        <f>Compcta!C16</f>
        <v>0</v>
      </c>
    </row>
    <row r="1983" spans="1:6" hidden="1">
      <c r="A1983" s="461" t="s">
        <v>1155</v>
      </c>
      <c r="D1983" s="430"/>
      <c r="E1983" s="430"/>
      <c r="F1983" s="428">
        <f>Compcta!C17</f>
        <v>0</v>
      </c>
    </row>
    <row r="1984" spans="1:6" ht="15.75" hidden="1" customHeight="1" thickBot="1">
      <c r="F1984" s="280">
        <f>SUM(F1973:F1983)</f>
        <v>0</v>
      </c>
    </row>
    <row r="1985" spans="4:12" ht="15.75" hidden="1" customHeight="1" thickBot="1">
      <c r="D1985" s="1670" t="s">
        <v>1265</v>
      </c>
      <c r="E1985" s="1671"/>
      <c r="F1985" s="1017">
        <f>SUM('BT-SI'!G5:G7,'BT-SI'!H5:H7,'BT-SI'!I5:I7,'BT-SI'!G9:G11,'BT-SI'!H9:H11,'BT-SI'!I9:I11)</f>
        <v>0</v>
      </c>
      <c r="G1985" s="58"/>
      <c r="H1985" s="58"/>
    </row>
    <row r="1986" spans="4:12" ht="15.75" hidden="1" customHeight="1">
      <c r="D1986" s="1015" t="s">
        <v>1272</v>
      </c>
      <c r="E1986" s="1016" t="s">
        <v>1266</v>
      </c>
      <c r="F1986" s="982">
        <f>'BT-SI'!G5</f>
        <v>0</v>
      </c>
      <c r="G1986" s="38"/>
      <c r="H1986" s="667"/>
      <c r="I1986" s="204"/>
      <c r="J1986" s="204"/>
      <c r="K1986" s="204"/>
      <c r="L1986" s="204"/>
    </row>
    <row r="1987" spans="4:12" ht="15.75" hidden="1" customHeight="1">
      <c r="D1987" s="668" t="s">
        <v>1272</v>
      </c>
      <c r="E1987" s="665" t="s">
        <v>1267</v>
      </c>
      <c r="F1987" s="669">
        <f>'BT-SI'!H5</f>
        <v>0</v>
      </c>
      <c r="G1987" s="38"/>
      <c r="H1987" s="667"/>
      <c r="I1987" s="204"/>
      <c r="J1987" s="204"/>
      <c r="K1987" s="204"/>
      <c r="L1987" s="204"/>
    </row>
    <row r="1988" spans="4:12" ht="15.75" hidden="1" customHeight="1">
      <c r="D1988" s="668" t="s">
        <v>1272</v>
      </c>
      <c r="E1988" s="665" t="s">
        <v>1268</v>
      </c>
      <c r="F1988" s="669">
        <f>'BT-SI'!I5</f>
        <v>0</v>
      </c>
      <c r="G1988" s="38"/>
      <c r="H1988" s="667"/>
      <c r="I1988" s="204"/>
      <c r="J1988" s="204"/>
      <c r="K1988" s="204"/>
      <c r="L1988" s="204"/>
    </row>
    <row r="1989" spans="4:12" ht="15.75" hidden="1" customHeight="1">
      <c r="D1989" s="668" t="s">
        <v>1272</v>
      </c>
      <c r="E1989" s="443" t="s">
        <v>1269</v>
      </c>
      <c r="F1989" s="441">
        <f>'BT-SI'!G6</f>
        <v>0</v>
      </c>
      <c r="G1989" s="38"/>
      <c r="H1989" s="205"/>
      <c r="I1989" s="204"/>
      <c r="J1989" s="204"/>
      <c r="K1989" s="204"/>
      <c r="L1989" s="204"/>
    </row>
    <row r="1990" spans="4:12" ht="15.75" hidden="1" customHeight="1">
      <c r="D1990" s="668" t="s">
        <v>1272</v>
      </c>
      <c r="E1990" s="443" t="s">
        <v>1270</v>
      </c>
      <c r="F1990" s="441">
        <f>'BT-SI'!H6</f>
        <v>0</v>
      </c>
      <c r="G1990" s="38"/>
      <c r="H1990" s="205"/>
      <c r="I1990" s="204"/>
      <c r="J1990" s="204"/>
      <c r="K1990" s="204"/>
      <c r="L1990" s="204"/>
    </row>
    <row r="1991" spans="4:12" ht="15.75" hidden="1" customHeight="1">
      <c r="D1991" s="668" t="s">
        <v>1272</v>
      </c>
      <c r="E1991" s="443" t="s">
        <v>1271</v>
      </c>
      <c r="F1991" s="441">
        <f>'BT-SI'!I6</f>
        <v>0</v>
      </c>
      <c r="G1991" s="38"/>
      <c r="H1991" s="205"/>
      <c r="I1991" s="204"/>
      <c r="J1991" s="204"/>
      <c r="K1991" s="204"/>
      <c r="L1991" s="204"/>
    </row>
    <row r="1992" spans="4:12" ht="15.75" hidden="1" customHeight="1">
      <c r="D1992" s="668" t="s">
        <v>1272</v>
      </c>
      <c r="E1992" s="666" t="s">
        <v>1273</v>
      </c>
      <c r="F1992" s="670">
        <f>'BT-SI'!G7</f>
        <v>0</v>
      </c>
      <c r="H1992" s="204"/>
      <c r="I1992" s="204"/>
      <c r="J1992" s="204"/>
      <c r="K1992" s="204"/>
      <c r="L1992" s="204"/>
    </row>
    <row r="1993" spans="4:12" ht="15.75" hidden="1" customHeight="1">
      <c r="D1993" s="668" t="s">
        <v>1272</v>
      </c>
      <c r="E1993" s="666" t="s">
        <v>1274</v>
      </c>
      <c r="F1993" s="670">
        <f>'BT-SI'!H7</f>
        <v>0</v>
      </c>
      <c r="H1993" s="204"/>
      <c r="I1993" s="204"/>
      <c r="J1993" s="204"/>
      <c r="K1993" s="204"/>
      <c r="L1993" s="204"/>
    </row>
    <row r="1994" spans="4:12" ht="15.75" hidden="1" customHeight="1">
      <c r="D1994" s="668" t="s">
        <v>1272</v>
      </c>
      <c r="E1994" s="666" t="s">
        <v>1275</v>
      </c>
      <c r="F1994" s="670">
        <f>'BT-SI'!I7</f>
        <v>0</v>
      </c>
      <c r="H1994" s="204"/>
      <c r="I1994" s="204"/>
      <c r="J1994" s="204"/>
      <c r="K1994" s="204"/>
      <c r="L1994" s="204"/>
    </row>
    <row r="1995" spans="4:12" ht="15.75" hidden="1" customHeight="1">
      <c r="D1995" s="668" t="s">
        <v>1276</v>
      </c>
      <c r="E1995" s="665" t="s">
        <v>1266</v>
      </c>
      <c r="F1995" s="669">
        <f>'BT-SI'!G9</f>
        <v>0</v>
      </c>
      <c r="H1995" s="204"/>
      <c r="I1995" s="204"/>
      <c r="J1995" s="204"/>
      <c r="K1995" s="204"/>
      <c r="L1995" s="204"/>
    </row>
    <row r="1996" spans="4:12" ht="15.75" hidden="1" customHeight="1">
      <c r="D1996" s="668" t="s">
        <v>1276</v>
      </c>
      <c r="E1996" s="665" t="s">
        <v>1267</v>
      </c>
      <c r="F1996" s="669">
        <f>'BT-SI'!H9</f>
        <v>0</v>
      </c>
      <c r="H1996" s="204"/>
      <c r="I1996" s="204"/>
      <c r="J1996" s="204"/>
      <c r="K1996" s="204"/>
      <c r="L1996" s="204"/>
    </row>
    <row r="1997" spans="4:12" ht="15.75" hidden="1" customHeight="1">
      <c r="D1997" s="668" t="s">
        <v>1276</v>
      </c>
      <c r="E1997" s="665" t="s">
        <v>1268</v>
      </c>
      <c r="F1997" s="669">
        <f>'BT-SI'!I9</f>
        <v>0</v>
      </c>
      <c r="H1997" s="204"/>
      <c r="I1997" s="2002"/>
      <c r="J1997" s="667"/>
      <c r="K1997" s="205"/>
      <c r="L1997" s="204"/>
    </row>
    <row r="1998" spans="4:12" ht="15.75" hidden="1" customHeight="1">
      <c r="D1998" s="668" t="s">
        <v>1276</v>
      </c>
      <c r="E1998" s="443" t="s">
        <v>1269</v>
      </c>
      <c r="F1998" s="441">
        <f>'BT-SI'!G10</f>
        <v>0</v>
      </c>
      <c r="H1998" s="204"/>
      <c r="I1998" s="2002"/>
      <c r="J1998" s="667"/>
      <c r="K1998" s="205"/>
      <c r="L1998" s="204"/>
    </row>
    <row r="1999" spans="4:12" ht="15.75" hidden="1" customHeight="1">
      <c r="D1999" s="668" t="s">
        <v>1276</v>
      </c>
      <c r="E1999" s="443" t="s">
        <v>1270</v>
      </c>
      <c r="F1999" s="441">
        <f>'BT-SI'!H10</f>
        <v>0</v>
      </c>
      <c r="H1999" s="204"/>
      <c r="I1999" s="2002"/>
      <c r="J1999" s="667"/>
      <c r="K1999" s="205"/>
      <c r="L1999" s="204"/>
    </row>
    <row r="2000" spans="4:12" ht="15.75" hidden="1" customHeight="1">
      <c r="D2000" s="668" t="s">
        <v>1276</v>
      </c>
      <c r="E2000" s="443" t="s">
        <v>1271</v>
      </c>
      <c r="F2000" s="441">
        <f>'BT-SI'!I10</f>
        <v>0</v>
      </c>
      <c r="H2000" s="204"/>
      <c r="I2000" s="204"/>
      <c r="J2000" s="204"/>
      <c r="K2000" s="204"/>
      <c r="L2000" s="204"/>
    </row>
    <row r="2001" spans="4:12" ht="15.75" hidden="1" customHeight="1">
      <c r="D2001" s="668" t="s">
        <v>1276</v>
      </c>
      <c r="E2001" s="666" t="s">
        <v>1273</v>
      </c>
      <c r="F2001" s="670">
        <f>'BT-SI'!G11</f>
        <v>0</v>
      </c>
      <c r="H2001" s="204"/>
      <c r="I2001" s="204"/>
      <c r="J2001" s="204"/>
      <c r="K2001" s="204"/>
      <c r="L2001" s="204"/>
    </row>
    <row r="2002" spans="4:12" ht="15.75" hidden="1" customHeight="1">
      <c r="D2002" s="668" t="s">
        <v>1276</v>
      </c>
      <c r="E2002" s="666" t="s">
        <v>1274</v>
      </c>
      <c r="F2002" s="670">
        <f>'BT-SI'!H11</f>
        <v>0</v>
      </c>
    </row>
    <row r="2003" spans="4:12" ht="15.75" hidden="1" customHeight="1" thickBot="1">
      <c r="D2003" s="664" t="s">
        <v>1276</v>
      </c>
      <c r="E2003" s="444" t="s">
        <v>1275</v>
      </c>
      <c r="F2003" s="442">
        <f>'BT-SI'!I11</f>
        <v>0</v>
      </c>
    </row>
    <row r="2004" spans="4:12" ht="15.75" hidden="1" customHeight="1" thickBot="1">
      <c r="D2004" s="673"/>
      <c r="E2004" s="674"/>
      <c r="F2004" s="38">
        <f>SUM(F1986:F2003)</f>
        <v>0</v>
      </c>
    </row>
    <row r="2005" spans="4:12" ht="15.75" hidden="1" customHeight="1" thickBot="1">
      <c r="D2005" s="2008" t="s">
        <v>1584</v>
      </c>
      <c r="E2005" s="2009"/>
      <c r="F2005" s="48">
        <f>SUM(F2006:F2009)</f>
        <v>0</v>
      </c>
    </row>
    <row r="2006" spans="4:12" ht="15.75" hidden="1" customHeight="1">
      <c r="D2006" s="673"/>
      <c r="E2006" s="225" t="s">
        <v>1580</v>
      </c>
      <c r="F2006" s="455">
        <f>SUM('BT-SI'!L5:M5)</f>
        <v>0</v>
      </c>
    </row>
    <row r="2007" spans="4:12" ht="15.75" hidden="1" customHeight="1">
      <c r="D2007" s="673"/>
      <c r="E2007" s="107" t="s">
        <v>1581</v>
      </c>
      <c r="F2007" s="455">
        <f>SUM('BT-SI'!L6:M6)</f>
        <v>0</v>
      </c>
    </row>
    <row r="2008" spans="4:12" ht="15.75" hidden="1" customHeight="1">
      <c r="D2008" s="673"/>
      <c r="E2008" s="97" t="s">
        <v>1582</v>
      </c>
      <c r="F2008" s="455">
        <f>SUM('BT-SI'!L7:M7)</f>
        <v>0</v>
      </c>
    </row>
    <row r="2009" spans="4:12" ht="15.75" hidden="1" customHeight="1">
      <c r="D2009" s="673"/>
      <c r="E2009" s="107" t="s">
        <v>1583</v>
      </c>
      <c r="F2009" s="455">
        <f>SUM('BT-SI'!L8:M8)</f>
        <v>0</v>
      </c>
    </row>
    <row r="2010" spans="4:12" ht="15.75" hidden="1" customHeight="1" thickBot="1">
      <c r="D2010" s="673"/>
      <c r="E2010" s="674"/>
      <c r="F2010" s="38">
        <f>SUM(F2006:F2009)</f>
        <v>0</v>
      </c>
    </row>
    <row r="2011" spans="4:12" ht="15.75" hidden="1" customHeight="1" thickBot="1">
      <c r="E2011" s="48" t="s">
        <v>1277</v>
      </c>
      <c r="F2011" s="1014">
        <f>SUM(F2012:F2033)</f>
        <v>0</v>
      </c>
    </row>
    <row r="2012" spans="4:12" ht="15.75" hidden="1" customHeight="1">
      <c r="E2012" s="454" t="s">
        <v>74</v>
      </c>
      <c r="F2012" s="455">
        <f>SUM('BT-SI'!P5:R5)</f>
        <v>0</v>
      </c>
    </row>
    <row r="2013" spans="4:12" ht="15.75" hidden="1" customHeight="1">
      <c r="E2013" s="447" t="s">
        <v>75</v>
      </c>
      <c r="F2013" s="455">
        <f>SUM('BT-SI'!P6:R6)</f>
        <v>0</v>
      </c>
    </row>
    <row r="2014" spans="4:12" ht="15.75" hidden="1" customHeight="1">
      <c r="E2014" s="446" t="s">
        <v>76</v>
      </c>
      <c r="F2014" s="455">
        <f>SUM('BT-SI'!P7:R7)</f>
        <v>0</v>
      </c>
    </row>
    <row r="2015" spans="4:12" ht="15.75" hidden="1" customHeight="1">
      <c r="E2015" s="447" t="s">
        <v>77</v>
      </c>
      <c r="F2015" s="455">
        <f>SUM('BT-SI'!P8:R8)</f>
        <v>0</v>
      </c>
    </row>
    <row r="2016" spans="4:12" ht="15.75" hidden="1" customHeight="1">
      <c r="E2016" s="446" t="s">
        <v>100</v>
      </c>
      <c r="F2016" s="455">
        <f>SUM('BT-SI'!P9:R9)</f>
        <v>0</v>
      </c>
    </row>
    <row r="2017" spans="5:6" ht="15.75" hidden="1" customHeight="1">
      <c r="E2017" s="447" t="s">
        <v>78</v>
      </c>
      <c r="F2017" s="455">
        <f>SUM('BT-SI'!P10:R10)</f>
        <v>0</v>
      </c>
    </row>
    <row r="2018" spans="5:6" ht="15.75" hidden="1" customHeight="1">
      <c r="E2018" s="446" t="s">
        <v>79</v>
      </c>
      <c r="F2018" s="455">
        <f>SUM('BT-SI'!P11:R11)</f>
        <v>0</v>
      </c>
    </row>
    <row r="2019" spans="5:6" ht="15.75" hidden="1" customHeight="1">
      <c r="E2019" s="447" t="s">
        <v>80</v>
      </c>
      <c r="F2019" s="455">
        <f>SUM('BT-SI'!P12:R12)</f>
        <v>0</v>
      </c>
    </row>
    <row r="2020" spans="5:6" ht="15.75" hidden="1" customHeight="1">
      <c r="E2020" s="446" t="s">
        <v>81</v>
      </c>
      <c r="F2020" s="455">
        <f>SUM('BT-SI'!P13:R13)</f>
        <v>0</v>
      </c>
    </row>
    <row r="2021" spans="5:6" ht="15.75" hidden="1" customHeight="1">
      <c r="E2021" s="447" t="s">
        <v>82</v>
      </c>
      <c r="F2021" s="455">
        <f>SUM('BT-SI'!P14:R14)</f>
        <v>0</v>
      </c>
    </row>
    <row r="2022" spans="5:6" ht="15.75" hidden="1" customHeight="1">
      <c r="E2022" s="446" t="s">
        <v>83</v>
      </c>
      <c r="F2022" s="455">
        <f>SUM('BT-SI'!P15:R15)</f>
        <v>0</v>
      </c>
    </row>
    <row r="2023" spans="5:6" ht="15.75" hidden="1" customHeight="1">
      <c r="E2023" s="447" t="s">
        <v>85</v>
      </c>
      <c r="F2023" s="455">
        <f>SUM('BT-SI'!P16:R16)</f>
        <v>0</v>
      </c>
    </row>
    <row r="2024" spans="5:6" ht="15.75" hidden="1" customHeight="1">
      <c r="E2024" s="446" t="s">
        <v>84</v>
      </c>
      <c r="F2024" s="455">
        <f>SUM('BT-SI'!P17:R17)</f>
        <v>0</v>
      </c>
    </row>
    <row r="2025" spans="5:6" ht="15.75" hidden="1" customHeight="1">
      <c r="E2025" s="447" t="s">
        <v>86</v>
      </c>
      <c r="F2025" s="455">
        <f>SUM('BT-SI'!P18:R18)</f>
        <v>0</v>
      </c>
    </row>
    <row r="2026" spans="5:6" ht="15.75" hidden="1" customHeight="1">
      <c r="E2026" s="446" t="s">
        <v>87</v>
      </c>
      <c r="F2026" s="455">
        <f>SUM('BT-SI'!P19:R19)</f>
        <v>0</v>
      </c>
    </row>
    <row r="2027" spans="5:6" ht="15.75" hidden="1" customHeight="1">
      <c r="E2027" s="447" t="s">
        <v>101</v>
      </c>
      <c r="F2027" s="455">
        <f>SUM('BT-SI'!P20:R20)</f>
        <v>0</v>
      </c>
    </row>
    <row r="2028" spans="5:6" ht="15.75" hidden="1" customHeight="1">
      <c r="E2028" s="446" t="s">
        <v>88</v>
      </c>
      <c r="F2028" s="455">
        <f>SUM('BT-SI'!P21:R21)</f>
        <v>0</v>
      </c>
    </row>
    <row r="2029" spans="5:6" ht="15.75" hidden="1" customHeight="1">
      <c r="E2029" s="447" t="s">
        <v>89</v>
      </c>
      <c r="F2029" s="455">
        <f>SUM('BT-SI'!P22:R22)</f>
        <v>0</v>
      </c>
    </row>
    <row r="2030" spans="5:6" ht="15.75" hidden="1" customHeight="1">
      <c r="E2030" s="446" t="s">
        <v>90</v>
      </c>
      <c r="F2030" s="455">
        <f>SUM('BT-SI'!P23:R23)</f>
        <v>0</v>
      </c>
    </row>
    <row r="2031" spans="5:6" ht="15.75" hidden="1" customHeight="1">
      <c r="E2031" s="447" t="s">
        <v>93</v>
      </c>
      <c r="F2031" s="455">
        <f>SUM('BT-SI'!P24:R24)</f>
        <v>0</v>
      </c>
    </row>
    <row r="2032" spans="5:6" ht="15.75" hidden="1" customHeight="1">
      <c r="E2032" s="446" t="s">
        <v>91</v>
      </c>
      <c r="F2032" s="455">
        <f>SUM('BT-SI'!P25:R25)</f>
        <v>0</v>
      </c>
    </row>
    <row r="2033" spans="4:6" ht="15.75" hidden="1" customHeight="1" thickBot="1">
      <c r="E2033" s="448" t="s">
        <v>92</v>
      </c>
      <c r="F2033" s="455">
        <f>SUM('BT-SI'!P26:R26)</f>
        <v>0</v>
      </c>
    </row>
    <row r="2034" spans="4:6" ht="15.75" hidden="1" customHeight="1" thickBot="1">
      <c r="F2034" s="280">
        <f>SUM(F2012:F2033)</f>
        <v>0</v>
      </c>
    </row>
    <row r="2035" spans="4:6" ht="15.75" hidden="1" customHeight="1" thickBot="1">
      <c r="D2035" s="1670" t="s">
        <v>1279</v>
      </c>
      <c r="E2035" s="1994"/>
      <c r="F2035" s="300">
        <f>SUM(F2036:F2057)</f>
        <v>0</v>
      </c>
    </row>
    <row r="2036" spans="4:6" ht="15.75" hidden="1" customHeight="1">
      <c r="E2036" s="454" t="s">
        <v>74</v>
      </c>
      <c r="F2036" s="455">
        <f>SUM('BT-SI'!U5:W5)</f>
        <v>0</v>
      </c>
    </row>
    <row r="2037" spans="4:6" ht="15.75" hidden="1" customHeight="1">
      <c r="E2037" s="447" t="s">
        <v>75</v>
      </c>
      <c r="F2037" s="455">
        <f>SUM('BT-SI'!U6:W6)</f>
        <v>0</v>
      </c>
    </row>
    <row r="2038" spans="4:6" ht="15.75" hidden="1" customHeight="1">
      <c r="E2038" s="446" t="s">
        <v>76</v>
      </c>
      <c r="F2038" s="455">
        <f>SUM('BT-SI'!U7:W7)</f>
        <v>0</v>
      </c>
    </row>
    <row r="2039" spans="4:6" ht="15.75" hidden="1" customHeight="1">
      <c r="E2039" s="447" t="s">
        <v>77</v>
      </c>
      <c r="F2039" s="455">
        <f>SUM('BT-SI'!U8:W8)</f>
        <v>0</v>
      </c>
    </row>
    <row r="2040" spans="4:6" ht="15.75" hidden="1" customHeight="1">
      <c r="E2040" s="446" t="s">
        <v>100</v>
      </c>
      <c r="F2040" s="455">
        <f>SUM('BT-SI'!U9:W9)</f>
        <v>0</v>
      </c>
    </row>
    <row r="2041" spans="4:6" ht="15.75" hidden="1" customHeight="1">
      <c r="E2041" s="447" t="s">
        <v>78</v>
      </c>
      <c r="F2041" s="455">
        <f>SUM('BT-SI'!U10:W10)</f>
        <v>0</v>
      </c>
    </row>
    <row r="2042" spans="4:6" ht="15.75" hidden="1" customHeight="1">
      <c r="E2042" s="446" t="s">
        <v>79</v>
      </c>
      <c r="F2042" s="455">
        <f>SUM('BT-SI'!U11:W11)</f>
        <v>0</v>
      </c>
    </row>
    <row r="2043" spans="4:6" ht="15.75" hidden="1" customHeight="1">
      <c r="E2043" s="447" t="s">
        <v>80</v>
      </c>
      <c r="F2043" s="455">
        <f>SUM('BT-SI'!U12:W12)</f>
        <v>0</v>
      </c>
    </row>
    <row r="2044" spans="4:6" ht="15.75" hidden="1" customHeight="1">
      <c r="E2044" s="446" t="s">
        <v>81</v>
      </c>
      <c r="F2044" s="455">
        <f>SUM('BT-SI'!U13:W13)</f>
        <v>0</v>
      </c>
    </row>
    <row r="2045" spans="4:6" ht="15.75" hidden="1" customHeight="1">
      <c r="E2045" s="447" t="s">
        <v>82</v>
      </c>
      <c r="F2045" s="455">
        <f>SUM('BT-SI'!U14:W14)</f>
        <v>0</v>
      </c>
    </row>
    <row r="2046" spans="4:6" ht="15.75" hidden="1" customHeight="1">
      <c r="E2046" s="446" t="s">
        <v>83</v>
      </c>
      <c r="F2046" s="455">
        <f>SUM('BT-SI'!U15:W15)</f>
        <v>0</v>
      </c>
    </row>
    <row r="2047" spans="4:6" ht="15.75" hidden="1" customHeight="1">
      <c r="E2047" s="447" t="s">
        <v>85</v>
      </c>
      <c r="F2047" s="455">
        <f>SUM('BT-SI'!U16:W16)</f>
        <v>0</v>
      </c>
    </row>
    <row r="2048" spans="4:6" ht="15.75" hidden="1" customHeight="1">
      <c r="E2048" s="446" t="s">
        <v>84</v>
      </c>
      <c r="F2048" s="455">
        <f>SUM('BT-SI'!U17:W17)</f>
        <v>0</v>
      </c>
    </row>
    <row r="2049" spans="4:6" ht="15.75" hidden="1" customHeight="1">
      <c r="E2049" s="447" t="s">
        <v>86</v>
      </c>
      <c r="F2049" s="455">
        <f>SUM('BT-SI'!U18:W18)</f>
        <v>0</v>
      </c>
    </row>
    <row r="2050" spans="4:6" ht="15.75" hidden="1" customHeight="1">
      <c r="E2050" s="446" t="s">
        <v>87</v>
      </c>
      <c r="F2050" s="455">
        <f>SUM('BT-SI'!U19:W19)</f>
        <v>0</v>
      </c>
    </row>
    <row r="2051" spans="4:6" ht="15.75" hidden="1" customHeight="1">
      <c r="E2051" s="447" t="s">
        <v>101</v>
      </c>
      <c r="F2051" s="455">
        <f>SUM('BT-SI'!U20:W20)</f>
        <v>0</v>
      </c>
    </row>
    <row r="2052" spans="4:6" ht="15.75" hidden="1" customHeight="1">
      <c r="E2052" s="446" t="s">
        <v>88</v>
      </c>
      <c r="F2052" s="455">
        <f>SUM('BT-SI'!U21:W21)</f>
        <v>0</v>
      </c>
    </row>
    <row r="2053" spans="4:6" ht="15.75" hidden="1" customHeight="1">
      <c r="E2053" s="447" t="s">
        <v>89</v>
      </c>
      <c r="F2053" s="455">
        <f>SUM('BT-SI'!U22:W22)</f>
        <v>0</v>
      </c>
    </row>
    <row r="2054" spans="4:6" ht="15.75" hidden="1" customHeight="1">
      <c r="E2054" s="446" t="s">
        <v>90</v>
      </c>
      <c r="F2054" s="455">
        <f>SUM('BT-SI'!U23:W23)</f>
        <v>0</v>
      </c>
    </row>
    <row r="2055" spans="4:6" ht="15.75" hidden="1" customHeight="1">
      <c r="E2055" s="447" t="s">
        <v>93</v>
      </c>
      <c r="F2055" s="455">
        <f>SUM('BT-SI'!U24:W24)</f>
        <v>0</v>
      </c>
    </row>
    <row r="2056" spans="4:6" ht="15.75" hidden="1" customHeight="1">
      <c r="E2056" s="446" t="s">
        <v>91</v>
      </c>
      <c r="F2056" s="455">
        <f>SUM('BT-SI'!U25:W25)</f>
        <v>0</v>
      </c>
    </row>
    <row r="2057" spans="4:6" ht="15.75" hidden="1" customHeight="1" thickBot="1">
      <c r="E2057" s="448" t="s">
        <v>92</v>
      </c>
      <c r="F2057" s="455">
        <f>SUM('BT-SI'!U26:W26)</f>
        <v>0</v>
      </c>
    </row>
    <row r="2058" spans="4:6" ht="15.75" hidden="1" customHeight="1" thickBot="1">
      <c r="F2058" s="280">
        <f>SUM(F2036:F2057)</f>
        <v>0</v>
      </c>
    </row>
    <row r="2059" spans="4:6" ht="15.75" hidden="1" customHeight="1" thickBot="1">
      <c r="D2059" s="1670" t="s">
        <v>1367</v>
      </c>
      <c r="E2059" s="1994"/>
      <c r="F2059" s="300">
        <f>SUM(F2060:F2081)</f>
        <v>0</v>
      </c>
    </row>
    <row r="2060" spans="4:6" ht="15.75" hidden="1" customHeight="1">
      <c r="E2060" s="454" t="s">
        <v>74</v>
      </c>
      <c r="F2060" s="455">
        <f>SUM('BT-SI'!Z5:AB5)</f>
        <v>0</v>
      </c>
    </row>
    <row r="2061" spans="4:6" ht="15.75" hidden="1" customHeight="1">
      <c r="E2061" s="447" t="s">
        <v>75</v>
      </c>
      <c r="F2061" s="455">
        <f>SUM('BT-SI'!Z6:AB6)</f>
        <v>0</v>
      </c>
    </row>
    <row r="2062" spans="4:6" ht="15.75" hidden="1" customHeight="1">
      <c r="E2062" s="446" t="s">
        <v>76</v>
      </c>
      <c r="F2062" s="455">
        <f>SUM('BT-SI'!Z7:AB7)</f>
        <v>0</v>
      </c>
    </row>
    <row r="2063" spans="4:6" ht="15.75" hidden="1" customHeight="1">
      <c r="E2063" s="447" t="s">
        <v>77</v>
      </c>
      <c r="F2063" s="455">
        <f>SUM('BT-SI'!Z8:AB8)</f>
        <v>0</v>
      </c>
    </row>
    <row r="2064" spans="4:6" ht="15.75" hidden="1" customHeight="1">
      <c r="E2064" s="446" t="s">
        <v>100</v>
      </c>
      <c r="F2064" s="455">
        <f>SUM('BT-SI'!Z9:AB9)</f>
        <v>0</v>
      </c>
    </row>
    <row r="2065" spans="5:6" ht="15.75" hidden="1" customHeight="1">
      <c r="E2065" s="447" t="s">
        <v>78</v>
      </c>
      <c r="F2065" s="455">
        <f>SUM('BT-SI'!Z10:AB10)</f>
        <v>0</v>
      </c>
    </row>
    <row r="2066" spans="5:6" ht="15.75" hidden="1" customHeight="1">
      <c r="E2066" s="446" t="s">
        <v>79</v>
      </c>
      <c r="F2066" s="455">
        <f>SUM('BT-SI'!Z11:AB11)</f>
        <v>0</v>
      </c>
    </row>
    <row r="2067" spans="5:6" ht="15.75" hidden="1" customHeight="1">
      <c r="E2067" s="447" t="s">
        <v>80</v>
      </c>
      <c r="F2067" s="455">
        <f>SUM('BT-SI'!Z12:AB12)</f>
        <v>0</v>
      </c>
    </row>
    <row r="2068" spans="5:6" ht="15.75" hidden="1" customHeight="1">
      <c r="E2068" s="446" t="s">
        <v>81</v>
      </c>
      <c r="F2068" s="455">
        <f>SUM('BT-SI'!Z13:AB13)</f>
        <v>0</v>
      </c>
    </row>
    <row r="2069" spans="5:6" ht="15.75" hidden="1" customHeight="1">
      <c r="E2069" s="447" t="s">
        <v>82</v>
      </c>
      <c r="F2069" s="455">
        <f>SUM('BT-SI'!Z14:AB14)</f>
        <v>0</v>
      </c>
    </row>
    <row r="2070" spans="5:6" ht="15.75" hidden="1" customHeight="1">
      <c r="E2070" s="446" t="s">
        <v>83</v>
      </c>
      <c r="F2070" s="455">
        <f>SUM('BT-SI'!Z15:AB15)</f>
        <v>0</v>
      </c>
    </row>
    <row r="2071" spans="5:6" ht="15.75" hidden="1" customHeight="1">
      <c r="E2071" s="447" t="s">
        <v>85</v>
      </c>
      <c r="F2071" s="455">
        <f>SUM('BT-SI'!Z16:AB16)</f>
        <v>0</v>
      </c>
    </row>
    <row r="2072" spans="5:6" ht="15.75" hidden="1" customHeight="1">
      <c r="E2072" s="446" t="s">
        <v>84</v>
      </c>
      <c r="F2072" s="455">
        <f>SUM('BT-SI'!Z17:AB17)</f>
        <v>0</v>
      </c>
    </row>
    <row r="2073" spans="5:6" ht="15.75" hidden="1" customHeight="1">
      <c r="E2073" s="447" t="s">
        <v>86</v>
      </c>
      <c r="F2073" s="455">
        <f>SUM('BT-SI'!Z18:AB18)</f>
        <v>0</v>
      </c>
    </row>
    <row r="2074" spans="5:6" ht="15.75" hidden="1" customHeight="1">
      <c r="E2074" s="446" t="s">
        <v>87</v>
      </c>
      <c r="F2074" s="455">
        <f>SUM('BT-SI'!Z19:AB19)</f>
        <v>0</v>
      </c>
    </row>
    <row r="2075" spans="5:6" ht="15.75" hidden="1" customHeight="1">
      <c r="E2075" s="447" t="s">
        <v>101</v>
      </c>
      <c r="F2075" s="455">
        <f>SUM('BT-SI'!Z20:AB20)</f>
        <v>0</v>
      </c>
    </row>
    <row r="2076" spans="5:6" ht="15.75" hidden="1" customHeight="1">
      <c r="E2076" s="446" t="s">
        <v>88</v>
      </c>
      <c r="F2076" s="455">
        <f>SUM('BT-SI'!Z21:AB21)</f>
        <v>0</v>
      </c>
    </row>
    <row r="2077" spans="5:6" ht="15.75" hidden="1" customHeight="1">
      <c r="E2077" s="447" t="s">
        <v>89</v>
      </c>
      <c r="F2077" s="455">
        <f>SUM('BT-SI'!Z22:AB22)</f>
        <v>0</v>
      </c>
    </row>
    <row r="2078" spans="5:6" ht="15.75" hidden="1" customHeight="1">
      <c r="E2078" s="446" t="s">
        <v>90</v>
      </c>
      <c r="F2078" s="455">
        <f>SUM('BT-SI'!Z23:AB23)</f>
        <v>0</v>
      </c>
    </row>
    <row r="2079" spans="5:6" ht="15.75" hidden="1" customHeight="1">
      <c r="E2079" s="447" t="s">
        <v>93</v>
      </c>
      <c r="F2079" s="455">
        <f>SUM('BT-SI'!Z24:AB24)</f>
        <v>0</v>
      </c>
    </row>
    <row r="2080" spans="5:6" ht="15.75" hidden="1" customHeight="1">
      <c r="E2080" s="446" t="s">
        <v>91</v>
      </c>
      <c r="F2080" s="455">
        <f>SUM('BT-SI'!Z25:AB25)</f>
        <v>0</v>
      </c>
    </row>
    <row r="2081" spans="5:6" ht="15.75" hidden="1" customHeight="1" thickBot="1">
      <c r="E2081" s="448" t="s">
        <v>92</v>
      </c>
      <c r="F2081" s="455">
        <f>SUM('BT-SI'!Z26:AB26)</f>
        <v>0</v>
      </c>
    </row>
    <row r="2082" spans="5:6" ht="15.75" hidden="1" customHeight="1" thickBot="1">
      <c r="F2082" s="280">
        <f>SUM(F2060:F2081)</f>
        <v>0</v>
      </c>
    </row>
    <row r="2083" spans="5:6" ht="15.75" hidden="1" customHeight="1">
      <c r="E2083" s="672" t="s">
        <v>1278</v>
      </c>
      <c r="F2083" s="671">
        <f>SUM(F2084:F2105)</f>
        <v>0</v>
      </c>
    </row>
    <row r="2084" spans="5:6" ht="15.75" hidden="1" customHeight="1">
      <c r="E2084" s="446" t="s">
        <v>74</v>
      </c>
      <c r="F2084" s="455">
        <f>SUM('BT-SI'!AE5:AG5)</f>
        <v>0</v>
      </c>
    </row>
    <row r="2085" spans="5:6" ht="15.75" hidden="1" customHeight="1">
      <c r="E2085" s="447" t="s">
        <v>75</v>
      </c>
      <c r="F2085" s="455">
        <f>SUM('BT-SI'!AE6:AG6)</f>
        <v>0</v>
      </c>
    </row>
    <row r="2086" spans="5:6" ht="15.75" hidden="1" customHeight="1">
      <c r="E2086" s="446" t="s">
        <v>76</v>
      </c>
      <c r="F2086" s="455">
        <f>SUM('BT-SI'!AE7:AG7)</f>
        <v>0</v>
      </c>
    </row>
    <row r="2087" spans="5:6" ht="15.75" hidden="1" customHeight="1">
      <c r="E2087" s="447" t="s">
        <v>77</v>
      </c>
      <c r="F2087" s="455">
        <f>SUM('BT-SI'!AE8:AG8)</f>
        <v>0</v>
      </c>
    </row>
    <row r="2088" spans="5:6" ht="15.75" hidden="1" customHeight="1">
      <c r="E2088" s="446" t="s">
        <v>100</v>
      </c>
      <c r="F2088" s="455">
        <f>SUM('BT-SI'!AE9:AG9)</f>
        <v>0</v>
      </c>
    </row>
    <row r="2089" spans="5:6" ht="15.75" hidden="1" customHeight="1">
      <c r="E2089" s="447" t="s">
        <v>78</v>
      </c>
      <c r="F2089" s="455">
        <f>SUM('BT-SI'!AE10:AG10)</f>
        <v>0</v>
      </c>
    </row>
    <row r="2090" spans="5:6" ht="15.75" hidden="1" customHeight="1">
      <c r="E2090" s="446" t="s">
        <v>79</v>
      </c>
      <c r="F2090" s="455">
        <f>SUM('BT-SI'!AE11:AG11)</f>
        <v>0</v>
      </c>
    </row>
    <row r="2091" spans="5:6" ht="15.75" hidden="1" customHeight="1">
      <c r="E2091" s="447" t="s">
        <v>80</v>
      </c>
      <c r="F2091" s="455">
        <f>SUM('BT-SI'!AE12:AG12)</f>
        <v>0</v>
      </c>
    </row>
    <row r="2092" spans="5:6" ht="15.75" hidden="1" customHeight="1">
      <c r="E2092" s="446" t="s">
        <v>81</v>
      </c>
      <c r="F2092" s="455">
        <f>SUM('BT-SI'!AE13:AG13)</f>
        <v>0</v>
      </c>
    </row>
    <row r="2093" spans="5:6" ht="15.75" hidden="1" customHeight="1">
      <c r="E2093" s="447" t="s">
        <v>82</v>
      </c>
      <c r="F2093" s="455">
        <f>SUM('BT-SI'!AE14:AG14)</f>
        <v>0</v>
      </c>
    </row>
    <row r="2094" spans="5:6" ht="15.75" hidden="1" customHeight="1">
      <c r="E2094" s="446" t="s">
        <v>83</v>
      </c>
      <c r="F2094" s="455">
        <f>SUM('BT-SI'!AE15:AG15)</f>
        <v>0</v>
      </c>
    </row>
    <row r="2095" spans="5:6" ht="15.75" hidden="1" customHeight="1">
      <c r="E2095" s="447" t="s">
        <v>85</v>
      </c>
      <c r="F2095" s="455">
        <f>SUM('BT-SI'!AE16:AG16)</f>
        <v>0</v>
      </c>
    </row>
    <row r="2096" spans="5:6" ht="15.75" hidden="1" customHeight="1">
      <c r="E2096" s="446" t="s">
        <v>84</v>
      </c>
      <c r="F2096" s="455">
        <f>SUM('BT-SI'!AE17:AG17)</f>
        <v>0</v>
      </c>
    </row>
    <row r="2097" spans="1:6" ht="15.75" hidden="1" customHeight="1">
      <c r="E2097" s="447" t="s">
        <v>86</v>
      </c>
      <c r="F2097" s="455">
        <f>SUM('BT-SI'!AE18:AG18)</f>
        <v>0</v>
      </c>
    </row>
    <row r="2098" spans="1:6" ht="15.75" hidden="1" customHeight="1">
      <c r="E2098" s="446" t="s">
        <v>87</v>
      </c>
      <c r="F2098" s="455">
        <f>SUM('BT-SI'!AE19:AG19)</f>
        <v>0</v>
      </c>
    </row>
    <row r="2099" spans="1:6" ht="15.75" hidden="1" customHeight="1">
      <c r="E2099" s="447" t="s">
        <v>101</v>
      </c>
      <c r="F2099" s="455">
        <f>SUM('BT-SI'!AE20:AG20)</f>
        <v>0</v>
      </c>
    </row>
    <row r="2100" spans="1:6" ht="15.75" hidden="1" customHeight="1">
      <c r="E2100" s="446" t="s">
        <v>88</v>
      </c>
      <c r="F2100" s="455">
        <f>SUM('BT-SI'!AE21:AG21)</f>
        <v>0</v>
      </c>
    </row>
    <row r="2101" spans="1:6" ht="15.75" hidden="1" customHeight="1">
      <c r="E2101" s="447" t="s">
        <v>89</v>
      </c>
      <c r="F2101" s="455">
        <f>SUM('BT-SI'!AE22:AG22)</f>
        <v>0</v>
      </c>
    </row>
    <row r="2102" spans="1:6" ht="15.75" hidden="1" customHeight="1">
      <c r="E2102" s="446" t="s">
        <v>90</v>
      </c>
      <c r="F2102" s="455">
        <f>SUM('BT-SI'!AE23:AG23)</f>
        <v>0</v>
      </c>
    </row>
    <row r="2103" spans="1:6" ht="15.75" hidden="1" customHeight="1">
      <c r="E2103" s="447" t="s">
        <v>93</v>
      </c>
      <c r="F2103" s="455">
        <f>SUM('BT-SI'!AE24:AG24)</f>
        <v>0</v>
      </c>
    </row>
    <row r="2104" spans="1:6" ht="15.75" hidden="1" customHeight="1">
      <c r="E2104" s="446" t="s">
        <v>91</v>
      </c>
      <c r="F2104" s="455">
        <f>SUM('BT-SI'!AE25:AG25)</f>
        <v>0</v>
      </c>
    </row>
    <row r="2105" spans="1:6" ht="15.75" hidden="1" customHeight="1" thickBot="1">
      <c r="E2105" s="448" t="s">
        <v>92</v>
      </c>
      <c r="F2105" s="455">
        <f>SUM('BT-SI'!AE26:AG26)</f>
        <v>0</v>
      </c>
    </row>
    <row r="2106" spans="1:6" ht="15.75" hidden="1" customHeight="1" thickBot="1">
      <c r="F2106" s="280">
        <f>SUM(F2084:F2105)</f>
        <v>0</v>
      </c>
    </row>
    <row r="2107" spans="1:6" ht="15.75" hidden="1" customHeight="1" thickBot="1">
      <c r="A2107" s="1668" t="s">
        <v>1369</v>
      </c>
      <c r="B2107" s="2001"/>
      <c r="C2107" s="2001"/>
      <c r="D2107" s="2001"/>
      <c r="E2107" s="1669"/>
      <c r="F2107" s="773">
        <f>SUM(F2108:F2129)</f>
        <v>0</v>
      </c>
    </row>
    <row r="2108" spans="1:6" ht="15.75" hidden="1" customHeight="1">
      <c r="E2108" s="454" t="s">
        <v>74</v>
      </c>
      <c r="F2108" s="455">
        <f>SUM('BT-SI'!AJ5:AL5)</f>
        <v>0</v>
      </c>
    </row>
    <row r="2109" spans="1:6" ht="15.75" hidden="1" customHeight="1">
      <c r="E2109" s="447" t="s">
        <v>75</v>
      </c>
      <c r="F2109" s="455">
        <f>SUM('BT-SI'!AJ6:AL6)</f>
        <v>0</v>
      </c>
    </row>
    <row r="2110" spans="1:6" ht="15.75" hidden="1" customHeight="1">
      <c r="E2110" s="446" t="s">
        <v>76</v>
      </c>
      <c r="F2110" s="455">
        <f>SUM('BT-SI'!AJ7:AL7)</f>
        <v>0</v>
      </c>
    </row>
    <row r="2111" spans="1:6" ht="15.75" hidden="1" customHeight="1">
      <c r="E2111" s="447" t="s">
        <v>77</v>
      </c>
      <c r="F2111" s="455">
        <f>SUM('BT-SI'!AJ8:AL8)</f>
        <v>0</v>
      </c>
    </row>
    <row r="2112" spans="1:6" ht="15.75" hidden="1" customHeight="1">
      <c r="E2112" s="446" t="s">
        <v>100</v>
      </c>
      <c r="F2112" s="455">
        <f>SUM('BT-SI'!AJ9:AL9)</f>
        <v>0</v>
      </c>
    </row>
    <row r="2113" spans="5:6" ht="15.75" hidden="1" customHeight="1">
      <c r="E2113" s="447" t="s">
        <v>78</v>
      </c>
      <c r="F2113" s="455">
        <f>SUM('BT-SI'!AJ10:AL10)</f>
        <v>0</v>
      </c>
    </row>
    <row r="2114" spans="5:6" ht="15.75" hidden="1" customHeight="1">
      <c r="E2114" s="446" t="s">
        <v>79</v>
      </c>
      <c r="F2114" s="455">
        <f>SUM('BT-SI'!AJ11:AL11)</f>
        <v>0</v>
      </c>
    </row>
    <row r="2115" spans="5:6" ht="15.75" hidden="1" customHeight="1">
      <c r="E2115" s="447" t="s">
        <v>80</v>
      </c>
      <c r="F2115" s="455">
        <f>SUM('BT-SI'!AJ12:AL12)</f>
        <v>0</v>
      </c>
    </row>
    <row r="2116" spans="5:6" ht="15.75" hidden="1" customHeight="1">
      <c r="E2116" s="446" t="s">
        <v>81</v>
      </c>
      <c r="F2116" s="455">
        <f>SUM('BT-SI'!AJ13:AL13)</f>
        <v>0</v>
      </c>
    </row>
    <row r="2117" spans="5:6" ht="15.75" hidden="1" customHeight="1">
      <c r="E2117" s="447" t="s">
        <v>82</v>
      </c>
      <c r="F2117" s="455">
        <f>SUM('BT-SI'!AJ14:AL14)</f>
        <v>0</v>
      </c>
    </row>
    <row r="2118" spans="5:6" ht="15.75" hidden="1" customHeight="1">
      <c r="E2118" s="446" t="s">
        <v>83</v>
      </c>
      <c r="F2118" s="455">
        <f>SUM('BT-SI'!AJ15:AL15)</f>
        <v>0</v>
      </c>
    </row>
    <row r="2119" spans="5:6" ht="15.75" hidden="1" customHeight="1">
      <c r="E2119" s="447" t="s">
        <v>85</v>
      </c>
      <c r="F2119" s="455">
        <f>SUM('BT-SI'!AJ16:AL16)</f>
        <v>0</v>
      </c>
    </row>
    <row r="2120" spans="5:6" ht="15.75" hidden="1" customHeight="1">
      <c r="E2120" s="446" t="s">
        <v>84</v>
      </c>
      <c r="F2120" s="455">
        <f>SUM('BT-SI'!AJ17:AL17)</f>
        <v>0</v>
      </c>
    </row>
    <row r="2121" spans="5:6" ht="15.75" hidden="1" customHeight="1">
      <c r="E2121" s="447" t="s">
        <v>86</v>
      </c>
      <c r="F2121" s="455">
        <f>SUM('BT-SI'!AJ18:AL18)</f>
        <v>0</v>
      </c>
    </row>
    <row r="2122" spans="5:6" ht="15.75" hidden="1" customHeight="1">
      <c r="E2122" s="446" t="s">
        <v>87</v>
      </c>
      <c r="F2122" s="455">
        <f>SUM('BT-SI'!AJ19:AL19)</f>
        <v>0</v>
      </c>
    </row>
    <row r="2123" spans="5:6" ht="15.75" hidden="1" customHeight="1">
      <c r="E2123" s="447" t="s">
        <v>101</v>
      </c>
      <c r="F2123" s="455">
        <f>SUM('BT-SI'!AJ20:AL20)</f>
        <v>0</v>
      </c>
    </row>
    <row r="2124" spans="5:6" ht="15.75" hidden="1" customHeight="1">
      <c r="E2124" s="446" t="s">
        <v>88</v>
      </c>
      <c r="F2124" s="455">
        <f>SUM('BT-SI'!AJ21:AL21)</f>
        <v>0</v>
      </c>
    </row>
    <row r="2125" spans="5:6" ht="15.75" hidden="1" customHeight="1">
      <c r="E2125" s="447" t="s">
        <v>89</v>
      </c>
      <c r="F2125" s="455">
        <f>SUM('BT-SI'!AJ22:AL22)</f>
        <v>0</v>
      </c>
    </row>
    <row r="2126" spans="5:6" ht="15.75" hidden="1" customHeight="1">
      <c r="E2126" s="446" t="s">
        <v>90</v>
      </c>
      <c r="F2126" s="455">
        <f>SUM('BT-SI'!AJ23:AL23)</f>
        <v>0</v>
      </c>
    </row>
    <row r="2127" spans="5:6" ht="15.75" hidden="1" customHeight="1">
      <c r="E2127" s="447" t="s">
        <v>93</v>
      </c>
      <c r="F2127" s="455">
        <f>SUM('BT-SI'!AJ24:AL24)</f>
        <v>0</v>
      </c>
    </row>
    <row r="2128" spans="5:6" ht="15.75" hidden="1" customHeight="1">
      <c r="E2128" s="446" t="s">
        <v>91</v>
      </c>
      <c r="F2128" s="455">
        <f>SUM('BT-SI'!AJ25:AL25)</f>
        <v>0</v>
      </c>
    </row>
    <row r="2129" spans="1:6" ht="15.75" hidden="1" customHeight="1" thickBot="1">
      <c r="E2129" s="448" t="s">
        <v>92</v>
      </c>
      <c r="F2129" s="455">
        <f>SUM('BT-SI'!AJ26:AL26)</f>
        <v>0</v>
      </c>
    </row>
    <row r="2130" spans="1:6" ht="15.75" hidden="1" customHeight="1" thickBot="1">
      <c r="F2130" s="280">
        <f>SUM(F2108:F2129)</f>
        <v>0</v>
      </c>
    </row>
    <row r="2131" spans="1:6" ht="15.75" hidden="1" customHeight="1" thickBot="1">
      <c r="A2131" s="2005" t="s">
        <v>1368</v>
      </c>
      <c r="B2131" s="2006"/>
      <c r="C2131" s="2006"/>
      <c r="D2131" s="2006"/>
      <c r="E2131" s="2007"/>
      <c r="F2131" s="675">
        <f>SUM(F2132:F2153)</f>
        <v>0</v>
      </c>
    </row>
    <row r="2132" spans="1:6" ht="15.75" hidden="1" customHeight="1">
      <c r="E2132" s="446" t="s">
        <v>74</v>
      </c>
      <c r="F2132" s="455">
        <f>SUM('BT-SI'!AO5:AR5)</f>
        <v>0</v>
      </c>
    </row>
    <row r="2133" spans="1:6" ht="15.75" hidden="1" customHeight="1">
      <c r="E2133" s="447" t="s">
        <v>75</v>
      </c>
      <c r="F2133" s="455">
        <f>SUM('BT-SI'!AO6:AR6)</f>
        <v>0</v>
      </c>
    </row>
    <row r="2134" spans="1:6" ht="15.75" hidden="1" customHeight="1">
      <c r="E2134" s="446" t="s">
        <v>76</v>
      </c>
      <c r="F2134" s="455">
        <f>SUM('BT-SI'!AO7:AR7)</f>
        <v>0</v>
      </c>
    </row>
    <row r="2135" spans="1:6" ht="15.75" hidden="1" customHeight="1">
      <c r="E2135" s="447" t="s">
        <v>77</v>
      </c>
      <c r="F2135" s="455">
        <f>SUM('BT-SI'!AO8:AR8)</f>
        <v>0</v>
      </c>
    </row>
    <row r="2136" spans="1:6" ht="15.75" hidden="1" customHeight="1">
      <c r="E2136" s="446" t="s">
        <v>100</v>
      </c>
      <c r="F2136" s="455">
        <f>SUM('BT-SI'!AO9:AR9)</f>
        <v>0</v>
      </c>
    </row>
    <row r="2137" spans="1:6" ht="15.75" hidden="1" customHeight="1">
      <c r="E2137" s="447" t="s">
        <v>78</v>
      </c>
      <c r="F2137" s="455">
        <f>SUM('BT-SI'!AO10:AR10)</f>
        <v>0</v>
      </c>
    </row>
    <row r="2138" spans="1:6" ht="15.75" hidden="1" customHeight="1">
      <c r="E2138" s="446" t="s">
        <v>79</v>
      </c>
      <c r="F2138" s="455">
        <f>SUM('BT-SI'!AO11:AR11)</f>
        <v>0</v>
      </c>
    </row>
    <row r="2139" spans="1:6" ht="15.75" hidden="1" customHeight="1">
      <c r="E2139" s="447" t="s">
        <v>80</v>
      </c>
      <c r="F2139" s="455">
        <f>SUM('BT-SI'!AO12:AR12)</f>
        <v>0</v>
      </c>
    </row>
    <row r="2140" spans="1:6" ht="15.75" hidden="1" customHeight="1">
      <c r="E2140" s="446" t="s">
        <v>81</v>
      </c>
      <c r="F2140" s="455">
        <f>SUM('BT-SI'!AO13:AR13)</f>
        <v>0</v>
      </c>
    </row>
    <row r="2141" spans="1:6" ht="15.75" hidden="1" customHeight="1">
      <c r="E2141" s="447" t="s">
        <v>82</v>
      </c>
      <c r="F2141" s="455">
        <f>SUM('BT-SI'!AO14:AR14)</f>
        <v>0</v>
      </c>
    </row>
    <row r="2142" spans="1:6" ht="15.75" hidden="1" customHeight="1">
      <c r="E2142" s="446" t="s">
        <v>83</v>
      </c>
      <c r="F2142" s="455">
        <f>SUM('BT-SI'!AO15:AR15)</f>
        <v>0</v>
      </c>
    </row>
    <row r="2143" spans="1:6" ht="15.75" hidden="1" customHeight="1">
      <c r="E2143" s="447" t="s">
        <v>85</v>
      </c>
      <c r="F2143" s="455">
        <f>SUM('BT-SI'!AO16:AR16)</f>
        <v>0</v>
      </c>
    </row>
    <row r="2144" spans="1:6" ht="15.75" hidden="1" customHeight="1">
      <c r="E2144" s="446" t="s">
        <v>84</v>
      </c>
      <c r="F2144" s="455">
        <f>SUM('BT-SI'!AO17:AR17)</f>
        <v>0</v>
      </c>
    </row>
    <row r="2145" spans="5:6" ht="15.75" hidden="1" customHeight="1">
      <c r="E2145" s="447" t="s">
        <v>86</v>
      </c>
      <c r="F2145" s="455">
        <f>SUM('BT-SI'!AO18:AR18)</f>
        <v>0</v>
      </c>
    </row>
    <row r="2146" spans="5:6" ht="15.75" hidden="1" customHeight="1">
      <c r="E2146" s="446" t="s">
        <v>87</v>
      </c>
      <c r="F2146" s="455">
        <f>SUM('BT-SI'!AO19:AR19)</f>
        <v>0</v>
      </c>
    </row>
    <row r="2147" spans="5:6" ht="15.75" hidden="1" customHeight="1">
      <c r="E2147" s="447" t="s">
        <v>101</v>
      </c>
      <c r="F2147" s="455">
        <f>SUM('BT-SI'!AO20:AR20)</f>
        <v>0</v>
      </c>
    </row>
    <row r="2148" spans="5:6" ht="15.75" hidden="1" customHeight="1">
      <c r="E2148" s="446" t="s">
        <v>88</v>
      </c>
      <c r="F2148" s="455">
        <f>SUM('BT-SI'!AO21:AR21)</f>
        <v>0</v>
      </c>
    </row>
    <row r="2149" spans="5:6" ht="15.75" hidden="1" customHeight="1">
      <c r="E2149" s="447" t="s">
        <v>89</v>
      </c>
      <c r="F2149" s="455">
        <f>SUM('BT-SI'!AO22:AR22)</f>
        <v>0</v>
      </c>
    </row>
    <row r="2150" spans="5:6" ht="15.75" hidden="1" customHeight="1">
      <c r="E2150" s="446" t="s">
        <v>90</v>
      </c>
      <c r="F2150" s="455">
        <f>SUM('BT-SI'!AO23:AR23)</f>
        <v>0</v>
      </c>
    </row>
    <row r="2151" spans="5:6" ht="15.75" hidden="1" customHeight="1">
      <c r="E2151" s="447" t="s">
        <v>93</v>
      </c>
      <c r="F2151" s="455">
        <f>SUM('BT-SI'!AO24:AR24)</f>
        <v>0</v>
      </c>
    </row>
    <row r="2152" spans="5:6" ht="15.75" hidden="1" customHeight="1">
      <c r="E2152" s="446" t="s">
        <v>91</v>
      </c>
      <c r="F2152" s="455">
        <f>SUM('BT-SI'!AO25:AR25)</f>
        <v>0</v>
      </c>
    </row>
    <row r="2153" spans="5:6" ht="15.75" hidden="1" customHeight="1" thickBot="1">
      <c r="E2153" s="448" t="s">
        <v>92</v>
      </c>
      <c r="F2153" s="455">
        <f>SUM('BT-SI'!AO26:AR26)</f>
        <v>0</v>
      </c>
    </row>
    <row r="2154" spans="5:6" ht="15.75" hidden="1" customHeight="1">
      <c r="F2154" s="280">
        <f>SUM(F2132:F2153)</f>
        <v>0</v>
      </c>
    </row>
    <row r="2155" spans="5:6" ht="15.75" hidden="1" customHeight="1">
      <c r="E2155" s="301" t="s">
        <v>1374</v>
      </c>
      <c r="F2155" s="301">
        <f>SUM(F2156:F2177)</f>
        <v>0</v>
      </c>
    </row>
    <row r="2156" spans="5:6" ht="15.75" hidden="1" customHeight="1">
      <c r="E2156" s="97" t="s">
        <v>74</v>
      </c>
      <c r="F2156" s="105">
        <f>SUM('BT-SI'!BA5:BC5)</f>
        <v>0</v>
      </c>
    </row>
    <row r="2157" spans="5:6" ht="15.75" hidden="1" customHeight="1">
      <c r="E2157" s="107" t="s">
        <v>75</v>
      </c>
      <c r="F2157" s="105">
        <f>SUM('BT-SI'!BA6:BC6)</f>
        <v>0</v>
      </c>
    </row>
    <row r="2158" spans="5:6" ht="15.75" hidden="1" customHeight="1">
      <c r="E2158" s="97" t="s">
        <v>76</v>
      </c>
      <c r="F2158" s="105">
        <f>SUM('BT-SI'!BA7:BC7)</f>
        <v>0</v>
      </c>
    </row>
    <row r="2159" spans="5:6" ht="15.75" hidden="1" customHeight="1">
      <c r="E2159" s="107" t="s">
        <v>77</v>
      </c>
      <c r="F2159" s="105">
        <f>SUM('BT-SI'!BA8:BC8)</f>
        <v>0</v>
      </c>
    </row>
    <row r="2160" spans="5:6" ht="15.75" hidden="1" customHeight="1">
      <c r="E2160" s="97" t="s">
        <v>100</v>
      </c>
      <c r="F2160" s="105">
        <f>SUM('BT-SI'!BA9:BC9)</f>
        <v>0</v>
      </c>
    </row>
    <row r="2161" spans="5:6" ht="15.75" hidden="1" customHeight="1">
      <c r="E2161" s="107" t="s">
        <v>78</v>
      </c>
      <c r="F2161" s="105">
        <f>SUM('BT-SI'!BA10:BC10)</f>
        <v>0</v>
      </c>
    </row>
    <row r="2162" spans="5:6" ht="15.75" hidden="1" customHeight="1">
      <c r="E2162" s="97" t="s">
        <v>79</v>
      </c>
      <c r="F2162" s="105">
        <f>SUM('BT-SI'!BA11:BC11)</f>
        <v>0</v>
      </c>
    </row>
    <row r="2163" spans="5:6" ht="15.75" hidden="1" customHeight="1">
      <c r="E2163" s="107" t="s">
        <v>80</v>
      </c>
      <c r="F2163" s="105">
        <f>SUM('BT-SI'!BA12:BC12)</f>
        <v>0</v>
      </c>
    </row>
    <row r="2164" spans="5:6" ht="15.75" hidden="1" customHeight="1">
      <c r="E2164" s="97" t="s">
        <v>81</v>
      </c>
      <c r="F2164" s="105">
        <f>SUM('BT-SI'!BA13:BC13)</f>
        <v>0</v>
      </c>
    </row>
    <row r="2165" spans="5:6" ht="15.75" hidden="1" customHeight="1">
      <c r="E2165" s="107" t="s">
        <v>82</v>
      </c>
      <c r="F2165" s="105">
        <f>SUM('BT-SI'!BA14:BC14)</f>
        <v>0</v>
      </c>
    </row>
    <row r="2166" spans="5:6" ht="15.75" hidden="1" customHeight="1">
      <c r="E2166" s="97" t="s">
        <v>83</v>
      </c>
      <c r="F2166" s="105">
        <f>SUM('BT-SI'!BA15:BC15)</f>
        <v>0</v>
      </c>
    </row>
    <row r="2167" spans="5:6" ht="15.75" hidden="1" customHeight="1">
      <c r="E2167" s="107" t="s">
        <v>85</v>
      </c>
      <c r="F2167" s="105">
        <f>SUM('BT-SI'!BA16:BC16)</f>
        <v>0</v>
      </c>
    </row>
    <row r="2168" spans="5:6" ht="15.75" hidden="1" customHeight="1">
      <c r="E2168" s="97" t="s">
        <v>84</v>
      </c>
      <c r="F2168" s="105">
        <f>SUM('BT-SI'!BA17:BC17)</f>
        <v>0</v>
      </c>
    </row>
    <row r="2169" spans="5:6" ht="15.75" hidden="1" customHeight="1">
      <c r="E2169" s="107" t="s">
        <v>86</v>
      </c>
      <c r="F2169" s="105">
        <f>SUM('BT-SI'!BA18:BC18)</f>
        <v>0</v>
      </c>
    </row>
    <row r="2170" spans="5:6" ht="15.75" hidden="1" customHeight="1">
      <c r="E2170" s="97" t="s">
        <v>87</v>
      </c>
      <c r="F2170" s="105">
        <f>SUM('BT-SI'!BA19:BC19)</f>
        <v>0</v>
      </c>
    </row>
    <row r="2171" spans="5:6" ht="15.75" hidden="1" customHeight="1">
      <c r="E2171" s="107" t="s">
        <v>101</v>
      </c>
      <c r="F2171" s="105">
        <f>SUM('BT-SI'!BA20:BC20)</f>
        <v>0</v>
      </c>
    </row>
    <row r="2172" spans="5:6" ht="15.75" hidden="1" customHeight="1">
      <c r="E2172" s="97" t="s">
        <v>88</v>
      </c>
      <c r="F2172" s="105">
        <f>SUM('BT-SI'!BA21:BC21)</f>
        <v>0</v>
      </c>
    </row>
    <row r="2173" spans="5:6" ht="15.75" hidden="1" customHeight="1">
      <c r="E2173" s="107" t="s">
        <v>89</v>
      </c>
      <c r="F2173" s="105">
        <f>SUM('BT-SI'!BA22:BC22)</f>
        <v>0</v>
      </c>
    </row>
    <row r="2174" spans="5:6" ht="15.75" hidden="1" customHeight="1">
      <c r="E2174" s="97" t="s">
        <v>90</v>
      </c>
      <c r="F2174" s="105">
        <f>SUM('BT-SI'!BA23:BC23)</f>
        <v>0</v>
      </c>
    </row>
    <row r="2175" spans="5:6" ht="15.75" hidden="1" customHeight="1">
      <c r="E2175" s="107" t="s">
        <v>93</v>
      </c>
      <c r="F2175" s="105">
        <f>SUM('BT-SI'!BA24:BC24)</f>
        <v>0</v>
      </c>
    </row>
    <row r="2176" spans="5:6" ht="15.75" hidden="1" customHeight="1">
      <c r="E2176" s="97" t="s">
        <v>91</v>
      </c>
      <c r="F2176" s="105">
        <f>SUM('BT-SI'!BA25:BC25)</f>
        <v>0</v>
      </c>
    </row>
    <row r="2177" spans="4:6" ht="15.75" hidden="1" customHeight="1">
      <c r="E2177" s="107" t="s">
        <v>92</v>
      </c>
      <c r="F2177" s="105">
        <f>SUM('BT-SI'!BA26:BC26)</f>
        <v>0</v>
      </c>
    </row>
    <row r="2178" spans="4:6" ht="15.75" hidden="1" customHeight="1" thickBot="1">
      <c r="F2178" s="280">
        <f>SUM(F2156:F2177)</f>
        <v>0</v>
      </c>
    </row>
    <row r="2179" spans="4:6" ht="15.75" hidden="1" customHeight="1" thickBot="1">
      <c r="D2179" s="1668" t="s">
        <v>1373</v>
      </c>
      <c r="E2179" s="1669"/>
      <c r="F2179" s="300">
        <f>SUM(F2180:F2201)</f>
        <v>0</v>
      </c>
    </row>
    <row r="2180" spans="4:6" ht="15.75" hidden="1" customHeight="1">
      <c r="E2180" s="225" t="s">
        <v>74</v>
      </c>
      <c r="F2180" s="105">
        <f>SUM('BT-SI'!BF5:BI5)</f>
        <v>0</v>
      </c>
    </row>
    <row r="2181" spans="4:6" ht="15.75" hidden="1" customHeight="1">
      <c r="E2181" s="107" t="s">
        <v>75</v>
      </c>
      <c r="F2181" s="105">
        <f>SUM('BT-SI'!BF6:BI6)</f>
        <v>0</v>
      </c>
    </row>
    <row r="2182" spans="4:6" ht="15.75" hidden="1" customHeight="1">
      <c r="E2182" s="97" t="s">
        <v>76</v>
      </c>
      <c r="F2182" s="105">
        <f>SUM('BT-SI'!BF7:BI7)</f>
        <v>0</v>
      </c>
    </row>
    <row r="2183" spans="4:6" ht="15.75" hidden="1" customHeight="1">
      <c r="E2183" s="107" t="s">
        <v>77</v>
      </c>
      <c r="F2183" s="105">
        <f>SUM('BT-SI'!BF8:BI8)</f>
        <v>0</v>
      </c>
    </row>
    <row r="2184" spans="4:6" ht="15.75" hidden="1" customHeight="1">
      <c r="E2184" s="97" t="s">
        <v>100</v>
      </c>
      <c r="F2184" s="105">
        <f>SUM('BT-SI'!BF9:BI9)</f>
        <v>0</v>
      </c>
    </row>
    <row r="2185" spans="4:6" ht="15.75" hidden="1" customHeight="1">
      <c r="E2185" s="107" t="s">
        <v>78</v>
      </c>
      <c r="F2185" s="105">
        <f>SUM('BT-SI'!BF10:BI10)</f>
        <v>0</v>
      </c>
    </row>
    <row r="2186" spans="4:6" ht="15.75" hidden="1" customHeight="1">
      <c r="E2186" s="97" t="s">
        <v>79</v>
      </c>
      <c r="F2186" s="105">
        <f>SUM('BT-SI'!BF11:BI11)</f>
        <v>0</v>
      </c>
    </row>
    <row r="2187" spans="4:6" ht="15.75" hidden="1" customHeight="1">
      <c r="E2187" s="107" t="s">
        <v>80</v>
      </c>
      <c r="F2187" s="105">
        <f>SUM('BT-SI'!BF12:BI12)</f>
        <v>0</v>
      </c>
    </row>
    <row r="2188" spans="4:6" ht="15.75" hidden="1" customHeight="1">
      <c r="E2188" s="97" t="s">
        <v>81</v>
      </c>
      <c r="F2188" s="105">
        <f>SUM('BT-SI'!BF13:BI13)</f>
        <v>0</v>
      </c>
    </row>
    <row r="2189" spans="4:6" ht="15.75" hidden="1" customHeight="1">
      <c r="E2189" s="107" t="s">
        <v>82</v>
      </c>
      <c r="F2189" s="105">
        <f>SUM('BT-SI'!BF14:BI14)</f>
        <v>0</v>
      </c>
    </row>
    <row r="2190" spans="4:6" ht="15.75" hidden="1" customHeight="1">
      <c r="E2190" s="97" t="s">
        <v>83</v>
      </c>
      <c r="F2190" s="105">
        <f>SUM('BT-SI'!BF15:BI15)</f>
        <v>0</v>
      </c>
    </row>
    <row r="2191" spans="4:6" ht="15.75" hidden="1" customHeight="1">
      <c r="E2191" s="107" t="s">
        <v>85</v>
      </c>
      <c r="F2191" s="105">
        <f>SUM('BT-SI'!BF16:BI16)</f>
        <v>0</v>
      </c>
    </row>
    <row r="2192" spans="4:6" ht="15.75" hidden="1" customHeight="1">
      <c r="E2192" s="97" t="s">
        <v>84</v>
      </c>
      <c r="F2192" s="105">
        <f>SUM('BT-SI'!BF17:BI17)</f>
        <v>0</v>
      </c>
    </row>
    <row r="2193" spans="1:6" ht="15.75" hidden="1" customHeight="1">
      <c r="E2193" s="107" t="s">
        <v>86</v>
      </c>
      <c r="F2193" s="105">
        <f>SUM('BT-SI'!BF18:BI18)</f>
        <v>0</v>
      </c>
    </row>
    <row r="2194" spans="1:6" ht="15.75" hidden="1" customHeight="1">
      <c r="E2194" s="97" t="s">
        <v>87</v>
      </c>
      <c r="F2194" s="105">
        <f>SUM('BT-SI'!BF19:BI19)</f>
        <v>0</v>
      </c>
    </row>
    <row r="2195" spans="1:6" ht="15.75" hidden="1" customHeight="1">
      <c r="E2195" s="107" t="s">
        <v>101</v>
      </c>
      <c r="F2195" s="105">
        <f>SUM('BT-SI'!BF20:BI20)</f>
        <v>0</v>
      </c>
    </row>
    <row r="2196" spans="1:6" ht="15.75" hidden="1" customHeight="1">
      <c r="E2196" s="97" t="s">
        <v>88</v>
      </c>
      <c r="F2196" s="105">
        <f>SUM('BT-SI'!BF21:BI21)</f>
        <v>0</v>
      </c>
    </row>
    <row r="2197" spans="1:6" ht="15.75" hidden="1" customHeight="1">
      <c r="E2197" s="107" t="s">
        <v>89</v>
      </c>
      <c r="F2197" s="105">
        <f>SUM('BT-SI'!BF22:BI22)</f>
        <v>0</v>
      </c>
    </row>
    <row r="2198" spans="1:6" ht="15.75" hidden="1" customHeight="1">
      <c r="E2198" s="97" t="s">
        <v>90</v>
      </c>
      <c r="F2198" s="105">
        <f>SUM('BT-SI'!BF23:BI23)</f>
        <v>0</v>
      </c>
    </row>
    <row r="2199" spans="1:6" ht="15.75" hidden="1" customHeight="1">
      <c r="E2199" s="107" t="s">
        <v>93</v>
      </c>
      <c r="F2199" s="105">
        <f>SUM('BT-SI'!BF24:BI24)</f>
        <v>0</v>
      </c>
    </row>
    <row r="2200" spans="1:6" ht="15.75" hidden="1" customHeight="1">
      <c r="E2200" s="97" t="s">
        <v>91</v>
      </c>
      <c r="F2200" s="105">
        <f>SUM('BT-SI'!BF25:BI25)</f>
        <v>0</v>
      </c>
    </row>
    <row r="2201" spans="1:6" ht="15.75" hidden="1" customHeight="1">
      <c r="E2201" s="107" t="s">
        <v>92</v>
      </c>
      <c r="F2201" s="105">
        <f>SUM('BT-SI'!BF26:BI26)</f>
        <v>0</v>
      </c>
    </row>
    <row r="2202" spans="1:6" ht="15.75" hidden="1" customHeight="1" thickBot="1">
      <c r="F2202" s="280">
        <f>SUM(F2180:F2201)</f>
        <v>0</v>
      </c>
    </row>
    <row r="2203" spans="1:6" ht="45" hidden="1" customHeight="1" thickBot="1">
      <c r="A2203" s="775"/>
      <c r="B2203" s="774"/>
      <c r="C2203" s="774"/>
      <c r="D2203" s="2003" t="s">
        <v>1375</v>
      </c>
      <c r="E2203" s="2004"/>
      <c r="F2203" s="780">
        <f>SUM(F2204:F2225)</f>
        <v>0</v>
      </c>
    </row>
    <row r="2204" spans="1:6" ht="15.75" hidden="1" customHeight="1">
      <c r="E2204" s="454" t="s">
        <v>74</v>
      </c>
      <c r="F2204" s="455">
        <f>'BT-SI'!BL5</f>
        <v>0</v>
      </c>
    </row>
    <row r="2205" spans="1:6" ht="15.75" hidden="1" customHeight="1">
      <c r="E2205" s="447" t="s">
        <v>75</v>
      </c>
      <c r="F2205" s="455">
        <f>'BT-SI'!BL6</f>
        <v>0</v>
      </c>
    </row>
    <row r="2206" spans="1:6" ht="15.75" hidden="1" customHeight="1">
      <c r="E2206" s="446" t="s">
        <v>76</v>
      </c>
      <c r="F2206" s="455">
        <f>'BT-SI'!BL7</f>
        <v>0</v>
      </c>
    </row>
    <row r="2207" spans="1:6" ht="15.75" hidden="1" customHeight="1">
      <c r="E2207" s="447" t="s">
        <v>77</v>
      </c>
      <c r="F2207" s="455">
        <f>'BT-SI'!BL8</f>
        <v>0</v>
      </c>
    </row>
    <row r="2208" spans="1:6" ht="15.75" hidden="1" customHeight="1">
      <c r="E2208" s="446" t="s">
        <v>100</v>
      </c>
      <c r="F2208" s="455">
        <f>'BT-SI'!BL9</f>
        <v>0</v>
      </c>
    </row>
    <row r="2209" spans="5:6" ht="15.75" hidden="1" customHeight="1">
      <c r="E2209" s="447" t="s">
        <v>78</v>
      </c>
      <c r="F2209" s="455">
        <f>'BT-SI'!BL10</f>
        <v>0</v>
      </c>
    </row>
    <row r="2210" spans="5:6" ht="15.75" hidden="1" customHeight="1">
      <c r="E2210" s="446" t="s">
        <v>79</v>
      </c>
      <c r="F2210" s="455">
        <f>'BT-SI'!BL11</f>
        <v>0</v>
      </c>
    </row>
    <row r="2211" spans="5:6" ht="15.75" hidden="1" customHeight="1">
      <c r="E2211" s="447" t="s">
        <v>80</v>
      </c>
      <c r="F2211" s="455">
        <f>'BT-SI'!BL12</f>
        <v>0</v>
      </c>
    </row>
    <row r="2212" spans="5:6" ht="15.75" hidden="1" customHeight="1">
      <c r="E2212" s="446" t="s">
        <v>81</v>
      </c>
      <c r="F2212" s="455">
        <f>'BT-SI'!BL13</f>
        <v>0</v>
      </c>
    </row>
    <row r="2213" spans="5:6" ht="15.75" hidden="1" customHeight="1">
      <c r="E2213" s="447" t="s">
        <v>82</v>
      </c>
      <c r="F2213" s="455">
        <f>'BT-SI'!BL14</f>
        <v>0</v>
      </c>
    </row>
    <row r="2214" spans="5:6" ht="15.75" hidden="1" customHeight="1">
      <c r="E2214" s="446" t="s">
        <v>83</v>
      </c>
      <c r="F2214" s="455">
        <f>'BT-SI'!BL15</f>
        <v>0</v>
      </c>
    </row>
    <row r="2215" spans="5:6" ht="15.75" hidden="1" customHeight="1">
      <c r="E2215" s="447" t="s">
        <v>85</v>
      </c>
      <c r="F2215" s="455">
        <f>'BT-SI'!BL16</f>
        <v>0</v>
      </c>
    </row>
    <row r="2216" spans="5:6" ht="15.75" hidden="1" customHeight="1">
      <c r="E2216" s="446" t="s">
        <v>84</v>
      </c>
      <c r="F2216" s="455">
        <f>'BT-SI'!BL17</f>
        <v>0</v>
      </c>
    </row>
    <row r="2217" spans="5:6" ht="15.75" hidden="1" customHeight="1">
      <c r="E2217" s="447" t="s">
        <v>86</v>
      </c>
      <c r="F2217" s="455">
        <f>'BT-SI'!BL18</f>
        <v>0</v>
      </c>
    </row>
    <row r="2218" spans="5:6" ht="15.75" hidden="1" customHeight="1">
      <c r="E2218" s="446" t="s">
        <v>87</v>
      </c>
      <c r="F2218" s="455">
        <f>'BT-SI'!BL19</f>
        <v>0</v>
      </c>
    </row>
    <row r="2219" spans="5:6" ht="15.75" hidden="1" customHeight="1">
      <c r="E2219" s="447" t="s">
        <v>101</v>
      </c>
      <c r="F2219" s="455">
        <f>'BT-SI'!BL20</f>
        <v>0</v>
      </c>
    </row>
    <row r="2220" spans="5:6" ht="15.75" hidden="1" customHeight="1">
      <c r="E2220" s="446" t="s">
        <v>88</v>
      </c>
      <c r="F2220" s="455">
        <f>'BT-SI'!BL21</f>
        <v>0</v>
      </c>
    </row>
    <row r="2221" spans="5:6" ht="15.75" hidden="1" customHeight="1">
      <c r="E2221" s="447" t="s">
        <v>89</v>
      </c>
      <c r="F2221" s="455">
        <f>'BT-SI'!BL22</f>
        <v>0</v>
      </c>
    </row>
    <row r="2222" spans="5:6" ht="15.75" hidden="1" customHeight="1">
      <c r="E2222" s="446" t="s">
        <v>90</v>
      </c>
      <c r="F2222" s="455">
        <f>'BT-SI'!BL23</f>
        <v>0</v>
      </c>
    </row>
    <row r="2223" spans="5:6" ht="15.75" hidden="1" customHeight="1">
      <c r="E2223" s="447" t="s">
        <v>93</v>
      </c>
      <c r="F2223" s="455">
        <f>'BT-SI'!BL24</f>
        <v>0</v>
      </c>
    </row>
    <row r="2224" spans="5:6" ht="15.75" hidden="1" customHeight="1">
      <c r="E2224" s="446" t="s">
        <v>91</v>
      </c>
      <c r="F2224" s="455">
        <f>'BT-SI'!BL25</f>
        <v>0</v>
      </c>
    </row>
    <row r="2225" spans="1:6" ht="15.75" hidden="1" customHeight="1" thickBot="1">
      <c r="E2225" s="448" t="s">
        <v>92</v>
      </c>
      <c r="F2225" s="455">
        <f>'BT-SI'!BL26</f>
        <v>0</v>
      </c>
    </row>
    <row r="2226" spans="1:6" ht="15.75" hidden="1" customHeight="1">
      <c r="F2226" s="280">
        <f>SUM(F2204:F2225)</f>
        <v>0</v>
      </c>
    </row>
    <row r="2227" spans="1:6" ht="15.75" hidden="1" customHeight="1">
      <c r="A2227" s="1999" t="s">
        <v>1280</v>
      </c>
      <c r="B2227" s="1999"/>
      <c r="C2227" s="1999"/>
      <c r="D2227" s="1999"/>
      <c r="E2227" s="1999"/>
      <c r="F2227" s="87">
        <f>'BT-SI'!C5</f>
        <v>0</v>
      </c>
    </row>
    <row r="2228" spans="1:6" ht="15.75" hidden="1" customHeight="1">
      <c r="A2228" s="1995" t="s">
        <v>1281</v>
      </c>
      <c r="B2228" s="1995"/>
      <c r="C2228" s="1995"/>
      <c r="D2228" s="1995"/>
      <c r="E2228" s="1995"/>
      <c r="F2228" s="87">
        <f>'BT-SI'!C6</f>
        <v>0</v>
      </c>
    </row>
    <row r="2229" spans="1:6" ht="15.75" hidden="1" customHeight="1">
      <c r="A2229" s="1999" t="s">
        <v>1282</v>
      </c>
      <c r="B2229" s="1999"/>
      <c r="C2229" s="1999"/>
      <c r="D2229" s="1999"/>
      <c r="E2229" s="1999"/>
      <c r="F2229" s="87">
        <f>'BT-SI'!C7</f>
        <v>0</v>
      </c>
    </row>
    <row r="2230" spans="1:6" ht="15.75" hidden="1" customHeight="1">
      <c r="A2230" s="1995" t="s">
        <v>1283</v>
      </c>
      <c r="B2230" s="1995"/>
      <c r="C2230" s="1995"/>
      <c r="D2230" s="1995"/>
      <c r="E2230" s="1995"/>
      <c r="F2230" s="87">
        <f>'BT-SI'!C8</f>
        <v>0</v>
      </c>
    </row>
    <row r="2231" spans="1:6" ht="15.75" hidden="1" customHeight="1">
      <c r="A2231" s="1999" t="s">
        <v>1284</v>
      </c>
      <c r="B2231" s="1999"/>
      <c r="C2231" s="1999"/>
      <c r="D2231" s="1999"/>
      <c r="E2231" s="1999"/>
      <c r="F2231" s="87">
        <f>'BT-SI'!C9</f>
        <v>0</v>
      </c>
    </row>
    <row r="2232" spans="1:6" ht="15.75" hidden="1" customHeight="1">
      <c r="A2232" s="1995" t="s">
        <v>1285</v>
      </c>
      <c r="B2232" s="1995"/>
      <c r="C2232" s="1995"/>
      <c r="D2232" s="1995"/>
      <c r="E2232" s="1995"/>
      <c r="F2232" s="87">
        <f>'BT-SI'!C10</f>
        <v>0</v>
      </c>
    </row>
    <row r="2233" spans="1:6" ht="15.75" hidden="1" customHeight="1">
      <c r="A2233" s="1999" t="s">
        <v>1286</v>
      </c>
      <c r="B2233" s="1999"/>
      <c r="C2233" s="1999"/>
      <c r="D2233" s="1999"/>
      <c r="E2233" s="1999"/>
      <c r="F2233" s="87">
        <f>'BT-SI'!C11</f>
        <v>0</v>
      </c>
    </row>
    <row r="2234" spans="1:6" ht="15.75" hidden="1" customHeight="1">
      <c r="A2234" s="1995" t="s">
        <v>1287</v>
      </c>
      <c r="B2234" s="1995"/>
      <c r="C2234" s="1995"/>
      <c r="D2234" s="1995"/>
      <c r="E2234" s="1995"/>
      <c r="F2234" s="87">
        <f>'BT-SI'!C12</f>
        <v>0</v>
      </c>
    </row>
    <row r="2235" spans="1:6" ht="15.75" hidden="1" customHeight="1">
      <c r="F2235" s="278">
        <f>SUM(F2227:F2234)</f>
        <v>0</v>
      </c>
    </row>
    <row r="2236" spans="1:6" ht="16.5" hidden="1" customHeight="1">
      <c r="A2236" s="1991" t="s">
        <v>1614</v>
      </c>
      <c r="B2236" s="1992"/>
      <c r="C2236" s="1992"/>
      <c r="D2236" s="1992"/>
      <c r="E2236" s="1993"/>
      <c r="F2236" s="1013">
        <f>SUM(F2237:F2248)</f>
        <v>0</v>
      </c>
    </row>
    <row r="2237" spans="1:6" ht="19.5" hidden="1">
      <c r="A2237" s="1019"/>
      <c r="C2237" s="1988" t="s">
        <v>1631</v>
      </c>
      <c r="D2237" s="1988"/>
      <c r="E2237" s="1988"/>
      <c r="F2237" s="1018">
        <f>SUM('ILUMINAÇÃO PUBLICA'!E7:H7)</f>
        <v>0</v>
      </c>
    </row>
    <row r="2238" spans="1:6" ht="19.5" hidden="1">
      <c r="A2238" s="1020"/>
      <c r="C2238" s="1990" t="s">
        <v>1637</v>
      </c>
      <c r="D2238" s="1990"/>
      <c r="E2238" s="1990"/>
      <c r="F2238" s="1018">
        <f>SUM('ILUMINAÇÃO PUBLICA'!E8:H8)</f>
        <v>0</v>
      </c>
    </row>
    <row r="2239" spans="1:6" ht="19.5" hidden="1">
      <c r="A2239" s="1020"/>
      <c r="C2239" s="1988" t="s">
        <v>1667</v>
      </c>
      <c r="D2239" s="1988"/>
      <c r="E2239" s="1988"/>
      <c r="F2239" s="1018">
        <f>SUM('ILUMINAÇÃO PUBLICA'!E9:H9)</f>
        <v>0</v>
      </c>
    </row>
    <row r="2240" spans="1:6" ht="19.5" hidden="1">
      <c r="A2240" s="1020"/>
      <c r="C2240" s="1989" t="s">
        <v>1636</v>
      </c>
      <c r="D2240" s="1989"/>
      <c r="E2240" s="1989"/>
      <c r="F2240" s="1018">
        <f>SUM('ILUMINAÇÃO PUBLICA'!E10:H10)</f>
        <v>0</v>
      </c>
    </row>
    <row r="2241" spans="1:6" ht="19.5" hidden="1">
      <c r="A2241" s="1020"/>
      <c r="C2241" s="1987" t="s">
        <v>1666</v>
      </c>
      <c r="D2241" s="1987"/>
      <c r="E2241" s="1987"/>
      <c r="F2241" s="1018">
        <f>SUM('ILUMINAÇÃO PUBLICA'!E11:H11)</f>
        <v>0</v>
      </c>
    </row>
    <row r="2242" spans="1:6" ht="19.5" hidden="1">
      <c r="A2242" s="1020"/>
      <c r="C2242" s="1990" t="s">
        <v>1635</v>
      </c>
      <c r="D2242" s="1990"/>
      <c r="E2242" s="1990"/>
      <c r="F2242" s="1018">
        <f>SUM('ILUMINAÇÃO PUBLICA'!E12:H12)</f>
        <v>0</v>
      </c>
    </row>
    <row r="2243" spans="1:6" ht="19.5" hidden="1">
      <c r="A2243" s="1020"/>
      <c r="C2243" s="1988" t="s">
        <v>1634</v>
      </c>
      <c r="D2243" s="1988"/>
      <c r="E2243" s="1988"/>
      <c r="F2243" s="1018">
        <f>SUM('ILUMINAÇÃO PUBLICA'!E13:H13)</f>
        <v>0</v>
      </c>
    </row>
    <row r="2244" spans="1:6" ht="19.5" hidden="1">
      <c r="A2244" s="1020"/>
      <c r="C2244" s="1990" t="s">
        <v>1668</v>
      </c>
      <c r="D2244" s="1990"/>
      <c r="E2244" s="1990"/>
      <c r="F2244" s="1018">
        <f>SUM('ILUMINAÇÃO PUBLICA'!E14:H14)</f>
        <v>0</v>
      </c>
    </row>
    <row r="2245" spans="1:6" ht="19.5" hidden="1">
      <c r="A2245" s="1020"/>
      <c r="C2245" s="1988" t="s">
        <v>1669</v>
      </c>
      <c r="D2245" s="1988"/>
      <c r="E2245" s="1988"/>
      <c r="F2245" s="1018">
        <f>SUM('ILUMINAÇÃO PUBLICA'!E15:H15)</f>
        <v>0</v>
      </c>
    </row>
    <row r="2246" spans="1:6" ht="19.5" hidden="1">
      <c r="A2246" s="1020"/>
      <c r="C2246" s="1990" t="s">
        <v>1632</v>
      </c>
      <c r="D2246" s="1990"/>
      <c r="E2246" s="1990"/>
      <c r="F2246" s="1018">
        <f>SUM('ILUMINAÇÃO PUBLICA'!E16:H16)</f>
        <v>0</v>
      </c>
    </row>
    <row r="2247" spans="1:6" ht="19.5" hidden="1">
      <c r="A2247" s="1020"/>
      <c r="C2247" s="1988" t="s">
        <v>1633</v>
      </c>
      <c r="D2247" s="1988"/>
      <c r="E2247" s="1988"/>
      <c r="F2247" s="1018">
        <f>SUM('ILUMINAÇÃO PUBLICA'!E17:H17)</f>
        <v>0</v>
      </c>
    </row>
    <row r="2248" spans="1:6" ht="19.5" hidden="1">
      <c r="A2248" s="1020"/>
      <c r="C2248" s="1990" t="s">
        <v>1665</v>
      </c>
      <c r="D2248" s="1990"/>
      <c r="E2248" s="1990"/>
      <c r="F2248" s="1018">
        <f>SUM('ILUMINAÇÃO PUBLICA'!E18:H18)</f>
        <v>0</v>
      </c>
    </row>
    <row r="2249" spans="1:6" hidden="1">
      <c r="F2249" s="1006">
        <f>SUM(F2237:F2248)</f>
        <v>0</v>
      </c>
    </row>
    <row r="2250" spans="1:6" ht="19.5" hidden="1">
      <c r="A2250" s="1991" t="s">
        <v>1615</v>
      </c>
      <c r="B2250" s="1992"/>
      <c r="C2250" s="1992"/>
      <c r="D2250" s="1992"/>
      <c r="E2250" s="1993"/>
      <c r="F2250" s="1013">
        <f>SUM(F2251:F2262)</f>
        <v>0</v>
      </c>
    </row>
    <row r="2251" spans="1:6" ht="19.5" hidden="1">
      <c r="A2251" s="1019"/>
      <c r="C2251" s="1988" t="s">
        <v>1631</v>
      </c>
      <c r="D2251" s="1988"/>
      <c r="E2251" s="1988"/>
      <c r="F2251" s="1018">
        <f>SUM('ILUMINAÇÃO PUBLICA'!M7:P7)</f>
        <v>0</v>
      </c>
    </row>
    <row r="2252" spans="1:6" ht="19.5" hidden="1">
      <c r="A2252" s="1020"/>
      <c r="C2252" s="1990" t="s">
        <v>1637</v>
      </c>
      <c r="D2252" s="1990"/>
      <c r="E2252" s="1990"/>
      <c r="F2252" s="1018">
        <f>SUM('ILUMINAÇÃO PUBLICA'!M8:P8)</f>
        <v>0</v>
      </c>
    </row>
    <row r="2253" spans="1:6" ht="19.5" hidden="1">
      <c r="A2253" s="1020"/>
      <c r="C2253" s="1988" t="s">
        <v>1667</v>
      </c>
      <c r="D2253" s="1988"/>
      <c r="E2253" s="1988"/>
      <c r="F2253" s="1018">
        <f>SUM('ILUMINAÇÃO PUBLICA'!M9:P9)</f>
        <v>0</v>
      </c>
    </row>
    <row r="2254" spans="1:6" ht="19.5" hidden="1">
      <c r="A2254" s="1020"/>
      <c r="C2254" s="1989" t="s">
        <v>1636</v>
      </c>
      <c r="D2254" s="1989"/>
      <c r="E2254" s="1989"/>
      <c r="F2254" s="1018">
        <f>SUM('ILUMINAÇÃO PUBLICA'!M10:P10)</f>
        <v>0</v>
      </c>
    </row>
    <row r="2255" spans="1:6" ht="19.5" hidden="1">
      <c r="A2255" s="1020"/>
      <c r="C2255" s="1987" t="s">
        <v>1666</v>
      </c>
      <c r="D2255" s="1987"/>
      <c r="E2255" s="1987"/>
      <c r="F2255" s="1018">
        <f>SUM('ILUMINAÇÃO PUBLICA'!M11:P11)</f>
        <v>0</v>
      </c>
    </row>
    <row r="2256" spans="1:6" ht="19.5" hidden="1">
      <c r="A2256" s="1020"/>
      <c r="C2256" s="1990" t="s">
        <v>1635</v>
      </c>
      <c r="D2256" s="1990"/>
      <c r="E2256" s="1990"/>
      <c r="F2256" s="1018">
        <f>SUM('ILUMINAÇÃO PUBLICA'!M12:P12)</f>
        <v>0</v>
      </c>
    </row>
    <row r="2257" spans="1:6" ht="19.5" hidden="1">
      <c r="A2257" s="1020"/>
      <c r="C2257" s="1988" t="s">
        <v>1634</v>
      </c>
      <c r="D2257" s="1988"/>
      <c r="E2257" s="1988"/>
      <c r="F2257" s="1018">
        <f>SUM('ILUMINAÇÃO PUBLICA'!M13:P13)</f>
        <v>0</v>
      </c>
    </row>
    <row r="2258" spans="1:6" ht="19.5" hidden="1">
      <c r="A2258" s="1020"/>
      <c r="C2258" s="1990" t="s">
        <v>1668</v>
      </c>
      <c r="D2258" s="1990"/>
      <c r="E2258" s="1990"/>
      <c r="F2258" s="1018">
        <f>SUM('ILUMINAÇÃO PUBLICA'!M14:P14)</f>
        <v>0</v>
      </c>
    </row>
    <row r="2259" spans="1:6" ht="19.5" hidden="1">
      <c r="A2259" s="1020"/>
      <c r="C2259" s="1988" t="s">
        <v>1669</v>
      </c>
      <c r="D2259" s="1988"/>
      <c r="E2259" s="1988"/>
      <c r="F2259" s="1018">
        <f>SUM('ILUMINAÇÃO PUBLICA'!M15:P15)</f>
        <v>0</v>
      </c>
    </row>
    <row r="2260" spans="1:6" ht="19.5" hidden="1">
      <c r="A2260" s="1020"/>
      <c r="C2260" s="1990" t="s">
        <v>1632</v>
      </c>
      <c r="D2260" s="1990"/>
      <c r="E2260" s="1990"/>
      <c r="F2260" s="1018">
        <f>SUM('ILUMINAÇÃO PUBLICA'!M16:P16)</f>
        <v>0</v>
      </c>
    </row>
    <row r="2261" spans="1:6" ht="19.5" hidden="1">
      <c r="A2261" s="1020"/>
      <c r="C2261" s="1988" t="s">
        <v>1633</v>
      </c>
      <c r="D2261" s="1988"/>
      <c r="E2261" s="1988"/>
      <c r="F2261" s="1018">
        <f>SUM('ILUMINAÇÃO PUBLICA'!M17:P17)</f>
        <v>0</v>
      </c>
    </row>
    <row r="2262" spans="1:6" ht="19.5" hidden="1">
      <c r="A2262" s="1020"/>
      <c r="C2262" s="1990" t="s">
        <v>1665</v>
      </c>
      <c r="D2262" s="1990"/>
      <c r="E2262" s="1990"/>
      <c r="F2262" s="1018">
        <f>SUM('ILUMINAÇÃO PUBLICA'!M18:P18)</f>
        <v>0</v>
      </c>
    </row>
  </sheetData>
  <sheetProtection formatCells="0" formatColumns="0" formatRows="0" insertColumns="0" insertRows="0" insertHyperlinks="0" deleteColumns="0" deleteRows="0" selectLockedCells="1" sort="0" autoFilter="0" pivotTables="0" selectUnlockedCells="1"/>
  <autoFilter ref="F2:F2262" xr:uid="{C48996B3-C85D-4729-8E82-63881247B044}">
    <filterColumn colId="0">
      <customFilters>
        <customFilter operator="notEqual" val="0"/>
      </customFilters>
    </filterColumn>
  </autoFilter>
  <mergeCells count="87">
    <mergeCell ref="D2035:E2035"/>
    <mergeCell ref="D1985:E1985"/>
    <mergeCell ref="D2005:E2005"/>
    <mergeCell ref="A2233:E2233"/>
    <mergeCell ref="A2234:E2234"/>
    <mergeCell ref="D1085:E1085"/>
    <mergeCell ref="D1325:E1325"/>
    <mergeCell ref="D1349:E1349"/>
    <mergeCell ref="D1373:E1373"/>
    <mergeCell ref="A1469:E1469"/>
    <mergeCell ref="A1493:E1493"/>
    <mergeCell ref="A1565:E1565"/>
    <mergeCell ref="A2131:E2131"/>
    <mergeCell ref="D1277:E1277"/>
    <mergeCell ref="A2230:E2230"/>
    <mergeCell ref="A2227:E2227"/>
    <mergeCell ref="D2203:E2203"/>
    <mergeCell ref="D1925:E1925"/>
    <mergeCell ref="A2231:E2231"/>
    <mergeCell ref="A2107:E2107"/>
    <mergeCell ref="A1517:E1517"/>
    <mergeCell ref="D2179:E2179"/>
    <mergeCell ref="D2059:E2059"/>
    <mergeCell ref="D1949:E1949"/>
    <mergeCell ref="I1997:I1999"/>
    <mergeCell ref="A694:E694"/>
    <mergeCell ref="A715:E715"/>
    <mergeCell ref="D845:E845"/>
    <mergeCell ref="D893:E893"/>
    <mergeCell ref="A709:E709"/>
    <mergeCell ref="A711:E711"/>
    <mergeCell ref="A1541:E1541"/>
    <mergeCell ref="D1301:E1301"/>
    <mergeCell ref="A1:M1"/>
    <mergeCell ref="D797:E797"/>
    <mergeCell ref="B76:C76"/>
    <mergeCell ref="D2:F2"/>
    <mergeCell ref="A580:E580"/>
    <mergeCell ref="A556:E556"/>
    <mergeCell ref="A710:E710"/>
    <mergeCell ref="A712:E712"/>
    <mergeCell ref="A148:E148"/>
    <mergeCell ref="A713:E713"/>
    <mergeCell ref="A652:E652"/>
    <mergeCell ref="A628:E628"/>
    <mergeCell ref="A604:E604"/>
    <mergeCell ref="A532:E532"/>
    <mergeCell ref="A676:E676"/>
    <mergeCell ref="A2229:E2229"/>
    <mergeCell ref="D1253:E1253"/>
    <mergeCell ref="A1421:E1421"/>
    <mergeCell ref="A1445:E1445"/>
    <mergeCell ref="D1229:E1229"/>
    <mergeCell ref="B77:C77"/>
    <mergeCell ref="D220:E220"/>
    <mergeCell ref="D244:E244"/>
    <mergeCell ref="A2236:E2236"/>
    <mergeCell ref="C2237:E2237"/>
    <mergeCell ref="D1397:E1397"/>
    <mergeCell ref="A708:E708"/>
    <mergeCell ref="B97:C98"/>
    <mergeCell ref="A2232:E2232"/>
    <mergeCell ref="A2228:E2228"/>
    <mergeCell ref="C2245:E2245"/>
    <mergeCell ref="C2246:E2246"/>
    <mergeCell ref="C2247:E2247"/>
    <mergeCell ref="C2252:E2252"/>
    <mergeCell ref="C2248:E2248"/>
    <mergeCell ref="A2250:E2250"/>
    <mergeCell ref="C2251:E2251"/>
    <mergeCell ref="C2239:E2239"/>
    <mergeCell ref="C2240:E2240"/>
    <mergeCell ref="C2238:E2238"/>
    <mergeCell ref="C2241:E2241"/>
    <mergeCell ref="C2242:E2242"/>
    <mergeCell ref="C2244:E2244"/>
    <mergeCell ref="C2243:E2243"/>
    <mergeCell ref="C2255:E2255"/>
    <mergeCell ref="C2253:E2253"/>
    <mergeCell ref="C2254:E2254"/>
    <mergeCell ref="C2262:E2262"/>
    <mergeCell ref="C2256:E2256"/>
    <mergeCell ref="C2257:E2257"/>
    <mergeCell ref="C2258:E2258"/>
    <mergeCell ref="C2259:E2259"/>
    <mergeCell ref="C2260:E2260"/>
    <mergeCell ref="C2261:E226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23" r:id="rId4" name="Button 11">
              <controlPr defaultSize="0" print="0" autoFill="0" autoPict="0" macro="[0]!Macro10">
                <anchor moveWithCells="1" sizeWithCells="1">
                  <from>
                    <xdr:col>0</xdr:col>
                    <xdr:colOff>95250</xdr:colOff>
                    <xdr:row>0</xdr:row>
                    <xdr:rowOff>66675</xdr:rowOff>
                  </from>
                  <to>
                    <xdr:col>0</xdr:col>
                    <xdr:colOff>866775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4" r:id="rId5" name="Button 12">
              <controlPr defaultSize="0" print="0" autoFill="0" autoPict="0" macro="[0]!Macro4">
                <anchor moveWithCells="1" sizeWithCells="1">
                  <from>
                    <xdr:col>5</xdr:col>
                    <xdr:colOff>161925</xdr:colOff>
                    <xdr:row>0</xdr:row>
                    <xdr:rowOff>114300</xdr:rowOff>
                  </from>
                  <to>
                    <xdr:col>6</xdr:col>
                    <xdr:colOff>352425</xdr:colOff>
                    <xdr:row>0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6" name="Button 13">
              <controlPr defaultSize="0" print="0" autoFill="0" autoPict="0" macro="[0]!Macro5">
                <anchor moveWithCells="1" sizeWithCells="1">
                  <from>
                    <xdr:col>6</xdr:col>
                    <xdr:colOff>400050</xdr:colOff>
                    <xdr:row>0</xdr:row>
                    <xdr:rowOff>114300</xdr:rowOff>
                  </from>
                  <to>
                    <xdr:col>7</xdr:col>
                    <xdr:colOff>504825</xdr:colOff>
                    <xdr:row>0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7" name="Button 14">
              <controlPr defaultSize="0" print="0" autoFill="0" autoPict="0" macro="[0]!Macro17gg">
                <anchor moveWithCells="1" sizeWithCells="1">
                  <from>
                    <xdr:col>0</xdr:col>
                    <xdr:colOff>904875</xdr:colOff>
                    <xdr:row>0</xdr:row>
                    <xdr:rowOff>114300</xdr:rowOff>
                  </from>
                  <to>
                    <xdr:col>3</xdr:col>
                    <xdr:colOff>228600</xdr:colOff>
                    <xdr:row>0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8" name="Button 15">
              <controlPr defaultSize="0" print="0" autoFill="0" autoPict="0" macro="[0]!Macro12">
                <anchor moveWithCells="1" sizeWithCells="1">
                  <from>
                    <xdr:col>3</xdr:col>
                    <xdr:colOff>276225</xdr:colOff>
                    <xdr:row>0</xdr:row>
                    <xdr:rowOff>114300</xdr:rowOff>
                  </from>
                  <to>
                    <xdr:col>4</xdr:col>
                    <xdr:colOff>133350</xdr:colOff>
                    <xdr:row>0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8" r:id="rId9" name="Button 16">
              <controlPr defaultSize="0" print="0" autoFill="0" autoPict="0" macro="[0]!Macro3">
                <anchor moveWithCells="1" sizeWithCells="1">
                  <from>
                    <xdr:col>4</xdr:col>
                    <xdr:colOff>200025</xdr:colOff>
                    <xdr:row>0</xdr:row>
                    <xdr:rowOff>123825</xdr:rowOff>
                  </from>
                  <to>
                    <xdr:col>5</xdr:col>
                    <xdr:colOff>114300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10" name="Button 17">
              <controlPr defaultSize="0" print="0" autoFill="0" autoPict="0" macro="[0]!Macro6">
                <anchor moveWithCells="1" sizeWithCells="1">
                  <from>
                    <xdr:col>8</xdr:col>
                    <xdr:colOff>28575</xdr:colOff>
                    <xdr:row>0</xdr:row>
                    <xdr:rowOff>114300</xdr:rowOff>
                  </from>
                  <to>
                    <xdr:col>9</xdr:col>
                    <xdr:colOff>123825</xdr:colOff>
                    <xdr:row>0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11" name="Button 27">
              <controlPr defaultSize="0" print="0" autoFill="0" autoPict="0" macro="[0]!Macro14">
                <anchor moveWithCells="1" sizeWithCells="1">
                  <from>
                    <xdr:col>9</xdr:col>
                    <xdr:colOff>180975</xdr:colOff>
                    <xdr:row>0</xdr:row>
                    <xdr:rowOff>123825</xdr:rowOff>
                  </from>
                  <to>
                    <xdr:col>12</xdr:col>
                    <xdr:colOff>190500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D88C0-4141-4991-A4B5-A70A5A5F04F6}">
  <sheetPr codeName="Plan8"/>
  <dimension ref="A1:G52"/>
  <sheetViews>
    <sheetView workbookViewId="0">
      <selection activeCell="J10" sqref="J10"/>
    </sheetView>
  </sheetViews>
  <sheetFormatPr defaultRowHeight="15"/>
  <cols>
    <col min="3" max="3" width="46.28515625" customWidth="1"/>
  </cols>
  <sheetData>
    <row r="1" spans="1:6" ht="16.5" thickBot="1">
      <c r="A1" s="2010" t="s">
        <v>413</v>
      </c>
      <c r="B1" s="2011"/>
      <c r="C1" s="2011"/>
      <c r="D1" s="2011"/>
      <c r="E1" s="2012"/>
    </row>
    <row r="2" spans="1:6" ht="16.5" thickTop="1" thickBot="1">
      <c r="A2" s="179" t="s">
        <v>447</v>
      </c>
      <c r="B2" s="180" t="s">
        <v>448</v>
      </c>
      <c r="C2" s="181" t="s">
        <v>297</v>
      </c>
      <c r="D2" s="181" t="s">
        <v>449</v>
      </c>
      <c r="E2" s="182" t="s">
        <v>450</v>
      </c>
    </row>
    <row r="3" spans="1:6">
      <c r="A3" s="183">
        <v>1</v>
      </c>
      <c r="B3" s="162">
        <v>2</v>
      </c>
      <c r="C3" s="163" t="s">
        <v>414</v>
      </c>
      <c r="D3" s="164">
        <v>12.82</v>
      </c>
      <c r="E3" s="165">
        <f t="shared" ref="E3:E25" si="0">D3*B3</f>
        <v>25.64</v>
      </c>
      <c r="F3" s="162">
        <v>2</v>
      </c>
    </row>
    <row r="4" spans="1:6">
      <c r="A4" s="183">
        <v>2</v>
      </c>
      <c r="B4" s="162">
        <v>1</v>
      </c>
      <c r="C4" s="163" t="s">
        <v>415</v>
      </c>
      <c r="D4" s="164">
        <v>23.55</v>
      </c>
      <c r="E4" s="165">
        <f t="shared" si="0"/>
        <v>23.55</v>
      </c>
      <c r="F4" s="162">
        <v>1</v>
      </c>
    </row>
    <row r="5" spans="1:6">
      <c r="A5" s="183">
        <v>3</v>
      </c>
      <c r="B5" s="162">
        <v>1</v>
      </c>
      <c r="C5" s="163" t="s">
        <v>416</v>
      </c>
      <c r="D5" s="164">
        <v>2.31</v>
      </c>
      <c r="E5" s="165">
        <f t="shared" si="0"/>
        <v>2.31</v>
      </c>
      <c r="F5" s="162">
        <v>1</v>
      </c>
    </row>
    <row r="6" spans="1:6">
      <c r="A6" s="183">
        <v>4</v>
      </c>
      <c r="B6" s="162">
        <v>7</v>
      </c>
      <c r="C6" s="163" t="s">
        <v>417</v>
      </c>
      <c r="D6" s="164">
        <v>12</v>
      </c>
      <c r="E6" s="165">
        <f t="shared" si="0"/>
        <v>84</v>
      </c>
      <c r="F6" s="162">
        <v>7</v>
      </c>
    </row>
    <row r="7" spans="1:6">
      <c r="A7" s="183">
        <v>5</v>
      </c>
      <c r="B7" s="162">
        <v>2</v>
      </c>
      <c r="C7" s="163" t="s">
        <v>418</v>
      </c>
      <c r="D7" s="164">
        <v>5.84</v>
      </c>
      <c r="E7" s="165">
        <f t="shared" si="0"/>
        <v>11.68</v>
      </c>
      <c r="F7" s="162">
        <v>2</v>
      </c>
    </row>
    <row r="8" spans="1:6">
      <c r="A8" s="183">
        <v>6</v>
      </c>
      <c r="B8" s="162">
        <v>6</v>
      </c>
      <c r="C8" s="163" t="s">
        <v>419</v>
      </c>
      <c r="D8" s="164">
        <v>46.93</v>
      </c>
      <c r="E8" s="165">
        <f t="shared" si="0"/>
        <v>281.58</v>
      </c>
      <c r="F8" s="162">
        <v>6</v>
      </c>
    </row>
    <row r="9" spans="1:6">
      <c r="A9" s="183">
        <v>7</v>
      </c>
      <c r="B9" s="162">
        <v>4</v>
      </c>
      <c r="C9" s="163" t="s">
        <v>420</v>
      </c>
      <c r="D9" s="164">
        <v>21.11</v>
      </c>
      <c r="E9" s="165">
        <f t="shared" si="0"/>
        <v>84.44</v>
      </c>
      <c r="F9" s="162">
        <v>4</v>
      </c>
    </row>
    <row r="10" spans="1:6">
      <c r="A10" s="183">
        <v>8</v>
      </c>
      <c r="B10" s="162">
        <v>1</v>
      </c>
      <c r="C10" s="163" t="s">
        <v>421</v>
      </c>
      <c r="D10" s="164">
        <v>1.69</v>
      </c>
      <c r="E10" s="165">
        <f t="shared" si="0"/>
        <v>1.69</v>
      </c>
      <c r="F10" s="162">
        <v>1</v>
      </c>
    </row>
    <row r="11" spans="1:6">
      <c r="A11" s="183">
        <v>9</v>
      </c>
      <c r="B11" s="166">
        <v>4</v>
      </c>
      <c r="C11" s="163" t="s">
        <v>422</v>
      </c>
      <c r="D11" s="164">
        <v>8.6300000000000008</v>
      </c>
      <c r="E11" s="165">
        <f t="shared" si="0"/>
        <v>34.520000000000003</v>
      </c>
      <c r="F11" s="166">
        <v>4</v>
      </c>
    </row>
    <row r="12" spans="1:6">
      <c r="A12" s="183">
        <v>10</v>
      </c>
      <c r="B12" s="166">
        <v>1</v>
      </c>
      <c r="C12" s="163" t="s">
        <v>423</v>
      </c>
      <c r="D12" s="164">
        <v>1.69</v>
      </c>
      <c r="E12" s="165">
        <f t="shared" si="0"/>
        <v>1.69</v>
      </c>
      <c r="F12" s="166">
        <v>1</v>
      </c>
    </row>
    <row r="13" spans="1:6">
      <c r="A13" s="183">
        <v>11</v>
      </c>
      <c r="B13" s="166">
        <v>4</v>
      </c>
      <c r="C13" s="163" t="s">
        <v>424</v>
      </c>
      <c r="D13" s="164">
        <v>8.6300000000000008</v>
      </c>
      <c r="E13" s="165">
        <f t="shared" si="0"/>
        <v>34.520000000000003</v>
      </c>
      <c r="F13" s="166">
        <v>4</v>
      </c>
    </row>
    <row r="14" spans="1:6">
      <c r="A14" s="183">
        <v>12</v>
      </c>
      <c r="B14" s="166">
        <v>2</v>
      </c>
      <c r="C14" s="167" t="s">
        <v>425</v>
      </c>
      <c r="D14" s="164">
        <v>4.8</v>
      </c>
      <c r="E14" s="165">
        <f t="shared" si="0"/>
        <v>9.6</v>
      </c>
      <c r="F14" s="166">
        <v>2</v>
      </c>
    </row>
    <row r="15" spans="1:6">
      <c r="A15" s="183">
        <v>13</v>
      </c>
      <c r="B15" s="166">
        <v>2</v>
      </c>
      <c r="C15" s="167" t="s">
        <v>426</v>
      </c>
      <c r="D15" s="164">
        <v>4.8</v>
      </c>
      <c r="E15" s="165">
        <f t="shared" si="0"/>
        <v>9.6</v>
      </c>
      <c r="F15" s="166">
        <v>2</v>
      </c>
    </row>
    <row r="16" spans="1:6">
      <c r="A16" s="183">
        <v>14</v>
      </c>
      <c r="B16" s="166">
        <v>1</v>
      </c>
      <c r="C16" s="163" t="s">
        <v>427</v>
      </c>
      <c r="D16" s="164">
        <v>180</v>
      </c>
      <c r="E16" s="165">
        <f t="shared" si="0"/>
        <v>180</v>
      </c>
      <c r="F16" s="166">
        <v>1</v>
      </c>
    </row>
    <row r="17" spans="1:6">
      <c r="A17" s="183">
        <v>15</v>
      </c>
      <c r="B17" s="166">
        <v>1</v>
      </c>
      <c r="C17" s="163" t="s">
        <v>428</v>
      </c>
      <c r="D17" s="168">
        <v>620</v>
      </c>
      <c r="E17" s="165">
        <f t="shared" si="0"/>
        <v>620</v>
      </c>
      <c r="F17" s="166">
        <v>1</v>
      </c>
    </row>
    <row r="18" spans="1:6">
      <c r="A18" s="183">
        <v>16</v>
      </c>
      <c r="B18" s="166">
        <v>80</v>
      </c>
      <c r="C18" s="163" t="s">
        <v>429</v>
      </c>
      <c r="D18" s="168">
        <v>35.31</v>
      </c>
      <c r="E18" s="165">
        <f t="shared" si="0"/>
        <v>2824.8</v>
      </c>
      <c r="F18" s="166">
        <v>80</v>
      </c>
    </row>
    <row r="19" spans="1:6">
      <c r="A19" s="183">
        <v>17</v>
      </c>
      <c r="B19" s="166">
        <v>12</v>
      </c>
      <c r="C19" s="163" t="s">
        <v>430</v>
      </c>
      <c r="D19" s="164">
        <v>8.5</v>
      </c>
      <c r="E19" s="172">
        <f t="shared" si="0"/>
        <v>102</v>
      </c>
      <c r="F19" s="166">
        <v>12</v>
      </c>
    </row>
    <row r="20" spans="1:6">
      <c r="A20" s="183">
        <v>18</v>
      </c>
      <c r="B20" s="169">
        <v>1</v>
      </c>
      <c r="C20" s="170" t="s">
        <v>431</v>
      </c>
      <c r="D20" s="164">
        <v>14</v>
      </c>
      <c r="E20" s="172">
        <f t="shared" si="0"/>
        <v>14</v>
      </c>
      <c r="F20" s="166">
        <v>1</v>
      </c>
    </row>
    <row r="21" spans="1:6">
      <c r="A21" s="183">
        <v>19</v>
      </c>
      <c r="B21" s="169">
        <v>1</v>
      </c>
      <c r="C21" s="170" t="s">
        <v>432</v>
      </c>
      <c r="D21" s="164">
        <v>80</v>
      </c>
      <c r="E21" s="172">
        <f t="shared" si="0"/>
        <v>80</v>
      </c>
      <c r="F21" s="166">
        <v>1</v>
      </c>
    </row>
    <row r="22" spans="1:6">
      <c r="A22" s="183">
        <v>20</v>
      </c>
      <c r="B22" s="169">
        <v>1</v>
      </c>
      <c r="C22" s="170" t="s">
        <v>433</v>
      </c>
      <c r="D22" s="164">
        <v>1.27</v>
      </c>
      <c r="E22" s="172">
        <f t="shared" si="0"/>
        <v>1.27</v>
      </c>
      <c r="F22" s="166">
        <v>1</v>
      </c>
    </row>
    <row r="23" spans="1:6">
      <c r="A23" s="183">
        <v>21</v>
      </c>
      <c r="B23" s="169">
        <v>2</v>
      </c>
      <c r="C23" s="170" t="s">
        <v>434</v>
      </c>
      <c r="D23" s="164">
        <v>9.5</v>
      </c>
      <c r="E23" s="172">
        <f t="shared" si="0"/>
        <v>19</v>
      </c>
      <c r="F23" s="166">
        <v>2</v>
      </c>
    </row>
    <row r="24" spans="1:6">
      <c r="A24" s="183">
        <v>22</v>
      </c>
      <c r="B24" s="169">
        <v>2</v>
      </c>
      <c r="C24" s="170" t="s">
        <v>435</v>
      </c>
      <c r="D24" s="164">
        <v>0.33</v>
      </c>
      <c r="E24" s="172">
        <f t="shared" si="0"/>
        <v>0.66</v>
      </c>
      <c r="F24" s="166">
        <v>2</v>
      </c>
    </row>
    <row r="25" spans="1:6">
      <c r="A25" s="183">
        <v>23</v>
      </c>
      <c r="B25" s="169">
        <v>4</v>
      </c>
      <c r="C25" s="170" t="s">
        <v>436</v>
      </c>
      <c r="D25" s="164">
        <v>3.8</v>
      </c>
      <c r="E25" s="172">
        <f t="shared" si="0"/>
        <v>15.2</v>
      </c>
      <c r="F25" s="166">
        <v>4</v>
      </c>
    </row>
    <row r="28" spans="1:6" ht="16.5" thickBot="1">
      <c r="A28" s="2010" t="s">
        <v>437</v>
      </c>
      <c r="B28" s="2011"/>
      <c r="C28" s="2011"/>
      <c r="D28" s="2011"/>
      <c r="E28" s="2012"/>
    </row>
    <row r="29" spans="1:6" ht="16.5" thickTop="1" thickBot="1">
      <c r="A29" s="179" t="s">
        <v>447</v>
      </c>
      <c r="B29" s="180" t="s">
        <v>448</v>
      </c>
      <c r="C29" s="181" t="s">
        <v>297</v>
      </c>
      <c r="D29" s="181" t="s">
        <v>449</v>
      </c>
      <c r="E29" s="182" t="s">
        <v>450</v>
      </c>
      <c r="F29" s="180" t="s">
        <v>448</v>
      </c>
    </row>
    <row r="30" spans="1:6">
      <c r="A30" s="184">
        <v>1</v>
      </c>
      <c r="B30" s="162">
        <v>2</v>
      </c>
      <c r="C30" s="173" t="s">
        <v>418</v>
      </c>
      <c r="D30" s="174"/>
      <c r="E30" s="178">
        <f t="shared" ref="E30:E48" si="1">D30*B30</f>
        <v>0</v>
      </c>
      <c r="F30" s="175">
        <v>2</v>
      </c>
    </row>
    <row r="31" spans="1:6">
      <c r="A31" s="184">
        <v>2</v>
      </c>
      <c r="B31" s="162">
        <v>3</v>
      </c>
      <c r="C31" s="173" t="s">
        <v>438</v>
      </c>
      <c r="D31" s="174"/>
      <c r="E31" s="178">
        <f t="shared" si="1"/>
        <v>0</v>
      </c>
      <c r="F31" s="175">
        <v>3</v>
      </c>
    </row>
    <row r="32" spans="1:6">
      <c r="A32" s="183">
        <v>3</v>
      </c>
      <c r="B32" s="162">
        <v>2</v>
      </c>
      <c r="C32" s="173" t="s">
        <v>439</v>
      </c>
      <c r="D32" s="174"/>
      <c r="E32" s="178">
        <f t="shared" si="1"/>
        <v>0</v>
      </c>
      <c r="F32" s="175">
        <v>2</v>
      </c>
    </row>
    <row r="33" spans="1:6">
      <c r="A33" s="183">
        <v>4</v>
      </c>
      <c r="B33" s="162">
        <v>1</v>
      </c>
      <c r="C33" s="173" t="s">
        <v>440</v>
      </c>
      <c r="D33" s="174"/>
      <c r="E33" s="178">
        <f t="shared" si="1"/>
        <v>0</v>
      </c>
      <c r="F33" s="175">
        <v>1</v>
      </c>
    </row>
    <row r="34" spans="1:6">
      <c r="A34" s="184">
        <v>5</v>
      </c>
      <c r="B34" s="166">
        <v>2</v>
      </c>
      <c r="C34" s="173" t="s">
        <v>441</v>
      </c>
      <c r="D34" s="174"/>
      <c r="E34" s="178">
        <f t="shared" si="1"/>
        <v>0</v>
      </c>
      <c r="F34" s="176">
        <v>2</v>
      </c>
    </row>
    <row r="35" spans="1:6">
      <c r="A35" s="184">
        <v>6</v>
      </c>
      <c r="B35" s="166">
        <v>1</v>
      </c>
      <c r="C35" s="173" t="s">
        <v>423</v>
      </c>
      <c r="D35" s="174"/>
      <c r="E35" s="178">
        <f t="shared" si="1"/>
        <v>0</v>
      </c>
      <c r="F35" s="176">
        <v>1</v>
      </c>
    </row>
    <row r="36" spans="1:6">
      <c r="A36" s="184">
        <v>7</v>
      </c>
      <c r="B36" s="166">
        <v>2</v>
      </c>
      <c r="C36" s="173" t="s">
        <v>442</v>
      </c>
      <c r="D36" s="174"/>
      <c r="E36" s="178">
        <f t="shared" si="1"/>
        <v>0</v>
      </c>
      <c r="F36" s="176">
        <v>2</v>
      </c>
    </row>
    <row r="37" spans="1:6">
      <c r="A37" s="184">
        <v>8</v>
      </c>
      <c r="B37" s="166">
        <v>2</v>
      </c>
      <c r="C37" s="185" t="s">
        <v>425</v>
      </c>
      <c r="D37" s="174"/>
      <c r="E37" s="178">
        <f t="shared" si="1"/>
        <v>0</v>
      </c>
      <c r="F37" s="176">
        <v>2</v>
      </c>
    </row>
    <row r="38" spans="1:6">
      <c r="A38" s="183">
        <v>9</v>
      </c>
      <c r="B38" s="166">
        <v>2</v>
      </c>
      <c r="C38" s="185" t="s">
        <v>426</v>
      </c>
      <c r="D38" s="174"/>
      <c r="E38" s="178">
        <f t="shared" si="1"/>
        <v>0</v>
      </c>
      <c r="F38" s="176">
        <v>2</v>
      </c>
    </row>
    <row r="39" spans="1:6">
      <c r="A39" s="183">
        <v>10</v>
      </c>
      <c r="B39" s="166">
        <v>1</v>
      </c>
      <c r="C39" s="173" t="s">
        <v>427</v>
      </c>
      <c r="D39" s="174"/>
      <c r="E39" s="178">
        <f t="shared" si="1"/>
        <v>0</v>
      </c>
      <c r="F39" s="176">
        <v>1</v>
      </c>
    </row>
    <row r="40" spans="1:6">
      <c r="A40" s="184">
        <v>11</v>
      </c>
      <c r="B40" s="166">
        <v>1</v>
      </c>
      <c r="C40" s="173" t="s">
        <v>443</v>
      </c>
      <c r="D40" s="174"/>
      <c r="E40" s="178">
        <f t="shared" si="1"/>
        <v>0</v>
      </c>
      <c r="F40" s="176">
        <v>1</v>
      </c>
    </row>
    <row r="41" spans="1:6">
      <c r="A41" s="184">
        <v>12</v>
      </c>
      <c r="B41" s="166">
        <v>40</v>
      </c>
      <c r="C41" s="173" t="s">
        <v>429</v>
      </c>
      <c r="D41" s="174"/>
      <c r="E41" s="178">
        <f t="shared" si="1"/>
        <v>0</v>
      </c>
      <c r="F41" s="176">
        <v>40</v>
      </c>
    </row>
    <row r="42" spans="1:6">
      <c r="A42" s="184">
        <v>13</v>
      </c>
      <c r="B42" s="166">
        <v>12</v>
      </c>
      <c r="C42" s="173" t="s">
        <v>430</v>
      </c>
      <c r="D42" s="174"/>
      <c r="E42" s="178">
        <f t="shared" si="1"/>
        <v>0</v>
      </c>
      <c r="F42" s="176">
        <v>12</v>
      </c>
    </row>
    <row r="43" spans="1:6">
      <c r="A43" s="184">
        <v>14</v>
      </c>
      <c r="B43" s="169">
        <v>1</v>
      </c>
      <c r="C43" s="177" t="s">
        <v>444</v>
      </c>
      <c r="D43" s="174"/>
      <c r="E43" s="178">
        <f t="shared" si="1"/>
        <v>0</v>
      </c>
      <c r="F43" s="176">
        <v>1</v>
      </c>
    </row>
    <row r="44" spans="1:6">
      <c r="A44" s="183">
        <v>15</v>
      </c>
      <c r="B44" s="169">
        <v>1</v>
      </c>
      <c r="C44" s="177" t="s">
        <v>432</v>
      </c>
      <c r="D44" s="174"/>
      <c r="E44" s="178">
        <f t="shared" si="1"/>
        <v>0</v>
      </c>
      <c r="F44" s="176">
        <v>1</v>
      </c>
    </row>
    <row r="45" spans="1:6">
      <c r="A45" s="183">
        <v>16</v>
      </c>
      <c r="B45" s="169">
        <v>1</v>
      </c>
      <c r="C45" s="177" t="s">
        <v>433</v>
      </c>
      <c r="D45" s="174"/>
      <c r="E45" s="178">
        <f t="shared" si="1"/>
        <v>0</v>
      </c>
      <c r="F45" s="176">
        <v>1</v>
      </c>
    </row>
    <row r="46" spans="1:6">
      <c r="A46" s="184">
        <v>17</v>
      </c>
      <c r="B46" s="169">
        <v>1</v>
      </c>
      <c r="C46" s="177" t="s">
        <v>445</v>
      </c>
      <c r="D46" s="174"/>
      <c r="E46" s="178">
        <f t="shared" si="1"/>
        <v>0</v>
      </c>
      <c r="F46" s="176">
        <v>1</v>
      </c>
    </row>
    <row r="47" spans="1:6">
      <c r="A47" s="184">
        <v>18</v>
      </c>
      <c r="B47" s="169">
        <v>1</v>
      </c>
      <c r="C47" s="177" t="s">
        <v>435</v>
      </c>
      <c r="D47" s="174"/>
      <c r="E47" s="178">
        <f t="shared" si="1"/>
        <v>0</v>
      </c>
      <c r="F47" s="176">
        <v>1</v>
      </c>
    </row>
    <row r="48" spans="1:6">
      <c r="A48" s="184">
        <v>19</v>
      </c>
      <c r="B48" s="169">
        <v>4</v>
      </c>
      <c r="C48" s="177" t="s">
        <v>446</v>
      </c>
      <c r="D48" s="174"/>
      <c r="E48" s="178">
        <f t="shared" si="1"/>
        <v>0</v>
      </c>
      <c r="F48" s="176">
        <v>4</v>
      </c>
    </row>
    <row r="50" spans="3:7" ht="16.5" thickBot="1">
      <c r="C50" s="2010" t="s">
        <v>413</v>
      </c>
      <c r="D50" s="2013"/>
      <c r="E50" s="2013"/>
      <c r="F50" s="2013"/>
      <c r="G50" s="2014"/>
    </row>
    <row r="51" spans="3:7" ht="17.25" thickTop="1" thickBot="1">
      <c r="C51" s="2015" t="s">
        <v>437</v>
      </c>
      <c r="D51" s="2016"/>
      <c r="E51" s="2016"/>
      <c r="F51" s="2016"/>
      <c r="G51" s="2017"/>
    </row>
    <row r="52" spans="3:7" ht="15.75" thickTop="1"/>
  </sheetData>
  <mergeCells count="4">
    <mergeCell ref="A1:E1"/>
    <mergeCell ref="A28:E28"/>
    <mergeCell ref="C50:G50"/>
    <mergeCell ref="C51:G5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E6C8D-317D-49C4-B969-B1ECC775BB7C}">
  <sheetPr codeName="Plan9"/>
  <dimension ref="B1:M26"/>
  <sheetViews>
    <sheetView showGridLines="0" zoomScaleNormal="100" workbookViewId="0">
      <selection activeCell="B3" sqref="B3:M26"/>
    </sheetView>
  </sheetViews>
  <sheetFormatPr defaultRowHeight="15"/>
  <cols>
    <col min="1" max="1" width="4.7109375" customWidth="1"/>
    <col min="13" max="13" width="2.140625" customWidth="1"/>
    <col min="15" max="15" width="11.140625" customWidth="1"/>
  </cols>
  <sheetData>
    <row r="1" spans="2:13" ht="12.75" customHeight="1">
      <c r="B1" s="1697"/>
      <c r="C1" s="1697"/>
      <c r="D1" s="1697"/>
      <c r="E1" s="1697"/>
      <c r="F1" s="1697"/>
      <c r="G1" s="1697"/>
      <c r="H1" s="1697"/>
      <c r="I1" s="1697"/>
      <c r="J1" s="1697"/>
      <c r="K1" s="1697"/>
      <c r="L1" s="1697"/>
      <c r="M1" s="1697"/>
    </row>
    <row r="2" spans="2:13" ht="6" customHeight="1" thickBot="1">
      <c r="B2" s="398"/>
      <c r="C2" s="398"/>
      <c r="D2" s="398"/>
      <c r="E2" s="398"/>
      <c r="F2" s="398"/>
      <c r="G2" s="398"/>
      <c r="H2" s="398"/>
      <c r="I2" s="398"/>
      <c r="J2" s="398"/>
      <c r="K2" s="398"/>
      <c r="L2" s="398"/>
      <c r="M2" s="398"/>
    </row>
    <row r="3" spans="2:13" ht="18.2" customHeight="1">
      <c r="B3" s="2018"/>
      <c r="C3" s="2019"/>
      <c r="D3" s="2019"/>
      <c r="E3" s="2019"/>
      <c r="F3" s="2019"/>
      <c r="G3" s="2019"/>
      <c r="H3" s="2019"/>
      <c r="I3" s="2019"/>
      <c r="J3" s="2019"/>
      <c r="K3" s="2019"/>
      <c r="L3" s="2019"/>
      <c r="M3" s="2020"/>
    </row>
    <row r="4" spans="2:13" ht="16.5" customHeight="1">
      <c r="B4" s="2021"/>
      <c r="C4" s="2022"/>
      <c r="D4" s="2022"/>
      <c r="E4" s="2022"/>
      <c r="F4" s="2022"/>
      <c r="G4" s="2022"/>
      <c r="H4" s="2022"/>
      <c r="I4" s="2022"/>
      <c r="J4" s="2022"/>
      <c r="K4" s="2022"/>
      <c r="L4" s="2022"/>
      <c r="M4" s="2023"/>
    </row>
    <row r="5" spans="2:13" ht="15" customHeight="1">
      <c r="B5" s="2021"/>
      <c r="C5" s="2022"/>
      <c r="D5" s="2022"/>
      <c r="E5" s="2022"/>
      <c r="F5" s="2022"/>
      <c r="G5" s="2022"/>
      <c r="H5" s="2022"/>
      <c r="I5" s="2022"/>
      <c r="J5" s="2022"/>
      <c r="K5" s="2022"/>
      <c r="L5" s="2022"/>
      <c r="M5" s="2023"/>
    </row>
    <row r="6" spans="2:13" ht="15" customHeight="1">
      <c r="B6" s="2021"/>
      <c r="C6" s="2022"/>
      <c r="D6" s="2022"/>
      <c r="E6" s="2022"/>
      <c r="F6" s="2022"/>
      <c r="G6" s="2022"/>
      <c r="H6" s="2022"/>
      <c r="I6" s="2022"/>
      <c r="J6" s="2022"/>
      <c r="K6" s="2022"/>
      <c r="L6" s="2022"/>
      <c r="M6" s="2023"/>
    </row>
    <row r="7" spans="2:13" ht="15" customHeight="1">
      <c r="B7" s="2021"/>
      <c r="C7" s="2022"/>
      <c r="D7" s="2022"/>
      <c r="E7" s="2022"/>
      <c r="F7" s="2022"/>
      <c r="G7" s="2022"/>
      <c r="H7" s="2022"/>
      <c r="I7" s="2022"/>
      <c r="J7" s="2022"/>
      <c r="K7" s="2022"/>
      <c r="L7" s="2022"/>
      <c r="M7" s="2023"/>
    </row>
    <row r="8" spans="2:13" ht="15" customHeight="1">
      <c r="B8" s="2021"/>
      <c r="C8" s="2022"/>
      <c r="D8" s="2022"/>
      <c r="E8" s="2022"/>
      <c r="F8" s="2022"/>
      <c r="G8" s="2022"/>
      <c r="H8" s="2022"/>
      <c r="I8" s="2022"/>
      <c r="J8" s="2022"/>
      <c r="K8" s="2022"/>
      <c r="L8" s="2022"/>
      <c r="M8" s="2023"/>
    </row>
    <row r="9" spans="2:13" ht="15" customHeight="1">
      <c r="B9" s="2021"/>
      <c r="C9" s="2022"/>
      <c r="D9" s="2022"/>
      <c r="E9" s="2022"/>
      <c r="F9" s="2022"/>
      <c r="G9" s="2022"/>
      <c r="H9" s="2022"/>
      <c r="I9" s="2022"/>
      <c r="J9" s="2022"/>
      <c r="K9" s="2022"/>
      <c r="L9" s="2022"/>
      <c r="M9" s="2023"/>
    </row>
    <row r="10" spans="2:13" ht="15" customHeight="1">
      <c r="B10" s="2021"/>
      <c r="C10" s="2022"/>
      <c r="D10" s="2022"/>
      <c r="E10" s="2022"/>
      <c r="F10" s="2022"/>
      <c r="G10" s="2022"/>
      <c r="H10" s="2022"/>
      <c r="I10" s="2022"/>
      <c r="J10" s="2022"/>
      <c r="K10" s="2022"/>
      <c r="L10" s="2022"/>
      <c r="M10" s="2023"/>
    </row>
    <row r="11" spans="2:13" ht="15" customHeight="1">
      <c r="B11" s="2021"/>
      <c r="C11" s="2022"/>
      <c r="D11" s="2022"/>
      <c r="E11" s="2022"/>
      <c r="F11" s="2022"/>
      <c r="G11" s="2022"/>
      <c r="H11" s="2022"/>
      <c r="I11" s="2022"/>
      <c r="J11" s="2022"/>
      <c r="K11" s="2022"/>
      <c r="L11" s="2022"/>
      <c r="M11" s="2023"/>
    </row>
    <row r="12" spans="2:13" ht="15" customHeight="1">
      <c r="B12" s="2021"/>
      <c r="C12" s="2022"/>
      <c r="D12" s="2022"/>
      <c r="E12" s="2022"/>
      <c r="F12" s="2022"/>
      <c r="G12" s="2022"/>
      <c r="H12" s="2022"/>
      <c r="I12" s="2022"/>
      <c r="J12" s="2022"/>
      <c r="K12" s="2022"/>
      <c r="L12" s="2022"/>
      <c r="M12" s="2023"/>
    </row>
    <row r="13" spans="2:13" ht="15" customHeight="1">
      <c r="B13" s="2021"/>
      <c r="C13" s="2022"/>
      <c r="D13" s="2022"/>
      <c r="E13" s="2022"/>
      <c r="F13" s="2022"/>
      <c r="G13" s="2022"/>
      <c r="H13" s="2022"/>
      <c r="I13" s="2022"/>
      <c r="J13" s="2022"/>
      <c r="K13" s="2022"/>
      <c r="L13" s="2022"/>
      <c r="M13" s="2023"/>
    </row>
    <row r="14" spans="2:13" ht="15" customHeight="1">
      <c r="B14" s="2021"/>
      <c r="C14" s="2022"/>
      <c r="D14" s="2022"/>
      <c r="E14" s="2022"/>
      <c r="F14" s="2022"/>
      <c r="G14" s="2022"/>
      <c r="H14" s="2022"/>
      <c r="I14" s="2022"/>
      <c r="J14" s="2022"/>
      <c r="K14" s="2022"/>
      <c r="L14" s="2022"/>
      <c r="M14" s="2023"/>
    </row>
    <row r="15" spans="2:13" ht="15" customHeight="1">
      <c r="B15" s="2021"/>
      <c r="C15" s="2022"/>
      <c r="D15" s="2022"/>
      <c r="E15" s="2022"/>
      <c r="F15" s="2022"/>
      <c r="G15" s="2022"/>
      <c r="H15" s="2022"/>
      <c r="I15" s="2022"/>
      <c r="J15" s="2022"/>
      <c r="K15" s="2022"/>
      <c r="L15" s="2022"/>
      <c r="M15" s="2023"/>
    </row>
    <row r="16" spans="2:13" ht="15" customHeight="1">
      <c r="B16" s="2021"/>
      <c r="C16" s="2022"/>
      <c r="D16" s="2022"/>
      <c r="E16" s="2022"/>
      <c r="F16" s="2022"/>
      <c r="G16" s="2022"/>
      <c r="H16" s="2022"/>
      <c r="I16" s="2022"/>
      <c r="J16" s="2022"/>
      <c r="K16" s="2022"/>
      <c r="L16" s="2022"/>
      <c r="M16" s="2023"/>
    </row>
    <row r="17" spans="2:13" ht="15" customHeight="1">
      <c r="B17" s="2021"/>
      <c r="C17" s="2022"/>
      <c r="D17" s="2022"/>
      <c r="E17" s="2022"/>
      <c r="F17" s="2022"/>
      <c r="G17" s="2022"/>
      <c r="H17" s="2022"/>
      <c r="I17" s="2022"/>
      <c r="J17" s="2022"/>
      <c r="K17" s="2022"/>
      <c r="L17" s="2022"/>
      <c r="M17" s="2023"/>
    </row>
    <row r="18" spans="2:13" ht="15" customHeight="1">
      <c r="B18" s="2021"/>
      <c r="C18" s="2022"/>
      <c r="D18" s="2022"/>
      <c r="E18" s="2022"/>
      <c r="F18" s="2022"/>
      <c r="G18" s="2022"/>
      <c r="H18" s="2022"/>
      <c r="I18" s="2022"/>
      <c r="J18" s="2022"/>
      <c r="K18" s="2022"/>
      <c r="L18" s="2022"/>
      <c r="M18" s="2023"/>
    </row>
    <row r="19" spans="2:13" ht="15" customHeight="1">
      <c r="B19" s="2021"/>
      <c r="C19" s="2022"/>
      <c r="D19" s="2022"/>
      <c r="E19" s="2022"/>
      <c r="F19" s="2022"/>
      <c r="G19" s="2022"/>
      <c r="H19" s="2022"/>
      <c r="I19" s="2022"/>
      <c r="J19" s="2022"/>
      <c r="K19" s="2022"/>
      <c r="L19" s="2022"/>
      <c r="M19" s="2023"/>
    </row>
    <row r="20" spans="2:13" ht="15" customHeight="1">
      <c r="B20" s="2021"/>
      <c r="C20" s="2022"/>
      <c r="D20" s="2022"/>
      <c r="E20" s="2022"/>
      <c r="F20" s="2022"/>
      <c r="G20" s="2022"/>
      <c r="H20" s="2022"/>
      <c r="I20" s="2022"/>
      <c r="J20" s="2022"/>
      <c r="K20" s="2022"/>
      <c r="L20" s="2022"/>
      <c r="M20" s="2023"/>
    </row>
    <row r="21" spans="2:13" ht="10.5" customHeight="1">
      <c r="B21" s="2021"/>
      <c r="C21" s="2022"/>
      <c r="D21" s="2022"/>
      <c r="E21" s="2022"/>
      <c r="F21" s="2022"/>
      <c r="G21" s="2022"/>
      <c r="H21" s="2022"/>
      <c r="I21" s="2022"/>
      <c r="J21" s="2022"/>
      <c r="K21" s="2022"/>
      <c r="L21" s="2022"/>
      <c r="M21" s="2023"/>
    </row>
    <row r="22" spans="2:13" ht="6.75" customHeight="1">
      <c r="B22" s="2021"/>
      <c r="C22" s="2022"/>
      <c r="D22" s="2022"/>
      <c r="E22" s="2022"/>
      <c r="F22" s="2022"/>
      <c r="G22" s="2022"/>
      <c r="H22" s="2022"/>
      <c r="I22" s="2022"/>
      <c r="J22" s="2022"/>
      <c r="K22" s="2022"/>
      <c r="L22" s="2022"/>
      <c r="M22" s="2023"/>
    </row>
    <row r="23" spans="2:13" ht="15" customHeight="1">
      <c r="B23" s="2021"/>
      <c r="C23" s="2022"/>
      <c r="D23" s="2022"/>
      <c r="E23" s="2022"/>
      <c r="F23" s="2022"/>
      <c r="G23" s="2022"/>
      <c r="H23" s="2022"/>
      <c r="I23" s="2022"/>
      <c r="J23" s="2022"/>
      <c r="K23" s="2022"/>
      <c r="L23" s="2022"/>
      <c r="M23" s="2023"/>
    </row>
    <row r="24" spans="2:13" ht="15" customHeight="1">
      <c r="B24" s="2021"/>
      <c r="C24" s="2022"/>
      <c r="D24" s="2022"/>
      <c r="E24" s="2022"/>
      <c r="F24" s="2022"/>
      <c r="G24" s="2022"/>
      <c r="H24" s="2022"/>
      <c r="I24" s="2022"/>
      <c r="J24" s="2022"/>
      <c r="K24" s="2022"/>
      <c r="L24" s="2022"/>
      <c r="M24" s="2023"/>
    </row>
    <row r="25" spans="2:13" ht="15" customHeight="1">
      <c r="B25" s="2021"/>
      <c r="C25" s="2022"/>
      <c r="D25" s="2022"/>
      <c r="E25" s="2022"/>
      <c r="F25" s="2022"/>
      <c r="G25" s="2022"/>
      <c r="H25" s="2022"/>
      <c r="I25" s="2022"/>
      <c r="J25" s="2022"/>
      <c r="K25" s="2022"/>
      <c r="L25" s="2022"/>
      <c r="M25" s="2023"/>
    </row>
    <row r="26" spans="2:13" ht="15.75" thickBot="1">
      <c r="B26" s="2024"/>
      <c r="C26" s="2025"/>
      <c r="D26" s="2025"/>
      <c r="E26" s="2025"/>
      <c r="F26" s="2025"/>
      <c r="G26" s="2025"/>
      <c r="H26" s="2025"/>
      <c r="I26" s="2025"/>
      <c r="J26" s="2025"/>
      <c r="K26" s="2025"/>
      <c r="L26" s="2025"/>
      <c r="M26" s="2026"/>
    </row>
  </sheetData>
  <mergeCells count="2">
    <mergeCell ref="B3:M26"/>
    <mergeCell ref="B1:M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9" r:id="rId4" name="Button 5">
              <controlPr defaultSize="0" print="0" autoFill="0" autoPict="0" macro="[0]!MONO_13">
                <anchor moveWithCells="1" sizeWithCells="1">
                  <from>
                    <xdr:col>1</xdr:col>
                    <xdr:colOff>180975</xdr:colOff>
                    <xdr:row>4</xdr:row>
                    <xdr:rowOff>47625</xdr:rowOff>
                  </from>
                  <to>
                    <xdr:col>3</xdr:col>
                    <xdr:colOff>390525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5" name="Button 7">
              <controlPr defaultSize="0" print="0" autoFill="0" autoPict="0" macro="[0]!Macro4">
                <anchor moveWithCells="1" sizeWithCells="1">
                  <from>
                    <xdr:col>1</xdr:col>
                    <xdr:colOff>171450</xdr:colOff>
                    <xdr:row>10</xdr:row>
                    <xdr:rowOff>19050</xdr:rowOff>
                  </from>
                  <to>
                    <xdr:col>3</xdr:col>
                    <xdr:colOff>371475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" r:id="rId6" name="Button 10">
              <controlPr defaultSize="0" print="0" autoFill="0" autoPict="0" macro="[0]!Macro5">
                <anchor moveWithCells="1" sizeWithCells="1">
                  <from>
                    <xdr:col>3</xdr:col>
                    <xdr:colOff>447675</xdr:colOff>
                    <xdr:row>4</xdr:row>
                    <xdr:rowOff>47625</xdr:rowOff>
                  </from>
                  <to>
                    <xdr:col>6</xdr:col>
                    <xdr:colOff>133350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7" name="Button 11">
              <controlPr defaultSize="0" print="0" autoFill="0" autoPict="0" macro="[0]!Macro6">
                <anchor moveWithCells="1" sizeWithCells="1">
                  <from>
                    <xdr:col>3</xdr:col>
                    <xdr:colOff>438150</xdr:colOff>
                    <xdr:row>10</xdr:row>
                    <xdr:rowOff>19050</xdr:rowOff>
                  </from>
                  <to>
                    <xdr:col>6</xdr:col>
                    <xdr:colOff>133350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6" r:id="rId8" name="Button 12">
              <controlPr defaultSize="0" print="0" autoFill="0" autoPict="0" macro="[0]!Macro17gg">
                <anchor moveWithCells="1" sizeWithCells="1">
                  <from>
                    <xdr:col>9</xdr:col>
                    <xdr:colOff>209550</xdr:colOff>
                    <xdr:row>6</xdr:row>
                    <xdr:rowOff>76200</xdr:rowOff>
                  </from>
                  <to>
                    <xdr:col>11</xdr:col>
                    <xdr:colOff>495300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" r:id="rId9" name="Button 13">
              <controlPr defaultSize="0" print="0" autoFill="0" autoPict="0" macro="[0]!Macro12">
                <anchor moveWithCells="1" sizeWithCells="1">
                  <from>
                    <xdr:col>6</xdr:col>
                    <xdr:colOff>190500</xdr:colOff>
                    <xdr:row>6</xdr:row>
                    <xdr:rowOff>66675</xdr:rowOff>
                  </from>
                  <to>
                    <xdr:col>9</xdr:col>
                    <xdr:colOff>180975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8" r:id="rId10" name="Button 14">
              <controlPr defaultSize="0" print="0" autoFill="0" autoPict="0" macro="[0]!Macro7">
                <anchor moveWithCells="1" sizeWithCells="1">
                  <from>
                    <xdr:col>6</xdr:col>
                    <xdr:colOff>190500</xdr:colOff>
                    <xdr:row>14</xdr:row>
                    <xdr:rowOff>133350</xdr:rowOff>
                  </from>
                  <to>
                    <xdr:col>9</xdr:col>
                    <xdr:colOff>171450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9" r:id="rId11" name="Button 15">
              <controlPr defaultSize="0" print="0" autoFill="0" autoPict="0" macro="[0]!Macro14">
                <anchor moveWithCells="1" sizeWithCells="1">
                  <from>
                    <xdr:col>9</xdr:col>
                    <xdr:colOff>200025</xdr:colOff>
                    <xdr:row>14</xdr:row>
                    <xdr:rowOff>142875</xdr:rowOff>
                  </from>
                  <to>
                    <xdr:col>11</xdr:col>
                    <xdr:colOff>495300</xdr:colOff>
                    <xdr:row>16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2" r:id="rId12" name="Button 18">
              <controlPr defaultSize="0" print="0" autoFill="0" autoPict="0" macro="[0]!Macro16">
                <anchor moveWithCells="1" sizeWithCells="1">
                  <from>
                    <xdr:col>6</xdr:col>
                    <xdr:colOff>190500</xdr:colOff>
                    <xdr:row>4</xdr:row>
                    <xdr:rowOff>47625</xdr:rowOff>
                  </from>
                  <to>
                    <xdr:col>9</xdr:col>
                    <xdr:colOff>171450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3" r:id="rId13" name="Button 19">
              <controlPr defaultSize="0" print="0" autoFill="0" autoPict="0" macro="[0]!Macro15">
                <anchor moveWithCells="1" sizeWithCells="1">
                  <from>
                    <xdr:col>9</xdr:col>
                    <xdr:colOff>209550</xdr:colOff>
                    <xdr:row>4</xdr:row>
                    <xdr:rowOff>47625</xdr:rowOff>
                  </from>
                  <to>
                    <xdr:col>11</xdr:col>
                    <xdr:colOff>495300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5" r:id="rId14" name="Button 21">
              <controlPr locked="0" defaultSize="0" print="0" autoFill="0" autoPict="0" macro="[0]!RELIGADOR">
                <anchor moveWithCells="1" sizeWithCells="1">
                  <from>
                    <xdr:col>1</xdr:col>
                    <xdr:colOff>171450</xdr:colOff>
                    <xdr:row>15</xdr:row>
                    <xdr:rowOff>133350</xdr:rowOff>
                  </from>
                  <to>
                    <xdr:col>3</xdr:col>
                    <xdr:colOff>361950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9" r:id="rId15" name="Button 25">
              <controlPr defaultSize="0" print="0" autoFill="0" autoPict="0" macro="[0]!Macro10">
                <anchor moveWithCells="1" sizeWithCells="1">
                  <from>
                    <xdr:col>4</xdr:col>
                    <xdr:colOff>180975</xdr:colOff>
                    <xdr:row>2</xdr:row>
                    <xdr:rowOff>95250</xdr:rowOff>
                  </from>
                  <to>
                    <xdr:col>9</xdr:col>
                    <xdr:colOff>66675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0" r:id="rId16" name="Button 26">
              <controlPr defaultSize="0" print="0" autoFill="0" autoPict="0" macro="[0]!Transformadores">
                <anchor moveWithCells="1" sizeWithCells="1">
                  <from>
                    <xdr:col>9</xdr:col>
                    <xdr:colOff>200025</xdr:colOff>
                    <xdr:row>16</xdr:row>
                    <xdr:rowOff>161925</xdr:rowOff>
                  </from>
                  <to>
                    <xdr:col>11</xdr:col>
                    <xdr:colOff>495300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17" name="Button 27">
              <controlPr locked="0" defaultSize="0" print="0" autoFill="0" autoPict="0" macro="[0]!POWER2">
                <anchor moveWithCells="1" sizeWithCells="1">
                  <from>
                    <xdr:col>3</xdr:col>
                    <xdr:colOff>447675</xdr:colOff>
                    <xdr:row>15</xdr:row>
                    <xdr:rowOff>142875</xdr:rowOff>
                  </from>
                  <to>
                    <xdr:col>6</xdr:col>
                    <xdr:colOff>123825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18" name="Button 31">
              <controlPr defaultSize="0" print="0" autoFill="0" autoPict="0" macro="[0]!EXTRACOMBT">
                <anchor moveWithCells="1" sizeWithCells="1">
                  <from>
                    <xdr:col>6</xdr:col>
                    <xdr:colOff>190500</xdr:colOff>
                    <xdr:row>10</xdr:row>
                    <xdr:rowOff>142875</xdr:rowOff>
                  </from>
                  <to>
                    <xdr:col>9</xdr:col>
                    <xdr:colOff>180975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6" r:id="rId19" name="Button 32">
              <controlPr locked="0" defaultSize="0" print="0" autoFill="0" autoPict="0" macro="[0]!subestação">
                <anchor moveWithCells="1" sizeWithCells="1">
                  <from>
                    <xdr:col>6</xdr:col>
                    <xdr:colOff>190500</xdr:colOff>
                    <xdr:row>19</xdr:row>
                    <xdr:rowOff>38100</xdr:rowOff>
                  </from>
                  <to>
                    <xdr:col>9</xdr:col>
                    <xdr:colOff>171450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7" r:id="rId20" name="Button 33">
              <controlPr locked="0" defaultSize="0" print="0" autoFill="0" autoPict="0" macro="[2]!MEDIÇÃO_345">
                <anchor moveWithCells="1" sizeWithCells="1">
                  <from>
                    <xdr:col>6</xdr:col>
                    <xdr:colOff>190500</xdr:colOff>
                    <xdr:row>16</xdr:row>
                    <xdr:rowOff>161925</xdr:rowOff>
                  </from>
                  <to>
                    <xdr:col>9</xdr:col>
                    <xdr:colOff>161925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8" r:id="rId21" name="Button 34">
              <controlPr defaultSize="0" print="0" autoFill="0" autoPict="0" macro="[0]!REGULADORES">
                <anchor moveWithCells="1" sizeWithCells="1">
                  <from>
                    <xdr:col>1</xdr:col>
                    <xdr:colOff>171450</xdr:colOff>
                    <xdr:row>22</xdr:row>
                    <xdr:rowOff>95250</xdr:rowOff>
                  </from>
                  <to>
                    <xdr:col>3</xdr:col>
                    <xdr:colOff>371475</xdr:colOff>
                    <xdr:row>25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9" r:id="rId22" name="Button 35">
              <controlPr defaultSize="0" print="0" autoFill="0" autoPict="0" macro="[0]!Macro18">
                <anchor moveWithCells="1" sizeWithCells="1">
                  <from>
                    <xdr:col>3</xdr:col>
                    <xdr:colOff>428625</xdr:colOff>
                    <xdr:row>22</xdr:row>
                    <xdr:rowOff>95250</xdr:rowOff>
                  </from>
                  <to>
                    <xdr:col>8</xdr:col>
                    <xdr:colOff>47625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0" r:id="rId23" name="Button 36">
              <controlPr defaultSize="0" print="0" autoFill="0" autoPict="0" macro="[0]!Macro8">
                <anchor moveWithCells="1" sizeWithCells="1">
                  <from>
                    <xdr:col>0</xdr:col>
                    <xdr:colOff>47625</xdr:colOff>
                    <xdr:row>24</xdr:row>
                    <xdr:rowOff>9525</xdr:rowOff>
                  </from>
                  <to>
                    <xdr:col>0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93271-E887-495F-A739-DCEBD8227AFA}">
  <sheetPr codeName="Plan14">
    <pageSetUpPr fitToPage="1"/>
  </sheetPr>
  <dimension ref="A1:Q103"/>
  <sheetViews>
    <sheetView showGridLines="0" zoomScaleNormal="100" zoomScaleSheetLayoutView="100" workbookViewId="0">
      <selection activeCell="Q39" sqref="Q39"/>
    </sheetView>
  </sheetViews>
  <sheetFormatPr defaultRowHeight="15"/>
  <cols>
    <col min="1" max="1" width="1.140625" customWidth="1"/>
    <col min="2" max="2" width="21.85546875" customWidth="1"/>
    <col min="3" max="3" width="3.42578125" customWidth="1"/>
    <col min="4" max="4" width="11.7109375" customWidth="1"/>
    <col min="5" max="8" width="10.7109375" customWidth="1"/>
    <col min="9" max="9" width="2" customWidth="1"/>
    <col min="10" max="10" width="12.28515625" customWidth="1"/>
    <col min="11" max="14" width="10.7109375" customWidth="1"/>
    <col min="15" max="15" width="2.28515625" customWidth="1"/>
  </cols>
  <sheetData>
    <row r="1" spans="2:15" ht="15.75" thickBot="1">
      <c r="B1" s="397"/>
      <c r="C1" s="397"/>
      <c r="D1" s="2043"/>
      <c r="E1" s="2043"/>
      <c r="F1" s="2043"/>
      <c r="G1" s="2043"/>
      <c r="H1" s="2043"/>
      <c r="I1" s="2043"/>
      <c r="J1" s="2043"/>
      <c r="K1" s="2043"/>
      <c r="L1" s="2043"/>
      <c r="M1" s="2043"/>
      <c r="N1" s="2043"/>
      <c r="O1" s="397"/>
    </row>
    <row r="2" spans="2:15" ht="27.75" thickBot="1">
      <c r="B2" s="392"/>
      <c r="D2" s="2044" t="s">
        <v>647</v>
      </c>
      <c r="E2" s="2045"/>
      <c r="F2" s="2045"/>
      <c r="G2" s="2045"/>
      <c r="H2" s="2045"/>
      <c r="I2" s="2045"/>
      <c r="J2" s="2045"/>
      <c r="K2" s="2045"/>
      <c r="L2" s="2045"/>
      <c r="M2" s="2045"/>
      <c r="N2" s="2046"/>
    </row>
    <row r="3" spans="2:15" ht="15.75" thickBot="1">
      <c r="B3" s="392"/>
      <c r="D3" s="1697"/>
      <c r="E3" s="1697"/>
      <c r="F3" s="1697"/>
      <c r="G3" s="1697"/>
      <c r="H3" s="1697"/>
      <c r="I3" s="1697"/>
      <c r="J3" s="1697"/>
      <c r="K3" s="1697"/>
      <c r="L3" s="1697"/>
      <c r="M3" s="1697"/>
      <c r="N3" s="1697"/>
    </row>
    <row r="4" spans="2:15" ht="20.100000000000001" customHeight="1">
      <c r="B4" s="392"/>
      <c r="D4" s="2047" t="s">
        <v>648</v>
      </c>
      <c r="E4" s="2048"/>
      <c r="F4" s="2048"/>
      <c r="G4" s="2048"/>
      <c r="H4" s="2048"/>
      <c r="I4" s="2048"/>
      <c r="J4" s="2048"/>
      <c r="K4" s="2048"/>
      <c r="L4" s="2048"/>
      <c r="M4" s="2048"/>
      <c r="N4" s="2049"/>
    </row>
    <row r="5" spans="2:15" ht="24.75" customHeight="1" thickBot="1">
      <c r="B5" s="392"/>
      <c r="D5" s="2050"/>
      <c r="E5" s="2051"/>
      <c r="F5" s="2051"/>
      <c r="G5" s="2051"/>
      <c r="H5" s="2051"/>
      <c r="I5" s="2051"/>
      <c r="J5" s="2051"/>
      <c r="K5" s="2051"/>
      <c r="L5" s="2051"/>
      <c r="M5" s="2051"/>
      <c r="N5" s="2052"/>
    </row>
    <row r="6" spans="2:15" ht="15.75" thickBot="1">
      <c r="B6" s="392"/>
      <c r="D6" s="2053"/>
      <c r="E6" s="2053"/>
      <c r="F6" s="2053"/>
      <c r="G6" s="2053"/>
      <c r="H6" s="2053"/>
      <c r="I6" s="2053"/>
      <c r="J6" s="2053"/>
      <c r="K6" s="2053"/>
      <c r="L6" s="2053"/>
      <c r="M6" s="2053"/>
      <c r="N6" s="2053"/>
    </row>
    <row r="7" spans="2:15" ht="20.25" thickBot="1">
      <c r="B7" s="392"/>
      <c r="D7" s="2036" t="s">
        <v>649</v>
      </c>
      <c r="E7" s="2037"/>
      <c r="F7" s="2037"/>
      <c r="G7" s="2037"/>
      <c r="H7" s="2037"/>
      <c r="I7" s="2037"/>
      <c r="J7" s="2042" t="s">
        <v>650</v>
      </c>
      <c r="K7" s="2042"/>
      <c r="L7" s="2042"/>
      <c r="M7" s="2042"/>
      <c r="N7" s="354">
        <v>0</v>
      </c>
    </row>
    <row r="8" spans="2:15" ht="20.25" thickBot="1">
      <c r="B8" s="392"/>
      <c r="D8" s="2038"/>
      <c r="E8" s="2039"/>
      <c r="F8" s="2039"/>
      <c r="G8" s="2039"/>
      <c r="H8" s="2039"/>
      <c r="I8" s="2039"/>
      <c r="J8" s="2042" t="s">
        <v>651</v>
      </c>
      <c r="K8" s="2042"/>
      <c r="L8" s="2042"/>
      <c r="M8" s="2042"/>
      <c r="N8" s="354">
        <v>0</v>
      </c>
    </row>
    <row r="9" spans="2:15" ht="20.25" thickBot="1">
      <c r="B9" s="392"/>
      <c r="D9" s="2040"/>
      <c r="E9" s="2041"/>
      <c r="F9" s="2041"/>
      <c r="G9" s="2041"/>
      <c r="H9" s="2041"/>
      <c r="I9" s="2041"/>
      <c r="J9" s="2042" t="s">
        <v>652</v>
      </c>
      <c r="K9" s="2042"/>
      <c r="L9" s="2042"/>
      <c r="M9" s="2042"/>
      <c r="N9" s="354">
        <v>0</v>
      </c>
    </row>
    <row r="10" spans="2:15" ht="18" customHeight="1" thickBot="1">
      <c r="B10" s="392"/>
      <c r="D10" s="2027"/>
      <c r="E10" s="2027"/>
      <c r="F10" s="2027"/>
      <c r="G10" s="2027"/>
      <c r="H10" s="2027"/>
      <c r="I10" s="2027"/>
      <c r="J10" s="2027"/>
      <c r="K10" s="2027"/>
      <c r="L10" s="2027"/>
      <c r="M10" s="2027"/>
      <c r="N10" s="2027"/>
    </row>
    <row r="11" spans="2:15" ht="33" thickBot="1">
      <c r="B11" s="392"/>
      <c r="D11" s="2028" t="s">
        <v>653</v>
      </c>
      <c r="E11" s="2029"/>
      <c r="F11" s="2029"/>
      <c r="G11" s="2029"/>
      <c r="H11" s="2030"/>
      <c r="I11" s="355"/>
      <c r="J11" s="2028" t="s">
        <v>654</v>
      </c>
      <c r="K11" s="2029"/>
      <c r="L11" s="2029"/>
      <c r="M11" s="2029"/>
      <c r="N11" s="2030"/>
    </row>
    <row r="12" spans="2:15" ht="20.25" thickBot="1">
      <c r="B12" s="392"/>
      <c r="D12" s="2031" t="s">
        <v>206</v>
      </c>
      <c r="E12" s="2033" t="s">
        <v>655</v>
      </c>
      <c r="F12" s="2034"/>
      <c r="G12" s="2034"/>
      <c r="H12" s="2035"/>
      <c r="J12" s="2031" t="s">
        <v>206</v>
      </c>
      <c r="K12" s="2033" t="s">
        <v>655</v>
      </c>
      <c r="L12" s="2034"/>
      <c r="M12" s="2034"/>
      <c r="N12" s="2035"/>
    </row>
    <row r="13" spans="2:15" ht="20.25" thickBot="1">
      <c r="B13" s="392"/>
      <c r="D13" s="2032"/>
      <c r="E13" s="356" t="s">
        <v>656</v>
      </c>
      <c r="F13" s="356" t="s">
        <v>657</v>
      </c>
      <c r="G13" s="356" t="s">
        <v>658</v>
      </c>
      <c r="H13" s="356" t="s">
        <v>659</v>
      </c>
      <c r="J13" s="2032"/>
      <c r="K13" s="357" t="s">
        <v>656</v>
      </c>
      <c r="L13" s="357" t="s">
        <v>657</v>
      </c>
      <c r="M13" s="357" t="s">
        <v>658</v>
      </c>
      <c r="N13" s="357" t="s">
        <v>659</v>
      </c>
    </row>
    <row r="14" spans="2:15" ht="18">
      <c r="B14" s="392"/>
      <c r="D14" s="358" t="s">
        <v>78</v>
      </c>
      <c r="E14" s="359"/>
      <c r="F14" s="360"/>
      <c r="G14" s="361"/>
      <c r="H14" s="362"/>
      <c r="J14" s="358" t="s">
        <v>78</v>
      </c>
      <c r="K14" s="359"/>
      <c r="L14" s="360"/>
      <c r="M14" s="361"/>
      <c r="N14" s="362"/>
    </row>
    <row r="15" spans="2:15" ht="18">
      <c r="B15" s="392"/>
      <c r="D15" s="363" t="s">
        <v>79</v>
      </c>
      <c r="E15" s="364"/>
      <c r="F15" s="365"/>
      <c r="G15" s="366"/>
      <c r="H15" s="367"/>
      <c r="J15" s="363" t="s">
        <v>79</v>
      </c>
      <c r="K15" s="364"/>
      <c r="L15" s="365"/>
      <c r="M15" s="366"/>
      <c r="N15" s="367"/>
    </row>
    <row r="16" spans="2:15" ht="18">
      <c r="B16" s="392"/>
      <c r="D16" s="368" t="s">
        <v>80</v>
      </c>
      <c r="E16" s="364"/>
      <c r="F16" s="365"/>
      <c r="G16" s="366"/>
      <c r="H16" s="367"/>
      <c r="J16" s="368" t="s">
        <v>80</v>
      </c>
      <c r="K16" s="364"/>
      <c r="L16" s="365"/>
      <c r="M16" s="366"/>
      <c r="N16" s="367"/>
    </row>
    <row r="17" spans="2:15" ht="18">
      <c r="B17" s="392"/>
      <c r="D17" s="363" t="s">
        <v>81</v>
      </c>
      <c r="E17" s="364"/>
      <c r="F17" s="365"/>
      <c r="G17" s="366"/>
      <c r="H17" s="367"/>
      <c r="J17" s="363" t="s">
        <v>81</v>
      </c>
      <c r="K17" s="364"/>
      <c r="L17" s="365"/>
      <c r="M17" s="366"/>
      <c r="N17" s="367"/>
    </row>
    <row r="18" spans="2:15" ht="18">
      <c r="B18" s="392"/>
      <c r="D18" s="368" t="s">
        <v>82</v>
      </c>
      <c r="E18" s="364"/>
      <c r="F18" s="365"/>
      <c r="G18" s="366"/>
      <c r="H18" s="367"/>
      <c r="J18" s="368" t="s">
        <v>82</v>
      </c>
      <c r="K18" s="364"/>
      <c r="L18" s="365"/>
      <c r="M18" s="366"/>
      <c r="N18" s="367"/>
    </row>
    <row r="19" spans="2:15" ht="18">
      <c r="B19" s="392"/>
      <c r="D19" s="363" t="s">
        <v>83</v>
      </c>
      <c r="E19" s="364"/>
      <c r="F19" s="365"/>
      <c r="G19" s="366"/>
      <c r="H19" s="367"/>
      <c r="J19" s="363" t="s">
        <v>83</v>
      </c>
      <c r="K19" s="364"/>
      <c r="L19" s="365"/>
      <c r="M19" s="366"/>
      <c r="N19" s="367"/>
    </row>
    <row r="20" spans="2:15" ht="18">
      <c r="B20" s="392"/>
      <c r="D20" s="368" t="s">
        <v>396</v>
      </c>
      <c r="E20" s="364"/>
      <c r="F20" s="365"/>
      <c r="G20" s="366"/>
      <c r="H20" s="367"/>
      <c r="J20" s="368" t="s">
        <v>396</v>
      </c>
      <c r="K20" s="364"/>
      <c r="L20" s="365"/>
      <c r="M20" s="366"/>
      <c r="N20" s="367"/>
    </row>
    <row r="21" spans="2:15" ht="18">
      <c r="B21" s="392"/>
      <c r="D21" s="363" t="s">
        <v>660</v>
      </c>
      <c r="E21" s="364"/>
      <c r="F21" s="365"/>
      <c r="G21" s="366"/>
      <c r="H21" s="367"/>
      <c r="J21" s="363" t="s">
        <v>660</v>
      </c>
      <c r="K21" s="364"/>
      <c r="L21" s="365"/>
      <c r="M21" s="366"/>
      <c r="N21" s="367"/>
    </row>
    <row r="22" spans="2:15" ht="18.75" thickBot="1">
      <c r="B22" s="392"/>
      <c r="D22" s="369" t="s">
        <v>398</v>
      </c>
      <c r="E22" s="370"/>
      <c r="F22" s="371"/>
      <c r="G22" s="372"/>
      <c r="H22" s="373"/>
      <c r="J22" s="369" t="s">
        <v>398</v>
      </c>
      <c r="K22" s="370"/>
      <c r="L22" s="371"/>
      <c r="M22" s="372"/>
      <c r="N22" s="373"/>
    </row>
    <row r="23" spans="2:15" ht="15.75">
      <c r="D23" s="130"/>
      <c r="E23" s="38"/>
      <c r="F23" s="38"/>
      <c r="G23" s="38"/>
      <c r="J23" s="130"/>
      <c r="K23" s="38"/>
      <c r="L23" s="38"/>
      <c r="M23" s="38"/>
    </row>
    <row r="24" spans="2:15" ht="15.75">
      <c r="D24" s="130"/>
      <c r="E24" s="38"/>
      <c r="F24" s="38"/>
      <c r="G24" s="38"/>
      <c r="J24" s="130"/>
      <c r="K24" s="38"/>
      <c r="L24" s="38"/>
      <c r="M24" s="38"/>
    </row>
    <row r="25" spans="2:15" ht="15.75">
      <c r="B25" s="204"/>
      <c r="C25" s="204"/>
      <c r="D25" s="217"/>
      <c r="E25" s="205"/>
      <c r="F25" s="205"/>
      <c r="G25" s="205"/>
      <c r="H25" s="204"/>
      <c r="I25" s="204"/>
      <c r="J25" s="217"/>
      <c r="K25" s="205"/>
      <c r="L25" s="205"/>
      <c r="M25" s="205"/>
      <c r="N25" s="204"/>
      <c r="O25" s="204"/>
    </row>
    <row r="26" spans="2:15" ht="15.75">
      <c r="B26" s="204"/>
      <c r="C26" s="204"/>
      <c r="D26" s="217"/>
      <c r="E26" s="205"/>
      <c r="F26" s="205"/>
      <c r="G26" s="205"/>
      <c r="H26" s="204"/>
      <c r="I26" s="204"/>
      <c r="J26" s="217"/>
      <c r="K26" s="205"/>
      <c r="L26" s="205"/>
      <c r="M26" s="205"/>
      <c r="N26" s="204"/>
      <c r="O26" s="204"/>
    </row>
    <row r="27" spans="2:15" ht="15.75">
      <c r="B27" s="204"/>
      <c r="C27" s="204"/>
      <c r="D27" s="217"/>
      <c r="E27" s="205"/>
      <c r="F27" s="205"/>
      <c r="G27" s="205"/>
      <c r="H27" s="204"/>
      <c r="I27" s="204"/>
      <c r="J27" s="217"/>
      <c r="K27" s="205"/>
      <c r="L27" s="205"/>
      <c r="M27" s="205"/>
      <c r="N27" s="204"/>
      <c r="O27" s="204"/>
    </row>
    <row r="28" spans="2:15" ht="15.75">
      <c r="B28" s="204"/>
      <c r="C28" s="204"/>
      <c r="D28" s="217"/>
      <c r="E28" s="205"/>
      <c r="F28" s="205"/>
      <c r="G28" s="205"/>
      <c r="H28" s="204"/>
      <c r="I28" s="204"/>
      <c r="J28" s="217"/>
      <c r="K28" s="205"/>
      <c r="L28" s="205"/>
      <c r="M28" s="205"/>
      <c r="N28" s="204"/>
      <c r="O28" s="204"/>
    </row>
    <row r="29" spans="2:15" ht="15.75">
      <c r="B29" s="204"/>
      <c r="C29" s="204"/>
      <c r="D29" s="217"/>
      <c r="E29" s="205"/>
      <c r="F29" s="205"/>
      <c r="G29" s="205"/>
      <c r="H29" s="204"/>
      <c r="I29" s="204"/>
      <c r="J29" s="217"/>
      <c r="K29" s="205"/>
      <c r="L29" s="205"/>
      <c r="M29" s="205"/>
      <c r="N29" s="204"/>
      <c r="O29" s="204"/>
    </row>
    <row r="30" spans="2:15" ht="15.75">
      <c r="B30" s="204"/>
      <c r="C30" s="204"/>
      <c r="D30" s="217"/>
      <c r="E30" s="205"/>
      <c r="F30" s="205"/>
      <c r="G30" s="205"/>
      <c r="H30" s="204"/>
      <c r="I30" s="204"/>
      <c r="J30" s="217"/>
      <c r="K30" s="205"/>
      <c r="L30" s="205"/>
      <c r="M30" s="205"/>
      <c r="N30" s="204"/>
      <c r="O30" s="204"/>
    </row>
    <row r="31" spans="2:15" ht="15.75">
      <c r="B31" s="204"/>
      <c r="C31" s="204"/>
      <c r="D31" s="217"/>
      <c r="E31" s="205"/>
      <c r="F31" s="205"/>
      <c r="G31" s="205"/>
      <c r="H31" s="204"/>
      <c r="I31" s="204"/>
      <c r="J31" s="217"/>
      <c r="K31" s="205"/>
      <c r="L31" s="205"/>
      <c r="M31" s="205"/>
      <c r="N31" s="204"/>
      <c r="O31" s="204"/>
    </row>
    <row r="32" spans="2:15" ht="15.75">
      <c r="B32" s="204"/>
      <c r="C32" s="204"/>
      <c r="D32" s="217"/>
      <c r="E32" s="205"/>
      <c r="F32" s="205"/>
      <c r="G32" s="205"/>
      <c r="H32" s="204"/>
      <c r="I32" s="204"/>
      <c r="J32" s="217"/>
      <c r="K32" s="205"/>
      <c r="L32" s="205"/>
      <c r="M32" s="205"/>
      <c r="N32" s="204"/>
      <c r="O32" s="204"/>
    </row>
    <row r="33" spans="1:17" ht="15.75">
      <c r="B33" s="204"/>
      <c r="C33" s="204"/>
      <c r="D33" s="217"/>
      <c r="E33" s="205"/>
      <c r="F33" s="205"/>
      <c r="G33" s="205"/>
      <c r="H33" s="204"/>
      <c r="I33" s="204"/>
      <c r="J33" s="217"/>
      <c r="K33" s="205"/>
      <c r="L33" s="205"/>
      <c r="M33" s="205"/>
      <c r="N33" s="204"/>
      <c r="O33" s="204"/>
    </row>
    <row r="34" spans="1:17" ht="15.75">
      <c r="B34" s="204"/>
      <c r="C34" s="204"/>
      <c r="D34" s="217"/>
      <c r="E34" s="205"/>
      <c r="F34" s="205"/>
      <c r="G34" s="205"/>
      <c r="H34" s="204"/>
      <c r="I34" s="204"/>
      <c r="J34" s="217"/>
      <c r="K34" s="205"/>
      <c r="L34" s="205"/>
      <c r="M34" s="205"/>
      <c r="N34" s="204"/>
      <c r="O34" s="204"/>
    </row>
    <row r="35" spans="1:17" ht="15.75">
      <c r="B35" s="204"/>
      <c r="C35" s="204"/>
      <c r="D35" s="217"/>
      <c r="E35" s="205"/>
      <c r="F35" s="205"/>
      <c r="G35" s="205"/>
      <c r="H35" s="204"/>
      <c r="I35" s="204"/>
      <c r="J35" s="217"/>
      <c r="K35" s="205"/>
      <c r="L35" s="205"/>
      <c r="M35" s="205"/>
      <c r="N35" s="204"/>
      <c r="O35" s="204"/>
    </row>
    <row r="36" spans="1:17" ht="15.75">
      <c r="B36" s="204"/>
      <c r="C36" s="204"/>
      <c r="D36" s="217"/>
      <c r="E36" s="205"/>
      <c r="F36" s="205"/>
      <c r="G36" s="205"/>
      <c r="H36" s="204"/>
      <c r="I36" s="204"/>
      <c r="J36" s="217"/>
      <c r="K36" s="205"/>
      <c r="L36" s="205"/>
      <c r="M36" s="205"/>
      <c r="N36" s="204"/>
      <c r="O36" s="204"/>
    </row>
    <row r="37" spans="1:17" ht="15.75">
      <c r="B37" s="204"/>
      <c r="C37" s="204"/>
      <c r="D37" s="217"/>
      <c r="E37" s="205"/>
      <c r="F37" s="205"/>
      <c r="G37" s="205"/>
      <c r="H37" s="204"/>
      <c r="I37" s="204"/>
      <c r="J37" s="217"/>
      <c r="K37" s="205"/>
      <c r="L37" s="205"/>
      <c r="M37" s="205"/>
      <c r="N37" s="204"/>
      <c r="O37" s="204"/>
    </row>
    <row r="38" spans="1:17">
      <c r="B38" s="204"/>
      <c r="C38" s="204"/>
      <c r="D38" s="204"/>
      <c r="E38" s="204"/>
      <c r="F38" s="204"/>
      <c r="G38" s="204"/>
      <c r="H38" s="204"/>
      <c r="I38" s="204"/>
      <c r="J38" s="204"/>
      <c r="K38" s="204"/>
      <c r="L38" s="204"/>
      <c r="M38" s="204"/>
      <c r="N38" s="204"/>
      <c r="O38" s="204"/>
    </row>
    <row r="39" spans="1:17">
      <c r="B39" s="167" t="s">
        <v>661</v>
      </c>
      <c r="C39">
        <v>6</v>
      </c>
      <c r="E39">
        <f>$E$14*C39+$E$15*C39+$E$16*C39+$E$17*C39+$E$18*C39+$E$19*C39+$E$20*C39+$E$21*C39+$E$22*C39</f>
        <v>0</v>
      </c>
      <c r="F39">
        <f>$F$14*C39+$F$15*C39+$F$16*C39+$F$17*C39+$F$18*C39+$F$19*C39+$F$20*C39+$F$21*C39+$F$22*C39</f>
        <v>0</v>
      </c>
      <c r="G39">
        <f>$G$14*C39+$G$15*C39+$G$16*C39+$G$17*C39+$G$18*C39+$G$19*C39+$G$20*C39+$G$21*C39+$G$22*C39</f>
        <v>0</v>
      </c>
      <c r="H39">
        <f>$H$14*C39+$H$15*C39+$H$16*C39+$H$17*C39+$H$18*C39+$H$19*C39+$H$20*C39+$H$21*C39+$H$22*C39</f>
        <v>0</v>
      </c>
      <c r="K39">
        <f>$K$14*C39+$K$15*C39+$K$16*C39+$K$17*C39+$K$18*C39+$K$19*C39+$K$20*C39+$K$21*C39+$K$22*C39</f>
        <v>0</v>
      </c>
      <c r="L39">
        <f>$L$14*C39+$L$15*C39+$L$16*C39+$L$17*C39+$L$18*C39+$L$19*C39+$L$20*C39+$L$21*C39+$L$22*C39</f>
        <v>0</v>
      </c>
      <c r="M39">
        <f>$M$14*C39+$M$15*C39+$M$16*C39+$M$17*C39+$M$18*C39+$M$19*C39+$M$20*C39+$M$21*C39+$M$22*C39</f>
        <v>0</v>
      </c>
      <c r="N39">
        <f>$N$14*C39+$N$15*C39+$N$16*C39+$N$17*C39+$N$18*C39+$N$19*C39+$N$20*C39+$N$21*C39+$N$22*C39</f>
        <v>0</v>
      </c>
      <c r="Q39">
        <f>E39+F39+G39+H39+K39+L39+M39+N39</f>
        <v>0</v>
      </c>
    </row>
    <row r="40" spans="1:17">
      <c r="B40" s="374" t="s">
        <v>662</v>
      </c>
      <c r="C40" s="333">
        <v>3</v>
      </c>
      <c r="D40" s="333"/>
      <c r="E40" s="333"/>
      <c r="F40" s="333"/>
      <c r="G40" s="333"/>
      <c r="H40" s="333"/>
      <c r="I40" s="333"/>
      <c r="J40" s="333"/>
      <c r="K40" s="333"/>
      <c r="L40" s="333"/>
      <c r="M40" s="333"/>
      <c r="N40" s="333">
        <f>C40*N9</f>
        <v>0</v>
      </c>
      <c r="O40" s="333"/>
      <c r="Q40">
        <f t="shared" ref="Q40:Q103" si="0">E40+F40+G40+H40+K40+L40+M40+N40</f>
        <v>0</v>
      </c>
    </row>
    <row r="41" spans="1:17">
      <c r="B41" s="374" t="s">
        <v>663</v>
      </c>
      <c r="C41" s="333">
        <v>3</v>
      </c>
      <c r="D41" s="333"/>
      <c r="E41" s="333"/>
      <c r="F41" s="333"/>
      <c r="G41" s="333"/>
      <c r="H41" s="333"/>
      <c r="I41" s="333"/>
      <c r="J41" s="333"/>
      <c r="K41" s="333"/>
      <c r="L41" s="333"/>
      <c r="M41" s="333"/>
      <c r="N41" s="333">
        <f>C41*N7+N8*C41</f>
        <v>0</v>
      </c>
      <c r="O41" s="333"/>
      <c r="Q41">
        <f t="shared" si="0"/>
        <v>0</v>
      </c>
    </row>
    <row r="42" spans="1:17">
      <c r="B42" s="374" t="s">
        <v>664</v>
      </c>
      <c r="C42" s="333">
        <v>3</v>
      </c>
      <c r="D42" s="333"/>
      <c r="E42" s="333"/>
      <c r="F42" s="333"/>
      <c r="G42" s="333"/>
      <c r="H42" s="333"/>
      <c r="I42" s="333"/>
      <c r="J42" s="333"/>
      <c r="K42" s="333"/>
      <c r="L42" s="333"/>
      <c r="M42" s="333"/>
      <c r="N42" s="333">
        <f>C42*N7</f>
        <v>0</v>
      </c>
      <c r="O42" s="333"/>
      <c r="Q42">
        <f t="shared" si="0"/>
        <v>0</v>
      </c>
    </row>
    <row r="43" spans="1:17">
      <c r="B43" s="374" t="s">
        <v>665</v>
      </c>
      <c r="C43" s="333">
        <v>3</v>
      </c>
      <c r="D43" s="333"/>
      <c r="E43" s="333"/>
      <c r="F43" s="333"/>
      <c r="G43" s="333"/>
      <c r="H43" s="333"/>
      <c r="I43" s="333"/>
      <c r="J43" s="333"/>
      <c r="K43" s="333"/>
      <c r="L43" s="333"/>
      <c r="M43" s="333"/>
      <c r="N43" s="333">
        <f>N8*C43</f>
        <v>0</v>
      </c>
      <c r="O43" s="333"/>
      <c r="Q43">
        <f t="shared" si="0"/>
        <v>0</v>
      </c>
    </row>
    <row r="44" spans="1:17">
      <c r="B44" s="167" t="s">
        <v>666</v>
      </c>
      <c r="C44">
        <v>3</v>
      </c>
      <c r="E44">
        <f>$E$14*C44+$E$15*C44+$E$16*C44+$E$17*C44+$E$18*C44+$E$19*C44+$E$20*C44+$E$21*C44+$E$22*C44</f>
        <v>0</v>
      </c>
      <c r="F44">
        <f>$F$14*C44+$F$15*C44+$F$16*C44+$F$17*C44+$F$18*C44+$F$19*C44+$F$20*C44+$F$21*C44+$F$22*C44</f>
        <v>0</v>
      </c>
      <c r="G44">
        <f>$G$14*C44+$G$15*C44+$G$16*C44+$G$17*C44+$G$18*C44+$G$19*C44+$G$20*C44+$G$21*C44+$G$22*C44</f>
        <v>0</v>
      </c>
      <c r="H44">
        <f>$H$14*C44+$H$15*C44+$H$16*C44+$H$17*C44+$H$18*C44+$H$19*C44+$H$20*C44+$H$21*C44+$H$22*C44</f>
        <v>0</v>
      </c>
      <c r="K44">
        <f>$K$14*C44+$K$15*C44+$K$16*C44+$K$17*C44+$K$18*C44+$K$19*C44+$K$20*C44+$K$21*C44+$K$22*C44</f>
        <v>0</v>
      </c>
      <c r="L44">
        <f>$L$14*C44+$L$15*C44+$L$16*C44+$L$17*C44+$L$18*C44+$L$19*C44+$L$20*C44+$L$21*C44+$L$22*C44</f>
        <v>0</v>
      </c>
      <c r="M44">
        <f>$M$14*C44+$M$15*C44+$M$16*C44+$M$17*C44+$M$18*C44+$M$19*C44+$M$20*C44+$M$21*C44+$M$22*C44</f>
        <v>0</v>
      </c>
      <c r="N44">
        <f>$N$14*C44+$N$15*C44+$N$16*C44+$N$17*C44+$N$18*C44+$N$19*C44+$N$20*C44+$N$21*C44+$N$22*C44</f>
        <v>0</v>
      </c>
      <c r="Q44">
        <f t="shared" si="0"/>
        <v>0</v>
      </c>
    </row>
    <row r="45" spans="1:17">
      <c r="B45" s="167" t="s">
        <v>667</v>
      </c>
      <c r="C45">
        <v>3</v>
      </c>
      <c r="E45">
        <f>$E$14*C45+$E$15*C45+$E$16*C45+$E$17*C45+$E$18*C45+$E$19*C45+$E$20*C45+$E$21*C45+$E$22*C45</f>
        <v>0</v>
      </c>
      <c r="F45">
        <f>$F$14*C45+$F$15*C45+$F$16*C45+$F$17*C45+$F$18*C45+$F$19*C45+$F$20*C45+$F$21*C45+$F$22*C45</f>
        <v>0</v>
      </c>
      <c r="G45">
        <f>$G$14*C45+$G$15*C45+$G$16*C45+$G$17*C45+$G$18*C45+$G$19*C45+$G$20*C45+$G$21*C45+$G$22*C45</f>
        <v>0</v>
      </c>
      <c r="H45">
        <f>$H$14*C45+$H$15*C45+$H$16*C45+$H$17*C45+$H$18*C45+$H$19*C45+$H$20*C45+$H$21*C45+$H$22*C45</f>
        <v>0</v>
      </c>
      <c r="K45">
        <f>$K$14*C45+$K$15*C45+$K$16*C45+$K$17*C45+$K$18*C45+$K$19*C45+$K$20*C45+$K$21*C45+$K$22*C45</f>
        <v>0</v>
      </c>
      <c r="L45">
        <f>$L$14*C45+$L$15*C45+$L$16*C45+$L$17*C45+$L$18*C45+$L$19*C45+$L$20*C45+$L$21*C45+$L$22*C45</f>
        <v>0</v>
      </c>
      <c r="M45">
        <f>$M$14*C45+$M$15*C45+$M$16*C45+$M$17*C45+$M$18*C45+$M$19*C45+$M$20*C45+$M$21*C45+$M$22*C45</f>
        <v>0</v>
      </c>
      <c r="N45">
        <f>$N$14*C45+$N$15*C45+$N$16*C45+$N$17*C45+$N$18*C45+$N$19*C45+$N$20*C45+$N$21*C45+$N$22*C45</f>
        <v>0</v>
      </c>
      <c r="Q45">
        <f t="shared" si="0"/>
        <v>0</v>
      </c>
    </row>
    <row r="46" spans="1:17">
      <c r="B46" s="167" t="s">
        <v>668</v>
      </c>
      <c r="C46">
        <v>16</v>
      </c>
      <c r="D46" s="161">
        <v>12</v>
      </c>
      <c r="E46">
        <f>$E$14*C46+$E$15*C46+$E$16*C46+$E$17*C46+$E$18*C46+$E$19*C46+$E$20*C46+$E$21*C46+$E$22*C46</f>
        <v>0</v>
      </c>
      <c r="F46">
        <f>$F$14*C46+$F$15*C46+$F$16*C46+$F$17*C46+$F$18*C46+$F$19*C46+$F$20*C46+$F$21*C46+$F$22*C46</f>
        <v>0</v>
      </c>
      <c r="G46">
        <f>$G$14*C46+$G$15*C46+$G$16*C46+$G$17*C46+$G$18*C46+$G$19*C46+$G$20*C46+$G$21*C46+$G$22*C46</f>
        <v>0</v>
      </c>
      <c r="H46">
        <f>$H$14*C46+$H$15*C46+$H$16*C46+$H$17*C46+$H$18*C46+$H$19*C46+$H$20*C46+$H$21*C46+$H$22*C46</f>
        <v>0</v>
      </c>
      <c r="J46" s="161"/>
      <c r="K46">
        <f>$K$14*D46+$K$15*D46+$K$16*D46+$K$17*D46+$K$18*D46+$K$19*D46+$K$20*D46+$K$21*D46+$K$22*D46</f>
        <v>0</v>
      </c>
      <c r="L46">
        <f>$L$14*D46+$L$15*D46+$L$16*D46+$L$17*D46+$L$18*D46+$L$19*D46+$L$20*D46+$L$21*D46+$L$22*D46</f>
        <v>0</v>
      </c>
      <c r="M46">
        <f>$M$14*D46+$M$15*D46+$M$16*D46+$M$17*D46+$M$18*D46+$M$19*D46+$M$20*D46+$M$21*D46+$M$22*D46</f>
        <v>0</v>
      </c>
      <c r="N46">
        <f>$N$14*D46+$N$15*D46+$N$16*D46+$N$17*D46+$N$18*D46+$N$19*D46+$N$20*D46+$N$21*D46+$N$22*D46</f>
        <v>0</v>
      </c>
      <c r="Q46">
        <f t="shared" si="0"/>
        <v>0</v>
      </c>
    </row>
    <row r="47" spans="1:17">
      <c r="A47" s="375"/>
      <c r="B47" s="376" t="s">
        <v>102</v>
      </c>
      <c r="C47" s="375">
        <v>1</v>
      </c>
      <c r="D47" s="375"/>
      <c r="E47" s="375">
        <f>$C$47*E14</f>
        <v>0</v>
      </c>
      <c r="F47" s="375">
        <f>$C$47*F14</f>
        <v>0</v>
      </c>
      <c r="G47" s="375">
        <f>$C$47*G14</f>
        <v>0</v>
      </c>
      <c r="H47" s="375">
        <f>$C$47*H14</f>
        <v>0</v>
      </c>
      <c r="I47" s="375"/>
      <c r="J47" s="375"/>
      <c r="K47" s="375">
        <f>$C$47*K14</f>
        <v>0</v>
      </c>
      <c r="L47" s="375">
        <f>$C$47*L14</f>
        <v>0</v>
      </c>
      <c r="M47" s="375">
        <f>$C$47*M14</f>
        <v>0</v>
      </c>
      <c r="N47" s="375">
        <f>$C$47*N14</f>
        <v>0</v>
      </c>
      <c r="O47" s="375"/>
      <c r="Q47">
        <f t="shared" si="0"/>
        <v>0</v>
      </c>
    </row>
    <row r="48" spans="1:17">
      <c r="A48" s="375"/>
      <c r="B48" s="376" t="s">
        <v>103</v>
      </c>
      <c r="C48" s="375">
        <v>1</v>
      </c>
      <c r="D48" s="375"/>
      <c r="E48" s="375">
        <f>$C$48*E15</f>
        <v>0</v>
      </c>
      <c r="F48" s="375">
        <f>$C$48*F15</f>
        <v>0</v>
      </c>
      <c r="G48" s="375">
        <f>$C$48*G15</f>
        <v>0</v>
      </c>
      <c r="H48" s="375">
        <f>$C$48*H15</f>
        <v>0</v>
      </c>
      <c r="I48" s="375"/>
      <c r="J48" s="375"/>
      <c r="K48" s="375">
        <f>$C$48*K15</f>
        <v>0</v>
      </c>
      <c r="L48" s="375">
        <f>$C$48*L15</f>
        <v>0</v>
      </c>
      <c r="M48" s="375">
        <f>$C$48*M15</f>
        <v>0</v>
      </c>
      <c r="N48" s="375">
        <f>$C$48*N15</f>
        <v>0</v>
      </c>
      <c r="O48" s="375"/>
      <c r="Q48">
        <f t="shared" si="0"/>
        <v>0</v>
      </c>
    </row>
    <row r="49" spans="1:17">
      <c r="A49" s="375"/>
      <c r="B49" s="376" t="s">
        <v>104</v>
      </c>
      <c r="C49" s="375">
        <v>1</v>
      </c>
      <c r="D49" s="375"/>
      <c r="E49" s="375">
        <f>$C$49*E16</f>
        <v>0</v>
      </c>
      <c r="F49" s="375">
        <f>$C$49*F16</f>
        <v>0</v>
      </c>
      <c r="G49" s="375">
        <f>$C$49*G16</f>
        <v>0</v>
      </c>
      <c r="H49" s="375">
        <f>$C$49*H16</f>
        <v>0</v>
      </c>
      <c r="I49" s="375"/>
      <c r="J49" s="375"/>
      <c r="K49" s="375">
        <f>$C$49*K16</f>
        <v>0</v>
      </c>
      <c r="L49" s="375">
        <f>$C$49*L16</f>
        <v>0</v>
      </c>
      <c r="M49" s="375">
        <f>$C$49*M16</f>
        <v>0</v>
      </c>
      <c r="N49" s="375">
        <f>$C$49*N16</f>
        <v>0</v>
      </c>
      <c r="O49" s="375"/>
      <c r="Q49">
        <f t="shared" si="0"/>
        <v>0</v>
      </c>
    </row>
    <row r="50" spans="1:17">
      <c r="A50" s="375"/>
      <c r="B50" s="376" t="s">
        <v>105</v>
      </c>
      <c r="C50" s="375">
        <v>1</v>
      </c>
      <c r="D50" s="375"/>
      <c r="E50" s="375">
        <f>$C$50*E17</f>
        <v>0</v>
      </c>
      <c r="F50" s="375">
        <f>$C$50*F17</f>
        <v>0</v>
      </c>
      <c r="G50" s="375">
        <f>$C$50*G17</f>
        <v>0</v>
      </c>
      <c r="H50" s="375">
        <f>$C$50*H17</f>
        <v>0</v>
      </c>
      <c r="I50" s="375"/>
      <c r="J50" s="375"/>
      <c r="K50" s="375">
        <f>$C$50*K17</f>
        <v>0</v>
      </c>
      <c r="L50" s="375">
        <f>$C$50*L17</f>
        <v>0</v>
      </c>
      <c r="M50" s="375">
        <f>$C$50*M17</f>
        <v>0</v>
      </c>
      <c r="N50" s="375">
        <f>$C$50*N17</f>
        <v>0</v>
      </c>
      <c r="O50" s="375"/>
      <c r="Q50">
        <f t="shared" si="0"/>
        <v>0</v>
      </c>
    </row>
    <row r="51" spans="1:17">
      <c r="A51" s="375"/>
      <c r="B51" s="376" t="s">
        <v>106</v>
      </c>
      <c r="C51" s="375">
        <v>1</v>
      </c>
      <c r="D51" s="375"/>
      <c r="E51" s="375">
        <f>$C$51*E18</f>
        <v>0</v>
      </c>
      <c r="F51" s="375">
        <f>$C$51*F18</f>
        <v>0</v>
      </c>
      <c r="G51" s="375">
        <f>$C$51*G18</f>
        <v>0</v>
      </c>
      <c r="H51" s="375">
        <f>$C$51*H18</f>
        <v>0</v>
      </c>
      <c r="I51" s="375"/>
      <c r="J51" s="375"/>
      <c r="K51" s="375">
        <f>$C$51*K18</f>
        <v>0</v>
      </c>
      <c r="L51" s="375">
        <f>$C$51*L18</f>
        <v>0</v>
      </c>
      <c r="M51" s="375">
        <f>$C$51*M18</f>
        <v>0</v>
      </c>
      <c r="N51" s="375">
        <f>$C$51*N18</f>
        <v>0</v>
      </c>
      <c r="O51" s="375"/>
      <c r="Q51">
        <f t="shared" si="0"/>
        <v>0</v>
      </c>
    </row>
    <row r="52" spans="1:17">
      <c r="A52" s="375"/>
      <c r="B52" s="376" t="s">
        <v>107</v>
      </c>
      <c r="C52" s="375">
        <v>1</v>
      </c>
      <c r="D52" s="375"/>
      <c r="E52" s="375">
        <f>$C$52*E19</f>
        <v>0</v>
      </c>
      <c r="F52" s="375">
        <f>$C$52*F19</f>
        <v>0</v>
      </c>
      <c r="G52" s="375">
        <f>$C$52*G19</f>
        <v>0</v>
      </c>
      <c r="H52" s="375">
        <f>$C$52*H19</f>
        <v>0</v>
      </c>
      <c r="I52" s="375"/>
      <c r="J52" s="375"/>
      <c r="K52" s="375">
        <f>$C$52*K19</f>
        <v>0</v>
      </c>
      <c r="L52" s="375">
        <f>$C$52*L19</f>
        <v>0</v>
      </c>
      <c r="M52" s="375">
        <f>$C$52*M19</f>
        <v>0</v>
      </c>
      <c r="N52" s="375">
        <f>$C$52*N19</f>
        <v>0</v>
      </c>
      <c r="O52" s="375"/>
      <c r="Q52">
        <f t="shared" si="0"/>
        <v>0</v>
      </c>
    </row>
    <row r="53" spans="1:17">
      <c r="A53" s="375"/>
      <c r="B53" s="376" t="s">
        <v>401</v>
      </c>
      <c r="C53" s="375">
        <v>1</v>
      </c>
      <c r="D53" s="375"/>
      <c r="E53" s="375">
        <f>$C$53*E20</f>
        <v>0</v>
      </c>
      <c r="F53" s="375">
        <f>$C$53*F20</f>
        <v>0</v>
      </c>
      <c r="G53" s="375">
        <f>$C$53*G20</f>
        <v>0</v>
      </c>
      <c r="H53" s="375">
        <f>$C$53*H20</f>
        <v>0</v>
      </c>
      <c r="I53" s="375"/>
      <c r="J53" s="375"/>
      <c r="K53" s="375">
        <f>$C$53*K20</f>
        <v>0</v>
      </c>
      <c r="L53" s="375">
        <f>$C$53*L20</f>
        <v>0</v>
      </c>
      <c r="M53" s="375">
        <f>$C$53*M20</f>
        <v>0</v>
      </c>
      <c r="N53" s="375">
        <f>$C$53*N20</f>
        <v>0</v>
      </c>
      <c r="O53" s="375"/>
      <c r="Q53">
        <f t="shared" si="0"/>
        <v>0</v>
      </c>
    </row>
    <row r="54" spans="1:17">
      <c r="A54" s="375"/>
      <c r="B54" s="376" t="s">
        <v>402</v>
      </c>
      <c r="C54" s="375">
        <v>1</v>
      </c>
      <c r="D54" s="375"/>
      <c r="E54" s="375">
        <f>$C$54*E21</f>
        <v>0</v>
      </c>
      <c r="F54" s="375">
        <f>$C$54*F21</f>
        <v>0</v>
      </c>
      <c r="G54" s="375">
        <f>$C$54*G21</f>
        <v>0</v>
      </c>
      <c r="H54" s="375">
        <f>$C$54*H21</f>
        <v>0</v>
      </c>
      <c r="I54" s="375"/>
      <c r="J54" s="375"/>
      <c r="K54" s="375">
        <f>$C$54*K21</f>
        <v>0</v>
      </c>
      <c r="L54" s="375">
        <f>$C$54*L21</f>
        <v>0</v>
      </c>
      <c r="M54" s="375">
        <f>$C$54*M21</f>
        <v>0</v>
      </c>
      <c r="N54" s="375">
        <f>$C$54*N21</f>
        <v>0</v>
      </c>
      <c r="O54" s="375"/>
      <c r="Q54">
        <f t="shared" si="0"/>
        <v>0</v>
      </c>
    </row>
    <row r="55" spans="1:17">
      <c r="A55" s="375"/>
      <c r="B55" s="376" t="s">
        <v>403</v>
      </c>
      <c r="C55" s="375">
        <v>1</v>
      </c>
      <c r="D55" s="375"/>
      <c r="E55" s="375">
        <f>$C$55*E22</f>
        <v>0</v>
      </c>
      <c r="F55" s="375">
        <f>$C$55*F22</f>
        <v>0</v>
      </c>
      <c r="G55" s="375">
        <f>$C$55*G22</f>
        <v>0</v>
      </c>
      <c r="H55" s="375">
        <f>$C$55*H22</f>
        <v>0</v>
      </c>
      <c r="I55" s="375"/>
      <c r="J55" s="375"/>
      <c r="K55" s="375">
        <f>$C$55*K22</f>
        <v>0</v>
      </c>
      <c r="L55" s="375">
        <f>$C$55*L22</f>
        <v>0</v>
      </c>
      <c r="M55" s="375">
        <f>$C$55*M22</f>
        <v>0</v>
      </c>
      <c r="N55" s="375">
        <f>$C$55*N22</f>
        <v>0</v>
      </c>
      <c r="O55" s="375"/>
      <c r="Q55">
        <f t="shared" si="0"/>
        <v>0</v>
      </c>
    </row>
    <row r="56" spans="1:17">
      <c r="B56" s="377" t="s">
        <v>669</v>
      </c>
      <c r="C56">
        <v>10</v>
      </c>
      <c r="D56" s="161">
        <v>6</v>
      </c>
      <c r="E56">
        <f t="shared" ref="E56:E77" si="1">$E$14*C56+$E$15*C56+$E$16*C56+$E$17*C56+$E$18*C56+$E$19*C56+$E$20*C56+$E$21*C56+$E$22*C56</f>
        <v>0</v>
      </c>
      <c r="F56">
        <f t="shared" ref="F56:F78" si="2">$F$14*C56+$F$15*C56+$F$16*C56+$F$17*C56+$F$18*C56+$F$19*C56+$F$20*C56+$F$21*C56+$F$22*C56</f>
        <v>0</v>
      </c>
      <c r="G56">
        <f t="shared" ref="G56:G76" si="3">$G$14*C56+$G$15*C56+$G$16*C56+$G$17*C56+$G$18*C56+$G$19*C56+$G$20*C56+$G$21*C56+$G$22*C56</f>
        <v>0</v>
      </c>
      <c r="H56">
        <f t="shared" ref="H56:H76" si="4">$H$14*C56+$H$15*C56+$H$16*C56+$H$17*C56+$H$18*C56+$H$19*C56+$H$20*C56+$H$21*C56+$H$22*C56</f>
        <v>0</v>
      </c>
      <c r="J56" s="161"/>
      <c r="K56">
        <f>$K$14*D56+$K$15*D56+$K$16*D56+$K$17*D56+$K$18*D56+$K$19*D56+$K$20*D56+$K$21*D56+$K$22*D56</f>
        <v>0</v>
      </c>
      <c r="L56">
        <f>$L$14*D56+$L$15*D56+$L$16*D56+$L$17*D56+$L$18*D56+$L$19*D56+$L$20*D56+$L$21*D56+$L$22*D56</f>
        <v>0</v>
      </c>
      <c r="M56">
        <f>$M$14*D56+$M$15*D56+$M$16*D56+$M$17*D56+$M$18*D56+$M$19*D56+$M$20*D56+$M$21*D56+$M$22*D56</f>
        <v>0</v>
      </c>
      <c r="N56">
        <f>$N$14*D56+$N$15*D56+$N$16*D56+$N$17*D56+$N$18*D56+$N$19*D56+$N$20*D56+$N$21*D56+$N$22*D56</f>
        <v>0</v>
      </c>
      <c r="Q56">
        <f t="shared" si="0"/>
        <v>0</v>
      </c>
    </row>
    <row r="57" spans="1:17">
      <c r="B57" s="377" t="s">
        <v>670</v>
      </c>
      <c r="C57">
        <v>8</v>
      </c>
      <c r="D57" s="161">
        <v>6</v>
      </c>
      <c r="E57">
        <f t="shared" si="1"/>
        <v>0</v>
      </c>
      <c r="F57">
        <f t="shared" si="2"/>
        <v>0</v>
      </c>
      <c r="G57">
        <f t="shared" si="3"/>
        <v>0</v>
      </c>
      <c r="H57">
        <f t="shared" si="4"/>
        <v>0</v>
      </c>
      <c r="J57" s="161"/>
      <c r="K57">
        <f>$K$14*D57+$K$15*D57+$K$16*D57+$K$17*D57+$K$18*D57+$K$19*D57+$K$20*D57+$K$21*D57+$K$22*D57</f>
        <v>0</v>
      </c>
      <c r="L57">
        <f>$L$14*D57+$L$15*D57+$L$16*D57+$L$17*D57+$L$18*D57+$L$19*D57+$L$20*D57+$L$21*D57+$L$22*D57</f>
        <v>0</v>
      </c>
      <c r="M57">
        <f>$M$14*D57+$M$15*D57+$M$16*D57+$M$17*D57+$M$18*D57+$M$19*D57+$M$20*D57+$M$21*D57+$M$22*D57</f>
        <v>0</v>
      </c>
      <c r="N57">
        <f>$N$14*D57+$N$15*D57+$N$16*D57+$N$17*D57+$N$18*D57+$N$19*D57+$N$20*D57+$N$21*D57+$N$22*D57</f>
        <v>0</v>
      </c>
      <c r="Q57">
        <f t="shared" si="0"/>
        <v>0</v>
      </c>
    </row>
    <row r="58" spans="1:17" s="333" customFormat="1">
      <c r="A58"/>
      <c r="B58" s="213" t="s">
        <v>381</v>
      </c>
      <c r="C58" s="388"/>
      <c r="D58" s="389"/>
      <c r="J58" s="389"/>
      <c r="Q58">
        <f t="shared" si="0"/>
        <v>0</v>
      </c>
    </row>
    <row r="59" spans="1:17">
      <c r="B59" s="377" t="s">
        <v>671</v>
      </c>
      <c r="C59">
        <v>24</v>
      </c>
      <c r="E59">
        <f t="shared" si="1"/>
        <v>0</v>
      </c>
      <c r="F59">
        <f t="shared" si="2"/>
        <v>0</v>
      </c>
      <c r="G59">
        <f t="shared" si="3"/>
        <v>0</v>
      </c>
      <c r="H59">
        <f t="shared" si="4"/>
        <v>0</v>
      </c>
      <c r="K59">
        <f>$K$14*C59+$K$15*C59+$K$16*C59+$K$17*C59+$K$18*C59+$K$19*C59+$K$20*C59+$K$21*C59+$K$22*C59</f>
        <v>0</v>
      </c>
      <c r="L59">
        <f>$L$14*C59+$L$15*C59+$L$16*C59+$L$17*C59+$L$18*C59+$L$19*C59+$L$20*C59+$L$21*C59+$L$22*C59</f>
        <v>0</v>
      </c>
      <c r="M59">
        <f>$M$14*C59+$M$15*C59+$M$16*C59+$M$17*C59+$M$18*C59+$M$19*C59+$M$20*C59+$M$21*C59+$M$22*C59</f>
        <v>0</v>
      </c>
      <c r="N59">
        <f>$N$14*C59+$N$15*C59+$N$16*C59+$N$17*C59+$N$18*C59+$N$19*C59+$N$20*C59+$N$21*C59+$N$22*C59</f>
        <v>0</v>
      </c>
      <c r="Q59">
        <f t="shared" si="0"/>
        <v>0</v>
      </c>
    </row>
    <row r="60" spans="1:17">
      <c r="B60" s="377" t="s">
        <v>672</v>
      </c>
      <c r="C60">
        <v>7</v>
      </c>
      <c r="E60">
        <f t="shared" si="1"/>
        <v>0</v>
      </c>
      <c r="F60">
        <f t="shared" si="2"/>
        <v>0</v>
      </c>
      <c r="G60">
        <f t="shared" si="3"/>
        <v>0</v>
      </c>
      <c r="H60">
        <f t="shared" si="4"/>
        <v>0</v>
      </c>
      <c r="K60">
        <f>$K$14*C60+$K$15*C60+$K$16*C60+$K$17*C60+$K$18*C60+$K$19*C60+$K$20*C60+$K$21*C60+$K$22*C60</f>
        <v>0</v>
      </c>
      <c r="L60">
        <f>$L$14*C60+$L$15*C60+$L$16*C60+$L$17*C60+$L$18*C60+$L$19*C60+$L$20*C60+$L$21*C60+$L$22*C60</f>
        <v>0</v>
      </c>
      <c r="M60">
        <f>$M$14*C60+$M$15*C60+$M$16*C60+$M$17*C60+$M$18*C60+$M$19*C60+$M$20*C60+$M$21*C60+$M$22*C60</f>
        <v>0</v>
      </c>
      <c r="N60">
        <f>$N$14*C60+$N$15*C60+$N$16*C60+$N$17*C60+$N$18*C60+$N$19*C60+$N$20*C60+$N$21*C60+$N$22*C60</f>
        <v>0</v>
      </c>
      <c r="Q60">
        <f t="shared" si="0"/>
        <v>0</v>
      </c>
    </row>
    <row r="61" spans="1:17">
      <c r="B61" s="377" t="s">
        <v>673</v>
      </c>
      <c r="C61">
        <v>7</v>
      </c>
      <c r="E61">
        <f t="shared" si="1"/>
        <v>0</v>
      </c>
      <c r="F61">
        <f t="shared" si="2"/>
        <v>0</v>
      </c>
      <c r="G61">
        <f t="shared" si="3"/>
        <v>0</v>
      </c>
      <c r="H61">
        <f t="shared" si="4"/>
        <v>0</v>
      </c>
      <c r="K61">
        <f>$K$14*C61+$K$15*C61+$K$16*C61+$K$17*C61+$K$18*C61+$K$19*C61+$K$20*C61+$K$21*C61+$K$22*C61</f>
        <v>0</v>
      </c>
      <c r="L61">
        <f>$L$14*C61+$L$15*C61+$L$16*C61+$L$17*C61+$L$18*C61+$L$19*C61+$L$20*C61+$L$21*C61+$L$22*C61</f>
        <v>0</v>
      </c>
      <c r="M61">
        <f>$M$14*C61+$M$15*C61+$M$16*C61+$M$17*C61+$M$18*C61+$M$19*C61+$M$20*C61+$M$21*C61+$M$22*C61</f>
        <v>0</v>
      </c>
      <c r="N61">
        <f>$N$14*C61+$N$15*C61+$N$16*C61+$N$17*C61+$N$18*C61+$N$19*C61+$N$20*C61+$N$21*C61+$N$22*C61</f>
        <v>0</v>
      </c>
      <c r="Q61">
        <f t="shared" si="0"/>
        <v>0</v>
      </c>
    </row>
    <row r="62" spans="1:17">
      <c r="B62" s="377" t="s">
        <v>674</v>
      </c>
      <c r="C62">
        <v>41</v>
      </c>
      <c r="D62" s="161">
        <v>30</v>
      </c>
      <c r="E62">
        <f t="shared" si="1"/>
        <v>0</v>
      </c>
      <c r="F62">
        <f t="shared" si="2"/>
        <v>0</v>
      </c>
      <c r="G62">
        <f t="shared" si="3"/>
        <v>0</v>
      </c>
      <c r="H62">
        <f t="shared" si="4"/>
        <v>0</v>
      </c>
      <c r="J62" s="161"/>
      <c r="K62">
        <f>$K$14*D62+$K$15*D62+$K$16*D62+$K$17*D62+$K$18*D62+$K$19*D62+$K$20*D62+$K$21*D62+$K$22*D62</f>
        <v>0</v>
      </c>
      <c r="L62">
        <f>$L$14*D62+$L$15*D62+$L$16*D62+$L$17*D62+$L$18*D62+$L$19*D62+$L$20*D62+$L$21*D62+$L$22*D62</f>
        <v>0</v>
      </c>
      <c r="M62">
        <f>$M$14*D62+$M$15*D62+$M$16*D62+$M$17*D62+$M$18*D62+$M$19*D62+$M$20*D62+$M$21*D62+$M$22*D62</f>
        <v>0</v>
      </c>
      <c r="N62">
        <f>$N$14*D62+$N$15*D62+$N$16*D62+$N$17*D62+$N$18*D62+$N$19*D62+$N$20*D62+$N$21*D62+$N$22*D62</f>
        <v>0</v>
      </c>
      <c r="Q62">
        <f t="shared" si="0"/>
        <v>0</v>
      </c>
    </row>
    <row r="63" spans="1:17">
      <c r="B63" s="377" t="s">
        <v>675</v>
      </c>
      <c r="C63">
        <v>12</v>
      </c>
      <c r="E63">
        <f t="shared" si="1"/>
        <v>0</v>
      </c>
      <c r="F63">
        <f t="shared" si="2"/>
        <v>0</v>
      </c>
      <c r="G63">
        <f t="shared" si="3"/>
        <v>0</v>
      </c>
      <c r="H63">
        <f t="shared" si="4"/>
        <v>0</v>
      </c>
      <c r="K63">
        <f>$K$14*C63+$K$15*C63+$K$16*C63+$K$17*C63+$K$18*C63+$K$19*C63+$K$20*C63+$K$21*C63+$K$22*C63</f>
        <v>0</v>
      </c>
      <c r="L63">
        <f>$L$14*C63+$L$15*C63+$L$16*C63+$L$17*C63+$L$18*C63+$L$19*C63+$L$20*C63+$L$21*C63+$L$22*C63</f>
        <v>0</v>
      </c>
      <c r="M63">
        <f>$M$14*C63+$M$15*C63+$M$16*C63+$M$17*C63+$M$18*C63+$M$19*C63+$M$20*C63+$M$21*C63+$M$22*C63</f>
        <v>0</v>
      </c>
      <c r="N63">
        <f>$N$14*C63+$N$15*C63+$N$16*C63+$N$17*C63+$N$18*C63+$N$19*C63+$N$20*C63+$N$21*C63+$N$22*C63</f>
        <v>0</v>
      </c>
      <c r="Q63">
        <f t="shared" si="0"/>
        <v>0</v>
      </c>
    </row>
    <row r="64" spans="1:17">
      <c r="B64" s="378" t="s">
        <v>676</v>
      </c>
      <c r="C64" s="161">
        <v>1</v>
      </c>
      <c r="D64" s="161">
        <v>2</v>
      </c>
      <c r="E64">
        <f t="shared" si="1"/>
        <v>0</v>
      </c>
      <c r="F64">
        <f t="shared" si="2"/>
        <v>0</v>
      </c>
      <c r="G64">
        <f t="shared" si="3"/>
        <v>0</v>
      </c>
      <c r="H64">
        <f t="shared" si="4"/>
        <v>0</v>
      </c>
      <c r="J64" s="161"/>
      <c r="K64">
        <f>$K$14*D64+$K$15*D64+$K$16*D64+$K$17*D64+$K$18*D64+$K$19*D64+$K$20*D64+$K$21*D64+$K$22*D64</f>
        <v>0</v>
      </c>
      <c r="L64">
        <f>$L$14*D64+$L$15*D64+$L$16*D64+$L$17*D64+$L$18*D64+$L$19*D64+$L$20*D64+$L$21*D64+$L$22*D64</f>
        <v>0</v>
      </c>
      <c r="M64">
        <f>$M$14*D64+$M$15*D64+$M$16*D64+$M$17*D64+$M$18*D64+$M$19*D64+$M$20*D64+$M$21*D64+$M$22*D64</f>
        <v>0</v>
      </c>
      <c r="N64">
        <f>$N$14*D64+$N$15*D64+$N$16*D64+$N$17*D64+$N$18*D64+$N$19*D64+$N$20*D64+$N$21*D64+$N$22*D64</f>
        <v>0</v>
      </c>
      <c r="Q64">
        <f t="shared" si="0"/>
        <v>0</v>
      </c>
    </row>
    <row r="65" spans="2:17">
      <c r="B65" s="377" t="s">
        <v>677</v>
      </c>
      <c r="C65">
        <v>1</v>
      </c>
      <c r="E65">
        <f t="shared" si="1"/>
        <v>0</v>
      </c>
      <c r="F65">
        <f t="shared" si="2"/>
        <v>0</v>
      </c>
      <c r="G65">
        <f t="shared" si="3"/>
        <v>0</v>
      </c>
      <c r="H65">
        <f t="shared" si="4"/>
        <v>0</v>
      </c>
      <c r="K65">
        <f>$K$14*C65+$K$15*C65+$K$16*C65+$K$17*C65+$K$18*C65+$K$19*C65+$K$20*C65+$K$21*C65+$K$22*C65</f>
        <v>0</v>
      </c>
      <c r="L65">
        <f>$L$14*C65+$L$15*C65+$L$16*C65+$L$17*C65+$L$18*C65+$L$19*C65+$L$20*C65+$L$21*C65+$L$22*C65</f>
        <v>0</v>
      </c>
      <c r="M65">
        <f>$M$14*C65+$M$15*C65+$M$16*C65+$M$17*C65+$M$18*C65+$M$19*C65+$M$20*C65+$M$21*C65+$M$22*C65</f>
        <v>0</v>
      </c>
      <c r="N65">
        <f>$N$14*C65+$N$15*C65+$N$16*C65+$N$17*C65+$N$18*C65+$N$19*C65+$N$20*C65+$N$21*C65+$N$22*C65</f>
        <v>0</v>
      </c>
      <c r="Q65">
        <f t="shared" si="0"/>
        <v>0</v>
      </c>
    </row>
    <row r="66" spans="2:17">
      <c r="B66" s="377" t="s">
        <v>678</v>
      </c>
      <c r="C66">
        <v>3</v>
      </c>
      <c r="E66">
        <f t="shared" si="1"/>
        <v>0</v>
      </c>
      <c r="F66">
        <f t="shared" si="2"/>
        <v>0</v>
      </c>
      <c r="G66">
        <f t="shared" si="3"/>
        <v>0</v>
      </c>
      <c r="H66">
        <f t="shared" si="4"/>
        <v>0</v>
      </c>
      <c r="K66">
        <f>$K$14*C66+$K$15*C66+$K$16*C66+$K$17*C66+$K$18*C66+$K$19*C66+$K$20*C66+$K$21*C66+$K$22*C66</f>
        <v>0</v>
      </c>
      <c r="L66">
        <f>$L$14*C66+$L$15*C66+$L$16*C66+$L$17*C66+$L$18*C66+$L$19*C66+$L$20*C66+$L$21*C66+$L$22*C66</f>
        <v>0</v>
      </c>
      <c r="M66">
        <f>$M$14*C66+$M$15*C66+$M$16*C66+$M$17*C66+$M$18*C66+$M$19*C66+$M$20*C66+$M$21*C66+$M$22*C66</f>
        <v>0</v>
      </c>
      <c r="N66">
        <f>$N$14*C66+$N$15*C66+$N$16*C66+$N$17*C66+$N$18*C66+$N$19*C66+$N$20*C66+$N$21*C66+$N$22*C66</f>
        <v>0</v>
      </c>
      <c r="Q66">
        <f t="shared" si="0"/>
        <v>0</v>
      </c>
    </row>
    <row r="67" spans="2:17">
      <c r="B67" s="167" t="s">
        <v>679</v>
      </c>
      <c r="C67">
        <v>12</v>
      </c>
      <c r="E67">
        <f t="shared" si="1"/>
        <v>0</v>
      </c>
      <c r="F67">
        <f t="shared" si="2"/>
        <v>0</v>
      </c>
      <c r="G67">
        <f t="shared" si="3"/>
        <v>0</v>
      </c>
      <c r="H67">
        <f t="shared" si="4"/>
        <v>0</v>
      </c>
      <c r="K67">
        <f>$K$14*C67+$K$15*C67+$K$16*C67+$K$17*C67+$K$18*C67+$K$19*C67+$K$20*C67+$K$21*C67+$K$22*C67</f>
        <v>0</v>
      </c>
      <c r="L67">
        <f>$L$14*C67+$L$15*C67+$L$16*C67+$L$17*C67+$L$18*C67+$L$19*C67+$L$20*C67+$L$21*C67+$L$22*C67</f>
        <v>0</v>
      </c>
      <c r="M67">
        <f>$M$14*C67+$M$15*C67+$M$16*C67+$M$17*C67+$M$18*C67+$M$19*C67+$M$20*C67+$M$21*C67+$M$22*C67</f>
        <v>0</v>
      </c>
      <c r="N67">
        <f>$N$14*C67+$N$15*C67+$N$16*C67+$N$17*C67+$N$18*C67+$N$19*C67+$N$20*C67+$N$21*C67+$N$22*C67</f>
        <v>0</v>
      </c>
      <c r="Q67">
        <f t="shared" si="0"/>
        <v>0</v>
      </c>
    </row>
    <row r="68" spans="2:17">
      <c r="B68" s="167" t="s">
        <v>680</v>
      </c>
      <c r="C68">
        <v>16</v>
      </c>
      <c r="E68">
        <f t="shared" si="1"/>
        <v>0</v>
      </c>
      <c r="F68">
        <f t="shared" si="2"/>
        <v>0</v>
      </c>
      <c r="G68">
        <f t="shared" si="3"/>
        <v>0</v>
      </c>
      <c r="H68">
        <f t="shared" si="4"/>
        <v>0</v>
      </c>
      <c r="K68">
        <f>$K$14*C68+$K$15*C68+$K$16*C68+$K$17*C68+$K$18*C68+$K$19*C68+$K$20*C68+$K$21*C68+$K$22*C68</f>
        <v>0</v>
      </c>
      <c r="L68">
        <f>$L$14*C68+$L$15*C68+$L$16*C68+$L$17*C68+$L$18*C68+$L$19*C68+$L$20*C68+$L$21*C68+$L$22*C68</f>
        <v>0</v>
      </c>
      <c r="M68">
        <f>$M$14*C68+$M$15*C68+$M$16*C68+$M$17*C68+$M$18*C68+$M$19*C68+$M$20*C68+$M$21*C68+$M$22*C68</f>
        <v>0</v>
      </c>
      <c r="N68">
        <f>$N$14*C68+$N$15*C68+$N$16*C68+$N$17*C68+$N$18*C68+$N$19*C68+$N$20*C68+$N$21*C68+$N$22*C68</f>
        <v>0</v>
      </c>
      <c r="Q68">
        <f t="shared" si="0"/>
        <v>0</v>
      </c>
    </row>
    <row r="69" spans="2:17">
      <c r="B69" s="379" t="s">
        <v>681</v>
      </c>
      <c r="C69">
        <v>1</v>
      </c>
      <c r="D69" s="161">
        <v>1</v>
      </c>
      <c r="E69">
        <f t="shared" si="1"/>
        <v>0</v>
      </c>
      <c r="F69">
        <f t="shared" si="2"/>
        <v>0</v>
      </c>
      <c r="G69">
        <f t="shared" si="3"/>
        <v>0</v>
      </c>
      <c r="H69">
        <f t="shared" si="4"/>
        <v>0</v>
      </c>
      <c r="J69" s="161"/>
      <c r="K69">
        <f>$K$14*D69+$K$15*D69+$K$16*D69+$K$17*D69+$K$18*D69+$K$19*D69+$K$20*D69+$K$21*D69+$K$22*D69</f>
        <v>0</v>
      </c>
      <c r="L69">
        <f>$L$14*D69+$L$15*D69+$L$16*D69+$L$17*D69+$L$18*D69+$L$19*D69+$L$20*D69+$L$21*D69+$L$22*D69</f>
        <v>0</v>
      </c>
      <c r="M69">
        <f>$M$14*D69+$M$15*D69+$M$16*D69+$M$17*D69+$M$18*D69+$M$19*D69+$M$20*D69+$M$21*D69+$M$22*D69</f>
        <v>0</v>
      </c>
      <c r="N69">
        <f>$N$14*D69+$N$15*D69+$N$16*D69+$N$17*D69+$N$18*D69+$N$19*D69+$N$20*D69+$N$21*D69+$N$22*D69</f>
        <v>0</v>
      </c>
      <c r="Q69">
        <f t="shared" si="0"/>
        <v>0</v>
      </c>
    </row>
    <row r="70" spans="2:17">
      <c r="B70" s="22" t="s">
        <v>682</v>
      </c>
      <c r="C70">
        <v>2</v>
      </c>
      <c r="D70" s="161"/>
      <c r="E70">
        <f>SUM(E14:H14,E17:H17,E20:H20,)*(C70)</f>
        <v>0</v>
      </c>
      <c r="J70" s="161"/>
      <c r="K70">
        <f>SUM(K14:N14,K17:N17,K20:N20,)*(C70)</f>
        <v>0</v>
      </c>
      <c r="Q70">
        <f t="shared" si="0"/>
        <v>0</v>
      </c>
    </row>
    <row r="71" spans="2:17">
      <c r="B71" s="22" t="s">
        <v>381</v>
      </c>
      <c r="C71">
        <v>1</v>
      </c>
      <c r="D71" s="161"/>
      <c r="E71">
        <f>SUM(E16:H16,E15:H15,E18:H18,E19:H19,E21:H21,E22:H22)*(C71)</f>
        <v>0</v>
      </c>
      <c r="J71" s="161"/>
      <c r="K71">
        <f>SUM(K16:N16,K15:N15,K18:N18,K19:N19,K21:N21,K22:N22)*(C71)</f>
        <v>0</v>
      </c>
      <c r="Q71">
        <f t="shared" si="0"/>
        <v>0</v>
      </c>
    </row>
    <row r="72" spans="2:17">
      <c r="B72" s="377" t="s">
        <v>683</v>
      </c>
      <c r="C72">
        <v>3</v>
      </c>
      <c r="D72" s="161">
        <v>2</v>
      </c>
      <c r="E72">
        <f t="shared" si="1"/>
        <v>0</v>
      </c>
      <c r="F72">
        <f t="shared" si="2"/>
        <v>0</v>
      </c>
      <c r="G72">
        <f t="shared" si="3"/>
        <v>0</v>
      </c>
      <c r="H72">
        <f t="shared" si="4"/>
        <v>0</v>
      </c>
      <c r="J72" s="161"/>
      <c r="K72">
        <f>$K$14*D72+$K$15*D72+$K$16*D72+$K$17*D72+$K$18*D72+$K$19*D72+$K$20*D72+$K$21*D72+$K$22*D72</f>
        <v>0</v>
      </c>
      <c r="L72">
        <f>$L$14*D72+$L$15*D72+$L$16*D72+$L$17*D72+$L$18*D72+$L$19*D72+$L$20*D72+$L$21*D72+$L$22*D72</f>
        <v>0</v>
      </c>
      <c r="M72">
        <f>$M$14*D72+$M$15*D72+$M$16*D72+$M$17*D72+$M$18*D72+$M$19*D72+$M$20*D72+$M$21*D72+$M$22*D72</f>
        <v>0</v>
      </c>
      <c r="N72">
        <f>$N$14*D72+$N$15*D72+$N$16*D72+$N$17*D72+$N$18*D72+$N$19*D72+$N$20*D72+$N$21*D72+$N$22*D72</f>
        <v>0</v>
      </c>
      <c r="Q72">
        <f t="shared" si="0"/>
        <v>0</v>
      </c>
    </row>
    <row r="73" spans="2:17">
      <c r="B73" s="377" t="s">
        <v>684</v>
      </c>
      <c r="C73">
        <v>6</v>
      </c>
      <c r="D73" s="161"/>
      <c r="E73">
        <f t="shared" si="1"/>
        <v>0</v>
      </c>
      <c r="F73">
        <f t="shared" si="2"/>
        <v>0</v>
      </c>
      <c r="G73">
        <f t="shared" si="3"/>
        <v>0</v>
      </c>
      <c r="H73">
        <f t="shared" si="4"/>
        <v>0</v>
      </c>
      <c r="J73" s="161"/>
      <c r="K73">
        <f>$K$14*C73+$K$15*C73+$K$16*C73+$K$17*C73+$K$18*C73+$K$19*C73+$K$20*C73+$K$21*C73+$K$22*C73</f>
        <v>0</v>
      </c>
      <c r="L73">
        <f>$L$14*C73+$L$15*C73+$L$16*C73+$L$17*C73+$L$18*C73+$L$19*C73+$L$20*C73+$L$21*C73+$L$22*C73</f>
        <v>0</v>
      </c>
      <c r="M73">
        <f>$M$14*C73+$M$15*C73+$M$16*C73+$M$17*C73+$M$18*C73+$M$19*C73+$M$20*C73+$M$21*C73+$M$22*C73</f>
        <v>0</v>
      </c>
      <c r="N73">
        <f>$N$14*C73+$N$15*C73+$N$16*C73+$N$17*C73+$N$18*C73+$N$19*C73+$N$20*C73+$N$21*C73+$N$22*C73</f>
        <v>0</v>
      </c>
      <c r="Q73">
        <f t="shared" si="0"/>
        <v>0</v>
      </c>
    </row>
    <row r="74" spans="2:17">
      <c r="B74" s="5" t="s">
        <v>685</v>
      </c>
      <c r="C74" s="216">
        <v>6</v>
      </c>
      <c r="D74" s="161"/>
      <c r="E74">
        <f t="shared" si="1"/>
        <v>0</v>
      </c>
      <c r="F74">
        <f t="shared" si="2"/>
        <v>0</v>
      </c>
      <c r="G74">
        <f t="shared" si="3"/>
        <v>0</v>
      </c>
      <c r="H74">
        <f t="shared" si="4"/>
        <v>0</v>
      </c>
      <c r="J74" s="161"/>
      <c r="K74">
        <f>$K$14*C74+$K$15*C74+$K$16*C74+$K$17*C74+$K$18*C74+$K$19*C74+$K$20*C74+$K$21*C74+$K$22*C74</f>
        <v>0</v>
      </c>
      <c r="L74">
        <f>$L$14*C74+$L$15*C74+$L$16*C74+$L$17*C74+$L$18*C74+$L$19*C74+$L$20*C74+$L$21*C74+$L$22*C74</f>
        <v>0</v>
      </c>
      <c r="M74">
        <f>$M$14*C74+$M$15*C74+$M$16*C74+$M$17*C74+$M$18*C74+$M$19*C74+$M$20*C74+$M$21*C74+$M$22*C74</f>
        <v>0</v>
      </c>
      <c r="N74">
        <f>$N$14*C74+$N$15*C74+$N$16*C74+$N$17*C74+$N$18*C74+$N$19*C74+$N$20*C74+$N$21*C74+$N$22*C74</f>
        <v>0</v>
      </c>
      <c r="Q74">
        <f t="shared" si="0"/>
        <v>0</v>
      </c>
    </row>
    <row r="75" spans="2:17">
      <c r="B75" s="5" t="s">
        <v>686</v>
      </c>
      <c r="C75" s="6">
        <v>6</v>
      </c>
      <c r="E75">
        <f t="shared" si="1"/>
        <v>0</v>
      </c>
      <c r="F75">
        <f t="shared" si="2"/>
        <v>0</v>
      </c>
      <c r="G75">
        <f t="shared" si="3"/>
        <v>0</v>
      </c>
      <c r="H75">
        <f t="shared" si="4"/>
        <v>0</v>
      </c>
      <c r="K75">
        <f>$K$14*C75+$K$15*C75+$K$16*C75+$K$17*C75+$K$18*C75+$K$19*C75+$K$20*C75+$K$21*C75+$K$22*C75</f>
        <v>0</v>
      </c>
      <c r="L75">
        <f>$L$14*C75+$L$15*C75+$L$16*C75+$L$17*C75+$L$18*C75+$L$19*C75+$L$20*C75+$L$21*C75+$L$22*C75</f>
        <v>0</v>
      </c>
      <c r="M75">
        <f>$M$14*C75+$M$15*C75+$M$16*C75+$M$17*C75+$M$18*C75+$M$19*C75+$M$20*C75+$M$21*C75+$M$22*C75</f>
        <v>0</v>
      </c>
      <c r="N75">
        <f>$N$14*C75+$N$15*C75+$N$16*C75+$N$17*C75+$N$18*C75+$N$19*C75+$N$20*C75+$N$21*C75+$N$22*C75</f>
        <v>0</v>
      </c>
      <c r="Q75">
        <f t="shared" si="0"/>
        <v>0</v>
      </c>
    </row>
    <row r="76" spans="2:17">
      <c r="B76" s="5" t="s">
        <v>687</v>
      </c>
      <c r="C76" s="6">
        <v>6</v>
      </c>
      <c r="E76">
        <f t="shared" si="1"/>
        <v>0</v>
      </c>
      <c r="F76">
        <f t="shared" si="2"/>
        <v>0</v>
      </c>
      <c r="G76">
        <f t="shared" si="3"/>
        <v>0</v>
      </c>
      <c r="H76">
        <f t="shared" si="4"/>
        <v>0</v>
      </c>
      <c r="K76">
        <f>$K$14*C76+$K$15*C76+$K$16*C76+$K$17*C76+$K$18*C76+$K$19*C76+$K$20*C76+$K$21*C76+$K$22*C76</f>
        <v>0</v>
      </c>
      <c r="L76">
        <f>$L$14*C76+$L$15*C76+$L$16*C76+$L$17*C76+$L$18*C76+$L$19*C76+$L$20*C76+$L$21*C76+$L$22*C76</f>
        <v>0</v>
      </c>
      <c r="M76">
        <f>$M$14*C76+$M$15*C76+$M$16*C76+$M$17*C76+$M$18*C76+$M$19*C76+$M$20*C76+$M$21*C76+$M$22*C76</f>
        <v>0</v>
      </c>
      <c r="N76">
        <f>$N$14*C76+$N$15*C76+$N$16*C76+$N$17*C76+$N$18*C76+$N$19*C76+$N$20*C76+$N$21*C76+$N$22*C76</f>
        <v>0</v>
      </c>
      <c r="Q76">
        <f t="shared" si="0"/>
        <v>0</v>
      </c>
    </row>
    <row r="77" spans="2:17">
      <c r="B77" s="380" t="s">
        <v>688</v>
      </c>
      <c r="C77" s="381">
        <v>6</v>
      </c>
      <c r="D77" s="340"/>
      <c r="E77" s="340">
        <f t="shared" si="1"/>
        <v>0</v>
      </c>
      <c r="F77" s="340"/>
      <c r="G77" s="340"/>
      <c r="H77" s="340"/>
      <c r="I77" s="340"/>
      <c r="J77" s="340"/>
      <c r="K77">
        <f>$K$14*C77+$K$15*C77+$K$16*C77+$K$17*C77+$K$18*C77+$K$19*C77+$K$20*C77+$K$21*C77+$K$22*C77</f>
        <v>0</v>
      </c>
      <c r="L77" s="340"/>
      <c r="M77" s="340"/>
      <c r="N77" s="340"/>
      <c r="O77" s="340"/>
      <c r="Q77">
        <f t="shared" si="0"/>
        <v>0</v>
      </c>
    </row>
    <row r="78" spans="2:17">
      <c r="B78" s="380" t="s">
        <v>689</v>
      </c>
      <c r="C78" s="381">
        <v>6</v>
      </c>
      <c r="D78" s="340"/>
      <c r="E78" s="340"/>
      <c r="F78" s="340">
        <f t="shared" si="2"/>
        <v>0</v>
      </c>
      <c r="G78" s="340"/>
      <c r="H78" s="340"/>
      <c r="I78" s="340"/>
      <c r="J78" s="340"/>
      <c r="K78" s="340"/>
      <c r="L78">
        <f>$L$14*C78+$L$15*C78+$L$16*C78+$L$17*C78+$L$18*C78+$L$19*C78+$L$20*C78+$L$21*C78+$L$22*C78</f>
        <v>0</v>
      </c>
      <c r="M78" s="340"/>
      <c r="N78" s="340"/>
      <c r="O78" s="340"/>
      <c r="Q78">
        <f t="shared" si="0"/>
        <v>0</v>
      </c>
    </row>
    <row r="79" spans="2:17">
      <c r="B79" s="380" t="s">
        <v>690</v>
      </c>
      <c r="C79" s="381">
        <v>6</v>
      </c>
      <c r="D79" s="340"/>
      <c r="E79" s="340"/>
      <c r="F79" s="340"/>
      <c r="G79" s="340">
        <f>$G$14*C79+$G$15*C79+$G$16*C79+$G$17*C79+$G$18*C79+$G$19*C79+$G$20*C79+$G$21*C79+$G$22*C79</f>
        <v>0</v>
      </c>
      <c r="H79" s="340"/>
      <c r="I79" s="340"/>
      <c r="J79" s="340"/>
      <c r="K79" s="340"/>
      <c r="L79" s="340"/>
      <c r="M79">
        <f>$M$14*C79+$M$15*C79+$M$16*C79+$M$17*C79+$M$18*C79+$M$19*C79+$M$20*C79+$M$21*C79+$M$22*C79</f>
        <v>0</v>
      </c>
      <c r="N79" s="340"/>
      <c r="O79" s="340"/>
      <c r="Q79">
        <f t="shared" si="0"/>
        <v>0</v>
      </c>
    </row>
    <row r="80" spans="2:17">
      <c r="B80" s="380" t="s">
        <v>691</v>
      </c>
      <c r="C80" s="381">
        <v>6</v>
      </c>
      <c r="D80" s="340"/>
      <c r="E80" s="340"/>
      <c r="F80" s="340"/>
      <c r="G80" s="340"/>
      <c r="H80" s="340">
        <f>$H$14*C80+$H$15*C80+$H$16*C80+$H$17*C80+$H$18*C80+$H$19*C80+$H$20*C80+$H$21*C80+$H$22*C80</f>
        <v>0</v>
      </c>
      <c r="I80" s="340"/>
      <c r="J80" s="340"/>
      <c r="K80" s="340"/>
      <c r="L80" s="340"/>
      <c r="M80" s="340"/>
      <c r="N80">
        <f>$N$14*C80+$N$15*C80+$N$16*C80+$N$17*C80+$N$18*C80+$N$19*C80+$N$20*C80+$N$21*C80+$N$22*C80</f>
        <v>0</v>
      </c>
      <c r="O80" s="340"/>
      <c r="Q80">
        <f t="shared" si="0"/>
        <v>0</v>
      </c>
    </row>
    <row r="81" spans="1:17">
      <c r="A81" t="s">
        <v>692</v>
      </c>
      <c r="B81" s="382" t="s">
        <v>693</v>
      </c>
      <c r="C81" s="383">
        <v>12</v>
      </c>
      <c r="D81" s="346"/>
      <c r="E81" s="346">
        <f>$E$14*C81+$E$15*C81+$E$16*C81+$E$17*C81+$E$18*C81+$E$19*C81+$E$20*C81+$E$21*C81+$E$22*C81</f>
        <v>0</v>
      </c>
      <c r="F81" s="346"/>
      <c r="G81" s="346"/>
      <c r="H81" s="346"/>
      <c r="I81" s="346"/>
      <c r="J81" s="346"/>
      <c r="K81">
        <f>$K$14*C81+$K$15*C81+$K$16*C81+$K$17*C81+$K$18*C81+$K$19*C81+$K$20*C81+$K$21*C81+$K$22*C81</f>
        <v>0</v>
      </c>
      <c r="L81" s="346"/>
      <c r="M81" s="346"/>
      <c r="N81" s="346"/>
      <c r="O81" s="346"/>
      <c r="Q81">
        <f t="shared" si="0"/>
        <v>0</v>
      </c>
    </row>
    <row r="82" spans="1:17">
      <c r="A82" t="s">
        <v>694</v>
      </c>
      <c r="B82" s="382" t="s">
        <v>695</v>
      </c>
      <c r="C82" s="383">
        <v>12</v>
      </c>
      <c r="D82" s="346"/>
      <c r="E82" s="346"/>
      <c r="F82" s="346">
        <f>$F$14*C82+$F$15*C82+$F$16*C82+$F$17*C82+$F$18*C82+$F$19*C82+$F$20*C82+$F$21*C82+$F$22*C82</f>
        <v>0</v>
      </c>
      <c r="G82" s="346"/>
      <c r="H82" s="346"/>
      <c r="I82" s="346"/>
      <c r="J82" s="346"/>
      <c r="K82" s="346"/>
      <c r="L82">
        <f>$L$14*C82+$L$15*C82+$L$16*C82+$L$17*C82+$L$18*C82+$L$19*C82+$L$20*C82+$L$21*C82+$L$22*C82</f>
        <v>0</v>
      </c>
      <c r="M82" s="346"/>
      <c r="N82" s="346"/>
      <c r="O82" s="346"/>
      <c r="Q82">
        <f t="shared" si="0"/>
        <v>0</v>
      </c>
    </row>
    <row r="83" spans="1:17">
      <c r="A83" t="s">
        <v>696</v>
      </c>
      <c r="B83" s="382" t="s">
        <v>697</v>
      </c>
      <c r="C83" s="383">
        <v>6</v>
      </c>
      <c r="D83" s="346"/>
      <c r="E83" s="346"/>
      <c r="F83" s="346"/>
      <c r="G83" s="346">
        <f>$G$14*C83+$G$15*C83+$G$16*C83+$G$17*C83+$G$18*C83+$G$19*C83+$G$20*C83+$G$21*C83+$G$22*C83</f>
        <v>0</v>
      </c>
      <c r="H83" s="346"/>
      <c r="I83" s="346"/>
      <c r="J83" s="346"/>
      <c r="K83" s="346"/>
      <c r="L83" s="346"/>
      <c r="M83">
        <f>$M$14*C83+$M$15*C83+$M$16*C83+$M$17*C83+$M$18*C83+$M$19*C83+$M$20*C83+$M$21*C83+$M$22*C83</f>
        <v>0</v>
      </c>
      <c r="N83" s="346"/>
      <c r="O83" s="346"/>
      <c r="Q83">
        <f t="shared" si="0"/>
        <v>0</v>
      </c>
    </row>
    <row r="84" spans="1:17">
      <c r="A84" t="s">
        <v>698</v>
      </c>
      <c r="B84" s="382" t="s">
        <v>699</v>
      </c>
      <c r="C84" s="383">
        <v>6</v>
      </c>
      <c r="D84" s="346"/>
      <c r="E84" s="346"/>
      <c r="F84" s="346"/>
      <c r="G84" s="346"/>
      <c r="H84" s="346">
        <f>$H$14*C84+$H$15*C84+$H$16*C84+$H$17*C84+$H$18*C84+$H$19*C84+$H$20*C84+$H$21*C84+$H$22*C84</f>
        <v>0</v>
      </c>
      <c r="I84" s="346"/>
      <c r="J84" s="346"/>
      <c r="K84" s="346"/>
      <c r="L84" s="346"/>
      <c r="M84" s="346"/>
      <c r="N84">
        <f>$N$14*C84+$N$15*C84+$N$16*C84+$N$17*C84+$N$18*C84+$N$19*C84+$N$20*C84+$N$21*C84+$N$22*C84</f>
        <v>0</v>
      </c>
      <c r="O84" s="346"/>
      <c r="Q84">
        <f t="shared" si="0"/>
        <v>0</v>
      </c>
    </row>
    <row r="85" spans="1:17">
      <c r="A85" t="s">
        <v>700</v>
      </c>
      <c r="B85" s="382" t="s">
        <v>701</v>
      </c>
      <c r="C85" s="383">
        <v>6</v>
      </c>
      <c r="D85" s="346"/>
      <c r="E85" s="346"/>
      <c r="F85" s="346"/>
      <c r="G85" s="346">
        <f>$G$14*C85+$G$15*C85+$G$16*C85+$G$17*C85+$G$18*C85+$G$19*C85+$G$20*C85+$G$21*C85+$G$22*C85</f>
        <v>0</v>
      </c>
      <c r="H85" s="346"/>
      <c r="I85" s="346"/>
      <c r="J85" s="346"/>
      <c r="K85" s="346"/>
      <c r="L85" s="346"/>
      <c r="M85">
        <f>$M$14*C85+$M$15*C85+$M$16*C85+$M$17*C85+$M$18*C85+$M$19*C85+$M$20*C85+$M$21*C85+$M$22*C85</f>
        <v>0</v>
      </c>
      <c r="N85" s="346"/>
      <c r="O85" s="346"/>
      <c r="Q85">
        <f t="shared" si="0"/>
        <v>0</v>
      </c>
    </row>
    <row r="86" spans="1:17">
      <c r="A86" t="s">
        <v>702</v>
      </c>
      <c r="B86" s="382" t="s">
        <v>703</v>
      </c>
      <c r="C86" s="383">
        <v>6</v>
      </c>
      <c r="D86" s="346"/>
      <c r="E86" s="346"/>
      <c r="F86" s="346"/>
      <c r="G86" s="346"/>
      <c r="H86" s="346">
        <f>$H$14*C86+$H$15*C86+$H$16*C86+$H$17*C86+$H$18*C86+$H$19*C86+$H$20*C86+$H$21*C86+$H$22*C86</f>
        <v>0</v>
      </c>
      <c r="I86" s="346"/>
      <c r="J86" s="346"/>
      <c r="K86" s="346"/>
      <c r="L86" s="346"/>
      <c r="M86" s="346"/>
      <c r="N86">
        <f>$N$14*C86+$N$15*C86+$N$16*C86+$N$17*C86+$N$18*C86+$N$19*C86+$N$20*C86+$N$21*C86+$N$22*C86</f>
        <v>0</v>
      </c>
      <c r="O86" s="346"/>
      <c r="Q86">
        <f t="shared" si="0"/>
        <v>0</v>
      </c>
    </row>
    <row r="87" spans="1:17">
      <c r="A87" t="s">
        <v>704</v>
      </c>
      <c r="B87" s="384" t="s">
        <v>705</v>
      </c>
      <c r="C87" s="136">
        <v>12</v>
      </c>
      <c r="D87" s="346"/>
      <c r="E87" s="346">
        <f>$E$14*C87+$E$15*C87+$E$16*C87+$E$17*C87+$E$18*C87+$E$19*C87+$E$20*C87+$E$21*C87+$E$22*C87</f>
        <v>0</v>
      </c>
      <c r="F87" s="346"/>
      <c r="G87" s="346"/>
      <c r="H87" s="346"/>
      <c r="I87" s="346"/>
      <c r="J87" s="346"/>
      <c r="K87">
        <f>$K$14*C87+$K$15*C87+$K$16*C87+$K$17*C87+$K$18*C87+$K$19*C87+$K$20*C87+$K$21*C87+$K$22*C87</f>
        <v>0</v>
      </c>
      <c r="L87" s="346"/>
      <c r="M87" s="346"/>
      <c r="N87" s="346"/>
      <c r="O87" s="346"/>
      <c r="Q87">
        <f t="shared" si="0"/>
        <v>0</v>
      </c>
    </row>
    <row r="88" spans="1:17">
      <c r="A88" t="s">
        <v>706</v>
      </c>
      <c r="B88" s="384" t="s">
        <v>707</v>
      </c>
      <c r="C88" s="136">
        <v>12</v>
      </c>
      <c r="D88" s="346"/>
      <c r="E88" s="346"/>
      <c r="F88" s="346">
        <f>$F$14*C88+$F$15*C88+$F$16*C88+$F$17*C88+$F$18*C88+$F$19*C88+$F$20*C88+$F$21*C88+$F$22*C88</f>
        <v>0</v>
      </c>
      <c r="G88" s="346"/>
      <c r="H88" s="346"/>
      <c r="I88" s="346"/>
      <c r="J88" s="346"/>
      <c r="K88" s="346"/>
      <c r="L88">
        <f>$L$14*C88+$L$15*C88+$L$16*C88+$L$17*C88+$L$18*C88+$L$19*C88+$L$20*C88+$L$21*C88+$L$22*C88</f>
        <v>0</v>
      </c>
      <c r="M88" s="346"/>
      <c r="N88" s="346"/>
      <c r="O88" s="346"/>
      <c r="Q88">
        <f t="shared" si="0"/>
        <v>0</v>
      </c>
    </row>
    <row r="89" spans="1:17">
      <c r="A89" t="s">
        <v>708</v>
      </c>
      <c r="B89" s="382" t="s">
        <v>709</v>
      </c>
      <c r="C89" s="383">
        <v>12</v>
      </c>
      <c r="D89" s="346"/>
      <c r="E89" s="346"/>
      <c r="F89" s="346"/>
      <c r="G89" s="346">
        <f>$G$14*C89+$G$15*C89+$G$16*C89+$G$17*C89+$G$18*C89+$G$19*C89+$G$20*C89+$G$21*C89+$G$22*C89</f>
        <v>0</v>
      </c>
      <c r="H89" s="346"/>
      <c r="I89" s="346"/>
      <c r="J89" s="346"/>
      <c r="K89" s="346"/>
      <c r="L89" s="346"/>
      <c r="M89">
        <f>$M$14*C89+$M$15*C89+$M$16*C89+$M$17*C89+$M$18*C89+$M$19*C89+$M$20*C89+$M$21*C89+$M$22*C89</f>
        <v>0</v>
      </c>
      <c r="N89" s="346"/>
      <c r="O89" s="346"/>
      <c r="Q89">
        <f t="shared" si="0"/>
        <v>0</v>
      </c>
    </row>
    <row r="90" spans="1:17">
      <c r="A90" t="s">
        <v>698</v>
      </c>
      <c r="B90" s="382" t="s">
        <v>710</v>
      </c>
      <c r="C90" s="383">
        <v>12</v>
      </c>
      <c r="D90" s="346"/>
      <c r="E90" s="346"/>
      <c r="F90" s="346"/>
      <c r="G90" s="346"/>
      <c r="H90" s="346">
        <f>$H$14*C90+$H$15*C90+$H$16*C90+$H$17*C90+$H$18*C90+$H$19*C90+$H$20*C90+$H$21*C90+$H$22*C90</f>
        <v>0</v>
      </c>
      <c r="I90" s="346"/>
      <c r="J90" s="346"/>
      <c r="K90" s="346"/>
      <c r="L90" s="346"/>
      <c r="M90" s="346"/>
      <c r="N90">
        <f>$N$14*C90+$N$15*C90+$N$16*C90+$N$17*C90+$N$18*C90+$N$19*C90+$N$20*C90+$N$21*C90+$N$22*C90</f>
        <v>0</v>
      </c>
      <c r="O90" s="346"/>
      <c r="Q90">
        <f t="shared" si="0"/>
        <v>0</v>
      </c>
    </row>
    <row r="91" spans="1:17">
      <c r="B91" s="167" t="s">
        <v>711</v>
      </c>
      <c r="C91" s="161">
        <v>12</v>
      </c>
      <c r="D91" s="161">
        <v>9</v>
      </c>
      <c r="E91">
        <f>$E$14*C91+$E$15*C91+$E$16*C91+$E$17*C91+$E$18*C91+$E$19*C91+$E$20*C91+$E$21*C91+$E$22*C91</f>
        <v>0</v>
      </c>
      <c r="F91">
        <f>$F$14*C91+$F$15*C91+$F$16*C91+$F$17*C91+$F$18*C91+$F$19*C91+$F$20*C91+$F$21*C91+$F$22*C91</f>
        <v>0</v>
      </c>
      <c r="G91">
        <f>$G$14*C91+$G$15*C91+$G$16*C91+$G$17*C91+$G$18*C91+$G$19*C91+$G$20*C91+$G$21*C91+$G$22*C91</f>
        <v>0</v>
      </c>
      <c r="H91">
        <f>$H$14*C91+$H$15*C91+$H$16*C91+$H$17*C91+$H$18*C91+$H$19*C91+$H$20*C91+$H$21*C91+$H$22*C91</f>
        <v>0</v>
      </c>
      <c r="J91" s="161"/>
      <c r="K91">
        <f>$K$14*D91+$K$15*D91+$K$16*D91+$K$17*D91+$K$18*D91+$K$19*D91+$K$20*D91+$K$21*D91+$K$22*D91</f>
        <v>0</v>
      </c>
      <c r="L91">
        <f>$L$14*D91+$L$15*D91+$L$16*D91+$L$17*D91+$L$18*D91+$L$19*D91+$L$20*D91+$L$21*D91+$L$22*D91</f>
        <v>0</v>
      </c>
      <c r="M91">
        <f>$M$14*D91+$M$15*D91+$M$16*D91+$M$17*D91+$M$18*D91+$M$19*D91+$M$20*D91+$M$21*D91+$M$22*D91</f>
        <v>0</v>
      </c>
      <c r="N91">
        <f>$N$14*D91+$N$15*D91+$N$16*D91+$N$17*D91+$N$18*D91+$N$19*D91+$N$20*D91+$N$21*D91+$N$22*D91</f>
        <v>0</v>
      </c>
      <c r="Q91">
        <f t="shared" si="0"/>
        <v>0</v>
      </c>
    </row>
    <row r="92" spans="1:17">
      <c r="B92" s="167" t="s">
        <v>712</v>
      </c>
      <c r="C92" s="161">
        <v>6</v>
      </c>
      <c r="E92">
        <f>$E$14*C92+$E$15*C92+$E$16*C92+$E$17*C92+$E$18*C92+$E$19*C92+$E$20*C92+$E$21*C92+$E$22*C92</f>
        <v>0</v>
      </c>
      <c r="F92">
        <f>$F$14*C92+$F$15*C92+$F$16*C92+$F$17*C92+$F$18*C92+$F$19*C92+$F$20*C92+$F$21*C92+$F$22*C92</f>
        <v>0</v>
      </c>
      <c r="G92">
        <f>$G$14*C92+$G$15*C92+$G$16*C92+$G$17*C92+$G$18*C92+$G$19*C92+$G$20*C92+$G$21*C92+$G$22*C92</f>
        <v>0</v>
      </c>
      <c r="H92">
        <f>$H$14*C92+$H$15*C92+$H$16*C92+$H$17*C92+$H$18*C92+$H$19*C92+$H$20*C92+$H$21*C92+$H$22*C92</f>
        <v>0</v>
      </c>
      <c r="K92">
        <f>$K$14*C92+$K$15*C92+$K$16*C92+$K$17*C92+$K$18*C92+$K$19*C92+$K$20*C92+$K$21*C92+$K$22*C92</f>
        <v>0</v>
      </c>
      <c r="L92">
        <f>$L$14*C92+$L$15*C92+$L$16*C92+$L$17*C92+$L$18*C92+$L$19*C92+$L$20*C92+$L$21*C92+$L$22*C92</f>
        <v>0</v>
      </c>
      <c r="M92">
        <f>$M$14*C92+$M$15*C92+$M$16*C92+$M$17*C92+$M$18*C92+$M$19*C92+$M$20*C92+$M$21*C92+$M$22*C92</f>
        <v>0</v>
      </c>
      <c r="N92">
        <f>$N$14*C92+$N$15*C92+$N$16*C92+$N$17*C92+$N$18*C92+$N$19*C92+$N$20*C92+$N$21*C92+$N$22*C92</f>
        <v>0</v>
      </c>
      <c r="Q92">
        <f t="shared" si="0"/>
        <v>0</v>
      </c>
    </row>
    <row r="93" spans="1:17">
      <c r="A93" t="s">
        <v>713</v>
      </c>
      <c r="B93" s="386" t="s">
        <v>703</v>
      </c>
      <c r="C93" s="387">
        <v>6</v>
      </c>
      <c r="D93" s="385"/>
      <c r="E93" s="385">
        <f>$E$14*C93+$E$15*C93+$E$16*C93+$E$17*C93+$E$18*C93+$E$19*C93+$E$20*C93+$E$21*C93+$E$22*C93</f>
        <v>0</v>
      </c>
      <c r="F93" s="385"/>
      <c r="G93" s="385"/>
      <c r="H93" s="385"/>
      <c r="I93" s="385"/>
      <c r="J93" s="385"/>
      <c r="K93">
        <f>$K$14*C93+$K$15*C93+$K$16*C93+$K$17*C93+$K$18*C93+$K$19*C93+$K$20*C93+$K$21*C93+$K$22*C93</f>
        <v>0</v>
      </c>
      <c r="L93" s="385"/>
      <c r="M93" s="385"/>
      <c r="N93" s="385"/>
      <c r="O93" s="385"/>
      <c r="Q93">
        <f t="shared" si="0"/>
        <v>0</v>
      </c>
    </row>
    <row r="94" spans="1:17">
      <c r="A94" t="s">
        <v>714</v>
      </c>
      <c r="B94" s="386" t="s">
        <v>703</v>
      </c>
      <c r="C94" s="387">
        <v>6</v>
      </c>
      <c r="D94" s="385"/>
      <c r="E94" s="385"/>
      <c r="F94" s="385">
        <f>$F$14*C94+$F$15*C94+$F$16*C94+$F$17*C94+$F$18*C94+$F$19*C94+$F$20*C94+$F$21*C94+$F$22*C94</f>
        <v>0</v>
      </c>
      <c r="G94" s="385"/>
      <c r="H94" s="385"/>
      <c r="I94" s="385"/>
      <c r="J94" s="385"/>
      <c r="K94" s="385"/>
      <c r="L94">
        <f>$L$14*C94+$L$15*C94+$L$16*C94+$L$17*C94+$L$18*C94+$L$19*C94+$L$20*C94+$L$21*C94+$L$22*C94</f>
        <v>0</v>
      </c>
      <c r="M94" s="385"/>
      <c r="N94" s="385"/>
      <c r="O94" s="385"/>
      <c r="Q94">
        <f t="shared" si="0"/>
        <v>0</v>
      </c>
    </row>
    <row r="95" spans="1:17">
      <c r="A95" t="s">
        <v>715</v>
      </c>
      <c r="B95" s="386" t="s">
        <v>716</v>
      </c>
      <c r="C95" s="387">
        <v>6</v>
      </c>
      <c r="D95" s="385"/>
      <c r="E95" s="385"/>
      <c r="F95" s="385"/>
      <c r="G95" s="385">
        <f t="shared" ref="G95:G103" si="5">$G$14*C95+$G$15*C95+$G$16*C95+$G$17*C95+$G$18*C95+$G$19*C95+$G$20*C95+$G$21*C95+$G$22*C95</f>
        <v>0</v>
      </c>
      <c r="H95" s="385"/>
      <c r="I95" s="385"/>
      <c r="J95" s="385"/>
      <c r="K95" s="385"/>
      <c r="L95" s="385"/>
      <c r="M95">
        <f>$M$14*C95+$M$15*C95+$M$16*C95+$M$17*C95+$M$18*C95+$M$19*C95+$M$20*C95+$M$21*C95+$M$22*C95</f>
        <v>0</v>
      </c>
      <c r="N95" s="385"/>
      <c r="O95" s="385"/>
      <c r="Q95">
        <f t="shared" si="0"/>
        <v>0</v>
      </c>
    </row>
    <row r="96" spans="1:17">
      <c r="A96" t="s">
        <v>717</v>
      </c>
      <c r="B96" s="386" t="s">
        <v>699</v>
      </c>
      <c r="C96" s="387">
        <v>6</v>
      </c>
      <c r="D96" s="385"/>
      <c r="E96" s="385"/>
      <c r="F96" s="385"/>
      <c r="G96" s="385"/>
      <c r="H96" s="385">
        <f t="shared" ref="H96:H103" si="6">$H$14*C96+$H$15*C96+$H$16*C96+$H$17*C96+$H$18*C96+$H$19*C96+$H$20*C96+$H$21*C96+$H$22*C96</f>
        <v>0</v>
      </c>
      <c r="I96" s="385"/>
      <c r="J96" s="385"/>
      <c r="K96" s="385"/>
      <c r="L96" s="385"/>
      <c r="M96" s="385"/>
      <c r="N96">
        <f>$N$14*C96+$N$15*C96+$N$16*C96+$N$17*C96+$N$18*C96+$N$19*C96+$N$20*C96+$N$21*C96+$N$22*C96</f>
        <v>0</v>
      </c>
      <c r="O96" s="385"/>
      <c r="Q96">
        <f t="shared" si="0"/>
        <v>0</v>
      </c>
    </row>
    <row r="97" spans="2:17">
      <c r="B97" s="167" t="s">
        <v>718</v>
      </c>
      <c r="C97" s="216">
        <v>1</v>
      </c>
      <c r="E97">
        <f t="shared" ref="E97:E103" si="7">$E$14*C97+$E$15*C97+$E$16*C97+$E$17*C97+$E$18*C97+$E$19*C97+$E$20*C97+$E$21*C97+$E$22*C97</f>
        <v>0</v>
      </c>
      <c r="F97">
        <f t="shared" ref="F97:F103" si="8">$F$14*C97+$F$15*C97+$F$16*C97+$F$17*C97+$F$18*C97+$F$19*C97+$F$20*C97+$F$21*C97+$F$22*C97</f>
        <v>0</v>
      </c>
      <c r="G97">
        <f t="shared" si="5"/>
        <v>0</v>
      </c>
      <c r="H97">
        <f t="shared" si="6"/>
        <v>0</v>
      </c>
      <c r="K97">
        <f>$K$14*C97+$K$15*C97+$K$16*C97+$K$17*C97+$K$18*C97+$K$19*C97+$K$20*C97+$K$21*C97+$K$22*C97</f>
        <v>0</v>
      </c>
      <c r="L97">
        <f>$L$14*C97+$L$15*C97+$L$16*C97+$L$17*C97+$L$18*C97+$L$19*C97+$L$20*C97+$L$21*C97+$L$22*C97</f>
        <v>0</v>
      </c>
      <c r="M97">
        <f>$M$14*C97+$M$15*C97+$M$16*C97+$M$17*C97+$M$18*C97+$M$19*C97+$M$20*C97+$M$21*C97+$M$22*C97</f>
        <v>0</v>
      </c>
      <c r="N97">
        <f>$N$14*C97+$N$15*C97+$N$16*C97+$N$17*C97+$N$18*C97+$N$19*C97+$N$20*C97+$N$21*C97+$N$22*C97</f>
        <v>0</v>
      </c>
      <c r="Q97">
        <f t="shared" si="0"/>
        <v>0</v>
      </c>
    </row>
    <row r="98" spans="2:17">
      <c r="B98" s="167" t="s">
        <v>719</v>
      </c>
      <c r="C98" s="216">
        <v>6</v>
      </c>
      <c r="E98">
        <f t="shared" si="7"/>
        <v>0</v>
      </c>
      <c r="F98">
        <f t="shared" si="8"/>
        <v>0</v>
      </c>
      <c r="G98">
        <f t="shared" si="5"/>
        <v>0</v>
      </c>
      <c r="H98">
        <f t="shared" si="6"/>
        <v>0</v>
      </c>
      <c r="K98">
        <f t="shared" ref="K98:K103" si="9">$K$14*C98+$K$15*C98+$K$16*C98+$K$17*C98+$K$18*C98+$K$19*C98+$K$20*C98+$K$21*C98+$K$22*C98</f>
        <v>0</v>
      </c>
      <c r="L98">
        <f t="shared" ref="L98:L103" si="10">$L$14*C98+$L$15*C98+$L$16*C98+$L$17*C98+$L$18*C98+$L$19*C98+$L$20*C98+$L$21*C98+$L$22*C98</f>
        <v>0</v>
      </c>
      <c r="M98">
        <f t="shared" ref="M98:M103" si="11">$M$14*C98+$M$15*C98+$M$16*C98+$M$17*C98+$M$18*C98+$M$19*C98+$M$20*C98+$M$21*C98+$M$22*C98</f>
        <v>0</v>
      </c>
      <c r="N98">
        <f t="shared" ref="N98:N103" si="12">$N$14*C98+$N$15*C98+$N$16*C98+$N$17*C98+$N$18*C98+$N$19*C98+$N$20*C98+$N$21*C98+$N$22*C98</f>
        <v>0</v>
      </c>
      <c r="Q98">
        <f t="shared" si="0"/>
        <v>0</v>
      </c>
    </row>
    <row r="99" spans="2:17">
      <c r="B99" s="167" t="s">
        <v>720</v>
      </c>
      <c r="C99" s="216">
        <v>20</v>
      </c>
      <c r="E99">
        <f t="shared" si="7"/>
        <v>0</v>
      </c>
      <c r="F99">
        <f t="shared" si="8"/>
        <v>0</v>
      </c>
      <c r="G99">
        <f t="shared" si="5"/>
        <v>0</v>
      </c>
      <c r="H99">
        <f t="shared" si="6"/>
        <v>0</v>
      </c>
      <c r="K99">
        <f t="shared" si="9"/>
        <v>0</v>
      </c>
      <c r="L99">
        <f t="shared" si="10"/>
        <v>0</v>
      </c>
      <c r="M99">
        <f t="shared" si="11"/>
        <v>0</v>
      </c>
      <c r="N99">
        <f t="shared" si="12"/>
        <v>0</v>
      </c>
      <c r="Q99">
        <f t="shared" si="0"/>
        <v>0</v>
      </c>
    </row>
    <row r="100" spans="2:17">
      <c r="B100" s="167" t="s">
        <v>721</v>
      </c>
      <c r="C100" s="216">
        <v>3</v>
      </c>
      <c r="E100">
        <f t="shared" si="7"/>
        <v>0</v>
      </c>
      <c r="F100">
        <f t="shared" si="8"/>
        <v>0</v>
      </c>
      <c r="G100">
        <f t="shared" si="5"/>
        <v>0</v>
      </c>
      <c r="H100">
        <f t="shared" si="6"/>
        <v>0</v>
      </c>
      <c r="K100">
        <f t="shared" si="9"/>
        <v>0</v>
      </c>
      <c r="L100">
        <f t="shared" si="10"/>
        <v>0</v>
      </c>
      <c r="M100">
        <f t="shared" si="11"/>
        <v>0</v>
      </c>
      <c r="N100">
        <f t="shared" si="12"/>
        <v>0</v>
      </c>
      <c r="Q100">
        <f t="shared" si="0"/>
        <v>0</v>
      </c>
    </row>
    <row r="101" spans="2:17">
      <c r="B101" s="167" t="s">
        <v>722</v>
      </c>
      <c r="C101" s="216">
        <v>4</v>
      </c>
      <c r="E101">
        <f t="shared" si="7"/>
        <v>0</v>
      </c>
      <c r="F101">
        <f t="shared" si="8"/>
        <v>0</v>
      </c>
      <c r="G101">
        <f t="shared" si="5"/>
        <v>0</v>
      </c>
      <c r="H101">
        <f t="shared" si="6"/>
        <v>0</v>
      </c>
      <c r="K101">
        <f t="shared" si="9"/>
        <v>0</v>
      </c>
      <c r="L101">
        <f t="shared" si="10"/>
        <v>0</v>
      </c>
      <c r="M101">
        <f t="shared" si="11"/>
        <v>0</v>
      </c>
      <c r="N101">
        <f t="shared" si="12"/>
        <v>0</v>
      </c>
      <c r="Q101">
        <f t="shared" si="0"/>
        <v>0</v>
      </c>
    </row>
    <row r="102" spans="2:17">
      <c r="B102" s="167" t="s">
        <v>723</v>
      </c>
      <c r="C102" s="216">
        <v>60</v>
      </c>
      <c r="E102">
        <f t="shared" si="7"/>
        <v>0</v>
      </c>
      <c r="F102">
        <f t="shared" si="8"/>
        <v>0</v>
      </c>
      <c r="G102">
        <f t="shared" si="5"/>
        <v>0</v>
      </c>
      <c r="H102">
        <f t="shared" si="6"/>
        <v>0</v>
      </c>
      <c r="K102">
        <f t="shared" si="9"/>
        <v>0</v>
      </c>
      <c r="L102">
        <f t="shared" si="10"/>
        <v>0</v>
      </c>
      <c r="M102">
        <f t="shared" si="11"/>
        <v>0</v>
      </c>
      <c r="N102">
        <f t="shared" si="12"/>
        <v>0</v>
      </c>
      <c r="Q102">
        <f t="shared" si="0"/>
        <v>0</v>
      </c>
    </row>
    <row r="103" spans="2:17">
      <c r="B103" s="167" t="s">
        <v>724</v>
      </c>
      <c r="C103" s="216">
        <v>20</v>
      </c>
      <c r="E103">
        <f t="shared" si="7"/>
        <v>0</v>
      </c>
      <c r="F103">
        <f t="shared" si="8"/>
        <v>0</v>
      </c>
      <c r="G103">
        <f t="shared" si="5"/>
        <v>0</v>
      </c>
      <c r="H103">
        <f t="shared" si="6"/>
        <v>0</v>
      </c>
      <c r="K103">
        <f t="shared" si="9"/>
        <v>0</v>
      </c>
      <c r="L103">
        <f t="shared" si="10"/>
        <v>0</v>
      </c>
      <c r="M103">
        <f t="shared" si="11"/>
        <v>0</v>
      </c>
      <c r="N103">
        <f t="shared" si="12"/>
        <v>0</v>
      </c>
      <c r="Q103">
        <f t="shared" si="0"/>
        <v>0</v>
      </c>
    </row>
  </sheetData>
  <mergeCells count="16">
    <mergeCell ref="D7:I9"/>
    <mergeCell ref="J7:M7"/>
    <mergeCell ref="J8:M8"/>
    <mergeCell ref="J9:M9"/>
    <mergeCell ref="D1:N1"/>
    <mergeCell ref="D2:N2"/>
    <mergeCell ref="D3:N3"/>
    <mergeCell ref="D4:N5"/>
    <mergeCell ref="D6:N6"/>
    <mergeCell ref="D10:N10"/>
    <mergeCell ref="D11:H11"/>
    <mergeCell ref="J11:N11"/>
    <mergeCell ref="D12:D13"/>
    <mergeCell ref="E12:H12"/>
    <mergeCell ref="J12:J13"/>
    <mergeCell ref="K12:N12"/>
  </mergeCells>
  <pageMargins left="0.511811024" right="0.511811024" top="0.78740157499999996" bottom="0.78740157499999996" header="0.31496062000000002" footer="0.31496062000000002"/>
  <pageSetup paperSize="9" scale="66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Macro10">
                <anchor moveWithCells="1" sizeWithCells="1">
                  <from>
                    <xdr:col>1</xdr:col>
                    <xdr:colOff>104775</xdr:colOff>
                    <xdr:row>1</xdr:row>
                    <xdr:rowOff>133350</xdr:rowOff>
                  </from>
                  <to>
                    <xdr:col>1</xdr:col>
                    <xdr:colOff>1162050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5" name="Button 4">
              <controlPr defaultSize="0" print="0" autoFill="0" autoPict="0" macro="[0]!Macro11">
                <anchor moveWithCells="1" sizeWithCells="1">
                  <from>
                    <xdr:col>1</xdr:col>
                    <xdr:colOff>95250</xdr:colOff>
                    <xdr:row>7</xdr:row>
                    <xdr:rowOff>133350</xdr:rowOff>
                  </from>
                  <to>
                    <xdr:col>1</xdr:col>
                    <xdr:colOff>1152525</xdr:colOff>
                    <xdr:row>11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D50A0-A408-4912-B056-E4FA0892C5F7}">
  <sheetPr codeName="Plan18">
    <pageSetUpPr fitToPage="1"/>
  </sheetPr>
  <dimension ref="B1:W105"/>
  <sheetViews>
    <sheetView showGridLines="0" zoomScaleNormal="100" zoomScaleSheetLayoutView="90" workbookViewId="0">
      <selection activeCell="H2" sqref="H2:L4"/>
    </sheetView>
  </sheetViews>
  <sheetFormatPr defaultRowHeight="15"/>
  <cols>
    <col min="1" max="2" width="1.85546875" customWidth="1"/>
    <col min="3" max="3" width="95.5703125" hidden="1" customWidth="1"/>
    <col min="4" max="4" width="7.140625" customWidth="1"/>
    <col min="5" max="5" width="9.140625" customWidth="1"/>
    <col min="6" max="6" width="3.28515625" customWidth="1"/>
    <col min="7" max="7" width="1.5703125" customWidth="1"/>
    <col min="8" max="8" width="13.7109375" customWidth="1"/>
    <col min="9" max="12" width="9.7109375" customWidth="1"/>
    <col min="13" max="13" width="5.42578125" customWidth="1"/>
    <col min="14" max="14" width="13.7109375" customWidth="1"/>
    <col min="15" max="18" width="9.7109375" customWidth="1"/>
    <col min="19" max="19" width="2" customWidth="1"/>
    <col min="20" max="20" width="4.28515625" customWidth="1"/>
    <col min="21" max="21" width="20.7109375" customWidth="1"/>
  </cols>
  <sheetData>
    <row r="1" spans="2:23" ht="10.5" customHeight="1" thickBot="1">
      <c r="B1" s="204"/>
      <c r="C1" s="346"/>
      <c r="D1" s="353"/>
      <c r="E1" s="353"/>
      <c r="F1" s="353"/>
      <c r="G1" s="204"/>
      <c r="H1" s="2055"/>
      <c r="I1" s="2055"/>
      <c r="J1" s="2055"/>
      <c r="K1" s="2055"/>
      <c r="L1" s="2055"/>
      <c r="M1" s="2055"/>
      <c r="N1" s="2055"/>
      <c r="O1" s="2055"/>
      <c r="P1" s="2055"/>
      <c r="Q1" s="2055"/>
      <c r="R1" s="2055"/>
      <c r="S1" s="2055"/>
    </row>
    <row r="2" spans="2:23" ht="15" customHeight="1">
      <c r="B2" s="392"/>
      <c r="C2" s="392"/>
      <c r="D2" s="392"/>
      <c r="E2" s="392"/>
      <c r="F2" s="392"/>
      <c r="G2" s="204"/>
      <c r="H2" s="2056" t="s">
        <v>616</v>
      </c>
      <c r="I2" s="2057"/>
      <c r="J2" s="2057"/>
      <c r="K2" s="2057"/>
      <c r="L2" s="2058"/>
      <c r="M2" s="204"/>
      <c r="N2" s="2056" t="s">
        <v>617</v>
      </c>
      <c r="O2" s="2057"/>
      <c r="P2" s="2057"/>
      <c r="Q2" s="2057"/>
      <c r="R2" s="2058"/>
      <c r="S2" s="2055"/>
      <c r="U2" s="2065" t="s">
        <v>1110</v>
      </c>
    </row>
    <row r="3" spans="2:23" ht="15" customHeight="1">
      <c r="B3" s="392"/>
      <c r="C3" s="392"/>
      <c r="D3" s="392"/>
      <c r="E3" s="392"/>
      <c r="F3" s="392"/>
      <c r="G3" s="204"/>
      <c r="H3" s="2059"/>
      <c r="I3" s="2060"/>
      <c r="J3" s="2060"/>
      <c r="K3" s="2060"/>
      <c r="L3" s="2061"/>
      <c r="M3" s="204"/>
      <c r="N3" s="2059"/>
      <c r="O3" s="2060"/>
      <c r="P3" s="2060"/>
      <c r="Q3" s="2060"/>
      <c r="R3" s="2061"/>
      <c r="S3" s="2055"/>
      <c r="U3" s="2066"/>
    </row>
    <row r="4" spans="2:23" ht="15.75" customHeight="1" thickBot="1">
      <c r="B4" s="392"/>
      <c r="C4" s="392"/>
      <c r="D4" s="392"/>
      <c r="E4" s="392"/>
      <c r="F4" s="392"/>
      <c r="G4" s="204"/>
      <c r="H4" s="2062"/>
      <c r="I4" s="2063"/>
      <c r="J4" s="2063"/>
      <c r="K4" s="2063"/>
      <c r="L4" s="2064"/>
      <c r="M4" s="204"/>
      <c r="N4" s="2062"/>
      <c r="O4" s="2063"/>
      <c r="P4" s="2063"/>
      <c r="Q4" s="2063"/>
      <c r="R4" s="2064"/>
      <c r="S4" s="2055"/>
      <c r="U4" s="2066"/>
    </row>
    <row r="5" spans="2:23" ht="26.25" thickBot="1">
      <c r="B5" s="393"/>
      <c r="C5" s="393"/>
      <c r="D5" s="393"/>
      <c r="E5" s="393"/>
      <c r="F5" s="393"/>
      <c r="G5" s="344"/>
      <c r="H5" s="2068" t="s">
        <v>1111</v>
      </c>
      <c r="I5" s="2069"/>
      <c r="J5" s="2069"/>
      <c r="K5" s="2069"/>
      <c r="L5" s="2070"/>
      <c r="M5" s="350"/>
      <c r="N5" s="2068" t="s">
        <v>1111</v>
      </c>
      <c r="O5" s="2069"/>
      <c r="P5" s="2069"/>
      <c r="Q5" s="2069"/>
      <c r="R5" s="2070"/>
      <c r="S5" s="2055"/>
      <c r="T5" s="316"/>
      <c r="U5" s="2067"/>
    </row>
    <row r="6" spans="2:23" ht="19.5">
      <c r="B6" s="392"/>
      <c r="C6" s="392"/>
      <c r="D6" s="392"/>
      <c r="E6" s="392"/>
      <c r="F6" s="392"/>
      <c r="G6" s="204"/>
      <c r="H6" s="394" t="s">
        <v>206</v>
      </c>
      <c r="I6" s="395" t="s">
        <v>95</v>
      </c>
      <c r="J6" s="395" t="s">
        <v>185</v>
      </c>
      <c r="K6" s="395" t="s">
        <v>186</v>
      </c>
      <c r="L6" s="396">
        <v>336.4</v>
      </c>
      <c r="M6" s="351"/>
      <c r="N6" s="394" t="s">
        <v>206</v>
      </c>
      <c r="O6" s="395" t="s">
        <v>95</v>
      </c>
      <c r="P6" s="395" t="s">
        <v>185</v>
      </c>
      <c r="Q6" s="395" t="s">
        <v>186</v>
      </c>
      <c r="R6" s="396">
        <v>336.4</v>
      </c>
      <c r="S6" s="2055"/>
    </row>
    <row r="7" spans="2:23" ht="15.75">
      <c r="B7" s="392"/>
      <c r="C7" s="392"/>
      <c r="D7" s="392"/>
      <c r="E7" s="392"/>
      <c r="F7" s="392"/>
      <c r="G7" s="204"/>
      <c r="H7" s="317" t="s">
        <v>75</v>
      </c>
      <c r="I7" s="318"/>
      <c r="J7" s="319"/>
      <c r="K7" s="320"/>
      <c r="L7" s="321"/>
      <c r="M7" s="352"/>
      <c r="N7" s="317" t="s">
        <v>75</v>
      </c>
      <c r="O7" s="318"/>
      <c r="P7" s="319"/>
      <c r="Q7" s="320"/>
      <c r="R7" s="321"/>
      <c r="S7" s="2055"/>
    </row>
    <row r="8" spans="2:23" ht="15.75">
      <c r="B8" s="392"/>
      <c r="C8" s="392"/>
      <c r="D8" s="392"/>
      <c r="E8" s="392"/>
      <c r="F8" s="392"/>
      <c r="G8" s="204"/>
      <c r="H8" s="322" t="s">
        <v>76</v>
      </c>
      <c r="I8" s="323"/>
      <c r="J8" s="324"/>
      <c r="K8" s="325"/>
      <c r="L8" s="326"/>
      <c r="M8" s="352"/>
      <c r="N8" s="322" t="s">
        <v>76</v>
      </c>
      <c r="O8" s="323"/>
      <c r="P8" s="324"/>
      <c r="Q8" s="325"/>
      <c r="R8" s="326"/>
      <c r="S8" s="2055"/>
    </row>
    <row r="9" spans="2:23" ht="15.75">
      <c r="B9" s="392"/>
      <c r="C9" s="392"/>
      <c r="D9" s="392"/>
      <c r="E9" s="392"/>
      <c r="F9" s="392"/>
      <c r="G9" s="204"/>
      <c r="H9" s="327" t="s">
        <v>77</v>
      </c>
      <c r="I9" s="323"/>
      <c r="J9" s="324"/>
      <c r="K9" s="325"/>
      <c r="L9" s="326"/>
      <c r="M9" s="352"/>
      <c r="N9" s="327" t="s">
        <v>77</v>
      </c>
      <c r="O9" s="323"/>
      <c r="P9" s="324"/>
      <c r="Q9" s="325"/>
      <c r="R9" s="326"/>
      <c r="S9" s="2055"/>
    </row>
    <row r="10" spans="2:23" ht="15.75">
      <c r="B10" s="392"/>
      <c r="C10" s="392"/>
      <c r="D10" s="392"/>
      <c r="E10" s="392"/>
      <c r="F10" s="392"/>
      <c r="G10" s="204"/>
      <c r="H10" s="327" t="s">
        <v>78</v>
      </c>
      <c r="I10" s="323"/>
      <c r="J10" s="324"/>
      <c r="K10" s="325"/>
      <c r="L10" s="326"/>
      <c r="M10" s="352"/>
      <c r="N10" s="327" t="s">
        <v>78</v>
      </c>
      <c r="O10" s="323"/>
      <c r="P10" s="324"/>
      <c r="Q10" s="325"/>
      <c r="R10" s="326"/>
      <c r="S10" s="2055"/>
    </row>
    <row r="11" spans="2:23" ht="15.75">
      <c r="B11" s="392"/>
      <c r="C11" s="392"/>
      <c r="D11" s="392"/>
      <c r="E11" s="392"/>
      <c r="F11" s="392"/>
      <c r="G11" s="204"/>
      <c r="H11" s="322" t="s">
        <v>79</v>
      </c>
      <c r="I11" s="323"/>
      <c r="J11" s="324"/>
      <c r="K11" s="325"/>
      <c r="L11" s="326"/>
      <c r="M11" s="352"/>
      <c r="N11" s="322" t="s">
        <v>79</v>
      </c>
      <c r="O11" s="323"/>
      <c r="P11" s="324"/>
      <c r="Q11" s="325"/>
      <c r="R11" s="326"/>
      <c r="S11" s="2055"/>
      <c r="W11" s="2054"/>
    </row>
    <row r="12" spans="2:23" ht="15.75">
      <c r="B12" s="392"/>
      <c r="C12" s="392"/>
      <c r="D12" s="392"/>
      <c r="E12" s="392"/>
      <c r="F12" s="392"/>
      <c r="G12" s="204"/>
      <c r="H12" s="327" t="s">
        <v>80</v>
      </c>
      <c r="I12" s="323"/>
      <c r="J12" s="324"/>
      <c r="K12" s="325"/>
      <c r="L12" s="326"/>
      <c r="M12" s="352"/>
      <c r="N12" s="327" t="s">
        <v>80</v>
      </c>
      <c r="O12" s="323"/>
      <c r="P12" s="324"/>
      <c r="Q12" s="325"/>
      <c r="R12" s="326"/>
      <c r="S12" s="2055"/>
      <c r="W12" s="2054"/>
    </row>
    <row r="13" spans="2:23" ht="15.75">
      <c r="B13" s="392"/>
      <c r="C13" s="392"/>
      <c r="D13" s="392"/>
      <c r="E13" s="392"/>
      <c r="F13" s="392"/>
      <c r="G13" s="204"/>
      <c r="H13" s="322" t="s">
        <v>81</v>
      </c>
      <c r="I13" s="323"/>
      <c r="J13" s="324"/>
      <c r="K13" s="325"/>
      <c r="L13" s="326"/>
      <c r="M13" s="352"/>
      <c r="N13" s="322" t="s">
        <v>81</v>
      </c>
      <c r="O13" s="323"/>
      <c r="P13" s="324"/>
      <c r="Q13" s="325"/>
      <c r="R13" s="326"/>
      <c r="S13" s="2055"/>
      <c r="W13" s="2054"/>
    </row>
    <row r="14" spans="2:23" ht="15.75">
      <c r="B14" s="392"/>
      <c r="C14" s="392"/>
      <c r="D14" s="392"/>
      <c r="E14" s="392"/>
      <c r="F14" s="392"/>
      <c r="G14" s="204"/>
      <c r="H14" s="327" t="s">
        <v>82</v>
      </c>
      <c r="I14" s="323"/>
      <c r="J14" s="324"/>
      <c r="K14" s="325"/>
      <c r="L14" s="326"/>
      <c r="M14" s="352"/>
      <c r="N14" s="327" t="s">
        <v>82</v>
      </c>
      <c r="O14" s="323"/>
      <c r="P14" s="324"/>
      <c r="Q14" s="325"/>
      <c r="R14" s="326"/>
      <c r="S14" s="2055"/>
      <c r="W14" s="2054"/>
    </row>
    <row r="15" spans="2:23" ht="15.75">
      <c r="B15" s="392"/>
      <c r="C15" s="392"/>
      <c r="D15" s="392"/>
      <c r="E15" s="392"/>
      <c r="F15" s="392"/>
      <c r="G15" s="204"/>
      <c r="H15" s="322" t="s">
        <v>83</v>
      </c>
      <c r="I15" s="323"/>
      <c r="J15" s="324"/>
      <c r="K15" s="325"/>
      <c r="L15" s="326"/>
      <c r="M15" s="352"/>
      <c r="N15" s="322" t="s">
        <v>83</v>
      </c>
      <c r="O15" s="323"/>
      <c r="P15" s="324"/>
      <c r="Q15" s="325"/>
      <c r="R15" s="326"/>
      <c r="S15" s="2055"/>
    </row>
    <row r="16" spans="2:23" ht="15.75">
      <c r="B16" s="392"/>
      <c r="C16" s="392"/>
      <c r="D16" s="392"/>
      <c r="E16" s="392"/>
      <c r="F16" s="392"/>
      <c r="G16" s="204"/>
      <c r="H16" s="327" t="s">
        <v>396</v>
      </c>
      <c r="I16" s="323"/>
      <c r="J16" s="324"/>
      <c r="K16" s="325"/>
      <c r="L16" s="326"/>
      <c r="M16" s="352"/>
      <c r="N16" s="327" t="s">
        <v>396</v>
      </c>
      <c r="O16" s="323"/>
      <c r="P16" s="324"/>
      <c r="Q16" s="325"/>
      <c r="R16" s="326"/>
      <c r="S16" s="2055"/>
    </row>
    <row r="17" spans="2:21" ht="15.75">
      <c r="B17" s="392"/>
      <c r="C17" s="392"/>
      <c r="D17" s="392"/>
      <c r="E17" s="392"/>
      <c r="F17" s="392"/>
      <c r="G17" s="204"/>
      <c r="H17" s="322" t="s">
        <v>397</v>
      </c>
      <c r="I17" s="323"/>
      <c r="J17" s="324"/>
      <c r="K17" s="325"/>
      <c r="L17" s="326"/>
      <c r="M17" s="352"/>
      <c r="N17" s="322" t="s">
        <v>397</v>
      </c>
      <c r="O17" s="323"/>
      <c r="P17" s="324"/>
      <c r="Q17" s="325"/>
      <c r="R17" s="326"/>
      <c r="S17" s="2055"/>
    </row>
    <row r="18" spans="2:21" ht="16.5" thickBot="1">
      <c r="B18" s="392"/>
      <c r="C18" s="392"/>
      <c r="D18" s="392"/>
      <c r="E18" s="392"/>
      <c r="F18" s="392"/>
      <c r="G18" s="204"/>
      <c r="H18" s="328" t="s">
        <v>398</v>
      </c>
      <c r="I18" s="329"/>
      <c r="J18" s="330"/>
      <c r="K18" s="331"/>
      <c r="L18" s="332"/>
      <c r="M18" s="352"/>
      <c r="N18" s="328" t="s">
        <v>398</v>
      </c>
      <c r="O18" s="329"/>
      <c r="P18" s="330"/>
      <c r="Q18" s="331"/>
      <c r="R18" s="332"/>
      <c r="S18" s="2055"/>
    </row>
    <row r="19" spans="2:21" ht="15" hidden="1" customHeight="1">
      <c r="B19" s="346"/>
      <c r="C19" s="346"/>
      <c r="D19" s="346"/>
      <c r="E19" s="346" t="s">
        <v>618</v>
      </c>
      <c r="F19" s="346" t="s">
        <v>377</v>
      </c>
      <c r="G19" s="204"/>
      <c r="S19" s="2055"/>
    </row>
    <row r="20" spans="2:21" ht="15" hidden="1" customHeight="1">
      <c r="B20" s="346"/>
      <c r="C20" s="346" t="s">
        <v>573</v>
      </c>
      <c r="D20" s="346" t="s">
        <v>574</v>
      </c>
      <c r="E20" s="346">
        <v>5</v>
      </c>
      <c r="F20" s="346">
        <v>5</v>
      </c>
      <c r="G20" s="204"/>
      <c r="I20">
        <f>E20*$I$7+E20*$I$8+E20*$I$9+E20*$I$10+E20*$I$11+E20*$I$12+E20*$I$13+E20*$I$14+E20*$I$15+E20*$I$16+E20*$I$17+E20*$I$18</f>
        <v>0</v>
      </c>
      <c r="J20">
        <f>E20*$J$7+E20*$J$8+E20*$J$9+E20*$J$10+E20*$J$11+E20*$J$12+E20*$J$13+E20*$J$14+E20*$J$15+E20*$J$16+E20*$J$17+E20*$J$18</f>
        <v>0</v>
      </c>
      <c r="K20">
        <f>E20*$K$7+E20*$K$8+E20*$K$9+E20*$K$10+E20*$K$11+E20*$K$12+E20*$K$13+E20*$K$14+E20*$K$15+E20*$K$16+E20*$K$17+E20*$K$18</f>
        <v>0</v>
      </c>
      <c r="L20">
        <f>E20*$L$7+E20*$L$8+E20*$L$9+E20*$L$10+E20*$L$11+E20*$L$12+E20*$L$13+E20*$L$14+E20*$L$15+E20*$L$16+E20*$L$17+E20*$L$18</f>
        <v>0</v>
      </c>
      <c r="O20">
        <f>F20*$O$7+F20*$O$8+F20*$O$9+F20*$O$10+F20*$O$11+F20*$O$12+F20*$O$13+F20*$O$14+F20*$O$15+F20*$O$16+F20*$O$17+F20*$O$18</f>
        <v>0</v>
      </c>
      <c r="P20">
        <f>F20*$P$7+F20*$P$8+F20*$P$9+F20*$P$10+F20*$P$11+F20*$P$12+F20*$P$13+F20*$P$14+F20*$P$15+F20*$P$16+F20*$P$17+F20*$P$18</f>
        <v>0</v>
      </c>
      <c r="Q20">
        <f>F20*$Q$7+F20*$Q$8+F20*$Q$9+F20*$Q$10+F20*$Q$11+F20*$Q$12+F20*$Q$13+F20*$Q$14+F20*$Q$15+F20*$Q$16+F20*$Q$17+F20*$Q$18</f>
        <v>0</v>
      </c>
      <c r="R20">
        <f>F20*$R$7+F20*$R$8+F20*$R$9+F20*$R$10+F20*$R$11+F20*$R$12+F20*$R$13+F20*$R$14+F20*$R$15+F20*$R$16+F20*$R$17+F20*$R$18</f>
        <v>0</v>
      </c>
      <c r="S20" s="2055"/>
      <c r="T20">
        <f>SUM(I20:S20)</f>
        <v>0</v>
      </c>
      <c r="U20">
        <f>SUM(T20:T103)</f>
        <v>0</v>
      </c>
    </row>
    <row r="21" spans="2:21" ht="15" hidden="1" customHeight="1">
      <c r="B21" s="346"/>
      <c r="C21" s="346" t="s">
        <v>619</v>
      </c>
      <c r="D21" s="346" t="s">
        <v>574</v>
      </c>
      <c r="E21" s="346">
        <v>3</v>
      </c>
      <c r="F21" s="346"/>
      <c r="G21" s="204"/>
      <c r="I21">
        <f t="shared" ref="I21:I29" si="0">E21*$I$7+E21*$I$8+E21*$I$9+E21*$I$10+E21*$I$11+E21*$I$12+E21*$I$13+E21*$I$14+E21*$I$15+E21*$I$16+E21*$I$17+E21*$I$18</f>
        <v>0</v>
      </c>
      <c r="J21">
        <f t="shared" ref="J21:J29" si="1">E21*$J$7+E21*$J$8+E21*$J$9+E21*$J$10+E21*$J$11+E21*$J$12+E21*$J$13+E21*$J$14+E21*$J$15+E21*$J$16+E21*$J$17+E21*$J$18</f>
        <v>0</v>
      </c>
      <c r="K21">
        <f t="shared" ref="K21:K29" si="2">E21*$K$7+E21*$K$8+E21*$K$9+E21*$K$10+E21*$K$11+E21*$K$12+E21*$K$13+E21*$K$14+E21*$K$15+E21*$K$16+E21*$K$17+E21*$K$18</f>
        <v>0</v>
      </c>
      <c r="L21">
        <f t="shared" ref="L21:L29" si="3">E21*$L$7+E21*$L$8+E21*$L$9+E21*$L$10+E21*$L$11+E21*$L$12+E21*$L$13+E21*$L$14+E21*$L$15+E21*$L$16+E21*$L$17+E21*$L$18</f>
        <v>0</v>
      </c>
      <c r="O21">
        <f t="shared" ref="O21:O29" si="4">F21*$O$7+F21*$O$8+F21*$O$9+F21*$O$10+F21*$O$11+F21*$O$12+F21*$O$13+F21*$O$14+F21*$O$15+F21*$O$16+F21*$O$17+F21*$O$18</f>
        <v>0</v>
      </c>
      <c r="P21">
        <f t="shared" ref="P21:P29" si="5">F21*$P$7+F21*$P$8+F21*$P$9+F21*$P$10+F21*$P$11+F21*$P$12+F21*$P$13+F21*$P$14+F21*$P$15+F21*$P$16+F21*$P$17+F21*$P$18</f>
        <v>0</v>
      </c>
      <c r="Q21">
        <f t="shared" ref="Q21:Q29" si="6">F21*$Q$7+F21*$Q$8+F21*$Q$9+F21*$Q$10+F21*$Q$11+F21*$Q$12+F21*$Q$13+F21*$Q$14+F21*$Q$15+F21*$Q$16+F21*$Q$17+F21*$Q$18</f>
        <v>0</v>
      </c>
      <c r="R21">
        <f t="shared" ref="R21:R29" si="7">F21*$R$7+F21*$R$8+F21*$R$9+F21*$R$10+F21*$R$11+F21*$R$12+F21*$R$13+F21*$R$14+F21*$R$15+F21*$R$16+F21*$R$17+F21*$R$18</f>
        <v>0</v>
      </c>
      <c r="S21" s="2055"/>
      <c r="T21">
        <f t="shared" ref="T21:T88" si="8">SUM(I21:S21)</f>
        <v>0</v>
      </c>
    </row>
    <row r="22" spans="2:21" ht="15" hidden="1" customHeight="1">
      <c r="B22" s="346"/>
      <c r="C22" s="346" t="s">
        <v>620</v>
      </c>
      <c r="D22" s="346" t="s">
        <v>574</v>
      </c>
      <c r="E22" s="346">
        <v>0</v>
      </c>
      <c r="F22" s="346">
        <v>3</v>
      </c>
      <c r="G22" s="204"/>
      <c r="I22">
        <f t="shared" si="0"/>
        <v>0</v>
      </c>
      <c r="J22">
        <f t="shared" si="1"/>
        <v>0</v>
      </c>
      <c r="K22">
        <f t="shared" si="2"/>
        <v>0</v>
      </c>
      <c r="L22">
        <f t="shared" si="3"/>
        <v>0</v>
      </c>
      <c r="O22">
        <f t="shared" si="4"/>
        <v>0</v>
      </c>
      <c r="P22">
        <f t="shared" si="5"/>
        <v>0</v>
      </c>
      <c r="Q22">
        <f t="shared" si="6"/>
        <v>0</v>
      </c>
      <c r="R22">
        <f t="shared" si="7"/>
        <v>0</v>
      </c>
      <c r="S22" s="2055"/>
      <c r="T22">
        <f t="shared" si="8"/>
        <v>0</v>
      </c>
    </row>
    <row r="23" spans="2:21" ht="15" hidden="1" customHeight="1">
      <c r="B23" s="346"/>
      <c r="C23" s="346" t="s">
        <v>609</v>
      </c>
      <c r="D23" s="346" t="s">
        <v>574</v>
      </c>
      <c r="E23" s="346">
        <v>3</v>
      </c>
      <c r="F23" s="346">
        <v>3</v>
      </c>
      <c r="G23" s="204"/>
      <c r="I23">
        <f t="shared" si="0"/>
        <v>0</v>
      </c>
      <c r="J23">
        <f t="shared" si="1"/>
        <v>0</v>
      </c>
      <c r="K23">
        <f t="shared" si="2"/>
        <v>0</v>
      </c>
      <c r="L23">
        <f t="shared" si="3"/>
        <v>0</v>
      </c>
      <c r="O23">
        <f t="shared" si="4"/>
        <v>0</v>
      </c>
      <c r="P23">
        <f t="shared" si="5"/>
        <v>0</v>
      </c>
      <c r="Q23">
        <f t="shared" si="6"/>
        <v>0</v>
      </c>
      <c r="R23">
        <f t="shared" si="7"/>
        <v>0</v>
      </c>
      <c r="S23" s="2055"/>
      <c r="T23">
        <f t="shared" si="8"/>
        <v>0</v>
      </c>
    </row>
    <row r="24" spans="2:21" ht="15" hidden="1" customHeight="1">
      <c r="B24" s="346"/>
      <c r="C24" s="346" t="s">
        <v>585</v>
      </c>
      <c r="D24" s="346" t="s">
        <v>574</v>
      </c>
      <c r="E24" s="346">
        <v>3</v>
      </c>
      <c r="F24" s="346">
        <v>0</v>
      </c>
      <c r="G24" s="204"/>
      <c r="H24" s="333"/>
      <c r="I24" s="333">
        <f t="shared" si="0"/>
        <v>0</v>
      </c>
      <c r="J24" s="333">
        <f t="shared" si="1"/>
        <v>0</v>
      </c>
      <c r="K24" s="333">
        <f t="shared" si="2"/>
        <v>0</v>
      </c>
      <c r="L24" s="333">
        <f t="shared" si="3"/>
        <v>0</v>
      </c>
      <c r="M24" s="333"/>
      <c r="N24" s="333"/>
      <c r="O24" s="333"/>
      <c r="P24" s="333"/>
      <c r="Q24" s="333"/>
      <c r="R24" s="333"/>
      <c r="S24" s="2055"/>
      <c r="T24">
        <f t="shared" si="8"/>
        <v>0</v>
      </c>
    </row>
    <row r="25" spans="2:21" ht="15" hidden="1" customHeight="1">
      <c r="B25" s="346"/>
      <c r="C25" s="346" t="s">
        <v>586</v>
      </c>
      <c r="D25" s="346" t="s">
        <v>574</v>
      </c>
      <c r="E25" s="346">
        <v>0</v>
      </c>
      <c r="F25" s="346">
        <v>3</v>
      </c>
      <c r="G25" s="204"/>
      <c r="H25" s="333"/>
      <c r="I25" s="333"/>
      <c r="J25" s="333"/>
      <c r="K25" s="333"/>
      <c r="L25" s="333"/>
      <c r="M25" s="333"/>
      <c r="N25" s="333"/>
      <c r="O25" s="333">
        <f t="shared" si="4"/>
        <v>0</v>
      </c>
      <c r="P25" s="333">
        <f t="shared" si="5"/>
        <v>0</v>
      </c>
      <c r="Q25" s="333">
        <f t="shared" si="6"/>
        <v>0</v>
      </c>
      <c r="R25" s="333">
        <f t="shared" si="7"/>
        <v>0</v>
      </c>
      <c r="S25" s="2055"/>
      <c r="T25">
        <f t="shared" si="8"/>
        <v>0</v>
      </c>
    </row>
    <row r="26" spans="2:21" ht="15" hidden="1" customHeight="1">
      <c r="B26" s="346"/>
      <c r="C26" s="346" t="s">
        <v>582</v>
      </c>
      <c r="D26" s="346" t="s">
        <v>386</v>
      </c>
      <c r="E26" s="346">
        <v>7</v>
      </c>
      <c r="F26" s="346">
        <v>7</v>
      </c>
      <c r="G26" s="204"/>
      <c r="I26">
        <f t="shared" si="0"/>
        <v>0</v>
      </c>
      <c r="J26">
        <f t="shared" si="1"/>
        <v>0</v>
      </c>
      <c r="K26">
        <f t="shared" si="2"/>
        <v>0</v>
      </c>
      <c r="L26">
        <f t="shared" si="3"/>
        <v>0</v>
      </c>
      <c r="O26">
        <f t="shared" si="4"/>
        <v>0</v>
      </c>
      <c r="P26">
        <f t="shared" si="5"/>
        <v>0</v>
      </c>
      <c r="Q26">
        <f t="shared" si="6"/>
        <v>0</v>
      </c>
      <c r="R26">
        <f t="shared" si="7"/>
        <v>0</v>
      </c>
      <c r="S26" s="2055"/>
      <c r="T26">
        <f t="shared" si="8"/>
        <v>0</v>
      </c>
    </row>
    <row r="27" spans="2:21" ht="15" hidden="1" customHeight="1">
      <c r="B27" s="346"/>
      <c r="C27" s="346" t="s">
        <v>621</v>
      </c>
      <c r="D27" s="346" t="s">
        <v>574</v>
      </c>
      <c r="E27" s="346">
        <v>2</v>
      </c>
      <c r="F27" s="346">
        <v>2</v>
      </c>
      <c r="G27" s="204"/>
      <c r="I27">
        <f t="shared" si="0"/>
        <v>0</v>
      </c>
      <c r="J27">
        <f t="shared" si="1"/>
        <v>0</v>
      </c>
      <c r="K27">
        <f t="shared" si="2"/>
        <v>0</v>
      </c>
      <c r="L27">
        <f t="shared" si="3"/>
        <v>0</v>
      </c>
      <c r="O27">
        <f t="shared" si="4"/>
        <v>0</v>
      </c>
      <c r="P27">
        <f t="shared" si="5"/>
        <v>0</v>
      </c>
      <c r="Q27">
        <f t="shared" si="6"/>
        <v>0</v>
      </c>
      <c r="R27">
        <f t="shared" si="7"/>
        <v>0</v>
      </c>
      <c r="S27" s="2055"/>
      <c r="T27">
        <f t="shared" si="8"/>
        <v>0</v>
      </c>
    </row>
    <row r="28" spans="2:21" ht="15" hidden="1" customHeight="1">
      <c r="B28" s="346"/>
      <c r="C28" s="346" t="s">
        <v>604</v>
      </c>
      <c r="D28" s="346" t="s">
        <v>574</v>
      </c>
      <c r="E28" s="346">
        <v>2</v>
      </c>
      <c r="F28" s="346">
        <v>2</v>
      </c>
      <c r="G28" s="204"/>
      <c r="I28">
        <f t="shared" si="0"/>
        <v>0</v>
      </c>
      <c r="J28">
        <f t="shared" si="1"/>
        <v>0</v>
      </c>
      <c r="K28">
        <f t="shared" si="2"/>
        <v>0</v>
      </c>
      <c r="L28">
        <f t="shared" si="3"/>
        <v>0</v>
      </c>
      <c r="O28">
        <f t="shared" si="4"/>
        <v>0</v>
      </c>
      <c r="P28">
        <f t="shared" si="5"/>
        <v>0</v>
      </c>
      <c r="Q28">
        <f t="shared" si="6"/>
        <v>0</v>
      </c>
      <c r="R28">
        <f t="shared" si="7"/>
        <v>0</v>
      </c>
      <c r="S28" s="2055"/>
      <c r="T28">
        <f t="shared" si="8"/>
        <v>0</v>
      </c>
    </row>
    <row r="29" spans="2:21" ht="15" hidden="1" customHeight="1">
      <c r="B29" s="346"/>
      <c r="C29" s="346" t="s">
        <v>622</v>
      </c>
      <c r="D29" s="346" t="s">
        <v>574</v>
      </c>
      <c r="E29" s="346">
        <v>14</v>
      </c>
      <c r="F29" s="346">
        <v>14</v>
      </c>
      <c r="G29" s="204"/>
      <c r="I29">
        <f t="shared" si="0"/>
        <v>0</v>
      </c>
      <c r="J29">
        <f t="shared" si="1"/>
        <v>0</v>
      </c>
      <c r="K29">
        <f t="shared" si="2"/>
        <v>0</v>
      </c>
      <c r="L29">
        <f t="shared" si="3"/>
        <v>0</v>
      </c>
      <c r="O29">
        <f t="shared" si="4"/>
        <v>0</v>
      </c>
      <c r="P29">
        <f t="shared" si="5"/>
        <v>0</v>
      </c>
      <c r="Q29">
        <f t="shared" si="6"/>
        <v>0</v>
      </c>
      <c r="R29">
        <f t="shared" si="7"/>
        <v>0</v>
      </c>
      <c r="S29" s="2055"/>
      <c r="T29">
        <f t="shared" si="8"/>
        <v>0</v>
      </c>
    </row>
    <row r="30" spans="2:21" ht="15" hidden="1" customHeight="1">
      <c r="B30" s="346"/>
      <c r="C30" s="346" t="s">
        <v>605</v>
      </c>
      <c r="D30" s="346" t="s">
        <v>574</v>
      </c>
      <c r="E30" s="346">
        <v>4</v>
      </c>
      <c r="F30" s="346">
        <v>4</v>
      </c>
      <c r="G30" s="204"/>
      <c r="H30" s="334"/>
      <c r="I30">
        <f>E30*$I$7+E30*$I$8+E30*$I$9+E30*$I$10+E30*$I$11+E30*$I$12+E30*$I$13+E30*$I$14+E30*$I$15+E30*$I$16+E30*$I$17+E30*$I$18</f>
        <v>0</v>
      </c>
      <c r="J30">
        <f>E30*$J$7+E30*$J$8+E30*$J$9+E30*$J$10+E30*$J$11+E30*$J$12+E30*$J$13+E30*$J$14+E30*$J$15+E30*$J$16+E30*$J$17+E30*$J$18</f>
        <v>0</v>
      </c>
      <c r="K30">
        <f>E30*$K$7+E30*$K$8+E30*$K$9+E30*$K$10+E30*$K$11+E30*$K$12+E30*$K$13+E30*$K$14+E30*$K$15+E30*$K$16+E30*$K$17+E30*$K$18</f>
        <v>0</v>
      </c>
      <c r="L30">
        <f>E30*$L$7+E30*$L$8+E30*$L$9+E30*$L$10+E30*$L$11+E30*$L$12+E30*$L$13+E30*$L$14+E30*$L$15+E30*$L$16+E30*$L$17+E30*$L$18</f>
        <v>0</v>
      </c>
      <c r="O30">
        <f>F30*$O$7+F30*$O$8+F30*$O$9+F30*$O$10+F30*$O$11+F30*$O$12+F30*$O$13+F30*$O$14+F30*$O$15+F30*$O$16+F30*$O$17+F30*$O$18</f>
        <v>0</v>
      </c>
      <c r="P30">
        <f>F30*$P$7+F30*$P$8+F30*$P$9+F30*$P$10+F30*$P$11+F30*$P$12+F30*$P$13+F30*$P$14+F30*$P$15+F30*$P$16+F30*$P$17+F30*$P$18</f>
        <v>0</v>
      </c>
      <c r="Q30">
        <f>F30*$Q$7+F30*$Q$8+F30*$Q$9+F30*$Q$10+F30*$Q$11+F30*$Q$12+F30*$Q$13+F30*$Q$14+F30*$Q$15+F30*$Q$16+F30*$Q$17+F30*$Q$18</f>
        <v>0</v>
      </c>
      <c r="R30">
        <f>F30*$R$7+F30*$R$8+F30*$R$9+F30*$R$10+F30*$R$11+F30*$R$12+F30*$R$13+F30*$R$14+F30*$R$15+F30*$R$16+F30*$R$17+F30*$R$18</f>
        <v>0</v>
      </c>
      <c r="S30" s="2055"/>
      <c r="T30">
        <f t="shared" si="8"/>
        <v>0</v>
      </c>
    </row>
    <row r="31" spans="2:21" ht="15" hidden="1" customHeight="1">
      <c r="B31" s="346"/>
      <c r="C31" s="346" t="s">
        <v>623</v>
      </c>
      <c r="D31" s="346" t="s">
        <v>574</v>
      </c>
      <c r="E31" s="346">
        <v>3</v>
      </c>
      <c r="F31" s="346">
        <v>3</v>
      </c>
      <c r="G31" s="204"/>
      <c r="H31" s="334"/>
      <c r="I31">
        <f>E31*$I$7+E31*$I$8+E31*$I$9+E31*$I$10+E31*$I$11+E31*$I$12+E31*$I$13+E31*$I$14+E31*$I$15+E31*$I$16+E31*$I$17+E31*$I$18</f>
        <v>0</v>
      </c>
      <c r="O31">
        <f>F31*$O$7+F31*$O$8+F31*$O$9+F31*$O$10+F31*$O$11+F31*$O$12+F31*$O$13+F31*$O$14+F31*$O$15+F31*$O$16+F31*$O$17+F31*$O$18</f>
        <v>0</v>
      </c>
      <c r="S31" s="2055"/>
      <c r="T31">
        <f t="shared" si="8"/>
        <v>0</v>
      </c>
    </row>
    <row r="32" spans="2:21" ht="15" hidden="1" customHeight="1">
      <c r="B32" s="346"/>
      <c r="C32" s="346" t="s">
        <v>624</v>
      </c>
      <c r="D32" s="346" t="s">
        <v>574</v>
      </c>
      <c r="E32" s="346">
        <v>3</v>
      </c>
      <c r="F32" s="346">
        <v>3</v>
      </c>
      <c r="G32" s="204"/>
      <c r="H32" s="334"/>
      <c r="J32">
        <f>E32*$J$7+E32*$J$8+E32*$J$9+E32*$J$10+E32*$J$11+E32*$J$12+E32*$J$13+E32*$J$14+E32*$J$15+E32*$J$16+E32*$J$17+E32*$J$18</f>
        <v>0</v>
      </c>
      <c r="P32">
        <f>F32*$P$7+F32*$P$8+F32*$P$9+F32*$P$10+F32*$P$11+F32*$P$12+F32*$P$13+F32*$P$14+F32*$P$15+F32*$P$16+F32*$P$17+F32*$P$18</f>
        <v>0</v>
      </c>
      <c r="S32" s="2055"/>
      <c r="T32">
        <f t="shared" si="8"/>
        <v>0</v>
      </c>
    </row>
    <row r="33" spans="2:20" ht="15" hidden="1" customHeight="1">
      <c r="B33" s="346"/>
      <c r="C33" s="346" t="s">
        <v>625</v>
      </c>
      <c r="D33" s="346" t="s">
        <v>574</v>
      </c>
      <c r="E33" s="346">
        <v>3</v>
      </c>
      <c r="F33" s="346">
        <v>3</v>
      </c>
      <c r="G33" s="204"/>
      <c r="H33" s="334"/>
      <c r="K33">
        <f>E33*$K$7+E33*$K$8+E33*$K$9+E33*$K$10+E33*$K$11+E33*$K$12+E33*$K$13+E33*$K$14+E33*$K$15+E33*$K$16+E33*$K$17+E33*$K$18</f>
        <v>0</v>
      </c>
      <c r="Q33">
        <f>F33*$Q$7+F33*$Q$8+F33*$Q$9+F33*$Q$10+F33*$Q$11+F33*$Q$12+F33*$Q$13+F33*$Q$14+F33*$Q$15+F33*$Q$16+F33*$Q$17+F33*$Q$18</f>
        <v>0</v>
      </c>
      <c r="S33" s="2055"/>
      <c r="T33">
        <f t="shared" si="8"/>
        <v>0</v>
      </c>
    </row>
    <row r="34" spans="2:20" ht="15" hidden="1" customHeight="1">
      <c r="B34" s="346"/>
      <c r="C34" s="346" t="s">
        <v>626</v>
      </c>
      <c r="D34" s="346" t="s">
        <v>574</v>
      </c>
      <c r="E34" s="346">
        <v>3</v>
      </c>
      <c r="F34" s="346">
        <v>3</v>
      </c>
      <c r="G34" s="204"/>
      <c r="H34" s="334"/>
      <c r="L34">
        <f>E34*$L$7+E34*$L$8+E34*$L$9+E34*$L$10+E34*$L$11+E34*$L$12+E34*$L$13+E34*$L$14+E34*$L$15+E34*$L$16+E34*$L$17+E34*$L$18</f>
        <v>0</v>
      </c>
      <c r="R34">
        <f>F34*$R$7+F34*$R$8+F34*$R$9+F34*$R$10+F34*$R$11+F34*$R$12+F34*$R$13+F34*$R$14+F34*$R$15+F34*$R$16+F34*$R$17+F34*$R$18</f>
        <v>0</v>
      </c>
      <c r="S34" s="2055"/>
      <c r="T34">
        <f t="shared" si="8"/>
        <v>0</v>
      </c>
    </row>
    <row r="35" spans="2:20" ht="15" hidden="1" customHeight="1">
      <c r="B35" s="346"/>
      <c r="C35" s="346" t="s">
        <v>576</v>
      </c>
      <c r="D35" s="346" t="s">
        <v>574</v>
      </c>
      <c r="E35" s="346">
        <v>6</v>
      </c>
      <c r="F35" s="346">
        <v>6</v>
      </c>
      <c r="G35" s="204"/>
      <c r="H35" s="333"/>
      <c r="I35">
        <f>E35*$I$7+E35*$I$8+E35*$I$9+E35*$I$10+E35*$I$11+E35*$I$12+E35*$I$13+E35*$I$14+E35*$I$15+E35*$I$16+E35*$I$17+E35*$I$18</f>
        <v>0</v>
      </c>
      <c r="O35">
        <f>F35*$O$7+F35*$O$8+F35*$O$9+F35*$O$10+F35*$O$11+F35*$O$12+F35*$O$13+F35*$O$14+F35*$O$15+F35*$O$16+F35*$O$17+F35*$O$18</f>
        <v>0</v>
      </c>
      <c r="S35" s="2055"/>
      <c r="T35">
        <f t="shared" si="8"/>
        <v>0</v>
      </c>
    </row>
    <row r="36" spans="2:20" ht="15" hidden="1" customHeight="1">
      <c r="B36" s="346"/>
      <c r="C36" s="346" t="s">
        <v>575</v>
      </c>
      <c r="D36" s="346" t="s">
        <v>574</v>
      </c>
      <c r="E36" s="346">
        <v>6</v>
      </c>
      <c r="F36" s="346">
        <v>6</v>
      </c>
      <c r="G36" s="204"/>
      <c r="H36" s="333"/>
      <c r="J36">
        <f>E36*$J$7+E36*$J$8+E36*$J$9+E36*$J$10+E36*$J$11+E36*$J$12+E36*$J$13+E36*$J$14+E36*$J$15+E36*$J$16+E36*$J$17+E36*$J$18</f>
        <v>0</v>
      </c>
      <c r="P36">
        <f>F36*$P$7+F36*$P$8+F36*$P$9+F36*$P$10+F36*$P$11+F36*$P$12+F36*$P$13+F36*$P$14+F36*$P$15+F36*$P$16+F36*$P$17+F36*$P$18</f>
        <v>0</v>
      </c>
      <c r="S36" s="2055"/>
      <c r="T36">
        <f t="shared" si="8"/>
        <v>0</v>
      </c>
    </row>
    <row r="37" spans="2:20" ht="15" hidden="1" customHeight="1">
      <c r="B37" s="346"/>
      <c r="C37" s="346" t="s">
        <v>578</v>
      </c>
      <c r="D37" s="346" t="s">
        <v>574</v>
      </c>
      <c r="E37" s="346">
        <v>6</v>
      </c>
      <c r="F37" s="346">
        <v>6</v>
      </c>
      <c r="G37" s="204"/>
      <c r="H37" s="333"/>
      <c r="K37">
        <f>E37*$K$7+E37*$K$8+E37*$K$9+E37*$K$10+E37*$K$11+E37*$K$12+E37*$K$13+E37*$K$14+E37*$K$15+E37*$K$16+E37*$K$17+E37*$K$18</f>
        <v>0</v>
      </c>
      <c r="Q37">
        <f>F37*$Q$7+F37*$Q$8+F37*$Q$9+F37*$Q$10+F37*$Q$11+F37*$Q$12+F37*$Q$13+F37*$Q$14+F37*$Q$15+F37*$Q$16+F37*$Q$17+F37*$Q$18</f>
        <v>0</v>
      </c>
      <c r="S37" s="2055"/>
      <c r="T37">
        <f t="shared" si="8"/>
        <v>0</v>
      </c>
    </row>
    <row r="38" spans="2:20" ht="15" hidden="1" customHeight="1">
      <c r="B38" s="346"/>
      <c r="C38" s="346" t="s">
        <v>577</v>
      </c>
      <c r="D38" s="346" t="s">
        <v>574</v>
      </c>
      <c r="E38" s="346">
        <v>6</v>
      </c>
      <c r="F38" s="346">
        <v>6</v>
      </c>
      <c r="G38" s="204"/>
      <c r="H38" s="333"/>
      <c r="L38">
        <f>E38*$L$7+E38*$L$8+E38*$L$9+E38*$L$10+E38*$L$11+E38*$L$12+E38*$L$13+E38*$L$14+E38*$L$15+E38*$L$16+E38*$L$17+E38*$L$18</f>
        <v>0</v>
      </c>
      <c r="R38">
        <f>F38*$R$7+F38*$R$8+F38*$R$9+F38*$R$10+F38*$R$11+F38*$R$12+F38*$R$13+F38*$R$14+F38*$R$15+F38*$R$16+F38*$R$17+F38*$R$18</f>
        <v>0</v>
      </c>
      <c r="S38" s="2055"/>
      <c r="T38">
        <f t="shared" si="8"/>
        <v>0</v>
      </c>
    </row>
    <row r="39" spans="2:20" ht="15" hidden="1" customHeight="1">
      <c r="B39" s="346"/>
      <c r="C39" s="346" t="s">
        <v>627</v>
      </c>
      <c r="D39" s="346" t="s">
        <v>574</v>
      </c>
      <c r="E39" s="346">
        <v>2</v>
      </c>
      <c r="F39" s="346">
        <v>2</v>
      </c>
      <c r="G39" s="204"/>
      <c r="I39">
        <f>E39*$I$7+E39*$I$8+E39*$I$9+E39*$I$10+E39*$I$11+E39*$I$12+E39*$I$13+E39*$I$14+E39*$I$15+E39*$I$16+E39*$I$17+E39*$I$18</f>
        <v>0</v>
      </c>
      <c r="J39">
        <f>E39*$J$7+E39*$J$8+E39*$J$9+E39*$J$10+E39*$J$11+E39*$J$12+E39*$J$13+E39*$J$14+E39*$J$15+E39*$J$16+E39*$J$17+E39*$J$18</f>
        <v>0</v>
      </c>
      <c r="K39">
        <f>E39*$K$7+E39*$K$8+E39*$K$9+E39*$K$10+E39*$K$11+E39*$K$12+E39*$K$13+E39*$K$14+E39*$K$15+E39*$K$16+E39*$K$17+E39*$K$18</f>
        <v>0</v>
      </c>
      <c r="L39">
        <f>E39*$L$7+E39*$L$8+E39*$L$9+E39*$L$10+E39*$L$11+E39*$L$12+E39*$L$13+E39*$L$14+E39*$L$15+E39*$L$16+E39*$L$17+E39*$L$18</f>
        <v>0</v>
      </c>
      <c r="O39">
        <f>F39*$O$7+F39*$O$8+F39*$O$9+F39*$O$10+F39*$O$11+F39*$O$12+F39*$O$13+F39*$O$14+F39*$O$15+F39*$O$16+F39*$O$17+F39*$O$18</f>
        <v>0</v>
      </c>
      <c r="P39">
        <f>F39*$P$7+F39*$P$8+F39*$P$9+F39*$P$10+F39*$P$11+F39*$P$12+F39*$P$13+F39*$P$14+F39*$P$15+F39*$P$16+F39*$P$17+F39*$P$18</f>
        <v>0</v>
      </c>
      <c r="Q39">
        <f>F39*$Q$7+F39*$Q$8+F39*$Q$9+F39*$Q$10+F39*$Q$11+F39*$Q$12+F39*$Q$13+F39*$Q$14+F39*$Q$15+F39*$Q$16+F39*$Q$17+F39*$Q$18</f>
        <v>0</v>
      </c>
      <c r="R39">
        <f>F39*$R$7+F39*$R$8+F39*$R$9+F39*$R$10+F39*$R$11+F39*$R$12+F39*$R$13+F39*$R$14+F39*$R$15+F39*$R$16+F39*$R$17+F39*$R$18</f>
        <v>0</v>
      </c>
      <c r="S39" s="2055"/>
      <c r="T39">
        <f t="shared" si="8"/>
        <v>0</v>
      </c>
    </row>
    <row r="40" spans="2:20" ht="15" hidden="1" customHeight="1">
      <c r="B40" s="346"/>
      <c r="C40" s="346" t="s">
        <v>599</v>
      </c>
      <c r="D40" s="346" t="s">
        <v>574</v>
      </c>
      <c r="E40" s="346">
        <v>6</v>
      </c>
      <c r="F40" s="346">
        <v>6</v>
      </c>
      <c r="G40" s="204"/>
      <c r="I40">
        <f>E40*$I$7+E40*$I$8+E40*$I$9+E40*$I$10+E40*$I$11+E40*$I$12+E40*$I$13+E40*$I$14+E40*$I$15+E40*$I$16+E40*$I$17+E40*$I$18</f>
        <v>0</v>
      </c>
      <c r="J40">
        <f>E40*$J$7+E40*$J$8+E40*$J$9+E40*$J$10+E40*$J$11+E40*$J$12+E40*$J$13+E40*$J$14+E40*$J$15+E40*$J$16+E40*$J$17+E40*$J$18</f>
        <v>0</v>
      </c>
      <c r="K40">
        <f>E40*$K$7+E40*$K$8+E40*$K$9+E40*$K$10+E40*$K$11+E40*$K$12+E40*$K$13+E40*$K$14+E40*$K$15+E40*$K$16+E40*$K$17+E40*$K$18</f>
        <v>0</v>
      </c>
      <c r="L40">
        <f>E40*$L$7+E40*$L$8+E40*$L$9+E40*$L$10+E40*$L$11+E40*$L$12+E40*$L$13+E40*$L$14+E40*$L$15+E40*$L$16+E40*$L$17+E40*$L$18</f>
        <v>0</v>
      </c>
      <c r="O40">
        <f>F40*$O$7+F40*$O$8+F40*$O$9+F40*$O$10+F40*$O$11+F40*$O$12+F40*$O$13+F40*$O$14+F40*$O$15+F40*$O$16+F40*$O$17+F40*$O$18</f>
        <v>0</v>
      </c>
      <c r="P40">
        <f>F40*$P$7+F40*$P$8+F40*$P$9+F40*$P$10+F40*$P$11+F40*$P$12+F40*$P$13+F40*$P$14+F40*$P$15+F40*$P$16+F40*$P$17+F40*$P$18</f>
        <v>0</v>
      </c>
      <c r="Q40">
        <f>F40*$Q$7+F40*$Q$8+F40*$Q$9+F40*$Q$10+F40*$Q$11+F40*$Q$12+F40*$Q$13+F40*$Q$14+F40*$Q$15+F40*$Q$16+F40*$Q$17+F40*$Q$18</f>
        <v>0</v>
      </c>
      <c r="R40">
        <f>F40*$R$7+F40*$R$8+F40*$R$9+F40*$R$10+F40*$R$11+F40*$R$12+F40*$R$13+F40*$R$14+F40*$R$15+F40*$R$16+F40*$R$17+F40*$R$18</f>
        <v>0</v>
      </c>
      <c r="S40" s="2055"/>
      <c r="T40">
        <f t="shared" si="8"/>
        <v>0</v>
      </c>
    </row>
    <row r="41" spans="2:20" ht="15" hidden="1" customHeight="1">
      <c r="B41" s="346"/>
      <c r="C41" s="346" t="s">
        <v>595</v>
      </c>
      <c r="D41" s="346" t="s">
        <v>574</v>
      </c>
      <c r="E41" s="346">
        <v>6</v>
      </c>
      <c r="F41" s="346">
        <v>0</v>
      </c>
      <c r="G41" s="204"/>
      <c r="H41" s="335"/>
      <c r="I41">
        <f>E41*$I$7+E41*$I$8+E41*$I$9+E41*$I$10+E41*$I$11+E41*$I$12+E41*$I$13+E41*$I$14+E41*$I$15+E41*$I$16+E41*$I$17+E41*$I$18</f>
        <v>0</v>
      </c>
      <c r="J41">
        <f>E41*$J$7+E41*$J$8+E41*$J$9+E41*$J$10+E41*$J$11+E41*$J$12+E41*$J$13+E41*$J$14+E41*$J$15+E41*$J$16+E41*$J$17+E41*$J$18</f>
        <v>0</v>
      </c>
      <c r="K41">
        <f>E41*$K$7+E41*$K$8+E41*$K$9+E41*$K$10+E41*$K$11+E41*$K$12+E41*$K$13+E41*$K$14+E41*$K$15+E41*$K$16+E41*$K$17+E41*$K$18</f>
        <v>0</v>
      </c>
      <c r="L41">
        <f>E41*$L$7+E41*$L$8+E41*$L$9+E41*$L$10+E41*$L$11+E41*$L$12+E41*$L$13+E41*$L$14+E41*$L$15+E41*$L$16+E41*$L$17+E41*$L$18</f>
        <v>0</v>
      </c>
      <c r="M41" s="335"/>
      <c r="N41" s="335"/>
      <c r="O41" s="335"/>
      <c r="P41" s="335"/>
      <c r="Q41" s="335"/>
      <c r="R41" s="335"/>
      <c r="S41" s="2055"/>
      <c r="T41">
        <f t="shared" si="8"/>
        <v>0</v>
      </c>
    </row>
    <row r="42" spans="2:20" ht="15" hidden="1" customHeight="1">
      <c r="B42" s="136"/>
      <c r="C42" s="136" t="s">
        <v>596</v>
      </c>
      <c r="D42" s="136" t="s">
        <v>574</v>
      </c>
      <c r="E42" s="136">
        <v>0</v>
      </c>
      <c r="F42" s="136">
        <v>6</v>
      </c>
      <c r="G42" s="345"/>
      <c r="H42" s="336"/>
      <c r="I42" s="336"/>
      <c r="J42" s="336"/>
      <c r="K42" s="336"/>
      <c r="L42" s="336"/>
      <c r="M42" s="336"/>
      <c r="N42" s="336"/>
      <c r="O42">
        <f>F42*$O$7+F42*$O$8+F42*$O$9+F42*$O$10+F42*$O$11+F42*$O$12+F42*$O$13+F42*$O$14+F42*$O$15+F42*$O$16+F42*$O$17+F42*$O$18</f>
        <v>0</v>
      </c>
      <c r="P42">
        <f>F42*$P$7+F42*$P$8+F42*$P$9+F42*$P$10+F42*$P$11+F42*$P$12+F42*$P$13+F42*$P$14+F42*$P$15+F42*$P$16+F42*$P$17+F42*$P$18</f>
        <v>0</v>
      </c>
      <c r="Q42">
        <f t="shared" ref="Q42:Q47" si="9">F42*$Q$7+F42*$Q$8+F42*$Q$9+F42*$Q$10+F42*$Q$11+F42*$Q$12+F42*$Q$13+F42*$Q$14+F42*$Q$15+F42*$Q$16+F42*$Q$17+F42*$Q$18</f>
        <v>0</v>
      </c>
      <c r="R42">
        <f t="shared" ref="R42:R47" si="10">F42*$R$7+F42*$R$8+F42*$R$9+F42*$R$10+F42*$R$11+F42*$R$12+F42*$R$13+F42*$R$14+F42*$R$15+F42*$R$16+F42*$R$17+F42*$R$18</f>
        <v>0</v>
      </c>
      <c r="S42" s="2055"/>
      <c r="T42">
        <f t="shared" si="8"/>
        <v>0</v>
      </c>
    </row>
    <row r="43" spans="2:20" ht="15" hidden="1" customHeight="1">
      <c r="B43" s="346"/>
      <c r="C43" s="346" t="s">
        <v>593</v>
      </c>
      <c r="D43" s="346" t="s">
        <v>574</v>
      </c>
      <c r="E43" s="346">
        <v>6</v>
      </c>
      <c r="F43" s="346">
        <v>6</v>
      </c>
      <c r="G43" s="204"/>
      <c r="I43">
        <f t="shared" ref="I43:I49" si="11">E43*$I$7+E43*$I$8+E43*$I$9+E43*$I$10+E43*$I$11+E43*$I$12+E43*$I$13+E43*$I$14+E43*$I$15+E43*$I$16+E43*$I$17+E43*$I$18</f>
        <v>0</v>
      </c>
      <c r="J43">
        <f t="shared" ref="J43:J50" si="12">E43*$J$7+E43*$J$8+E43*$J$9+E43*$J$10+E43*$J$11+E43*$J$12+E43*$J$13+E43*$J$14+E43*$J$15+E43*$J$16+E43*$J$17+E43*$J$18</f>
        <v>0</v>
      </c>
      <c r="K43">
        <f>E43*$K$7+E43*$K$8+E43*$K$9+E43*$K$10+E43*$K$11+E43*$K$12+E43*$K$13+E43*$K$14+E43*$K$15+E43*$K$16+E43*$K$17+E43*$K$18</f>
        <v>0</v>
      </c>
      <c r="L43">
        <f>E43*$L$7+E43*$L$8+E43*$L$9+E43*$L$10+E43*$L$11+E43*$L$12+E43*$L$13+E43*$L$14+E43*$L$15+E43*$L$16+E43*$L$17+E43*$L$18</f>
        <v>0</v>
      </c>
      <c r="O43">
        <f t="shared" ref="O43:O49" si="13">F43*$O$7+F43*$O$8+F43*$O$9+F43*$O$10+F43*$O$11+F43*$O$12+F43*$O$13+F43*$O$14+F43*$O$15+F43*$O$16+F43*$O$17+F43*$O$18</f>
        <v>0</v>
      </c>
      <c r="P43">
        <f t="shared" ref="P43:P50" si="14">F43*$P$7+F43*$P$8+F43*$P$9+F43*$P$10+F43*$P$11+F43*$P$12+F43*$P$13+F43*$P$14+F43*$P$15+F43*$P$16+F43*$P$17+F43*$P$18</f>
        <v>0</v>
      </c>
      <c r="Q43">
        <f t="shared" si="9"/>
        <v>0</v>
      </c>
      <c r="R43">
        <f t="shared" si="10"/>
        <v>0</v>
      </c>
      <c r="S43" s="2055"/>
      <c r="T43">
        <f t="shared" si="8"/>
        <v>0</v>
      </c>
    </row>
    <row r="44" spans="2:20" ht="15" hidden="1" customHeight="1">
      <c r="B44" s="346"/>
      <c r="C44" s="346" t="s">
        <v>600</v>
      </c>
      <c r="D44" s="346" t="s">
        <v>574</v>
      </c>
      <c r="E44" s="346">
        <v>6</v>
      </c>
      <c r="F44" s="346">
        <v>6</v>
      </c>
      <c r="G44" s="204"/>
      <c r="I44">
        <f t="shared" si="11"/>
        <v>0</v>
      </c>
      <c r="J44">
        <f t="shared" si="12"/>
        <v>0</v>
      </c>
      <c r="K44">
        <f>E44*$K$7+E44*$K$8+E44*$K$9+E44*$K$10+E44*$K$11+E44*$K$12+E44*$K$13+E44*$K$14+E44*$K$15+E44*$K$16+E44*$K$17+E44*$K$18</f>
        <v>0</v>
      </c>
      <c r="L44">
        <f>E44*$L$7+E44*$L$8+E44*$L$9+E44*$L$10+E44*$L$11+E44*$L$12+E44*$L$13+E44*$L$14+E44*$L$15+E44*$L$16+E44*$L$17+E44*$L$18</f>
        <v>0</v>
      </c>
      <c r="O44">
        <f t="shared" si="13"/>
        <v>0</v>
      </c>
      <c r="P44">
        <f t="shared" si="14"/>
        <v>0</v>
      </c>
      <c r="Q44">
        <f t="shared" si="9"/>
        <v>0</v>
      </c>
      <c r="R44">
        <f t="shared" si="10"/>
        <v>0</v>
      </c>
      <c r="S44" s="2055"/>
      <c r="T44">
        <f t="shared" si="8"/>
        <v>0</v>
      </c>
    </row>
    <row r="45" spans="2:20" ht="15" hidden="1" customHeight="1">
      <c r="B45" s="346"/>
      <c r="C45" s="346" t="s">
        <v>628</v>
      </c>
      <c r="D45" s="346" t="s">
        <v>386</v>
      </c>
      <c r="E45" s="346">
        <v>30</v>
      </c>
      <c r="F45" s="346">
        <v>30</v>
      </c>
      <c r="G45" s="204"/>
      <c r="I45">
        <f t="shared" si="11"/>
        <v>0</v>
      </c>
      <c r="J45">
        <f t="shared" si="12"/>
        <v>0</v>
      </c>
      <c r="K45">
        <f>E45*$K$7+E45*$K$8+E45*$K$9+E45*$K$10+E45*$K$11+E45*$K$12+E45*$K$13+E45*$K$14+E45*$K$15+E45*$K$16+E45*$K$17+E45*$K$18</f>
        <v>0</v>
      </c>
      <c r="L45">
        <f>E45*$L$7+E45*$L$8+E45*$L$9+E45*$L$10+E45*$L$11+E45*$L$12+E45*$L$13+E45*$L$14+E45*$L$15+E45*$L$16+E45*$L$17+E45*$L$18</f>
        <v>0</v>
      </c>
      <c r="O45">
        <f t="shared" si="13"/>
        <v>0</v>
      </c>
      <c r="P45">
        <f t="shared" si="14"/>
        <v>0</v>
      </c>
      <c r="Q45">
        <f t="shared" si="9"/>
        <v>0</v>
      </c>
      <c r="R45">
        <f t="shared" si="10"/>
        <v>0</v>
      </c>
      <c r="S45" s="2055"/>
      <c r="T45">
        <f t="shared" si="8"/>
        <v>0</v>
      </c>
    </row>
    <row r="46" spans="2:20" ht="15" hidden="1" customHeight="1">
      <c r="B46" s="346"/>
      <c r="C46" s="346" t="s">
        <v>581</v>
      </c>
      <c r="D46" s="346" t="s">
        <v>386</v>
      </c>
      <c r="E46" s="346">
        <v>13</v>
      </c>
      <c r="F46" s="346">
        <v>13</v>
      </c>
      <c r="G46" s="204"/>
      <c r="I46">
        <f t="shared" si="11"/>
        <v>0</v>
      </c>
      <c r="J46">
        <f t="shared" si="12"/>
        <v>0</v>
      </c>
      <c r="K46">
        <f>E46*$K$7+E46*$K$8+E46*$K$9+E46*$K$10+E46*$K$11+E46*$K$12+E46*$K$13+E46*$K$14+E46*$K$15+E46*$K$16+E46*$K$17+E46*$K$18</f>
        <v>0</v>
      </c>
      <c r="L46">
        <f>E46*$L$7+E46*$L$8+E46*$L$9+E46*$L$10+E46*$L$11+E46*$L$12+E46*$L$13+E46*$L$14+E46*$L$15+E46*$L$16+E46*$L$17+E46*$L$18</f>
        <v>0</v>
      </c>
      <c r="O46">
        <f t="shared" si="13"/>
        <v>0</v>
      </c>
      <c r="P46">
        <f t="shared" si="14"/>
        <v>0</v>
      </c>
      <c r="Q46">
        <f t="shared" si="9"/>
        <v>0</v>
      </c>
      <c r="R46">
        <f t="shared" si="10"/>
        <v>0</v>
      </c>
      <c r="S46" s="2055"/>
      <c r="T46">
        <f t="shared" si="8"/>
        <v>0</v>
      </c>
    </row>
    <row r="47" spans="2:20" ht="15" hidden="1" customHeight="1">
      <c r="B47" s="346"/>
      <c r="C47" s="346" t="s">
        <v>594</v>
      </c>
      <c r="D47" s="346" t="s">
        <v>574</v>
      </c>
      <c r="E47" s="346">
        <v>1</v>
      </c>
      <c r="F47" s="346">
        <v>1</v>
      </c>
      <c r="G47" s="204"/>
      <c r="I47">
        <f t="shared" si="11"/>
        <v>0</v>
      </c>
      <c r="J47">
        <f t="shared" si="12"/>
        <v>0</v>
      </c>
      <c r="K47">
        <f>E47*$K$7+E47*$K$8+E47*$K$9+E47*$K$10+E47*$K$11+E47*$K$12+E47*$K$13+E47*$K$14+E47*$K$15+E47*$K$16+E47*$K$17+E47*$K$18</f>
        <v>0</v>
      </c>
      <c r="L47">
        <f>E47*$L$7+E47*$L$8+E47*$L$9+E47*$L$10+E47*$L$11+E47*$L$12+E47*$L$13+E47*$L$14+E47*$L$15+E47*$L$16+E47*$L$17+E47*$L$18</f>
        <v>0</v>
      </c>
      <c r="O47">
        <f t="shared" si="13"/>
        <v>0</v>
      </c>
      <c r="P47">
        <f t="shared" si="14"/>
        <v>0</v>
      </c>
      <c r="Q47">
        <f t="shared" si="9"/>
        <v>0</v>
      </c>
      <c r="R47">
        <f t="shared" si="10"/>
        <v>0</v>
      </c>
      <c r="S47" s="2055"/>
      <c r="T47">
        <f t="shared" si="8"/>
        <v>0</v>
      </c>
    </row>
    <row r="48" spans="2:20" ht="15" hidden="1" customHeight="1">
      <c r="B48" s="346"/>
      <c r="C48" s="333" t="s">
        <v>1127</v>
      </c>
      <c r="D48" s="346"/>
      <c r="E48" s="346">
        <v>1</v>
      </c>
      <c r="F48" s="346">
        <v>1</v>
      </c>
      <c r="G48" s="204"/>
      <c r="I48">
        <f>SUM(I8:L8,I9:L9,I11:L11,I12:L12,I14:L14,I15:L15,I17:L17,I18:L18)*(1)</f>
        <v>0</v>
      </c>
      <c r="O48">
        <f>SUM(O8:R8,O9:R9,O11:R11,O12:R12,O14:R14,O15:R15,O17:R17,O18:R18)*(1)</f>
        <v>0</v>
      </c>
      <c r="S48" s="2055"/>
      <c r="T48">
        <f t="shared" si="8"/>
        <v>0</v>
      </c>
    </row>
    <row r="49" spans="2:20" ht="15" hidden="1" customHeight="1">
      <c r="B49" s="346" t="s">
        <v>95</v>
      </c>
      <c r="C49" s="346" t="s">
        <v>629</v>
      </c>
      <c r="D49" s="346" t="s">
        <v>574</v>
      </c>
      <c r="E49" s="346">
        <v>6</v>
      </c>
      <c r="F49" s="346">
        <v>6</v>
      </c>
      <c r="G49" s="204"/>
      <c r="H49" s="337"/>
      <c r="I49">
        <f t="shared" si="11"/>
        <v>0</v>
      </c>
      <c r="J49" s="337"/>
      <c r="K49" s="337"/>
      <c r="L49" s="337"/>
      <c r="M49" s="337"/>
      <c r="N49" s="337"/>
      <c r="O49">
        <f t="shared" si="13"/>
        <v>0</v>
      </c>
      <c r="P49" s="337"/>
      <c r="Q49" s="337"/>
      <c r="R49" s="337"/>
      <c r="S49" s="2055"/>
      <c r="T49">
        <f>SUM(I49:S49)+K55+Q55</f>
        <v>0</v>
      </c>
    </row>
    <row r="50" spans="2:20" ht="15" hidden="1" customHeight="1">
      <c r="B50" s="346" t="s">
        <v>630</v>
      </c>
      <c r="C50" s="346" t="s">
        <v>631</v>
      </c>
      <c r="D50" s="346" t="s">
        <v>574</v>
      </c>
      <c r="E50" s="346">
        <v>6</v>
      </c>
      <c r="F50" s="346">
        <v>6</v>
      </c>
      <c r="G50" s="204"/>
      <c r="H50" s="337"/>
      <c r="I50" s="337"/>
      <c r="J50">
        <f t="shared" si="12"/>
        <v>0</v>
      </c>
      <c r="K50" s="337"/>
      <c r="L50" s="337"/>
      <c r="M50" s="337"/>
      <c r="N50" s="337"/>
      <c r="O50" s="337"/>
      <c r="P50">
        <f t="shared" si="14"/>
        <v>0</v>
      </c>
      <c r="Q50" s="337"/>
      <c r="R50" s="337"/>
      <c r="S50" s="2055"/>
      <c r="T50">
        <f t="shared" si="8"/>
        <v>0</v>
      </c>
    </row>
    <row r="51" spans="2:20" ht="15" hidden="1" customHeight="1">
      <c r="B51" s="346" t="s">
        <v>632</v>
      </c>
      <c r="C51" s="346" t="s">
        <v>633</v>
      </c>
      <c r="D51" s="346" t="s">
        <v>574</v>
      </c>
      <c r="E51" s="346">
        <v>6</v>
      </c>
      <c r="F51" s="346">
        <v>6</v>
      </c>
      <c r="G51" s="204"/>
      <c r="H51" s="337"/>
      <c r="I51" s="337"/>
      <c r="J51" s="337"/>
      <c r="K51">
        <f>E51*$K$7+E51*$K$8+E51*$K$9+E51*$K$10+E51*$K$11+E51*$K$12+E51*$K$13+E51*$K$14+E51*$K$15+E51*$K$16+E51*$K$17+E51*$K$18</f>
        <v>0</v>
      </c>
      <c r="L51" s="337"/>
      <c r="M51" s="337"/>
      <c r="N51" s="337"/>
      <c r="O51" s="337"/>
      <c r="P51" s="337"/>
      <c r="Q51">
        <f>F51*$Q$7+F51*$Q$8+F51*$Q$9+F51*$Q$10+F51*$Q$11+F51*$Q$12+F51*$Q$13+F51*$Q$14+F51*$Q$15+F51*$Q$16+F51*$Q$17+F51*$Q$18</f>
        <v>0</v>
      </c>
      <c r="R51" s="337"/>
      <c r="S51" s="2055"/>
      <c r="T51">
        <f t="shared" si="8"/>
        <v>0</v>
      </c>
    </row>
    <row r="52" spans="2:20" ht="15" hidden="1" customHeight="1">
      <c r="B52" s="346">
        <v>336</v>
      </c>
      <c r="C52" s="346" t="s">
        <v>634</v>
      </c>
      <c r="D52" s="346" t="s">
        <v>574</v>
      </c>
      <c r="E52" s="346">
        <v>18</v>
      </c>
      <c r="F52" s="346">
        <v>18</v>
      </c>
      <c r="G52" s="204"/>
      <c r="H52" s="337"/>
      <c r="I52" s="337"/>
      <c r="J52" s="337"/>
      <c r="K52" s="337"/>
      <c r="L52">
        <f>E52*$L$7+E52*$L$8+E52*$L$9+E52*$L$10+E52*$L$11+E52*$L$12+E52*$L$13+E52*$L$14+E52*$L$15+E52*$L$16+E52*$L$17+E52*$L$18</f>
        <v>0</v>
      </c>
      <c r="M52" s="337"/>
      <c r="N52" s="337"/>
      <c r="O52" s="337"/>
      <c r="P52" s="337"/>
      <c r="Q52" s="337"/>
      <c r="R52">
        <f>F52*$R$7+F52*$R$8+F52*$R$9+F52*$R$10+F52*$R$11+F52*$R$12+F52*$R$13+F52*$R$14+F52*$R$15+F52*$R$16+F52*$R$17+F52*$R$18</f>
        <v>0</v>
      </c>
      <c r="S52" s="2055"/>
      <c r="T52">
        <f t="shared" si="8"/>
        <v>0</v>
      </c>
    </row>
    <row r="53" spans="2:20" ht="15" hidden="1" customHeight="1">
      <c r="B53" s="346" t="s">
        <v>95</v>
      </c>
      <c r="C53" s="346" t="s">
        <v>635</v>
      </c>
      <c r="D53" s="346" t="s">
        <v>574</v>
      </c>
      <c r="E53" s="346">
        <v>6</v>
      </c>
      <c r="F53" s="346">
        <v>6</v>
      </c>
      <c r="G53" s="204"/>
      <c r="H53" s="337"/>
      <c r="I53">
        <f>E53*$I$7+E53*$I$8+E53*$I$9+E53*$I$10+E53*$I$11+E53*$I$12+E53*$I$13+E53*$I$14+E53*$I$15+E53*$I$16+E53*$I$17+E53*$I$18</f>
        <v>0</v>
      </c>
      <c r="J53" s="337"/>
      <c r="K53" s="337"/>
      <c r="L53" s="337"/>
      <c r="M53" s="337"/>
      <c r="N53" s="337"/>
      <c r="O53">
        <f>F53*$O$7+F53*$O$8+F53*$O$9+F53*$O$10+F53*$O$11+F53*$O$12+F53*$O$13+F53*$O$14+F53*$O$15+F53*$O$16+F53*$O$17+F53*$O$18</f>
        <v>0</v>
      </c>
      <c r="P53" s="337"/>
      <c r="Q53" s="337"/>
      <c r="R53" s="337"/>
      <c r="S53" s="2055"/>
      <c r="T53">
        <f t="shared" si="8"/>
        <v>0</v>
      </c>
    </row>
    <row r="54" spans="2:20" ht="15" hidden="1" customHeight="1">
      <c r="B54" s="346" t="s">
        <v>630</v>
      </c>
      <c r="C54" s="346" t="s">
        <v>636</v>
      </c>
      <c r="D54" s="346" t="s">
        <v>574</v>
      </c>
      <c r="E54" s="346">
        <v>6</v>
      </c>
      <c r="F54" s="346">
        <v>6</v>
      </c>
      <c r="G54" s="204"/>
      <c r="H54" s="337"/>
      <c r="I54" s="337"/>
      <c r="J54">
        <f>E54*$J$7+E54*$J$8+E54*$J$9+E54*$J$10+E54*$J$11+E54*$J$12+E54*$J$13+E54*$J$14+E54*$J$15+E54*$J$16+E54*$J$17+E54*$J$18</f>
        <v>0</v>
      </c>
      <c r="K54" s="337"/>
      <c r="L54" s="337"/>
      <c r="M54" s="337"/>
      <c r="N54" s="337"/>
      <c r="O54" s="337"/>
      <c r="P54">
        <f>F54*$P$7+F54*$P$8+F54*$P$9+F54*$P$10+F54*$P$11+F54*$P$12+F54*$P$13+F54*$P$14+F54*$P$15+F54*$P$16+F54*$P$17+F54*$P$18</f>
        <v>0</v>
      </c>
      <c r="Q54" s="337"/>
      <c r="R54" s="337"/>
      <c r="S54" s="2055"/>
      <c r="T54">
        <f t="shared" si="8"/>
        <v>0</v>
      </c>
    </row>
    <row r="55" spans="2:20" ht="15" hidden="1" customHeight="1">
      <c r="B55" s="346" t="s">
        <v>632</v>
      </c>
      <c r="C55" s="346" t="s">
        <v>629</v>
      </c>
      <c r="D55" s="346" t="s">
        <v>574</v>
      </c>
      <c r="E55" s="346">
        <v>6</v>
      </c>
      <c r="F55" s="346">
        <v>6</v>
      </c>
      <c r="G55" s="204"/>
      <c r="H55" s="337"/>
      <c r="I55" s="337"/>
      <c r="J55" s="337"/>
      <c r="K55">
        <f>E55*$K$7+E55*$K$8+E55*$K$9+E55*$K$10+E55*$K$11+E55*$K$12+E55*$K$13+E55*$K$14+E55*$K$15+E55*$K$16+E55*$K$17+E55*$K$18</f>
        <v>0</v>
      </c>
      <c r="L55" s="337"/>
      <c r="M55" s="337"/>
      <c r="N55" s="337"/>
      <c r="O55" s="337"/>
      <c r="P55" s="337"/>
      <c r="Q55">
        <f>F55*$Q$7+F55*$Q$8+F55*$Q$9+F55*$Q$10+F55*$Q$11+F55*$Q$12+F55*$Q$13+F55*$Q$14+F55*$Q$15+F55*$Q$16+F55*$Q$17+F55*$Q$18</f>
        <v>0</v>
      </c>
      <c r="R55" s="337"/>
      <c r="S55" s="2055"/>
      <c r="T55" s="341"/>
    </row>
    <row r="56" spans="2:20" ht="15" hidden="1" customHeight="1">
      <c r="B56" s="346">
        <v>336</v>
      </c>
      <c r="C56" s="346" t="s">
        <v>637</v>
      </c>
      <c r="D56" s="346" t="s">
        <v>574</v>
      </c>
      <c r="E56" s="346">
        <v>6</v>
      </c>
      <c r="F56" s="346">
        <v>6</v>
      </c>
      <c r="G56" s="204"/>
      <c r="H56" s="337"/>
      <c r="I56" s="337"/>
      <c r="J56" s="337"/>
      <c r="K56" s="337"/>
      <c r="L56">
        <f>E56*$L$7+E56*$L$8+E56*$L$9+E56*$L$10+E56*$L$11+E56*$L$12+E56*$L$13+E56*$L$14+E56*$L$15+E56*$L$16+E56*$L$17+E56*$L$18</f>
        <v>0</v>
      </c>
      <c r="M56" s="337"/>
      <c r="N56" s="337"/>
      <c r="O56" s="337"/>
      <c r="P56" s="337"/>
      <c r="Q56" s="337"/>
      <c r="R56">
        <f>F56*$R$7+F56*$R$8+F56*$R$9+F56*$R$10+F56*$R$11+F56*$R$12+F56*$R$13+F56*$R$14+F56*$R$15+F56*$R$16+F56*$R$17+F56*$R$18</f>
        <v>0</v>
      </c>
      <c r="S56" s="2055"/>
      <c r="T56">
        <f t="shared" si="8"/>
        <v>0</v>
      </c>
    </row>
    <row r="57" spans="2:20" ht="15" hidden="1" customHeight="1">
      <c r="B57" s="346"/>
      <c r="C57" s="346" t="s">
        <v>583</v>
      </c>
      <c r="D57" s="346" t="s">
        <v>574</v>
      </c>
      <c r="E57" s="346">
        <v>6</v>
      </c>
      <c r="F57" s="346">
        <v>0</v>
      </c>
      <c r="G57" s="204"/>
      <c r="H57" s="338"/>
      <c r="I57" s="338">
        <f>SUM(I7:I18,J7:J18,K7:K18,L7:L18)*(E57)</f>
        <v>0</v>
      </c>
      <c r="J57" s="338"/>
      <c r="K57" s="338"/>
      <c r="L57" s="338"/>
      <c r="M57" s="338"/>
      <c r="N57" s="338"/>
      <c r="O57" s="338"/>
      <c r="P57" s="338"/>
      <c r="Q57" s="338"/>
      <c r="R57" s="338"/>
      <c r="S57" s="2055"/>
      <c r="T57">
        <f t="shared" si="8"/>
        <v>0</v>
      </c>
    </row>
    <row r="58" spans="2:20" ht="15" hidden="1" customHeight="1">
      <c r="B58" s="346"/>
      <c r="C58" s="346" t="s">
        <v>584</v>
      </c>
      <c r="D58" s="346" t="s">
        <v>574</v>
      </c>
      <c r="E58" s="346">
        <v>0</v>
      </c>
      <c r="F58" s="346">
        <v>6</v>
      </c>
      <c r="G58" s="204"/>
      <c r="H58" s="338"/>
      <c r="I58" s="338"/>
      <c r="J58" s="338"/>
      <c r="K58" s="338"/>
      <c r="L58" s="338"/>
      <c r="M58" s="338"/>
      <c r="N58" s="338"/>
      <c r="O58" s="338">
        <f>SUM(O7:O18,P7:P18,Q7:Q18,R7:R18)*(F58)</f>
        <v>0</v>
      </c>
      <c r="P58" s="338"/>
      <c r="Q58" s="338"/>
      <c r="R58" s="338"/>
      <c r="S58" s="2055"/>
      <c r="T58">
        <f t="shared" si="8"/>
        <v>0</v>
      </c>
    </row>
    <row r="59" spans="2:20" ht="15" hidden="1" customHeight="1">
      <c r="B59" s="346"/>
      <c r="C59" s="346" t="s">
        <v>606</v>
      </c>
      <c r="D59" s="346" t="s">
        <v>574</v>
      </c>
      <c r="E59" s="346">
        <v>1</v>
      </c>
      <c r="F59" s="346">
        <v>1</v>
      </c>
      <c r="G59" s="204"/>
      <c r="I59">
        <f>E59*$I$7+E59*$I$8+E59*$I$9+E59*$I$10+E59*$I$11+E59*$I$12+E59*$I$13+E59*$I$14+E59*$I$15+E59*$I$16+E59*$I$17+E59*$I$18</f>
        <v>0</v>
      </c>
      <c r="J59">
        <f>E59*$J$7+E59*$J$8+E59*$J$9+E59*$J$10+E59*$J$11+E59*$J$12+E59*$J$13+E59*$J$14+E59*$J$15+E59*$J$16+E59*$J$17+E59*$J$18</f>
        <v>0</v>
      </c>
      <c r="K59">
        <f>E59*$K$7+E59*$K$8+E59*$K$9+E59*$K$10+E59*$K$11+E59*$K$12+E59*$K$13+E59*$K$14+E59*$K$15+E59*$K$16+E59*$K$17+E59*$K$18</f>
        <v>0</v>
      </c>
      <c r="L59">
        <f>E59*$L$7+E59*$L$8+E59*$L$9+E59*$L$10+E59*$L$11+E59*$L$12+E59*$L$13+E59*$L$14+E59*$L$15+E59*$L$16+E59*$L$17+E59*$L$18</f>
        <v>0</v>
      </c>
      <c r="O59">
        <f>F59*$O$7+F59*$O$8+F59*$O$9+F59*$O$10+F59*$O$11+F59*$O$12+F59*$O$13+F59*$O$14+F59*$O$15+F59*$O$16+F59*$O$17+F59*$O$18</f>
        <v>0</v>
      </c>
      <c r="P59">
        <f>F59*$P$7+F59*$P$8+F59*$P$9+F59*$P$10+F59*$P$11+F59*$P$12+F59*$P$13+F59*$P$14+F59*$P$15+F59*$P$16+F59*$P$17+F59*$P$18</f>
        <v>0</v>
      </c>
      <c r="Q59">
        <f>F59*$Q$7+F59*$Q$8+F59*$Q$9+F59*$Q$10+F59*$Q$11+F59*$Q$12+F59*$Q$13+F59*$Q$14+F59*$Q$15+F59*$Q$16+F59*$Q$17+F59*$Q$18</f>
        <v>0</v>
      </c>
      <c r="R59">
        <f>F59*$R$7+F59*$R$8+F59*$R$9+F59*$R$10+F59*$R$11+F59*$R$12+F59*$R$13+F59*$R$14+F59*$R$15+F59*$R$16+F59*$R$17+F59*$R$18</f>
        <v>0</v>
      </c>
      <c r="S59" s="2055"/>
      <c r="T59">
        <f t="shared" si="8"/>
        <v>0</v>
      </c>
    </row>
    <row r="60" spans="2:20" ht="15" hidden="1" customHeight="1">
      <c r="B60" s="346"/>
      <c r="C60" s="346" t="s">
        <v>614</v>
      </c>
      <c r="D60" s="346" t="s">
        <v>574</v>
      </c>
      <c r="E60" s="346">
        <v>4</v>
      </c>
      <c r="F60" s="346">
        <v>4</v>
      </c>
      <c r="G60" s="204"/>
      <c r="I60">
        <f>E60*$I$7+E60*$I$8+E60*$I$9+E60*$I$10+E60*$I$11+E60*$I$12+E60*$I$13+E60*$I$14+E60*$I$15+E60*$I$16+E60*$I$17+E60*$I$18</f>
        <v>0</v>
      </c>
      <c r="J60">
        <f>E60*$J$7+E60*$J$8+E60*$J$9+E60*$J$10+E60*$J$11+E60*$J$12+E60*$J$13+E60*$J$14+E60*$J$15+E60*$J$16+E60*$J$17+E60*$J$18</f>
        <v>0</v>
      </c>
      <c r="K60">
        <f>E60*$K$7+E60*$K$8+E60*$K$9+E60*$K$10+E60*$K$11+E60*$K$12+E60*$K$13+E60*$K$14+E60*$K$15+E60*$K$16+E60*$K$17+E60*$K$18</f>
        <v>0</v>
      </c>
      <c r="L60">
        <f>E60*$L$7+E60*$L$8+E60*$L$9+E60*$L$10+E60*$L$11+E60*$L$12+E60*$L$13+E60*$L$14+E60*$L$15+E60*$L$16+E60*$L$17+E60*$L$18</f>
        <v>0</v>
      </c>
      <c r="O60">
        <f>F60*$O$7+F60*$O$8+F60*$O$9+F60*$O$10+F60*$O$11+F60*$O$12+F60*$O$13+F60*$O$14+F60*$O$15+F60*$O$16+F60*$O$17+F60*$O$18</f>
        <v>0</v>
      </c>
      <c r="P60">
        <f>F60*$P$7+F60*$P$8+F60*$P$9+F60*$P$10+F60*$P$11+F60*$P$12+F60*$P$13+F60*$P$14+F60*$P$15+F60*$P$16+F60*$P$17+F60*$P$18</f>
        <v>0</v>
      </c>
      <c r="Q60">
        <f>F60*$Q$7+F60*$Q$8+F60*$Q$9+F60*$Q$10+F60*$Q$11+F60*$Q$12+F60*$Q$13+F60*$Q$14+F60*$Q$15+F60*$Q$16+F60*$Q$17+F60*$Q$18</f>
        <v>0</v>
      </c>
      <c r="R60">
        <f>F60*$R$7+F60*$R$8+F60*$R$9+F60*$R$10+F60*$R$11+F60*$R$12+F60*$R$13+F60*$R$14+F60*$R$15+F60*$R$16+F60*$R$17+F60*$R$18</f>
        <v>0</v>
      </c>
      <c r="S60" s="2055"/>
      <c r="T60">
        <f t="shared" si="8"/>
        <v>0</v>
      </c>
    </row>
    <row r="61" spans="2:20" ht="15" hidden="1" customHeight="1">
      <c r="B61" s="346"/>
      <c r="C61" s="346" t="s">
        <v>639</v>
      </c>
      <c r="D61" s="346"/>
      <c r="E61" s="346">
        <v>1</v>
      </c>
      <c r="F61" s="346">
        <v>0</v>
      </c>
      <c r="G61" s="204"/>
      <c r="H61" s="338"/>
      <c r="I61">
        <f>E61*$I$7+E61*$I$8+E61*$I$9+E61*$I$10+E61*$I$11+E61*$I$12+E61*$I$13+E61*$I$14+E61*$I$15+E61*$I$16+E61*$I$17+E61*$I$18</f>
        <v>0</v>
      </c>
      <c r="J61">
        <f>E61*$J$7+E61*$J$8+E61*$J$9+E61*$J$10+E61*$J$11+E61*$J$12+E61*$J$13+E61*$J$14+E61*$J$15+E61*$J$16+E61*$J$17+E61*$J$18</f>
        <v>0</v>
      </c>
      <c r="K61">
        <f>E61*$K$7+E61*$K$8+E61*$K$9+E61*$K$10+E61*$K$11+E61*$K$12+E61*$K$13+E61*$K$14+E61*$K$15+E61*$K$16+E61*$K$17+E61*$K$18</f>
        <v>0</v>
      </c>
      <c r="L61">
        <f>E61*$L$7+E61*$L$8+E61*$L$9+E61*$L$10+E61*$L$11+E61*$L$12+E61*$L$13+E61*$L$14+E61*$L$15+E61*$L$16+E61*$L$17+E61*$L$18</f>
        <v>0</v>
      </c>
      <c r="M61" s="338"/>
      <c r="N61" s="338"/>
      <c r="O61">
        <f>F61*$O$7+F61*$O$8+F61*$O$9+F61*$O$10+F61*$O$11+F61*$O$12+F61*$O$13+F61*$O$14+F61*$O$15+F61*$O$16+F61*$O$17+F61*$O$18</f>
        <v>0</v>
      </c>
      <c r="P61">
        <f>F61*$P$7+F61*$P$8+F61*$P$9+F61*$P$10+F61*$P$11+F61*$P$12+F61*$P$13+F61*$P$14+F61*$P$15+F61*$P$16+F61*$P$17+F61*$P$18</f>
        <v>0</v>
      </c>
      <c r="Q61">
        <f>F61*$Q$7+F61*$Q$8+F61*$Q$9+F61*$Q$10+F61*$Q$11+F61*$Q$12+F61*$Q$13+F61*$Q$14+F61*$Q$15+F61*$Q$16+F61*$Q$17+F61*$Q$18</f>
        <v>0</v>
      </c>
      <c r="R61">
        <f>F61*$R$7+F61*$R$8+F61*$R$9+F61*$R$10+F61*$R$11+F61*$R$12+F61*$R$13+F61*$R$14+F61*$R$15+F61*$R$16+F61*$R$17+F61*$R$18</f>
        <v>0</v>
      </c>
      <c r="S61" s="2055"/>
      <c r="T61">
        <f t="shared" si="8"/>
        <v>0</v>
      </c>
    </row>
    <row r="62" spans="2:20" ht="15" hidden="1" customHeight="1">
      <c r="B62" s="346"/>
      <c r="C62" s="346" t="s">
        <v>640</v>
      </c>
      <c r="D62" s="346"/>
      <c r="E62" s="346">
        <v>0</v>
      </c>
      <c r="F62" s="346">
        <v>1</v>
      </c>
      <c r="G62" s="204"/>
      <c r="H62" s="338"/>
      <c r="I62" s="338"/>
      <c r="J62" s="338"/>
      <c r="K62" s="338"/>
      <c r="L62" s="338"/>
      <c r="M62" s="338"/>
      <c r="N62" s="338"/>
      <c r="O62" s="338"/>
      <c r="P62" s="338"/>
      <c r="Q62" s="338"/>
      <c r="R62" s="338"/>
      <c r="S62" s="2055"/>
      <c r="T62">
        <f t="shared" si="8"/>
        <v>0</v>
      </c>
    </row>
    <row r="63" spans="2:20" ht="15" hidden="1" customHeight="1">
      <c r="B63" s="346"/>
      <c r="C63" s="346" t="s">
        <v>611</v>
      </c>
      <c r="D63" s="346" t="s">
        <v>574</v>
      </c>
      <c r="E63" s="346">
        <v>0</v>
      </c>
      <c r="F63" s="346">
        <v>0</v>
      </c>
      <c r="G63" s="204"/>
      <c r="H63" s="339"/>
      <c r="I63">
        <f>E63*$I$7+E63*$I$8+E63*$I$9+E63*$I$10+E63*$I$11+E63*$I$12+E63*$I$13+E63*$I$14+E63*$I$15+E63*$I$16+E63*$I$17+E63*$I$18</f>
        <v>0</v>
      </c>
      <c r="J63">
        <f>E63*$J$7+E63*$J$8+E63*$J$9+E63*$J$10+E63*$J$11+E63*$J$12+E63*$J$13+E63*$J$14+E63*$J$15+E63*$J$16+E63*$J$17+E63*$J$18</f>
        <v>0</v>
      </c>
      <c r="K63">
        <f>E63*$K$7+E63*$K$8+E63*$K$9+E63*$K$10+E63*$K$11+E63*$K$12+E63*$K$13+E63*$K$14+E63*$K$15+E63*$K$16+E63*$K$17+E63*$K$18</f>
        <v>0</v>
      </c>
      <c r="L63">
        <f>E63*$L$7+E63*$L$8+E63*$L$9+E63*$L$10+E63*$L$11+E63*$L$12+E63*$L$13+E63*$L$14+E63*$L$15+E63*$L$16+E63*$L$17+E63*$L$18</f>
        <v>0</v>
      </c>
      <c r="M63" s="339"/>
      <c r="N63" s="339"/>
      <c r="S63" s="2055"/>
      <c r="T63">
        <f t="shared" si="8"/>
        <v>0</v>
      </c>
    </row>
    <row r="64" spans="2:20" ht="15" hidden="1" customHeight="1">
      <c r="B64" s="346"/>
      <c r="C64" s="346" t="s">
        <v>612</v>
      </c>
      <c r="D64" s="346" t="s">
        <v>574</v>
      </c>
      <c r="E64" s="346">
        <v>0</v>
      </c>
      <c r="F64" s="346">
        <v>0</v>
      </c>
      <c r="G64" s="204"/>
      <c r="H64" s="339"/>
      <c r="I64" s="339"/>
      <c r="J64" s="339"/>
      <c r="K64" s="339"/>
      <c r="L64" s="339"/>
      <c r="M64" s="339"/>
      <c r="N64" s="339"/>
      <c r="O64">
        <f>F64*$O$7+F64*$O$8+F64*$O$9+F64*$O$10+F64*$O$11+F64*$O$12+F64*$O$13+F64*$O$14+F64*$O$15+F64*$O$16+F64*$O$17+F64*$O$18</f>
        <v>0</v>
      </c>
      <c r="P64">
        <f>F64*$P$7+F64*$P$8+F64*$P$9+F64*$P$10+F64*$P$11+F64*$P$12+F64*$P$13+F64*$P$14+F64*$P$15+F64*$P$16+F64*$P$17+F64*$P$18</f>
        <v>0</v>
      </c>
      <c r="Q64">
        <f>F64*$Q$7+F64*$Q$8+F64*$Q$9+F64*$Q$10+F64*$Q$11+F64*$Q$12+F64*$Q$13+F64*$Q$14+F64*$Q$15+F64*$Q$16+F64*$Q$17+F64*$Q$18</f>
        <v>0</v>
      </c>
      <c r="R64">
        <f>F64*$R$7+F64*$R$8+F64*$R$9+F64*$R$10+F64*$R$11+F64*$R$12+F64*$R$13+F64*$R$14+F64*$R$15+F64*$R$16+F64*$R$17+F64*$R$18</f>
        <v>0</v>
      </c>
      <c r="S64" s="2055"/>
      <c r="T64">
        <f t="shared" si="8"/>
        <v>0</v>
      </c>
    </row>
    <row r="65" spans="2:20" ht="15" hidden="1" customHeight="1">
      <c r="B65" s="346"/>
      <c r="C65" s="346" t="s">
        <v>1165</v>
      </c>
      <c r="D65" s="346" t="s">
        <v>574</v>
      </c>
      <c r="E65" s="346">
        <v>1</v>
      </c>
      <c r="F65" s="346">
        <v>0</v>
      </c>
      <c r="G65" s="204"/>
      <c r="H65" s="339"/>
      <c r="I65">
        <f>E65*$I$7+E65*$I$8+E65*$I$9+E65*$I$10+E65*$I$11+E65*$I$12+E65*$I$13+E65*$I$14+E65*$I$15+E65*$I$16+E65*$I$17+E65*$I$18</f>
        <v>0</v>
      </c>
      <c r="J65">
        <f>E65*$J$7+E65*$J$8+E65*$J$9+E65*$J$10+E65*$J$11+E65*$J$12+E65*$J$13+E65*$J$14+E65*$J$15+E65*$J$16+E65*$J$17+E65*$J$18</f>
        <v>0</v>
      </c>
      <c r="K65">
        <f>E65*$K$7+E65*$K$8+E65*$K$9+E65*$K$10+E65*$K$11+E65*$K$12+E65*$K$13+E65*$K$14+E65*$K$15+E65*$K$16+E65*$K$17+E65*$K$18</f>
        <v>0</v>
      </c>
      <c r="L65">
        <f>E65*$L$7+E65*$L$8+E65*$L$9+E65*$L$10+E65*$L$11+E65*$L$12+E65*$L$13+E65*$L$14+E65*$L$15+E65*$L$16+E65*$L$17+E65*$L$18</f>
        <v>0</v>
      </c>
      <c r="M65" s="339"/>
      <c r="N65" s="339"/>
      <c r="S65" s="2055"/>
      <c r="T65">
        <f t="shared" si="8"/>
        <v>0</v>
      </c>
    </row>
    <row r="66" spans="2:20" ht="15" hidden="1" customHeight="1">
      <c r="B66" s="346"/>
      <c r="C66" s="346" t="s">
        <v>1166</v>
      </c>
      <c r="D66" s="346" t="s">
        <v>574</v>
      </c>
      <c r="E66" s="346">
        <v>0</v>
      </c>
      <c r="F66" s="346">
        <v>1</v>
      </c>
      <c r="G66" s="204"/>
      <c r="H66" s="339"/>
      <c r="I66" s="339"/>
      <c r="J66" s="339"/>
      <c r="K66" s="339"/>
      <c r="L66" s="339"/>
      <c r="M66" s="339"/>
      <c r="N66" s="339"/>
      <c r="O66">
        <f>F66*$O$7+F66*$O$8+F66*$O$9+F66*$O$10+F66*$O$11+F66*$O$12+F66*$O$13+F66*$O$14+F66*$O$15+F66*$O$16+F66*$O$17+F66*$O$18</f>
        <v>0</v>
      </c>
      <c r="P66">
        <f>F66*$P$7+F66*$P$8+F66*$P$9+F66*$P$10+F66*$P$11+F66*$P$12+F66*$P$13+F66*$P$14+F66*$P$15+F66*$P$16+F66*$P$17+F66*$P$18</f>
        <v>0</v>
      </c>
      <c r="Q66">
        <f>F66*$Q$7+F66*$Q$8+F66*$Q$9+F66*$Q$10+F66*$Q$11+F66*$Q$12+F66*$Q$13+F66*$Q$14+F66*$Q$15+F66*$Q$16+F66*$Q$17+F66*$Q$18</f>
        <v>0</v>
      </c>
      <c r="R66">
        <f>F66*$R$7+F66*$R$8+F66*$R$9+F66*$R$10+F66*$R$11+F66*$R$12+F66*$R$13+F66*$R$14+F66*$R$15+F66*$R$16+F66*$R$17+F66*$R$18</f>
        <v>0</v>
      </c>
      <c r="S66" s="2055"/>
      <c r="T66">
        <f t="shared" si="8"/>
        <v>0</v>
      </c>
    </row>
    <row r="67" spans="2:20" ht="15" hidden="1" customHeight="1">
      <c r="B67" s="346"/>
      <c r="C67" s="346" t="s">
        <v>641</v>
      </c>
      <c r="D67" s="346" t="s">
        <v>574</v>
      </c>
      <c r="E67" s="346">
        <v>6</v>
      </c>
      <c r="F67" s="346">
        <v>0</v>
      </c>
      <c r="G67" s="204"/>
      <c r="H67" s="340"/>
      <c r="I67">
        <f>E67*$I$7+E67*$I$8+E67*$I$9+E67*$I$10+E67*$I$11+E67*$I$12+E67*$I$13+E67*$I$14+E67*$I$15+E67*$I$16+E67*$I$17+E67*$I$18</f>
        <v>0</v>
      </c>
      <c r="J67">
        <f>E67*$J$7+E67*$J$8+E67*$J$9+E67*$J$10+E67*$J$11+E67*$J$12+E67*$J$13+E67*$J$14+E67*$J$15+E67*$J$16+E67*$J$17+E67*$J$18</f>
        <v>0</v>
      </c>
      <c r="K67">
        <f>E67*$K$7+E67*$K$8+E67*$K$9+E67*$K$10+E67*$K$11+E67*$K$12+E67*$K$13+E67*$K$14+E67*$K$15+E67*$K$16+E67*$K$17+E67*$K$18</f>
        <v>0</v>
      </c>
      <c r="L67">
        <f>E67*$L$7+E67*$L$8+E67*$L$9+E67*$L$10+E67*$L$11+E67*$L$12+E67*$L$13+E67*$L$14+E67*$L$15+E67*$L$16+E67*$L$17+E67*$L$18</f>
        <v>0</v>
      </c>
      <c r="M67" s="340"/>
      <c r="N67" s="340"/>
      <c r="O67" s="340"/>
      <c r="P67" s="340"/>
      <c r="Q67" s="340"/>
      <c r="R67" s="340"/>
      <c r="S67" s="2055"/>
      <c r="T67">
        <f t="shared" si="8"/>
        <v>0</v>
      </c>
    </row>
    <row r="68" spans="2:20" ht="15" hidden="1" customHeight="1">
      <c r="B68" s="346"/>
      <c r="C68" s="346" t="s">
        <v>601</v>
      </c>
      <c r="D68" s="346" t="s">
        <v>574</v>
      </c>
      <c r="E68" s="346">
        <v>0</v>
      </c>
      <c r="F68" s="346">
        <v>6</v>
      </c>
      <c r="G68" s="204"/>
      <c r="H68" s="340"/>
      <c r="I68" s="340"/>
      <c r="J68" s="340"/>
      <c r="K68" s="340"/>
      <c r="L68" s="340"/>
      <c r="M68" s="340"/>
      <c r="N68" s="340"/>
      <c r="O68">
        <f>F68*$O$7+F68*$O$8+F68*$O$9+F68*$O$10+F68*$O$11+F68*$O$12+F68*$O$13+F68*$O$14+F68*$O$15+F68*$O$16+F68*$O$17+F68*$O$18</f>
        <v>0</v>
      </c>
      <c r="P68">
        <f>F68*$P$7+F68*$P$8+F68*$P$9+F68*$P$10+F68*$P$11+F68*$P$12+F68*$P$13+F68*$P$14+F68*$P$15+F68*$P$16+F68*$P$17+F68*$P$18</f>
        <v>0</v>
      </c>
      <c r="Q68">
        <f>F68*$Q$7+F68*$Q$8+F68*$Q$9+F68*$Q$10+F68*$Q$11+F68*$Q$12+F68*$Q$13+F68*$Q$14+F68*$Q$15+F68*$Q$16+F68*$Q$17+F68*$Q$18</f>
        <v>0</v>
      </c>
      <c r="R68">
        <f>F68*$R$7+F68*$R$8+F68*$R$9+F68*$R$10+F68*$R$11+F68*$R$12+F68*$R$13+F68*$R$14+F68*$R$15+F68*$R$16+F68*$R$17+F68*$R$18</f>
        <v>0</v>
      </c>
      <c r="S68" s="2055"/>
      <c r="T68">
        <f t="shared" si="8"/>
        <v>0</v>
      </c>
    </row>
    <row r="69" spans="2:20" ht="15" hidden="1" customHeight="1">
      <c r="B69" s="346"/>
      <c r="C69" s="346" t="s">
        <v>610</v>
      </c>
      <c r="D69" s="346" t="s">
        <v>574</v>
      </c>
      <c r="E69" s="346">
        <v>7</v>
      </c>
      <c r="F69" s="346">
        <v>7</v>
      </c>
      <c r="G69" s="204"/>
      <c r="I69">
        <f>E69*$I$7+E69*$I$8+E69*$I$9+E69*$I$10+E69*$I$11+E69*$I$12+E69*$I$13+E69*$I$14+E69*$I$15+E69*$I$16+E69*$I$17+E69*$I$18</f>
        <v>0</v>
      </c>
      <c r="J69">
        <f>E69*$J$7+E69*$J$8+E69*$J$9+E69*$J$10+E69*$J$11+E69*$J$12+E69*$J$13+E69*$J$14+E69*$J$15+E69*$J$16+E69*$J$17+E69*$J$18</f>
        <v>0</v>
      </c>
      <c r="K69">
        <f>E69*$K$7+E69*$K$8+E69*$K$9+E69*$K$10+E69*$K$11+E69*$K$12+E69*$K$13+E69*$K$14+E69*$K$15+E69*$K$16+E69*$K$17+E69*$K$18</f>
        <v>0</v>
      </c>
      <c r="L69">
        <f>E69*$L$7+E69*$L$8+E69*$L$9+E69*$L$10+E69*$L$11+E69*$L$12+E69*$L$13+E69*$L$14+E69*$L$15+E69*$L$16+E69*$L$17+E69*$L$18</f>
        <v>0</v>
      </c>
      <c r="O69">
        <f>F69*$O$7+F69*$O$8+F69*$O$9+F69*$O$10+F69*$O$11+F69*$O$12+F69*$O$13+F69*$O$14+F69*$O$15+F69*$O$16+F69*$O$17+F69*$O$18</f>
        <v>0</v>
      </c>
      <c r="P69">
        <f>F69*$P$7+F69*$P$8+F69*$P$9+F69*$P$10+F69*$P$11+F69*$P$12+F69*$P$13+F69*$P$14+F69*$P$15+F69*$P$16+F69*$P$17+F69*$P$18</f>
        <v>0</v>
      </c>
      <c r="Q69">
        <f>F69*$Q$7+F69*$Q$8+F69*$Q$9+F69*$Q$10+F69*$Q$11+F69*$Q$12+F69*$Q$13+F69*$Q$14+F69*$Q$15+F69*$Q$16+F69*$Q$17+F69*$Q$18</f>
        <v>0</v>
      </c>
      <c r="R69">
        <f>F69*$R$7+F69*$R$8+F69*$R$9+F69*$R$10+F69*$R$11+F69*$R$12+F69*$R$13+F69*$R$14+F69*$R$15+F69*$R$16+F69*$R$17+F69*$R$18</f>
        <v>0</v>
      </c>
      <c r="S69" s="2055"/>
      <c r="T69">
        <f t="shared" si="8"/>
        <v>0</v>
      </c>
    </row>
    <row r="70" spans="2:20" ht="15" hidden="1" customHeight="1">
      <c r="B70" s="346"/>
      <c r="C70" s="346" t="s">
        <v>598</v>
      </c>
      <c r="D70" s="346"/>
      <c r="E70" s="346">
        <v>6</v>
      </c>
      <c r="F70" s="346"/>
      <c r="G70" s="204"/>
      <c r="H70" s="341"/>
      <c r="I70" s="341"/>
      <c r="J70" s="341"/>
      <c r="K70" s="341"/>
      <c r="L70" s="341"/>
      <c r="M70" s="341"/>
      <c r="N70" s="341"/>
      <c r="O70" s="341">
        <f>SUM(O7:O18,P7:P18,Q7:Q18,R7:R18)*(E70)</f>
        <v>0</v>
      </c>
      <c r="P70" s="341"/>
      <c r="Q70" s="341"/>
      <c r="R70" s="341"/>
      <c r="S70" s="2055"/>
      <c r="T70">
        <f t="shared" si="8"/>
        <v>0</v>
      </c>
    </row>
    <row r="71" spans="2:20" ht="15" hidden="1" customHeight="1">
      <c r="B71" s="346"/>
      <c r="C71" s="346" t="s">
        <v>597</v>
      </c>
      <c r="D71" s="346"/>
      <c r="E71" s="346"/>
      <c r="F71" s="346">
        <v>6</v>
      </c>
      <c r="G71" s="204"/>
      <c r="H71" s="341"/>
      <c r="I71" s="341">
        <f>SUM(I7:I18,J7:J18,K7:K18,L7:L18)*(F71)</f>
        <v>0</v>
      </c>
      <c r="J71" s="341"/>
      <c r="K71" s="341"/>
      <c r="L71" s="341"/>
      <c r="M71" s="341"/>
      <c r="N71" s="341"/>
      <c r="O71" s="341"/>
      <c r="P71" s="341"/>
      <c r="Q71" s="341"/>
      <c r="R71" s="341"/>
      <c r="S71" s="2055"/>
      <c r="T71">
        <f t="shared" si="8"/>
        <v>0</v>
      </c>
    </row>
    <row r="72" spans="2:20" ht="15" hidden="1" customHeight="1">
      <c r="B72" s="346"/>
      <c r="C72" s="346" t="s">
        <v>1131</v>
      </c>
      <c r="D72" s="346"/>
      <c r="E72" s="346"/>
      <c r="F72" s="346"/>
      <c r="G72" s="204"/>
      <c r="H72" s="341"/>
      <c r="I72" s="341">
        <f>SUM(I7:L7,I10:L10,I13:L13,I16:L16)*(2)</f>
        <v>0</v>
      </c>
      <c r="J72" s="341"/>
      <c r="K72" s="341"/>
      <c r="L72" s="341"/>
      <c r="M72" s="341"/>
      <c r="N72" s="341"/>
      <c r="O72" s="341">
        <f>SUM(O7:R7,O10:R10,O13:R13,O16:R16)*(2)</f>
        <v>0</v>
      </c>
      <c r="P72" s="341"/>
      <c r="Q72" s="341"/>
      <c r="R72" s="341"/>
      <c r="S72" s="2055"/>
    </row>
    <row r="73" spans="2:20" ht="15" hidden="1" customHeight="1">
      <c r="B73" s="346"/>
      <c r="C73" s="347" t="s">
        <v>31</v>
      </c>
      <c r="D73" s="347" t="s">
        <v>574</v>
      </c>
      <c r="E73" s="346">
        <v>2</v>
      </c>
      <c r="F73" s="346">
        <v>2</v>
      </c>
      <c r="G73" s="204"/>
      <c r="I73">
        <f t="shared" ref="I73:I84" si="15">E73*I7</f>
        <v>0</v>
      </c>
      <c r="J73">
        <f t="shared" ref="J73:J84" si="16">E73*J7</f>
        <v>0</v>
      </c>
      <c r="K73">
        <f t="shared" ref="K73:K84" si="17">E73*K7</f>
        <v>0</v>
      </c>
      <c r="L73">
        <f t="shared" ref="L73:L84" si="18">E73*L7</f>
        <v>0</v>
      </c>
      <c r="O73">
        <f t="shared" ref="O73:O84" si="19">F73*O7</f>
        <v>0</v>
      </c>
      <c r="P73">
        <f t="shared" ref="P73:P84" si="20">F73*P7</f>
        <v>0</v>
      </c>
      <c r="Q73">
        <f t="shared" ref="Q73:Q84" si="21">F73*Q7</f>
        <v>0</v>
      </c>
      <c r="R73">
        <f t="shared" ref="R73:R84" si="22">F73*R7</f>
        <v>0</v>
      </c>
      <c r="S73" s="2055"/>
      <c r="T73">
        <f t="shared" si="8"/>
        <v>0</v>
      </c>
    </row>
    <row r="74" spans="2:20" ht="15" hidden="1" customHeight="1">
      <c r="B74" s="346"/>
      <c r="C74" s="347" t="s">
        <v>41</v>
      </c>
      <c r="D74" s="347" t="s">
        <v>574</v>
      </c>
      <c r="E74" s="346">
        <v>2</v>
      </c>
      <c r="F74" s="346">
        <v>2</v>
      </c>
      <c r="G74" s="204"/>
      <c r="I74">
        <f t="shared" si="15"/>
        <v>0</v>
      </c>
      <c r="J74">
        <f t="shared" si="16"/>
        <v>0</v>
      </c>
      <c r="K74">
        <f t="shared" si="17"/>
        <v>0</v>
      </c>
      <c r="L74">
        <f t="shared" si="18"/>
        <v>0</v>
      </c>
      <c r="O74">
        <f t="shared" si="19"/>
        <v>0</v>
      </c>
      <c r="P74">
        <f t="shared" si="20"/>
        <v>0</v>
      </c>
      <c r="Q74">
        <f t="shared" si="21"/>
        <v>0</v>
      </c>
      <c r="R74">
        <f t="shared" si="22"/>
        <v>0</v>
      </c>
      <c r="S74" s="2055"/>
      <c r="T74">
        <f t="shared" si="8"/>
        <v>0</v>
      </c>
    </row>
    <row r="75" spans="2:20" ht="15" hidden="1" customHeight="1">
      <c r="B75" s="346"/>
      <c r="C75" s="347" t="s">
        <v>98</v>
      </c>
      <c r="D75" s="347" t="s">
        <v>574</v>
      </c>
      <c r="E75" s="346">
        <v>2</v>
      </c>
      <c r="F75" s="346">
        <v>2</v>
      </c>
      <c r="G75" s="204"/>
      <c r="I75">
        <f t="shared" si="15"/>
        <v>0</v>
      </c>
      <c r="J75">
        <f t="shared" si="16"/>
        <v>0</v>
      </c>
      <c r="K75">
        <f t="shared" si="17"/>
        <v>0</v>
      </c>
      <c r="L75">
        <f t="shared" si="18"/>
        <v>0</v>
      </c>
      <c r="O75">
        <f t="shared" si="19"/>
        <v>0</v>
      </c>
      <c r="P75">
        <f t="shared" si="20"/>
        <v>0</v>
      </c>
      <c r="Q75">
        <f t="shared" si="21"/>
        <v>0</v>
      </c>
      <c r="R75">
        <f t="shared" si="22"/>
        <v>0</v>
      </c>
      <c r="S75" s="2055"/>
      <c r="T75">
        <f t="shared" si="8"/>
        <v>0</v>
      </c>
    </row>
    <row r="76" spans="2:20" ht="15" hidden="1" customHeight="1">
      <c r="B76" s="346"/>
      <c r="C76" s="347" t="s">
        <v>102</v>
      </c>
      <c r="D76" s="347" t="s">
        <v>574</v>
      </c>
      <c r="E76" s="346">
        <v>2</v>
      </c>
      <c r="F76" s="346">
        <v>2</v>
      </c>
      <c r="G76" s="204"/>
      <c r="I76">
        <f t="shared" si="15"/>
        <v>0</v>
      </c>
      <c r="J76">
        <f t="shared" si="16"/>
        <v>0</v>
      </c>
      <c r="K76">
        <f t="shared" si="17"/>
        <v>0</v>
      </c>
      <c r="L76">
        <f t="shared" si="18"/>
        <v>0</v>
      </c>
      <c r="O76">
        <f t="shared" si="19"/>
        <v>0</v>
      </c>
      <c r="P76">
        <f t="shared" si="20"/>
        <v>0</v>
      </c>
      <c r="Q76">
        <f t="shared" si="21"/>
        <v>0</v>
      </c>
      <c r="R76">
        <f t="shared" si="22"/>
        <v>0</v>
      </c>
      <c r="S76" s="2055"/>
      <c r="T76">
        <f t="shared" si="8"/>
        <v>0</v>
      </c>
    </row>
    <row r="77" spans="2:20" ht="15" hidden="1" customHeight="1">
      <c r="B77" s="346"/>
      <c r="C77" s="347" t="s">
        <v>103</v>
      </c>
      <c r="D77" s="347" t="s">
        <v>574</v>
      </c>
      <c r="E77" s="346">
        <v>2</v>
      </c>
      <c r="F77" s="346">
        <v>2</v>
      </c>
      <c r="G77" s="204"/>
      <c r="I77">
        <f t="shared" si="15"/>
        <v>0</v>
      </c>
      <c r="J77">
        <f t="shared" si="16"/>
        <v>0</v>
      </c>
      <c r="K77">
        <f t="shared" si="17"/>
        <v>0</v>
      </c>
      <c r="L77">
        <f t="shared" si="18"/>
        <v>0</v>
      </c>
      <c r="O77">
        <f t="shared" si="19"/>
        <v>0</v>
      </c>
      <c r="P77">
        <f t="shared" si="20"/>
        <v>0</v>
      </c>
      <c r="Q77">
        <f t="shared" si="21"/>
        <v>0</v>
      </c>
      <c r="R77">
        <f t="shared" si="22"/>
        <v>0</v>
      </c>
      <c r="S77" s="2055"/>
      <c r="T77">
        <f t="shared" si="8"/>
        <v>0</v>
      </c>
    </row>
    <row r="78" spans="2:20" ht="15" hidden="1" customHeight="1">
      <c r="B78" s="346"/>
      <c r="C78" s="347" t="s">
        <v>104</v>
      </c>
      <c r="D78" s="347" t="s">
        <v>574</v>
      </c>
      <c r="E78" s="346">
        <v>2</v>
      </c>
      <c r="F78" s="346">
        <v>2</v>
      </c>
      <c r="G78" s="204"/>
      <c r="I78">
        <f t="shared" si="15"/>
        <v>0</v>
      </c>
      <c r="J78">
        <f t="shared" si="16"/>
        <v>0</v>
      </c>
      <c r="K78">
        <f t="shared" si="17"/>
        <v>0</v>
      </c>
      <c r="L78">
        <f t="shared" si="18"/>
        <v>0</v>
      </c>
      <c r="O78">
        <f t="shared" si="19"/>
        <v>0</v>
      </c>
      <c r="P78">
        <f t="shared" si="20"/>
        <v>0</v>
      </c>
      <c r="Q78">
        <f t="shared" si="21"/>
        <v>0</v>
      </c>
      <c r="R78">
        <f t="shared" si="22"/>
        <v>0</v>
      </c>
      <c r="S78" s="2055"/>
      <c r="T78">
        <f t="shared" si="8"/>
        <v>0</v>
      </c>
    </row>
    <row r="79" spans="2:20" ht="15" hidden="1" customHeight="1">
      <c r="B79" s="346"/>
      <c r="C79" s="347" t="s">
        <v>105</v>
      </c>
      <c r="D79" s="347" t="s">
        <v>574</v>
      </c>
      <c r="E79" s="346">
        <v>2</v>
      </c>
      <c r="F79" s="346">
        <v>2</v>
      </c>
      <c r="G79" s="204"/>
      <c r="I79">
        <f t="shared" si="15"/>
        <v>0</v>
      </c>
      <c r="J79">
        <f t="shared" si="16"/>
        <v>0</v>
      </c>
      <c r="K79">
        <f t="shared" si="17"/>
        <v>0</v>
      </c>
      <c r="L79">
        <f t="shared" si="18"/>
        <v>0</v>
      </c>
      <c r="O79">
        <f t="shared" si="19"/>
        <v>0</v>
      </c>
      <c r="P79">
        <f t="shared" si="20"/>
        <v>0</v>
      </c>
      <c r="Q79">
        <f t="shared" si="21"/>
        <v>0</v>
      </c>
      <c r="R79">
        <f t="shared" si="22"/>
        <v>0</v>
      </c>
      <c r="S79" s="2055"/>
      <c r="T79">
        <f t="shared" si="8"/>
        <v>0</v>
      </c>
    </row>
    <row r="80" spans="2:20" ht="15" hidden="1" customHeight="1">
      <c r="B80" s="346"/>
      <c r="C80" s="347" t="s">
        <v>106</v>
      </c>
      <c r="D80" s="347" t="s">
        <v>574</v>
      </c>
      <c r="E80" s="346">
        <v>2</v>
      </c>
      <c r="F80" s="346">
        <v>2</v>
      </c>
      <c r="G80" s="204"/>
      <c r="I80">
        <f t="shared" si="15"/>
        <v>0</v>
      </c>
      <c r="J80">
        <f t="shared" si="16"/>
        <v>0</v>
      </c>
      <c r="K80">
        <f t="shared" si="17"/>
        <v>0</v>
      </c>
      <c r="L80">
        <f t="shared" si="18"/>
        <v>0</v>
      </c>
      <c r="O80">
        <f t="shared" si="19"/>
        <v>0</v>
      </c>
      <c r="P80">
        <f t="shared" si="20"/>
        <v>0</v>
      </c>
      <c r="Q80">
        <f t="shared" si="21"/>
        <v>0</v>
      </c>
      <c r="R80">
        <f t="shared" si="22"/>
        <v>0</v>
      </c>
      <c r="S80" s="2055"/>
      <c r="T80">
        <f t="shared" si="8"/>
        <v>0</v>
      </c>
    </row>
    <row r="81" spans="2:20" ht="15" hidden="1" customHeight="1">
      <c r="B81" s="346"/>
      <c r="C81" s="347" t="s">
        <v>107</v>
      </c>
      <c r="D81" s="347" t="s">
        <v>574</v>
      </c>
      <c r="E81" s="346">
        <v>2</v>
      </c>
      <c r="F81" s="346">
        <v>2</v>
      </c>
      <c r="G81" s="204"/>
      <c r="I81">
        <f t="shared" si="15"/>
        <v>0</v>
      </c>
      <c r="J81">
        <f t="shared" si="16"/>
        <v>0</v>
      </c>
      <c r="K81">
        <f t="shared" si="17"/>
        <v>0</v>
      </c>
      <c r="L81">
        <f t="shared" si="18"/>
        <v>0</v>
      </c>
      <c r="O81">
        <f t="shared" si="19"/>
        <v>0</v>
      </c>
      <c r="P81">
        <f t="shared" si="20"/>
        <v>0</v>
      </c>
      <c r="Q81">
        <f t="shared" si="21"/>
        <v>0</v>
      </c>
      <c r="R81">
        <f t="shared" si="22"/>
        <v>0</v>
      </c>
      <c r="S81" s="2055"/>
      <c r="T81">
        <f t="shared" si="8"/>
        <v>0</v>
      </c>
    </row>
    <row r="82" spans="2:20" ht="15" hidden="1" customHeight="1">
      <c r="B82" s="346"/>
      <c r="C82" s="347" t="s">
        <v>401</v>
      </c>
      <c r="D82" s="347" t="s">
        <v>574</v>
      </c>
      <c r="E82" s="346">
        <v>2</v>
      </c>
      <c r="F82" s="346">
        <v>2</v>
      </c>
      <c r="G82" s="204"/>
      <c r="I82">
        <f t="shared" si="15"/>
        <v>0</v>
      </c>
      <c r="J82">
        <f t="shared" si="16"/>
        <v>0</v>
      </c>
      <c r="K82">
        <f t="shared" si="17"/>
        <v>0</v>
      </c>
      <c r="L82">
        <f t="shared" si="18"/>
        <v>0</v>
      </c>
      <c r="O82">
        <f t="shared" si="19"/>
        <v>0</v>
      </c>
      <c r="P82">
        <f t="shared" si="20"/>
        <v>0</v>
      </c>
      <c r="Q82">
        <f t="shared" si="21"/>
        <v>0</v>
      </c>
      <c r="R82">
        <f t="shared" si="22"/>
        <v>0</v>
      </c>
      <c r="S82" s="2055"/>
      <c r="T82">
        <f t="shared" si="8"/>
        <v>0</v>
      </c>
    </row>
    <row r="83" spans="2:20" ht="15" hidden="1" customHeight="1">
      <c r="B83" s="346"/>
      <c r="C83" s="347" t="s">
        <v>402</v>
      </c>
      <c r="D83" s="347" t="s">
        <v>574</v>
      </c>
      <c r="E83" s="346">
        <v>2</v>
      </c>
      <c r="F83" s="346">
        <v>2</v>
      </c>
      <c r="G83" s="204"/>
      <c r="I83">
        <f t="shared" si="15"/>
        <v>0</v>
      </c>
      <c r="J83">
        <f t="shared" si="16"/>
        <v>0</v>
      </c>
      <c r="K83">
        <f t="shared" si="17"/>
        <v>0</v>
      </c>
      <c r="L83">
        <f t="shared" si="18"/>
        <v>0</v>
      </c>
      <c r="O83">
        <f t="shared" si="19"/>
        <v>0</v>
      </c>
      <c r="P83">
        <f t="shared" si="20"/>
        <v>0</v>
      </c>
      <c r="Q83">
        <f t="shared" si="21"/>
        <v>0</v>
      </c>
      <c r="R83">
        <f t="shared" si="22"/>
        <v>0</v>
      </c>
      <c r="S83" s="2055"/>
      <c r="T83">
        <f t="shared" si="8"/>
        <v>0</v>
      </c>
    </row>
    <row r="84" spans="2:20" ht="15" hidden="1" customHeight="1">
      <c r="B84" s="346"/>
      <c r="C84" s="347" t="s">
        <v>403</v>
      </c>
      <c r="D84" s="347" t="s">
        <v>574</v>
      </c>
      <c r="E84" s="346">
        <v>2</v>
      </c>
      <c r="F84" s="346">
        <v>2</v>
      </c>
      <c r="G84" s="204"/>
      <c r="I84">
        <f t="shared" si="15"/>
        <v>0</v>
      </c>
      <c r="J84">
        <f t="shared" si="16"/>
        <v>0</v>
      </c>
      <c r="K84">
        <f t="shared" si="17"/>
        <v>0</v>
      </c>
      <c r="L84">
        <f t="shared" si="18"/>
        <v>0</v>
      </c>
      <c r="O84">
        <f t="shared" si="19"/>
        <v>0</v>
      </c>
      <c r="P84">
        <f t="shared" si="20"/>
        <v>0</v>
      </c>
      <c r="Q84">
        <f t="shared" si="21"/>
        <v>0</v>
      </c>
      <c r="R84">
        <f t="shared" si="22"/>
        <v>0</v>
      </c>
      <c r="S84" s="2055"/>
      <c r="T84">
        <f t="shared" si="8"/>
        <v>0</v>
      </c>
    </row>
    <row r="85" spans="2:20" ht="15" hidden="1" customHeight="1">
      <c r="B85" s="346"/>
      <c r="C85" s="346" t="s">
        <v>592</v>
      </c>
      <c r="D85" s="348" t="s">
        <v>386</v>
      </c>
      <c r="E85" s="346">
        <v>80</v>
      </c>
      <c r="F85" s="346">
        <v>80</v>
      </c>
      <c r="G85" s="204"/>
      <c r="I85">
        <f t="shared" ref="I85:I92" si="23">E85*$I$7+E85*$I$8+E85*$I$9+E85*$I$10+E85*$I$11+E85*$I$12+E85*$I$13+E85*$I$14+E85*$I$15+E85*$I$16+E85*$I$17+E85*$I$18</f>
        <v>0</v>
      </c>
      <c r="J85">
        <f t="shared" ref="J85:J92" si="24">E85*$J$7+E85*$J$8+E85*$J$9+E85*$J$10+E85*$J$11+E85*$J$12+E85*$J$13+E85*$J$14+E85*$J$15+E85*$J$16+E85*$J$17+E85*$J$18</f>
        <v>0</v>
      </c>
      <c r="K85">
        <f t="shared" ref="K85:K92" si="25">E85*$K$7+E85*$K$8+E85*$K$9+E85*$K$10+E85*$K$11+E85*$K$12+E85*$K$13+E85*$K$14+E85*$K$15+E85*$K$16+E85*$K$17+E85*$K$18</f>
        <v>0</v>
      </c>
      <c r="L85">
        <f t="shared" ref="L85:L92" si="26">E85*$L$7+E85*$L$8+E85*$L$9+E85*$L$10+E85*$L$11+E85*$L$12+E85*$L$13+E85*$L$14+E85*$L$15+E85*$L$16+E85*$L$17+E85*$L$18</f>
        <v>0</v>
      </c>
      <c r="O85">
        <f t="shared" ref="O85:O92" si="27">F85*$O$7+F85*$O$8+F85*$O$9+F85*$O$10+F85*$O$11+F85*$O$12+F85*$O$13+F85*$O$14+F85*$O$15+F85*$O$16+F85*$O$17+F85*$O$18</f>
        <v>0</v>
      </c>
      <c r="P85">
        <f t="shared" ref="P85:P92" si="28">F85*$P$7+F85*$P$8+F85*$P$9+F85*$P$10+F85*$P$11+F85*$P$12+F85*$P$13+F85*$P$14+F85*$P$15+F85*$P$16+F85*$P$17+F85*$P$18</f>
        <v>0</v>
      </c>
      <c r="Q85">
        <f t="shared" ref="Q85:Q92" si="29">F85*$Q$7+F85*$Q$8+F85*$Q$9+F85*$Q$10+F85*$Q$11+F85*$Q$12+F85*$Q$13+F85*$Q$14+F85*$Q$15+F85*$Q$16+F85*$Q$17+F85*$Q$18</f>
        <v>0</v>
      </c>
      <c r="R85">
        <f t="shared" ref="R85:R92" si="30">F85*$R$7+F85*$R$8+F85*$R$9+F85*$R$10+F85*$R$11+F85*$R$12+F85*$R$13+F85*$R$14+F85*$R$15+F85*$R$16+F85*$R$17+F85*$R$18</f>
        <v>0</v>
      </c>
      <c r="S85" s="2055"/>
      <c r="T85">
        <f t="shared" si="8"/>
        <v>0</v>
      </c>
    </row>
    <row r="86" spans="2:20" ht="15" hidden="1" customHeight="1">
      <c r="B86" s="346"/>
      <c r="C86" s="346" t="s">
        <v>587</v>
      </c>
      <c r="D86" s="348" t="s">
        <v>574</v>
      </c>
      <c r="E86" s="346">
        <v>15</v>
      </c>
      <c r="F86" s="346">
        <v>15</v>
      </c>
      <c r="G86" s="204"/>
      <c r="I86">
        <f t="shared" si="23"/>
        <v>0</v>
      </c>
      <c r="J86">
        <f t="shared" si="24"/>
        <v>0</v>
      </c>
      <c r="K86">
        <f t="shared" si="25"/>
        <v>0</v>
      </c>
      <c r="L86">
        <f t="shared" si="26"/>
        <v>0</v>
      </c>
      <c r="O86">
        <f t="shared" si="27"/>
        <v>0</v>
      </c>
      <c r="P86">
        <f t="shared" si="28"/>
        <v>0</v>
      </c>
      <c r="Q86">
        <f t="shared" si="29"/>
        <v>0</v>
      </c>
      <c r="R86">
        <f t="shared" si="30"/>
        <v>0</v>
      </c>
      <c r="S86" s="2055"/>
      <c r="T86">
        <f t="shared" si="8"/>
        <v>0</v>
      </c>
    </row>
    <row r="87" spans="2:20" ht="15" hidden="1" customHeight="1">
      <c r="B87" s="346"/>
      <c r="C87" s="346" t="s">
        <v>642</v>
      </c>
      <c r="D87" s="348" t="s">
        <v>574</v>
      </c>
      <c r="E87" s="346">
        <v>20</v>
      </c>
      <c r="F87" s="346">
        <v>20</v>
      </c>
      <c r="G87" s="204"/>
      <c r="I87">
        <f t="shared" si="23"/>
        <v>0</v>
      </c>
      <c r="J87">
        <f t="shared" si="24"/>
        <v>0</v>
      </c>
      <c r="K87">
        <f t="shared" si="25"/>
        <v>0</v>
      </c>
      <c r="L87">
        <f t="shared" si="26"/>
        <v>0</v>
      </c>
      <c r="O87">
        <f t="shared" si="27"/>
        <v>0</v>
      </c>
      <c r="P87">
        <f t="shared" si="28"/>
        <v>0</v>
      </c>
      <c r="Q87">
        <f t="shared" si="29"/>
        <v>0</v>
      </c>
      <c r="R87">
        <f t="shared" si="30"/>
        <v>0</v>
      </c>
      <c r="S87" s="2055"/>
      <c r="T87">
        <f t="shared" si="8"/>
        <v>0</v>
      </c>
    </row>
    <row r="88" spans="2:20" ht="15" hidden="1" customHeight="1">
      <c r="B88" s="346"/>
      <c r="C88" s="346" t="s">
        <v>579</v>
      </c>
      <c r="D88" s="348" t="s">
        <v>574</v>
      </c>
      <c r="E88" s="346">
        <v>28</v>
      </c>
      <c r="F88" s="346">
        <v>28</v>
      </c>
      <c r="G88" s="204"/>
      <c r="I88">
        <f t="shared" si="23"/>
        <v>0</v>
      </c>
      <c r="J88">
        <f t="shared" si="24"/>
        <v>0</v>
      </c>
      <c r="K88">
        <f t="shared" si="25"/>
        <v>0</v>
      </c>
      <c r="L88">
        <f t="shared" si="26"/>
        <v>0</v>
      </c>
      <c r="O88">
        <f t="shared" si="27"/>
        <v>0</v>
      </c>
      <c r="P88">
        <f t="shared" si="28"/>
        <v>0</v>
      </c>
      <c r="Q88">
        <f t="shared" si="29"/>
        <v>0</v>
      </c>
      <c r="R88">
        <f t="shared" si="30"/>
        <v>0</v>
      </c>
      <c r="S88" s="2055"/>
      <c r="T88">
        <f t="shared" si="8"/>
        <v>0</v>
      </c>
    </row>
    <row r="89" spans="2:20" ht="15" hidden="1" customHeight="1">
      <c r="B89" s="346"/>
      <c r="C89" s="346" t="s">
        <v>580</v>
      </c>
      <c r="D89" s="348" t="s">
        <v>574</v>
      </c>
      <c r="E89" s="346"/>
      <c r="F89" s="346"/>
      <c r="G89" s="204"/>
      <c r="I89">
        <f t="shared" si="23"/>
        <v>0</v>
      </c>
      <c r="J89">
        <f t="shared" si="24"/>
        <v>0</v>
      </c>
      <c r="K89">
        <f t="shared" si="25"/>
        <v>0</v>
      </c>
      <c r="L89">
        <f t="shared" si="26"/>
        <v>0</v>
      </c>
      <c r="O89">
        <f t="shared" si="27"/>
        <v>0</v>
      </c>
      <c r="P89">
        <f t="shared" si="28"/>
        <v>0</v>
      </c>
      <c r="Q89">
        <f t="shared" si="29"/>
        <v>0</v>
      </c>
      <c r="R89">
        <f t="shared" si="30"/>
        <v>0</v>
      </c>
      <c r="S89" s="2055"/>
      <c r="T89">
        <f t="shared" ref="T89:T103" si="31">SUM(I89:S89)</f>
        <v>0</v>
      </c>
    </row>
    <row r="90" spans="2:20" ht="15" hidden="1" customHeight="1">
      <c r="B90" s="346"/>
      <c r="C90" s="346" t="s">
        <v>643</v>
      </c>
      <c r="D90" s="348" t="s">
        <v>574</v>
      </c>
      <c r="E90" s="346">
        <v>1</v>
      </c>
      <c r="F90" s="346">
        <v>0</v>
      </c>
      <c r="G90" s="204"/>
      <c r="I90">
        <f t="shared" si="23"/>
        <v>0</v>
      </c>
      <c r="J90">
        <f t="shared" si="24"/>
        <v>0</v>
      </c>
      <c r="K90">
        <f t="shared" si="25"/>
        <v>0</v>
      </c>
      <c r="L90">
        <f t="shared" si="26"/>
        <v>0</v>
      </c>
      <c r="O90">
        <f t="shared" si="27"/>
        <v>0</v>
      </c>
      <c r="P90">
        <f t="shared" si="28"/>
        <v>0</v>
      </c>
      <c r="Q90">
        <f t="shared" si="29"/>
        <v>0</v>
      </c>
      <c r="R90">
        <f t="shared" si="30"/>
        <v>0</v>
      </c>
      <c r="S90" s="2055"/>
      <c r="T90">
        <f t="shared" si="31"/>
        <v>0</v>
      </c>
    </row>
    <row r="91" spans="2:20" ht="15" hidden="1" customHeight="1">
      <c r="B91" s="346"/>
      <c r="C91" s="346" t="s">
        <v>644</v>
      </c>
      <c r="D91" s="348" t="s">
        <v>574</v>
      </c>
      <c r="E91" s="346">
        <v>0</v>
      </c>
      <c r="F91" s="346">
        <v>1</v>
      </c>
      <c r="G91" s="204"/>
      <c r="I91">
        <f t="shared" si="23"/>
        <v>0</v>
      </c>
      <c r="J91">
        <f t="shared" si="24"/>
        <v>0</v>
      </c>
      <c r="K91">
        <f t="shared" si="25"/>
        <v>0</v>
      </c>
      <c r="L91">
        <f t="shared" si="26"/>
        <v>0</v>
      </c>
      <c r="O91">
        <f t="shared" si="27"/>
        <v>0</v>
      </c>
      <c r="P91">
        <f t="shared" si="28"/>
        <v>0</v>
      </c>
      <c r="Q91">
        <f t="shared" si="29"/>
        <v>0</v>
      </c>
      <c r="R91">
        <f t="shared" si="30"/>
        <v>0</v>
      </c>
      <c r="S91" s="2055"/>
      <c r="T91">
        <f t="shared" si="31"/>
        <v>0</v>
      </c>
    </row>
    <row r="92" spans="2:20" ht="15" hidden="1" customHeight="1">
      <c r="B92" s="346"/>
      <c r="C92" s="346" t="s">
        <v>613</v>
      </c>
      <c r="D92" s="348" t="s">
        <v>574</v>
      </c>
      <c r="E92" s="346"/>
      <c r="F92" s="346"/>
      <c r="G92" s="204"/>
      <c r="I92">
        <f t="shared" si="23"/>
        <v>0</v>
      </c>
      <c r="J92">
        <f t="shared" si="24"/>
        <v>0</v>
      </c>
      <c r="K92">
        <f t="shared" si="25"/>
        <v>0</v>
      </c>
      <c r="L92">
        <f t="shared" si="26"/>
        <v>0</v>
      </c>
      <c r="O92">
        <f t="shared" si="27"/>
        <v>0</v>
      </c>
      <c r="P92">
        <f t="shared" si="28"/>
        <v>0</v>
      </c>
      <c r="Q92">
        <f t="shared" si="29"/>
        <v>0</v>
      </c>
      <c r="R92">
        <f t="shared" si="30"/>
        <v>0</v>
      </c>
      <c r="S92" s="2055"/>
      <c r="T92">
        <f t="shared" si="31"/>
        <v>0</v>
      </c>
    </row>
    <row r="93" spans="2:20" ht="15" hidden="1" customHeight="1">
      <c r="B93" s="346" t="s">
        <v>95</v>
      </c>
      <c r="C93" s="346" t="s">
        <v>591</v>
      </c>
      <c r="D93" s="348" t="s">
        <v>574</v>
      </c>
      <c r="E93" s="346">
        <v>1</v>
      </c>
      <c r="F93" s="346">
        <v>1</v>
      </c>
      <c r="G93" s="204"/>
      <c r="H93" s="339"/>
      <c r="I93">
        <f>E93*$I$7+E93*$I$8+E93*$I$9+E93*$I$10+E93*$I$11+E93*$I$12+E93*$I$13+E93*$I$14+E93*$I$15+E93*$I$16+E93*$I$17+E93*$I$18</f>
        <v>0</v>
      </c>
      <c r="M93" s="339"/>
      <c r="N93" s="339"/>
      <c r="O93">
        <f>F93*$O$7+F93*$O$8+F93*$O$9+F93*$O$10+F93*$O$11+F93*$O$12+F93*$O$13+F93*$O$14+F93*$O$15+F93*$O$16+F93*$O$17+F93*$O$18</f>
        <v>0</v>
      </c>
      <c r="S93" s="2055"/>
      <c r="T93">
        <f t="shared" si="31"/>
        <v>0</v>
      </c>
    </row>
    <row r="94" spans="2:20" ht="15" hidden="1" customHeight="1">
      <c r="B94" s="346" t="s">
        <v>630</v>
      </c>
      <c r="C94" s="346" t="s">
        <v>588</v>
      </c>
      <c r="D94" s="348" t="s">
        <v>574</v>
      </c>
      <c r="E94" s="346">
        <v>1</v>
      </c>
      <c r="F94" s="346">
        <v>1</v>
      </c>
      <c r="G94" s="204"/>
      <c r="H94" s="339"/>
      <c r="J94">
        <f>E94*$J$7+E94*$J$8+E94*$J$9+E94*$J$10+E94*$J$11+E94*$J$12+E94*$J$13+E94*$J$14+E94*$J$15+E94*$J$16+E94*$J$17+E94*$J$18</f>
        <v>0</v>
      </c>
      <c r="M94" s="339"/>
      <c r="N94" s="339"/>
      <c r="P94">
        <f>F94*$P$7+F94*$P$8+F94*$P$9+F94*$P$10+F94*$P$11+F94*$P$12+F94*$P$13+F94*$P$14+F94*$P$15+F94*$P$16+F94*$P$17+F94*$P$18</f>
        <v>0</v>
      </c>
      <c r="S94" s="2055"/>
      <c r="T94">
        <f t="shared" si="31"/>
        <v>0</v>
      </c>
    </row>
    <row r="95" spans="2:20" ht="15" hidden="1" customHeight="1">
      <c r="B95" s="346" t="s">
        <v>632</v>
      </c>
      <c r="C95" s="346" t="s">
        <v>589</v>
      </c>
      <c r="D95" s="348" t="s">
        <v>574</v>
      </c>
      <c r="E95" s="346">
        <v>1</v>
      </c>
      <c r="F95" s="346">
        <v>1</v>
      </c>
      <c r="G95" s="204"/>
      <c r="H95" s="339"/>
      <c r="K95">
        <f>E95*$K$7+E95*$K$8+E95*$K$9+E95*$K$10+E95*$K$11+E95*$K$12+E95*$K$13+E95*$K$14+E95*$K$15+E95*$K$16+E95*$K$17+E95*$K$18</f>
        <v>0</v>
      </c>
      <c r="M95" s="339"/>
      <c r="N95" s="339"/>
      <c r="Q95">
        <f>F95*$Q$7+F95*$Q$8+F95*$Q$9+F95*$Q$10+F95*$Q$11+F95*$Q$12+F95*$Q$13+F95*$Q$14+F95*$Q$15+F95*$Q$16+F95*$Q$17+F95*$Q$18</f>
        <v>0</v>
      </c>
      <c r="S95" s="2055"/>
      <c r="T95">
        <f t="shared" si="31"/>
        <v>0</v>
      </c>
    </row>
    <row r="96" spans="2:20" ht="15" hidden="1" customHeight="1">
      <c r="B96" s="346">
        <v>336</v>
      </c>
      <c r="C96" s="346" t="s">
        <v>590</v>
      </c>
      <c r="D96" s="348" t="s">
        <v>574</v>
      </c>
      <c r="E96" s="346">
        <v>1</v>
      </c>
      <c r="F96" s="346">
        <v>1</v>
      </c>
      <c r="G96" s="204"/>
      <c r="H96" s="339"/>
      <c r="L96">
        <f>E96*$L$7+E96*$L$8+E96*$L$9+E96*$L$10+E96*$L$11+E96*$L$12+E96*$L$13+E96*$L$14+E96*$L$15+E96*$L$16+E96*$L$17+E96*$L$18</f>
        <v>0</v>
      </c>
      <c r="M96" s="339"/>
      <c r="N96" s="339"/>
      <c r="R96">
        <f>F96*$R$7+F96*$R$8+F96*$R$9+F96*$R$10+F96*$R$11+F96*$R$12+F96*$R$13+F96*$R$14+F96*$R$15+F96*$R$16+F96*$R$17+F96*$R$18</f>
        <v>0</v>
      </c>
      <c r="S96" s="2055"/>
      <c r="T96">
        <f t="shared" si="31"/>
        <v>0</v>
      </c>
    </row>
    <row r="97" spans="2:20" ht="15" hidden="1" customHeight="1">
      <c r="B97" s="346"/>
      <c r="C97" s="346" t="s">
        <v>603</v>
      </c>
      <c r="D97" s="348" t="s">
        <v>574</v>
      </c>
      <c r="E97" s="346">
        <v>4</v>
      </c>
      <c r="F97" s="346">
        <v>4</v>
      </c>
      <c r="G97" s="204"/>
      <c r="I97">
        <f>E97*$I$7+E97*$I$8+E97*$I$9+E97*$I$10+E97*$I$11+E97*$I$12+E97*$I$13+E97*$I$14+E97*$I$15+E97*$I$16+E97*$I$17+E97*$I$18</f>
        <v>0</v>
      </c>
      <c r="J97">
        <f>E97*$J$7+E97*$J$8+E97*$J$9+E97*$J$10+E97*$J$11+E97*$J$12+E97*$J$13+E97*$J$14+E97*$J$15+E97*$J$16+E97*$J$17+E97*$J$18</f>
        <v>0</v>
      </c>
      <c r="K97">
        <f>E97*$K$7+E97*$K$8+E97*$K$9+E97*$K$10+E97*$K$11+E97*$K$12+E97*$K$13+E97*$K$14+E97*$K$15+E97*$K$16+E97*$K$17+E97*$K$18</f>
        <v>0</v>
      </c>
      <c r="L97">
        <f>E97*$L$7+E97*$L$8+E97*$L$9+E97*$L$10+E97*$L$11+E97*$L$12+E97*$L$13+E97*$L$14+E97*$L$15+E97*$L$16+E97*$L$17+E97*$L$18</f>
        <v>0</v>
      </c>
      <c r="O97">
        <f>F97*$O$7+F97*$O$8+F97*$O$9+F97*$O$10+F97*$O$11+F97*$O$12+F97*$O$13+F97*$O$14+F97*$O$15+F97*$O$16+F97*$O$17+F97*$O$18</f>
        <v>0</v>
      </c>
      <c r="P97">
        <f>F97*$P$7+F97*$P$8+F97*$P$9+F97*$P$10+F97*$P$11+F97*$P$12+F97*$P$13+F97*$P$14+F97*$P$15+F97*$P$16+F97*$P$17+F97*$P$18</f>
        <v>0</v>
      </c>
      <c r="Q97">
        <f>F97*$Q$7+F97*$Q$8+F97*$Q$9+F97*$Q$10+F97*$Q$11+F97*$Q$12+F97*$Q$13+F97*$Q$14+F97*$Q$15+F97*$Q$16+F97*$Q$17+F97*$Q$18</f>
        <v>0</v>
      </c>
      <c r="R97">
        <f>F97*$R$7+F97*$R$8+F97*$R$9+F97*$R$10+F97*$R$11+F97*$R$12+F97*$R$13+F97*$R$14+F97*$R$15+F97*$R$16+F97*$R$17+F97*$R$18</f>
        <v>0</v>
      </c>
      <c r="S97" s="2055"/>
      <c r="T97">
        <f t="shared" si="31"/>
        <v>0</v>
      </c>
    </row>
    <row r="98" spans="2:20" ht="15" hidden="1" customHeight="1">
      <c r="B98" s="346"/>
      <c r="C98" s="346" t="s">
        <v>645</v>
      </c>
      <c r="D98" s="348" t="s">
        <v>574</v>
      </c>
      <c r="E98" s="346">
        <v>18</v>
      </c>
      <c r="F98" s="346">
        <v>18</v>
      </c>
      <c r="G98" s="204"/>
      <c r="I98">
        <f>E98*$I$7+E98*$I$8+E98*$I$9+E98*$I$10+E98*$I$11+E98*$I$12+E98*$I$13+E98*$I$14+E98*$I$15+E98*$I$16+E98*$I$17+E98*$I$18</f>
        <v>0</v>
      </c>
      <c r="J98">
        <f>E98*$J$7+E98*$J$8+E98*$J$9+E98*$J$10+E98*$J$11+E98*$J$12+E98*$J$13+E98*$J$14+E98*$J$15+E98*$J$16+E98*$J$17+E98*$J$18</f>
        <v>0</v>
      </c>
      <c r="K98">
        <f>E98*$K$7+E98*$K$8+E98*$K$9+E98*$K$10+E98*$K$11+E98*$K$12+E98*$K$13+E98*$K$14+E98*$K$15+E98*$K$16+E98*$K$17+E98*$K$18</f>
        <v>0</v>
      </c>
      <c r="L98">
        <f>E98*$L$7+E98*$L$8+E98*$L$9+E98*$L$10+E98*$L$11+E98*$L$12+E98*$L$13+E98*$L$14+E98*$L$15+E98*$L$16+E98*$L$17+E98*$L$18</f>
        <v>0</v>
      </c>
      <c r="O98">
        <f>F98*$O$7+F98*$O$8+F98*$O$9+F98*$O$10+F98*$O$11+F98*$O$12+F98*$O$13+F98*$O$14+F98*$O$15+F98*$O$16+F98*$O$17+F98*$O$18</f>
        <v>0</v>
      </c>
      <c r="P98">
        <f>F98*$P$7+F98*$P$8+F98*$P$9+F98*$P$10+F98*$P$11+F98*$P$12+F98*$P$13+F98*$P$14+F98*$P$15+F98*$P$16+F98*$P$17+F98*$P$18</f>
        <v>0</v>
      </c>
      <c r="Q98">
        <f>F98*$Q$7+F98*$Q$8+F98*$Q$9+F98*$Q$10+F98*$Q$11+F98*$Q$12+F98*$Q$13+F98*$Q$14+F98*$Q$15+F98*$Q$16+F98*$Q$17+F98*$Q$18</f>
        <v>0</v>
      </c>
      <c r="R98">
        <f>F98*$R$7+F98*$R$8+F98*$R$9+F98*$R$10+F98*$R$11+F98*$R$12+F98*$R$13+F98*$R$14+F98*$R$15+F98*$R$16+F98*$R$17+F98*$R$18</f>
        <v>0</v>
      </c>
      <c r="S98" s="2055"/>
      <c r="T98">
        <f t="shared" si="31"/>
        <v>0</v>
      </c>
    </row>
    <row r="99" spans="2:20" ht="15" hidden="1" customHeight="1">
      <c r="B99" s="346"/>
      <c r="C99" s="346" t="s">
        <v>615</v>
      </c>
      <c r="D99" s="348" t="s">
        <v>574</v>
      </c>
      <c r="E99" s="346">
        <v>18</v>
      </c>
      <c r="F99" s="346">
        <v>18</v>
      </c>
      <c r="G99" s="204"/>
      <c r="I99">
        <f>E99*$I$7+E99*$I$8+E99*$I$9+E99*$I$10+E99*$I$11+E99*$I$12+E99*$I$13+E99*$I$14+E99*$I$15+E99*$I$16+E99*$I$17+E99*$I$18</f>
        <v>0</v>
      </c>
      <c r="J99">
        <f>E99*$J$7+E99*$J$8+E99*$J$9+E99*$J$10+E99*$J$11+E99*$J$12+E99*$J$13+E99*$J$14+E99*$J$15+E99*$J$16+E99*$J$17+E99*$J$18</f>
        <v>0</v>
      </c>
      <c r="K99">
        <f>E99*$K$7+E99*$K$8+E99*$K$9+E99*$K$10+E99*$K$11+E99*$K$12+E99*$K$13+E99*$K$14+E99*$K$15+E99*$K$16+E99*$K$17+E99*$K$18</f>
        <v>0</v>
      </c>
      <c r="L99">
        <f>E99*$L$7+E99*$L$8+E99*$L$9+E99*$L$10+E99*$L$11+E99*$L$12+E99*$L$13+E99*$L$14+E99*$L$15+E99*$L$16+E99*$L$17+E99*$L$18</f>
        <v>0</v>
      </c>
      <c r="O99">
        <f>F99*$O$7+F99*$O$8+F99*$O$9+F99*$O$10+F99*$O$11+F99*$O$12+F99*$O$13+F99*$O$14+F99*$O$15+F99*$O$16+F99*$O$17+F99*$O$18</f>
        <v>0</v>
      </c>
      <c r="P99">
        <f>F99*$P$7+F99*$P$8+F99*$P$9+F99*$P$10+F99*$P$11+F99*$P$12+F99*$P$13+F99*$P$14+F99*$P$15+F99*$P$16+F99*$P$17+F99*$P$18</f>
        <v>0</v>
      </c>
      <c r="Q99">
        <f>F99*$Q$7+F99*$Q$8+F99*$Q$9+F99*$Q$10+F99*$Q$11+F99*$Q$12+F99*$Q$13+F99*$Q$14+F99*$Q$15+F99*$Q$16+F99*$Q$17+F99*$Q$18</f>
        <v>0</v>
      </c>
      <c r="R99">
        <f>F99*$R$7+F99*$R$8+F99*$R$9+F99*$R$10+F99*$R$11+F99*$R$12+F99*$R$13+F99*$R$14+F99*$R$15+F99*$R$16+F99*$R$17+F99*$R$18</f>
        <v>0</v>
      </c>
      <c r="S99" s="2055"/>
      <c r="T99">
        <f t="shared" si="31"/>
        <v>0</v>
      </c>
    </row>
    <row r="100" spans="2:20" ht="15" hidden="1" customHeight="1">
      <c r="B100" s="346"/>
      <c r="C100" s="346" t="s">
        <v>646</v>
      </c>
      <c r="D100" s="349" t="s">
        <v>574</v>
      </c>
      <c r="E100" s="346">
        <v>1</v>
      </c>
      <c r="F100" s="346">
        <v>1</v>
      </c>
      <c r="G100" s="204"/>
      <c r="I100">
        <f>E100*$I$7+E100*$I$8+E100*$I$9+E100*$I$10+E100*$I$11+E100*$I$12+E100*$I$13+E100*$I$14+E100*$I$15+E100*$I$16+E100*$I$17+E100*$I$18</f>
        <v>0</v>
      </c>
      <c r="J100">
        <f>E100*$J$7+E100*$J$8+E100*$J$9+E100*$J$10+E100*$J$11+E100*$J$12+E100*$J$13+E100*$J$14+E100*$J$15+E100*$J$16+E100*$J$17+E100*$J$18</f>
        <v>0</v>
      </c>
      <c r="K100">
        <f>E100*$K$7+E100*$K$8+E100*$K$9+E100*$K$10+E100*$K$11+E100*$K$12+E100*$K$13+E100*$K$14+E100*$K$15+E100*$K$16+E100*$K$17+E100*$K$18</f>
        <v>0</v>
      </c>
      <c r="L100">
        <f>E100*$L$7+E100*$L$8+E100*$L$9+E100*$L$10+E100*$L$11+E100*$L$12+E100*$L$13+E100*$L$14+E100*$L$15+E100*$L$16+E100*$L$17+E100*$L$18</f>
        <v>0</v>
      </c>
      <c r="O100">
        <f>F100*$O$7+F100*$O$8+F100*$O$9+F100*$O$10+F100*$O$11+F100*$O$12+F100*$O$13+F100*$O$14+F100*$O$15+F100*$O$16+F100*$O$17+F100*$O$18</f>
        <v>0</v>
      </c>
      <c r="P100">
        <f>F100*$P$7+F100*$P$8+F100*$P$9+F100*$P$10+F100*$P$11+F100*$P$12+F100*$P$13+F100*$P$14+F100*$P$15+F100*$P$16+F100*$P$17+F100*$P$18</f>
        <v>0</v>
      </c>
      <c r="Q100">
        <f>F100*$Q$7+F100*$Q$8+F100*$Q$9+F100*$Q$10+F100*$Q$11+F100*$Q$12+F100*$Q$13+F100*$Q$14+F100*$Q$15+F100*$Q$16+F100*$Q$17+F100*$Q$18</f>
        <v>0</v>
      </c>
      <c r="R100">
        <f>F100*$R$7+F100*$R$8+F100*$R$9+F100*$R$10+F100*$R$11+F100*$R$12+F100*$R$13+F100*$R$14+F100*$R$15+F100*$R$16+F100*$R$17+F100*$R$18</f>
        <v>0</v>
      </c>
      <c r="S100" s="2055"/>
      <c r="T100">
        <f t="shared" si="31"/>
        <v>0</v>
      </c>
    </row>
    <row r="101" spans="2:20" ht="15" hidden="1" customHeight="1">
      <c r="B101" s="346"/>
      <c r="C101" s="346" t="s">
        <v>608</v>
      </c>
      <c r="D101" s="349" t="s">
        <v>574</v>
      </c>
      <c r="E101" s="346">
        <v>3</v>
      </c>
      <c r="F101" s="346">
        <v>3</v>
      </c>
      <c r="G101" s="204">
        <v>9</v>
      </c>
      <c r="H101" s="333">
        <v>9</v>
      </c>
      <c r="I101">
        <f>E101*$I$7+G101*$I$8+G101*$I$9+E101*$I$10+G101*$I$11+G101*$I$12+E101*$I$13+G101*$I$14+G101*$I$15+E101*$I$16+G101*$I$17+G101*$I$18</f>
        <v>0</v>
      </c>
      <c r="J101">
        <f>E101*$J$7+G101*$J$8+G101*$J$9+E101*$J$10+G101*$J$11+G101*$J$12+E101*$J$13+G101*$J$14+G101*$J$15+E101*$J$16+G101*$J$17+G101*$J$18</f>
        <v>0</v>
      </c>
      <c r="K101">
        <f>E101*$K$7+G101*$K$8+G101*$K$9+E101*$K$10+G101*$K$11+G101*$K$12+E101*$K$13+G101*$K$14+G101*$K$15+E101*$K$16+G101*$K$17+G101*$K$18</f>
        <v>0</v>
      </c>
      <c r="L101">
        <f>E101*$L$7+G101*$L$8+G101*$L$9+E101*$L$10+G101*$L$11+G101*$L$12+E101*$L$13+G101*$L$14+G101*$L$15+E101*$L$16+G101*$L$17+G101*$L$18</f>
        <v>0</v>
      </c>
      <c r="M101" s="333"/>
      <c r="N101" s="333"/>
      <c r="O101">
        <f>F101*$O$7+H101*$O$8+H101*$O$9+F101*$O$10+H101*$O$11+H101*$O$12+F101*$O$13+H101*$O$14+H101*$O$15+F101*$O$16+H101*$O$17+H101*$O$18</f>
        <v>0</v>
      </c>
      <c r="P101">
        <f>F101*$P$7+H101*$P$8+F101*$P$9+F101*$P$10+H101*$P$11+H101*$P$12+F101*$P$13+H101*$P$14+H101*$P$15+F101*$P$16+H101*$P$17+H101*$P$18</f>
        <v>0</v>
      </c>
      <c r="Q101">
        <f>F101*$Q$7+H101*$Q$8+H101*$Q$9+F101*$Q$10+H101*$Q$11+H101*$Q$12+F101*$Q$13+H101*$Q$14+H101*$Q$15+F101*$Q$16+H101*$Q$17+H101*$Q$18</f>
        <v>0</v>
      </c>
      <c r="R101">
        <f>F101*$R$7+H101*$R$8+H101*$R$9+F101*$R$10+H101*$R$11+H101*$R$12+F101*$R$13+H101*$R$14+H101*$R$15+F101*$R$16+H101*$R$17+H101*$R$18</f>
        <v>0</v>
      </c>
      <c r="S101" s="2055"/>
      <c r="T101">
        <f t="shared" si="31"/>
        <v>0</v>
      </c>
    </row>
    <row r="102" spans="2:20" ht="15" hidden="1" customHeight="1">
      <c r="B102" s="346"/>
      <c r="C102" s="346" t="s">
        <v>607</v>
      </c>
      <c r="D102" s="349" t="s">
        <v>574</v>
      </c>
      <c r="E102" s="346">
        <v>6</v>
      </c>
      <c r="F102" s="346">
        <v>6</v>
      </c>
      <c r="G102" s="204"/>
      <c r="I102">
        <f>E102*$I$7+E102*$I$8+E102*$I$9+E102*$I$10+E102*$I$11+E102*$I$12+E102*$I$13+E102*$I$14+E102*$I$15+E102*$I$16+E102*$I$17+E102*$I$18</f>
        <v>0</v>
      </c>
      <c r="J102">
        <f>E102*$J$7+E102*$J$8+E102*$J$9+E102*$J$10+E102*$J$11+E102*$J$12+E102*$J$13+E102*$J$14+E102*$J$15+E102*$J$16+E102*$J$17+E102*$J$18</f>
        <v>0</v>
      </c>
      <c r="K102">
        <f>E102*$K$7+E102*$K$8+E102*$K$9+E102*$K$10+E102*$K$11+E102*$K$12+E102*$K$13+E102*$K$14+E102*$K$15+E102*$K$16+E102*$K$17+E102*$K$18</f>
        <v>0</v>
      </c>
      <c r="L102">
        <f>E102*$L$7+E102*$L$8+E102*$L$9+E102*$L$10+E102*$L$11+E102*$L$12+E102*$L$13+E102*$L$14+E102*$L$15+E102*$L$16+E102*$L$17+E102*$L$18</f>
        <v>0</v>
      </c>
      <c r="O102">
        <f>F102*$O$7+F102*$O$8+F102*$O$9+F102*$O$10+F102*$O$11+F102*$O$12+F102*$O$13+F102*$O$14+F102*$O$15+F102*$O$16+F102*$O$17+F102*$O$18</f>
        <v>0</v>
      </c>
      <c r="P102">
        <f>F102*$P$7+F102*$P$8+F102*$P$9+F102*$P$10+F102*$P$11+F102*$P$12+F102*$P$13+F102*$P$14+F102*$P$15+F102*$P$16+F102*$P$17+F102*$P$18</f>
        <v>0</v>
      </c>
      <c r="Q102">
        <f>F102*$Q$7+F102*$Q$8+F102*$Q$9+F102*$Q$10+F102*$Q$11+F102*$Q$12+F102*$Q$13+F102*$Q$14+F102*$Q$15+F102*$Q$16+F102*$Q$17+F102*$Q$18</f>
        <v>0</v>
      </c>
      <c r="R102">
        <f>F102*$R$7+F102*$R$8+F102*$R$9+F102*$R$10+F102*$R$11+F102*$R$12+F102*$R$13+F102*$R$14+F102*$R$15+F102*$R$16+F102*$R$17+F102*$R$18</f>
        <v>0</v>
      </c>
      <c r="S102" s="2055"/>
      <c r="T102">
        <f t="shared" si="31"/>
        <v>0</v>
      </c>
    </row>
    <row r="103" spans="2:20" ht="15" hidden="1" customHeight="1">
      <c r="B103" s="346"/>
      <c r="C103" s="346" t="s">
        <v>602</v>
      </c>
      <c r="D103" s="349" t="s">
        <v>574</v>
      </c>
      <c r="E103" s="346">
        <v>2</v>
      </c>
      <c r="F103" s="346">
        <v>2</v>
      </c>
      <c r="G103" s="204"/>
      <c r="I103">
        <f>E103*$I$7+E103*$I$8+E103*$I$9+E103*$I$10+E103*$I$11+E103*$I$12+E103*$I$13+E103*$I$14+E103*$I$15+E103*$I$16+E103*$I$17+E103*$I$18</f>
        <v>0</v>
      </c>
      <c r="J103">
        <f>E103*$J$7+E103*$J$8+E103*$J$9+E103*$J$10+E103*$J$11+E103*$J$12+E103*$J$13+E103*$J$14+E103*$J$15+E103*$J$16+E103*$J$17+E103*$J$18</f>
        <v>0</v>
      </c>
      <c r="K103">
        <f>E103*$K$7+E103*$K$8+E103*$K$9+E103*$K$10+E103*$K$11+E103*$K$12+E103*$K$13+E103*$K$14+E103*$K$15+E103*$K$16+E103*$K$17+E103*$K$18</f>
        <v>0</v>
      </c>
      <c r="L103">
        <f>E103*$L$7+E103*$L$8+E103*$L$9+E103*$L$10+E103*$L$11+E103*$L$12+E103*$L$13+E103*$L$14+E103*$L$15+E103*$L$16+E103*$L$17+E103*$L$18</f>
        <v>0</v>
      </c>
      <c r="O103">
        <f>F103*$O$7+F103*$O$8+F103*$O$9+F103*$O$10+F103*$O$11+F103*$O$12+F103*$O$13+F103*$O$14+F103*$O$15+F103*$O$16+F103*$O$17+F103*$O$18</f>
        <v>0</v>
      </c>
      <c r="P103">
        <f>F103*$P$7+F103*$P$8+F103*$P$9+F103*$P$10+F103*$P$11+F103*$P$12+F103*$P$13+F103*$P$14+F103*$P$15+F103*$P$16+F103*$P$17+F103*$P$18</f>
        <v>0</v>
      </c>
      <c r="Q103">
        <f>F103*$Q$7+F103*$Q$8+F103*$Q$9+F103*$Q$10+F103*$Q$11+F103*$Q$12+F103*$Q$13+F103*$Q$14+F103*$Q$15+F103*$Q$16+F103*$Q$17+F103*$Q$18</f>
        <v>0</v>
      </c>
      <c r="R103">
        <f>F103*$R$7+F103*$R$8+F103*$R$9+F103*$R$10+F103*$R$11+F103*$R$12+F103*$R$13+F103*$R$14+F103*$R$15+F103*$R$16+F103*$R$17+F103*$R$18</f>
        <v>0</v>
      </c>
      <c r="S103" s="2055"/>
      <c r="T103">
        <f t="shared" si="31"/>
        <v>0</v>
      </c>
    </row>
    <row r="104" spans="2:20" ht="15" hidden="1" customHeight="1">
      <c r="B104" s="346"/>
      <c r="C104" s="346"/>
      <c r="D104" s="346"/>
      <c r="E104" s="346"/>
      <c r="F104" s="346"/>
      <c r="G104" s="204"/>
      <c r="S104" s="2055"/>
    </row>
    <row r="105" spans="2:20" ht="8.25" customHeight="1">
      <c r="B105" s="204"/>
      <c r="C105" s="204"/>
      <c r="D105" s="204"/>
      <c r="E105" s="204"/>
      <c r="F105" s="204"/>
      <c r="G105" s="204"/>
      <c r="H105" s="2055"/>
      <c r="I105" s="2055"/>
      <c r="J105" s="2055"/>
      <c r="K105" s="2055"/>
      <c r="L105" s="2055"/>
      <c r="M105" s="2055"/>
      <c r="N105" s="2055"/>
      <c r="O105" s="2055"/>
      <c r="P105" s="2055"/>
      <c r="Q105" s="2055"/>
      <c r="R105" s="2055"/>
      <c r="S105" s="2055"/>
    </row>
  </sheetData>
  <mergeCells count="9">
    <mergeCell ref="W11:W14"/>
    <mergeCell ref="H105:R105"/>
    <mergeCell ref="H1:S1"/>
    <mergeCell ref="H2:L4"/>
    <mergeCell ref="N2:R4"/>
    <mergeCell ref="S2:S105"/>
    <mergeCell ref="U2:U5"/>
    <mergeCell ref="H5:L5"/>
    <mergeCell ref="N5:R5"/>
  </mergeCells>
  <pageMargins left="0.11811023622047245" right="0.11811023622047245" top="0.39370078740157483" bottom="0.74803149606299213" header="0.31496062992125984" footer="0.31496062992125984"/>
  <pageSetup paperSize="9" scale="74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Macro10">
                <anchor moveWithCells="1" sizeWithCells="1">
                  <from>
                    <xdr:col>1</xdr:col>
                    <xdr:colOff>95250</xdr:colOff>
                    <xdr:row>1</xdr:row>
                    <xdr:rowOff>57150</xdr:rowOff>
                  </from>
                  <to>
                    <xdr:col>5</xdr:col>
                    <xdr:colOff>104775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5" name="Button 3">
              <controlPr defaultSize="0" print="0" autoFill="0" autoPict="0" macro="[0]!Macro17gg">
                <anchor moveWithCells="1" sizeWithCells="1">
                  <from>
                    <xdr:col>2</xdr:col>
                    <xdr:colOff>0</xdr:colOff>
                    <xdr:row>4</xdr:row>
                    <xdr:rowOff>180975</xdr:rowOff>
                  </from>
                  <to>
                    <xdr:col>5</xdr:col>
                    <xdr:colOff>104775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6" name="Button 4">
              <controlPr locked="0" defaultSize="0" print="0" autoFill="0" autoPict="0" macro="[0]!RELIGADOR">
                <anchor moveWithCells="1" sizeWithCells="1">
                  <from>
                    <xdr:col>1</xdr:col>
                    <xdr:colOff>28575</xdr:colOff>
                    <xdr:row>10</xdr:row>
                    <xdr:rowOff>85725</xdr:rowOff>
                  </from>
                  <to>
                    <xdr:col>5</xdr:col>
                    <xdr:colOff>161925</xdr:colOff>
                    <xdr:row>15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C4AC0-6C20-4D7A-B5BC-FA6B967B9067}">
  <sheetPr codeName="Plan15">
    <pageSetUpPr fitToPage="1"/>
  </sheetPr>
  <dimension ref="B1:W105"/>
  <sheetViews>
    <sheetView showGridLines="0" zoomScaleNormal="100" zoomScaleSheetLayoutView="90" workbookViewId="0">
      <selection activeCell="O12" sqref="O12"/>
    </sheetView>
  </sheetViews>
  <sheetFormatPr defaultRowHeight="15"/>
  <cols>
    <col min="1" max="2" width="1.85546875" customWidth="1"/>
    <col min="3" max="3" width="95.5703125" hidden="1" customWidth="1"/>
    <col min="4" max="4" width="7.140625" customWidth="1"/>
    <col min="5" max="5" width="9.140625" customWidth="1"/>
    <col min="6" max="6" width="3.28515625" customWidth="1"/>
    <col min="7" max="7" width="1.5703125" customWidth="1"/>
    <col min="8" max="8" width="13.7109375" customWidth="1"/>
    <col min="9" max="12" width="9.7109375" customWidth="1"/>
    <col min="13" max="13" width="5.42578125" customWidth="1"/>
    <col min="14" max="14" width="13.7109375" customWidth="1"/>
    <col min="15" max="18" width="9.7109375" customWidth="1"/>
    <col min="19" max="19" width="2" customWidth="1"/>
    <col min="20" max="20" width="4.28515625" customWidth="1"/>
    <col min="21" max="21" width="20.7109375" customWidth="1"/>
  </cols>
  <sheetData>
    <row r="1" spans="2:23" ht="10.5" customHeight="1" thickBot="1">
      <c r="B1" s="204"/>
      <c r="C1" s="346"/>
      <c r="D1" s="353"/>
      <c r="E1" s="353"/>
      <c r="F1" s="353"/>
      <c r="G1" s="204"/>
      <c r="H1" s="2055"/>
      <c r="I1" s="2055"/>
      <c r="J1" s="2055"/>
      <c r="K1" s="2055"/>
      <c r="L1" s="2055"/>
      <c r="M1" s="2055"/>
      <c r="N1" s="2055"/>
      <c r="O1" s="2055"/>
      <c r="P1" s="2055"/>
      <c r="Q1" s="2055"/>
      <c r="R1" s="2055"/>
      <c r="S1" s="2055"/>
    </row>
    <row r="2" spans="2:23" ht="15" customHeight="1">
      <c r="B2" s="392"/>
      <c r="C2" s="392"/>
      <c r="D2" s="392"/>
      <c r="E2" s="392"/>
      <c r="F2" s="392"/>
      <c r="G2" s="204"/>
      <c r="H2" s="2056" t="s">
        <v>616</v>
      </c>
      <c r="I2" s="2057"/>
      <c r="J2" s="2057"/>
      <c r="K2" s="2057"/>
      <c r="L2" s="2058"/>
      <c r="M2" s="204"/>
      <c r="N2" s="2056" t="s">
        <v>617</v>
      </c>
      <c r="O2" s="2057"/>
      <c r="P2" s="2057"/>
      <c r="Q2" s="2057"/>
      <c r="R2" s="2058"/>
      <c r="S2" s="2055"/>
      <c r="U2" s="2065" t="s">
        <v>768</v>
      </c>
    </row>
    <row r="3" spans="2:23" ht="15" customHeight="1">
      <c r="B3" s="392"/>
      <c r="C3" s="392"/>
      <c r="D3" s="392"/>
      <c r="E3" s="392"/>
      <c r="F3" s="392"/>
      <c r="G3" s="204"/>
      <c r="H3" s="2059"/>
      <c r="I3" s="2060"/>
      <c r="J3" s="2060"/>
      <c r="K3" s="2060"/>
      <c r="L3" s="2061"/>
      <c r="M3" s="204"/>
      <c r="N3" s="2059"/>
      <c r="O3" s="2060"/>
      <c r="P3" s="2060"/>
      <c r="Q3" s="2060"/>
      <c r="R3" s="2061"/>
      <c r="S3" s="2055"/>
      <c r="U3" s="2066"/>
    </row>
    <row r="4" spans="2:23" ht="15.75" customHeight="1" thickBot="1">
      <c r="B4" s="392"/>
      <c r="C4" s="392"/>
      <c r="D4" s="392"/>
      <c r="E4" s="392"/>
      <c r="F4" s="392"/>
      <c r="G4" s="204"/>
      <c r="H4" s="2062"/>
      <c r="I4" s="2063"/>
      <c r="J4" s="2063"/>
      <c r="K4" s="2063"/>
      <c r="L4" s="2064"/>
      <c r="M4" s="204"/>
      <c r="N4" s="2062"/>
      <c r="O4" s="2063"/>
      <c r="P4" s="2063"/>
      <c r="Q4" s="2063"/>
      <c r="R4" s="2064"/>
      <c r="S4" s="2055"/>
      <c r="U4" s="2066"/>
    </row>
    <row r="5" spans="2:23" ht="26.25" thickBot="1">
      <c r="B5" s="393"/>
      <c r="C5" s="393"/>
      <c r="D5" s="393"/>
      <c r="E5" s="393"/>
      <c r="F5" s="393"/>
      <c r="G5" s="344"/>
      <c r="H5" s="2068" t="s">
        <v>1109</v>
      </c>
      <c r="I5" s="2069"/>
      <c r="J5" s="2069"/>
      <c r="K5" s="2069"/>
      <c r="L5" s="2070"/>
      <c r="M5" s="350"/>
      <c r="N5" s="2068" t="s">
        <v>1109</v>
      </c>
      <c r="O5" s="2069"/>
      <c r="P5" s="2069"/>
      <c r="Q5" s="2069"/>
      <c r="R5" s="2070"/>
      <c r="S5" s="2055"/>
      <c r="T5" s="316"/>
      <c r="U5" s="2067"/>
    </row>
    <row r="6" spans="2:23" ht="19.5">
      <c r="B6" s="392"/>
      <c r="C6" s="392"/>
      <c r="D6" s="392"/>
      <c r="E6" s="392"/>
      <c r="F6" s="392"/>
      <c r="G6" s="204"/>
      <c r="H6" s="394" t="s">
        <v>206</v>
      </c>
      <c r="I6" s="395" t="s">
        <v>95</v>
      </c>
      <c r="J6" s="395" t="s">
        <v>185</v>
      </c>
      <c r="K6" s="395" t="s">
        <v>186</v>
      </c>
      <c r="L6" s="396">
        <v>336.4</v>
      </c>
      <c r="M6" s="351"/>
      <c r="N6" s="394" t="s">
        <v>206</v>
      </c>
      <c r="O6" s="395" t="s">
        <v>95</v>
      </c>
      <c r="P6" s="395" t="s">
        <v>185</v>
      </c>
      <c r="Q6" s="395" t="s">
        <v>186</v>
      </c>
      <c r="R6" s="396">
        <v>336.4</v>
      </c>
      <c r="S6" s="2055"/>
    </row>
    <row r="7" spans="2:23" ht="15.75">
      <c r="B7" s="392"/>
      <c r="C7" s="392"/>
      <c r="D7" s="392"/>
      <c r="E7" s="392"/>
      <c r="F7" s="392"/>
      <c r="G7" s="204"/>
      <c r="H7" s="317" t="s">
        <v>75</v>
      </c>
      <c r="I7" s="318"/>
      <c r="J7" s="319"/>
      <c r="K7" s="320"/>
      <c r="L7" s="321"/>
      <c r="M7" s="352"/>
      <c r="N7" s="317" t="s">
        <v>75</v>
      </c>
      <c r="O7" s="318"/>
      <c r="P7" s="319"/>
      <c r="Q7" s="320"/>
      <c r="R7" s="321"/>
      <c r="S7" s="2055"/>
    </row>
    <row r="8" spans="2:23" ht="15.75">
      <c r="B8" s="392"/>
      <c r="C8" s="392"/>
      <c r="D8" s="392"/>
      <c r="E8" s="392"/>
      <c r="F8" s="392"/>
      <c r="G8" s="204"/>
      <c r="H8" s="322" t="s">
        <v>76</v>
      </c>
      <c r="I8" s="323"/>
      <c r="J8" s="324"/>
      <c r="K8" s="325"/>
      <c r="L8" s="326"/>
      <c r="M8" s="352"/>
      <c r="N8" s="322" t="s">
        <v>76</v>
      </c>
      <c r="O8" s="323"/>
      <c r="P8" s="324"/>
      <c r="Q8" s="325"/>
      <c r="R8" s="326"/>
      <c r="S8" s="2055"/>
    </row>
    <row r="9" spans="2:23" ht="15.75">
      <c r="B9" s="392"/>
      <c r="C9" s="392"/>
      <c r="D9" s="392"/>
      <c r="E9" s="392"/>
      <c r="F9" s="392"/>
      <c r="G9" s="204"/>
      <c r="H9" s="327" t="s">
        <v>77</v>
      </c>
      <c r="I9" s="323"/>
      <c r="J9" s="324"/>
      <c r="K9" s="325"/>
      <c r="L9" s="326"/>
      <c r="M9" s="352"/>
      <c r="N9" s="327" t="s">
        <v>77</v>
      </c>
      <c r="O9" s="323"/>
      <c r="P9" s="324"/>
      <c r="Q9" s="325"/>
      <c r="R9" s="326"/>
      <c r="S9" s="2055"/>
    </row>
    <row r="10" spans="2:23" ht="15.75">
      <c r="B10" s="392"/>
      <c r="C10" s="392"/>
      <c r="D10" s="392"/>
      <c r="E10" s="392"/>
      <c r="F10" s="392"/>
      <c r="G10" s="204"/>
      <c r="H10" s="327" t="s">
        <v>78</v>
      </c>
      <c r="I10" s="323"/>
      <c r="J10" s="324"/>
      <c r="K10" s="325"/>
      <c r="L10" s="326"/>
      <c r="M10" s="352"/>
      <c r="N10" s="327" t="s">
        <v>78</v>
      </c>
      <c r="O10" s="323"/>
      <c r="P10" s="324"/>
      <c r="Q10" s="325"/>
      <c r="R10" s="326"/>
      <c r="S10" s="2055"/>
    </row>
    <row r="11" spans="2:23" ht="15.75">
      <c r="B11" s="392"/>
      <c r="C11" s="392"/>
      <c r="D11" s="392"/>
      <c r="E11" s="392"/>
      <c r="F11" s="392"/>
      <c r="G11" s="204"/>
      <c r="H11" s="322" t="s">
        <v>79</v>
      </c>
      <c r="I11" s="323"/>
      <c r="J11" s="324"/>
      <c r="K11" s="325"/>
      <c r="L11" s="326"/>
      <c r="M11" s="352"/>
      <c r="N11" s="322" t="s">
        <v>79</v>
      </c>
      <c r="O11" s="323"/>
      <c r="P11" s="324"/>
      <c r="Q11" s="325"/>
      <c r="R11" s="326"/>
      <c r="S11" s="2055"/>
      <c r="W11" s="2054"/>
    </row>
    <row r="12" spans="2:23" ht="15.75">
      <c r="B12" s="392"/>
      <c r="C12" s="392"/>
      <c r="D12" s="392"/>
      <c r="E12" s="392"/>
      <c r="F12" s="392"/>
      <c r="G12" s="204"/>
      <c r="H12" s="327" t="s">
        <v>80</v>
      </c>
      <c r="I12" s="323"/>
      <c r="J12" s="324"/>
      <c r="K12" s="325"/>
      <c r="L12" s="326"/>
      <c r="M12" s="352"/>
      <c r="N12" s="327" t="s">
        <v>80</v>
      </c>
      <c r="O12" s="323"/>
      <c r="P12" s="324"/>
      <c r="Q12" s="325"/>
      <c r="R12" s="326"/>
      <c r="S12" s="2055"/>
      <c r="W12" s="2054"/>
    </row>
    <row r="13" spans="2:23" ht="15.75">
      <c r="B13" s="392"/>
      <c r="C13" s="392"/>
      <c r="D13" s="392"/>
      <c r="E13" s="392"/>
      <c r="F13" s="392"/>
      <c r="G13" s="204"/>
      <c r="H13" s="322" t="s">
        <v>81</v>
      </c>
      <c r="I13" s="323"/>
      <c r="J13" s="324"/>
      <c r="K13" s="325"/>
      <c r="L13" s="326"/>
      <c r="M13" s="352"/>
      <c r="N13" s="322" t="s">
        <v>81</v>
      </c>
      <c r="O13" s="323"/>
      <c r="P13" s="324"/>
      <c r="Q13" s="325"/>
      <c r="R13" s="326"/>
      <c r="S13" s="2055"/>
      <c r="W13" s="2054"/>
    </row>
    <row r="14" spans="2:23" ht="15.75">
      <c r="B14" s="392"/>
      <c r="C14" s="392"/>
      <c r="D14" s="392"/>
      <c r="E14" s="392"/>
      <c r="F14" s="392"/>
      <c r="G14" s="204"/>
      <c r="H14" s="327" t="s">
        <v>82</v>
      </c>
      <c r="I14" s="323"/>
      <c r="J14" s="324"/>
      <c r="K14" s="325"/>
      <c r="L14" s="326"/>
      <c r="M14" s="352"/>
      <c r="N14" s="327" t="s">
        <v>82</v>
      </c>
      <c r="O14" s="323"/>
      <c r="P14" s="324"/>
      <c r="Q14" s="325"/>
      <c r="R14" s="326"/>
      <c r="S14" s="2055"/>
      <c r="W14" s="2054"/>
    </row>
    <row r="15" spans="2:23" ht="15.75">
      <c r="B15" s="392"/>
      <c r="C15" s="392"/>
      <c r="D15" s="392"/>
      <c r="E15" s="392"/>
      <c r="F15" s="392"/>
      <c r="G15" s="204"/>
      <c r="H15" s="322" t="s">
        <v>83</v>
      </c>
      <c r="I15" s="323"/>
      <c r="J15" s="324"/>
      <c r="K15" s="325"/>
      <c r="L15" s="326"/>
      <c r="M15" s="352"/>
      <c r="N15" s="322" t="s">
        <v>83</v>
      </c>
      <c r="O15" s="323"/>
      <c r="P15" s="324"/>
      <c r="Q15" s="325"/>
      <c r="R15" s="326"/>
      <c r="S15" s="2055"/>
    </row>
    <row r="16" spans="2:23" ht="15.75">
      <c r="B16" s="392"/>
      <c r="C16" s="392"/>
      <c r="D16" s="392"/>
      <c r="E16" s="392"/>
      <c r="F16" s="392"/>
      <c r="G16" s="204"/>
      <c r="H16" s="327" t="s">
        <v>396</v>
      </c>
      <c r="I16" s="323"/>
      <c r="J16" s="324"/>
      <c r="K16" s="325"/>
      <c r="L16" s="326"/>
      <c r="M16" s="352"/>
      <c r="N16" s="327" t="s">
        <v>396</v>
      </c>
      <c r="O16" s="323"/>
      <c r="P16" s="324"/>
      <c r="Q16" s="325"/>
      <c r="R16" s="326"/>
      <c r="S16" s="2055"/>
    </row>
    <row r="17" spans="2:20" ht="15.75">
      <c r="B17" s="392"/>
      <c r="C17" s="392"/>
      <c r="D17" s="392"/>
      <c r="E17" s="392"/>
      <c r="F17" s="392"/>
      <c r="G17" s="204"/>
      <c r="H17" s="322" t="s">
        <v>397</v>
      </c>
      <c r="I17" s="323"/>
      <c r="J17" s="324"/>
      <c r="K17" s="325"/>
      <c r="L17" s="326"/>
      <c r="M17" s="352"/>
      <c r="N17" s="322" t="s">
        <v>397</v>
      </c>
      <c r="O17" s="323"/>
      <c r="P17" s="324"/>
      <c r="Q17" s="325"/>
      <c r="R17" s="326"/>
      <c r="S17" s="2055"/>
    </row>
    <row r="18" spans="2:20" ht="16.5" thickBot="1">
      <c r="B18" s="392"/>
      <c r="C18" s="392"/>
      <c r="D18" s="392"/>
      <c r="E18" s="392"/>
      <c r="F18" s="392"/>
      <c r="G18" s="204"/>
      <c r="H18" s="328" t="s">
        <v>398</v>
      </c>
      <c r="I18" s="329"/>
      <c r="J18" s="330"/>
      <c r="K18" s="331"/>
      <c r="L18" s="332"/>
      <c r="M18" s="352"/>
      <c r="N18" s="328" t="s">
        <v>398</v>
      </c>
      <c r="O18" s="329"/>
      <c r="P18" s="330"/>
      <c r="Q18" s="331"/>
      <c r="R18" s="332"/>
      <c r="S18" s="2055"/>
    </row>
    <row r="19" spans="2:20" ht="15" hidden="1" customHeight="1">
      <c r="B19" s="346"/>
      <c r="C19" s="346"/>
      <c r="D19" s="346"/>
      <c r="E19" s="346" t="s">
        <v>618</v>
      </c>
      <c r="F19" s="346" t="s">
        <v>377</v>
      </c>
      <c r="G19" s="204"/>
      <c r="S19" s="2055"/>
    </row>
    <row r="20" spans="2:20" ht="15" hidden="1" customHeight="1">
      <c r="B20" s="346"/>
      <c r="C20" s="346" t="s">
        <v>573</v>
      </c>
      <c r="D20" s="346" t="s">
        <v>574</v>
      </c>
      <c r="E20" s="346">
        <v>7</v>
      </c>
      <c r="F20" s="346">
        <v>7</v>
      </c>
      <c r="G20" s="204"/>
      <c r="I20">
        <f>E20*$I$7+E20*$I$8+E20*$I$9+E20*$I$10+E20*$I$11+E20*$I$12+E20*$I$13+E20*$I$14+E20*$I$15+E20*$I$16+E20*$I$17+E20*$I$18</f>
        <v>0</v>
      </c>
      <c r="J20">
        <f>E20*$J$7+E20*$J$8+E20*$J$9+E20*$J$10+E20*$J$11+E20*$J$12+E20*$J$13+E20*$J$14+E20*$J$15+E20*$J$16+E20*$J$17+E20*$J$18</f>
        <v>0</v>
      </c>
      <c r="K20">
        <f>E20*$K$7+E20*$K$8+E20*$K$9+E20*$K$10+E20*$K$11+E20*$K$12+E20*$K$13+E20*$K$14+E20*$K$15+E20*$K$16+E20*$K$17+E20*$K$18</f>
        <v>0</v>
      </c>
      <c r="L20">
        <f>E20*$L$7+E20*$L$8+E20*$L$9+E20*$L$10+E20*$L$11+E20*$L$12+E20*$L$13+E20*$L$14+E20*$L$15+E20*$L$16+E20*$L$17+E20*$L$18</f>
        <v>0</v>
      </c>
      <c r="O20">
        <f>F20*$O$7+F20*$O$8+F20*$O$9+F20*$O$10+F20*$O$11+F20*$O$12+F20*$O$13+F20*$O$14+F20*$O$15+F20*$O$16+F20*$O$17+F20*$O$18</f>
        <v>0</v>
      </c>
      <c r="P20">
        <f>F20*$P$7+F20*$P$8+F20*$P$9+F20*$P$10+F20*$P$11+F20*$P$12+F20*$P$13+F20*$P$14+F20*$P$15+F20*$P$16+F20*$P$17+F20*$P$18</f>
        <v>0</v>
      </c>
      <c r="Q20">
        <f>F20*$Q$7+F20*$Q$8+F20*$Q$9+F20*$Q$10+F20*$Q$11+F20*$Q$12+F20*$Q$13+F20*$Q$14+F20*$Q$15+F20*$Q$16+F20*$Q$17+F20*$Q$18</f>
        <v>0</v>
      </c>
      <c r="R20">
        <f>F20*$R$7+F20*$R$8+F20*$R$9+F20*$R$10+F20*$R$11+F20*$R$12+F20*$R$13+F20*$R$14+F20*$R$15+F20*$R$16+F20*$R$17+F20*$R$18</f>
        <v>0</v>
      </c>
      <c r="S20" s="2055"/>
      <c r="T20">
        <f>SUM(I20:S20)</f>
        <v>0</v>
      </c>
    </row>
    <row r="21" spans="2:20" ht="15" hidden="1" customHeight="1">
      <c r="B21" s="346"/>
      <c r="C21" s="346" t="s">
        <v>619</v>
      </c>
      <c r="D21" s="346" t="s">
        <v>574</v>
      </c>
      <c r="E21" s="346">
        <v>3</v>
      </c>
      <c r="F21" s="346"/>
      <c r="G21" s="204"/>
      <c r="I21">
        <f t="shared" ref="I21:I29" si="0">E21*$I$7+E21*$I$8+E21*$I$9+E21*$I$10+E21*$I$11+E21*$I$12+E21*$I$13+E21*$I$14+E21*$I$15+E21*$I$16+E21*$I$17+E21*$I$18</f>
        <v>0</v>
      </c>
      <c r="J21">
        <f t="shared" ref="J21:J29" si="1">E21*$J$7+E21*$J$8+E21*$J$9+E21*$J$10+E21*$J$11+E21*$J$12+E21*$J$13+E21*$J$14+E21*$J$15+E21*$J$16+E21*$J$17+E21*$J$18</f>
        <v>0</v>
      </c>
      <c r="K21">
        <f t="shared" ref="K21:K29" si="2">E21*$K$7+E21*$K$8+E21*$K$9+E21*$K$10+E21*$K$11+E21*$K$12+E21*$K$13+E21*$K$14+E21*$K$15+E21*$K$16+E21*$K$17+E21*$K$18</f>
        <v>0</v>
      </c>
      <c r="L21">
        <f t="shared" ref="L21:L29" si="3">E21*$L$7+E21*$L$8+E21*$L$9+E21*$L$10+E21*$L$11+E21*$L$12+E21*$L$13+E21*$L$14+E21*$L$15+E21*$L$16+E21*$L$17+E21*$L$18</f>
        <v>0</v>
      </c>
      <c r="O21">
        <f t="shared" ref="O21:O29" si="4">F21*$O$7+F21*$O$8+F21*$O$9+F21*$O$10+F21*$O$11+F21*$O$12+F21*$O$13+F21*$O$14+F21*$O$15+F21*$O$16+F21*$O$17+F21*$O$18</f>
        <v>0</v>
      </c>
      <c r="P21">
        <f t="shared" ref="P21:P29" si="5">F21*$P$7+F21*$P$8+F21*$P$9+F21*$P$10+F21*$P$11+F21*$P$12+F21*$P$13+F21*$P$14+F21*$P$15+F21*$P$16+F21*$P$17+F21*$P$18</f>
        <v>0</v>
      </c>
      <c r="Q21">
        <f t="shared" ref="Q21:Q29" si="6">F21*$Q$7+F21*$Q$8+F21*$Q$9+F21*$Q$10+F21*$Q$11+F21*$Q$12+F21*$Q$13+F21*$Q$14+F21*$Q$15+F21*$Q$16+F21*$Q$17+F21*$Q$18</f>
        <v>0</v>
      </c>
      <c r="R21">
        <f t="shared" ref="R21:R29" si="7">F21*$R$7+F21*$R$8+F21*$R$9+F21*$R$10+F21*$R$11+F21*$R$12+F21*$R$13+F21*$R$14+F21*$R$15+F21*$R$16+F21*$R$17+F21*$R$18</f>
        <v>0</v>
      </c>
      <c r="S21" s="2055"/>
      <c r="T21">
        <f t="shared" ref="T21:T88" si="8">SUM(I21:S21)</f>
        <v>0</v>
      </c>
    </row>
    <row r="22" spans="2:20" ht="15" hidden="1" customHeight="1">
      <c r="B22" s="346"/>
      <c r="C22" s="346" t="s">
        <v>620</v>
      </c>
      <c r="D22" s="346" t="s">
        <v>574</v>
      </c>
      <c r="E22" s="346">
        <v>0</v>
      </c>
      <c r="F22" s="346">
        <v>3</v>
      </c>
      <c r="G22" s="204"/>
      <c r="I22">
        <f t="shared" si="0"/>
        <v>0</v>
      </c>
      <c r="J22">
        <f t="shared" si="1"/>
        <v>0</v>
      </c>
      <c r="K22">
        <f t="shared" si="2"/>
        <v>0</v>
      </c>
      <c r="L22">
        <f t="shared" si="3"/>
        <v>0</v>
      </c>
      <c r="O22">
        <f t="shared" si="4"/>
        <v>0</v>
      </c>
      <c r="P22">
        <f t="shared" si="5"/>
        <v>0</v>
      </c>
      <c r="Q22">
        <f t="shared" si="6"/>
        <v>0</v>
      </c>
      <c r="R22">
        <f t="shared" si="7"/>
        <v>0</v>
      </c>
      <c r="S22" s="2055"/>
      <c r="T22">
        <f t="shared" si="8"/>
        <v>0</v>
      </c>
    </row>
    <row r="23" spans="2:20" ht="15" hidden="1" customHeight="1">
      <c r="B23" s="346"/>
      <c r="C23" s="346" t="s">
        <v>609</v>
      </c>
      <c r="D23" s="346" t="s">
        <v>574</v>
      </c>
      <c r="E23" s="346">
        <v>3</v>
      </c>
      <c r="F23" s="346">
        <v>3</v>
      </c>
      <c r="G23" s="204"/>
      <c r="I23">
        <f t="shared" si="0"/>
        <v>0</v>
      </c>
      <c r="J23">
        <f t="shared" si="1"/>
        <v>0</v>
      </c>
      <c r="K23">
        <f t="shared" si="2"/>
        <v>0</v>
      </c>
      <c r="L23">
        <f t="shared" si="3"/>
        <v>0</v>
      </c>
      <c r="O23">
        <f t="shared" si="4"/>
        <v>0</v>
      </c>
      <c r="P23">
        <f t="shared" si="5"/>
        <v>0</v>
      </c>
      <c r="Q23">
        <f t="shared" si="6"/>
        <v>0</v>
      </c>
      <c r="R23">
        <f t="shared" si="7"/>
        <v>0</v>
      </c>
      <c r="S23" s="2055"/>
      <c r="T23">
        <f t="shared" si="8"/>
        <v>0</v>
      </c>
    </row>
    <row r="24" spans="2:20" ht="15" hidden="1" customHeight="1">
      <c r="B24" s="346"/>
      <c r="C24" s="346" t="s">
        <v>585</v>
      </c>
      <c r="D24" s="346" t="s">
        <v>574</v>
      </c>
      <c r="E24" s="346">
        <v>9</v>
      </c>
      <c r="F24" s="346">
        <v>0</v>
      </c>
      <c r="G24" s="204"/>
      <c r="H24" s="333"/>
      <c r="I24" s="333">
        <f t="shared" si="0"/>
        <v>0</v>
      </c>
      <c r="J24" s="333">
        <f t="shared" si="1"/>
        <v>0</v>
      </c>
      <c r="K24" s="333">
        <f t="shared" si="2"/>
        <v>0</v>
      </c>
      <c r="L24" s="333">
        <f t="shared" si="3"/>
        <v>0</v>
      </c>
      <c r="M24" s="333"/>
      <c r="N24" s="333"/>
      <c r="O24" s="333"/>
      <c r="P24" s="333"/>
      <c r="Q24" s="333"/>
      <c r="R24" s="333"/>
      <c r="S24" s="2055"/>
      <c r="T24">
        <f t="shared" si="8"/>
        <v>0</v>
      </c>
    </row>
    <row r="25" spans="2:20" ht="15" hidden="1" customHeight="1">
      <c r="B25" s="346"/>
      <c r="C25" s="346" t="s">
        <v>586</v>
      </c>
      <c r="D25" s="346" t="s">
        <v>574</v>
      </c>
      <c r="E25" s="346">
        <v>0</v>
      </c>
      <c r="F25" s="346">
        <v>9</v>
      </c>
      <c r="G25" s="204"/>
      <c r="H25" s="333"/>
      <c r="I25" s="333"/>
      <c r="J25" s="333"/>
      <c r="K25" s="333"/>
      <c r="L25" s="333"/>
      <c r="M25" s="333"/>
      <c r="N25" s="333"/>
      <c r="O25" s="333">
        <f t="shared" si="4"/>
        <v>0</v>
      </c>
      <c r="P25" s="333">
        <f t="shared" si="5"/>
        <v>0</v>
      </c>
      <c r="Q25" s="333">
        <f t="shared" si="6"/>
        <v>0</v>
      </c>
      <c r="R25" s="333">
        <f t="shared" si="7"/>
        <v>0</v>
      </c>
      <c r="S25" s="2055"/>
      <c r="T25">
        <f t="shared" si="8"/>
        <v>0</v>
      </c>
    </row>
    <row r="26" spans="2:20" ht="15" hidden="1" customHeight="1">
      <c r="B26" s="346"/>
      <c r="C26" s="346" t="s">
        <v>582</v>
      </c>
      <c r="D26" s="346" t="s">
        <v>386</v>
      </c>
      <c r="E26" s="346">
        <v>10</v>
      </c>
      <c r="F26" s="346">
        <v>10</v>
      </c>
      <c r="G26" s="204"/>
      <c r="I26">
        <f t="shared" si="0"/>
        <v>0</v>
      </c>
      <c r="J26">
        <f t="shared" si="1"/>
        <v>0</v>
      </c>
      <c r="K26">
        <f t="shared" si="2"/>
        <v>0</v>
      </c>
      <c r="L26">
        <f t="shared" si="3"/>
        <v>0</v>
      </c>
      <c r="O26">
        <f t="shared" si="4"/>
        <v>0</v>
      </c>
      <c r="P26">
        <f t="shared" si="5"/>
        <v>0</v>
      </c>
      <c r="Q26">
        <f t="shared" si="6"/>
        <v>0</v>
      </c>
      <c r="R26">
        <f t="shared" si="7"/>
        <v>0</v>
      </c>
      <c r="S26" s="2055"/>
      <c r="T26">
        <f t="shared" si="8"/>
        <v>0</v>
      </c>
    </row>
    <row r="27" spans="2:20" ht="15" hidden="1" customHeight="1">
      <c r="B27" s="346"/>
      <c r="C27" s="346" t="s">
        <v>621</v>
      </c>
      <c r="D27" s="346" t="s">
        <v>574</v>
      </c>
      <c r="E27" s="346">
        <v>3</v>
      </c>
      <c r="F27" s="346">
        <v>3</v>
      </c>
      <c r="G27" s="204"/>
      <c r="I27">
        <f t="shared" si="0"/>
        <v>0</v>
      </c>
      <c r="J27">
        <f t="shared" si="1"/>
        <v>0</v>
      </c>
      <c r="K27">
        <f t="shared" si="2"/>
        <v>0</v>
      </c>
      <c r="L27">
        <f t="shared" si="3"/>
        <v>0</v>
      </c>
      <c r="O27">
        <f t="shared" si="4"/>
        <v>0</v>
      </c>
      <c r="P27">
        <f t="shared" si="5"/>
        <v>0</v>
      </c>
      <c r="Q27">
        <f t="shared" si="6"/>
        <v>0</v>
      </c>
      <c r="R27">
        <f t="shared" si="7"/>
        <v>0</v>
      </c>
      <c r="S27" s="2055"/>
      <c r="T27">
        <f t="shared" si="8"/>
        <v>0</v>
      </c>
    </row>
    <row r="28" spans="2:20" ht="15" hidden="1" customHeight="1">
      <c r="B28" s="346"/>
      <c r="C28" s="346" t="s">
        <v>604</v>
      </c>
      <c r="D28" s="346" t="s">
        <v>574</v>
      </c>
      <c r="E28" s="346">
        <v>8</v>
      </c>
      <c r="F28" s="346">
        <v>8</v>
      </c>
      <c r="G28" s="204"/>
      <c r="I28">
        <f t="shared" si="0"/>
        <v>0</v>
      </c>
      <c r="J28">
        <f t="shared" si="1"/>
        <v>0</v>
      </c>
      <c r="K28">
        <f t="shared" si="2"/>
        <v>0</v>
      </c>
      <c r="L28">
        <f t="shared" si="3"/>
        <v>0</v>
      </c>
      <c r="O28">
        <f t="shared" si="4"/>
        <v>0</v>
      </c>
      <c r="P28">
        <f t="shared" si="5"/>
        <v>0</v>
      </c>
      <c r="Q28">
        <f t="shared" si="6"/>
        <v>0</v>
      </c>
      <c r="R28">
        <f t="shared" si="7"/>
        <v>0</v>
      </c>
      <c r="S28" s="2055"/>
      <c r="T28">
        <f t="shared" si="8"/>
        <v>0</v>
      </c>
    </row>
    <row r="29" spans="2:20" ht="15" hidden="1" customHeight="1">
      <c r="B29" s="346"/>
      <c r="C29" s="346" t="s">
        <v>622</v>
      </c>
      <c r="D29" s="346" t="s">
        <v>574</v>
      </c>
      <c r="E29" s="346">
        <v>14</v>
      </c>
      <c r="F29" s="346">
        <v>14</v>
      </c>
      <c r="G29" s="204"/>
      <c r="I29">
        <f t="shared" si="0"/>
        <v>0</v>
      </c>
      <c r="J29">
        <f t="shared" si="1"/>
        <v>0</v>
      </c>
      <c r="K29">
        <f t="shared" si="2"/>
        <v>0</v>
      </c>
      <c r="L29">
        <f t="shared" si="3"/>
        <v>0</v>
      </c>
      <c r="O29">
        <f t="shared" si="4"/>
        <v>0</v>
      </c>
      <c r="P29">
        <f t="shared" si="5"/>
        <v>0</v>
      </c>
      <c r="Q29">
        <f t="shared" si="6"/>
        <v>0</v>
      </c>
      <c r="R29">
        <f t="shared" si="7"/>
        <v>0</v>
      </c>
      <c r="S29" s="2055"/>
      <c r="T29">
        <f t="shared" si="8"/>
        <v>0</v>
      </c>
    </row>
    <row r="30" spans="2:20" ht="15" hidden="1" customHeight="1">
      <c r="B30" s="346"/>
      <c r="C30" s="346" t="s">
        <v>605</v>
      </c>
      <c r="D30" s="346" t="s">
        <v>574</v>
      </c>
      <c r="E30" s="346">
        <v>4</v>
      </c>
      <c r="F30" s="346">
        <v>4</v>
      </c>
      <c r="G30" s="204"/>
      <c r="H30" s="334"/>
      <c r="I30">
        <f>E30*$I$7+E30*$I$8+E30*$I$9+E30*$I$10+E30*$I$11+E30*$I$12+E30*$I$13+E30*$I$14+E30*$I$15+E30*$I$16+E30*$I$17+E30*$I$18</f>
        <v>0</v>
      </c>
      <c r="J30">
        <f>E30*$J$7+E30*$J$8+E30*$J$9+E30*$J$10+E30*$J$11+E30*$J$12+E30*$J$13+E30*$J$14+E30*$J$15+E30*$J$16+E30*$J$17+E30*$J$18</f>
        <v>0</v>
      </c>
      <c r="K30">
        <f>E30*$K$7+E30*$K$8+E30*$K$9+E30*$K$10+E30*$K$11+E30*$K$12+E30*$K$13+E30*$K$14+E30*$K$15+E30*$K$16+E30*$K$17+E30*$K$18</f>
        <v>0</v>
      </c>
      <c r="L30">
        <f>E30*$L$7+E30*$L$8+E30*$L$9+E30*$L$10+E30*$L$11+E30*$L$12+E30*$L$13+E30*$L$14+E30*$L$15+E30*$L$16+E30*$L$17+E30*$L$18</f>
        <v>0</v>
      </c>
      <c r="O30">
        <f>F30*$O$7+F30*$O$8+F30*$O$9+F30*$O$10+F30*$O$11+F30*$O$12+F30*$O$13+F30*$O$14+F30*$O$15+F30*$O$16+F30*$O$17+F30*$O$18</f>
        <v>0</v>
      </c>
      <c r="P30">
        <f>F30*$P$7+F30*$P$8+F30*$P$9+F30*$P$10+F30*$P$11+F30*$P$12+F30*$P$13+F30*$P$14+F30*$P$15+F30*$P$16+F30*$P$17+F30*$P$18</f>
        <v>0</v>
      </c>
      <c r="Q30">
        <f>F30*$Q$7+F30*$Q$8+F30*$Q$9+F30*$Q$10+F30*$Q$11+F30*$Q$12+F30*$Q$13+F30*$Q$14+F30*$Q$15+F30*$Q$16+F30*$Q$17+F30*$Q$18</f>
        <v>0</v>
      </c>
      <c r="R30">
        <f>F30*$R$7+F30*$R$8+F30*$R$9+F30*$R$10+F30*$R$11+F30*$R$12+F30*$R$13+F30*$R$14+F30*$R$15+F30*$R$16+F30*$R$17+F30*$R$18</f>
        <v>0</v>
      </c>
      <c r="S30" s="2055"/>
      <c r="T30">
        <f t="shared" si="8"/>
        <v>0</v>
      </c>
    </row>
    <row r="31" spans="2:20" ht="15" hidden="1" customHeight="1">
      <c r="B31" s="346"/>
      <c r="C31" s="346" t="s">
        <v>623</v>
      </c>
      <c r="D31" s="346" t="s">
        <v>574</v>
      </c>
      <c r="E31" s="346">
        <v>3</v>
      </c>
      <c r="F31" s="346">
        <v>3</v>
      </c>
      <c r="G31" s="204"/>
      <c r="H31" s="334"/>
      <c r="I31">
        <f>E31*$I$7+E31*$I$8+E31*$I$9+E31*$I$10+E31*$I$11+E31*$I$12+E31*$I$13+E31*$I$14+E31*$I$15+E31*$I$16+E31*$I$17+E31*$I$18</f>
        <v>0</v>
      </c>
      <c r="O31">
        <f>F31*$O$7+F31*$O$8+F31*$O$9+F31*$O$10+F31*$O$11+F31*$O$12+F31*$O$13+F31*$O$14+F31*$O$15+F31*$O$16+F31*$O$17+F31*$O$18</f>
        <v>0</v>
      </c>
      <c r="S31" s="2055"/>
      <c r="T31">
        <f t="shared" si="8"/>
        <v>0</v>
      </c>
    </row>
    <row r="32" spans="2:20" ht="15" hidden="1" customHeight="1">
      <c r="B32" s="346"/>
      <c r="C32" s="346" t="s">
        <v>624</v>
      </c>
      <c r="D32" s="346" t="s">
        <v>574</v>
      </c>
      <c r="E32" s="346">
        <v>3</v>
      </c>
      <c r="F32" s="346">
        <v>3</v>
      </c>
      <c r="G32" s="204"/>
      <c r="H32" s="334"/>
      <c r="J32">
        <f>E32*$J$7+E32*$J$8+E32*$J$9+E32*$J$10+E32*$J$11+E32*$J$12+E32*$J$13+E32*$J$14+E32*$J$15+E32*$J$16+E32*$J$17+E32*$J$18</f>
        <v>0</v>
      </c>
      <c r="P32">
        <f>F32*$P$7+F32*$P$8+F32*$P$9+F32*$P$10+F32*$P$11+F32*$P$12+F32*$P$13+F32*$P$14+F32*$P$15+F32*$P$16+F32*$P$17+F32*$P$18</f>
        <v>0</v>
      </c>
      <c r="S32" s="2055"/>
      <c r="T32">
        <f t="shared" si="8"/>
        <v>0</v>
      </c>
    </row>
    <row r="33" spans="2:20" ht="15" hidden="1" customHeight="1">
      <c r="B33" s="346"/>
      <c r="C33" s="346" t="s">
        <v>625</v>
      </c>
      <c r="D33" s="346" t="s">
        <v>574</v>
      </c>
      <c r="E33" s="346">
        <v>3</v>
      </c>
      <c r="F33" s="346">
        <v>3</v>
      </c>
      <c r="G33" s="204"/>
      <c r="H33" s="334"/>
      <c r="K33">
        <f>E33*$K$7+E33*$K$8+E33*$K$9+E33*$K$10+E33*$K$11+E33*$K$12+E33*$K$13+E33*$K$14+E33*$K$15+E33*$K$16+E33*$K$17+E33*$K$18</f>
        <v>0</v>
      </c>
      <c r="Q33">
        <f>F33*$Q$7+F33*$Q$8+F33*$Q$9+F33*$Q$10+F33*$Q$11+F33*$Q$12+F33*$Q$13+F33*$Q$14+F33*$Q$15+F33*$Q$16+F33*$Q$17+F33*$Q$18</f>
        <v>0</v>
      </c>
      <c r="S33" s="2055"/>
      <c r="T33">
        <f t="shared" si="8"/>
        <v>0</v>
      </c>
    </row>
    <row r="34" spans="2:20" ht="15" hidden="1" customHeight="1">
      <c r="B34" s="346"/>
      <c r="C34" s="346" t="s">
        <v>626</v>
      </c>
      <c r="D34" s="346" t="s">
        <v>574</v>
      </c>
      <c r="E34" s="346">
        <v>3</v>
      </c>
      <c r="F34" s="346">
        <v>3</v>
      </c>
      <c r="G34" s="204"/>
      <c r="H34" s="334"/>
      <c r="L34">
        <f>E34*$L$7+E34*$L$8+E34*$L$9+E34*$L$10+E34*$L$11+E34*$L$12+E34*$L$13+E34*$L$14+E34*$L$15+E34*$L$16+E34*$L$17+E34*$L$18</f>
        <v>0</v>
      </c>
      <c r="R34">
        <f>F34*$R$7+F34*$R$8+F34*$R$9+F34*$R$10+F34*$R$11+F34*$R$12+F34*$R$13+F34*$R$14+F34*$R$15+F34*$R$16+F34*$R$17+F34*$R$18</f>
        <v>0</v>
      </c>
      <c r="S34" s="2055"/>
      <c r="T34">
        <f t="shared" si="8"/>
        <v>0</v>
      </c>
    </row>
    <row r="35" spans="2:20" ht="15" hidden="1" customHeight="1">
      <c r="B35" s="346"/>
      <c r="C35" s="346" t="s">
        <v>576</v>
      </c>
      <c r="D35" s="346" t="s">
        <v>574</v>
      </c>
      <c r="E35" s="346">
        <v>6</v>
      </c>
      <c r="F35" s="346">
        <v>6</v>
      </c>
      <c r="G35" s="204"/>
      <c r="H35" s="333"/>
      <c r="I35">
        <f>E35*$I$7+E35*$I$8+E35*$I$9+E35*$I$10+E35*$I$11+E35*$I$12+E35*$I$13+E35*$I$14+E35*$I$15+E35*$I$16+E35*$I$17+E35*$I$18</f>
        <v>0</v>
      </c>
      <c r="O35">
        <f>F35*$O$7+F35*$O$8+F35*$O$9+F35*$O$10+F35*$O$11+F35*$O$12+F35*$O$13+F35*$O$14+F35*$O$15+F35*$O$16+F35*$O$17+F35*$O$18</f>
        <v>0</v>
      </c>
      <c r="S35" s="2055"/>
      <c r="T35">
        <f t="shared" si="8"/>
        <v>0</v>
      </c>
    </row>
    <row r="36" spans="2:20" ht="15" hidden="1" customHeight="1">
      <c r="B36" s="346"/>
      <c r="C36" s="346" t="s">
        <v>575</v>
      </c>
      <c r="D36" s="346" t="s">
        <v>574</v>
      </c>
      <c r="E36" s="346">
        <v>6</v>
      </c>
      <c r="F36" s="346">
        <v>6</v>
      </c>
      <c r="G36" s="204"/>
      <c r="H36" s="333"/>
      <c r="J36">
        <f>E36*$J$7+E36*$J$8+E36*$J$9+E36*$J$10+E36*$J$11+E36*$J$12+E36*$J$13+E36*$J$14+E36*$J$15+E36*$J$16+E36*$J$17+E36*$J$18</f>
        <v>0</v>
      </c>
      <c r="P36">
        <f>F36*$P$7+F36*$P$8+F36*$P$9+F36*$P$10+F36*$P$11+F36*$P$12+F36*$P$13+F36*$P$14+F36*$P$15+F36*$P$16+F36*$P$17+F36*$P$18</f>
        <v>0</v>
      </c>
      <c r="S36" s="2055"/>
      <c r="T36">
        <f t="shared" si="8"/>
        <v>0</v>
      </c>
    </row>
    <row r="37" spans="2:20" ht="15" hidden="1" customHeight="1">
      <c r="B37" s="346"/>
      <c r="C37" s="346" t="s">
        <v>578</v>
      </c>
      <c r="D37" s="346" t="s">
        <v>574</v>
      </c>
      <c r="E37" s="346">
        <v>6</v>
      </c>
      <c r="F37" s="346">
        <v>6</v>
      </c>
      <c r="G37" s="204"/>
      <c r="H37" s="333"/>
      <c r="K37">
        <f>E37*$K$7+E37*$K$8+E37*$K$9+E37*$K$10+E37*$K$11+E37*$K$12+E37*$K$13+E37*$K$14+E37*$K$15+E37*$K$16+E37*$K$17+E37*$K$18</f>
        <v>0</v>
      </c>
      <c r="Q37">
        <f>F37*$Q$7+F37*$Q$8+F37*$Q$9+F37*$Q$10+F37*$Q$11+F37*$Q$12+F37*$Q$13+F37*$Q$14+F37*$Q$15+F37*$Q$16+F37*$Q$17+F37*$Q$18</f>
        <v>0</v>
      </c>
      <c r="S37" s="2055"/>
      <c r="T37">
        <f t="shared" si="8"/>
        <v>0</v>
      </c>
    </row>
    <row r="38" spans="2:20" ht="15" hidden="1" customHeight="1">
      <c r="B38" s="346"/>
      <c r="C38" s="346" t="s">
        <v>577</v>
      </c>
      <c r="D38" s="346" t="s">
        <v>574</v>
      </c>
      <c r="E38" s="346">
        <v>6</v>
      </c>
      <c r="F38" s="346">
        <v>6</v>
      </c>
      <c r="G38" s="204"/>
      <c r="H38" s="333"/>
      <c r="L38">
        <f>E38*$L$7+E38*$L$8+E38*$L$9+E38*$L$10+E38*$L$11+E38*$L$12+E38*$L$13+E38*$L$14+E38*$L$15+E38*$L$16+E38*$L$17+E38*$L$18</f>
        <v>0</v>
      </c>
      <c r="R38">
        <f>F38*$R$7+F38*$R$8+F38*$R$9+F38*$R$10+F38*$R$11+F38*$R$12+F38*$R$13+F38*$R$14+F38*$R$15+F38*$R$16+F38*$R$17+F38*$R$18</f>
        <v>0</v>
      </c>
      <c r="S38" s="2055"/>
      <c r="T38">
        <f t="shared" si="8"/>
        <v>0</v>
      </c>
    </row>
    <row r="39" spans="2:20" ht="15" hidden="1" customHeight="1">
      <c r="B39" s="346"/>
      <c r="C39" s="346" t="s">
        <v>627</v>
      </c>
      <c r="D39" s="346" t="s">
        <v>574</v>
      </c>
      <c r="E39" s="346">
        <v>4</v>
      </c>
      <c r="F39" s="346">
        <v>4</v>
      </c>
      <c r="G39" s="204"/>
      <c r="I39">
        <f>E39*$I$7+E39*$I$8+E39*$I$9+E39*$I$10+E39*$I$11+E39*$I$12+E39*$I$13+E39*$I$14+E39*$I$15+E39*$I$16+E39*$I$17+E39*$I$18</f>
        <v>0</v>
      </c>
      <c r="J39">
        <f>E39*$J$7+E39*$J$8+E39*$J$9+E39*$J$10+E39*$J$11+E39*$J$12+E39*$J$13+E39*$J$14+E39*$J$15+E39*$J$16+E39*$J$17+E39*$J$18</f>
        <v>0</v>
      </c>
      <c r="K39">
        <f>E39*$K$7+E39*$K$8+E39*$K$9+E39*$K$10+E39*$K$11+E39*$K$12+E39*$K$13+E39*$K$14+E39*$K$15+E39*$K$16+E39*$K$17+E39*$K$18</f>
        <v>0</v>
      </c>
      <c r="L39">
        <f>E39*$L$7+E39*$L$8+E39*$L$9+E39*$L$10+E39*$L$11+E39*$L$12+E39*$L$13+E39*$L$14+E39*$L$15+E39*$L$16+E39*$L$17+E39*$L$18</f>
        <v>0</v>
      </c>
      <c r="O39">
        <f>F39*$O$7+F39*$O$8+F39*$O$9+F39*$O$10+F39*$O$11+F39*$O$12+F39*$O$13+F39*$O$14+F39*$O$15+F39*$O$16+F39*$O$17+F39*$O$18</f>
        <v>0</v>
      </c>
      <c r="P39">
        <f>F39*$P$7+F39*$P$8+F39*$P$9+F39*$P$10+F39*$P$11+F39*$P$12+F39*$P$13+F39*$P$14+F39*$P$15+F39*$P$16+F39*$P$17+F39*$P$18</f>
        <v>0</v>
      </c>
      <c r="Q39">
        <f>F39*$Q$7+F39*$Q$8+F39*$Q$9+F39*$Q$10+F39*$Q$11+F39*$Q$12+F39*$Q$13+F39*$Q$14+F39*$Q$15+F39*$Q$16+F39*$Q$17+F39*$Q$18</f>
        <v>0</v>
      </c>
      <c r="R39">
        <f>F39*$R$7+F39*$R$8+F39*$R$9+F39*$R$10+F39*$R$11+F39*$R$12+F39*$R$13+F39*$R$14+F39*$R$15+F39*$R$16+F39*$R$17+F39*$R$18</f>
        <v>0</v>
      </c>
      <c r="S39" s="2055"/>
      <c r="T39">
        <f t="shared" si="8"/>
        <v>0</v>
      </c>
    </row>
    <row r="40" spans="2:20" ht="15" hidden="1" customHeight="1">
      <c r="B40" s="346"/>
      <c r="C40" s="346" t="s">
        <v>599</v>
      </c>
      <c r="D40" s="346" t="s">
        <v>574</v>
      </c>
      <c r="E40" s="346">
        <v>6</v>
      </c>
      <c r="F40" s="346">
        <v>6</v>
      </c>
      <c r="G40" s="204"/>
      <c r="I40">
        <f>E40*$I$7+E40*$I$8+E40*$I$9+E40*$I$10+E40*$I$11+E40*$I$12+E40*$I$13+E40*$I$14+E40*$I$15+E40*$I$16+E40*$I$17+E40*$I$18</f>
        <v>0</v>
      </c>
      <c r="J40">
        <f>E40*$J$7+E40*$J$8+E40*$J$9+E40*$J$10+E40*$J$11+E40*$J$12+E40*$J$13+E40*$J$14+E40*$J$15+E40*$J$16+E40*$J$17+E40*$J$18</f>
        <v>0</v>
      </c>
      <c r="K40">
        <f>E40*$K$7+E40*$K$8+E40*$K$9+E40*$K$10+E40*$K$11+E40*$K$12+E40*$K$13+E40*$K$14+E40*$K$15+E40*$K$16+E40*$K$17+E40*$K$18</f>
        <v>0</v>
      </c>
      <c r="L40">
        <f>E40*$L$7+E40*$L$8+E40*$L$9+E40*$L$10+E40*$L$11+E40*$L$12+E40*$L$13+E40*$L$14+E40*$L$15+E40*$L$16+E40*$L$17+E40*$L$18</f>
        <v>0</v>
      </c>
      <c r="O40">
        <f>F40*$O$7+F40*$O$8+F40*$O$9+F40*$O$10+F40*$O$11+F40*$O$12+F40*$O$13+F40*$O$14+F40*$O$15+F40*$O$16+F40*$O$17+F40*$O$18</f>
        <v>0</v>
      </c>
      <c r="P40">
        <f>F40*$P$7+F40*$P$8+F40*$P$9+F40*$P$10+F40*$P$11+F40*$P$12+F40*$P$13+F40*$P$14+F40*$P$15+F40*$P$16+F40*$P$17+F40*$P$18</f>
        <v>0</v>
      </c>
      <c r="Q40">
        <f>F40*$Q$7+F40*$Q$8+F40*$Q$9+F40*$Q$10+F40*$Q$11+F40*$Q$12+F40*$Q$13+F40*$Q$14+F40*$Q$15+F40*$Q$16+F40*$Q$17+F40*$Q$18</f>
        <v>0</v>
      </c>
      <c r="R40">
        <f>F40*$R$7+F40*$R$8+F40*$R$9+F40*$R$10+F40*$R$11+F40*$R$12+F40*$R$13+F40*$R$14+F40*$R$15+F40*$R$16+F40*$R$17+F40*$R$18</f>
        <v>0</v>
      </c>
      <c r="S40" s="2055"/>
      <c r="T40">
        <f t="shared" si="8"/>
        <v>0</v>
      </c>
    </row>
    <row r="41" spans="2:20" ht="15" hidden="1" customHeight="1">
      <c r="B41" s="346"/>
      <c r="C41" s="346" t="s">
        <v>595</v>
      </c>
      <c r="D41" s="346" t="s">
        <v>574</v>
      </c>
      <c r="E41" s="346">
        <v>6</v>
      </c>
      <c r="F41" s="346">
        <v>0</v>
      </c>
      <c r="G41" s="204"/>
      <c r="H41" s="335"/>
      <c r="I41">
        <f>E41*$I$7+E41*$I$8+E41*$I$9+E41*$I$10+E41*$I$11+E41*$I$12+E41*$I$13+E41*$I$14+E41*$I$15+E41*$I$16+E41*$I$17+E41*$I$18</f>
        <v>0</v>
      </c>
      <c r="J41">
        <f>E41*$J$7+E41*$J$8+E41*$J$9+E41*$J$10+E41*$J$11+E41*$J$12+E41*$J$13+E41*$J$14+E41*$J$15+E41*$J$16+E41*$J$17+E41*$J$18</f>
        <v>0</v>
      </c>
      <c r="K41">
        <f>E41*$K$7+E41*$K$8+E41*$K$9+E41*$K$10+E41*$K$11+E41*$K$12+E41*$K$13+E41*$K$14+E41*$K$15+E41*$K$16+E41*$K$17+E41*$K$18</f>
        <v>0</v>
      </c>
      <c r="L41">
        <f>E41*$L$7+E41*$L$8+E41*$L$9+E41*$L$10+E41*$L$11+E41*$L$12+E41*$L$13+E41*$L$14+E41*$L$15+E41*$L$16+E41*$L$17+E41*$L$18</f>
        <v>0</v>
      </c>
      <c r="M41" s="335"/>
      <c r="N41" s="335"/>
      <c r="O41" s="335"/>
      <c r="P41" s="335"/>
      <c r="Q41" s="335"/>
      <c r="R41" s="335"/>
      <c r="S41" s="2055"/>
      <c r="T41">
        <f t="shared" si="8"/>
        <v>0</v>
      </c>
    </row>
    <row r="42" spans="2:20" ht="15" hidden="1" customHeight="1">
      <c r="B42" s="136"/>
      <c r="C42" s="136" t="s">
        <v>596</v>
      </c>
      <c r="D42" s="136" t="s">
        <v>574</v>
      </c>
      <c r="E42" s="136">
        <v>0</v>
      </c>
      <c r="F42" s="136">
        <v>6</v>
      </c>
      <c r="G42" s="345"/>
      <c r="H42" s="336"/>
      <c r="I42" s="336"/>
      <c r="J42" s="336"/>
      <c r="K42" s="336"/>
      <c r="L42" s="336"/>
      <c r="M42" s="336"/>
      <c r="N42" s="336"/>
      <c r="O42">
        <f>F42*$O$7+F42*$O$8+F42*$O$9+F42*$O$10+F42*$O$11+F42*$O$12+F42*$O$13+F42*$O$14+F42*$O$15+F42*$O$16+F42*$O$17+F42*$O$18</f>
        <v>0</v>
      </c>
      <c r="P42">
        <f>F42*$P$7+F42*$P$8+F42*$P$9+F42*$P$10+F42*$P$11+F42*$P$12+F42*$P$13+F42*$P$14+F42*$P$15+F42*$P$16+F42*$P$17+F42*$P$18</f>
        <v>0</v>
      </c>
      <c r="Q42">
        <f t="shared" ref="Q42:Q47" si="9">F42*$Q$7+F42*$Q$8+F42*$Q$9+F42*$Q$10+F42*$Q$11+F42*$Q$12+F42*$Q$13+F42*$Q$14+F42*$Q$15+F42*$Q$16+F42*$Q$17+F42*$Q$18</f>
        <v>0</v>
      </c>
      <c r="R42">
        <f t="shared" ref="R42:R47" si="10">F42*$R$7+F42*$R$8+F42*$R$9+F42*$R$10+F42*$R$11+F42*$R$12+F42*$R$13+F42*$R$14+F42*$R$15+F42*$R$16+F42*$R$17+F42*$R$18</f>
        <v>0</v>
      </c>
      <c r="S42" s="2055"/>
      <c r="T42">
        <f t="shared" si="8"/>
        <v>0</v>
      </c>
    </row>
    <row r="43" spans="2:20" ht="15" hidden="1" customHeight="1">
      <c r="B43" s="346"/>
      <c r="C43" s="346" t="s">
        <v>593</v>
      </c>
      <c r="D43" s="346" t="s">
        <v>574</v>
      </c>
      <c r="E43" s="346">
        <v>6</v>
      </c>
      <c r="F43" s="346">
        <v>6</v>
      </c>
      <c r="G43" s="204"/>
      <c r="I43">
        <f t="shared" ref="I43:I49" si="11">E43*$I$7+E43*$I$8+E43*$I$9+E43*$I$10+E43*$I$11+E43*$I$12+E43*$I$13+E43*$I$14+E43*$I$15+E43*$I$16+E43*$I$17+E43*$I$18</f>
        <v>0</v>
      </c>
      <c r="J43">
        <f t="shared" ref="J43:J50" si="12">E43*$J$7+E43*$J$8+E43*$J$9+E43*$J$10+E43*$J$11+E43*$J$12+E43*$J$13+E43*$J$14+E43*$J$15+E43*$J$16+E43*$J$17+E43*$J$18</f>
        <v>0</v>
      </c>
      <c r="K43">
        <f>E43*$K$7+E43*$K$8+E43*$K$9+E43*$K$10+E43*$K$11+E43*$K$12+E43*$K$13+E43*$K$14+E43*$K$15+E43*$K$16+E43*$K$17+E43*$K$18</f>
        <v>0</v>
      </c>
      <c r="L43">
        <f>E43*$L$7+E43*$L$8+E43*$L$9+E43*$L$10+E43*$L$11+E43*$L$12+E43*$L$13+E43*$L$14+E43*$L$15+E43*$L$16+E43*$L$17+E43*$L$18</f>
        <v>0</v>
      </c>
      <c r="O43">
        <f t="shared" ref="O43:O49" si="13">F43*$O$7+F43*$O$8+F43*$O$9+F43*$O$10+F43*$O$11+F43*$O$12+F43*$O$13+F43*$O$14+F43*$O$15+F43*$O$16+F43*$O$17+F43*$O$18</f>
        <v>0</v>
      </c>
      <c r="P43">
        <f t="shared" ref="P43:P50" si="14">F43*$P$7+F43*$P$8+F43*$P$9+F43*$P$10+F43*$P$11+F43*$P$12+F43*$P$13+F43*$P$14+F43*$P$15+F43*$P$16+F43*$P$17+F43*$P$18</f>
        <v>0</v>
      </c>
      <c r="Q43">
        <f t="shared" si="9"/>
        <v>0</v>
      </c>
      <c r="R43">
        <f t="shared" si="10"/>
        <v>0</v>
      </c>
      <c r="S43" s="2055"/>
      <c r="T43">
        <f t="shared" si="8"/>
        <v>0</v>
      </c>
    </row>
    <row r="44" spans="2:20" ht="15" hidden="1" customHeight="1">
      <c r="B44" s="346"/>
      <c r="C44" s="346" t="s">
        <v>600</v>
      </c>
      <c r="D44" s="346" t="s">
        <v>574</v>
      </c>
      <c r="E44" s="346">
        <v>6</v>
      </c>
      <c r="F44" s="346">
        <v>6</v>
      </c>
      <c r="G44" s="204"/>
      <c r="I44">
        <f t="shared" si="11"/>
        <v>0</v>
      </c>
      <c r="J44">
        <f t="shared" si="12"/>
        <v>0</v>
      </c>
      <c r="K44">
        <f>E44*$K$7+E44*$K$8+E44*$K$9+E44*$K$10+E44*$K$11+E44*$K$12+E44*$K$13+E44*$K$14+E44*$K$15+E44*$K$16+E44*$K$17+E44*$K$18</f>
        <v>0</v>
      </c>
      <c r="L44">
        <f>E44*$L$7+E44*$L$8+E44*$L$9+E44*$L$10+E44*$L$11+E44*$L$12+E44*$L$13+E44*$L$14+E44*$L$15+E44*$L$16+E44*$L$17+E44*$L$18</f>
        <v>0</v>
      </c>
      <c r="O44">
        <f t="shared" si="13"/>
        <v>0</v>
      </c>
      <c r="P44">
        <f t="shared" si="14"/>
        <v>0</v>
      </c>
      <c r="Q44">
        <f t="shared" si="9"/>
        <v>0</v>
      </c>
      <c r="R44">
        <f t="shared" si="10"/>
        <v>0</v>
      </c>
      <c r="S44" s="2055"/>
      <c r="T44">
        <f t="shared" si="8"/>
        <v>0</v>
      </c>
    </row>
    <row r="45" spans="2:20" ht="15" hidden="1" customHeight="1">
      <c r="B45" s="346"/>
      <c r="C45" s="346" t="s">
        <v>628</v>
      </c>
      <c r="D45" s="346" t="s">
        <v>386</v>
      </c>
      <c r="E45" s="346">
        <v>35</v>
      </c>
      <c r="F45" s="346">
        <v>35</v>
      </c>
      <c r="G45" s="204"/>
      <c r="I45">
        <f t="shared" si="11"/>
        <v>0</v>
      </c>
      <c r="J45">
        <f t="shared" si="12"/>
        <v>0</v>
      </c>
      <c r="K45">
        <f>E45*$K$7+E45*$K$8+E45*$K$9+E45*$K$10+E45*$K$11+E45*$K$12+E45*$K$13+E45*$K$14+E45*$K$15+E45*$K$16+E45*$K$17+E45*$K$18</f>
        <v>0</v>
      </c>
      <c r="L45">
        <f>E45*$L$7+E45*$L$8+E45*$L$9+E45*$L$10+E45*$L$11+E45*$L$12+E45*$L$13+E45*$L$14+E45*$L$15+E45*$L$16+E45*$L$17+E45*$L$18</f>
        <v>0</v>
      </c>
      <c r="O45">
        <f t="shared" si="13"/>
        <v>0</v>
      </c>
      <c r="P45">
        <f t="shared" si="14"/>
        <v>0</v>
      </c>
      <c r="Q45">
        <f t="shared" si="9"/>
        <v>0</v>
      </c>
      <c r="R45">
        <f t="shared" si="10"/>
        <v>0</v>
      </c>
      <c r="S45" s="2055"/>
      <c r="T45">
        <f t="shared" si="8"/>
        <v>0</v>
      </c>
    </row>
    <row r="46" spans="2:20" ht="15" hidden="1" customHeight="1">
      <c r="B46" s="346"/>
      <c r="C46" s="346" t="s">
        <v>581</v>
      </c>
      <c r="D46" s="346" t="s">
        <v>386</v>
      </c>
      <c r="E46" s="346">
        <v>13</v>
      </c>
      <c r="F46" s="346">
        <v>13</v>
      </c>
      <c r="G46" s="204"/>
      <c r="I46">
        <f t="shared" si="11"/>
        <v>0</v>
      </c>
      <c r="J46">
        <f t="shared" si="12"/>
        <v>0</v>
      </c>
      <c r="K46">
        <f>E46*$K$7+E46*$K$8+E46*$K$9+E46*$K$10+E46*$K$11+E46*$K$12+E46*$K$13+E46*$K$14+E46*$K$15+E46*$K$16+E46*$K$17+E46*$K$18</f>
        <v>0</v>
      </c>
      <c r="L46">
        <f>E46*$L$7+E46*$L$8+E46*$L$9+E46*$L$10+E46*$L$11+E46*$L$12+E46*$L$13+E46*$L$14+E46*$L$15+E46*$L$16+E46*$L$17+E46*$L$18</f>
        <v>0</v>
      </c>
      <c r="O46">
        <f t="shared" si="13"/>
        <v>0</v>
      </c>
      <c r="P46">
        <f t="shared" si="14"/>
        <v>0</v>
      </c>
      <c r="Q46">
        <f t="shared" si="9"/>
        <v>0</v>
      </c>
      <c r="R46">
        <f t="shared" si="10"/>
        <v>0</v>
      </c>
      <c r="S46" s="2055"/>
      <c r="T46">
        <f t="shared" si="8"/>
        <v>0</v>
      </c>
    </row>
    <row r="47" spans="2:20" ht="15" hidden="1" customHeight="1">
      <c r="B47" s="346"/>
      <c r="C47" s="346" t="s">
        <v>594</v>
      </c>
      <c r="D47" s="346" t="s">
        <v>574</v>
      </c>
      <c r="E47" s="346">
        <v>1</v>
      </c>
      <c r="F47" s="346">
        <v>1</v>
      </c>
      <c r="G47" s="204"/>
      <c r="I47">
        <f t="shared" si="11"/>
        <v>0</v>
      </c>
      <c r="J47">
        <f t="shared" si="12"/>
        <v>0</v>
      </c>
      <c r="K47">
        <f>E47*$K$7+E47*$K$8+E47*$K$9+E47*$K$10+E47*$K$11+E47*$K$12+E47*$K$13+E47*$K$14+E47*$K$15+E47*$K$16+E47*$K$17+E47*$K$18</f>
        <v>0</v>
      </c>
      <c r="L47">
        <f>E47*$L$7+E47*$L$8+E47*$L$9+E47*$L$10+E47*$L$11+E47*$L$12+E47*$L$13+E47*$L$14+E47*$L$15+E47*$L$16+E47*$L$17+E47*$L$18</f>
        <v>0</v>
      </c>
      <c r="O47">
        <f t="shared" si="13"/>
        <v>0</v>
      </c>
      <c r="P47">
        <f t="shared" si="14"/>
        <v>0</v>
      </c>
      <c r="Q47">
        <f t="shared" si="9"/>
        <v>0</v>
      </c>
      <c r="R47">
        <f t="shared" si="10"/>
        <v>0</v>
      </c>
      <c r="S47" s="2055"/>
      <c r="T47">
        <f t="shared" si="8"/>
        <v>0</v>
      </c>
    </row>
    <row r="48" spans="2:20" ht="15" hidden="1" customHeight="1">
      <c r="B48" s="346"/>
      <c r="C48" s="333" t="s">
        <v>1128</v>
      </c>
      <c r="D48" s="346"/>
      <c r="E48" s="346">
        <v>1</v>
      </c>
      <c r="F48" s="346">
        <v>1</v>
      </c>
      <c r="G48" s="204"/>
      <c r="I48">
        <f>SUM(I8:L8,I9:L9,I11:L11,I12:L12,I14:L14,I15:L15,I17:L17,I18:L18)*(1)</f>
        <v>0</v>
      </c>
      <c r="O48">
        <f>SUM(O8:R8,O9:R9,O11:R11,O12:R12,O14:R14,O15:R15,O17:R17,O18:R18)*(1)</f>
        <v>0</v>
      </c>
      <c r="S48" s="2055"/>
      <c r="T48">
        <f t="shared" si="8"/>
        <v>0</v>
      </c>
    </row>
    <row r="49" spans="2:20" ht="15" hidden="1" customHeight="1">
      <c r="B49" s="346" t="s">
        <v>95</v>
      </c>
      <c r="C49" s="346" t="s">
        <v>629</v>
      </c>
      <c r="D49" s="346" t="s">
        <v>574</v>
      </c>
      <c r="E49" s="346">
        <v>12</v>
      </c>
      <c r="F49" s="346">
        <v>12</v>
      </c>
      <c r="G49" s="204"/>
      <c r="H49" s="337"/>
      <c r="I49">
        <f t="shared" si="11"/>
        <v>0</v>
      </c>
      <c r="J49" s="337"/>
      <c r="K49" s="337"/>
      <c r="L49" s="337"/>
      <c r="M49" s="337"/>
      <c r="N49" s="337"/>
      <c r="O49">
        <f t="shared" si="13"/>
        <v>0</v>
      </c>
      <c r="P49" s="337"/>
      <c r="Q49" s="337"/>
      <c r="R49" s="337"/>
      <c r="S49" s="2055"/>
      <c r="T49">
        <f>SUM(I49:S49)+K55+Q55</f>
        <v>0</v>
      </c>
    </row>
    <row r="50" spans="2:20" ht="15" hidden="1" customHeight="1">
      <c r="B50" s="346" t="s">
        <v>630</v>
      </c>
      <c r="C50" s="346" t="s">
        <v>631</v>
      </c>
      <c r="D50" s="346" t="s">
        <v>574</v>
      </c>
      <c r="E50" s="346">
        <v>12</v>
      </c>
      <c r="F50" s="346">
        <v>12</v>
      </c>
      <c r="G50" s="204"/>
      <c r="H50" s="337"/>
      <c r="I50" s="337"/>
      <c r="J50">
        <f t="shared" si="12"/>
        <v>0</v>
      </c>
      <c r="K50" s="337"/>
      <c r="L50" s="337"/>
      <c r="M50" s="337"/>
      <c r="N50" s="337"/>
      <c r="O50" s="337"/>
      <c r="P50">
        <f t="shared" si="14"/>
        <v>0</v>
      </c>
      <c r="Q50" s="337"/>
      <c r="R50" s="337"/>
      <c r="S50" s="2055"/>
      <c r="T50">
        <f t="shared" si="8"/>
        <v>0</v>
      </c>
    </row>
    <row r="51" spans="2:20" ht="15" hidden="1" customHeight="1">
      <c r="B51" s="346" t="s">
        <v>632</v>
      </c>
      <c r="C51" s="346" t="s">
        <v>633</v>
      </c>
      <c r="D51" s="346" t="s">
        <v>574</v>
      </c>
      <c r="E51" s="346">
        <v>12</v>
      </c>
      <c r="F51" s="346">
        <v>12</v>
      </c>
      <c r="G51" s="204"/>
      <c r="H51" s="337"/>
      <c r="I51" s="337"/>
      <c r="J51" s="337"/>
      <c r="K51">
        <f>E51*$K$7+E51*$K$8+E51*$K$9+E51*$K$10+E51*$K$11+E51*$K$12+E51*$K$13+E51*$K$14+E51*$K$15+E51*$K$16+E51*$K$17+E51*$K$18</f>
        <v>0</v>
      </c>
      <c r="L51" s="337"/>
      <c r="M51" s="337"/>
      <c r="N51" s="337"/>
      <c r="O51" s="337"/>
      <c r="P51" s="337"/>
      <c r="Q51">
        <f>F51*$Q$7+F51*$Q$8+F51*$Q$9+F51*$Q$10+F51*$Q$11+F51*$Q$12+F51*$Q$13+F51*$Q$14+F51*$Q$15+F51*$Q$16+F51*$Q$17+F51*$Q$18</f>
        <v>0</v>
      </c>
      <c r="R51" s="337"/>
      <c r="S51" s="2055"/>
      <c r="T51">
        <f t="shared" si="8"/>
        <v>0</v>
      </c>
    </row>
    <row r="52" spans="2:20" ht="15" hidden="1" customHeight="1">
      <c r="B52" s="346">
        <v>336</v>
      </c>
      <c r="C52" s="346" t="s">
        <v>634</v>
      </c>
      <c r="D52" s="346" t="s">
        <v>574</v>
      </c>
      <c r="E52" s="346">
        <v>18</v>
      </c>
      <c r="F52" s="346">
        <v>18</v>
      </c>
      <c r="G52" s="204"/>
      <c r="H52" s="337"/>
      <c r="I52" s="337"/>
      <c r="J52" s="337"/>
      <c r="K52" s="337"/>
      <c r="L52">
        <f>E52*$L$7+E52*$L$8+E52*$L$9+E52*$L$10+E52*$L$11+E52*$L$12+E52*$L$13+E52*$L$14+E52*$L$15+E52*$L$16+E52*$L$17+E52*$L$18</f>
        <v>0</v>
      </c>
      <c r="M52" s="337"/>
      <c r="N52" s="337"/>
      <c r="O52" s="337"/>
      <c r="P52" s="337"/>
      <c r="Q52" s="337"/>
      <c r="R52">
        <f>F52*$R$7+F52*$R$8+F52*$R$9+F52*$R$10+F52*$R$11+F52*$R$12+F52*$R$13+F52*$R$14+F52*$R$15+F52*$R$16+F52*$R$17+F52*$R$18</f>
        <v>0</v>
      </c>
      <c r="S52" s="2055"/>
      <c r="T52">
        <f t="shared" si="8"/>
        <v>0</v>
      </c>
    </row>
    <row r="53" spans="2:20" ht="15" hidden="1" customHeight="1">
      <c r="B53" s="346" t="s">
        <v>95</v>
      </c>
      <c r="C53" s="346" t="s">
        <v>635</v>
      </c>
      <c r="D53" s="346" t="s">
        <v>574</v>
      </c>
      <c r="E53" s="346">
        <v>6</v>
      </c>
      <c r="F53" s="346">
        <v>6</v>
      </c>
      <c r="G53" s="204"/>
      <c r="H53" s="337"/>
      <c r="I53">
        <f>E53*$I$7+E53*$I$8+E53*$I$9+E53*$I$10+E53*$I$11+E53*$I$12+E53*$I$13+E53*$I$14+E53*$I$15+E53*$I$16+E53*$I$17+E53*$I$18</f>
        <v>0</v>
      </c>
      <c r="J53" s="337"/>
      <c r="K53" s="337"/>
      <c r="L53" s="337"/>
      <c r="M53" s="337"/>
      <c r="N53" s="337"/>
      <c r="O53">
        <f>F53*$O$7+F53*$O$8+F53*$O$9+F53*$O$10+F53*$O$11+F53*$O$12+F53*$O$13+F53*$O$14+F53*$O$15+F53*$O$16+F53*$O$17+F53*$O$18</f>
        <v>0</v>
      </c>
      <c r="P53" s="337"/>
      <c r="Q53" s="337"/>
      <c r="R53" s="337"/>
      <c r="S53" s="2055"/>
      <c r="T53">
        <f t="shared" si="8"/>
        <v>0</v>
      </c>
    </row>
    <row r="54" spans="2:20" ht="15" hidden="1" customHeight="1">
      <c r="B54" s="346" t="s">
        <v>630</v>
      </c>
      <c r="C54" s="346" t="s">
        <v>636</v>
      </c>
      <c r="D54" s="346" t="s">
        <v>574</v>
      </c>
      <c r="E54" s="346">
        <v>6</v>
      </c>
      <c r="F54" s="346">
        <v>6</v>
      </c>
      <c r="G54" s="204"/>
      <c r="H54" s="337"/>
      <c r="I54" s="337"/>
      <c r="J54">
        <f>E54*$J$7+E54*$J$8+E54*$J$9+E54*$J$10+E54*$J$11+E54*$J$12+E54*$J$13+E54*$J$14+E54*$J$15+E54*$J$16+E54*$J$17+E54*$J$18</f>
        <v>0</v>
      </c>
      <c r="K54" s="337"/>
      <c r="L54" s="337"/>
      <c r="M54" s="337"/>
      <c r="N54" s="337"/>
      <c r="O54" s="337"/>
      <c r="P54">
        <f>F54*$P$7+F54*$P$8+F54*$P$9+F54*$P$10+F54*$P$11+F54*$P$12+F54*$P$13+F54*$P$14+F54*$P$15+F54*$P$16+F54*$P$17+F54*$P$18</f>
        <v>0</v>
      </c>
      <c r="Q54" s="337"/>
      <c r="R54" s="337"/>
      <c r="S54" s="2055"/>
      <c r="T54">
        <f t="shared" si="8"/>
        <v>0</v>
      </c>
    </row>
    <row r="55" spans="2:20" ht="15" hidden="1" customHeight="1">
      <c r="B55" s="346" t="s">
        <v>632</v>
      </c>
      <c r="C55" s="346" t="s">
        <v>629</v>
      </c>
      <c r="D55" s="346" t="s">
        <v>574</v>
      </c>
      <c r="E55" s="346">
        <v>6</v>
      </c>
      <c r="F55" s="346">
        <v>6</v>
      </c>
      <c r="G55" s="204"/>
      <c r="H55" s="337"/>
      <c r="I55" s="337"/>
      <c r="J55" s="337"/>
      <c r="K55">
        <f>E55*$K$7+E55*$K$8+E55*$K$9+E55*$K$10+E55*$K$11+E55*$K$12+E55*$K$13+E55*$K$14+E55*$K$15+E55*$K$16+E55*$K$17+E55*$K$18</f>
        <v>0</v>
      </c>
      <c r="L55" s="337"/>
      <c r="M55" s="337"/>
      <c r="N55" s="337"/>
      <c r="O55" s="337"/>
      <c r="P55" s="337"/>
      <c r="Q55">
        <f>F55*$Q$7+F55*$Q$8+F55*$Q$9+F55*$Q$10+F55*$Q$11+F55*$Q$12+F55*$Q$13+F55*$Q$14+F55*$Q$15+F55*$Q$16+F55*$Q$17+F55*$Q$18</f>
        <v>0</v>
      </c>
      <c r="R55" s="337"/>
      <c r="S55" s="2055"/>
      <c r="T55" s="341"/>
    </row>
    <row r="56" spans="2:20" ht="15" hidden="1" customHeight="1">
      <c r="B56" s="346">
        <v>336</v>
      </c>
      <c r="C56" s="346" t="s">
        <v>637</v>
      </c>
      <c r="D56" s="346" t="s">
        <v>574</v>
      </c>
      <c r="E56" s="346">
        <v>6</v>
      </c>
      <c r="F56" s="346">
        <v>6</v>
      </c>
      <c r="G56" s="204"/>
      <c r="H56" s="337"/>
      <c r="I56" s="337"/>
      <c r="J56" s="337"/>
      <c r="K56" s="337"/>
      <c r="L56">
        <f>E56*$L$7+E56*$L$8+E56*$L$9+E56*$L$10+E56*$L$11+E56*$L$12+E56*$L$13+E56*$L$14+E56*$L$15+E56*$L$16+E56*$L$17+E56*$L$18</f>
        <v>0</v>
      </c>
      <c r="M56" s="337"/>
      <c r="N56" s="337"/>
      <c r="O56" s="337"/>
      <c r="P56" s="337"/>
      <c r="Q56" s="337"/>
      <c r="R56">
        <f>F56*$R$7+F56*$R$8+F56*$R$9+F56*$R$10+F56*$R$11+F56*$R$12+F56*$R$13+F56*$R$14+F56*$R$15+F56*$R$16+F56*$R$17+F56*$R$18</f>
        <v>0</v>
      </c>
      <c r="S56" s="2055"/>
      <c r="T56">
        <f t="shared" si="8"/>
        <v>0</v>
      </c>
    </row>
    <row r="57" spans="2:20" ht="15" hidden="1" customHeight="1">
      <c r="B57" s="346"/>
      <c r="C57" s="346" t="s">
        <v>583</v>
      </c>
      <c r="D57" s="346" t="s">
        <v>574</v>
      </c>
      <c r="E57" s="346" t="s">
        <v>638</v>
      </c>
      <c r="F57" s="346">
        <v>0</v>
      </c>
      <c r="G57" s="204"/>
      <c r="H57" s="338"/>
      <c r="I57" s="338"/>
      <c r="J57" s="338"/>
      <c r="K57" s="338"/>
      <c r="L57" s="338"/>
      <c r="M57" s="338"/>
      <c r="N57" s="338"/>
      <c r="O57" s="338"/>
      <c r="P57" s="338"/>
      <c r="Q57" s="338"/>
      <c r="R57" s="338"/>
      <c r="S57" s="2055"/>
      <c r="T57">
        <f t="shared" si="8"/>
        <v>0</v>
      </c>
    </row>
    <row r="58" spans="2:20" ht="15" hidden="1" customHeight="1">
      <c r="B58" s="346"/>
      <c r="C58" s="346" t="s">
        <v>584</v>
      </c>
      <c r="D58" s="346" t="s">
        <v>574</v>
      </c>
      <c r="E58" s="346">
        <v>0</v>
      </c>
      <c r="F58" s="346" t="s">
        <v>638</v>
      </c>
      <c r="G58" s="204"/>
      <c r="H58" s="338"/>
      <c r="I58" s="338"/>
      <c r="J58" s="338"/>
      <c r="K58" s="338"/>
      <c r="L58" s="338"/>
      <c r="M58" s="338"/>
      <c r="N58" s="338"/>
      <c r="O58" s="338"/>
      <c r="P58" s="338"/>
      <c r="Q58" s="338"/>
      <c r="R58" s="338"/>
      <c r="S58" s="2055"/>
      <c r="T58">
        <f t="shared" si="8"/>
        <v>0</v>
      </c>
    </row>
    <row r="59" spans="2:20" ht="15" hidden="1" customHeight="1">
      <c r="B59" s="346"/>
      <c r="C59" s="346" t="s">
        <v>606</v>
      </c>
      <c r="D59" s="346" t="s">
        <v>574</v>
      </c>
      <c r="E59" s="346">
        <v>1</v>
      </c>
      <c r="F59" s="346">
        <v>1</v>
      </c>
      <c r="G59" s="204"/>
      <c r="I59">
        <f>E59*$I$7+E59*$I$8+E59*$I$9+E59*$I$10+E59*$I$11+E59*$I$12+E59*$I$13+E59*$I$14+E59*$I$15+E59*$I$16+E59*$I$17+E59*$I$18</f>
        <v>0</v>
      </c>
      <c r="J59">
        <f>E59*$J$7+E59*$J$8+E59*$J$9+E59*$J$10+E59*$J$11+E59*$J$12+E59*$J$13+E59*$J$14+E59*$J$15+E59*$J$16+E59*$J$17+E59*$J$18</f>
        <v>0</v>
      </c>
      <c r="K59">
        <f>E59*$K$7+E59*$K$8+E59*$K$9+E59*$K$10+E59*$K$11+E59*$K$12+E59*$K$13+E59*$K$14+E59*$K$15+E59*$K$16+E59*$K$17+E59*$K$18</f>
        <v>0</v>
      </c>
      <c r="L59">
        <f>E59*$L$7+E59*$L$8+E59*$L$9+E59*$L$10+E59*$L$11+E59*$L$12+E59*$L$13+E59*$L$14+E59*$L$15+E59*$L$16+E59*$L$17+E59*$L$18</f>
        <v>0</v>
      </c>
      <c r="O59">
        <f>F59*$O$7+F59*$O$8+F59*$O$9+F59*$O$10+F59*$O$11+F59*$O$12+F59*$O$13+F59*$O$14+F59*$O$15+F59*$O$16+F59*$O$17+F59*$O$18</f>
        <v>0</v>
      </c>
      <c r="P59">
        <f>F59*$P$7+F59*$P$8+F59*$P$9+F59*$P$10+F59*$P$11+F59*$P$12+F59*$P$13+F59*$P$14+F59*$P$15+F59*$P$16+F59*$P$17+F59*$P$18</f>
        <v>0</v>
      </c>
      <c r="Q59">
        <f>F59*$Q$7+F59*$Q$8+F59*$Q$9+F59*$Q$10+F59*$Q$11+F59*$Q$12+F59*$Q$13+F59*$Q$14+F59*$Q$15+F59*$Q$16+F59*$Q$17+F59*$Q$18</f>
        <v>0</v>
      </c>
      <c r="R59">
        <f>F59*$R$7+F59*$R$8+F59*$R$9+F59*$R$10+F59*$R$11+F59*$R$12+F59*$R$13+F59*$R$14+F59*$R$15+F59*$R$16+F59*$R$17+F59*$R$18</f>
        <v>0</v>
      </c>
      <c r="S59" s="2055"/>
      <c r="T59">
        <f t="shared" si="8"/>
        <v>0</v>
      </c>
    </row>
    <row r="60" spans="2:20" ht="15" hidden="1" customHeight="1">
      <c r="B60" s="346"/>
      <c r="C60" s="346" t="s">
        <v>614</v>
      </c>
      <c r="D60" s="346" t="s">
        <v>574</v>
      </c>
      <c r="E60" s="346">
        <v>4</v>
      </c>
      <c r="F60" s="346">
        <v>4</v>
      </c>
      <c r="G60" s="204"/>
      <c r="I60">
        <f>E60*$I$7+E60*$I$8+E60*$I$9+E60*$I$10+E60*$I$11+E60*$I$12+E60*$I$13+E60*$I$14+E60*$I$15+E60*$I$16+E60*$I$17+E60*$I$18</f>
        <v>0</v>
      </c>
      <c r="J60">
        <f>E60*$J$7+E60*$J$8+E60*$J$9+E60*$J$10+E60*$J$11+E60*$J$12+E60*$J$13+E60*$J$14+E60*$J$15+E60*$J$16+E60*$J$17+E60*$J$18</f>
        <v>0</v>
      </c>
      <c r="K60">
        <f>E60*$K$7+E60*$K$8+E60*$K$9+E60*$K$10+E60*$K$11+E60*$K$12+E60*$K$13+E60*$K$14+E60*$K$15+E60*$K$16+E60*$K$17+E60*$K$18</f>
        <v>0</v>
      </c>
      <c r="L60">
        <f>E60*$L$7+E60*$L$8+E60*$L$9+E60*$L$10+E60*$L$11+E60*$L$12+E60*$L$13+E60*$L$14+E60*$L$15+E60*$L$16+E60*$L$17+E60*$L$18</f>
        <v>0</v>
      </c>
      <c r="O60">
        <f>F60*$O$7+F60*$O$8+F60*$O$9+F60*$O$10+F60*$O$11+F60*$O$12+F60*$O$13+F60*$O$14+F60*$O$15+F60*$O$16+F60*$O$17+F60*$O$18</f>
        <v>0</v>
      </c>
      <c r="P60">
        <f>F60*$P$7+F60*$P$8+F60*$P$9+F60*$P$10+F60*$P$11+F60*$P$12+F60*$P$13+F60*$P$14+F60*$P$15+F60*$P$16+F60*$P$17+F60*$P$18</f>
        <v>0</v>
      </c>
      <c r="Q60">
        <f>F60*$Q$7+F60*$Q$8+F60*$Q$9+F60*$Q$10+F60*$Q$11+F60*$Q$12+F60*$Q$13+F60*$Q$14+F60*$Q$15+F60*$Q$16+F60*$Q$17+F60*$Q$18</f>
        <v>0</v>
      </c>
      <c r="R60">
        <f>F60*$R$7+F60*$R$8+F60*$R$9+F60*$R$10+F60*$R$11+F60*$R$12+F60*$R$13+F60*$R$14+F60*$R$15+F60*$R$16+F60*$R$17+F60*$R$18</f>
        <v>0</v>
      </c>
      <c r="S60" s="2055"/>
      <c r="T60">
        <f t="shared" si="8"/>
        <v>0</v>
      </c>
    </row>
    <row r="61" spans="2:20" ht="15" hidden="1" customHeight="1">
      <c r="B61" s="346"/>
      <c r="C61" s="346" t="s">
        <v>639</v>
      </c>
      <c r="D61" s="346"/>
      <c r="E61" s="346">
        <v>1</v>
      </c>
      <c r="F61" s="346">
        <v>0</v>
      </c>
      <c r="G61" s="204"/>
      <c r="H61" s="338"/>
      <c r="I61">
        <f>E61*$I$7+E61*$I$8+E61*$I$9+E61*$I$10+E61*$I$11+E61*$I$12+E61*$I$13+E61*$I$14+E61*$I$15+E61*$I$16+E61*$I$17+E61*$I$18</f>
        <v>0</v>
      </c>
      <c r="J61">
        <f>E61*$J$7+E61*$J$8+E61*$J$9+E61*$J$10+E61*$J$11+E61*$J$12+E61*$J$13+E61*$J$14+E61*$J$15+E61*$J$16+E61*$J$17+E61*$J$18</f>
        <v>0</v>
      </c>
      <c r="K61">
        <f>E61*$K$7+E61*$K$8+E61*$K$9+E61*$K$10+E61*$K$11+E61*$K$12+E61*$K$13+E61*$K$14+E61*$K$15+E61*$K$16+E61*$K$17+E61*$K$18</f>
        <v>0</v>
      </c>
      <c r="L61">
        <f>E61*$L$7+E61*$L$8+E61*$L$9+E61*$L$10+E61*$L$11+E61*$L$12+E61*$L$13+E61*$L$14+E61*$L$15+E61*$L$16+E61*$L$17+E61*$L$18</f>
        <v>0</v>
      </c>
      <c r="M61" s="338"/>
      <c r="N61" s="338"/>
      <c r="O61">
        <f>F61*$O$7+F61*$O$8+F61*$O$9+F61*$O$10+F61*$O$11+F61*$O$12+F61*$O$13+F61*$O$14+F61*$O$15+F61*$O$16+F61*$O$17+F61*$O$18</f>
        <v>0</v>
      </c>
      <c r="P61">
        <f>F61*$P$7+F61*$P$8+F61*$P$9+F61*$P$10+F61*$P$11+F61*$P$12+F61*$P$13+F61*$P$14+F61*$P$15+F61*$P$16+F61*$P$17+F61*$P$18</f>
        <v>0</v>
      </c>
      <c r="Q61">
        <f>F61*$Q$7+F61*$Q$8+F61*$Q$9+F61*$Q$10+F61*$Q$11+F61*$Q$12+F61*$Q$13+F61*$Q$14+F61*$Q$15+F61*$Q$16+F61*$Q$17+F61*$Q$18</f>
        <v>0</v>
      </c>
      <c r="R61">
        <f>F61*$R$7+F61*$R$8+F61*$R$9+F61*$R$10+F61*$R$11+F61*$R$12+F61*$R$13+F61*$R$14+F61*$R$15+F61*$R$16+F61*$R$17+F61*$R$18</f>
        <v>0</v>
      </c>
      <c r="S61" s="2055"/>
      <c r="T61">
        <f t="shared" si="8"/>
        <v>0</v>
      </c>
    </row>
    <row r="62" spans="2:20" ht="15" hidden="1" customHeight="1">
      <c r="B62" s="346"/>
      <c r="C62" s="346" t="s">
        <v>640</v>
      </c>
      <c r="D62" s="346"/>
      <c r="E62" s="346">
        <v>0</v>
      </c>
      <c r="F62" s="346">
        <v>1</v>
      </c>
      <c r="G62" s="204"/>
      <c r="H62" s="338"/>
      <c r="I62" s="338"/>
      <c r="J62" s="338"/>
      <c r="K62" s="338"/>
      <c r="L62" s="338"/>
      <c r="M62" s="338"/>
      <c r="N62" s="338"/>
      <c r="O62" s="338"/>
      <c r="P62" s="338"/>
      <c r="Q62" s="338"/>
      <c r="R62" s="338"/>
      <c r="S62" s="2055"/>
      <c r="T62">
        <f t="shared" si="8"/>
        <v>0</v>
      </c>
    </row>
    <row r="63" spans="2:20" ht="15" hidden="1" customHeight="1">
      <c r="B63" s="346"/>
      <c r="C63" s="346" t="s">
        <v>611</v>
      </c>
      <c r="D63" s="346" t="s">
        <v>574</v>
      </c>
      <c r="E63" s="346">
        <v>1</v>
      </c>
      <c r="F63" s="346">
        <v>0</v>
      </c>
      <c r="G63" s="204"/>
      <c r="H63" s="339"/>
      <c r="I63">
        <f>E63*$I$7+E63*$I$8+E63*$I$9+E63*$I$10+E63*$I$11+E63*$I$12+E63*$I$13+E63*$I$14+E63*$I$15+E63*$I$16+E63*$I$17+E63*$I$18</f>
        <v>0</v>
      </c>
      <c r="J63">
        <f>E63*$J$7+E63*$J$8+E63*$J$9+E63*$J$10+E63*$J$11+E63*$J$12+E63*$J$13+E63*$J$14+E63*$J$15+E63*$J$16+E63*$J$17+E63*$J$18</f>
        <v>0</v>
      </c>
      <c r="K63">
        <f>E63*$K$7+E63*$K$8+E63*$K$9+E63*$K$10+E63*$K$11+E63*$K$12+E63*$K$13+E63*$K$14+E63*$K$15+E63*$K$16+E63*$K$17+E63*$K$18</f>
        <v>0</v>
      </c>
      <c r="L63">
        <f>E63*$L$7+E63*$L$8+E63*$L$9+E63*$L$10+E63*$L$11+E63*$L$12+E63*$L$13+E63*$L$14+E63*$L$15+E63*$L$16+E63*$L$17+E63*$L$18</f>
        <v>0</v>
      </c>
      <c r="M63" s="339"/>
      <c r="N63" s="339"/>
      <c r="S63" s="2055"/>
      <c r="T63">
        <f t="shared" si="8"/>
        <v>0</v>
      </c>
    </row>
    <row r="64" spans="2:20" ht="15" hidden="1" customHeight="1">
      <c r="B64" s="346"/>
      <c r="C64" s="346" t="s">
        <v>612</v>
      </c>
      <c r="D64" s="346" t="s">
        <v>574</v>
      </c>
      <c r="E64" s="346">
        <v>0</v>
      </c>
      <c r="F64" s="346">
        <v>1</v>
      </c>
      <c r="G64" s="204"/>
      <c r="H64" s="339"/>
      <c r="I64" s="339"/>
      <c r="J64" s="339"/>
      <c r="K64" s="339"/>
      <c r="L64" s="339"/>
      <c r="M64" s="339"/>
      <c r="N64" s="339"/>
      <c r="O64">
        <f>F64*$O$7+F64*$O$8+F64*$O$9+F64*$O$10+F64*$O$11+F64*$O$12+F64*$O$13+F64*$O$14+F64*$O$15+F64*$O$16+F64*$O$17+F64*$O$18</f>
        <v>0</v>
      </c>
      <c r="P64">
        <f>F64*$P$7+F64*$P$8+F64*$P$9+F64*$P$10+F64*$P$11+F64*$P$12+F64*$P$13+F64*$P$14+F64*$P$15+F64*$P$16+F64*$P$17+F64*$P$18</f>
        <v>0</v>
      </c>
      <c r="Q64">
        <f>F64*$Q$7+F64*$Q$8+F64*$Q$9+F64*$Q$10+F64*$Q$11+F64*$Q$12+F64*$Q$13+F64*$Q$14+F64*$Q$15+F64*$Q$16+F64*$Q$17+F64*$Q$18</f>
        <v>0</v>
      </c>
      <c r="R64">
        <f>F64*$R$7+F64*$R$8+F64*$R$9+F64*$R$10+F64*$R$11+F64*$R$12+F64*$R$13+F64*$R$14+F64*$R$15+F64*$R$16+F64*$R$17+F64*$R$18</f>
        <v>0</v>
      </c>
      <c r="S64" s="2055"/>
      <c r="T64">
        <f t="shared" si="8"/>
        <v>0</v>
      </c>
    </row>
    <row r="65" spans="2:20" ht="15" hidden="1" customHeight="1">
      <c r="B65" s="346"/>
      <c r="C65" s="346" t="s">
        <v>1165</v>
      </c>
      <c r="D65" s="346" t="s">
        <v>574</v>
      </c>
      <c r="E65" s="346"/>
      <c r="F65" s="346"/>
      <c r="G65" s="204"/>
      <c r="H65" s="339"/>
      <c r="I65" s="339"/>
      <c r="J65" s="339"/>
      <c r="K65" s="339"/>
      <c r="L65" s="339"/>
      <c r="M65" s="339"/>
      <c r="N65" s="339"/>
      <c r="S65" s="2055"/>
    </row>
    <row r="66" spans="2:20" ht="15" hidden="1" customHeight="1">
      <c r="B66" s="346"/>
      <c r="C66" s="346" t="s">
        <v>1166</v>
      </c>
      <c r="D66" s="346" t="s">
        <v>574</v>
      </c>
      <c r="E66" s="346"/>
      <c r="F66" s="346"/>
      <c r="G66" s="204"/>
      <c r="H66" s="339"/>
      <c r="I66" s="339"/>
      <c r="J66" s="339"/>
      <c r="K66" s="339"/>
      <c r="L66" s="339"/>
      <c r="M66" s="339"/>
      <c r="N66" s="339"/>
      <c r="S66" s="2055"/>
    </row>
    <row r="67" spans="2:20" ht="15" hidden="1" customHeight="1">
      <c r="B67" s="346"/>
      <c r="C67" s="346" t="s">
        <v>641</v>
      </c>
      <c r="D67" s="346" t="s">
        <v>574</v>
      </c>
      <c r="E67" s="346">
        <v>6</v>
      </c>
      <c r="F67" s="346">
        <v>0</v>
      </c>
      <c r="G67" s="204"/>
      <c r="H67" s="340"/>
      <c r="I67">
        <f>E67*$I$7+E67*$I$8+E67*$I$9+E67*$I$10+E67*$I$11+E67*$I$12+E67*$I$13+E67*$I$14+E67*$I$15+E67*$I$16+E67*$I$17+E67*$I$18</f>
        <v>0</v>
      </c>
      <c r="J67">
        <f>E67*$J$7+E67*$J$8+E67*$J$9+E67*$J$10+E67*$J$11+E67*$J$12+E67*$J$13+E67*$J$14+E67*$J$15+E67*$J$16+E67*$J$17+E67*$J$18</f>
        <v>0</v>
      </c>
      <c r="K67">
        <f>E67*$K$7+E67*$K$8+E67*$K$9+E67*$K$10+E67*$K$11+E67*$K$12+E67*$K$13+E67*$K$14+E67*$K$15+E67*$K$16+E67*$K$17+E67*$K$18</f>
        <v>0</v>
      </c>
      <c r="L67">
        <f>E67*$L$7+E67*$L$8+E67*$L$9+E67*$L$10+E67*$L$11+E67*$L$12+E67*$L$13+E67*$L$14+E67*$L$15+E67*$L$16+E67*$L$17+E67*$L$18</f>
        <v>0</v>
      </c>
      <c r="M67" s="340"/>
      <c r="N67" s="340"/>
      <c r="O67" s="340"/>
      <c r="P67" s="340"/>
      <c r="Q67" s="340"/>
      <c r="R67" s="340"/>
      <c r="S67" s="2055"/>
      <c r="T67">
        <f t="shared" si="8"/>
        <v>0</v>
      </c>
    </row>
    <row r="68" spans="2:20" ht="15" hidden="1" customHeight="1">
      <c r="B68" s="346"/>
      <c r="C68" s="346" t="s">
        <v>601</v>
      </c>
      <c r="D68" s="346" t="s">
        <v>574</v>
      </c>
      <c r="E68" s="346">
        <v>0</v>
      </c>
      <c r="F68" s="346">
        <v>6</v>
      </c>
      <c r="G68" s="204"/>
      <c r="H68" s="340"/>
      <c r="I68" s="340"/>
      <c r="J68" s="340"/>
      <c r="K68" s="340"/>
      <c r="L68" s="340"/>
      <c r="M68" s="340"/>
      <c r="N68" s="340"/>
      <c r="O68">
        <f>F68*$O$7+F68*$O$8+F68*$O$9+F68*$O$10+F68*$O$11+F68*$O$12+F68*$O$13+F68*$O$14+F68*$O$15+F68*$O$16+F68*$O$17+F68*$O$18</f>
        <v>0</v>
      </c>
      <c r="P68">
        <f>F68*$P$7+F68*$P$8+F68*$P$9+F68*$P$10+F68*$P$11+F68*$P$12+F68*$P$13+F68*$P$14+F68*$P$15+F68*$P$16+F68*$P$17+F68*$P$18</f>
        <v>0</v>
      </c>
      <c r="Q68">
        <f>F68*$Q$7+F68*$Q$8+F68*$Q$9+F68*$Q$10+F68*$Q$11+F68*$Q$12+F68*$Q$13+F68*$Q$14+F68*$Q$15+F68*$Q$16+F68*$Q$17+F68*$Q$18</f>
        <v>0</v>
      </c>
      <c r="R68">
        <f>F68*$R$7+F68*$R$8+F68*$R$9+F68*$R$10+F68*$R$11+F68*$R$12+F68*$R$13+F68*$R$14+F68*$R$15+F68*$R$16+F68*$R$17+F68*$R$18</f>
        <v>0</v>
      </c>
      <c r="S68" s="2055"/>
      <c r="T68">
        <f t="shared" si="8"/>
        <v>0</v>
      </c>
    </row>
    <row r="69" spans="2:20" ht="15" hidden="1" customHeight="1">
      <c r="B69" s="346"/>
      <c r="C69" s="346" t="s">
        <v>610</v>
      </c>
      <c r="D69" s="346" t="s">
        <v>574</v>
      </c>
      <c r="E69" s="346">
        <v>14</v>
      </c>
      <c r="F69" s="346">
        <v>14</v>
      </c>
      <c r="G69" s="204"/>
      <c r="I69">
        <f>E69*$I$7+E69*$I$8+E69*$I$9+E69*$I$10+E69*$I$11+E69*$I$12+E69*$I$13+E69*$I$14+E69*$I$15+E69*$I$16+E69*$I$17+E69*$I$18</f>
        <v>0</v>
      </c>
      <c r="J69">
        <f>E69*$J$7+E69*$J$8+E69*$J$9+E69*$J$10+E69*$J$11+E69*$J$12+E69*$J$13+E69*$J$14+E69*$J$15+E69*$J$16+E69*$J$17+E69*$J$18</f>
        <v>0</v>
      </c>
      <c r="K69">
        <f>E69*$K$7+E69*$K$8+E69*$K$9+E69*$K$10+E69*$K$11+E69*$K$12+E69*$K$13+E69*$K$14+E69*$K$15+E69*$K$16+E69*$K$17+E69*$K$18</f>
        <v>0</v>
      </c>
      <c r="L69">
        <f>E69*$L$7+E69*$L$8+E69*$L$9+E69*$L$10+E69*$L$11+E69*$L$12+E69*$L$13+E69*$L$14+E69*$L$15+E69*$L$16+E69*$L$17+E69*$L$18</f>
        <v>0</v>
      </c>
      <c r="O69">
        <f>F69*$O$7+F69*$O$8+F69*$O$9+F69*$O$10+F69*$O$11+F69*$O$12+F69*$O$13+F69*$O$14+F69*$O$15+F69*$O$16+F69*$O$17+F69*$O$18</f>
        <v>0</v>
      </c>
      <c r="P69">
        <f>F69*$P$7+F69*$P$8+F69*$P$9+F69*$P$10+F69*$P$11+F69*$P$12+F69*$P$13+F69*$P$14+F69*$P$15+F69*$P$16+F69*$P$17+F69*$P$18</f>
        <v>0</v>
      </c>
      <c r="Q69">
        <f>F69*$Q$7+F69*$Q$8+F69*$Q$9+F69*$Q$10+F69*$Q$11+F69*$Q$12+F69*$Q$13+F69*$Q$14+F69*$Q$15+F69*$Q$16+F69*$Q$17+F69*$Q$18</f>
        <v>0</v>
      </c>
      <c r="R69">
        <f>F69*$R$7+F69*$R$8+F69*$R$9+F69*$R$10+F69*$R$11+F69*$R$12+F69*$R$13+F69*$R$14+F69*$R$15+F69*$R$16+F69*$R$17+F69*$R$18</f>
        <v>0</v>
      </c>
      <c r="S69" s="2055"/>
      <c r="T69">
        <f t="shared" si="8"/>
        <v>0</v>
      </c>
    </row>
    <row r="70" spans="2:20" ht="15" hidden="1" customHeight="1">
      <c r="B70" s="346"/>
      <c r="C70" s="346" t="s">
        <v>598</v>
      </c>
      <c r="D70" s="346">
        <v>6</v>
      </c>
      <c r="E70" s="346"/>
      <c r="F70" s="346"/>
      <c r="G70" s="204"/>
      <c r="H70" s="341"/>
      <c r="I70" s="341"/>
      <c r="J70" s="341"/>
      <c r="K70" s="341"/>
      <c r="L70" s="341"/>
      <c r="M70" s="341"/>
      <c r="N70" s="341"/>
      <c r="O70" s="341"/>
      <c r="P70" s="341"/>
      <c r="Q70" s="341"/>
      <c r="R70" s="341"/>
      <c r="S70" s="2055"/>
      <c r="T70">
        <f t="shared" si="8"/>
        <v>0</v>
      </c>
    </row>
    <row r="71" spans="2:20" ht="15" hidden="1" customHeight="1">
      <c r="B71" s="346"/>
      <c r="C71" s="346" t="s">
        <v>597</v>
      </c>
      <c r="D71" s="346"/>
      <c r="E71" s="346"/>
      <c r="F71" s="346"/>
      <c r="G71" s="204"/>
      <c r="H71" s="341"/>
      <c r="I71" s="341"/>
      <c r="J71" s="341"/>
      <c r="K71" s="341"/>
      <c r="L71" s="341"/>
      <c r="M71" s="341"/>
      <c r="N71" s="341"/>
      <c r="O71" s="341"/>
      <c r="P71" s="341"/>
      <c r="Q71" s="341"/>
      <c r="R71" s="341"/>
      <c r="S71" s="2055"/>
      <c r="T71">
        <f t="shared" si="8"/>
        <v>0</v>
      </c>
    </row>
    <row r="72" spans="2:20" ht="15" hidden="1" customHeight="1">
      <c r="B72" s="346"/>
      <c r="C72" s="346" t="s">
        <v>1131</v>
      </c>
      <c r="D72" s="346"/>
      <c r="E72" s="346"/>
      <c r="F72" s="346"/>
      <c r="G72" s="204"/>
      <c r="H72" s="341"/>
      <c r="I72" s="341">
        <f>SUM(I7:L7,I10:L10,I13:L13,I16:L16)*(2)</f>
        <v>0</v>
      </c>
      <c r="J72" s="341"/>
      <c r="K72" s="341"/>
      <c r="L72" s="341"/>
      <c r="M72" s="341"/>
      <c r="N72" s="341"/>
      <c r="O72" s="341">
        <f>SUM(O7:R7,O10:R10,O13:R13,O16:R16)*(2)</f>
        <v>0</v>
      </c>
      <c r="P72" s="341"/>
      <c r="Q72" s="341"/>
      <c r="R72" s="341"/>
      <c r="S72" s="2055"/>
    </row>
    <row r="73" spans="2:20" ht="15" hidden="1" customHeight="1">
      <c r="B73" s="346"/>
      <c r="C73" s="347" t="s">
        <v>31</v>
      </c>
      <c r="D73" s="347" t="s">
        <v>574</v>
      </c>
      <c r="E73" s="346">
        <v>2</v>
      </c>
      <c r="F73" s="346">
        <v>2</v>
      </c>
      <c r="G73" s="204"/>
      <c r="I73">
        <f t="shared" ref="I73:I84" si="15">E73*I7</f>
        <v>0</v>
      </c>
      <c r="J73">
        <f t="shared" ref="J73:J84" si="16">E73*J7</f>
        <v>0</v>
      </c>
      <c r="K73">
        <f t="shared" ref="K73:K84" si="17">E73*K7</f>
        <v>0</v>
      </c>
      <c r="L73">
        <f t="shared" ref="L73:L84" si="18">E73*L7</f>
        <v>0</v>
      </c>
      <c r="O73">
        <f t="shared" ref="O73:O84" si="19">F73*O7</f>
        <v>0</v>
      </c>
      <c r="P73">
        <f t="shared" ref="P73:P84" si="20">F73*P7</f>
        <v>0</v>
      </c>
      <c r="Q73">
        <f t="shared" ref="Q73:Q84" si="21">F73*Q7</f>
        <v>0</v>
      </c>
      <c r="R73">
        <f t="shared" ref="R73:R84" si="22">F73*R7</f>
        <v>0</v>
      </c>
      <c r="S73" s="2055"/>
      <c r="T73">
        <f t="shared" si="8"/>
        <v>0</v>
      </c>
    </row>
    <row r="74" spans="2:20" ht="15" hidden="1" customHeight="1">
      <c r="B74" s="346"/>
      <c r="C74" s="347" t="s">
        <v>41</v>
      </c>
      <c r="D74" s="347" t="s">
        <v>574</v>
      </c>
      <c r="E74" s="346">
        <v>2</v>
      </c>
      <c r="F74" s="346">
        <v>2</v>
      </c>
      <c r="G74" s="204"/>
      <c r="I74">
        <f t="shared" si="15"/>
        <v>0</v>
      </c>
      <c r="J74">
        <f t="shared" si="16"/>
        <v>0</v>
      </c>
      <c r="K74">
        <f t="shared" si="17"/>
        <v>0</v>
      </c>
      <c r="L74">
        <f t="shared" si="18"/>
        <v>0</v>
      </c>
      <c r="O74">
        <f t="shared" si="19"/>
        <v>0</v>
      </c>
      <c r="P74">
        <f t="shared" si="20"/>
        <v>0</v>
      </c>
      <c r="Q74">
        <f t="shared" si="21"/>
        <v>0</v>
      </c>
      <c r="R74">
        <f t="shared" si="22"/>
        <v>0</v>
      </c>
      <c r="S74" s="2055"/>
      <c r="T74">
        <f t="shared" si="8"/>
        <v>0</v>
      </c>
    </row>
    <row r="75" spans="2:20" ht="15" hidden="1" customHeight="1">
      <c r="B75" s="346"/>
      <c r="C75" s="347" t="s">
        <v>98</v>
      </c>
      <c r="D75" s="347" t="s">
        <v>574</v>
      </c>
      <c r="E75" s="346">
        <v>2</v>
      </c>
      <c r="F75" s="346">
        <v>2</v>
      </c>
      <c r="G75" s="204"/>
      <c r="I75">
        <f t="shared" si="15"/>
        <v>0</v>
      </c>
      <c r="J75">
        <f t="shared" si="16"/>
        <v>0</v>
      </c>
      <c r="K75">
        <f t="shared" si="17"/>
        <v>0</v>
      </c>
      <c r="L75">
        <f t="shared" si="18"/>
        <v>0</v>
      </c>
      <c r="O75">
        <f t="shared" si="19"/>
        <v>0</v>
      </c>
      <c r="P75">
        <f t="shared" si="20"/>
        <v>0</v>
      </c>
      <c r="Q75">
        <f t="shared" si="21"/>
        <v>0</v>
      </c>
      <c r="R75">
        <f t="shared" si="22"/>
        <v>0</v>
      </c>
      <c r="S75" s="2055"/>
      <c r="T75">
        <f t="shared" si="8"/>
        <v>0</v>
      </c>
    </row>
    <row r="76" spans="2:20" ht="15" hidden="1" customHeight="1">
      <c r="B76" s="346"/>
      <c r="C76" s="347" t="s">
        <v>102</v>
      </c>
      <c r="D76" s="347" t="s">
        <v>574</v>
      </c>
      <c r="E76" s="346">
        <v>2</v>
      </c>
      <c r="F76" s="346">
        <v>2</v>
      </c>
      <c r="G76" s="204"/>
      <c r="I76">
        <f t="shared" si="15"/>
        <v>0</v>
      </c>
      <c r="J76">
        <f t="shared" si="16"/>
        <v>0</v>
      </c>
      <c r="K76">
        <f t="shared" si="17"/>
        <v>0</v>
      </c>
      <c r="L76">
        <f t="shared" si="18"/>
        <v>0</v>
      </c>
      <c r="O76">
        <f t="shared" si="19"/>
        <v>0</v>
      </c>
      <c r="P76">
        <f t="shared" si="20"/>
        <v>0</v>
      </c>
      <c r="Q76">
        <f t="shared" si="21"/>
        <v>0</v>
      </c>
      <c r="R76">
        <f t="shared" si="22"/>
        <v>0</v>
      </c>
      <c r="S76" s="2055"/>
      <c r="T76">
        <f t="shared" si="8"/>
        <v>0</v>
      </c>
    </row>
    <row r="77" spans="2:20" ht="15" hidden="1" customHeight="1">
      <c r="B77" s="346"/>
      <c r="C77" s="347" t="s">
        <v>103</v>
      </c>
      <c r="D77" s="347" t="s">
        <v>574</v>
      </c>
      <c r="E77" s="346">
        <v>2</v>
      </c>
      <c r="F77" s="346">
        <v>2</v>
      </c>
      <c r="G77" s="204"/>
      <c r="I77">
        <f t="shared" si="15"/>
        <v>0</v>
      </c>
      <c r="J77">
        <f t="shared" si="16"/>
        <v>0</v>
      </c>
      <c r="K77">
        <f t="shared" si="17"/>
        <v>0</v>
      </c>
      <c r="L77">
        <f t="shared" si="18"/>
        <v>0</v>
      </c>
      <c r="O77">
        <f t="shared" si="19"/>
        <v>0</v>
      </c>
      <c r="P77">
        <f t="shared" si="20"/>
        <v>0</v>
      </c>
      <c r="Q77">
        <f t="shared" si="21"/>
        <v>0</v>
      </c>
      <c r="R77">
        <f t="shared" si="22"/>
        <v>0</v>
      </c>
      <c r="S77" s="2055"/>
      <c r="T77">
        <f t="shared" si="8"/>
        <v>0</v>
      </c>
    </row>
    <row r="78" spans="2:20" ht="15" hidden="1" customHeight="1">
      <c r="B78" s="346"/>
      <c r="C78" s="347" t="s">
        <v>104</v>
      </c>
      <c r="D78" s="347" t="s">
        <v>574</v>
      </c>
      <c r="E78" s="346">
        <v>2</v>
      </c>
      <c r="F78" s="346">
        <v>2</v>
      </c>
      <c r="G78" s="204"/>
      <c r="I78">
        <f t="shared" si="15"/>
        <v>0</v>
      </c>
      <c r="J78">
        <f t="shared" si="16"/>
        <v>0</v>
      </c>
      <c r="K78">
        <f t="shared" si="17"/>
        <v>0</v>
      </c>
      <c r="L78">
        <f t="shared" si="18"/>
        <v>0</v>
      </c>
      <c r="O78">
        <f t="shared" si="19"/>
        <v>0</v>
      </c>
      <c r="P78">
        <f t="shared" si="20"/>
        <v>0</v>
      </c>
      <c r="Q78">
        <f t="shared" si="21"/>
        <v>0</v>
      </c>
      <c r="R78">
        <f t="shared" si="22"/>
        <v>0</v>
      </c>
      <c r="S78" s="2055"/>
      <c r="T78">
        <f t="shared" si="8"/>
        <v>0</v>
      </c>
    </row>
    <row r="79" spans="2:20" ht="15" hidden="1" customHeight="1">
      <c r="B79" s="346"/>
      <c r="C79" s="347" t="s">
        <v>105</v>
      </c>
      <c r="D79" s="347" t="s">
        <v>574</v>
      </c>
      <c r="E79" s="346">
        <v>2</v>
      </c>
      <c r="F79" s="346">
        <v>2</v>
      </c>
      <c r="G79" s="204"/>
      <c r="I79">
        <f t="shared" si="15"/>
        <v>0</v>
      </c>
      <c r="J79">
        <f t="shared" si="16"/>
        <v>0</v>
      </c>
      <c r="K79">
        <f t="shared" si="17"/>
        <v>0</v>
      </c>
      <c r="L79">
        <f t="shared" si="18"/>
        <v>0</v>
      </c>
      <c r="O79">
        <f t="shared" si="19"/>
        <v>0</v>
      </c>
      <c r="P79">
        <f t="shared" si="20"/>
        <v>0</v>
      </c>
      <c r="Q79">
        <f t="shared" si="21"/>
        <v>0</v>
      </c>
      <c r="R79">
        <f t="shared" si="22"/>
        <v>0</v>
      </c>
      <c r="S79" s="2055"/>
      <c r="T79">
        <f t="shared" si="8"/>
        <v>0</v>
      </c>
    </row>
    <row r="80" spans="2:20" ht="15" hidden="1" customHeight="1">
      <c r="B80" s="346"/>
      <c r="C80" s="347" t="s">
        <v>106</v>
      </c>
      <c r="D80" s="347" t="s">
        <v>574</v>
      </c>
      <c r="E80" s="346">
        <v>2</v>
      </c>
      <c r="F80" s="346">
        <v>2</v>
      </c>
      <c r="G80" s="204"/>
      <c r="I80">
        <f t="shared" si="15"/>
        <v>0</v>
      </c>
      <c r="J80">
        <f t="shared" si="16"/>
        <v>0</v>
      </c>
      <c r="K80">
        <f t="shared" si="17"/>
        <v>0</v>
      </c>
      <c r="L80">
        <f t="shared" si="18"/>
        <v>0</v>
      </c>
      <c r="O80">
        <f t="shared" si="19"/>
        <v>0</v>
      </c>
      <c r="P80">
        <f t="shared" si="20"/>
        <v>0</v>
      </c>
      <c r="Q80">
        <f t="shared" si="21"/>
        <v>0</v>
      </c>
      <c r="R80">
        <f t="shared" si="22"/>
        <v>0</v>
      </c>
      <c r="S80" s="2055"/>
      <c r="T80">
        <f t="shared" si="8"/>
        <v>0</v>
      </c>
    </row>
    <row r="81" spans="2:20" ht="15" hidden="1" customHeight="1">
      <c r="B81" s="346"/>
      <c r="C81" s="347" t="s">
        <v>107</v>
      </c>
      <c r="D81" s="347" t="s">
        <v>574</v>
      </c>
      <c r="E81" s="346">
        <v>2</v>
      </c>
      <c r="F81" s="346">
        <v>2</v>
      </c>
      <c r="G81" s="204"/>
      <c r="I81">
        <f t="shared" si="15"/>
        <v>0</v>
      </c>
      <c r="J81">
        <f t="shared" si="16"/>
        <v>0</v>
      </c>
      <c r="K81">
        <f t="shared" si="17"/>
        <v>0</v>
      </c>
      <c r="L81">
        <f t="shared" si="18"/>
        <v>0</v>
      </c>
      <c r="O81">
        <f t="shared" si="19"/>
        <v>0</v>
      </c>
      <c r="P81">
        <f t="shared" si="20"/>
        <v>0</v>
      </c>
      <c r="Q81">
        <f t="shared" si="21"/>
        <v>0</v>
      </c>
      <c r="R81">
        <f t="shared" si="22"/>
        <v>0</v>
      </c>
      <c r="S81" s="2055"/>
      <c r="T81">
        <f t="shared" si="8"/>
        <v>0</v>
      </c>
    </row>
    <row r="82" spans="2:20" ht="15" hidden="1" customHeight="1">
      <c r="B82" s="346"/>
      <c r="C82" s="347" t="s">
        <v>401</v>
      </c>
      <c r="D82" s="347" t="s">
        <v>574</v>
      </c>
      <c r="E82" s="346">
        <v>2</v>
      </c>
      <c r="F82" s="346">
        <v>2</v>
      </c>
      <c r="G82" s="204"/>
      <c r="I82">
        <f t="shared" si="15"/>
        <v>0</v>
      </c>
      <c r="J82">
        <f t="shared" si="16"/>
        <v>0</v>
      </c>
      <c r="K82">
        <f t="shared" si="17"/>
        <v>0</v>
      </c>
      <c r="L82">
        <f t="shared" si="18"/>
        <v>0</v>
      </c>
      <c r="O82">
        <f t="shared" si="19"/>
        <v>0</v>
      </c>
      <c r="P82">
        <f t="shared" si="20"/>
        <v>0</v>
      </c>
      <c r="Q82">
        <f t="shared" si="21"/>
        <v>0</v>
      </c>
      <c r="R82">
        <f t="shared" si="22"/>
        <v>0</v>
      </c>
      <c r="S82" s="2055"/>
      <c r="T82">
        <f t="shared" si="8"/>
        <v>0</v>
      </c>
    </row>
    <row r="83" spans="2:20" ht="15" hidden="1" customHeight="1">
      <c r="B83" s="346"/>
      <c r="C83" s="347" t="s">
        <v>402</v>
      </c>
      <c r="D83" s="347" t="s">
        <v>574</v>
      </c>
      <c r="E83" s="346">
        <v>2</v>
      </c>
      <c r="F83" s="346">
        <v>2</v>
      </c>
      <c r="G83" s="204"/>
      <c r="I83">
        <f t="shared" si="15"/>
        <v>0</v>
      </c>
      <c r="J83">
        <f t="shared" si="16"/>
        <v>0</v>
      </c>
      <c r="K83">
        <f t="shared" si="17"/>
        <v>0</v>
      </c>
      <c r="L83">
        <f t="shared" si="18"/>
        <v>0</v>
      </c>
      <c r="O83">
        <f t="shared" si="19"/>
        <v>0</v>
      </c>
      <c r="P83">
        <f t="shared" si="20"/>
        <v>0</v>
      </c>
      <c r="Q83">
        <f t="shared" si="21"/>
        <v>0</v>
      </c>
      <c r="R83">
        <f t="shared" si="22"/>
        <v>0</v>
      </c>
      <c r="S83" s="2055"/>
      <c r="T83">
        <f t="shared" si="8"/>
        <v>0</v>
      </c>
    </row>
    <row r="84" spans="2:20" ht="15" hidden="1" customHeight="1">
      <c r="B84" s="346"/>
      <c r="C84" s="347" t="s">
        <v>403</v>
      </c>
      <c r="D84" s="347" t="s">
        <v>574</v>
      </c>
      <c r="E84" s="346">
        <v>2</v>
      </c>
      <c r="F84" s="346">
        <v>2</v>
      </c>
      <c r="G84" s="204"/>
      <c r="I84">
        <f t="shared" si="15"/>
        <v>0</v>
      </c>
      <c r="J84">
        <f t="shared" si="16"/>
        <v>0</v>
      </c>
      <c r="K84">
        <f t="shared" si="17"/>
        <v>0</v>
      </c>
      <c r="L84">
        <f t="shared" si="18"/>
        <v>0</v>
      </c>
      <c r="O84">
        <f t="shared" si="19"/>
        <v>0</v>
      </c>
      <c r="P84">
        <f t="shared" si="20"/>
        <v>0</v>
      </c>
      <c r="Q84">
        <f t="shared" si="21"/>
        <v>0</v>
      </c>
      <c r="R84">
        <f t="shared" si="22"/>
        <v>0</v>
      </c>
      <c r="S84" s="2055"/>
      <c r="T84">
        <f t="shared" si="8"/>
        <v>0</v>
      </c>
    </row>
    <row r="85" spans="2:20" ht="15" hidden="1" customHeight="1">
      <c r="B85" s="346"/>
      <c r="C85" s="346" t="s">
        <v>592</v>
      </c>
      <c r="D85" s="348" t="s">
        <v>386</v>
      </c>
      <c r="E85" s="346">
        <v>80</v>
      </c>
      <c r="F85" s="346">
        <v>80</v>
      </c>
      <c r="G85" s="204"/>
      <c r="I85">
        <f t="shared" ref="I85:I92" si="23">E85*$I$7+E85*$I$8+E85*$I$9+E85*$I$10+E85*$I$11+E85*$I$12+E85*$I$13+E85*$I$14+E85*$I$15+E85*$I$16+E85*$I$17+E85*$I$18</f>
        <v>0</v>
      </c>
      <c r="J85">
        <f t="shared" ref="J85:J92" si="24">E85*$J$7+E85*$J$8+E85*$J$9+E85*$J$10+E85*$J$11+E85*$J$12+E85*$J$13+E85*$J$14+E85*$J$15+E85*$J$16+E85*$J$17+E85*$J$18</f>
        <v>0</v>
      </c>
      <c r="K85">
        <f t="shared" ref="K85:K92" si="25">E85*$K$7+E85*$K$8+E85*$K$9+E85*$K$10+E85*$K$11+E85*$K$12+E85*$K$13+E85*$K$14+E85*$K$15+E85*$K$16+E85*$K$17+E85*$K$18</f>
        <v>0</v>
      </c>
      <c r="L85">
        <f t="shared" ref="L85:L92" si="26">E85*$L$7+E85*$L$8+E85*$L$9+E85*$L$10+E85*$L$11+E85*$L$12+E85*$L$13+E85*$L$14+E85*$L$15+E85*$L$16+E85*$L$17+E85*$L$18</f>
        <v>0</v>
      </c>
      <c r="O85">
        <f t="shared" ref="O85:O92" si="27">F85*$O$7+F85*$O$8+F85*$O$9+F85*$O$10+F85*$O$11+F85*$O$12+F85*$O$13+F85*$O$14+F85*$O$15+F85*$O$16+F85*$O$17+F85*$O$18</f>
        <v>0</v>
      </c>
      <c r="P85">
        <f t="shared" ref="P85:P92" si="28">F85*$P$7+F85*$P$8+F85*$P$9+F85*$P$10+F85*$P$11+F85*$P$12+F85*$P$13+F85*$P$14+F85*$P$15+F85*$P$16+F85*$P$17+F85*$P$18</f>
        <v>0</v>
      </c>
      <c r="Q85">
        <f t="shared" ref="Q85:Q92" si="29">F85*$Q$7+F85*$Q$8+F85*$Q$9+F85*$Q$10+F85*$Q$11+F85*$Q$12+F85*$Q$13+F85*$Q$14+F85*$Q$15+F85*$Q$16+F85*$Q$17+F85*$Q$18</f>
        <v>0</v>
      </c>
      <c r="R85">
        <f t="shared" ref="R85:R92" si="30">F85*$R$7+F85*$R$8+F85*$R$9+F85*$R$10+F85*$R$11+F85*$R$12+F85*$R$13+F85*$R$14+F85*$R$15+F85*$R$16+F85*$R$17+F85*$R$18</f>
        <v>0</v>
      </c>
      <c r="S85" s="2055"/>
      <c r="T85">
        <f t="shared" si="8"/>
        <v>0</v>
      </c>
    </row>
    <row r="86" spans="2:20" ht="15" hidden="1" customHeight="1">
      <c r="B86" s="346"/>
      <c r="C86" s="346" t="s">
        <v>587</v>
      </c>
      <c r="D86" s="348" t="s">
        <v>574</v>
      </c>
      <c r="E86" s="346">
        <v>15</v>
      </c>
      <c r="F86" s="346">
        <v>15</v>
      </c>
      <c r="G86" s="204"/>
      <c r="I86">
        <f t="shared" si="23"/>
        <v>0</v>
      </c>
      <c r="J86">
        <f t="shared" si="24"/>
        <v>0</v>
      </c>
      <c r="K86">
        <f t="shared" si="25"/>
        <v>0</v>
      </c>
      <c r="L86">
        <f t="shared" si="26"/>
        <v>0</v>
      </c>
      <c r="O86">
        <f t="shared" si="27"/>
        <v>0</v>
      </c>
      <c r="P86">
        <f t="shared" si="28"/>
        <v>0</v>
      </c>
      <c r="Q86">
        <f t="shared" si="29"/>
        <v>0</v>
      </c>
      <c r="R86">
        <f t="shared" si="30"/>
        <v>0</v>
      </c>
      <c r="S86" s="2055"/>
      <c r="T86">
        <f t="shared" si="8"/>
        <v>0</v>
      </c>
    </row>
    <row r="87" spans="2:20" ht="15" hidden="1" customHeight="1">
      <c r="B87" s="346"/>
      <c r="C87" s="346" t="s">
        <v>642</v>
      </c>
      <c r="D87" s="348" t="s">
        <v>574</v>
      </c>
      <c r="E87" s="346">
        <v>20</v>
      </c>
      <c r="F87" s="346">
        <v>20</v>
      </c>
      <c r="G87" s="204"/>
      <c r="I87">
        <f t="shared" si="23"/>
        <v>0</v>
      </c>
      <c r="J87">
        <f t="shared" si="24"/>
        <v>0</v>
      </c>
      <c r="K87">
        <f t="shared" si="25"/>
        <v>0</v>
      </c>
      <c r="L87">
        <f t="shared" si="26"/>
        <v>0</v>
      </c>
      <c r="O87">
        <f t="shared" si="27"/>
        <v>0</v>
      </c>
      <c r="P87">
        <f t="shared" si="28"/>
        <v>0</v>
      </c>
      <c r="Q87">
        <f t="shared" si="29"/>
        <v>0</v>
      </c>
      <c r="R87">
        <f t="shared" si="30"/>
        <v>0</v>
      </c>
      <c r="S87" s="2055"/>
      <c r="T87">
        <f t="shared" si="8"/>
        <v>0</v>
      </c>
    </row>
    <row r="88" spans="2:20" ht="15" hidden="1" customHeight="1">
      <c r="B88" s="346"/>
      <c r="C88" s="346" t="s">
        <v>579</v>
      </c>
      <c r="D88" s="348" t="s">
        <v>574</v>
      </c>
      <c r="E88" s="346">
        <v>28</v>
      </c>
      <c r="F88" s="346">
        <v>28</v>
      </c>
      <c r="G88" s="204"/>
      <c r="I88">
        <f t="shared" si="23"/>
        <v>0</v>
      </c>
      <c r="J88">
        <f t="shared" si="24"/>
        <v>0</v>
      </c>
      <c r="K88">
        <f t="shared" si="25"/>
        <v>0</v>
      </c>
      <c r="L88">
        <f t="shared" si="26"/>
        <v>0</v>
      </c>
      <c r="O88">
        <f t="shared" si="27"/>
        <v>0</v>
      </c>
      <c r="P88">
        <f t="shared" si="28"/>
        <v>0</v>
      </c>
      <c r="Q88">
        <f t="shared" si="29"/>
        <v>0</v>
      </c>
      <c r="R88">
        <f t="shared" si="30"/>
        <v>0</v>
      </c>
      <c r="S88" s="2055"/>
      <c r="T88">
        <f t="shared" si="8"/>
        <v>0</v>
      </c>
    </row>
    <row r="89" spans="2:20" ht="15" hidden="1" customHeight="1">
      <c r="B89" s="346"/>
      <c r="C89" s="346" t="s">
        <v>580</v>
      </c>
      <c r="D89" s="348" t="s">
        <v>574</v>
      </c>
      <c r="E89" s="346"/>
      <c r="F89" s="346"/>
      <c r="G89" s="204"/>
      <c r="I89">
        <f t="shared" si="23"/>
        <v>0</v>
      </c>
      <c r="J89">
        <f t="shared" si="24"/>
        <v>0</v>
      </c>
      <c r="K89">
        <f t="shared" si="25"/>
        <v>0</v>
      </c>
      <c r="L89">
        <f t="shared" si="26"/>
        <v>0</v>
      </c>
      <c r="O89">
        <f t="shared" si="27"/>
        <v>0</v>
      </c>
      <c r="P89">
        <f t="shared" si="28"/>
        <v>0</v>
      </c>
      <c r="Q89">
        <f t="shared" si="29"/>
        <v>0</v>
      </c>
      <c r="R89">
        <f t="shared" si="30"/>
        <v>0</v>
      </c>
      <c r="S89" s="2055"/>
      <c r="T89">
        <f t="shared" ref="T89:T103" si="31">SUM(I89:S89)</f>
        <v>0</v>
      </c>
    </row>
    <row r="90" spans="2:20" ht="15" hidden="1" customHeight="1">
      <c r="B90" s="346"/>
      <c r="C90" s="346" t="s">
        <v>643</v>
      </c>
      <c r="D90" s="348" t="s">
        <v>574</v>
      </c>
      <c r="E90" s="346">
        <v>1</v>
      </c>
      <c r="F90" s="346">
        <v>0</v>
      </c>
      <c r="G90" s="204"/>
      <c r="I90">
        <f t="shared" si="23"/>
        <v>0</v>
      </c>
      <c r="J90">
        <f t="shared" si="24"/>
        <v>0</v>
      </c>
      <c r="K90">
        <f t="shared" si="25"/>
        <v>0</v>
      </c>
      <c r="L90">
        <f t="shared" si="26"/>
        <v>0</v>
      </c>
      <c r="O90">
        <f t="shared" si="27"/>
        <v>0</v>
      </c>
      <c r="P90">
        <f t="shared" si="28"/>
        <v>0</v>
      </c>
      <c r="Q90">
        <f t="shared" si="29"/>
        <v>0</v>
      </c>
      <c r="R90">
        <f t="shared" si="30"/>
        <v>0</v>
      </c>
      <c r="S90" s="2055"/>
      <c r="T90">
        <f t="shared" si="31"/>
        <v>0</v>
      </c>
    </row>
    <row r="91" spans="2:20" ht="15" hidden="1" customHeight="1">
      <c r="B91" s="346"/>
      <c r="C91" s="346" t="s">
        <v>644</v>
      </c>
      <c r="D91" s="348" t="s">
        <v>574</v>
      </c>
      <c r="E91" s="346">
        <v>0</v>
      </c>
      <c r="F91" s="346">
        <v>1</v>
      </c>
      <c r="G91" s="204"/>
      <c r="I91">
        <f t="shared" si="23"/>
        <v>0</v>
      </c>
      <c r="J91">
        <f t="shared" si="24"/>
        <v>0</v>
      </c>
      <c r="K91">
        <f t="shared" si="25"/>
        <v>0</v>
      </c>
      <c r="L91">
        <f t="shared" si="26"/>
        <v>0</v>
      </c>
      <c r="O91">
        <f t="shared" si="27"/>
        <v>0</v>
      </c>
      <c r="P91">
        <f t="shared" si="28"/>
        <v>0</v>
      </c>
      <c r="Q91">
        <f t="shared" si="29"/>
        <v>0</v>
      </c>
      <c r="R91">
        <f t="shared" si="30"/>
        <v>0</v>
      </c>
      <c r="S91" s="2055"/>
      <c r="T91">
        <f t="shared" si="31"/>
        <v>0</v>
      </c>
    </row>
    <row r="92" spans="2:20" ht="15" hidden="1" customHeight="1">
      <c r="B92" s="346"/>
      <c r="C92" s="346" t="s">
        <v>613</v>
      </c>
      <c r="D92" s="348" t="s">
        <v>574</v>
      </c>
      <c r="E92" s="346"/>
      <c r="F92" s="346"/>
      <c r="G92" s="204"/>
      <c r="I92">
        <f t="shared" si="23"/>
        <v>0</v>
      </c>
      <c r="J92">
        <f t="shared" si="24"/>
        <v>0</v>
      </c>
      <c r="K92">
        <f t="shared" si="25"/>
        <v>0</v>
      </c>
      <c r="L92">
        <f t="shared" si="26"/>
        <v>0</v>
      </c>
      <c r="O92">
        <f t="shared" si="27"/>
        <v>0</v>
      </c>
      <c r="P92">
        <f t="shared" si="28"/>
        <v>0</v>
      </c>
      <c r="Q92">
        <f t="shared" si="29"/>
        <v>0</v>
      </c>
      <c r="R92">
        <f t="shared" si="30"/>
        <v>0</v>
      </c>
      <c r="S92" s="2055"/>
      <c r="T92">
        <f t="shared" si="31"/>
        <v>0</v>
      </c>
    </row>
    <row r="93" spans="2:20" ht="15" hidden="1" customHeight="1">
      <c r="B93" s="346" t="s">
        <v>95</v>
      </c>
      <c r="C93" s="346" t="s">
        <v>591</v>
      </c>
      <c r="D93" s="348" t="s">
        <v>574</v>
      </c>
      <c r="E93" s="346">
        <v>1</v>
      </c>
      <c r="F93" s="346">
        <v>1</v>
      </c>
      <c r="G93" s="204"/>
      <c r="H93" s="339"/>
      <c r="I93">
        <f>E93*$I$7+E93*$I$8+E93*$I$9+E93*$I$10+E93*$I$11+E93*$I$12+E93*$I$13+E93*$I$14+E93*$I$15+E93*$I$16+E93*$I$17+E93*$I$18</f>
        <v>0</v>
      </c>
      <c r="M93" s="339"/>
      <c r="N93" s="339"/>
      <c r="O93">
        <f>F93*$O$7+F93*$O$8+F93*$O$9+F93*$O$10+F93*$O$11+F93*$O$12+F93*$O$13+F93*$O$14+F93*$O$15+F93*$O$16+F93*$O$17+F93*$O$18</f>
        <v>0</v>
      </c>
      <c r="S93" s="2055"/>
      <c r="T93">
        <f t="shared" si="31"/>
        <v>0</v>
      </c>
    </row>
    <row r="94" spans="2:20" ht="15" hidden="1" customHeight="1">
      <c r="B94" s="346" t="s">
        <v>630</v>
      </c>
      <c r="C94" s="346" t="s">
        <v>588</v>
      </c>
      <c r="D94" s="348" t="s">
        <v>574</v>
      </c>
      <c r="E94" s="346">
        <v>1</v>
      </c>
      <c r="F94" s="346">
        <v>1</v>
      </c>
      <c r="G94" s="204"/>
      <c r="H94" s="339"/>
      <c r="J94">
        <f>E94*$J$7+E94*$J$8+E94*$J$9+E94*$J$10+E94*$J$11+E94*$J$12+E94*$J$13+E94*$J$14+E94*$J$15+E94*$J$16+E94*$J$17+E94*$J$18</f>
        <v>0</v>
      </c>
      <c r="M94" s="339"/>
      <c r="N94" s="339"/>
      <c r="P94">
        <f>F94*$P$7+F94*$P$8+F94*$P$9+F94*$P$10+F94*$P$11+F94*$P$12+F94*$P$13+F94*$P$14+F94*$P$15+F94*$P$16+F94*$P$17+F94*$P$18</f>
        <v>0</v>
      </c>
      <c r="S94" s="2055"/>
      <c r="T94">
        <f t="shared" si="31"/>
        <v>0</v>
      </c>
    </row>
    <row r="95" spans="2:20" ht="15" hidden="1" customHeight="1">
      <c r="B95" s="346" t="s">
        <v>632</v>
      </c>
      <c r="C95" s="346" t="s">
        <v>589</v>
      </c>
      <c r="D95" s="348" t="s">
        <v>574</v>
      </c>
      <c r="E95" s="346">
        <v>1</v>
      </c>
      <c r="F95" s="346">
        <v>1</v>
      </c>
      <c r="G95" s="204"/>
      <c r="H95" s="339"/>
      <c r="K95">
        <f>E95*$K$7+E95*$K$8+E95*$K$9+E95*$K$10+E95*$K$11+E95*$K$12+E95*$K$13+E95*$K$14+E95*$K$15+E95*$K$16+E95*$K$17+E95*$K$18</f>
        <v>0</v>
      </c>
      <c r="M95" s="339"/>
      <c r="N95" s="339"/>
      <c r="Q95">
        <f>F95*$Q$7+F95*$Q$8+F95*$Q$9+F95*$Q$10+F95*$Q$11+F95*$Q$12+F95*$Q$13+F95*$Q$14+F95*$Q$15+F95*$Q$16+F95*$Q$17+F95*$Q$18</f>
        <v>0</v>
      </c>
      <c r="S95" s="2055"/>
      <c r="T95">
        <f t="shared" si="31"/>
        <v>0</v>
      </c>
    </row>
    <row r="96" spans="2:20" ht="15" hidden="1" customHeight="1">
      <c r="B96" s="346">
        <v>336</v>
      </c>
      <c r="C96" s="346" t="s">
        <v>590</v>
      </c>
      <c r="D96" s="348" t="s">
        <v>574</v>
      </c>
      <c r="E96" s="346">
        <v>1</v>
      </c>
      <c r="F96" s="346">
        <v>1</v>
      </c>
      <c r="G96" s="204"/>
      <c r="H96" s="339"/>
      <c r="L96">
        <f>E96*$L$7+E96*$L$8+E96*$L$9+E96*$L$10+E96*$L$11+E96*$L$12+E96*$L$13+E96*$L$14+E96*$L$15+E96*$L$16+E96*$L$17+E96*$L$18</f>
        <v>0</v>
      </c>
      <c r="M96" s="339"/>
      <c r="N96" s="339"/>
      <c r="R96">
        <f>F96*$R$7+F96*$R$8+F96*$R$9+F96*$R$10+F96*$R$11+F96*$R$12+F96*$R$13+F96*$R$14+F96*$R$15+F96*$R$16+F96*$R$17+F96*$R$18</f>
        <v>0</v>
      </c>
      <c r="S96" s="2055"/>
      <c r="T96">
        <f t="shared" si="31"/>
        <v>0</v>
      </c>
    </row>
    <row r="97" spans="2:20" ht="15" hidden="1" customHeight="1">
      <c r="B97" s="346"/>
      <c r="C97" s="346" t="s">
        <v>603</v>
      </c>
      <c r="D97" s="348" t="s">
        <v>574</v>
      </c>
      <c r="E97" s="346">
        <v>4</v>
      </c>
      <c r="F97" s="346">
        <v>4</v>
      </c>
      <c r="G97" s="204"/>
      <c r="I97">
        <f>E97*$I$7+E97*$I$8+E97*$I$9+E97*$I$10+E97*$I$11+E97*$I$12+E97*$I$13+E97*$I$14+E97*$I$15+E97*$I$16+E97*$I$17+E97*$I$18</f>
        <v>0</v>
      </c>
      <c r="J97">
        <f>E97*$J$7+E97*$J$8+E97*$J$9+E97*$J$10+E97*$J$11+E97*$J$12+E97*$J$13+E97*$J$14+E97*$J$15+E97*$J$16+E97*$J$17+E97*$J$18</f>
        <v>0</v>
      </c>
      <c r="K97">
        <f>E97*$K$7+E97*$K$8+E97*$K$9+E97*$K$10+E97*$K$11+E97*$K$12+E97*$K$13+E97*$K$14+E97*$K$15+E97*$K$16+E97*$K$17+E97*$K$18</f>
        <v>0</v>
      </c>
      <c r="L97">
        <f>E97*$L$7+E97*$L$8+E97*$L$9+E97*$L$10+E97*$L$11+E97*$L$12+E97*$L$13+E97*$L$14+E97*$L$15+E97*$L$16+E97*$L$17+E97*$L$18</f>
        <v>0</v>
      </c>
      <c r="O97">
        <f>F97*$O$7+F97*$O$8+F97*$O$9+F97*$O$10+F97*$O$11+F97*$O$12+F97*$O$13+F97*$O$14+F97*$O$15+F97*$O$16+F97*$O$17+F97*$O$18</f>
        <v>0</v>
      </c>
      <c r="P97">
        <f>F97*$P$7+F97*$P$8+F97*$P$9+F97*$P$10+F97*$P$11+F97*$P$12+F97*$P$13+F97*$P$14+F97*$P$15+F97*$P$16+F97*$P$17+F97*$P$18</f>
        <v>0</v>
      </c>
      <c r="Q97">
        <f>F97*$Q$7+F97*$Q$8+F97*$Q$9+F97*$Q$10+F97*$Q$11+F97*$Q$12+F97*$Q$13+F97*$Q$14+F97*$Q$15+F97*$Q$16+F97*$Q$17+F97*$Q$18</f>
        <v>0</v>
      </c>
      <c r="R97">
        <f>F97*$R$7+F97*$R$8+F97*$R$9+F97*$R$10+F97*$R$11+F97*$R$12+F97*$R$13+F97*$R$14+F97*$R$15+F97*$R$16+F97*$R$17+F97*$R$18</f>
        <v>0</v>
      </c>
      <c r="S97" s="2055"/>
      <c r="T97">
        <f t="shared" si="31"/>
        <v>0</v>
      </c>
    </row>
    <row r="98" spans="2:20" ht="15" hidden="1" customHeight="1">
      <c r="B98" s="346"/>
      <c r="C98" s="346" t="s">
        <v>645</v>
      </c>
      <c r="D98" s="348" t="s">
        <v>574</v>
      </c>
      <c r="E98" s="346">
        <v>18</v>
      </c>
      <c r="F98" s="346">
        <v>18</v>
      </c>
      <c r="G98" s="204"/>
      <c r="I98">
        <f>E98*$I$7+E98*$I$8+E98*$I$9+E98*$I$10+E98*$I$11+E98*$I$12+E98*$I$13+E98*$I$14+E98*$I$15+E98*$I$16+E98*$I$17+E98*$I$18</f>
        <v>0</v>
      </c>
      <c r="J98">
        <f>E98*$J$7+E98*$J$8+E98*$J$9+E98*$J$10+E98*$J$11+E98*$J$12+E98*$J$13+E98*$J$14+E98*$J$15+E98*$J$16+E98*$J$17+E98*$J$18</f>
        <v>0</v>
      </c>
      <c r="K98">
        <f>E98*$K$7+E98*$K$8+E98*$K$9+E98*$K$10+E98*$K$11+E98*$K$12+E98*$K$13+E98*$K$14+E98*$K$15+E98*$K$16+E98*$K$17+E98*$K$18</f>
        <v>0</v>
      </c>
      <c r="L98">
        <f>E98*$L$7+E98*$L$8+E98*$L$9+E98*$L$10+E98*$L$11+E98*$L$12+E98*$L$13+E98*$L$14+E98*$L$15+E98*$L$16+E98*$L$17+E98*$L$18</f>
        <v>0</v>
      </c>
      <c r="O98">
        <f>F98*$O$7+F98*$O$8+F98*$O$9+F98*$O$10+F98*$O$11+F98*$O$12+F98*$O$13+F98*$O$14+F98*$O$15+F98*$O$16+F98*$O$17+F98*$O$18</f>
        <v>0</v>
      </c>
      <c r="P98">
        <f>F98*$P$7+F98*$P$8+F98*$P$9+F98*$P$10+F98*$P$11+F98*$P$12+F98*$P$13+F98*$P$14+F98*$P$15+F98*$P$16+F98*$P$17+F98*$P$18</f>
        <v>0</v>
      </c>
      <c r="Q98">
        <f>F98*$Q$7+F98*$Q$8+F98*$Q$9+F98*$Q$10+F98*$Q$11+F98*$Q$12+F98*$Q$13+F98*$Q$14+F98*$Q$15+F98*$Q$16+F98*$Q$17+F98*$Q$18</f>
        <v>0</v>
      </c>
      <c r="R98">
        <f>F98*$R$7+F98*$R$8+F98*$R$9+F98*$R$10+F98*$R$11+F98*$R$12+F98*$R$13+F98*$R$14+F98*$R$15+F98*$R$16+F98*$R$17+F98*$R$18</f>
        <v>0</v>
      </c>
      <c r="S98" s="2055"/>
      <c r="T98">
        <f t="shared" si="31"/>
        <v>0</v>
      </c>
    </row>
    <row r="99" spans="2:20" ht="15" hidden="1" customHeight="1">
      <c r="B99" s="346"/>
      <c r="C99" s="346" t="s">
        <v>615</v>
      </c>
      <c r="D99" s="348" t="s">
        <v>574</v>
      </c>
      <c r="E99" s="346">
        <v>18</v>
      </c>
      <c r="F99" s="346">
        <v>18</v>
      </c>
      <c r="G99" s="204"/>
      <c r="I99">
        <f>E99*$I$7+E99*$I$8+E99*$I$9+E99*$I$10+E99*$I$11+E99*$I$12+E99*$I$13+E99*$I$14+E99*$I$15+E99*$I$16+E99*$I$17+E99*$I$18</f>
        <v>0</v>
      </c>
      <c r="J99">
        <f>E99*$J$7+E99*$J$8+E99*$J$9+E99*$J$10+E99*$J$11+E99*$J$12+E99*$J$13+E99*$J$14+E99*$J$15+E99*$J$16+E99*$J$17+E99*$J$18</f>
        <v>0</v>
      </c>
      <c r="K99">
        <f>E99*$K$7+E99*$K$8+E99*$K$9+E99*$K$10+E99*$K$11+E99*$K$12+E99*$K$13+E99*$K$14+E99*$K$15+E99*$K$16+E99*$K$17+E99*$K$18</f>
        <v>0</v>
      </c>
      <c r="L99">
        <f>E99*$L$7+E99*$L$8+E99*$L$9+E99*$L$10+E99*$L$11+E99*$L$12+E99*$L$13+E99*$L$14+E99*$L$15+E99*$L$16+E99*$L$17+E99*$L$18</f>
        <v>0</v>
      </c>
      <c r="O99">
        <f>F99*$O$7+F99*$O$8+F99*$O$9+F99*$O$10+F99*$O$11+F99*$O$12+F99*$O$13+F99*$O$14+F99*$O$15+F99*$O$16+F99*$O$17+F99*$O$18</f>
        <v>0</v>
      </c>
      <c r="P99">
        <f>F99*$P$7+F99*$P$8+F99*$P$9+F99*$P$10+F99*$P$11+F99*$P$12+F99*$P$13+F99*$P$14+F99*$P$15+F99*$P$16+F99*$P$17+F99*$P$18</f>
        <v>0</v>
      </c>
      <c r="Q99">
        <f>F99*$Q$7+F99*$Q$8+F99*$Q$9+F99*$Q$10+F99*$Q$11+F99*$Q$12+F99*$Q$13+F99*$Q$14+F99*$Q$15+F99*$Q$16+F99*$Q$17+F99*$Q$18</f>
        <v>0</v>
      </c>
      <c r="R99">
        <f>F99*$R$7+F99*$R$8+F99*$R$9+F99*$R$10+F99*$R$11+F99*$R$12+F99*$R$13+F99*$R$14+F99*$R$15+F99*$R$16+F99*$R$17+F99*$R$18</f>
        <v>0</v>
      </c>
      <c r="S99" s="2055"/>
      <c r="T99">
        <f t="shared" si="31"/>
        <v>0</v>
      </c>
    </row>
    <row r="100" spans="2:20" ht="15" hidden="1" customHeight="1">
      <c r="B100" s="346"/>
      <c r="C100" s="346" t="s">
        <v>646</v>
      </c>
      <c r="D100" s="349" t="s">
        <v>574</v>
      </c>
      <c r="E100" s="346">
        <v>1</v>
      </c>
      <c r="F100" s="346">
        <v>1</v>
      </c>
      <c r="G100" s="204"/>
      <c r="I100">
        <f>E100*$I$7+E100*$I$8+E100*$I$9+E100*$I$10+E100*$I$11+E100*$I$12+E100*$I$13+E100*$I$14+E100*$I$15+E100*$I$16+E100*$I$17+E100*$I$18</f>
        <v>0</v>
      </c>
      <c r="J100">
        <f>E100*$J$7+E100*$J$8+E100*$J$9+E100*$J$10+E100*$J$11+E100*$J$12+E100*$J$13+E100*$J$14+E100*$J$15+E100*$J$16+E100*$J$17+E100*$J$18</f>
        <v>0</v>
      </c>
      <c r="K100">
        <f>E100*$K$7+E100*$K$8+E100*$K$9+E100*$K$10+E100*$K$11+E100*$K$12+E100*$K$13+E100*$K$14+E100*$K$15+E100*$K$16+E100*$K$17+E100*$K$18</f>
        <v>0</v>
      </c>
      <c r="L100">
        <f>E100*$L$7+E100*$L$8+E100*$L$9+E100*$L$10+E100*$L$11+E100*$L$12+E100*$L$13+E100*$L$14+E100*$L$15+E100*$L$16+E100*$L$17+E100*$L$18</f>
        <v>0</v>
      </c>
      <c r="O100">
        <f>F100*$O$7+F100*$O$8+F100*$O$9+F100*$O$10+F100*$O$11+F100*$O$12+F100*$O$13+F100*$O$14+F100*$O$15+F100*$O$16+F100*$O$17+F100*$O$18</f>
        <v>0</v>
      </c>
      <c r="P100">
        <f>F100*$P$7+F100*$P$8+F100*$P$9+F100*$P$10+F100*$P$11+F100*$P$12+F100*$P$13+F100*$P$14+F100*$P$15+F100*$P$16+F100*$P$17+F100*$P$18</f>
        <v>0</v>
      </c>
      <c r="Q100">
        <f>F100*$Q$7+F100*$Q$8+F100*$Q$9+F100*$Q$10+F100*$Q$11+F100*$Q$12+F100*$Q$13+F100*$Q$14+F100*$Q$15+F100*$Q$16+F100*$Q$17+F100*$Q$18</f>
        <v>0</v>
      </c>
      <c r="R100">
        <f>F100*$R$7+F100*$R$8+F100*$R$9+F100*$R$10+F100*$R$11+F100*$R$12+F100*$R$13+F100*$R$14+F100*$R$15+F100*$R$16+F100*$R$17+F100*$R$18</f>
        <v>0</v>
      </c>
      <c r="S100" s="2055"/>
      <c r="T100">
        <f t="shared" si="31"/>
        <v>0</v>
      </c>
    </row>
    <row r="101" spans="2:20" ht="15" hidden="1" customHeight="1">
      <c r="B101" s="346"/>
      <c r="C101" s="346" t="s">
        <v>608</v>
      </c>
      <c r="D101" s="349" t="s">
        <v>574</v>
      </c>
      <c r="E101" s="346">
        <v>3</v>
      </c>
      <c r="F101" s="346">
        <v>3</v>
      </c>
      <c r="G101" s="204">
        <v>9</v>
      </c>
      <c r="H101" s="333">
        <v>9</v>
      </c>
      <c r="I101">
        <f>E101*$I$7+G101*$I$8+G101*$I$9+E101*$I$10+G101*$I$11+G101*$I$12+E101*$I$13+G101*$I$14+G101*$I$15+E101*$I$16+G101*$I$17+G101*$I$18</f>
        <v>0</v>
      </c>
      <c r="J101">
        <f>E101*$J$7+G101*$J$8+G101*$J$9+E101*$J$10+G101*$J$11+G101*$J$12+E101*$J$13+G101*$J$14+G101*$J$15+E101*$J$16+G101*$J$17+G101*$J$18</f>
        <v>0</v>
      </c>
      <c r="K101">
        <f>E101*$K$7+G101*$K$8+G101*$K$9+E101*$K$10+G101*$K$11+G101*$K$12+E101*$K$13+G101*$K$14+G101*$K$15+E101*$K$16+G101*$K$17+G101*$K$18</f>
        <v>0</v>
      </c>
      <c r="L101">
        <f>E101*$L$7+G101*$L$8+G101*$L$9+E101*$L$10+G101*$L$11+G101*$L$12+E101*$L$13+G101*$L$14+G101*$L$15+E101*$L$16+G101*$L$17+G101*$L$18</f>
        <v>0</v>
      </c>
      <c r="M101" s="333"/>
      <c r="N101" s="333"/>
      <c r="O101">
        <f>F101*$O$7+H101*$O$8+H101*$O$9+F101*$O$10+H101*$O$11+H101*$O$12+F101*$O$13+H101*$O$14+H101*$O$15+F101*$O$16+H101*$O$17+H101*$O$18</f>
        <v>0</v>
      </c>
      <c r="P101">
        <f>F101*$P$7+H101*$P$8+F101*$P$9+F101*$P$10+H101*$P$11+H101*$P$12+F101*$P$13+H101*$P$14+H101*$P$15+F101*$P$16+H101*$P$17+H101*$P$18</f>
        <v>0</v>
      </c>
      <c r="Q101">
        <f>F101*$Q$7+H101*$Q$8+H101*$Q$9+F101*$Q$10+H101*$Q$11+H101*$Q$12+F101*$Q$13+H101*$Q$14+H101*$Q$15+F101*$Q$16+H101*$Q$17+H101*$Q$18</f>
        <v>0</v>
      </c>
      <c r="R101">
        <f>F101*$R$7+H101*$R$8+H101*$R$9+F101*$R$10+H101*$R$11+H101*$R$12+F101*$R$13+H101*$R$14+H101*$R$15+F101*$R$16+H101*$R$17+H101*$R$18</f>
        <v>0</v>
      </c>
      <c r="S101" s="2055"/>
      <c r="T101">
        <f t="shared" si="31"/>
        <v>0</v>
      </c>
    </row>
    <row r="102" spans="2:20" ht="15" hidden="1" customHeight="1">
      <c r="B102" s="346"/>
      <c r="C102" s="346" t="s">
        <v>607</v>
      </c>
      <c r="D102" s="349" t="s">
        <v>574</v>
      </c>
      <c r="E102" s="346">
        <v>6</v>
      </c>
      <c r="F102" s="346">
        <v>6</v>
      </c>
      <c r="G102" s="204"/>
      <c r="I102">
        <f>E102*$I$7+E102*$I$8+E102*$I$9+E102*$I$10+E102*$I$11+E102*$I$12+E102*$I$13+E102*$I$14+E102*$I$15+E102*$I$16+E102*$I$17+E102*$I$18</f>
        <v>0</v>
      </c>
      <c r="J102">
        <f>E102*$J$7+E102*$J$8+E102*$J$9+E102*$J$10+E102*$J$11+E102*$J$12+E102*$J$13+E102*$J$14+E102*$J$15+E102*$J$16+E102*$J$17+E102*$J$18</f>
        <v>0</v>
      </c>
      <c r="K102">
        <f>E102*$K$7+E102*$K$8+E102*$K$9+E102*$K$10+E102*$K$11+E102*$K$12+E102*$K$13+E102*$K$14+E102*$K$15+E102*$K$16+E102*$K$17+E102*$K$18</f>
        <v>0</v>
      </c>
      <c r="L102">
        <f>E102*$L$7+E102*$L$8+E102*$L$9+E102*$L$10+E102*$L$11+E102*$L$12+E102*$L$13+E102*$L$14+E102*$L$15+E102*$L$16+E102*$L$17+E102*$L$18</f>
        <v>0</v>
      </c>
      <c r="O102">
        <f>F102*$O$7+F102*$O$8+F102*$O$9+F102*$O$10+F102*$O$11+F102*$O$12+F102*$O$13+F102*$O$14+F102*$O$15+F102*$O$16+F102*$O$17+F102*$O$18</f>
        <v>0</v>
      </c>
      <c r="P102">
        <f>F102*$P$7+F102*$P$8+F102*$P$9+F102*$P$10+F102*$P$11+F102*$P$12+F102*$P$13+F102*$P$14+F102*$P$15+F102*$P$16+F102*$P$17+F102*$P$18</f>
        <v>0</v>
      </c>
      <c r="Q102">
        <f>F102*$Q$7+F102*$Q$8+F102*$Q$9+F102*$Q$10+F102*$Q$11+F102*$Q$12+F102*$Q$13+F102*$Q$14+F102*$Q$15+F102*$Q$16+F102*$Q$17+F102*$Q$18</f>
        <v>0</v>
      </c>
      <c r="R102">
        <f>F102*$R$7+F102*$R$8+F102*$R$9+F102*$R$10+F102*$R$11+F102*$R$12+F102*$R$13+F102*$R$14+F102*$R$15+F102*$R$16+F102*$R$17+F102*$R$18</f>
        <v>0</v>
      </c>
      <c r="S102" s="2055"/>
      <c r="T102">
        <f t="shared" si="31"/>
        <v>0</v>
      </c>
    </row>
    <row r="103" spans="2:20" ht="15" hidden="1" customHeight="1">
      <c r="B103" s="346"/>
      <c r="C103" s="346" t="s">
        <v>602</v>
      </c>
      <c r="D103" s="349" t="s">
        <v>574</v>
      </c>
      <c r="E103" s="346">
        <v>2</v>
      </c>
      <c r="F103" s="346">
        <v>2</v>
      </c>
      <c r="G103" s="204"/>
      <c r="I103">
        <f>E103*$I$7+E103*$I$8+E103*$I$9+E103*$I$10+E103*$I$11+E103*$I$12+E103*$I$13+E103*$I$14+E103*$I$15+E103*$I$16+E103*$I$17+E103*$I$18</f>
        <v>0</v>
      </c>
      <c r="J103">
        <f>E103*$J$7+E103*$J$8+E103*$J$9+E103*$J$10+E103*$J$11+E103*$J$12+E103*$J$13+E103*$J$14+E103*$J$15+E103*$J$16+E103*$J$17+E103*$J$18</f>
        <v>0</v>
      </c>
      <c r="K103">
        <f>E103*$K$7+E103*$K$8+E103*$K$9+E103*$K$10+E103*$K$11+E103*$K$12+E103*$K$13+E103*$K$14+E103*$K$15+E103*$K$16+E103*$K$17+E103*$K$18</f>
        <v>0</v>
      </c>
      <c r="L103">
        <f>E103*$L$7+E103*$L$8+E103*$L$9+E103*$L$10+E103*$L$11+E103*$L$12+E103*$L$13+E103*$L$14+E103*$L$15+E103*$L$16+E103*$L$17+E103*$L$18</f>
        <v>0</v>
      </c>
      <c r="O103">
        <f>F103*$O$7+F103*$O$8+F103*$O$9+F103*$O$10+F103*$O$11+F103*$O$12+F103*$O$13+F103*$O$14+F103*$O$15+F103*$O$16+F103*$O$17+F103*$O$18</f>
        <v>0</v>
      </c>
      <c r="P103">
        <f>F103*$P$7+F103*$P$8+F103*$P$9+F103*$P$10+F103*$P$11+F103*$P$12+F103*$P$13+F103*$P$14+F103*$P$15+F103*$P$16+F103*$P$17+F103*$P$18</f>
        <v>0</v>
      </c>
      <c r="Q103">
        <f>F103*$Q$7+F103*$Q$8+F103*$Q$9+F103*$Q$10+F103*$Q$11+F103*$Q$12+F103*$Q$13+F103*$Q$14+F103*$Q$15+F103*$Q$16+F103*$Q$17+F103*$Q$18</f>
        <v>0</v>
      </c>
      <c r="R103">
        <f>F103*$R$7+F103*$R$8+F103*$R$9+F103*$R$10+F103*$R$11+F103*$R$12+F103*$R$13+F103*$R$14+F103*$R$15+F103*$R$16+F103*$R$17+F103*$R$18</f>
        <v>0</v>
      </c>
      <c r="S103" s="2055"/>
      <c r="T103">
        <f t="shared" si="31"/>
        <v>0</v>
      </c>
    </row>
    <row r="104" spans="2:20" ht="15" hidden="1" customHeight="1">
      <c r="B104" s="346"/>
      <c r="C104" s="346"/>
      <c r="D104" s="346"/>
      <c r="E104" s="346"/>
      <c r="F104" s="346"/>
      <c r="G104" s="204"/>
      <c r="S104" s="2055"/>
    </row>
    <row r="105" spans="2:20" ht="8.25" customHeight="1">
      <c r="B105" s="204"/>
      <c r="C105" s="204"/>
      <c r="D105" s="204"/>
      <c r="E105" s="204"/>
      <c r="F105" s="204"/>
      <c r="G105" s="204"/>
      <c r="H105" s="2055"/>
      <c r="I105" s="2055"/>
      <c r="J105" s="2055"/>
      <c r="K105" s="2055"/>
      <c r="L105" s="2055"/>
      <c r="M105" s="2055"/>
      <c r="N105" s="2055"/>
      <c r="O105" s="2055"/>
      <c r="P105" s="2055"/>
      <c r="Q105" s="2055"/>
      <c r="R105" s="2055"/>
      <c r="S105" s="2055"/>
    </row>
  </sheetData>
  <mergeCells count="9">
    <mergeCell ref="H1:S1"/>
    <mergeCell ref="W11:W14"/>
    <mergeCell ref="U2:U5"/>
    <mergeCell ref="H2:L4"/>
    <mergeCell ref="N2:R4"/>
    <mergeCell ref="H5:L5"/>
    <mergeCell ref="N5:R5"/>
    <mergeCell ref="S2:S105"/>
    <mergeCell ref="H105:R105"/>
  </mergeCells>
  <pageMargins left="0.11811023622047245" right="0.11811023622047245" top="0.39370078740157483" bottom="0.74803149606299213" header="0.31496062992125984" footer="0.31496062992125984"/>
  <pageSetup paperSize="9" scale="74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Macro10">
                <anchor moveWithCells="1" sizeWithCells="1">
                  <from>
                    <xdr:col>1</xdr:col>
                    <xdr:colOff>95250</xdr:colOff>
                    <xdr:row>1</xdr:row>
                    <xdr:rowOff>47625</xdr:rowOff>
                  </from>
                  <to>
                    <xdr:col>5</xdr:col>
                    <xdr:colOff>95250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5" name="Button 3">
              <controlPr defaultSize="0" print="0" autoFill="0" autoPict="0" macro="[0]!Macro17gg">
                <anchor moveWithCells="1" sizeWithCells="1">
                  <from>
                    <xdr:col>1</xdr:col>
                    <xdr:colOff>95250</xdr:colOff>
                    <xdr:row>4</xdr:row>
                    <xdr:rowOff>342900</xdr:rowOff>
                  </from>
                  <to>
                    <xdr:col>5</xdr:col>
                    <xdr:colOff>85725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6" name="Button 4">
              <controlPr locked="0" defaultSize="0" print="0" autoFill="0" autoPict="0" macro="[0]!POWER2">
                <anchor moveWithCells="1" sizeWithCells="1">
                  <from>
                    <xdr:col>1</xdr:col>
                    <xdr:colOff>28575</xdr:colOff>
                    <xdr:row>11</xdr:row>
                    <xdr:rowOff>57150</xdr:rowOff>
                  </from>
                  <to>
                    <xdr:col>5</xdr:col>
                    <xdr:colOff>161925</xdr:colOff>
                    <xdr:row>16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77896-3801-45F3-B246-0E7F41FE78AF}">
  <sheetPr codeName="Plan17"/>
  <dimension ref="A1:L29"/>
  <sheetViews>
    <sheetView tabSelected="1" view="pageBreakPreview" zoomScaleNormal="100" zoomScaleSheetLayoutView="100" workbookViewId="0">
      <selection activeCell="M8" sqref="M8"/>
    </sheetView>
  </sheetViews>
  <sheetFormatPr defaultRowHeight="15"/>
  <cols>
    <col min="1" max="1" width="4" customWidth="1"/>
    <col min="12" max="12" width="5.28515625" customWidth="1"/>
    <col min="15" max="15" width="5.28515625" customWidth="1"/>
  </cols>
  <sheetData>
    <row r="1" spans="1:12">
      <c r="A1" s="1697"/>
      <c r="B1" s="1697"/>
      <c r="C1" s="1697"/>
      <c r="D1" s="1697"/>
      <c r="E1" s="1697"/>
      <c r="F1" s="1697"/>
      <c r="G1" s="1697"/>
      <c r="H1" s="1697"/>
      <c r="I1" s="1697"/>
      <c r="J1" s="1697"/>
      <c r="K1" s="1697"/>
      <c r="L1" s="1697"/>
    </row>
    <row r="2" spans="1:12" ht="15" customHeight="1">
      <c r="A2" s="1697"/>
      <c r="B2" s="1697"/>
      <c r="C2" s="1697"/>
      <c r="D2" s="1697"/>
      <c r="E2" s="1697"/>
      <c r="F2" s="1697"/>
      <c r="G2" s="1697"/>
      <c r="H2" s="1697"/>
      <c r="I2" s="1697"/>
      <c r="J2" s="1697"/>
      <c r="K2" s="1697"/>
      <c r="L2" s="1697"/>
    </row>
    <row r="3" spans="1:12" ht="15.75" customHeight="1">
      <c r="A3" s="1697"/>
      <c r="B3" s="1697"/>
      <c r="C3" s="1697"/>
      <c r="D3" s="1697"/>
      <c r="E3" s="1697"/>
      <c r="F3" s="1697"/>
      <c r="G3" s="1697"/>
      <c r="H3" s="1697"/>
      <c r="I3" s="1697"/>
      <c r="J3" s="1697"/>
      <c r="K3" s="1697"/>
      <c r="L3" s="1697"/>
    </row>
    <row r="4" spans="1:12">
      <c r="A4" s="1697"/>
      <c r="B4" s="1697"/>
      <c r="C4" s="1697"/>
      <c r="D4" s="1697"/>
      <c r="E4" s="1697"/>
      <c r="F4" s="1697"/>
      <c r="G4" s="1697"/>
      <c r="H4" s="1697"/>
      <c r="I4" s="1697"/>
      <c r="J4" s="1697"/>
      <c r="K4" s="1697"/>
      <c r="L4" s="1697"/>
    </row>
    <row r="5" spans="1:12" ht="19.5" customHeight="1">
      <c r="A5" s="1697"/>
      <c r="B5" s="1697"/>
      <c r="C5" s="1697"/>
      <c r="D5" s="1697"/>
      <c r="E5" s="1697"/>
      <c r="F5" s="1697"/>
      <c r="G5" s="1697"/>
      <c r="H5" s="1697"/>
      <c r="I5" s="1697"/>
      <c r="J5" s="1697"/>
      <c r="K5" s="1697"/>
      <c r="L5" s="1697"/>
    </row>
    <row r="6" spans="1:12" ht="19.5" customHeight="1">
      <c r="A6" s="1697"/>
      <c r="B6" s="1697"/>
      <c r="C6" s="1697"/>
      <c r="D6" s="1697"/>
      <c r="E6" s="1697"/>
      <c r="F6" s="1697"/>
      <c r="G6" s="1697"/>
      <c r="H6" s="1697"/>
      <c r="I6" s="1697"/>
      <c r="J6" s="1697"/>
      <c r="K6" s="1697"/>
      <c r="L6" s="1697"/>
    </row>
    <row r="7" spans="1:12" ht="19.5" customHeight="1">
      <c r="A7" s="1697"/>
      <c r="B7" s="1697"/>
      <c r="C7" s="1697"/>
      <c r="D7" s="1697"/>
      <c r="E7" s="1697"/>
      <c r="F7" s="1697"/>
      <c r="G7" s="1697"/>
      <c r="H7" s="1697"/>
      <c r="I7" s="1697"/>
      <c r="J7" s="1697"/>
      <c r="K7" s="1697"/>
      <c r="L7" s="1697"/>
    </row>
    <row r="8" spans="1:12">
      <c r="A8" s="1697"/>
      <c r="B8" s="1697"/>
      <c r="C8" s="1697"/>
      <c r="D8" s="1697"/>
      <c r="E8" s="1697"/>
      <c r="F8" s="1697"/>
      <c r="G8" s="1697"/>
      <c r="H8" s="1697"/>
      <c r="I8" s="1697"/>
      <c r="J8" s="1697"/>
      <c r="K8" s="1697"/>
      <c r="L8" s="1697"/>
    </row>
    <row r="9" spans="1:12">
      <c r="A9" s="1697"/>
      <c r="B9" s="1697"/>
      <c r="C9" s="1697"/>
      <c r="D9" s="1697"/>
      <c r="E9" s="1697"/>
      <c r="F9" s="1697"/>
      <c r="G9" s="1697"/>
      <c r="H9" s="1697"/>
      <c r="I9" s="1697"/>
      <c r="J9" s="1697"/>
      <c r="K9" s="1697"/>
      <c r="L9" s="1697"/>
    </row>
    <row r="10" spans="1:12" ht="16.5" customHeight="1">
      <c r="A10" s="1697"/>
      <c r="B10" s="1697"/>
      <c r="C10" s="1697"/>
      <c r="D10" s="1697"/>
      <c r="E10" s="1697"/>
      <c r="F10" s="1697"/>
      <c r="G10" s="1697"/>
      <c r="H10" s="1697"/>
      <c r="I10" s="1697"/>
      <c r="J10" s="1697"/>
      <c r="K10" s="1697"/>
      <c r="L10" s="1697"/>
    </row>
    <row r="11" spans="1:12">
      <c r="A11" s="1697"/>
      <c r="B11" s="1697"/>
      <c r="C11" s="1697"/>
      <c r="D11" s="1697"/>
      <c r="E11" s="1697"/>
      <c r="F11" s="1697"/>
      <c r="G11" s="1697"/>
      <c r="H11" s="1697"/>
      <c r="I11" s="1697"/>
      <c r="J11" s="1697"/>
      <c r="K11" s="1697"/>
      <c r="L11" s="1697"/>
    </row>
    <row r="12" spans="1:12">
      <c r="A12" s="1697"/>
      <c r="B12" s="1697"/>
      <c r="C12" s="1697"/>
      <c r="D12" s="1697"/>
      <c r="E12" s="1697"/>
      <c r="F12" s="1697"/>
      <c r="G12" s="1697"/>
      <c r="H12" s="1697"/>
      <c r="I12" s="1697"/>
      <c r="J12" s="1697"/>
      <c r="K12" s="1697"/>
      <c r="L12" s="1697"/>
    </row>
    <row r="13" spans="1:12">
      <c r="A13" s="1697"/>
      <c r="B13" s="1697"/>
      <c r="C13" s="1697"/>
      <c r="D13" s="1697"/>
      <c r="E13" s="1697"/>
      <c r="F13" s="1697"/>
      <c r="G13" s="1697"/>
      <c r="H13" s="1697"/>
      <c r="I13" s="1697"/>
      <c r="J13" s="1697"/>
      <c r="K13" s="1697"/>
      <c r="L13" s="1697"/>
    </row>
    <row r="14" spans="1:12">
      <c r="A14" s="1697"/>
      <c r="B14" s="1697"/>
      <c r="C14" s="1697"/>
      <c r="D14" s="1697"/>
      <c r="E14" s="1697"/>
      <c r="F14" s="1697"/>
      <c r="G14" s="1697"/>
      <c r="H14" s="1697"/>
      <c r="I14" s="1697"/>
      <c r="J14" s="1697"/>
      <c r="K14" s="1697"/>
      <c r="L14" s="1697"/>
    </row>
    <row r="15" spans="1:12">
      <c r="A15" s="1697"/>
      <c r="B15" s="1697"/>
      <c r="C15" s="1697"/>
      <c r="D15" s="1697"/>
      <c r="E15" s="1697"/>
      <c r="F15" s="1697"/>
      <c r="G15" s="1697"/>
      <c r="H15" s="1697"/>
      <c r="I15" s="1697"/>
      <c r="J15" s="1697"/>
      <c r="K15" s="1697"/>
      <c r="L15" s="1697"/>
    </row>
    <row r="16" spans="1:12">
      <c r="A16" s="1697"/>
      <c r="B16" s="1697"/>
      <c r="C16" s="1697"/>
      <c r="D16" s="1697"/>
      <c r="E16" s="1697"/>
      <c r="F16" s="1697"/>
      <c r="G16" s="1697"/>
      <c r="H16" s="1697"/>
      <c r="I16" s="1697"/>
      <c r="J16" s="1697"/>
      <c r="K16" s="1697"/>
      <c r="L16" s="1697"/>
    </row>
    <row r="17" spans="1:12">
      <c r="A17" s="1697"/>
      <c r="B17" s="1697"/>
      <c r="C17" s="1697"/>
      <c r="D17" s="1697"/>
      <c r="E17" s="1697"/>
      <c r="F17" s="1697"/>
      <c r="G17" s="1697"/>
      <c r="H17" s="1697"/>
      <c r="I17" s="1697"/>
      <c r="J17" s="1697"/>
      <c r="K17" s="1697"/>
      <c r="L17" s="1697"/>
    </row>
    <row r="18" spans="1:12">
      <c r="A18" s="1697"/>
      <c r="B18" s="1697"/>
      <c r="C18" s="1697"/>
      <c r="D18" s="1697"/>
      <c r="E18" s="1697"/>
      <c r="F18" s="1697"/>
      <c r="G18" s="1697"/>
      <c r="H18" s="1697"/>
      <c r="I18" s="1697"/>
      <c r="J18" s="1697"/>
      <c r="K18" s="1697"/>
      <c r="L18" s="1697"/>
    </row>
    <row r="19" spans="1:12" ht="8.25" customHeight="1">
      <c r="A19" s="1697"/>
      <c r="B19" s="1697"/>
      <c r="C19" s="1697"/>
      <c r="D19" s="1697"/>
      <c r="E19" s="1697"/>
      <c r="F19" s="1697"/>
      <c r="G19" s="1697"/>
      <c r="H19" s="1697"/>
      <c r="I19" s="1697"/>
      <c r="J19" s="1697"/>
      <c r="K19" s="1697"/>
      <c r="L19" s="1697"/>
    </row>
    <row r="20" spans="1:12" ht="11.25" customHeight="1">
      <c r="A20" s="1697"/>
      <c r="B20" s="1697"/>
      <c r="C20" s="1697"/>
      <c r="D20" s="1697"/>
      <c r="E20" s="1697"/>
      <c r="F20" s="1697"/>
      <c r="G20" s="1697"/>
      <c r="H20" s="1697"/>
      <c r="I20" s="1697"/>
      <c r="J20" s="1697"/>
      <c r="K20" s="1697"/>
      <c r="L20" s="1697"/>
    </row>
    <row r="27" spans="1:12" ht="15.75" customHeight="1"/>
    <row r="28" spans="1:12" ht="17.25" customHeight="1"/>
    <row r="29" spans="1:12" ht="16.5" customHeight="1"/>
  </sheetData>
  <sheetProtection password="CF62" sheet="1" objects="1" scenarios="1" selectLockedCells="1"/>
  <mergeCells count="1">
    <mergeCell ref="A1:L20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9" r:id="rId4" name="Button 11">
              <controlPr defaultSize="0" print="0" autoFill="0" autoPict="0" macro="[0]!Macro1" altText="FECHAMENTO DE OBRA_x000a_              LPT">
                <anchor moveWithCells="1" sizeWithCells="1">
                  <from>
                    <xdr:col>0</xdr:col>
                    <xdr:colOff>76200</xdr:colOff>
                    <xdr:row>0</xdr:row>
                    <xdr:rowOff>85725</xdr:rowOff>
                  </from>
                  <to>
                    <xdr:col>11</xdr:col>
                    <xdr:colOff>219075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5" name="Button 12">
              <controlPr defaultSize="0" print="0" autoFill="0" autoPict="0" macro="[0]!Macro10">
                <anchor moveWithCells="1" sizeWithCells="1">
                  <from>
                    <xdr:col>10</xdr:col>
                    <xdr:colOff>561975</xdr:colOff>
                    <xdr:row>17</xdr:row>
                    <xdr:rowOff>19050</xdr:rowOff>
                  </from>
                  <to>
                    <xdr:col>11</xdr:col>
                    <xdr:colOff>219075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50E99-A2BC-4351-BCFD-8A51C4983FBC}">
  <sheetPr codeName="Plan20"/>
  <dimension ref="A1:L130"/>
  <sheetViews>
    <sheetView showGridLines="0" zoomScale="120" zoomScaleNormal="120" workbookViewId="0">
      <selection activeCell="D7" sqref="D7:H14"/>
    </sheetView>
  </sheetViews>
  <sheetFormatPr defaultRowHeight="15"/>
  <cols>
    <col min="1" max="1" width="7.28515625" customWidth="1"/>
    <col min="2" max="2" width="10.140625" customWidth="1"/>
    <col min="3" max="3" width="3.85546875" customWidth="1"/>
    <col min="4" max="4" width="13" customWidth="1"/>
    <col min="8" max="8" width="9.85546875" style="24" bestFit="1" customWidth="1"/>
    <col min="9" max="9" width="53.28515625" customWidth="1"/>
    <col min="10" max="10" width="7" customWidth="1"/>
  </cols>
  <sheetData>
    <row r="1" spans="1:9" ht="15" customHeight="1">
      <c r="A1" s="1697"/>
      <c r="B1" s="1697"/>
      <c r="C1" s="1697"/>
      <c r="D1" s="2071" t="s">
        <v>1452</v>
      </c>
      <c r="E1" s="2072"/>
      <c r="F1" s="2072"/>
      <c r="G1" s="2072"/>
      <c r="H1" s="2073"/>
      <c r="I1" s="1487"/>
    </row>
    <row r="2" spans="1:9" ht="15" customHeight="1">
      <c r="A2" s="1697"/>
      <c r="B2" s="1697"/>
      <c r="C2" s="1697"/>
      <c r="D2" s="2074"/>
      <c r="E2" s="2075"/>
      <c r="F2" s="2075"/>
      <c r="G2" s="2075"/>
      <c r="H2" s="2076"/>
      <c r="I2" s="1487"/>
    </row>
    <row r="3" spans="1:9" ht="15.75" customHeight="1" thickBot="1">
      <c r="A3" s="1697"/>
      <c r="B3" s="1697"/>
      <c r="C3" s="1697"/>
      <c r="D3" s="2074"/>
      <c r="E3" s="2075"/>
      <c r="F3" s="2075"/>
      <c r="G3" s="2075"/>
      <c r="H3" s="2076"/>
      <c r="I3" s="1487"/>
    </row>
    <row r="4" spans="1:9" ht="19.5">
      <c r="A4" s="1697"/>
      <c r="B4" s="1697"/>
      <c r="C4" s="1697"/>
      <c r="D4" s="2077" t="s">
        <v>1451</v>
      </c>
      <c r="E4" s="2078"/>
      <c r="F4" s="2078"/>
      <c r="G4" s="2078"/>
      <c r="H4" s="2079"/>
    </row>
    <row r="5" spans="1:9" ht="20.25">
      <c r="A5" s="1697"/>
      <c r="B5" s="1697"/>
      <c r="C5" s="1697"/>
      <c r="D5" s="1488" t="s">
        <v>1786</v>
      </c>
      <c r="E5" s="395" t="s">
        <v>95</v>
      </c>
      <c r="F5" s="395" t="s">
        <v>185</v>
      </c>
      <c r="G5" s="395" t="s">
        <v>186</v>
      </c>
      <c r="H5" s="1489">
        <v>336.4</v>
      </c>
    </row>
    <row r="6" spans="1:9" ht="16.5" thickBot="1">
      <c r="A6" s="1697"/>
      <c r="B6" s="1697"/>
      <c r="C6" s="1697"/>
      <c r="D6" s="1490" t="s">
        <v>1251</v>
      </c>
      <c r="E6" s="1491"/>
      <c r="F6" s="1492"/>
      <c r="G6" s="1493"/>
      <c r="H6" s="1494"/>
    </row>
    <row r="7" spans="1:9" ht="15.75" customHeight="1">
      <c r="A7" s="1697"/>
      <c r="B7" s="1697"/>
      <c r="C7" s="1697"/>
      <c r="D7" s="2080" t="s">
        <v>82</v>
      </c>
      <c r="E7" s="2080"/>
      <c r="F7" s="2080"/>
      <c r="G7" s="2080"/>
      <c r="H7" s="2080"/>
      <c r="I7" s="855"/>
    </row>
    <row r="8" spans="1:9" ht="15.75" customHeight="1">
      <c r="A8" s="1697"/>
      <c r="B8" s="1697"/>
      <c r="C8" s="1697"/>
      <c r="D8" s="2080"/>
      <c r="E8" s="2080"/>
      <c r="F8" s="2080"/>
      <c r="G8" s="2080"/>
      <c r="H8" s="2080"/>
      <c r="I8" s="855"/>
    </row>
    <row r="9" spans="1:9" ht="15.75" customHeight="1">
      <c r="A9" s="1697"/>
      <c r="B9" s="1697"/>
      <c r="C9" s="1697"/>
      <c r="D9" s="2080"/>
      <c r="E9" s="2080"/>
      <c r="F9" s="2080"/>
      <c r="G9" s="2080"/>
      <c r="H9" s="2080"/>
      <c r="I9" s="855"/>
    </row>
    <row r="10" spans="1:9">
      <c r="A10" s="1697"/>
      <c r="B10" s="1697"/>
      <c r="C10" s="1697"/>
      <c r="D10" s="2080"/>
      <c r="E10" s="2080"/>
      <c r="F10" s="2080"/>
      <c r="G10" s="2080"/>
      <c r="H10" s="2080"/>
    </row>
    <row r="11" spans="1:9">
      <c r="A11" s="1697"/>
      <c r="B11" s="1697"/>
      <c r="C11" s="1697"/>
      <c r="D11" s="2080"/>
      <c r="E11" s="2080"/>
      <c r="F11" s="2080"/>
      <c r="G11" s="2080"/>
      <c r="H11" s="2080"/>
    </row>
    <row r="12" spans="1:9">
      <c r="A12" s="1697"/>
      <c r="B12" s="1697"/>
      <c r="C12" s="1697"/>
      <c r="D12" s="2080"/>
      <c r="E12" s="2080"/>
      <c r="F12" s="2080"/>
      <c r="G12" s="2080"/>
      <c r="H12" s="2080"/>
    </row>
    <row r="13" spans="1:9">
      <c r="A13" s="1697"/>
      <c r="B13" s="1697"/>
      <c r="C13" s="1697"/>
      <c r="D13" s="2080"/>
      <c r="E13" s="2080"/>
      <c r="F13" s="2080"/>
      <c r="G13" s="2080"/>
      <c r="H13" s="2080"/>
    </row>
    <row r="14" spans="1:9">
      <c r="A14" s="1697"/>
      <c r="B14" s="1697"/>
      <c r="C14" s="1697"/>
      <c r="D14" s="2080"/>
      <c r="E14" s="2080"/>
      <c r="F14" s="2080"/>
      <c r="G14" s="2080"/>
      <c r="H14" s="2080"/>
    </row>
    <row r="21" spans="1:11">
      <c r="A21" s="161"/>
      <c r="B21" s="161"/>
      <c r="C21" s="161"/>
      <c r="D21" s="161"/>
      <c r="E21" s="161"/>
      <c r="F21" s="161"/>
      <c r="G21" s="161"/>
      <c r="H21" s="546"/>
      <c r="I21" s="161"/>
      <c r="J21" s="161"/>
      <c r="K21" s="161"/>
    </row>
    <row r="22" spans="1:11">
      <c r="A22" s="161"/>
      <c r="B22" s="161"/>
      <c r="C22" s="161"/>
      <c r="D22" s="161"/>
      <c r="E22" s="161"/>
      <c r="F22" s="161"/>
      <c r="G22" s="161"/>
      <c r="H22" s="546"/>
      <c r="I22" s="161"/>
      <c r="J22" s="161"/>
      <c r="K22" s="161"/>
    </row>
    <row r="23" spans="1:11">
      <c r="A23" s="161"/>
      <c r="B23" s="161"/>
      <c r="C23" s="161"/>
      <c r="D23" s="161"/>
      <c r="E23" s="161"/>
      <c r="F23" s="161"/>
      <c r="G23" s="161"/>
      <c r="H23" s="546"/>
      <c r="I23" s="161"/>
      <c r="J23" s="161"/>
      <c r="K23" s="161"/>
    </row>
    <row r="24" spans="1:11">
      <c r="A24" s="161"/>
      <c r="B24" s="161"/>
      <c r="C24" s="161"/>
      <c r="D24" s="161"/>
      <c r="E24" s="161"/>
      <c r="F24" s="161"/>
      <c r="G24" s="161"/>
      <c r="H24" s="546"/>
      <c r="I24" s="161"/>
      <c r="J24" s="161"/>
      <c r="K24" s="161"/>
    </row>
    <row r="25" spans="1:11">
      <c r="A25" s="161"/>
      <c r="B25" s="161"/>
      <c r="C25" s="161"/>
      <c r="D25" s="161"/>
      <c r="E25" s="161"/>
      <c r="F25" s="161"/>
      <c r="G25" s="161"/>
      <c r="H25" s="546"/>
      <c r="I25" s="161"/>
      <c r="J25" s="161"/>
      <c r="K25" s="161"/>
    </row>
    <row r="26" spans="1:11">
      <c r="A26" s="161"/>
      <c r="B26" s="161"/>
      <c r="C26" s="161"/>
      <c r="D26" s="161"/>
      <c r="E26" s="161"/>
      <c r="F26" s="161"/>
      <c r="G26" s="161"/>
      <c r="H26" s="546"/>
      <c r="I26" s="161"/>
      <c r="J26" s="161"/>
      <c r="K26" s="161"/>
    </row>
    <row r="27" spans="1:11">
      <c r="A27" s="161"/>
      <c r="B27" s="161"/>
      <c r="C27" s="161"/>
      <c r="D27" s="161"/>
      <c r="E27" s="161"/>
      <c r="F27" s="161"/>
      <c r="G27" s="161"/>
      <c r="H27" s="546"/>
      <c r="I27" s="161"/>
      <c r="J27" s="161"/>
      <c r="K27" s="161"/>
    </row>
    <row r="28" spans="1:11">
      <c r="A28" s="161"/>
      <c r="B28" s="161"/>
      <c r="C28" s="161"/>
      <c r="D28" s="161"/>
      <c r="E28" s="161"/>
      <c r="F28" s="161"/>
      <c r="G28" s="161"/>
      <c r="H28" s="546"/>
      <c r="I28" s="161"/>
      <c r="J28" s="161"/>
      <c r="K28" s="161"/>
    </row>
    <row r="29" spans="1:11">
      <c r="A29" s="161"/>
      <c r="B29" s="161"/>
      <c r="C29" s="161"/>
      <c r="D29" s="161"/>
      <c r="E29" s="161"/>
      <c r="F29" s="161"/>
      <c r="G29" s="161"/>
      <c r="H29" s="546"/>
      <c r="I29" s="161"/>
      <c r="J29" s="161"/>
      <c r="K29" s="161"/>
    </row>
    <row r="30" spans="1:11">
      <c r="A30" s="161"/>
      <c r="B30" s="161"/>
      <c r="C30" s="161"/>
      <c r="D30" s="161"/>
      <c r="E30" s="161"/>
      <c r="F30" s="161"/>
      <c r="G30" s="161"/>
      <c r="H30" s="546"/>
      <c r="I30" s="161"/>
      <c r="J30" s="161"/>
      <c r="K30" s="161"/>
    </row>
    <row r="31" spans="1:11">
      <c r="A31" s="161"/>
      <c r="B31" s="161"/>
      <c r="C31" s="161"/>
      <c r="D31" s="161"/>
      <c r="E31" s="161"/>
      <c r="F31" s="161"/>
      <c r="G31" s="161"/>
      <c r="H31" s="546"/>
      <c r="I31" s="161"/>
      <c r="J31" s="161"/>
      <c r="K31" s="161"/>
    </row>
    <row r="32" spans="1:11">
      <c r="A32" s="161"/>
      <c r="B32" s="161"/>
      <c r="C32" s="161"/>
      <c r="D32" s="161"/>
      <c r="E32" s="161"/>
      <c r="F32" s="161"/>
      <c r="G32" s="161"/>
      <c r="H32" s="546"/>
      <c r="I32" s="161"/>
      <c r="J32" s="161"/>
      <c r="K32" s="161"/>
    </row>
    <row r="33" spans="1:12">
      <c r="A33" s="161"/>
      <c r="B33" s="161"/>
      <c r="C33" s="161"/>
      <c r="D33" s="161"/>
      <c r="E33" s="161"/>
      <c r="F33" s="161"/>
      <c r="G33" s="161"/>
      <c r="H33" s="546"/>
      <c r="I33" s="161"/>
      <c r="J33" s="161"/>
      <c r="K33" s="161"/>
    </row>
    <row r="34" spans="1:12">
      <c r="A34" s="1468"/>
      <c r="B34" s="1468"/>
      <c r="C34" s="1469"/>
      <c r="D34" s="1470"/>
      <c r="E34" s="1471"/>
      <c r="F34" s="161"/>
      <c r="G34" s="161"/>
      <c r="H34" s="546"/>
      <c r="I34" s="161"/>
      <c r="J34" s="161"/>
      <c r="K34" s="161"/>
    </row>
    <row r="35" spans="1:12">
      <c r="A35" s="1468"/>
      <c r="B35" s="1468"/>
      <c r="C35" s="546"/>
      <c r="D35" s="1470"/>
      <c r="E35" s="1471"/>
      <c r="F35" s="161"/>
      <c r="G35" s="161"/>
      <c r="H35" s="546"/>
      <c r="I35" s="161"/>
      <c r="J35" s="161"/>
      <c r="K35" s="161"/>
    </row>
    <row r="36" spans="1:12">
      <c r="A36" s="1468"/>
      <c r="B36" s="1468"/>
      <c r="C36" s="546"/>
      <c r="D36" s="1470"/>
      <c r="E36" s="1471"/>
      <c r="F36" s="161"/>
      <c r="G36" s="161"/>
      <c r="H36" s="546"/>
      <c r="I36" s="161"/>
      <c r="J36" s="161"/>
      <c r="K36" s="161"/>
    </row>
    <row r="37" spans="1:12">
      <c r="A37" s="1468"/>
      <c r="B37" s="1468"/>
      <c r="C37" s="1469"/>
      <c r="D37" s="1470"/>
      <c r="E37" s="1471"/>
      <c r="F37" s="161"/>
      <c r="G37" s="161"/>
      <c r="H37" s="546"/>
      <c r="I37" s="161"/>
      <c r="J37" s="161"/>
      <c r="K37" s="161"/>
    </row>
    <row r="38" spans="1:12">
      <c r="A38" s="1468"/>
      <c r="B38" s="1468"/>
      <c r="C38" s="1469"/>
      <c r="D38" s="1470"/>
      <c r="E38" s="1471"/>
      <c r="F38" s="161"/>
      <c r="G38" s="161"/>
      <c r="H38" s="546"/>
      <c r="I38" s="161"/>
      <c r="J38" s="161"/>
      <c r="K38" s="161"/>
    </row>
    <row r="39" spans="1:12">
      <c r="A39" s="1468"/>
      <c r="B39" s="1472"/>
      <c r="C39" s="1469"/>
      <c r="D39" s="1470"/>
      <c r="E39" s="1471"/>
      <c r="F39" s="161"/>
      <c r="G39" s="161"/>
      <c r="H39" s="546"/>
      <c r="I39" s="161"/>
      <c r="J39" s="161"/>
      <c r="K39" s="161"/>
    </row>
    <row r="40" spans="1:12">
      <c r="A40" s="1468"/>
      <c r="B40" s="1468"/>
      <c r="C40" s="1469"/>
      <c r="D40" s="1470"/>
      <c r="E40" s="1471"/>
      <c r="F40" s="161"/>
      <c r="G40" s="161"/>
      <c r="H40" s="546"/>
      <c r="I40" s="161"/>
      <c r="J40" s="161"/>
      <c r="K40" s="161"/>
    </row>
    <row r="41" spans="1:12">
      <c r="A41" s="1468"/>
      <c r="B41" s="1468"/>
      <c r="C41" s="1469"/>
      <c r="D41" s="1470"/>
      <c r="E41" s="1471"/>
      <c r="F41" s="161"/>
      <c r="G41" s="161"/>
      <c r="H41" s="546"/>
      <c r="I41" s="161"/>
      <c r="J41" s="161"/>
      <c r="K41" s="161"/>
    </row>
    <row r="42" spans="1:12">
      <c r="A42" s="1468"/>
      <c r="B42" s="1468"/>
      <c r="C42" s="1469"/>
      <c r="D42" s="1470"/>
      <c r="E42" s="1471"/>
      <c r="F42" s="161"/>
      <c r="G42" s="161"/>
      <c r="H42" s="546"/>
      <c r="I42" s="161"/>
      <c r="J42" s="161"/>
      <c r="K42" s="161"/>
    </row>
    <row r="43" spans="1:12">
      <c r="A43" s="1468"/>
      <c r="B43" s="1468"/>
      <c r="C43" s="1469"/>
      <c r="D43" s="1470"/>
      <c r="E43" s="1471"/>
      <c r="F43" s="161"/>
      <c r="G43" s="161"/>
      <c r="H43" s="546"/>
      <c r="I43" s="161"/>
      <c r="J43" s="161"/>
      <c r="K43" s="161"/>
    </row>
    <row r="44" spans="1:12">
      <c r="A44" s="1468"/>
      <c r="B44" s="1468"/>
      <c r="C44" s="1469"/>
      <c r="D44" s="1470"/>
      <c r="E44" s="1473"/>
      <c r="F44" s="161"/>
      <c r="G44" s="161"/>
      <c r="H44" s="546"/>
      <c r="I44" s="161"/>
      <c r="J44" s="161"/>
      <c r="K44" s="161"/>
    </row>
    <row r="45" spans="1:12">
      <c r="A45" s="1468"/>
      <c r="B45" s="1468"/>
      <c r="C45" s="1469"/>
      <c r="D45" s="1470"/>
      <c r="E45" s="1473"/>
      <c r="F45" s="161"/>
      <c r="G45" s="545">
        <v>3492</v>
      </c>
      <c r="H45" s="639">
        <v>10000808</v>
      </c>
      <c r="I45" s="173" t="s">
        <v>1171</v>
      </c>
      <c r="J45" s="1474" t="s">
        <v>515</v>
      </c>
      <c r="K45" s="1475">
        <v>15</v>
      </c>
      <c r="L45">
        <f>SUM(E6:E9)*K45</f>
        <v>0</v>
      </c>
    </row>
    <row r="46" spans="1:12">
      <c r="A46" s="1468"/>
      <c r="B46" s="1468"/>
      <c r="C46" s="1469"/>
      <c r="D46" s="1470"/>
      <c r="E46" s="1473"/>
      <c r="F46" s="161"/>
      <c r="G46" s="545">
        <v>3491</v>
      </c>
      <c r="H46" s="639"/>
      <c r="I46" s="173" t="s">
        <v>1172</v>
      </c>
      <c r="J46" s="1474" t="s">
        <v>515</v>
      </c>
      <c r="K46" s="1475">
        <v>15</v>
      </c>
      <c r="L46">
        <f>SUM(F6:F9)*K46</f>
        <v>0</v>
      </c>
    </row>
    <row r="47" spans="1:12">
      <c r="A47" s="1468"/>
      <c r="B47" s="1468"/>
      <c r="C47" s="1469"/>
      <c r="D47" s="1470"/>
      <c r="E47" s="1473"/>
      <c r="F47" s="161"/>
      <c r="G47" s="545">
        <v>3494</v>
      </c>
      <c r="H47" s="639"/>
      <c r="I47" s="173" t="s">
        <v>1173</v>
      </c>
      <c r="J47" s="1474" t="s">
        <v>515</v>
      </c>
      <c r="K47" s="1475">
        <v>15</v>
      </c>
      <c r="L47">
        <f>SUM(G6:G9)*K47</f>
        <v>0</v>
      </c>
    </row>
    <row r="48" spans="1:12">
      <c r="A48" s="1468"/>
      <c r="B48" s="1468"/>
      <c r="C48" s="1469"/>
      <c r="D48" s="1470"/>
      <c r="E48" s="1473"/>
      <c r="F48" s="161"/>
      <c r="G48" s="545"/>
      <c r="H48" s="639"/>
      <c r="I48" s="173" t="s">
        <v>1174</v>
      </c>
      <c r="J48" s="1474" t="s">
        <v>515</v>
      </c>
      <c r="K48" s="1475">
        <v>15</v>
      </c>
      <c r="L48">
        <f>SUM(H6:H9)*K48</f>
        <v>0</v>
      </c>
    </row>
    <row r="49" spans="1:12">
      <c r="A49" s="1468"/>
      <c r="B49" s="1468"/>
      <c r="C49" s="1469"/>
      <c r="D49" s="1470"/>
      <c r="E49" s="1473"/>
      <c r="F49" s="161"/>
      <c r="G49" s="639"/>
      <c r="H49" s="639"/>
      <c r="I49" s="173" t="s">
        <v>1771</v>
      </c>
      <c r="J49" s="1476" t="s">
        <v>0</v>
      </c>
      <c r="K49" s="1475">
        <v>4</v>
      </c>
      <c r="L49">
        <f>SUM(E$6:E$9,F$6:F$9,G$6:G$9,H$6:H$9)*K49</f>
        <v>0</v>
      </c>
    </row>
    <row r="50" spans="1:12">
      <c r="A50" s="1468"/>
      <c r="B50" s="1468"/>
      <c r="C50" s="1469"/>
      <c r="D50" s="1470"/>
      <c r="E50" s="1471"/>
      <c r="F50" s="161"/>
      <c r="G50" s="639"/>
      <c r="H50" s="639"/>
      <c r="I50" s="173" t="s">
        <v>1426</v>
      </c>
      <c r="J50" s="1476" t="s">
        <v>168</v>
      </c>
      <c r="K50" s="1475">
        <v>180</v>
      </c>
      <c r="L50">
        <f t="shared" ref="L50:L71" si="0">SUM(E$6:E$9,F$6:F$9,G$6:G$9,H$6:H$9)*K50</f>
        <v>0</v>
      </c>
    </row>
    <row r="51" spans="1:12">
      <c r="A51" s="1468"/>
      <c r="B51" s="1468"/>
      <c r="C51" s="1469"/>
      <c r="D51" s="1470"/>
      <c r="E51" s="1471"/>
      <c r="F51" s="161"/>
      <c r="G51" s="639"/>
      <c r="H51" s="639"/>
      <c r="I51" s="173" t="s">
        <v>1772</v>
      </c>
      <c r="J51" s="1476" t="s">
        <v>168</v>
      </c>
      <c r="K51" s="1475">
        <v>180</v>
      </c>
      <c r="L51">
        <f t="shared" si="0"/>
        <v>0</v>
      </c>
    </row>
    <row r="52" spans="1:12">
      <c r="A52" s="1468"/>
      <c r="B52" s="1468"/>
      <c r="C52" s="1469"/>
      <c r="D52" s="1470"/>
      <c r="E52" s="1471"/>
      <c r="F52" s="161"/>
      <c r="G52" s="639">
        <v>3498</v>
      </c>
      <c r="H52" s="639"/>
      <c r="I52" s="173" t="s">
        <v>36</v>
      </c>
      <c r="J52" s="1476" t="s">
        <v>4</v>
      </c>
      <c r="K52" s="1475">
        <v>6</v>
      </c>
      <c r="L52">
        <f t="shared" si="0"/>
        <v>0</v>
      </c>
    </row>
    <row r="53" spans="1:12">
      <c r="A53" s="1468"/>
      <c r="B53" s="1468"/>
      <c r="C53" s="1469"/>
      <c r="D53" s="1470"/>
      <c r="E53" s="1471"/>
      <c r="F53" s="161"/>
      <c r="G53" s="639">
        <v>3506</v>
      </c>
      <c r="H53" s="639">
        <v>10008218</v>
      </c>
      <c r="I53" s="173" t="s">
        <v>2</v>
      </c>
      <c r="J53" s="1476" t="s">
        <v>515</v>
      </c>
      <c r="K53" s="1475">
        <v>40</v>
      </c>
      <c r="L53">
        <f t="shared" si="0"/>
        <v>0</v>
      </c>
    </row>
    <row r="54" spans="1:12">
      <c r="A54" s="1468"/>
      <c r="B54" s="1468"/>
      <c r="C54" s="1469"/>
      <c r="D54" s="1470"/>
      <c r="E54" s="1471"/>
      <c r="F54" s="161"/>
      <c r="G54" s="639"/>
      <c r="H54" s="639"/>
      <c r="I54" s="173" t="s">
        <v>1427</v>
      </c>
      <c r="J54" s="1476" t="s">
        <v>515</v>
      </c>
      <c r="K54" s="1475">
        <v>1</v>
      </c>
      <c r="L54">
        <f t="shared" si="0"/>
        <v>0</v>
      </c>
    </row>
    <row r="55" spans="1:12">
      <c r="A55" s="1468"/>
      <c r="B55" s="1468"/>
      <c r="C55" s="1469"/>
      <c r="D55" s="1470"/>
      <c r="E55" s="1471"/>
      <c r="F55" s="161"/>
      <c r="G55" s="639"/>
      <c r="H55" s="639"/>
      <c r="I55" s="173" t="s">
        <v>1755</v>
      </c>
      <c r="J55" s="1476" t="s">
        <v>515</v>
      </c>
      <c r="K55" s="1475">
        <v>3</v>
      </c>
      <c r="L55">
        <f t="shared" si="0"/>
        <v>0</v>
      </c>
    </row>
    <row r="56" spans="1:12">
      <c r="A56" s="1468"/>
      <c r="B56" s="1468"/>
      <c r="C56" s="1469"/>
      <c r="D56" s="1470"/>
      <c r="E56" s="1471"/>
      <c r="F56" s="161"/>
      <c r="G56" s="639"/>
      <c r="H56" s="639"/>
      <c r="I56" s="173" t="s">
        <v>1756</v>
      </c>
      <c r="J56" s="1476" t="s">
        <v>515</v>
      </c>
      <c r="K56" s="1475">
        <v>3</v>
      </c>
      <c r="L56">
        <f t="shared" si="0"/>
        <v>0</v>
      </c>
    </row>
    <row r="57" spans="1:12">
      <c r="A57" s="1468"/>
      <c r="B57" s="1468"/>
      <c r="C57" s="1469"/>
      <c r="D57" s="1470"/>
      <c r="E57" s="1471"/>
      <c r="F57" s="161"/>
      <c r="G57" s="639"/>
      <c r="H57" s="639"/>
      <c r="I57" s="173" t="s">
        <v>1759</v>
      </c>
      <c r="J57" s="1476" t="s">
        <v>4</v>
      </c>
      <c r="K57" s="1475">
        <v>12.5</v>
      </c>
      <c r="L57">
        <f>SUM(E$6:E$9)*K57</f>
        <v>0</v>
      </c>
    </row>
    <row r="58" spans="1:12">
      <c r="A58" s="1468"/>
      <c r="B58" s="1468"/>
      <c r="C58" s="1469"/>
      <c r="D58" s="1470"/>
      <c r="E58" s="1471"/>
      <c r="F58" s="161"/>
      <c r="G58" s="639"/>
      <c r="H58" s="639"/>
      <c r="I58" s="173" t="s">
        <v>1760</v>
      </c>
      <c r="J58" s="1476" t="s">
        <v>4</v>
      </c>
      <c r="K58" s="1475">
        <v>20</v>
      </c>
      <c r="L58">
        <f>SUM(F$6:F$9)*K58</f>
        <v>0</v>
      </c>
    </row>
    <row r="59" spans="1:12">
      <c r="A59" s="1468"/>
      <c r="B59" s="1468"/>
      <c r="C59" s="1469"/>
      <c r="D59" s="1470"/>
      <c r="E59" s="1471"/>
      <c r="F59" s="161"/>
      <c r="G59" s="639"/>
      <c r="H59" s="639"/>
      <c r="I59" s="173" t="s">
        <v>1761</v>
      </c>
      <c r="J59" s="1476" t="s">
        <v>4</v>
      </c>
      <c r="K59" s="1475">
        <v>40</v>
      </c>
      <c r="L59">
        <f>SUM(G$6:G$9)*K59</f>
        <v>0</v>
      </c>
    </row>
    <row r="60" spans="1:12">
      <c r="A60" s="1468"/>
      <c r="B60" s="1468"/>
      <c r="C60" s="1469"/>
      <c r="D60" s="1470"/>
      <c r="E60" s="1471"/>
      <c r="F60" s="161"/>
      <c r="G60" s="639"/>
      <c r="H60" s="639"/>
      <c r="I60" s="173" t="s">
        <v>1762</v>
      </c>
      <c r="J60" s="1476" t="s">
        <v>4</v>
      </c>
      <c r="K60" s="1475">
        <v>63.5</v>
      </c>
      <c r="L60">
        <f>SUM(H$6:H$9)*K60</f>
        <v>0</v>
      </c>
    </row>
    <row r="61" spans="1:12">
      <c r="A61" s="1468"/>
      <c r="B61" s="1472"/>
      <c r="C61" s="1469"/>
      <c r="D61" s="1470"/>
      <c r="E61" s="1471"/>
      <c r="F61" s="161"/>
      <c r="G61" s="639">
        <v>3522</v>
      </c>
      <c r="H61" s="639">
        <v>10000889</v>
      </c>
      <c r="I61" s="173" t="s">
        <v>1428</v>
      </c>
      <c r="J61" s="1476" t="s">
        <v>386</v>
      </c>
      <c r="K61" s="1475">
        <v>6</v>
      </c>
      <c r="L61">
        <f t="shared" si="0"/>
        <v>0</v>
      </c>
    </row>
    <row r="62" spans="1:12">
      <c r="A62" s="1468"/>
      <c r="B62" s="1468"/>
      <c r="C62" s="1469"/>
      <c r="D62" s="1470"/>
      <c r="E62" s="1471"/>
      <c r="F62" s="161"/>
      <c r="G62" s="639"/>
      <c r="H62" s="639"/>
      <c r="I62" s="173" t="s">
        <v>1766</v>
      </c>
      <c r="J62" s="1476" t="s">
        <v>386</v>
      </c>
      <c r="K62" s="1475">
        <v>40</v>
      </c>
      <c r="L62">
        <f t="shared" si="0"/>
        <v>0</v>
      </c>
    </row>
    <row r="63" spans="1:12">
      <c r="A63" s="1468"/>
      <c r="B63" s="1468"/>
      <c r="C63" s="1469"/>
      <c r="D63" s="1470"/>
      <c r="E63" s="1471"/>
      <c r="F63" s="161"/>
      <c r="G63" s="639"/>
      <c r="H63" s="639"/>
      <c r="I63" s="173" t="s">
        <v>1765</v>
      </c>
      <c r="J63" s="1476" t="s">
        <v>168</v>
      </c>
      <c r="K63" s="1475">
        <v>20</v>
      </c>
      <c r="L63">
        <f t="shared" si="0"/>
        <v>0</v>
      </c>
    </row>
    <row r="64" spans="1:12">
      <c r="A64" s="1468"/>
      <c r="B64" s="546"/>
      <c r="C64" s="1469"/>
      <c r="D64" s="1470"/>
      <c r="E64" s="1471"/>
      <c r="F64" s="161"/>
      <c r="G64" s="639"/>
      <c r="H64" s="639"/>
      <c r="I64" s="173" t="s">
        <v>1769</v>
      </c>
      <c r="J64" s="1476" t="s">
        <v>168</v>
      </c>
      <c r="K64" s="1475">
        <v>180</v>
      </c>
      <c r="L64">
        <f t="shared" si="0"/>
        <v>0</v>
      </c>
    </row>
    <row r="65" spans="1:12">
      <c r="A65" s="1468"/>
      <c r="B65" s="1468"/>
      <c r="C65" s="1469"/>
      <c r="D65" s="1470"/>
      <c r="E65" s="1471"/>
      <c r="F65" s="161"/>
      <c r="G65" s="639"/>
      <c r="H65" s="639"/>
      <c r="I65" s="173" t="s">
        <v>1429</v>
      </c>
      <c r="J65" s="1476" t="s">
        <v>168</v>
      </c>
      <c r="K65" s="1475">
        <v>20</v>
      </c>
      <c r="L65">
        <f t="shared" si="0"/>
        <v>0</v>
      </c>
    </row>
    <row r="66" spans="1:12">
      <c r="A66" s="1468"/>
      <c r="B66" s="1468"/>
      <c r="C66" s="1469"/>
      <c r="D66" s="1470"/>
      <c r="E66" s="1471"/>
      <c r="F66" s="161"/>
      <c r="G66" s="639">
        <v>3516</v>
      </c>
      <c r="H66" s="639">
        <v>10002691</v>
      </c>
      <c r="I66" s="173" t="s">
        <v>1770</v>
      </c>
      <c r="J66" s="1476" t="s">
        <v>168</v>
      </c>
      <c r="K66" s="1475">
        <v>40</v>
      </c>
      <c r="L66">
        <f t="shared" si="0"/>
        <v>0</v>
      </c>
    </row>
    <row r="67" spans="1:12">
      <c r="A67" s="1468"/>
      <c r="B67" s="1468"/>
      <c r="C67" s="1469"/>
      <c r="D67" s="1470"/>
      <c r="E67" s="1471"/>
      <c r="F67" s="161"/>
      <c r="G67" s="639"/>
      <c r="H67" s="639"/>
      <c r="I67" s="173" t="s">
        <v>1430</v>
      </c>
      <c r="J67" s="1476" t="s">
        <v>0</v>
      </c>
      <c r="K67" s="1477">
        <v>3</v>
      </c>
      <c r="L67">
        <f t="shared" si="0"/>
        <v>0</v>
      </c>
    </row>
    <row r="68" spans="1:12">
      <c r="A68" s="1468"/>
      <c r="B68" s="1468"/>
      <c r="C68" s="1469"/>
      <c r="D68" s="1470"/>
      <c r="E68" s="1471"/>
      <c r="F68" s="161"/>
      <c r="G68" s="639"/>
      <c r="H68" s="639"/>
      <c r="I68" s="173" t="s">
        <v>1784</v>
      </c>
      <c r="J68" s="1476" t="s">
        <v>0</v>
      </c>
      <c r="K68" s="1477">
        <v>1</v>
      </c>
      <c r="L68">
        <f t="shared" si="0"/>
        <v>0</v>
      </c>
    </row>
    <row r="69" spans="1:12">
      <c r="A69" s="1468"/>
      <c r="B69" s="1468"/>
      <c r="C69" s="1469"/>
      <c r="D69" s="1470"/>
      <c r="E69" s="1471"/>
      <c r="F69" s="161"/>
      <c r="G69" s="639">
        <v>3536</v>
      </c>
      <c r="H69" s="639">
        <v>10001016</v>
      </c>
      <c r="I69" s="173" t="s">
        <v>454</v>
      </c>
      <c r="J69" s="1476" t="s">
        <v>515</v>
      </c>
      <c r="K69" s="1475">
        <v>6</v>
      </c>
      <c r="L69">
        <f t="shared" si="0"/>
        <v>0</v>
      </c>
    </row>
    <row r="70" spans="1:12">
      <c r="A70" s="1468"/>
      <c r="B70" s="1468"/>
      <c r="C70" s="1469"/>
      <c r="D70" s="1470"/>
      <c r="E70" s="1471"/>
      <c r="F70" s="161"/>
      <c r="G70" s="639">
        <v>4016</v>
      </c>
      <c r="H70" s="639"/>
      <c r="I70" s="173" t="s">
        <v>456</v>
      </c>
      <c r="J70" s="1476" t="s">
        <v>515</v>
      </c>
      <c r="K70" s="1475">
        <v>9</v>
      </c>
      <c r="L70">
        <f t="shared" si="0"/>
        <v>0</v>
      </c>
    </row>
    <row r="71" spans="1:12">
      <c r="A71" s="1468"/>
      <c r="B71" s="1468"/>
      <c r="C71" s="1469"/>
      <c r="D71" s="1470"/>
      <c r="E71" s="1471"/>
      <c r="F71" s="161"/>
      <c r="G71" s="639"/>
      <c r="H71" s="639"/>
      <c r="I71" s="173" t="s">
        <v>1431</v>
      </c>
      <c r="J71" s="1476" t="s">
        <v>0</v>
      </c>
      <c r="K71" s="1475">
        <v>22</v>
      </c>
      <c r="L71">
        <f t="shared" si="0"/>
        <v>0</v>
      </c>
    </row>
    <row r="72" spans="1:12">
      <c r="A72" s="1468"/>
      <c r="B72" s="1468"/>
      <c r="C72" s="1469"/>
      <c r="D72" s="1470"/>
      <c r="E72" s="1471"/>
      <c r="F72" s="161"/>
      <c r="G72" s="639"/>
      <c r="H72" s="639">
        <v>64381</v>
      </c>
      <c r="I72" s="173" t="s">
        <v>213</v>
      </c>
      <c r="J72" s="1476" t="s">
        <v>0</v>
      </c>
      <c r="K72" s="1475">
        <v>8</v>
      </c>
      <c r="L72" s="216">
        <f>SUM(G6:G9,H6:H9)*K72</f>
        <v>0</v>
      </c>
    </row>
    <row r="73" spans="1:12">
      <c r="A73" s="1468"/>
      <c r="B73" s="1468"/>
      <c r="C73" s="1469"/>
      <c r="D73" s="1470"/>
      <c r="E73" s="1471"/>
      <c r="F73" s="161"/>
      <c r="G73" s="639">
        <v>3553</v>
      </c>
      <c r="H73" s="639">
        <v>10009219</v>
      </c>
      <c r="I73" s="173" t="s">
        <v>214</v>
      </c>
      <c r="J73" s="1476" t="s">
        <v>515</v>
      </c>
      <c r="K73" s="1475">
        <v>8</v>
      </c>
      <c r="L73" s="216">
        <f>SUM(E6:E9,F6:F9)*K73</f>
        <v>0</v>
      </c>
    </row>
    <row r="74" spans="1:12">
      <c r="A74" s="1468"/>
      <c r="B74" s="1468"/>
      <c r="C74" s="1469"/>
      <c r="D74" s="1470"/>
      <c r="E74" s="1471"/>
      <c r="F74" s="161"/>
      <c r="G74" s="639"/>
      <c r="H74" s="639"/>
      <c r="I74" s="173" t="s">
        <v>1780</v>
      </c>
      <c r="J74" s="1476" t="s">
        <v>0</v>
      </c>
      <c r="K74" s="1475">
        <v>18</v>
      </c>
      <c r="L74">
        <f t="shared" ref="L74:L108" si="1">SUM(E$6:E$9,F$6:F$9,G$6:G$9,H$6:H$9)*K74</f>
        <v>0</v>
      </c>
    </row>
    <row r="75" spans="1:12">
      <c r="A75" s="1468"/>
      <c r="B75" s="1468"/>
      <c r="C75" s="1469"/>
      <c r="D75" s="1470"/>
      <c r="E75" s="1471"/>
      <c r="F75" s="161"/>
      <c r="G75" s="639"/>
      <c r="H75" s="639"/>
      <c r="I75" s="173" t="s">
        <v>1432</v>
      </c>
      <c r="J75" s="1476" t="s">
        <v>0</v>
      </c>
      <c r="K75" s="1475">
        <v>20</v>
      </c>
      <c r="L75">
        <f t="shared" si="1"/>
        <v>0</v>
      </c>
    </row>
    <row r="76" spans="1:12">
      <c r="A76" s="1468"/>
      <c r="B76" s="1468"/>
      <c r="C76" s="1469"/>
      <c r="D76" s="1470"/>
      <c r="E76" s="1471"/>
      <c r="F76" s="161"/>
      <c r="G76" s="639">
        <v>4085</v>
      </c>
      <c r="H76" s="173"/>
      <c r="I76" s="173" t="s">
        <v>1433</v>
      </c>
      <c r="J76" s="1476" t="s">
        <v>517</v>
      </c>
      <c r="K76" s="1475">
        <v>2</v>
      </c>
      <c r="L76">
        <f t="shared" si="1"/>
        <v>0</v>
      </c>
    </row>
    <row r="77" spans="1:12">
      <c r="A77" s="1468"/>
      <c r="B77" s="1468"/>
      <c r="C77" s="1469"/>
      <c r="D77" s="1470"/>
      <c r="E77" s="1471"/>
      <c r="F77" s="161"/>
      <c r="G77" s="639">
        <v>3571</v>
      </c>
      <c r="H77" s="639"/>
      <c r="I77" s="173" t="s">
        <v>1768</v>
      </c>
      <c r="J77" s="1476" t="s">
        <v>515</v>
      </c>
      <c r="K77" s="1475">
        <v>2</v>
      </c>
      <c r="L77">
        <f t="shared" si="1"/>
        <v>0</v>
      </c>
    </row>
    <row r="78" spans="1:12">
      <c r="A78" s="1468"/>
      <c r="B78" s="1468"/>
      <c r="C78" s="1469"/>
      <c r="D78" s="1470"/>
      <c r="E78" s="1471"/>
      <c r="F78" s="161"/>
      <c r="G78" s="639"/>
      <c r="H78" s="639"/>
      <c r="I78" s="173" t="s">
        <v>1767</v>
      </c>
      <c r="J78" s="1476" t="s">
        <v>0</v>
      </c>
      <c r="K78" s="1475">
        <v>8</v>
      </c>
      <c r="L78">
        <f t="shared" si="1"/>
        <v>0</v>
      </c>
    </row>
    <row r="79" spans="1:12">
      <c r="A79" s="1468"/>
      <c r="B79" s="1468"/>
      <c r="C79" s="1469"/>
      <c r="D79" s="1470"/>
      <c r="E79" s="1471"/>
      <c r="F79" s="161"/>
      <c r="G79" s="639"/>
      <c r="H79" s="639"/>
      <c r="I79" s="173" t="s">
        <v>1434</v>
      </c>
      <c r="J79" s="1476" t="s">
        <v>515</v>
      </c>
      <c r="K79" s="1475">
        <v>4</v>
      </c>
      <c r="L79">
        <f t="shared" si="1"/>
        <v>0</v>
      </c>
    </row>
    <row r="80" spans="1:12">
      <c r="A80" s="1468"/>
      <c r="B80" s="1468"/>
      <c r="C80" s="1469"/>
      <c r="D80" s="1470"/>
      <c r="E80" s="1471"/>
      <c r="F80" s="161"/>
      <c r="G80" s="639"/>
      <c r="H80" s="639"/>
      <c r="I80" s="173" t="s">
        <v>1763</v>
      </c>
      <c r="J80" s="1476" t="s">
        <v>515</v>
      </c>
      <c r="K80" s="1475">
        <v>10</v>
      </c>
      <c r="L80">
        <f t="shared" si="1"/>
        <v>0</v>
      </c>
    </row>
    <row r="81" spans="1:12">
      <c r="A81" s="1468"/>
      <c r="B81" s="1468"/>
      <c r="C81" s="1469"/>
      <c r="D81" s="1470"/>
      <c r="E81" s="1471"/>
      <c r="F81" s="161"/>
      <c r="G81" s="639">
        <v>3580</v>
      </c>
      <c r="H81" s="639">
        <v>10000661</v>
      </c>
      <c r="I81" s="173" t="s">
        <v>410</v>
      </c>
      <c r="J81" s="1476" t="s">
        <v>0</v>
      </c>
      <c r="K81" s="1475">
        <v>8</v>
      </c>
      <c r="L81">
        <f t="shared" si="1"/>
        <v>0</v>
      </c>
    </row>
    <row r="82" spans="1:12">
      <c r="A82" s="1468"/>
      <c r="B82" s="1468"/>
      <c r="C82" s="1469"/>
      <c r="D82" s="1470"/>
      <c r="E82" s="1471"/>
      <c r="F82" s="161"/>
      <c r="G82" s="639"/>
      <c r="H82" s="639"/>
      <c r="I82" s="173" t="s">
        <v>1435</v>
      </c>
      <c r="J82" s="1476" t="s">
        <v>515</v>
      </c>
      <c r="K82" s="1475">
        <v>6</v>
      </c>
      <c r="L82">
        <f t="shared" si="1"/>
        <v>0</v>
      </c>
    </row>
    <row r="83" spans="1:12">
      <c r="A83" s="1468"/>
      <c r="B83" s="1468"/>
      <c r="C83" s="1469"/>
      <c r="D83" s="1470"/>
      <c r="E83" s="1471"/>
      <c r="F83" s="161"/>
      <c r="G83" s="639"/>
      <c r="H83" s="639"/>
      <c r="I83" s="173" t="s">
        <v>1781</v>
      </c>
      <c r="J83" s="1476" t="s">
        <v>0</v>
      </c>
      <c r="K83" s="1475">
        <v>1</v>
      </c>
      <c r="L83">
        <f t="shared" si="1"/>
        <v>0</v>
      </c>
    </row>
    <row r="84" spans="1:12">
      <c r="A84" s="1468"/>
      <c r="B84" s="1468"/>
      <c r="C84" s="1469"/>
      <c r="D84" s="1468"/>
      <c r="E84" s="1471"/>
      <c r="F84" s="161"/>
      <c r="G84" s="639">
        <v>4162</v>
      </c>
      <c r="H84" s="639"/>
      <c r="I84" s="173" t="s">
        <v>1436</v>
      </c>
      <c r="J84" s="1476" t="s">
        <v>515</v>
      </c>
      <c r="K84" s="1475">
        <v>25</v>
      </c>
      <c r="L84">
        <f t="shared" si="1"/>
        <v>0</v>
      </c>
    </row>
    <row r="85" spans="1:12">
      <c r="A85" s="1468"/>
      <c r="B85" s="1468"/>
      <c r="C85" s="1478"/>
      <c r="D85" s="1479"/>
      <c r="E85" s="1471"/>
      <c r="F85" s="161"/>
      <c r="G85" s="639">
        <v>4123</v>
      </c>
      <c r="H85" s="639"/>
      <c r="I85" s="173" t="s">
        <v>1437</v>
      </c>
      <c r="J85" s="1476" t="s">
        <v>168</v>
      </c>
      <c r="K85" s="1475">
        <v>25</v>
      </c>
      <c r="L85">
        <f t="shared" si="1"/>
        <v>0</v>
      </c>
    </row>
    <row r="86" spans="1:12">
      <c r="A86" s="1468"/>
      <c r="B86" s="1468"/>
      <c r="C86" s="1478"/>
      <c r="D86" s="1479"/>
      <c r="E86" s="1471"/>
      <c r="F86" s="161"/>
      <c r="G86" s="639">
        <v>3603</v>
      </c>
      <c r="H86" s="639">
        <v>10001325</v>
      </c>
      <c r="I86" s="173" t="s">
        <v>15</v>
      </c>
      <c r="J86" s="1476" t="s">
        <v>515</v>
      </c>
      <c r="K86" s="1475">
        <v>18</v>
      </c>
      <c r="L86">
        <f t="shared" si="1"/>
        <v>0</v>
      </c>
    </row>
    <row r="87" spans="1:12">
      <c r="A87" s="1468"/>
      <c r="B87" s="1468"/>
      <c r="C87" s="1478"/>
      <c r="D87" s="1479"/>
      <c r="E87" s="1471"/>
      <c r="F87" s="161"/>
      <c r="G87" s="639">
        <v>3981</v>
      </c>
      <c r="H87" s="639"/>
      <c r="I87" s="173" t="s">
        <v>165</v>
      </c>
      <c r="J87" s="1476" t="s">
        <v>515</v>
      </c>
      <c r="K87" s="1475">
        <v>46</v>
      </c>
      <c r="L87">
        <f t="shared" si="1"/>
        <v>0</v>
      </c>
    </row>
    <row r="88" spans="1:12">
      <c r="A88" s="1468"/>
      <c r="B88" s="1468"/>
      <c r="C88" s="1478"/>
      <c r="D88" s="1479"/>
      <c r="E88" s="1471"/>
      <c r="F88" s="161"/>
      <c r="G88" s="639">
        <v>3605</v>
      </c>
      <c r="H88" s="639"/>
      <c r="I88" s="173" t="s">
        <v>166</v>
      </c>
      <c r="J88" s="1476" t="s">
        <v>515</v>
      </c>
      <c r="K88" s="1475">
        <v>20</v>
      </c>
      <c r="L88">
        <f t="shared" si="1"/>
        <v>0</v>
      </c>
    </row>
    <row r="89" spans="1:12">
      <c r="A89" s="1468"/>
      <c r="B89" s="1468"/>
      <c r="C89" s="1478"/>
      <c r="D89" s="1479"/>
      <c r="E89" s="1471"/>
      <c r="F89" s="161"/>
      <c r="G89" s="639">
        <v>3607</v>
      </c>
      <c r="H89" s="639">
        <v>10001484</v>
      </c>
      <c r="I89" s="173" t="s">
        <v>67</v>
      </c>
      <c r="J89" s="1476" t="s">
        <v>515</v>
      </c>
      <c r="K89" s="1475">
        <v>18</v>
      </c>
      <c r="L89">
        <f t="shared" si="1"/>
        <v>0</v>
      </c>
    </row>
    <row r="90" spans="1:12">
      <c r="A90" s="1468"/>
      <c r="B90" s="1468"/>
      <c r="C90" s="1478"/>
      <c r="D90" s="1479"/>
      <c r="E90" s="1471"/>
      <c r="F90" s="161"/>
      <c r="G90" s="639"/>
      <c r="H90" s="639"/>
      <c r="I90" s="173" t="s">
        <v>1782</v>
      </c>
      <c r="J90" s="1476" t="s">
        <v>0</v>
      </c>
      <c r="K90" s="1475">
        <v>3</v>
      </c>
      <c r="L90">
        <f t="shared" si="1"/>
        <v>0</v>
      </c>
    </row>
    <row r="91" spans="1:12">
      <c r="A91" s="1468"/>
      <c r="B91" s="1468"/>
      <c r="C91" s="1478"/>
      <c r="D91" s="1479"/>
      <c r="E91" s="1471"/>
      <c r="F91" s="161"/>
      <c r="G91" s="639">
        <v>3615</v>
      </c>
      <c r="H91" s="639">
        <v>10001529</v>
      </c>
      <c r="I91" s="173" t="s">
        <v>199</v>
      </c>
      <c r="J91" s="1476" t="s">
        <v>515</v>
      </c>
      <c r="K91" s="1475">
        <v>3</v>
      </c>
      <c r="L91">
        <f>SUM(E6:E9)*K91</f>
        <v>0</v>
      </c>
    </row>
    <row r="92" spans="1:12">
      <c r="A92" s="1468"/>
      <c r="B92" s="1468"/>
      <c r="C92" s="1478"/>
      <c r="D92" s="1479"/>
      <c r="E92" s="1471"/>
      <c r="F92" s="161"/>
      <c r="G92" s="639"/>
      <c r="H92" s="639"/>
      <c r="I92" s="173" t="s">
        <v>197</v>
      </c>
      <c r="J92" s="1476" t="s">
        <v>515</v>
      </c>
      <c r="K92" s="1475">
        <v>3</v>
      </c>
      <c r="L92">
        <f>SUM(F6:F9)*K92</f>
        <v>0</v>
      </c>
    </row>
    <row r="93" spans="1:12">
      <c r="A93" s="1468"/>
      <c r="B93" s="1468"/>
      <c r="C93" s="1478"/>
      <c r="D93" s="1479"/>
      <c r="E93" s="1471"/>
      <c r="F93" s="161"/>
      <c r="G93" s="639"/>
      <c r="H93" s="639"/>
      <c r="I93" s="173" t="s">
        <v>198</v>
      </c>
      <c r="J93" s="1476" t="s">
        <v>515</v>
      </c>
      <c r="K93" s="1475">
        <v>3</v>
      </c>
      <c r="L93">
        <f>SUM(G6:G9)*K93</f>
        <v>0</v>
      </c>
    </row>
    <row r="94" spans="1:12">
      <c r="A94" s="1468"/>
      <c r="B94" s="1468"/>
      <c r="C94" s="1478"/>
      <c r="D94" s="1479"/>
      <c r="E94" s="1471"/>
      <c r="F94" s="161"/>
      <c r="G94" s="639"/>
      <c r="H94" s="639"/>
      <c r="I94" s="173" t="s">
        <v>1783</v>
      </c>
      <c r="J94" s="1476" t="s">
        <v>515</v>
      </c>
      <c r="K94" s="1475">
        <v>3</v>
      </c>
      <c r="L94">
        <f>SUM(H6:H9)*K94</f>
        <v>0</v>
      </c>
    </row>
    <row r="95" spans="1:12">
      <c r="A95" s="1468"/>
      <c r="B95" s="1468"/>
      <c r="C95" s="1469"/>
      <c r="D95" s="1470"/>
      <c r="E95" s="1471"/>
      <c r="F95" s="161"/>
      <c r="G95" s="639"/>
      <c r="H95" s="639"/>
      <c r="I95" s="173" t="s">
        <v>1438</v>
      </c>
      <c r="J95" s="1476" t="s">
        <v>515</v>
      </c>
      <c r="K95" s="1475">
        <v>20</v>
      </c>
      <c r="L95">
        <f t="shared" si="1"/>
        <v>0</v>
      </c>
    </row>
    <row r="96" spans="1:12">
      <c r="A96" s="1468"/>
      <c r="B96" s="1468"/>
      <c r="C96" s="1469"/>
      <c r="D96" s="1470"/>
      <c r="E96" s="1471"/>
      <c r="F96" s="161"/>
      <c r="G96" s="639">
        <v>3625</v>
      </c>
      <c r="H96" s="639"/>
      <c r="I96" s="173" t="s">
        <v>150</v>
      </c>
      <c r="J96" s="1476" t="s">
        <v>515</v>
      </c>
      <c r="K96" s="1475">
        <v>24</v>
      </c>
      <c r="L96">
        <f t="shared" si="1"/>
        <v>0</v>
      </c>
    </row>
    <row r="97" spans="1:12">
      <c r="A97" s="1468"/>
      <c r="B97" s="1468"/>
      <c r="C97" s="1469"/>
      <c r="D97" s="1470"/>
      <c r="E97" s="1471"/>
      <c r="F97" s="161"/>
      <c r="G97" s="639"/>
      <c r="H97" s="639"/>
      <c r="I97" s="173" t="s">
        <v>1439</v>
      </c>
      <c r="J97" s="1476" t="s">
        <v>168</v>
      </c>
      <c r="K97" s="1475">
        <v>20</v>
      </c>
      <c r="L97">
        <f t="shared" si="1"/>
        <v>0</v>
      </c>
    </row>
    <row r="98" spans="1:12">
      <c r="A98" s="1468"/>
      <c r="B98" s="1468"/>
      <c r="C98" s="1469"/>
      <c r="D98" s="1470"/>
      <c r="E98" s="1471"/>
      <c r="F98" s="161"/>
      <c r="G98" s="639">
        <v>3623</v>
      </c>
      <c r="H98" s="639">
        <v>10001644</v>
      </c>
      <c r="I98" s="173" t="s">
        <v>19</v>
      </c>
      <c r="J98" s="1476" t="s">
        <v>515</v>
      </c>
      <c r="K98" s="1475">
        <v>22</v>
      </c>
      <c r="L98">
        <f t="shared" si="1"/>
        <v>0</v>
      </c>
    </row>
    <row r="99" spans="1:12">
      <c r="A99" s="1468"/>
      <c r="B99" s="1468"/>
      <c r="C99" s="1469"/>
      <c r="D99" s="1470"/>
      <c r="E99" s="1471"/>
      <c r="F99" s="161"/>
      <c r="G99" s="639"/>
      <c r="H99" s="639"/>
      <c r="I99" s="173" t="s">
        <v>1764</v>
      </c>
      <c r="J99" s="639" t="s">
        <v>743</v>
      </c>
      <c r="K99" s="1475">
        <v>1</v>
      </c>
      <c r="L99">
        <f t="shared" si="1"/>
        <v>0</v>
      </c>
    </row>
    <row r="100" spans="1:12">
      <c r="A100" s="1468"/>
      <c r="B100" s="1468"/>
      <c r="C100" s="1469"/>
      <c r="D100" s="1470"/>
      <c r="E100" s="1471"/>
      <c r="F100" s="161"/>
      <c r="G100" s="1480"/>
      <c r="H100" s="1480"/>
      <c r="I100" s="173" t="s">
        <v>1773</v>
      </c>
      <c r="J100" s="1481" t="s">
        <v>1337</v>
      </c>
      <c r="K100" s="1482">
        <v>0.5</v>
      </c>
      <c r="L100">
        <f t="shared" si="1"/>
        <v>0</v>
      </c>
    </row>
    <row r="101" spans="1:12">
      <c r="A101" s="1468"/>
      <c r="B101" s="1468"/>
      <c r="C101" s="1469"/>
      <c r="D101" s="1470"/>
      <c r="E101" s="1471"/>
      <c r="F101" s="161"/>
      <c r="G101" s="1480"/>
      <c r="H101" s="1480"/>
      <c r="I101" s="173" t="s">
        <v>1774</v>
      </c>
      <c r="J101" s="1481" t="s">
        <v>1338</v>
      </c>
      <c r="K101" s="1482">
        <v>4</v>
      </c>
      <c r="L101">
        <f t="shared" si="1"/>
        <v>0</v>
      </c>
    </row>
    <row r="102" spans="1:12">
      <c r="A102" s="1468"/>
      <c r="B102" s="1468"/>
      <c r="C102" s="1469"/>
      <c r="D102" s="1470"/>
      <c r="E102" s="1471"/>
      <c r="F102" s="161"/>
      <c r="G102" s="1480"/>
      <c r="H102" s="1480"/>
      <c r="I102" s="173" t="s">
        <v>1775</v>
      </c>
      <c r="J102" s="1481" t="s">
        <v>574</v>
      </c>
      <c r="K102" s="1482">
        <v>2</v>
      </c>
      <c r="L102">
        <f t="shared" si="1"/>
        <v>0</v>
      </c>
    </row>
    <row r="103" spans="1:12">
      <c r="A103" s="1468"/>
      <c r="B103" s="1468"/>
      <c r="C103" s="1469"/>
      <c r="D103" s="1470"/>
      <c r="E103" s="1471"/>
      <c r="F103" s="161"/>
      <c r="G103" s="1480"/>
      <c r="H103" s="1480"/>
      <c r="I103" s="173" t="s">
        <v>1776</v>
      </c>
      <c r="J103" s="1481" t="s">
        <v>743</v>
      </c>
      <c r="K103" s="1482">
        <v>5</v>
      </c>
      <c r="L103">
        <f t="shared" si="1"/>
        <v>0</v>
      </c>
    </row>
    <row r="104" spans="1:12">
      <c r="A104" s="1468"/>
      <c r="B104" s="1468"/>
      <c r="C104" s="1469"/>
      <c r="D104" s="1470"/>
      <c r="E104" s="1471"/>
      <c r="F104" s="161"/>
      <c r="G104" s="1480"/>
      <c r="H104" s="1480"/>
      <c r="I104" s="173" t="s">
        <v>1777</v>
      </c>
      <c r="J104" s="1481" t="s">
        <v>0</v>
      </c>
      <c r="K104" s="1482">
        <v>150</v>
      </c>
      <c r="L104">
        <f t="shared" si="1"/>
        <v>0</v>
      </c>
    </row>
    <row r="105" spans="1:12">
      <c r="A105" s="1468"/>
      <c r="B105" s="1468"/>
      <c r="C105" s="1469"/>
      <c r="D105" s="1470"/>
      <c r="E105" s="1471"/>
      <c r="F105" s="161"/>
      <c r="G105" s="1480"/>
      <c r="H105" s="1480"/>
      <c r="I105" s="173" t="s">
        <v>1778</v>
      </c>
      <c r="J105" s="1481" t="s">
        <v>743</v>
      </c>
      <c r="K105" s="1482">
        <v>1</v>
      </c>
      <c r="L105">
        <f t="shared" si="1"/>
        <v>0</v>
      </c>
    </row>
    <row r="106" spans="1:12">
      <c r="A106" s="1468"/>
      <c r="B106" s="1468"/>
      <c r="C106" s="1469"/>
      <c r="D106" s="1470"/>
      <c r="E106" s="1471"/>
      <c r="F106" s="161"/>
      <c r="G106" s="639">
        <v>3626</v>
      </c>
      <c r="H106" s="639">
        <v>10001775</v>
      </c>
      <c r="I106" s="173" t="s">
        <v>20</v>
      </c>
      <c r="J106" s="1476" t="s">
        <v>515</v>
      </c>
      <c r="K106" s="1475">
        <v>10</v>
      </c>
      <c r="L106">
        <f t="shared" si="1"/>
        <v>0</v>
      </c>
    </row>
    <row r="107" spans="1:12">
      <c r="A107" s="1468"/>
      <c r="B107" s="1468"/>
      <c r="C107" s="1469"/>
      <c r="D107" s="1470"/>
      <c r="E107" s="1471"/>
      <c r="F107" s="161"/>
      <c r="G107" s="639"/>
      <c r="H107" s="639"/>
      <c r="I107" s="173" t="s">
        <v>1440</v>
      </c>
      <c r="J107" s="1476" t="s">
        <v>515</v>
      </c>
      <c r="K107" s="1475">
        <v>10</v>
      </c>
      <c r="L107">
        <f t="shared" si="1"/>
        <v>0</v>
      </c>
    </row>
    <row r="108" spans="1:12">
      <c r="A108" s="1468"/>
      <c r="B108" s="1468"/>
      <c r="C108" s="1469"/>
      <c r="D108" s="1470"/>
      <c r="E108" s="1471"/>
      <c r="F108" s="161"/>
      <c r="G108" s="639">
        <v>3632</v>
      </c>
      <c r="H108" s="639"/>
      <c r="I108" s="173" t="s">
        <v>151</v>
      </c>
      <c r="J108" s="1476" t="s">
        <v>515</v>
      </c>
      <c r="K108" s="1475">
        <v>24</v>
      </c>
      <c r="L108">
        <f t="shared" si="1"/>
        <v>0</v>
      </c>
    </row>
    <row r="109" spans="1:12">
      <c r="A109" s="1468"/>
      <c r="B109" s="1468"/>
      <c r="C109" s="1469"/>
      <c r="D109" s="1470"/>
      <c r="E109" s="1471"/>
      <c r="F109" s="161"/>
      <c r="G109" s="639">
        <v>3635</v>
      </c>
      <c r="H109" s="639">
        <v>10010439</v>
      </c>
      <c r="I109" s="173" t="s">
        <v>26</v>
      </c>
      <c r="J109" s="1476" t="s">
        <v>515</v>
      </c>
      <c r="K109" s="1475">
        <v>4</v>
      </c>
      <c r="L109" s="216">
        <f>SUM(E6:H6,E7:H7)*K109</f>
        <v>0</v>
      </c>
    </row>
    <row r="110" spans="1:12">
      <c r="A110" s="1468"/>
      <c r="B110" s="1468"/>
      <c r="C110" s="1469"/>
      <c r="D110" s="1470"/>
      <c r="E110" s="1471"/>
      <c r="F110" s="161"/>
      <c r="G110" s="545">
        <v>3636</v>
      </c>
      <c r="H110" s="639"/>
      <c r="I110" s="173" t="s">
        <v>27</v>
      </c>
      <c r="J110" s="1474" t="s">
        <v>515</v>
      </c>
      <c r="K110" s="1475">
        <v>4</v>
      </c>
      <c r="L110" s="216">
        <f>SUM(E8:H8,E9:H9)*K110</f>
        <v>0</v>
      </c>
    </row>
    <row r="111" spans="1:12">
      <c r="A111" s="1468"/>
      <c r="B111" s="1468"/>
      <c r="C111" s="1469"/>
      <c r="D111" s="1470"/>
      <c r="E111" s="1471"/>
      <c r="F111" s="161"/>
      <c r="G111" s="639">
        <v>3639</v>
      </c>
      <c r="H111" s="639"/>
      <c r="I111" s="173" t="s">
        <v>221</v>
      </c>
      <c r="J111" s="1476" t="s">
        <v>515</v>
      </c>
      <c r="K111" s="1475">
        <v>6</v>
      </c>
      <c r="L111" s="216">
        <f>SUM(E6:E7,F6:F7,G6:G7,H6:H7)*K111</f>
        <v>0</v>
      </c>
    </row>
    <row r="112" spans="1:12">
      <c r="A112" s="546"/>
      <c r="B112" s="546"/>
      <c r="C112" s="1469"/>
      <c r="D112" s="1470"/>
      <c r="E112" s="1471"/>
      <c r="F112" s="161"/>
      <c r="G112" s="639">
        <v>3640</v>
      </c>
      <c r="H112" s="639"/>
      <c r="I112" s="173" t="s">
        <v>222</v>
      </c>
      <c r="J112" s="1476" t="s">
        <v>515</v>
      </c>
      <c r="K112" s="1475">
        <v>6</v>
      </c>
      <c r="L112" s="216">
        <f>SUM(E6:E9,F6:F9,G6:G9,H6:H9)*K112</f>
        <v>0</v>
      </c>
    </row>
    <row r="113" spans="1:12">
      <c r="A113" s="546"/>
      <c r="B113" s="546"/>
      <c r="C113" s="1469"/>
      <c r="D113" s="1470"/>
      <c r="E113" s="1471"/>
      <c r="F113" s="161"/>
      <c r="G113" s="639"/>
      <c r="H113" s="639"/>
      <c r="I113" s="173" t="s">
        <v>223</v>
      </c>
      <c r="J113" s="1476" t="s">
        <v>515</v>
      </c>
      <c r="K113" s="1475">
        <v>6</v>
      </c>
      <c r="L113" s="216">
        <f>SUM(E6:E9,F6:F9,G6:G9,H6:H9)*K113+SUM(E8:E9,F8:F9,G8:G9,H8:H9)*6</f>
        <v>0</v>
      </c>
    </row>
    <row r="114" spans="1:12">
      <c r="A114" s="546"/>
      <c r="B114" s="546"/>
      <c r="C114" s="1483"/>
      <c r="D114" s="1470"/>
      <c r="E114" s="1471"/>
      <c r="F114" s="161"/>
      <c r="G114" s="639"/>
      <c r="H114" s="639">
        <v>10006812</v>
      </c>
      <c r="I114" s="173" t="s">
        <v>69</v>
      </c>
      <c r="J114" s="1476" t="s">
        <v>515</v>
      </c>
      <c r="K114" s="1475">
        <v>16</v>
      </c>
      <c r="L114">
        <f t="shared" ref="L114:L130" si="2">SUM(E$6:E$9,F$6:F$9,G$6:G$9,H$6:H$9)*K114</f>
        <v>0</v>
      </c>
    </row>
    <row r="115" spans="1:12">
      <c r="A115" s="1468"/>
      <c r="B115" s="1468"/>
      <c r="C115" s="1469"/>
      <c r="D115" s="1470"/>
      <c r="E115" s="1471"/>
      <c r="F115" s="161"/>
      <c r="G115" s="639"/>
      <c r="H115" s="639"/>
      <c r="I115" s="173" t="s">
        <v>1441</v>
      </c>
      <c r="J115" s="1476" t="s">
        <v>0</v>
      </c>
      <c r="K115" s="1475">
        <v>8</v>
      </c>
      <c r="L115">
        <f t="shared" si="2"/>
        <v>0</v>
      </c>
    </row>
    <row r="116" spans="1:12">
      <c r="A116" s="546"/>
      <c r="B116" s="546"/>
      <c r="C116" s="546"/>
      <c r="D116" s="1484"/>
      <c r="E116" s="1473"/>
      <c r="F116" s="161"/>
      <c r="G116" s="639"/>
      <c r="H116" s="639"/>
      <c r="I116" s="173" t="s">
        <v>1442</v>
      </c>
      <c r="J116" s="1476" t="s">
        <v>0</v>
      </c>
      <c r="K116" s="1475">
        <v>6</v>
      </c>
      <c r="L116">
        <f t="shared" si="2"/>
        <v>0</v>
      </c>
    </row>
    <row r="117" spans="1:12">
      <c r="A117" s="161"/>
      <c r="B117" s="161"/>
      <c r="C117" s="161"/>
      <c r="D117" s="161"/>
      <c r="E117" s="161"/>
      <c r="F117" s="161"/>
      <c r="G117" s="639"/>
      <c r="H117" s="639"/>
      <c r="I117" s="173" t="s">
        <v>1443</v>
      </c>
      <c r="J117" s="1476" t="s">
        <v>1444</v>
      </c>
      <c r="K117" s="1475">
        <v>12</v>
      </c>
      <c r="L117">
        <f t="shared" si="2"/>
        <v>0</v>
      </c>
    </row>
    <row r="118" spans="1:12">
      <c r="A118" s="161"/>
      <c r="B118" s="161"/>
      <c r="C118" s="161"/>
      <c r="D118" s="161"/>
      <c r="E118" s="161"/>
      <c r="F118" s="161"/>
      <c r="G118" s="639"/>
      <c r="H118" s="639"/>
      <c r="I118" s="173" t="s">
        <v>1445</v>
      </c>
      <c r="J118" s="1476" t="s">
        <v>515</v>
      </c>
      <c r="K118" s="1475">
        <v>2</v>
      </c>
      <c r="L118">
        <f t="shared" si="2"/>
        <v>0</v>
      </c>
    </row>
    <row r="119" spans="1:12">
      <c r="A119" s="161"/>
      <c r="B119" s="161"/>
      <c r="C119" s="161"/>
      <c r="D119" s="161"/>
      <c r="E119" s="161"/>
      <c r="F119" s="161"/>
      <c r="G119" s="639"/>
      <c r="H119" s="639"/>
      <c r="I119" s="173" t="s">
        <v>1785</v>
      </c>
      <c r="J119" s="1476" t="s">
        <v>743</v>
      </c>
      <c r="K119" s="1475">
        <v>1</v>
      </c>
      <c r="L119">
        <f>SUM(E$6:E$9,F$6:F$9,G$6:G$9,H$6:H$9)*K119</f>
        <v>0</v>
      </c>
    </row>
    <row r="120" spans="1:12">
      <c r="A120" s="161"/>
      <c r="B120" s="161"/>
      <c r="C120" s="161"/>
      <c r="D120" s="161"/>
      <c r="E120" s="161"/>
      <c r="F120" s="161"/>
      <c r="G120" s="639"/>
      <c r="H120" s="639"/>
      <c r="I120" s="173" t="s">
        <v>1754</v>
      </c>
      <c r="J120" s="1476" t="s">
        <v>515</v>
      </c>
      <c r="K120" s="1475">
        <v>2</v>
      </c>
      <c r="L120">
        <f t="shared" si="2"/>
        <v>0</v>
      </c>
    </row>
    <row r="121" spans="1:12">
      <c r="A121" s="161"/>
      <c r="B121" s="161"/>
      <c r="C121" s="161"/>
      <c r="D121" s="161"/>
      <c r="E121" s="161"/>
      <c r="F121" s="161"/>
      <c r="G121" s="639"/>
      <c r="H121" s="639"/>
      <c r="I121" s="173" t="s">
        <v>1446</v>
      </c>
      <c r="J121" s="1476" t="s">
        <v>515</v>
      </c>
      <c r="K121" s="1475"/>
      <c r="L121">
        <f t="shared" si="2"/>
        <v>0</v>
      </c>
    </row>
    <row r="122" spans="1:12">
      <c r="A122" s="161"/>
      <c r="B122" s="161"/>
      <c r="C122" s="161"/>
      <c r="D122" s="161"/>
      <c r="E122" s="161"/>
      <c r="F122" s="161"/>
      <c r="G122" s="639"/>
      <c r="H122" s="639"/>
      <c r="I122" s="173" t="s">
        <v>102</v>
      </c>
      <c r="J122" s="1476" t="s">
        <v>515</v>
      </c>
      <c r="K122" s="1475">
        <v>2</v>
      </c>
      <c r="L122">
        <f t="shared" si="2"/>
        <v>0</v>
      </c>
    </row>
    <row r="123" spans="1:12">
      <c r="A123" s="161"/>
      <c r="B123" s="161"/>
      <c r="C123" s="161"/>
      <c r="D123" s="161"/>
      <c r="E123" s="161"/>
      <c r="F123" s="161"/>
      <c r="G123" s="639">
        <v>3658</v>
      </c>
      <c r="H123" s="639">
        <v>10002983</v>
      </c>
      <c r="I123" s="173" t="s">
        <v>103</v>
      </c>
      <c r="J123" s="1476" t="s">
        <v>515</v>
      </c>
      <c r="K123" s="1475">
        <v>2</v>
      </c>
      <c r="L123">
        <f t="shared" si="2"/>
        <v>0</v>
      </c>
    </row>
    <row r="124" spans="1:12">
      <c r="A124" s="161"/>
      <c r="B124" s="161"/>
      <c r="C124" s="161"/>
      <c r="D124" s="161"/>
      <c r="E124" s="161"/>
      <c r="F124" s="161"/>
      <c r="G124" s="639">
        <v>4055</v>
      </c>
      <c r="H124" s="639"/>
      <c r="I124" s="173" t="s">
        <v>225</v>
      </c>
      <c r="J124" s="1476" t="s">
        <v>515</v>
      </c>
      <c r="K124" s="1475">
        <v>4</v>
      </c>
      <c r="L124">
        <f t="shared" si="2"/>
        <v>0</v>
      </c>
    </row>
    <row r="125" spans="1:12">
      <c r="A125" s="161"/>
      <c r="B125" s="161"/>
      <c r="C125" s="161"/>
      <c r="D125" s="161"/>
      <c r="E125" s="161"/>
      <c r="F125" s="161"/>
      <c r="G125" s="173"/>
      <c r="H125" s="173"/>
      <c r="I125" s="173" t="s">
        <v>1447</v>
      </c>
      <c r="J125" s="1476" t="s">
        <v>168</v>
      </c>
      <c r="K125" s="1475">
        <v>43</v>
      </c>
      <c r="L125">
        <f t="shared" si="2"/>
        <v>0</v>
      </c>
    </row>
    <row r="126" spans="1:12">
      <c r="A126" s="161"/>
      <c r="B126" s="161"/>
      <c r="C126" s="161"/>
      <c r="D126" s="161"/>
      <c r="E126" s="161"/>
      <c r="F126" s="161"/>
      <c r="G126" s="173"/>
      <c r="H126" s="173"/>
      <c r="I126" s="173" t="s">
        <v>1448</v>
      </c>
      <c r="J126" s="1476" t="s">
        <v>515</v>
      </c>
      <c r="K126" s="1475">
        <v>10</v>
      </c>
      <c r="L126">
        <f t="shared" si="2"/>
        <v>0</v>
      </c>
    </row>
    <row r="127" spans="1:12">
      <c r="A127" s="161"/>
      <c r="B127" s="161"/>
      <c r="C127" s="161"/>
      <c r="D127" s="161"/>
      <c r="E127" s="161"/>
      <c r="F127" s="161"/>
      <c r="G127" s="173"/>
      <c r="H127" s="173"/>
      <c r="I127" s="173" t="s">
        <v>1779</v>
      </c>
      <c r="J127" s="1476" t="s">
        <v>0</v>
      </c>
      <c r="K127" s="1475">
        <v>750</v>
      </c>
      <c r="L127">
        <f t="shared" si="2"/>
        <v>0</v>
      </c>
    </row>
    <row r="128" spans="1:12">
      <c r="A128" s="161"/>
      <c r="B128" s="161"/>
      <c r="C128" s="161"/>
      <c r="D128" s="161"/>
      <c r="E128" s="161"/>
      <c r="F128" s="161"/>
      <c r="G128" s="173"/>
      <c r="H128" s="173"/>
      <c r="I128" s="173" t="s">
        <v>1758</v>
      </c>
      <c r="J128" s="1476" t="s">
        <v>515</v>
      </c>
      <c r="K128" s="1475">
        <v>1</v>
      </c>
      <c r="L128">
        <f t="shared" si="2"/>
        <v>0</v>
      </c>
    </row>
    <row r="129" spans="1:12">
      <c r="A129" s="161"/>
      <c r="B129" s="161"/>
      <c r="C129" s="161"/>
      <c r="D129" s="161"/>
      <c r="E129" s="161"/>
      <c r="F129" s="161"/>
      <c r="G129" s="639">
        <v>3965</v>
      </c>
      <c r="H129" s="639"/>
      <c r="I129" s="173" t="s">
        <v>1449</v>
      </c>
      <c r="J129" s="1476" t="s">
        <v>515</v>
      </c>
      <c r="K129" s="1475">
        <v>18</v>
      </c>
      <c r="L129">
        <f t="shared" si="2"/>
        <v>0</v>
      </c>
    </row>
    <row r="130" spans="1:12">
      <c r="A130" s="161"/>
      <c r="B130" s="161"/>
      <c r="C130" s="161"/>
      <c r="D130" s="161"/>
      <c r="E130" s="161"/>
      <c r="F130" s="161"/>
      <c r="G130" s="173"/>
      <c r="H130" s="173"/>
      <c r="I130" s="173" t="s">
        <v>1757</v>
      </c>
      <c r="J130" s="175" t="s">
        <v>515</v>
      </c>
      <c r="K130" s="1477">
        <v>1</v>
      </c>
      <c r="L130">
        <f t="shared" si="2"/>
        <v>0</v>
      </c>
    </row>
  </sheetData>
  <mergeCells count="4">
    <mergeCell ref="D1:H3"/>
    <mergeCell ref="D4:H4"/>
    <mergeCell ref="A1:C14"/>
    <mergeCell ref="D7:H14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Macro10">
                <anchor moveWithCells="1" sizeWithCells="1">
                  <from>
                    <xdr:col>0</xdr:col>
                    <xdr:colOff>38100</xdr:colOff>
                    <xdr:row>0</xdr:row>
                    <xdr:rowOff>47625</xdr:rowOff>
                  </from>
                  <to>
                    <xdr:col>1</xdr:col>
                    <xdr:colOff>581025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Macro17gg">
                <anchor moveWithCells="1" sizeWithCells="1">
                  <from>
                    <xdr:col>0</xdr:col>
                    <xdr:colOff>38100</xdr:colOff>
                    <xdr:row>6</xdr:row>
                    <xdr:rowOff>180975</xdr:rowOff>
                  </from>
                  <to>
                    <xdr:col>2</xdr:col>
                    <xdr:colOff>9525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85F4B-6F70-440E-8855-FFD254737606}">
  <sheetPr codeName="Plan22"/>
  <dimension ref="A1:N432"/>
  <sheetViews>
    <sheetView showGridLines="0" workbookViewId="0">
      <selection activeCell="B2" sqref="B2:G2"/>
    </sheetView>
  </sheetViews>
  <sheetFormatPr defaultRowHeight="15"/>
  <cols>
    <col min="1" max="1" width="20.140625" customWidth="1"/>
    <col min="2" max="2" width="15.5703125" customWidth="1"/>
    <col min="3" max="3" width="10.5703125" customWidth="1"/>
    <col min="4" max="4" width="11.42578125" customWidth="1"/>
    <col min="5" max="5" width="0.42578125" customWidth="1"/>
    <col min="6" max="6" width="74.140625" customWidth="1"/>
    <col min="7" max="7" width="6.5703125" customWidth="1"/>
    <col min="8" max="8" width="2.7109375" customWidth="1"/>
  </cols>
  <sheetData>
    <row r="1" spans="1:8" ht="10.5" customHeight="1" thickBot="1">
      <c r="A1" s="2081"/>
      <c r="B1" s="2081"/>
      <c r="C1" s="2081"/>
      <c r="D1" s="2081"/>
      <c r="E1" s="2081"/>
      <c r="F1" s="2081"/>
      <c r="G1" s="2081"/>
      <c r="H1" s="2081"/>
    </row>
    <row r="2" spans="1:8" ht="32.25" customHeight="1" thickBot="1">
      <c r="A2" s="2095"/>
      <c r="B2" s="2096" t="s">
        <v>1699</v>
      </c>
      <c r="C2" s="2097"/>
      <c r="D2" s="2097"/>
      <c r="E2" s="2097"/>
      <c r="F2" s="2097"/>
      <c r="G2" s="2098"/>
      <c r="H2" s="922"/>
    </row>
    <row r="3" spans="1:8" ht="15.75" customHeight="1">
      <c r="A3" s="2095"/>
      <c r="B3" s="2085" t="s">
        <v>1675</v>
      </c>
      <c r="C3" s="2087" t="s">
        <v>1674</v>
      </c>
      <c r="D3" s="2088"/>
      <c r="E3" s="2083"/>
      <c r="F3" s="2091" t="s">
        <v>1523</v>
      </c>
      <c r="G3" s="2092"/>
      <c r="H3" s="922"/>
    </row>
    <row r="4" spans="1:8" ht="16.5" customHeight="1" thickBot="1">
      <c r="A4" s="2095"/>
      <c r="B4" s="2086"/>
      <c r="C4" s="2089"/>
      <c r="D4" s="2090"/>
      <c r="E4" s="2083"/>
      <c r="F4" s="2091"/>
      <c r="G4" s="2092"/>
      <c r="H4" s="922"/>
    </row>
    <row r="5" spans="1:8" ht="21" customHeight="1" thickBot="1">
      <c r="A5" s="2095"/>
      <c r="B5" s="1021" t="s">
        <v>1520</v>
      </c>
      <c r="C5" s="925" t="s">
        <v>1520</v>
      </c>
      <c r="D5" s="926" t="s">
        <v>1521</v>
      </c>
      <c r="E5" s="2084"/>
      <c r="F5" s="2093"/>
      <c r="G5" s="2094"/>
      <c r="H5" s="922"/>
    </row>
    <row r="6" spans="1:8" ht="29.25" customHeight="1">
      <c r="A6" s="2095"/>
      <c r="B6" s="2103">
        <v>0</v>
      </c>
      <c r="C6" s="2099">
        <v>0</v>
      </c>
      <c r="D6" s="2101">
        <v>0</v>
      </c>
      <c r="E6" s="927"/>
      <c r="F6" s="2082"/>
      <c r="G6" s="2082"/>
      <c r="H6" s="2082"/>
    </row>
    <row r="7" spans="1:8" ht="15.75" customHeight="1" thickBot="1">
      <c r="A7" s="922"/>
      <c r="B7" s="2104"/>
      <c r="C7" s="2100"/>
      <c r="D7" s="2102"/>
      <c r="E7" s="927"/>
      <c r="F7" s="2082"/>
      <c r="G7" s="2082"/>
      <c r="H7" s="2082"/>
    </row>
    <row r="8" spans="1:8" ht="15" customHeight="1">
      <c r="A8" s="2081" t="s">
        <v>1522</v>
      </c>
      <c r="B8" s="2081"/>
      <c r="C8" s="2081"/>
      <c r="D8" s="2081"/>
      <c r="E8" s="2081"/>
      <c r="F8" s="2081"/>
      <c r="G8" s="2081"/>
      <c r="H8" s="2081"/>
    </row>
    <row r="9" spans="1:8" ht="15" customHeight="1">
      <c r="A9" s="2081"/>
      <c r="B9" s="2081"/>
      <c r="C9" s="2081"/>
      <c r="D9" s="2081"/>
      <c r="E9" s="2081"/>
      <c r="F9" s="2081"/>
      <c r="G9" s="2081"/>
      <c r="H9" s="2081"/>
    </row>
    <row r="10" spans="1:8" ht="15" customHeight="1">
      <c r="A10" s="2081"/>
      <c r="B10" s="2081"/>
      <c r="C10" s="2081"/>
      <c r="D10" s="2081"/>
      <c r="E10" s="2081"/>
      <c r="F10" s="2081"/>
      <c r="G10" s="2081"/>
      <c r="H10" s="2081"/>
    </row>
    <row r="11" spans="1:8" ht="15" customHeight="1">
      <c r="A11" s="2081"/>
      <c r="B11" s="2081"/>
      <c r="C11" s="2081"/>
      <c r="D11" s="2081"/>
      <c r="E11" s="2081"/>
      <c r="F11" s="2081"/>
      <c r="G11" s="2081"/>
      <c r="H11" s="2081"/>
    </row>
    <row r="12" spans="1:8" ht="15" customHeight="1">
      <c r="A12" s="2081"/>
      <c r="B12" s="2081"/>
      <c r="C12" s="2081"/>
      <c r="D12" s="2081"/>
      <c r="E12" s="2081"/>
      <c r="F12" s="2081"/>
      <c r="G12" s="2081"/>
      <c r="H12" s="2081"/>
    </row>
    <row r="13" spans="1:8" ht="15" customHeight="1">
      <c r="A13" s="2081"/>
      <c r="B13" s="2081"/>
      <c r="C13" s="2081"/>
      <c r="D13" s="2081"/>
      <c r="E13" s="2081"/>
      <c r="F13" s="2081"/>
      <c r="G13" s="2081"/>
      <c r="H13" s="2081"/>
    </row>
    <row r="14" spans="1:8" ht="15" customHeight="1">
      <c r="A14" s="2081"/>
      <c r="B14" s="2081"/>
      <c r="C14" s="2081"/>
      <c r="D14" s="2081"/>
      <c r="E14" s="2081"/>
      <c r="F14" s="2081"/>
      <c r="G14" s="2081"/>
      <c r="H14" s="2081"/>
    </row>
    <row r="15" spans="1:8" ht="15" customHeight="1">
      <c r="A15" s="2081"/>
      <c r="B15" s="2081"/>
      <c r="C15" s="2081"/>
      <c r="D15" s="2081"/>
      <c r="E15" s="2081"/>
      <c r="F15" s="2081"/>
      <c r="G15" s="2081"/>
      <c r="H15" s="2081"/>
    </row>
    <row r="16" spans="1:8" ht="15" customHeight="1">
      <c r="A16" s="2081"/>
      <c r="B16" s="2081"/>
      <c r="C16" s="2081"/>
      <c r="D16" s="2081"/>
      <c r="E16" s="2081"/>
      <c r="F16" s="2081"/>
      <c r="G16" s="2081"/>
      <c r="H16" s="2081"/>
    </row>
    <row r="17" spans="1:8">
      <c r="A17" s="2081"/>
      <c r="B17" s="2081"/>
      <c r="C17" s="2081"/>
      <c r="D17" s="2081"/>
      <c r="E17" s="2081"/>
      <c r="F17" s="2081"/>
      <c r="G17" s="2081"/>
      <c r="H17" s="2081"/>
    </row>
    <row r="141" spans="3:14">
      <c r="C141" s="209">
        <v>3672</v>
      </c>
      <c r="D141" s="414"/>
      <c r="E141" s="899"/>
      <c r="F141" s="210" t="s">
        <v>209</v>
      </c>
      <c r="G141" s="473" t="s">
        <v>515</v>
      </c>
      <c r="I141">
        <f>H141*$B$6</f>
        <v>0</v>
      </c>
      <c r="K141">
        <f>J141*$C$6</f>
        <v>0</v>
      </c>
      <c r="M141">
        <f>L141*$D$6</f>
        <v>0</v>
      </c>
      <c r="N141">
        <f>SUM(I141,K141,M141)</f>
        <v>0</v>
      </c>
    </row>
    <row r="142" spans="3:14">
      <c r="C142" s="209"/>
      <c r="D142" s="414"/>
      <c r="E142" s="899"/>
      <c r="F142" s="167" t="s">
        <v>1030</v>
      </c>
      <c r="G142" s="400" t="s">
        <v>0</v>
      </c>
      <c r="I142">
        <f t="shared" ref="I142:I209" si="0">H142*$B$6</f>
        <v>0</v>
      </c>
      <c r="K142">
        <f t="shared" ref="K142:K209" si="1">J142*$C$6</f>
        <v>0</v>
      </c>
      <c r="M142">
        <f t="shared" ref="M142:M209" si="2">L142*$D$6</f>
        <v>0</v>
      </c>
      <c r="N142">
        <f t="shared" ref="N142:N209" si="3">SUM(I142,K142,M142)</f>
        <v>0</v>
      </c>
    </row>
    <row r="143" spans="3:14">
      <c r="C143" s="209"/>
      <c r="D143" s="414"/>
      <c r="E143" s="899"/>
      <c r="F143" s="167" t="s">
        <v>1252</v>
      </c>
      <c r="G143" s="400" t="s">
        <v>0</v>
      </c>
      <c r="I143">
        <f t="shared" si="0"/>
        <v>0</v>
      </c>
      <c r="K143">
        <f t="shared" si="1"/>
        <v>0</v>
      </c>
      <c r="M143">
        <f t="shared" si="2"/>
        <v>0</v>
      </c>
      <c r="N143">
        <f t="shared" si="3"/>
        <v>0</v>
      </c>
    </row>
    <row r="144" spans="3:14">
      <c r="C144" s="209">
        <v>3488</v>
      </c>
      <c r="D144" s="414">
        <v>10000839</v>
      </c>
      <c r="E144" s="899"/>
      <c r="F144" s="210" t="s">
        <v>1175</v>
      </c>
      <c r="G144" s="473" t="s">
        <v>515</v>
      </c>
      <c r="I144">
        <f t="shared" si="0"/>
        <v>0</v>
      </c>
      <c r="K144">
        <f t="shared" si="1"/>
        <v>0</v>
      </c>
      <c r="M144">
        <f t="shared" si="2"/>
        <v>0</v>
      </c>
      <c r="N144">
        <f t="shared" si="3"/>
        <v>0</v>
      </c>
    </row>
    <row r="145" spans="3:14">
      <c r="C145" s="209">
        <v>3489</v>
      </c>
      <c r="D145" s="414">
        <v>10011344</v>
      </c>
      <c r="E145" s="899"/>
      <c r="F145" s="210" t="s">
        <v>1176</v>
      </c>
      <c r="G145" s="473" t="s">
        <v>515</v>
      </c>
      <c r="I145">
        <f t="shared" si="0"/>
        <v>0</v>
      </c>
      <c r="K145">
        <f t="shared" si="1"/>
        <v>0</v>
      </c>
      <c r="M145">
        <f t="shared" si="2"/>
        <v>0</v>
      </c>
      <c r="N145">
        <f t="shared" si="3"/>
        <v>0</v>
      </c>
    </row>
    <row r="146" spans="3:14">
      <c r="C146" s="209">
        <v>3490</v>
      </c>
      <c r="D146" s="414">
        <v>10000840</v>
      </c>
      <c r="E146" s="899"/>
      <c r="F146" s="210" t="s">
        <v>1177</v>
      </c>
      <c r="G146" s="473" t="s">
        <v>515</v>
      </c>
      <c r="I146">
        <f t="shared" si="0"/>
        <v>0</v>
      </c>
      <c r="K146">
        <f t="shared" si="1"/>
        <v>0</v>
      </c>
      <c r="M146">
        <f t="shared" si="2"/>
        <v>0</v>
      </c>
      <c r="N146">
        <f t="shared" si="3"/>
        <v>0</v>
      </c>
    </row>
    <row r="147" spans="3:14">
      <c r="C147" s="209">
        <v>3492</v>
      </c>
      <c r="D147" s="414">
        <v>10000808</v>
      </c>
      <c r="E147" s="899"/>
      <c r="F147" s="210" t="s">
        <v>1171</v>
      </c>
      <c r="G147" s="473" t="s">
        <v>515</v>
      </c>
      <c r="I147">
        <f t="shared" si="0"/>
        <v>0</v>
      </c>
      <c r="K147">
        <f t="shared" si="1"/>
        <v>0</v>
      </c>
      <c r="M147">
        <f t="shared" si="2"/>
        <v>0</v>
      </c>
      <c r="N147">
        <f t="shared" si="3"/>
        <v>0</v>
      </c>
    </row>
    <row r="148" spans="3:14">
      <c r="C148" s="209">
        <v>3491</v>
      </c>
      <c r="D148" s="414"/>
      <c r="E148" s="899"/>
      <c r="F148" s="210" t="s">
        <v>1172</v>
      </c>
      <c r="G148" s="473" t="s">
        <v>515</v>
      </c>
      <c r="I148">
        <f t="shared" si="0"/>
        <v>0</v>
      </c>
      <c r="K148">
        <f t="shared" si="1"/>
        <v>0</v>
      </c>
      <c r="M148">
        <f t="shared" si="2"/>
        <v>0</v>
      </c>
      <c r="N148">
        <f t="shared" si="3"/>
        <v>0</v>
      </c>
    </row>
    <row r="149" spans="3:14">
      <c r="C149" s="209">
        <v>3494</v>
      </c>
      <c r="D149" s="414"/>
      <c r="E149" s="899"/>
      <c r="F149" s="210" t="s">
        <v>1173</v>
      </c>
      <c r="G149" s="473" t="s">
        <v>515</v>
      </c>
      <c r="I149">
        <f t="shared" si="0"/>
        <v>0</v>
      </c>
      <c r="K149">
        <f t="shared" si="1"/>
        <v>0</v>
      </c>
      <c r="M149">
        <f t="shared" si="2"/>
        <v>0</v>
      </c>
      <c r="N149">
        <f t="shared" si="3"/>
        <v>0</v>
      </c>
    </row>
    <row r="150" spans="3:14">
      <c r="C150" s="209"/>
      <c r="D150" s="414"/>
      <c r="E150" s="899"/>
      <c r="F150" s="210" t="s">
        <v>1174</v>
      </c>
      <c r="G150" s="473" t="s">
        <v>515</v>
      </c>
      <c r="I150">
        <f t="shared" si="0"/>
        <v>0</v>
      </c>
      <c r="K150">
        <f t="shared" si="1"/>
        <v>0</v>
      </c>
      <c r="M150">
        <f t="shared" si="2"/>
        <v>0</v>
      </c>
      <c r="N150">
        <f t="shared" si="3"/>
        <v>0</v>
      </c>
    </row>
    <row r="151" spans="3:14">
      <c r="C151" s="209">
        <v>4244</v>
      </c>
      <c r="D151" s="414">
        <v>10000816</v>
      </c>
      <c r="E151" s="899"/>
      <c r="F151" s="210" t="s">
        <v>42</v>
      </c>
      <c r="G151" s="473" t="s">
        <v>515</v>
      </c>
      <c r="I151">
        <f t="shared" si="0"/>
        <v>0</v>
      </c>
      <c r="K151">
        <f t="shared" si="1"/>
        <v>0</v>
      </c>
      <c r="M151">
        <f t="shared" si="2"/>
        <v>0</v>
      </c>
      <c r="N151">
        <f t="shared" si="3"/>
        <v>0</v>
      </c>
    </row>
    <row r="152" spans="3:14">
      <c r="C152" s="209">
        <v>3498</v>
      </c>
      <c r="D152" s="414">
        <v>10008143</v>
      </c>
      <c r="E152" s="899"/>
      <c r="F152" s="210" t="s">
        <v>36</v>
      </c>
      <c r="G152" s="473" t="s">
        <v>516</v>
      </c>
      <c r="I152">
        <f t="shared" si="0"/>
        <v>0</v>
      </c>
      <c r="K152">
        <f t="shared" si="1"/>
        <v>0</v>
      </c>
      <c r="M152">
        <f t="shared" si="2"/>
        <v>0</v>
      </c>
      <c r="N152">
        <f t="shared" si="3"/>
        <v>0</v>
      </c>
    </row>
    <row r="153" spans="3:14">
      <c r="C153" s="209">
        <v>3499</v>
      </c>
      <c r="D153" s="414">
        <v>10002607</v>
      </c>
      <c r="E153" s="899"/>
      <c r="F153" s="210" t="s">
        <v>1</v>
      </c>
      <c r="G153" s="473" t="s">
        <v>515</v>
      </c>
      <c r="I153">
        <f t="shared" si="0"/>
        <v>0</v>
      </c>
      <c r="K153">
        <f t="shared" si="1"/>
        <v>0</v>
      </c>
      <c r="M153">
        <f t="shared" si="2"/>
        <v>0</v>
      </c>
      <c r="N153">
        <f t="shared" si="3"/>
        <v>0</v>
      </c>
    </row>
    <row r="154" spans="3:14">
      <c r="C154" s="209">
        <v>3506</v>
      </c>
      <c r="D154" s="414">
        <v>10008218</v>
      </c>
      <c r="E154" s="899"/>
      <c r="F154" s="210" t="s">
        <v>2</v>
      </c>
      <c r="G154" s="473" t="s">
        <v>515</v>
      </c>
      <c r="H154">
        <v>42</v>
      </c>
      <c r="I154">
        <f t="shared" si="0"/>
        <v>0</v>
      </c>
      <c r="J154">
        <v>42</v>
      </c>
      <c r="K154">
        <f t="shared" si="1"/>
        <v>0</v>
      </c>
      <c r="L154">
        <v>10</v>
      </c>
      <c r="M154">
        <f t="shared" si="2"/>
        <v>0</v>
      </c>
      <c r="N154" s="167">
        <f t="shared" si="3"/>
        <v>0</v>
      </c>
    </row>
    <row r="155" spans="3:14">
      <c r="C155" s="209"/>
      <c r="D155" s="414"/>
      <c r="E155" s="899"/>
      <c r="F155" s="210" t="s">
        <v>312</v>
      </c>
      <c r="G155" s="473" t="s">
        <v>515</v>
      </c>
      <c r="I155">
        <f t="shared" si="0"/>
        <v>0</v>
      </c>
      <c r="K155">
        <f t="shared" si="1"/>
        <v>0</v>
      </c>
      <c r="M155">
        <f t="shared" si="2"/>
        <v>0</v>
      </c>
      <c r="N155">
        <f t="shared" si="3"/>
        <v>0</v>
      </c>
    </row>
    <row r="156" spans="3:14">
      <c r="C156" s="209"/>
      <c r="D156" s="414"/>
      <c r="E156" s="899"/>
      <c r="F156" s="210" t="s">
        <v>1424</v>
      </c>
      <c r="G156" s="473" t="s">
        <v>168</v>
      </c>
      <c r="I156">
        <f t="shared" si="0"/>
        <v>0</v>
      </c>
      <c r="K156">
        <f t="shared" si="1"/>
        <v>0</v>
      </c>
      <c r="M156">
        <f t="shared" si="2"/>
        <v>0</v>
      </c>
      <c r="N156">
        <f t="shared" si="3"/>
        <v>0</v>
      </c>
    </row>
    <row r="157" spans="3:14">
      <c r="C157" s="209"/>
      <c r="D157" s="414"/>
      <c r="E157" s="899"/>
      <c r="F157" s="210" t="s">
        <v>313</v>
      </c>
      <c r="G157" s="473" t="s">
        <v>168</v>
      </c>
      <c r="I157">
        <f t="shared" si="0"/>
        <v>0</v>
      </c>
      <c r="K157">
        <f t="shared" si="1"/>
        <v>0</v>
      </c>
      <c r="M157">
        <f t="shared" si="2"/>
        <v>0</v>
      </c>
      <c r="N157">
        <f t="shared" si="3"/>
        <v>0</v>
      </c>
    </row>
    <row r="158" spans="3:14">
      <c r="C158" s="209"/>
      <c r="D158" s="414"/>
      <c r="E158" s="899"/>
      <c r="F158" s="210" t="s">
        <v>409</v>
      </c>
      <c r="G158" s="473" t="s">
        <v>168</v>
      </c>
      <c r="I158">
        <f t="shared" si="0"/>
        <v>0</v>
      </c>
      <c r="K158">
        <f t="shared" si="1"/>
        <v>0</v>
      </c>
      <c r="M158">
        <f t="shared" si="2"/>
        <v>0</v>
      </c>
      <c r="N158">
        <f t="shared" si="3"/>
        <v>0</v>
      </c>
    </row>
    <row r="159" spans="3:14">
      <c r="C159" s="209"/>
      <c r="D159" s="414"/>
      <c r="E159" s="899"/>
      <c r="F159" s="210" t="s">
        <v>1382</v>
      </c>
      <c r="G159" s="473" t="s">
        <v>168</v>
      </c>
      <c r="I159">
        <f t="shared" si="0"/>
        <v>0</v>
      </c>
      <c r="K159">
        <f t="shared" si="1"/>
        <v>0</v>
      </c>
      <c r="M159">
        <f t="shared" si="2"/>
        <v>0</v>
      </c>
      <c r="N159">
        <f t="shared" si="3"/>
        <v>0</v>
      </c>
    </row>
    <row r="160" spans="3:14">
      <c r="C160" s="209"/>
      <c r="D160" s="414"/>
      <c r="E160" s="899"/>
      <c r="F160" s="210" t="s">
        <v>1425</v>
      </c>
      <c r="G160" s="473" t="s">
        <v>168</v>
      </c>
      <c r="I160">
        <f t="shared" si="0"/>
        <v>0</v>
      </c>
      <c r="K160">
        <f t="shared" si="1"/>
        <v>0</v>
      </c>
      <c r="M160">
        <f t="shared" si="2"/>
        <v>0</v>
      </c>
      <c r="N160">
        <f t="shared" si="3"/>
        <v>0</v>
      </c>
    </row>
    <row r="161" spans="3:14">
      <c r="C161" s="209"/>
      <c r="D161" s="414"/>
      <c r="E161" s="899"/>
      <c r="F161" s="210" t="s">
        <v>1380</v>
      </c>
      <c r="G161" s="473" t="s">
        <v>168</v>
      </c>
      <c r="I161">
        <f t="shared" si="0"/>
        <v>0</v>
      </c>
      <c r="K161">
        <f t="shared" si="1"/>
        <v>0</v>
      </c>
      <c r="M161">
        <f t="shared" si="2"/>
        <v>0</v>
      </c>
      <c r="N161">
        <f t="shared" si="3"/>
        <v>0</v>
      </c>
    </row>
    <row r="162" spans="3:14">
      <c r="C162" s="209"/>
      <c r="D162" s="414"/>
      <c r="E162" s="899"/>
      <c r="F162" s="210" t="s">
        <v>58</v>
      </c>
      <c r="G162" s="473" t="s">
        <v>386</v>
      </c>
      <c r="I162">
        <f t="shared" si="0"/>
        <v>0</v>
      </c>
      <c r="K162">
        <f t="shared" si="1"/>
        <v>0</v>
      </c>
      <c r="M162">
        <f t="shared" si="2"/>
        <v>0</v>
      </c>
      <c r="N162">
        <f t="shared" si="3"/>
        <v>0</v>
      </c>
    </row>
    <row r="163" spans="3:14">
      <c r="C163" s="209">
        <v>3512</v>
      </c>
      <c r="D163" s="414">
        <v>10000995</v>
      </c>
      <c r="E163" s="899"/>
      <c r="F163" s="210" t="s">
        <v>59</v>
      </c>
      <c r="G163" s="473" t="s">
        <v>386</v>
      </c>
      <c r="I163">
        <f t="shared" si="0"/>
        <v>0</v>
      </c>
      <c r="K163">
        <f t="shared" si="1"/>
        <v>0</v>
      </c>
      <c r="M163">
        <f t="shared" si="2"/>
        <v>0</v>
      </c>
      <c r="N163">
        <f t="shared" si="3"/>
        <v>0</v>
      </c>
    </row>
    <row r="164" spans="3:14">
      <c r="C164" s="209">
        <v>3513</v>
      </c>
      <c r="D164" s="636">
        <v>10011344</v>
      </c>
      <c r="E164" s="900"/>
      <c r="F164" s="210" t="s">
        <v>60</v>
      </c>
      <c r="G164" s="473" t="s">
        <v>386</v>
      </c>
      <c r="I164">
        <f t="shared" si="0"/>
        <v>0</v>
      </c>
      <c r="K164">
        <f t="shared" si="1"/>
        <v>0</v>
      </c>
      <c r="M164">
        <f t="shared" si="2"/>
        <v>0</v>
      </c>
      <c r="N164">
        <f t="shared" si="3"/>
        <v>0</v>
      </c>
    </row>
    <row r="165" spans="3:14">
      <c r="C165" s="209">
        <v>3514</v>
      </c>
      <c r="D165" s="414">
        <v>10000840</v>
      </c>
      <c r="E165" s="899"/>
      <c r="F165" s="210" t="s">
        <v>61</v>
      </c>
      <c r="G165" s="473" t="s">
        <v>386</v>
      </c>
      <c r="I165">
        <f t="shared" si="0"/>
        <v>0</v>
      </c>
      <c r="K165">
        <f t="shared" si="1"/>
        <v>0</v>
      </c>
      <c r="M165">
        <f t="shared" si="2"/>
        <v>0</v>
      </c>
      <c r="N165">
        <f t="shared" si="3"/>
        <v>0</v>
      </c>
    </row>
    <row r="166" spans="3:14">
      <c r="C166" s="209"/>
      <c r="D166" s="414"/>
      <c r="E166" s="899"/>
      <c r="F166" s="210" t="s">
        <v>1534</v>
      </c>
      <c r="G166" s="473" t="s">
        <v>168</v>
      </c>
      <c r="I166">
        <f t="shared" si="0"/>
        <v>0</v>
      </c>
    </row>
    <row r="167" spans="3:14">
      <c r="C167" s="209"/>
      <c r="D167" s="414"/>
      <c r="E167" s="899"/>
      <c r="F167" s="210" t="s">
        <v>1556</v>
      </c>
      <c r="G167" s="473" t="s">
        <v>386</v>
      </c>
      <c r="I167">
        <f t="shared" si="0"/>
        <v>0</v>
      </c>
    </row>
    <row r="168" spans="3:14">
      <c r="C168" s="209">
        <v>3516</v>
      </c>
      <c r="D168" s="414">
        <v>10002691</v>
      </c>
      <c r="E168" s="899"/>
      <c r="F168" s="210" t="s">
        <v>64</v>
      </c>
      <c r="G168" s="473" t="s">
        <v>386</v>
      </c>
      <c r="H168">
        <v>9.7200000000000006</v>
      </c>
      <c r="I168">
        <f t="shared" si="0"/>
        <v>0</v>
      </c>
      <c r="J168">
        <v>9.7200000000000006</v>
      </c>
      <c r="K168">
        <f t="shared" si="1"/>
        <v>0</v>
      </c>
      <c r="L168">
        <v>10.3</v>
      </c>
      <c r="M168">
        <f t="shared" si="2"/>
        <v>0</v>
      </c>
      <c r="N168" s="167">
        <f t="shared" si="3"/>
        <v>0</v>
      </c>
    </row>
    <row r="169" spans="3:14">
      <c r="C169" s="209">
        <v>3517</v>
      </c>
      <c r="D169" s="414"/>
      <c r="E169" s="899"/>
      <c r="F169" s="210" t="s">
        <v>453</v>
      </c>
      <c r="G169" s="473" t="s">
        <v>386</v>
      </c>
      <c r="I169">
        <f t="shared" si="0"/>
        <v>0</v>
      </c>
      <c r="K169">
        <f t="shared" si="1"/>
        <v>0</v>
      </c>
      <c r="M169">
        <f t="shared" si="2"/>
        <v>0</v>
      </c>
      <c r="N169">
        <f t="shared" si="3"/>
        <v>0</v>
      </c>
    </row>
    <row r="170" spans="3:14">
      <c r="C170" s="209">
        <v>4183</v>
      </c>
      <c r="D170" s="414">
        <v>10000899</v>
      </c>
      <c r="E170" s="899"/>
      <c r="F170" s="210" t="s">
        <v>3</v>
      </c>
      <c r="G170" s="473" t="s">
        <v>516</v>
      </c>
      <c r="I170">
        <f t="shared" si="0"/>
        <v>0</v>
      </c>
      <c r="K170">
        <f t="shared" si="1"/>
        <v>0</v>
      </c>
      <c r="M170">
        <f t="shared" si="2"/>
        <v>0</v>
      </c>
      <c r="N170">
        <f t="shared" si="3"/>
        <v>0</v>
      </c>
    </row>
    <row r="171" spans="3:14">
      <c r="C171" s="209">
        <v>3519</v>
      </c>
      <c r="D171" s="414"/>
      <c r="E171" s="899"/>
      <c r="F171" s="210" t="s">
        <v>187</v>
      </c>
      <c r="G171" s="473" t="s">
        <v>516</v>
      </c>
      <c r="I171">
        <f t="shared" si="0"/>
        <v>0</v>
      </c>
      <c r="K171">
        <f t="shared" si="1"/>
        <v>0</v>
      </c>
      <c r="M171">
        <f t="shared" si="2"/>
        <v>0</v>
      </c>
      <c r="N171">
        <f t="shared" si="3"/>
        <v>0</v>
      </c>
    </row>
    <row r="172" spans="3:14">
      <c r="C172" s="209">
        <v>3521</v>
      </c>
      <c r="D172" s="414"/>
      <c r="E172" s="899"/>
      <c r="F172" s="210" t="s">
        <v>192</v>
      </c>
      <c r="G172" s="473" t="s">
        <v>516</v>
      </c>
      <c r="I172">
        <f t="shared" si="0"/>
        <v>0</v>
      </c>
      <c r="K172">
        <f t="shared" si="1"/>
        <v>0</v>
      </c>
      <c r="M172">
        <f t="shared" si="2"/>
        <v>0</v>
      </c>
      <c r="N172">
        <f t="shared" si="3"/>
        <v>0</v>
      </c>
    </row>
    <row r="173" spans="3:14">
      <c r="C173" s="209"/>
      <c r="D173" s="414"/>
      <c r="E173" s="899"/>
      <c r="F173" s="210" t="s">
        <v>314</v>
      </c>
      <c r="G173" s="473" t="s">
        <v>516</v>
      </c>
      <c r="I173">
        <f t="shared" si="0"/>
        <v>0</v>
      </c>
      <c r="K173">
        <f t="shared" si="1"/>
        <v>0</v>
      </c>
      <c r="M173">
        <f t="shared" si="2"/>
        <v>0</v>
      </c>
      <c r="N173">
        <f t="shared" si="3"/>
        <v>0</v>
      </c>
    </row>
    <row r="174" spans="3:14">
      <c r="C174" s="209">
        <v>3522</v>
      </c>
      <c r="D174" s="414">
        <v>10000889</v>
      </c>
      <c r="E174" s="899"/>
      <c r="F174" s="210" t="s">
        <v>62</v>
      </c>
      <c r="G174" s="473" t="s">
        <v>386</v>
      </c>
      <c r="H174">
        <v>3.6</v>
      </c>
      <c r="I174">
        <f t="shared" si="0"/>
        <v>0</v>
      </c>
      <c r="J174">
        <v>3.6</v>
      </c>
      <c r="K174">
        <f t="shared" si="1"/>
        <v>0</v>
      </c>
      <c r="L174">
        <v>3.6</v>
      </c>
      <c r="M174">
        <f t="shared" si="2"/>
        <v>0</v>
      </c>
      <c r="N174" s="167">
        <f t="shared" si="3"/>
        <v>0</v>
      </c>
    </row>
    <row r="175" spans="3:14">
      <c r="C175" s="901"/>
      <c r="D175" s="416"/>
      <c r="E175" s="899"/>
      <c r="F175" s="213" t="s">
        <v>1508</v>
      </c>
      <c r="G175" s="902" t="s">
        <v>386</v>
      </c>
      <c r="H175">
        <v>32</v>
      </c>
      <c r="I175">
        <f t="shared" si="0"/>
        <v>0</v>
      </c>
      <c r="J175">
        <v>21</v>
      </c>
      <c r="K175">
        <f t="shared" si="1"/>
        <v>0</v>
      </c>
      <c r="L175">
        <v>30</v>
      </c>
      <c r="M175">
        <f t="shared" si="2"/>
        <v>0</v>
      </c>
      <c r="N175" s="167">
        <f t="shared" si="3"/>
        <v>0</v>
      </c>
    </row>
    <row r="176" spans="3:14">
      <c r="C176" s="209">
        <v>3523</v>
      </c>
      <c r="D176" s="414">
        <v>10008531</v>
      </c>
      <c r="E176" s="899"/>
      <c r="F176" s="210" t="s">
        <v>5</v>
      </c>
      <c r="G176" s="473" t="s">
        <v>386</v>
      </c>
      <c r="I176">
        <f t="shared" si="0"/>
        <v>0</v>
      </c>
      <c r="K176">
        <f t="shared" si="1"/>
        <v>0</v>
      </c>
      <c r="M176">
        <f t="shared" si="2"/>
        <v>0</v>
      </c>
      <c r="N176">
        <f t="shared" si="3"/>
        <v>0</v>
      </c>
    </row>
    <row r="177" spans="3:14">
      <c r="C177" s="209"/>
      <c r="D177" s="414"/>
      <c r="E177" s="899"/>
      <c r="F177" s="210" t="s">
        <v>1736</v>
      </c>
      <c r="G177" s="473" t="s">
        <v>168</v>
      </c>
    </row>
    <row r="178" spans="3:14">
      <c r="C178" s="209"/>
      <c r="D178" s="414"/>
      <c r="E178" s="899"/>
      <c r="F178" s="210" t="s">
        <v>1689</v>
      </c>
      <c r="G178" s="473" t="s">
        <v>0</v>
      </c>
    </row>
    <row r="179" spans="3:14">
      <c r="C179" s="209">
        <v>3535</v>
      </c>
      <c r="D179" s="414"/>
      <c r="E179" s="899"/>
      <c r="F179" s="210" t="s">
        <v>455</v>
      </c>
      <c r="G179" s="473" t="s">
        <v>515</v>
      </c>
      <c r="H179">
        <v>24</v>
      </c>
      <c r="I179">
        <f t="shared" si="0"/>
        <v>0</v>
      </c>
      <c r="J179">
        <v>24</v>
      </c>
      <c r="K179">
        <f t="shared" si="1"/>
        <v>0</v>
      </c>
      <c r="L179">
        <v>24</v>
      </c>
      <c r="M179">
        <f t="shared" si="2"/>
        <v>0</v>
      </c>
      <c r="N179" s="167">
        <f t="shared" si="3"/>
        <v>0</v>
      </c>
    </row>
    <row r="180" spans="3:14">
      <c r="C180" s="209">
        <v>3536</v>
      </c>
      <c r="D180" s="414">
        <v>10001016</v>
      </c>
      <c r="E180" s="899"/>
      <c r="F180" s="210" t="s">
        <v>454</v>
      </c>
      <c r="G180" s="473" t="s">
        <v>515</v>
      </c>
      <c r="I180">
        <f t="shared" si="0"/>
        <v>0</v>
      </c>
      <c r="K180">
        <f t="shared" si="1"/>
        <v>0</v>
      </c>
      <c r="M180">
        <f t="shared" si="2"/>
        <v>0</v>
      </c>
      <c r="N180">
        <f t="shared" si="3"/>
        <v>0</v>
      </c>
    </row>
    <row r="181" spans="3:14">
      <c r="C181" s="209">
        <v>4018</v>
      </c>
      <c r="D181" s="414"/>
      <c r="E181" s="899"/>
      <c r="F181" s="117" t="s">
        <v>1254</v>
      </c>
      <c r="G181" s="4" t="s">
        <v>0</v>
      </c>
      <c r="I181">
        <f t="shared" si="0"/>
        <v>0</v>
      </c>
      <c r="K181">
        <f t="shared" si="1"/>
        <v>0</v>
      </c>
      <c r="M181">
        <f t="shared" si="2"/>
        <v>0</v>
      </c>
      <c r="N181">
        <f t="shared" si="3"/>
        <v>0</v>
      </c>
    </row>
    <row r="182" spans="3:14">
      <c r="C182" s="209">
        <v>3539</v>
      </c>
      <c r="D182" s="414"/>
      <c r="E182" s="899"/>
      <c r="F182" s="210" t="s">
        <v>457</v>
      </c>
      <c r="G182" s="473" t="s">
        <v>515</v>
      </c>
      <c r="H182">
        <v>9</v>
      </c>
      <c r="I182">
        <f t="shared" si="0"/>
        <v>0</v>
      </c>
      <c r="K182">
        <f t="shared" si="1"/>
        <v>0</v>
      </c>
      <c r="M182">
        <f t="shared" si="2"/>
        <v>0</v>
      </c>
      <c r="N182">
        <f t="shared" si="3"/>
        <v>0</v>
      </c>
    </row>
    <row r="183" spans="3:14">
      <c r="C183" s="209">
        <v>4016</v>
      </c>
      <c r="D183" s="414"/>
      <c r="E183" s="899"/>
      <c r="F183" s="210" t="s">
        <v>456</v>
      </c>
      <c r="G183" s="473" t="s">
        <v>515</v>
      </c>
      <c r="I183">
        <f t="shared" si="0"/>
        <v>0</v>
      </c>
      <c r="J183">
        <v>9</v>
      </c>
      <c r="K183">
        <f t="shared" si="1"/>
        <v>0</v>
      </c>
      <c r="L183">
        <v>9</v>
      </c>
      <c r="M183">
        <f t="shared" si="2"/>
        <v>0</v>
      </c>
      <c r="N183" s="167">
        <f t="shared" si="3"/>
        <v>0</v>
      </c>
    </row>
    <row r="184" spans="3:14">
      <c r="C184" s="209"/>
      <c r="D184" s="414"/>
      <c r="E184" s="899"/>
      <c r="F184" s="210" t="s">
        <v>505</v>
      </c>
      <c r="G184" s="473" t="s">
        <v>515</v>
      </c>
      <c r="I184">
        <f t="shared" si="0"/>
        <v>0</v>
      </c>
      <c r="K184">
        <f t="shared" si="1"/>
        <v>0</v>
      </c>
      <c r="M184">
        <f t="shared" si="2"/>
        <v>0</v>
      </c>
      <c r="N184">
        <f t="shared" si="3"/>
        <v>0</v>
      </c>
    </row>
    <row r="185" spans="3:14">
      <c r="C185" s="209"/>
      <c r="D185" s="414"/>
      <c r="E185" s="899"/>
      <c r="F185" s="210" t="s">
        <v>506</v>
      </c>
      <c r="G185" s="473" t="s">
        <v>515</v>
      </c>
      <c r="I185">
        <f t="shared" si="0"/>
        <v>0</v>
      </c>
      <c r="K185">
        <f t="shared" si="1"/>
        <v>0</v>
      </c>
      <c r="M185">
        <f t="shared" si="2"/>
        <v>0</v>
      </c>
      <c r="N185">
        <f t="shared" si="3"/>
        <v>0</v>
      </c>
    </row>
    <row r="186" spans="3:14">
      <c r="C186" s="209">
        <v>4157</v>
      </c>
      <c r="D186" s="414"/>
      <c r="E186" s="899"/>
      <c r="F186" s="210" t="s">
        <v>467</v>
      </c>
      <c r="G186" s="473" t="s">
        <v>515</v>
      </c>
      <c r="I186">
        <f t="shared" si="0"/>
        <v>0</v>
      </c>
      <c r="K186">
        <f t="shared" si="1"/>
        <v>0</v>
      </c>
      <c r="M186">
        <f t="shared" si="2"/>
        <v>0</v>
      </c>
      <c r="N186">
        <f t="shared" si="3"/>
        <v>0</v>
      </c>
    </row>
    <row r="187" spans="3:14">
      <c r="C187" s="209">
        <v>3537</v>
      </c>
      <c r="D187" s="414"/>
      <c r="E187" s="899"/>
      <c r="F187" s="210" t="s">
        <v>468</v>
      </c>
      <c r="G187" s="473" t="s">
        <v>515</v>
      </c>
      <c r="I187">
        <f t="shared" si="0"/>
        <v>0</v>
      </c>
      <c r="K187">
        <f t="shared" si="1"/>
        <v>0</v>
      </c>
      <c r="M187">
        <f t="shared" si="2"/>
        <v>0</v>
      </c>
      <c r="N187">
        <f t="shared" si="3"/>
        <v>0</v>
      </c>
    </row>
    <row r="188" spans="3:14">
      <c r="C188" s="209">
        <v>4158</v>
      </c>
      <c r="D188" s="414"/>
      <c r="E188" s="899"/>
      <c r="F188" s="210" t="s">
        <v>469</v>
      </c>
      <c r="G188" s="473" t="s">
        <v>515</v>
      </c>
      <c r="I188">
        <f t="shared" si="0"/>
        <v>0</v>
      </c>
      <c r="K188">
        <f t="shared" si="1"/>
        <v>0</v>
      </c>
      <c r="M188">
        <f t="shared" si="2"/>
        <v>0</v>
      </c>
      <c r="N188">
        <f t="shared" si="3"/>
        <v>0</v>
      </c>
    </row>
    <row r="189" spans="3:14">
      <c r="C189" s="209">
        <v>3538</v>
      </c>
      <c r="D189" s="414">
        <v>10000286</v>
      </c>
      <c r="E189" s="899"/>
      <c r="F189" s="210" t="s">
        <v>470</v>
      </c>
      <c r="G189" s="473" t="s">
        <v>515</v>
      </c>
      <c r="I189">
        <f t="shared" si="0"/>
        <v>0</v>
      </c>
      <c r="K189">
        <f t="shared" si="1"/>
        <v>0</v>
      </c>
      <c r="M189">
        <f t="shared" si="2"/>
        <v>0</v>
      </c>
      <c r="N189">
        <f t="shared" si="3"/>
        <v>0</v>
      </c>
    </row>
    <row r="190" spans="3:14">
      <c r="C190" s="209"/>
      <c r="D190" s="414"/>
      <c r="E190" s="899"/>
      <c r="F190" s="210" t="s">
        <v>1475</v>
      </c>
      <c r="G190" s="473" t="s">
        <v>0</v>
      </c>
      <c r="I190">
        <f t="shared" si="0"/>
        <v>0</v>
      </c>
      <c r="K190">
        <f t="shared" si="1"/>
        <v>0</v>
      </c>
      <c r="M190">
        <f t="shared" si="2"/>
        <v>0</v>
      </c>
      <c r="N190">
        <f t="shared" si="3"/>
        <v>0</v>
      </c>
    </row>
    <row r="191" spans="3:14">
      <c r="C191" s="209">
        <v>3541</v>
      </c>
      <c r="D191" s="637">
        <v>10002633</v>
      </c>
      <c r="E191" s="903"/>
      <c r="F191" s="210" t="s">
        <v>117</v>
      </c>
      <c r="G191" s="473" t="s">
        <v>515</v>
      </c>
      <c r="I191">
        <f t="shared" si="0"/>
        <v>0</v>
      </c>
      <c r="K191">
        <f t="shared" si="1"/>
        <v>0</v>
      </c>
      <c r="M191">
        <f t="shared" si="2"/>
        <v>0</v>
      </c>
      <c r="N191">
        <f t="shared" si="3"/>
        <v>0</v>
      </c>
    </row>
    <row r="192" spans="3:14">
      <c r="C192" s="209">
        <v>3542</v>
      </c>
      <c r="D192" s="637">
        <v>10002634</v>
      </c>
      <c r="E192" s="903"/>
      <c r="F192" s="210" t="s">
        <v>118</v>
      </c>
      <c r="G192" s="473" t="s">
        <v>515</v>
      </c>
      <c r="I192">
        <f t="shared" si="0"/>
        <v>0</v>
      </c>
      <c r="K192">
        <f t="shared" si="1"/>
        <v>0</v>
      </c>
      <c r="M192">
        <f t="shared" si="2"/>
        <v>0</v>
      </c>
      <c r="N192">
        <f t="shared" si="3"/>
        <v>0</v>
      </c>
    </row>
    <row r="193" spans="3:14">
      <c r="C193" s="209">
        <v>3543</v>
      </c>
      <c r="D193" s="637">
        <v>10002635</v>
      </c>
      <c r="E193" s="903"/>
      <c r="F193" s="210" t="s">
        <v>119</v>
      </c>
      <c r="G193" s="473" t="s">
        <v>515</v>
      </c>
      <c r="I193">
        <f t="shared" si="0"/>
        <v>0</v>
      </c>
      <c r="K193">
        <f t="shared" si="1"/>
        <v>0</v>
      </c>
      <c r="M193">
        <f t="shared" si="2"/>
        <v>0</v>
      </c>
      <c r="N193">
        <f t="shared" si="3"/>
        <v>0</v>
      </c>
    </row>
    <row r="194" spans="3:14">
      <c r="C194" s="209">
        <v>3544</v>
      </c>
      <c r="D194" s="637">
        <v>10002636</v>
      </c>
      <c r="E194" s="903"/>
      <c r="F194" s="210" t="s">
        <v>120</v>
      </c>
      <c r="G194" s="473" t="s">
        <v>515</v>
      </c>
      <c r="I194">
        <f t="shared" si="0"/>
        <v>0</v>
      </c>
      <c r="K194">
        <f t="shared" si="1"/>
        <v>0</v>
      </c>
      <c r="M194">
        <f t="shared" si="2"/>
        <v>0</v>
      </c>
      <c r="N194">
        <f t="shared" si="3"/>
        <v>0</v>
      </c>
    </row>
    <row r="195" spans="3:14">
      <c r="C195" s="209">
        <v>3545</v>
      </c>
      <c r="D195" s="637">
        <v>10002637</v>
      </c>
      <c r="E195" s="903"/>
      <c r="F195" s="210" t="s">
        <v>121</v>
      </c>
      <c r="G195" s="473" t="s">
        <v>515</v>
      </c>
      <c r="H195">
        <v>3</v>
      </c>
      <c r="I195">
        <f t="shared" si="0"/>
        <v>0</v>
      </c>
      <c r="J195">
        <v>3</v>
      </c>
      <c r="K195">
        <f t="shared" si="1"/>
        <v>0</v>
      </c>
      <c r="L195">
        <v>2</v>
      </c>
      <c r="M195">
        <f t="shared" si="2"/>
        <v>0</v>
      </c>
      <c r="N195" s="167">
        <f t="shared" si="3"/>
        <v>0</v>
      </c>
    </row>
    <row r="196" spans="3:14">
      <c r="C196" s="209">
        <v>3546</v>
      </c>
      <c r="D196" s="637">
        <v>10002638</v>
      </c>
      <c r="E196" s="903"/>
      <c r="F196" s="210" t="s">
        <v>122</v>
      </c>
      <c r="G196" s="473" t="s">
        <v>515</v>
      </c>
      <c r="H196">
        <v>3</v>
      </c>
      <c r="I196">
        <f t="shared" si="0"/>
        <v>0</v>
      </c>
      <c r="J196">
        <v>3</v>
      </c>
      <c r="K196">
        <f t="shared" si="1"/>
        <v>0</v>
      </c>
      <c r="L196">
        <v>4</v>
      </c>
      <c r="M196">
        <f t="shared" si="2"/>
        <v>0</v>
      </c>
      <c r="N196" s="167">
        <f t="shared" si="3"/>
        <v>0</v>
      </c>
    </row>
    <row r="197" spans="3:14">
      <c r="C197" s="209">
        <v>3547</v>
      </c>
      <c r="D197" s="637">
        <v>10002639</v>
      </c>
      <c r="E197" s="903"/>
      <c r="F197" s="210" t="s">
        <v>123</v>
      </c>
      <c r="G197" s="473" t="s">
        <v>515</v>
      </c>
      <c r="I197">
        <f t="shared" si="0"/>
        <v>0</v>
      </c>
      <c r="K197">
        <f t="shared" si="1"/>
        <v>0</v>
      </c>
      <c r="M197">
        <f t="shared" si="2"/>
        <v>0</v>
      </c>
      <c r="N197">
        <f t="shared" si="3"/>
        <v>0</v>
      </c>
    </row>
    <row r="198" spans="3:14">
      <c r="C198" s="209">
        <v>3548</v>
      </c>
      <c r="D198" s="637">
        <v>10002640</v>
      </c>
      <c r="E198" s="903"/>
      <c r="F198" s="210" t="s">
        <v>124</v>
      </c>
      <c r="G198" s="473" t="s">
        <v>515</v>
      </c>
      <c r="H198">
        <v>6</v>
      </c>
      <c r="I198">
        <f t="shared" si="0"/>
        <v>0</v>
      </c>
      <c r="J198">
        <v>6</v>
      </c>
      <c r="K198">
        <f t="shared" si="1"/>
        <v>0</v>
      </c>
      <c r="M198">
        <f t="shared" si="2"/>
        <v>0</v>
      </c>
      <c r="N198" s="167">
        <f t="shared" si="3"/>
        <v>0</v>
      </c>
    </row>
    <row r="199" spans="3:14">
      <c r="C199" s="209">
        <v>3549</v>
      </c>
      <c r="D199" s="637">
        <v>10002641</v>
      </c>
      <c r="E199" s="903"/>
      <c r="F199" s="210" t="s">
        <v>125</v>
      </c>
      <c r="G199" s="473" t="s">
        <v>515</v>
      </c>
      <c r="I199">
        <f t="shared" si="0"/>
        <v>0</v>
      </c>
      <c r="K199">
        <f t="shared" si="1"/>
        <v>0</v>
      </c>
      <c r="L199">
        <v>2</v>
      </c>
      <c r="M199">
        <f t="shared" si="2"/>
        <v>0</v>
      </c>
      <c r="N199">
        <f t="shared" si="3"/>
        <v>0</v>
      </c>
    </row>
    <row r="200" spans="3:14">
      <c r="C200" s="209">
        <v>3550</v>
      </c>
      <c r="D200" s="637">
        <v>10002642</v>
      </c>
      <c r="E200" s="903"/>
      <c r="F200" s="210" t="s">
        <v>126</v>
      </c>
      <c r="G200" s="473" t="s">
        <v>515</v>
      </c>
      <c r="I200">
        <f t="shared" si="0"/>
        <v>0</v>
      </c>
      <c r="K200">
        <f t="shared" si="1"/>
        <v>0</v>
      </c>
      <c r="M200">
        <f t="shared" si="2"/>
        <v>0</v>
      </c>
      <c r="N200">
        <f t="shared" si="3"/>
        <v>0</v>
      </c>
    </row>
    <row r="201" spans="3:14">
      <c r="C201" s="209">
        <v>3551</v>
      </c>
      <c r="D201" s="637">
        <v>10002643</v>
      </c>
      <c r="E201" s="903"/>
      <c r="F201" s="210" t="s">
        <v>127</v>
      </c>
      <c r="G201" s="473" t="s">
        <v>515</v>
      </c>
      <c r="I201">
        <f t="shared" si="0"/>
        <v>0</v>
      </c>
      <c r="K201">
        <f t="shared" si="1"/>
        <v>0</v>
      </c>
      <c r="M201">
        <f t="shared" si="2"/>
        <v>0</v>
      </c>
      <c r="N201">
        <f t="shared" si="3"/>
        <v>0</v>
      </c>
    </row>
    <row r="202" spans="3:14">
      <c r="C202" s="209">
        <v>3552</v>
      </c>
      <c r="D202" s="637">
        <v>10002644</v>
      </c>
      <c r="E202" s="903"/>
      <c r="F202" s="210" t="s">
        <v>211</v>
      </c>
      <c r="G202" s="473" t="s">
        <v>515</v>
      </c>
      <c r="I202">
        <f t="shared" si="0"/>
        <v>0</v>
      </c>
      <c r="K202">
        <f t="shared" si="1"/>
        <v>0</v>
      </c>
      <c r="M202">
        <f t="shared" si="2"/>
        <v>0</v>
      </c>
      <c r="N202">
        <f t="shared" si="3"/>
        <v>0</v>
      </c>
    </row>
    <row r="203" spans="3:14">
      <c r="C203" s="209"/>
      <c r="D203" s="637"/>
      <c r="E203" s="903"/>
      <c r="F203" s="117" t="s">
        <v>1020</v>
      </c>
      <c r="G203" s="4" t="s">
        <v>0</v>
      </c>
      <c r="I203">
        <f t="shared" si="0"/>
        <v>0</v>
      </c>
      <c r="K203">
        <f t="shared" si="1"/>
        <v>0</v>
      </c>
      <c r="L203">
        <v>2</v>
      </c>
      <c r="M203">
        <f t="shared" si="2"/>
        <v>0</v>
      </c>
      <c r="N203">
        <f t="shared" si="3"/>
        <v>0</v>
      </c>
    </row>
    <row r="204" spans="3:14">
      <c r="C204" s="209">
        <v>4330</v>
      </c>
      <c r="D204" s="637"/>
      <c r="E204" s="903"/>
      <c r="F204" s="117" t="s">
        <v>1255</v>
      </c>
      <c r="G204" s="4" t="s">
        <v>0</v>
      </c>
      <c r="I204">
        <f t="shared" si="0"/>
        <v>0</v>
      </c>
      <c r="K204">
        <f t="shared" si="1"/>
        <v>0</v>
      </c>
      <c r="M204">
        <f t="shared" si="2"/>
        <v>0</v>
      </c>
      <c r="N204">
        <f t="shared" si="3"/>
        <v>0</v>
      </c>
    </row>
    <row r="205" spans="3:14">
      <c r="C205" s="209">
        <v>4132</v>
      </c>
      <c r="D205" s="637"/>
      <c r="E205" s="903"/>
      <c r="F205" s="117" t="s">
        <v>1256</v>
      </c>
      <c r="G205" s="4" t="s">
        <v>0</v>
      </c>
      <c r="I205">
        <f t="shared" si="0"/>
        <v>0</v>
      </c>
      <c r="K205">
        <f t="shared" si="1"/>
        <v>0</v>
      </c>
      <c r="M205">
        <f t="shared" si="2"/>
        <v>0</v>
      </c>
      <c r="N205">
        <f t="shared" si="3"/>
        <v>0</v>
      </c>
    </row>
    <row r="206" spans="3:14">
      <c r="C206" s="209">
        <v>4131</v>
      </c>
      <c r="D206" s="637"/>
      <c r="E206" s="903"/>
      <c r="F206" s="117" t="s">
        <v>1257</v>
      </c>
      <c r="G206" s="4" t="s">
        <v>0</v>
      </c>
      <c r="I206">
        <f t="shared" si="0"/>
        <v>0</v>
      </c>
      <c r="K206">
        <f t="shared" si="1"/>
        <v>0</v>
      </c>
      <c r="M206">
        <f t="shared" si="2"/>
        <v>0</v>
      </c>
      <c r="N206">
        <f t="shared" si="3"/>
        <v>0</v>
      </c>
    </row>
    <row r="207" spans="3:14">
      <c r="C207" s="209"/>
      <c r="D207" s="637"/>
      <c r="E207" s="903"/>
      <c r="F207" s="117" t="s">
        <v>1258</v>
      </c>
      <c r="G207" s="4" t="s">
        <v>0</v>
      </c>
      <c r="I207">
        <f t="shared" si="0"/>
        <v>0</v>
      </c>
      <c r="K207">
        <f t="shared" si="1"/>
        <v>0</v>
      </c>
      <c r="M207">
        <f t="shared" si="2"/>
        <v>0</v>
      </c>
      <c r="N207">
        <f t="shared" si="3"/>
        <v>0</v>
      </c>
    </row>
    <row r="208" spans="3:14">
      <c r="C208" s="209"/>
      <c r="D208" s="637"/>
      <c r="E208" s="903"/>
      <c r="F208" s="210" t="s">
        <v>1259</v>
      </c>
      <c r="G208" s="4" t="s">
        <v>0</v>
      </c>
      <c r="I208">
        <f t="shared" si="0"/>
        <v>0</v>
      </c>
      <c r="K208">
        <f t="shared" si="1"/>
        <v>0</v>
      </c>
      <c r="L208">
        <v>6</v>
      </c>
      <c r="M208">
        <f t="shared" si="2"/>
        <v>0</v>
      </c>
      <c r="N208">
        <f t="shared" si="3"/>
        <v>0</v>
      </c>
    </row>
    <row r="209" spans="3:14">
      <c r="C209" s="209"/>
      <c r="D209" s="637"/>
      <c r="E209" s="903"/>
      <c r="F209" s="210" t="s">
        <v>1260</v>
      </c>
      <c r="G209" s="4" t="s">
        <v>0</v>
      </c>
      <c r="I209">
        <f t="shared" si="0"/>
        <v>0</v>
      </c>
      <c r="K209">
        <f t="shared" si="1"/>
        <v>0</v>
      </c>
      <c r="M209">
        <f t="shared" si="2"/>
        <v>0</v>
      </c>
      <c r="N209">
        <f t="shared" si="3"/>
        <v>0</v>
      </c>
    </row>
    <row r="210" spans="3:14">
      <c r="C210" s="209"/>
      <c r="D210" s="637"/>
      <c r="E210" s="903"/>
      <c r="F210" s="210" t="s">
        <v>1261</v>
      </c>
      <c r="G210" s="4" t="s">
        <v>0</v>
      </c>
      <c r="I210">
        <f t="shared" ref="I210:I275" si="4">H210*$B$6</f>
        <v>0</v>
      </c>
      <c r="K210">
        <f t="shared" ref="K210:K275" si="5">J210*$C$6</f>
        <v>0</v>
      </c>
      <c r="M210">
        <f t="shared" ref="M210:M275" si="6">L210*$D$6</f>
        <v>0</v>
      </c>
      <c r="N210">
        <f t="shared" ref="N210:N275" si="7">SUM(I210,K210,M210)</f>
        <v>0</v>
      </c>
    </row>
    <row r="211" spans="3:14">
      <c r="C211" s="209"/>
      <c r="D211" s="637"/>
      <c r="E211" s="903"/>
      <c r="F211" s="210" t="s">
        <v>1262</v>
      </c>
      <c r="G211" s="4" t="s">
        <v>0</v>
      </c>
      <c r="I211">
        <f t="shared" si="4"/>
        <v>0</v>
      </c>
      <c r="K211">
        <f t="shared" si="5"/>
        <v>0</v>
      </c>
      <c r="M211">
        <f t="shared" si="6"/>
        <v>0</v>
      </c>
      <c r="N211">
        <f t="shared" si="7"/>
        <v>0</v>
      </c>
    </row>
    <row r="212" spans="3:14">
      <c r="C212" s="209"/>
      <c r="D212" s="637"/>
      <c r="E212" s="903"/>
      <c r="F212" s="210" t="s">
        <v>1263</v>
      </c>
      <c r="G212" s="4" t="s">
        <v>0</v>
      </c>
      <c r="I212">
        <f t="shared" si="4"/>
        <v>0</v>
      </c>
      <c r="K212">
        <f t="shared" si="5"/>
        <v>0</v>
      </c>
      <c r="M212">
        <f t="shared" si="6"/>
        <v>0</v>
      </c>
      <c r="N212">
        <f t="shared" si="7"/>
        <v>0</v>
      </c>
    </row>
    <row r="213" spans="3:14">
      <c r="C213" s="209">
        <v>4085</v>
      </c>
      <c r="D213" s="637"/>
      <c r="E213" s="903"/>
      <c r="F213" s="210" t="s">
        <v>381</v>
      </c>
      <c r="G213" s="473" t="s">
        <v>517</v>
      </c>
      <c r="H213">
        <v>3</v>
      </c>
      <c r="I213">
        <f t="shared" si="4"/>
        <v>0</v>
      </c>
      <c r="J213">
        <v>3</v>
      </c>
      <c r="K213">
        <f t="shared" si="5"/>
        <v>0</v>
      </c>
      <c r="M213">
        <f t="shared" si="6"/>
        <v>0</v>
      </c>
      <c r="N213" s="167">
        <f t="shared" si="7"/>
        <v>0</v>
      </c>
    </row>
    <row r="214" spans="3:14">
      <c r="C214" s="209">
        <v>3556</v>
      </c>
      <c r="D214" s="414">
        <v>10009219</v>
      </c>
      <c r="E214" s="899"/>
      <c r="F214" s="210" t="s">
        <v>1407</v>
      </c>
      <c r="G214" s="400" t="s">
        <v>0</v>
      </c>
      <c r="I214">
        <f t="shared" si="4"/>
        <v>0</v>
      </c>
      <c r="K214">
        <f t="shared" si="5"/>
        <v>0</v>
      </c>
      <c r="M214">
        <f t="shared" si="6"/>
        <v>0</v>
      </c>
      <c r="N214">
        <f t="shared" si="7"/>
        <v>0</v>
      </c>
    </row>
    <row r="215" spans="3:14">
      <c r="C215" s="209"/>
      <c r="D215" s="414">
        <v>10009216</v>
      </c>
      <c r="E215" s="899"/>
      <c r="F215" s="210" t="s">
        <v>1408</v>
      </c>
      <c r="G215" s="400" t="s">
        <v>0</v>
      </c>
      <c r="I215">
        <f t="shared" si="4"/>
        <v>0</v>
      </c>
      <c r="K215">
        <f t="shared" si="5"/>
        <v>0</v>
      </c>
      <c r="M215">
        <f t="shared" si="6"/>
        <v>0</v>
      </c>
      <c r="N215">
        <f t="shared" si="7"/>
        <v>0</v>
      </c>
    </row>
    <row r="216" spans="3:14">
      <c r="C216" s="209"/>
      <c r="D216" s="414">
        <v>10009217</v>
      </c>
      <c r="E216" s="899"/>
      <c r="F216" s="210" t="s">
        <v>1409</v>
      </c>
      <c r="G216" s="400" t="s">
        <v>0</v>
      </c>
      <c r="I216">
        <f t="shared" si="4"/>
        <v>0</v>
      </c>
      <c r="K216">
        <f t="shared" si="5"/>
        <v>0</v>
      </c>
      <c r="M216">
        <f t="shared" si="6"/>
        <v>0</v>
      </c>
      <c r="N216">
        <f t="shared" si="7"/>
        <v>0</v>
      </c>
    </row>
    <row r="217" spans="3:14">
      <c r="C217" s="209"/>
      <c r="D217" s="414">
        <v>10009218</v>
      </c>
      <c r="E217" s="899"/>
      <c r="F217" s="210" t="s">
        <v>1410</v>
      </c>
      <c r="G217" s="400" t="s">
        <v>0</v>
      </c>
      <c r="I217">
        <f t="shared" si="4"/>
        <v>0</v>
      </c>
      <c r="K217">
        <f t="shared" si="5"/>
        <v>0</v>
      </c>
      <c r="M217">
        <f t="shared" si="6"/>
        <v>0</v>
      </c>
      <c r="N217">
        <f t="shared" si="7"/>
        <v>0</v>
      </c>
    </row>
    <row r="218" spans="3:14">
      <c r="C218" s="209">
        <v>3557</v>
      </c>
      <c r="D218" s="414">
        <v>10001369</v>
      </c>
      <c r="E218" s="899"/>
      <c r="F218" s="210" t="s">
        <v>8</v>
      </c>
      <c r="G218" s="473" t="s">
        <v>515</v>
      </c>
      <c r="I218">
        <f t="shared" si="4"/>
        <v>0</v>
      </c>
      <c r="K218">
        <f t="shared" si="5"/>
        <v>0</v>
      </c>
      <c r="M218">
        <f t="shared" si="6"/>
        <v>0</v>
      </c>
      <c r="N218">
        <f t="shared" si="7"/>
        <v>0</v>
      </c>
    </row>
    <row r="219" spans="3:14">
      <c r="C219" s="209">
        <v>3559</v>
      </c>
      <c r="D219" s="414">
        <v>10001123</v>
      </c>
      <c r="E219" s="899"/>
      <c r="F219" s="210" t="s">
        <v>141</v>
      </c>
      <c r="G219" s="473" t="s">
        <v>515</v>
      </c>
      <c r="I219">
        <f t="shared" si="4"/>
        <v>0</v>
      </c>
      <c r="K219">
        <f t="shared" si="5"/>
        <v>0</v>
      </c>
      <c r="M219">
        <f t="shared" si="6"/>
        <v>0</v>
      </c>
      <c r="N219">
        <f t="shared" si="7"/>
        <v>0</v>
      </c>
    </row>
    <row r="220" spans="3:14">
      <c r="C220" s="209">
        <v>3560</v>
      </c>
      <c r="D220" s="414">
        <v>10001156</v>
      </c>
      <c r="E220" s="899"/>
      <c r="F220" s="210" t="s">
        <v>9</v>
      </c>
      <c r="G220" s="473" t="s">
        <v>515</v>
      </c>
      <c r="H220">
        <v>3</v>
      </c>
      <c r="I220">
        <f t="shared" si="4"/>
        <v>0</v>
      </c>
      <c r="J220">
        <v>3</v>
      </c>
      <c r="K220">
        <f t="shared" si="5"/>
        <v>0</v>
      </c>
      <c r="L220">
        <v>4</v>
      </c>
      <c r="M220">
        <f t="shared" si="6"/>
        <v>0</v>
      </c>
      <c r="N220" s="167">
        <f t="shared" si="7"/>
        <v>0</v>
      </c>
    </row>
    <row r="221" spans="3:14">
      <c r="C221" s="209">
        <v>3561</v>
      </c>
      <c r="D221" s="414"/>
      <c r="E221" s="899"/>
      <c r="F221" s="210" t="s">
        <v>452</v>
      </c>
      <c r="G221" s="473" t="s">
        <v>515</v>
      </c>
      <c r="I221">
        <f t="shared" si="4"/>
        <v>0</v>
      </c>
      <c r="J221">
        <v>3</v>
      </c>
      <c r="K221">
        <f t="shared" si="5"/>
        <v>0</v>
      </c>
      <c r="L221">
        <v>4</v>
      </c>
      <c r="M221">
        <f t="shared" si="6"/>
        <v>0</v>
      </c>
      <c r="N221" s="167">
        <f t="shared" si="7"/>
        <v>0</v>
      </c>
    </row>
    <row r="222" spans="3:14">
      <c r="C222" s="209">
        <v>3562</v>
      </c>
      <c r="D222" s="414">
        <v>10001153</v>
      </c>
      <c r="E222" s="899"/>
      <c r="F222" s="210" t="s">
        <v>10</v>
      </c>
      <c r="G222" s="473" t="s">
        <v>515</v>
      </c>
      <c r="I222">
        <f t="shared" si="4"/>
        <v>0</v>
      </c>
      <c r="K222">
        <f t="shared" si="5"/>
        <v>0</v>
      </c>
      <c r="M222">
        <f t="shared" si="6"/>
        <v>0</v>
      </c>
      <c r="N222">
        <f t="shared" si="7"/>
        <v>0</v>
      </c>
    </row>
    <row r="223" spans="3:14">
      <c r="C223" s="209"/>
      <c r="D223" s="414"/>
      <c r="E223" s="899"/>
      <c r="F223" s="210" t="s">
        <v>1483</v>
      </c>
      <c r="G223" s="473" t="s">
        <v>0</v>
      </c>
      <c r="I223">
        <f t="shared" si="4"/>
        <v>0</v>
      </c>
      <c r="K223">
        <f t="shared" si="5"/>
        <v>0</v>
      </c>
      <c r="M223">
        <f t="shared" si="6"/>
        <v>0</v>
      </c>
      <c r="N223">
        <f t="shared" si="7"/>
        <v>0</v>
      </c>
    </row>
    <row r="224" spans="3:14">
      <c r="C224" s="209"/>
      <c r="D224" s="414"/>
      <c r="E224" s="899"/>
      <c r="F224" s="210" t="s">
        <v>145</v>
      </c>
      <c r="G224" s="473" t="s">
        <v>515</v>
      </c>
      <c r="H224">
        <v>18</v>
      </c>
      <c r="I224">
        <f t="shared" si="4"/>
        <v>0</v>
      </c>
      <c r="J224">
        <v>18</v>
      </c>
      <c r="K224">
        <f t="shared" si="5"/>
        <v>0</v>
      </c>
      <c r="L224">
        <v>18</v>
      </c>
      <c r="M224">
        <f t="shared" si="6"/>
        <v>0</v>
      </c>
      <c r="N224" s="167">
        <f t="shared" si="7"/>
        <v>0</v>
      </c>
    </row>
    <row r="225" spans="3:14">
      <c r="C225" s="209">
        <v>4104</v>
      </c>
      <c r="D225" s="414"/>
      <c r="E225" s="899"/>
      <c r="F225" s="210" t="s">
        <v>144</v>
      </c>
      <c r="G225" s="473" t="s">
        <v>515</v>
      </c>
      <c r="I225">
        <f t="shared" si="4"/>
        <v>0</v>
      </c>
      <c r="K225">
        <f t="shared" si="5"/>
        <v>0</v>
      </c>
      <c r="M225">
        <f t="shared" si="6"/>
        <v>0</v>
      </c>
      <c r="N225">
        <f t="shared" si="7"/>
        <v>0</v>
      </c>
    </row>
    <row r="226" spans="3:14">
      <c r="C226" s="209">
        <v>4133</v>
      </c>
      <c r="D226" s="414"/>
      <c r="E226" s="899"/>
      <c r="F226" s="210" t="s">
        <v>213</v>
      </c>
      <c r="G226" s="473" t="s">
        <v>515</v>
      </c>
      <c r="I226">
        <f t="shared" si="4"/>
        <v>0</v>
      </c>
      <c r="K226">
        <f t="shared" si="5"/>
        <v>0</v>
      </c>
      <c r="M226">
        <f t="shared" si="6"/>
        <v>0</v>
      </c>
      <c r="N226">
        <f t="shared" si="7"/>
        <v>0</v>
      </c>
    </row>
    <row r="227" spans="3:14">
      <c r="C227" s="209">
        <v>3553</v>
      </c>
      <c r="D227" s="414">
        <v>10009219</v>
      </c>
      <c r="E227" s="899"/>
      <c r="F227" s="210" t="s">
        <v>214</v>
      </c>
      <c r="G227" s="473" t="s">
        <v>515</v>
      </c>
      <c r="I227">
        <f t="shared" si="4"/>
        <v>0</v>
      </c>
      <c r="K227">
        <f t="shared" si="5"/>
        <v>0</v>
      </c>
      <c r="M227">
        <f t="shared" si="6"/>
        <v>0</v>
      </c>
      <c r="N227">
        <f t="shared" si="7"/>
        <v>0</v>
      </c>
    </row>
    <row r="228" spans="3:14">
      <c r="C228" s="209">
        <v>3554</v>
      </c>
      <c r="D228" s="414"/>
      <c r="E228" s="899"/>
      <c r="F228" s="210" t="s">
        <v>458</v>
      </c>
      <c r="G228" s="473" t="s">
        <v>515</v>
      </c>
      <c r="I228">
        <f t="shared" si="4"/>
        <v>0</v>
      </c>
      <c r="K228">
        <f t="shared" si="5"/>
        <v>0</v>
      </c>
      <c r="M228">
        <f t="shared" si="6"/>
        <v>0</v>
      </c>
      <c r="N228">
        <f t="shared" si="7"/>
        <v>0</v>
      </c>
    </row>
    <row r="229" spans="3:14">
      <c r="C229" s="209">
        <v>3555</v>
      </c>
      <c r="D229" s="414"/>
      <c r="E229" s="899"/>
      <c r="F229" s="210" t="s">
        <v>140</v>
      </c>
      <c r="G229" s="473" t="s">
        <v>515</v>
      </c>
      <c r="I229">
        <f t="shared" si="4"/>
        <v>0</v>
      </c>
      <c r="K229">
        <f t="shared" si="5"/>
        <v>0</v>
      </c>
      <c r="M229">
        <f t="shared" si="6"/>
        <v>0</v>
      </c>
      <c r="N229">
        <f t="shared" si="7"/>
        <v>0</v>
      </c>
    </row>
    <row r="230" spans="3:14">
      <c r="C230" s="209">
        <v>4121</v>
      </c>
      <c r="D230" s="414"/>
      <c r="E230" s="899"/>
      <c r="F230" s="210" t="s">
        <v>216</v>
      </c>
      <c r="G230" s="473" t="s">
        <v>515</v>
      </c>
      <c r="I230">
        <f t="shared" si="4"/>
        <v>0</v>
      </c>
      <c r="K230">
        <f t="shared" si="5"/>
        <v>0</v>
      </c>
      <c r="M230">
        <f t="shared" si="6"/>
        <v>0</v>
      </c>
      <c r="N230">
        <f t="shared" si="7"/>
        <v>0</v>
      </c>
    </row>
    <row r="231" spans="3:14">
      <c r="C231" s="209">
        <v>4122</v>
      </c>
      <c r="D231" s="414"/>
      <c r="E231" s="899"/>
      <c r="F231" s="210" t="s">
        <v>217</v>
      </c>
      <c r="G231" s="473" t="s">
        <v>515</v>
      </c>
      <c r="H231">
        <v>6</v>
      </c>
      <c r="I231">
        <f t="shared" si="4"/>
        <v>0</v>
      </c>
      <c r="J231">
        <v>6</v>
      </c>
      <c r="K231">
        <f t="shared" si="5"/>
        <v>0</v>
      </c>
      <c r="L231">
        <v>6</v>
      </c>
      <c r="M231">
        <f t="shared" si="6"/>
        <v>0</v>
      </c>
      <c r="N231" s="167">
        <f t="shared" si="7"/>
        <v>0</v>
      </c>
    </row>
    <row r="232" spans="3:14">
      <c r="C232" s="209"/>
      <c r="D232" s="414"/>
      <c r="E232" s="899"/>
      <c r="F232" s="210" t="s">
        <v>1734</v>
      </c>
      <c r="G232" s="473"/>
      <c r="N232" s="167"/>
    </row>
    <row r="233" spans="3:14">
      <c r="C233" s="209"/>
      <c r="D233" s="414"/>
      <c r="E233" s="899"/>
      <c r="F233" s="210" t="s">
        <v>1536</v>
      </c>
      <c r="G233" s="473" t="s">
        <v>0</v>
      </c>
      <c r="N233" s="167"/>
    </row>
    <row r="234" spans="3:14">
      <c r="C234" s="209">
        <v>3965</v>
      </c>
      <c r="D234" s="414"/>
      <c r="E234" s="899"/>
      <c r="F234" s="210" t="s">
        <v>461</v>
      </c>
      <c r="G234" s="473" t="s">
        <v>515</v>
      </c>
      <c r="H234">
        <v>18</v>
      </c>
      <c r="I234">
        <f t="shared" si="4"/>
        <v>0</v>
      </c>
      <c r="J234">
        <v>18</v>
      </c>
      <c r="K234">
        <f t="shared" si="5"/>
        <v>0</v>
      </c>
      <c r="M234">
        <f t="shared" si="6"/>
        <v>0</v>
      </c>
      <c r="N234" s="167">
        <f t="shared" si="7"/>
        <v>0</v>
      </c>
    </row>
    <row r="235" spans="3:14">
      <c r="C235" s="209">
        <v>3569</v>
      </c>
      <c r="D235" s="414">
        <v>10007028</v>
      </c>
      <c r="E235" s="899"/>
      <c r="F235" s="210" t="s">
        <v>459</v>
      </c>
      <c r="G235" s="473" t="s">
        <v>515</v>
      </c>
      <c r="I235">
        <f t="shared" si="4"/>
        <v>0</v>
      </c>
      <c r="K235">
        <f t="shared" si="5"/>
        <v>0</v>
      </c>
      <c r="M235">
        <f t="shared" si="6"/>
        <v>0</v>
      </c>
      <c r="N235">
        <f t="shared" si="7"/>
        <v>0</v>
      </c>
    </row>
    <row r="236" spans="3:14">
      <c r="C236" s="209">
        <v>3570</v>
      </c>
      <c r="D236" s="414"/>
      <c r="E236" s="899"/>
      <c r="F236" s="210" t="s">
        <v>154</v>
      </c>
      <c r="G236" s="473" t="s">
        <v>515</v>
      </c>
      <c r="H236">
        <v>13</v>
      </c>
      <c r="I236">
        <f t="shared" si="4"/>
        <v>0</v>
      </c>
      <c r="J236">
        <v>13</v>
      </c>
      <c r="K236">
        <f t="shared" si="5"/>
        <v>0</v>
      </c>
      <c r="M236">
        <f t="shared" si="6"/>
        <v>0</v>
      </c>
      <c r="N236" s="167">
        <f t="shared" si="7"/>
        <v>0</v>
      </c>
    </row>
    <row r="237" spans="3:14">
      <c r="C237" s="209">
        <v>3571</v>
      </c>
      <c r="D237" s="414"/>
      <c r="E237" s="899"/>
      <c r="F237" s="210" t="s">
        <v>147</v>
      </c>
      <c r="G237" s="473" t="s">
        <v>515</v>
      </c>
      <c r="H237">
        <v>6</v>
      </c>
      <c r="I237">
        <f t="shared" si="4"/>
        <v>0</v>
      </c>
      <c r="J237">
        <v>6</v>
      </c>
      <c r="K237">
        <f t="shared" si="5"/>
        <v>0</v>
      </c>
      <c r="L237">
        <v>2</v>
      </c>
      <c r="M237">
        <f t="shared" si="6"/>
        <v>0</v>
      </c>
      <c r="N237" s="167">
        <f t="shared" si="7"/>
        <v>0</v>
      </c>
    </row>
    <row r="238" spans="3:14">
      <c r="C238" s="901"/>
      <c r="D238" s="416"/>
      <c r="E238" s="899"/>
      <c r="F238" s="213" t="s">
        <v>1509</v>
      </c>
      <c r="G238" s="902" t="s">
        <v>0</v>
      </c>
      <c r="I238">
        <f t="shared" si="4"/>
        <v>0</v>
      </c>
      <c r="K238">
        <f t="shared" si="5"/>
        <v>0</v>
      </c>
      <c r="L238">
        <v>2</v>
      </c>
      <c r="M238">
        <f t="shared" si="6"/>
        <v>0</v>
      </c>
      <c r="N238">
        <f t="shared" si="7"/>
        <v>0</v>
      </c>
    </row>
    <row r="239" spans="3:14">
      <c r="C239" s="209">
        <v>3580</v>
      </c>
      <c r="D239" s="414">
        <v>10000661</v>
      </c>
      <c r="E239" s="899"/>
      <c r="F239" s="210" t="s">
        <v>410</v>
      </c>
      <c r="G239" s="473" t="s">
        <v>515</v>
      </c>
      <c r="I239">
        <f t="shared" si="4"/>
        <v>0</v>
      </c>
      <c r="K239">
        <f t="shared" si="5"/>
        <v>0</v>
      </c>
      <c r="M239">
        <f t="shared" si="6"/>
        <v>0</v>
      </c>
      <c r="N239">
        <f t="shared" si="7"/>
        <v>0</v>
      </c>
    </row>
    <row r="240" spans="3:14">
      <c r="C240" s="209"/>
      <c r="D240" s="414"/>
      <c r="E240" s="899"/>
      <c r="F240" s="210" t="s">
        <v>44</v>
      </c>
      <c r="G240" s="473" t="s">
        <v>515</v>
      </c>
      <c r="I240">
        <f t="shared" si="4"/>
        <v>0</v>
      </c>
      <c r="K240">
        <f t="shared" si="5"/>
        <v>0</v>
      </c>
      <c r="M240">
        <f t="shared" si="6"/>
        <v>0</v>
      </c>
      <c r="N240">
        <f t="shared" si="7"/>
        <v>0</v>
      </c>
    </row>
    <row r="241" spans="3:14">
      <c r="C241" s="209">
        <v>3584</v>
      </c>
      <c r="D241" s="638">
        <v>10009374</v>
      </c>
      <c r="E241" s="904"/>
      <c r="F241" s="210" t="s">
        <v>45</v>
      </c>
      <c r="G241" s="473" t="s">
        <v>515</v>
      </c>
      <c r="I241">
        <f t="shared" si="4"/>
        <v>0</v>
      </c>
      <c r="K241">
        <f t="shared" si="5"/>
        <v>0</v>
      </c>
      <c r="M241">
        <f t="shared" si="6"/>
        <v>0</v>
      </c>
      <c r="N241">
        <f t="shared" si="7"/>
        <v>0</v>
      </c>
    </row>
    <row r="242" spans="3:14">
      <c r="C242" s="209">
        <v>3585</v>
      </c>
      <c r="D242" s="414">
        <v>10009375</v>
      </c>
      <c r="E242" s="899"/>
      <c r="F242" s="210" t="s">
        <v>46</v>
      </c>
      <c r="G242" s="473" t="s">
        <v>515</v>
      </c>
      <c r="I242">
        <f t="shared" si="4"/>
        <v>0</v>
      </c>
      <c r="K242">
        <f t="shared" si="5"/>
        <v>0</v>
      </c>
      <c r="M242">
        <f t="shared" si="6"/>
        <v>0</v>
      </c>
      <c r="N242">
        <f t="shared" si="7"/>
        <v>0</v>
      </c>
    </row>
    <row r="243" spans="3:14">
      <c r="C243" s="209">
        <v>3586</v>
      </c>
      <c r="D243" s="638">
        <v>10009376</v>
      </c>
      <c r="E243" s="904"/>
      <c r="F243" s="210" t="s">
        <v>47</v>
      </c>
      <c r="G243" s="473" t="s">
        <v>515</v>
      </c>
      <c r="I243">
        <f t="shared" si="4"/>
        <v>0</v>
      </c>
      <c r="K243">
        <f t="shared" si="5"/>
        <v>0</v>
      </c>
      <c r="M243">
        <f t="shared" si="6"/>
        <v>0</v>
      </c>
      <c r="N243">
        <f t="shared" si="7"/>
        <v>0</v>
      </c>
    </row>
    <row r="244" spans="3:14">
      <c r="C244" s="209">
        <v>3587</v>
      </c>
      <c r="D244" s="638">
        <v>10009378</v>
      </c>
      <c r="E244" s="904"/>
      <c r="F244" s="210" t="s">
        <v>489</v>
      </c>
      <c r="G244" s="473" t="s">
        <v>515</v>
      </c>
      <c r="I244">
        <f t="shared" si="4"/>
        <v>0</v>
      </c>
      <c r="K244">
        <f t="shared" si="5"/>
        <v>0</v>
      </c>
      <c r="M244">
        <f t="shared" si="6"/>
        <v>0</v>
      </c>
      <c r="N244">
        <f t="shared" si="7"/>
        <v>0</v>
      </c>
    </row>
    <row r="245" spans="3:14">
      <c r="C245" s="209">
        <v>3588</v>
      </c>
      <c r="D245" s="638">
        <v>10009379</v>
      </c>
      <c r="E245" s="904"/>
      <c r="F245" s="210" t="s">
        <v>48</v>
      </c>
      <c r="G245" s="473" t="s">
        <v>515</v>
      </c>
      <c r="I245">
        <f t="shared" si="4"/>
        <v>0</v>
      </c>
      <c r="K245">
        <f t="shared" si="5"/>
        <v>0</v>
      </c>
      <c r="M245">
        <f t="shared" si="6"/>
        <v>0</v>
      </c>
      <c r="N245">
        <f t="shared" si="7"/>
        <v>0</v>
      </c>
    </row>
    <row r="246" spans="3:14">
      <c r="C246" s="209">
        <v>3589</v>
      </c>
      <c r="D246" s="638">
        <v>10009380</v>
      </c>
      <c r="E246" s="904"/>
      <c r="F246" s="210" t="s">
        <v>49</v>
      </c>
      <c r="G246" s="473" t="s">
        <v>515</v>
      </c>
      <c r="I246">
        <f t="shared" si="4"/>
        <v>0</v>
      </c>
      <c r="K246">
        <f t="shared" si="5"/>
        <v>0</v>
      </c>
      <c r="M246">
        <f t="shared" si="6"/>
        <v>0</v>
      </c>
      <c r="N246">
        <f t="shared" si="7"/>
        <v>0</v>
      </c>
    </row>
    <row r="247" spans="3:14">
      <c r="C247" s="209">
        <v>3590</v>
      </c>
      <c r="D247" s="638">
        <v>10009381</v>
      </c>
      <c r="E247" s="904"/>
      <c r="F247" s="210" t="s">
        <v>488</v>
      </c>
      <c r="G247" s="473" t="s">
        <v>515</v>
      </c>
      <c r="I247">
        <f t="shared" si="4"/>
        <v>0</v>
      </c>
      <c r="K247">
        <f t="shared" si="5"/>
        <v>0</v>
      </c>
      <c r="M247">
        <f t="shared" si="6"/>
        <v>0</v>
      </c>
      <c r="N247">
        <f t="shared" si="7"/>
        <v>0</v>
      </c>
    </row>
    <row r="248" spans="3:14">
      <c r="C248" s="209"/>
      <c r="D248" s="414"/>
      <c r="E248" s="899"/>
      <c r="F248" s="210" t="s">
        <v>250</v>
      </c>
      <c r="G248" s="473" t="s">
        <v>515</v>
      </c>
      <c r="I248">
        <f t="shared" si="4"/>
        <v>0</v>
      </c>
      <c r="K248">
        <f t="shared" si="5"/>
        <v>0</v>
      </c>
      <c r="M248">
        <f t="shared" si="6"/>
        <v>0</v>
      </c>
      <c r="N248">
        <f t="shared" si="7"/>
        <v>0</v>
      </c>
    </row>
    <row r="249" spans="3:14">
      <c r="C249" s="209">
        <v>3591</v>
      </c>
      <c r="D249" s="638">
        <v>10009384</v>
      </c>
      <c r="E249" s="904"/>
      <c r="F249" s="210" t="s">
        <v>50</v>
      </c>
      <c r="G249" s="473" t="s">
        <v>515</v>
      </c>
      <c r="I249">
        <f t="shared" si="4"/>
        <v>0</v>
      </c>
      <c r="K249">
        <f t="shared" si="5"/>
        <v>0</v>
      </c>
      <c r="M249">
        <f t="shared" si="6"/>
        <v>0</v>
      </c>
      <c r="N249">
        <f t="shared" si="7"/>
        <v>0</v>
      </c>
    </row>
    <row r="250" spans="3:14">
      <c r="C250" s="209"/>
      <c r="D250" s="414"/>
      <c r="E250" s="899"/>
      <c r="F250" s="210" t="s">
        <v>249</v>
      </c>
      <c r="G250" s="473" t="s">
        <v>515</v>
      </c>
      <c r="I250">
        <f t="shared" si="4"/>
        <v>0</v>
      </c>
      <c r="K250">
        <f t="shared" si="5"/>
        <v>0</v>
      </c>
      <c r="M250">
        <f t="shared" si="6"/>
        <v>0</v>
      </c>
      <c r="N250">
        <f t="shared" si="7"/>
        <v>0</v>
      </c>
    </row>
    <row r="251" spans="3:14">
      <c r="C251" s="209">
        <v>3592</v>
      </c>
      <c r="D251" s="638">
        <v>10009385</v>
      </c>
      <c r="E251" s="904"/>
      <c r="F251" s="210" t="s">
        <v>245</v>
      </c>
      <c r="G251" s="473" t="s">
        <v>515</v>
      </c>
      <c r="I251">
        <f t="shared" si="4"/>
        <v>0</v>
      </c>
      <c r="K251">
        <f t="shared" si="5"/>
        <v>0</v>
      </c>
      <c r="M251">
        <f t="shared" si="6"/>
        <v>0</v>
      </c>
      <c r="N251">
        <f t="shared" si="7"/>
        <v>0</v>
      </c>
    </row>
    <row r="252" spans="3:14">
      <c r="C252" s="209">
        <v>3593</v>
      </c>
      <c r="D252" s="638">
        <v>10009409</v>
      </c>
      <c r="E252" s="904"/>
      <c r="F252" s="210" t="s">
        <v>246</v>
      </c>
      <c r="G252" s="473" t="s">
        <v>515</v>
      </c>
      <c r="I252">
        <f t="shared" si="4"/>
        <v>0</v>
      </c>
      <c r="K252">
        <f t="shared" si="5"/>
        <v>0</v>
      </c>
      <c r="M252">
        <f t="shared" si="6"/>
        <v>0</v>
      </c>
      <c r="N252">
        <f t="shared" si="7"/>
        <v>0</v>
      </c>
    </row>
    <row r="253" spans="3:14">
      <c r="C253" s="209"/>
      <c r="D253" s="414"/>
      <c r="E253" s="899"/>
      <c r="F253" s="210" t="s">
        <v>252</v>
      </c>
      <c r="G253" s="473" t="s">
        <v>515</v>
      </c>
      <c r="I253">
        <f t="shared" si="4"/>
        <v>0</v>
      </c>
      <c r="K253">
        <f t="shared" si="5"/>
        <v>0</v>
      </c>
      <c r="M253">
        <f t="shared" si="6"/>
        <v>0</v>
      </c>
      <c r="N253">
        <f t="shared" si="7"/>
        <v>0</v>
      </c>
    </row>
    <row r="254" spans="3:14">
      <c r="C254" s="209">
        <v>3594</v>
      </c>
      <c r="D254" s="638">
        <v>10009388</v>
      </c>
      <c r="E254" s="904"/>
      <c r="F254" s="210" t="s">
        <v>247</v>
      </c>
      <c r="G254" s="473" t="s">
        <v>515</v>
      </c>
      <c r="I254">
        <f t="shared" si="4"/>
        <v>0</v>
      </c>
      <c r="K254">
        <f t="shared" si="5"/>
        <v>0</v>
      </c>
      <c r="M254">
        <f t="shared" si="6"/>
        <v>0</v>
      </c>
      <c r="N254">
        <f t="shared" si="7"/>
        <v>0</v>
      </c>
    </row>
    <row r="255" spans="3:14">
      <c r="C255" s="209"/>
      <c r="D255" s="414"/>
      <c r="E255" s="899"/>
      <c r="F255" s="210" t="s">
        <v>1481</v>
      </c>
      <c r="G255" s="473" t="s">
        <v>515</v>
      </c>
      <c r="I255">
        <f t="shared" si="4"/>
        <v>0</v>
      </c>
      <c r="K255">
        <f t="shared" si="5"/>
        <v>0</v>
      </c>
      <c r="M255">
        <f t="shared" si="6"/>
        <v>0</v>
      </c>
      <c r="N255">
        <f t="shared" si="7"/>
        <v>0</v>
      </c>
    </row>
    <row r="256" spans="3:14">
      <c r="C256" s="209">
        <v>3595</v>
      </c>
      <c r="D256" s="638">
        <v>10009394</v>
      </c>
      <c r="E256" s="904"/>
      <c r="F256" s="210" t="s">
        <v>248</v>
      </c>
      <c r="G256" s="473" t="s">
        <v>515</v>
      </c>
      <c r="I256">
        <f t="shared" si="4"/>
        <v>0</v>
      </c>
      <c r="K256">
        <f t="shared" si="5"/>
        <v>0</v>
      </c>
      <c r="M256">
        <f t="shared" si="6"/>
        <v>0</v>
      </c>
      <c r="N256">
        <f t="shared" si="7"/>
        <v>0</v>
      </c>
    </row>
    <row r="257" spans="3:14">
      <c r="C257" s="209">
        <v>3596</v>
      </c>
      <c r="D257" s="638">
        <v>10009399</v>
      </c>
      <c r="E257" s="904"/>
      <c r="F257" s="210" t="s">
        <v>411</v>
      </c>
      <c r="G257" s="473" t="s">
        <v>515</v>
      </c>
      <c r="I257">
        <f t="shared" si="4"/>
        <v>0</v>
      </c>
      <c r="K257">
        <f t="shared" si="5"/>
        <v>0</v>
      </c>
      <c r="M257">
        <f t="shared" si="6"/>
        <v>0</v>
      </c>
      <c r="N257">
        <f t="shared" si="7"/>
        <v>0</v>
      </c>
    </row>
    <row r="258" spans="3:14">
      <c r="C258" s="209">
        <v>3577</v>
      </c>
      <c r="D258" s="414"/>
      <c r="E258" s="899"/>
      <c r="F258" s="210" t="s">
        <v>195</v>
      </c>
      <c r="G258" s="473" t="s">
        <v>515</v>
      </c>
      <c r="I258">
        <f t="shared" si="4"/>
        <v>0</v>
      </c>
      <c r="K258">
        <f t="shared" si="5"/>
        <v>0</v>
      </c>
      <c r="M258">
        <f t="shared" si="6"/>
        <v>0</v>
      </c>
      <c r="N258">
        <f t="shared" si="7"/>
        <v>0</v>
      </c>
    </row>
    <row r="259" spans="3:14">
      <c r="C259" s="209">
        <v>4254</v>
      </c>
      <c r="D259" s="414"/>
      <c r="E259" s="899"/>
      <c r="F259" s="210" t="s">
        <v>194</v>
      </c>
      <c r="G259" s="473" t="s">
        <v>515</v>
      </c>
      <c r="I259">
        <f t="shared" si="4"/>
        <v>0</v>
      </c>
      <c r="K259">
        <f t="shared" si="5"/>
        <v>0</v>
      </c>
      <c r="M259">
        <f t="shared" si="6"/>
        <v>0</v>
      </c>
      <c r="N259">
        <f t="shared" si="7"/>
        <v>0</v>
      </c>
    </row>
    <row r="260" spans="3:14">
      <c r="C260" s="209">
        <v>4137</v>
      </c>
      <c r="D260" s="414"/>
      <c r="E260" s="899"/>
      <c r="F260" s="210" t="s">
        <v>196</v>
      </c>
      <c r="G260" s="473" t="s">
        <v>515</v>
      </c>
      <c r="I260">
        <f t="shared" si="4"/>
        <v>0</v>
      </c>
      <c r="K260">
        <f t="shared" si="5"/>
        <v>0</v>
      </c>
      <c r="M260">
        <f t="shared" si="6"/>
        <v>0</v>
      </c>
      <c r="N260">
        <f t="shared" si="7"/>
        <v>0</v>
      </c>
    </row>
    <row r="261" spans="3:14">
      <c r="C261" s="209"/>
      <c r="D261" s="414"/>
      <c r="E261" s="899"/>
      <c r="F261" s="210" t="s">
        <v>319</v>
      </c>
      <c r="G261" s="473" t="s">
        <v>515</v>
      </c>
      <c r="I261">
        <f t="shared" si="4"/>
        <v>0</v>
      </c>
      <c r="K261">
        <f t="shared" si="5"/>
        <v>0</v>
      </c>
      <c r="M261">
        <f t="shared" si="6"/>
        <v>0</v>
      </c>
      <c r="N261">
        <f t="shared" si="7"/>
        <v>0</v>
      </c>
    </row>
    <row r="262" spans="3:14">
      <c r="C262" s="209"/>
      <c r="D262" s="414"/>
      <c r="E262" s="899"/>
      <c r="F262" s="210" t="s">
        <v>43</v>
      </c>
      <c r="G262" s="473" t="s">
        <v>515</v>
      </c>
      <c r="I262">
        <f t="shared" si="4"/>
        <v>0</v>
      </c>
      <c r="K262">
        <f t="shared" si="5"/>
        <v>0</v>
      </c>
      <c r="M262">
        <f t="shared" si="6"/>
        <v>0</v>
      </c>
      <c r="N262">
        <f t="shared" si="7"/>
        <v>0</v>
      </c>
    </row>
    <row r="263" spans="3:14">
      <c r="C263" s="209">
        <v>4087</v>
      </c>
      <c r="D263" s="414"/>
      <c r="E263" s="899"/>
      <c r="F263" s="210" t="s">
        <v>512</v>
      </c>
      <c r="G263" s="473" t="s">
        <v>515</v>
      </c>
      <c r="I263">
        <f t="shared" si="4"/>
        <v>0</v>
      </c>
      <c r="K263">
        <f t="shared" si="5"/>
        <v>0</v>
      </c>
      <c r="M263">
        <f t="shared" si="6"/>
        <v>0</v>
      </c>
      <c r="N263">
        <f t="shared" si="7"/>
        <v>0</v>
      </c>
    </row>
    <row r="264" spans="3:14">
      <c r="C264" s="209"/>
      <c r="D264" s="414"/>
      <c r="E264" s="899"/>
      <c r="F264" s="210" t="s">
        <v>1473</v>
      </c>
      <c r="G264" s="473" t="s">
        <v>0</v>
      </c>
      <c r="I264">
        <f t="shared" si="4"/>
        <v>0</v>
      </c>
      <c r="K264">
        <f t="shared" si="5"/>
        <v>0</v>
      </c>
      <c r="M264">
        <f t="shared" si="6"/>
        <v>0</v>
      </c>
      <c r="N264">
        <f t="shared" si="7"/>
        <v>0</v>
      </c>
    </row>
    <row r="265" spans="3:14">
      <c r="C265" s="209">
        <v>4015</v>
      </c>
      <c r="D265" s="414">
        <v>10001319</v>
      </c>
      <c r="E265" s="899"/>
      <c r="F265" s="210" t="s">
        <v>51</v>
      </c>
      <c r="G265" s="473" t="s">
        <v>516</v>
      </c>
      <c r="I265">
        <f t="shared" si="4"/>
        <v>0</v>
      </c>
      <c r="K265">
        <f t="shared" si="5"/>
        <v>0</v>
      </c>
      <c r="M265">
        <f t="shared" si="6"/>
        <v>0</v>
      </c>
      <c r="N265">
        <f t="shared" si="7"/>
        <v>0</v>
      </c>
    </row>
    <row r="266" spans="3:14">
      <c r="C266" s="209">
        <v>3942</v>
      </c>
      <c r="D266" s="414"/>
      <c r="E266" s="899"/>
      <c r="F266" s="210" t="s">
        <v>507</v>
      </c>
      <c r="G266" s="473" t="s">
        <v>386</v>
      </c>
      <c r="I266">
        <f t="shared" si="4"/>
        <v>0</v>
      </c>
      <c r="K266">
        <f t="shared" si="5"/>
        <v>0</v>
      </c>
      <c r="M266">
        <f t="shared" si="6"/>
        <v>0</v>
      </c>
      <c r="N266">
        <f t="shared" si="7"/>
        <v>0</v>
      </c>
    </row>
    <row r="267" spans="3:14">
      <c r="C267" s="901"/>
      <c r="D267" s="416"/>
      <c r="E267" s="899"/>
      <c r="F267" s="213" t="s">
        <v>1510</v>
      </c>
      <c r="G267" s="902" t="s">
        <v>386</v>
      </c>
      <c r="H267">
        <v>15</v>
      </c>
      <c r="I267">
        <f t="shared" si="4"/>
        <v>0</v>
      </c>
      <c r="J267">
        <v>22.5</v>
      </c>
      <c r="K267">
        <f t="shared" si="5"/>
        <v>0</v>
      </c>
      <c r="L267">
        <v>32.5</v>
      </c>
      <c r="M267">
        <f t="shared" si="6"/>
        <v>0</v>
      </c>
      <c r="N267" s="167">
        <f t="shared" si="7"/>
        <v>0</v>
      </c>
    </row>
    <row r="268" spans="3:14">
      <c r="C268" s="209">
        <v>3600</v>
      </c>
      <c r="D268" s="414"/>
      <c r="E268" s="899"/>
      <c r="F268" s="210" t="s">
        <v>13</v>
      </c>
      <c r="G268" s="473" t="s">
        <v>515</v>
      </c>
      <c r="I268">
        <f t="shared" si="4"/>
        <v>0</v>
      </c>
      <c r="K268">
        <f t="shared" si="5"/>
        <v>0</v>
      </c>
      <c r="M268">
        <f t="shared" si="6"/>
        <v>0</v>
      </c>
      <c r="N268">
        <f t="shared" si="7"/>
        <v>0</v>
      </c>
    </row>
    <row r="269" spans="3:14">
      <c r="C269" s="209">
        <v>3601</v>
      </c>
      <c r="D269" s="414">
        <v>10009658</v>
      </c>
      <c r="E269" s="899"/>
      <c r="F269" s="210" t="s">
        <v>174</v>
      </c>
      <c r="G269" s="473" t="s">
        <v>515</v>
      </c>
      <c r="I269">
        <f t="shared" si="4"/>
        <v>0</v>
      </c>
      <c r="K269">
        <f t="shared" si="5"/>
        <v>0</v>
      </c>
      <c r="M269">
        <f t="shared" si="6"/>
        <v>0</v>
      </c>
      <c r="N269">
        <f t="shared" si="7"/>
        <v>0</v>
      </c>
    </row>
    <row r="270" spans="3:14">
      <c r="C270" s="209">
        <v>3603</v>
      </c>
      <c r="D270" s="414">
        <v>10001325</v>
      </c>
      <c r="E270" s="899"/>
      <c r="F270" s="210" t="s">
        <v>15</v>
      </c>
      <c r="G270" s="473" t="s">
        <v>515</v>
      </c>
      <c r="I270">
        <f t="shared" si="4"/>
        <v>0</v>
      </c>
      <c r="K270">
        <f t="shared" si="5"/>
        <v>0</v>
      </c>
      <c r="M270">
        <f t="shared" si="6"/>
        <v>0</v>
      </c>
      <c r="N270">
        <f t="shared" si="7"/>
        <v>0</v>
      </c>
    </row>
    <row r="271" spans="3:14">
      <c r="C271" s="209">
        <v>3980</v>
      </c>
      <c r="D271" s="414">
        <v>10001325</v>
      </c>
      <c r="E271" s="899"/>
      <c r="F271" s="210" t="s">
        <v>408</v>
      </c>
      <c r="G271" s="473" t="s">
        <v>515</v>
      </c>
      <c r="I271">
        <f t="shared" si="4"/>
        <v>0</v>
      </c>
      <c r="K271">
        <f t="shared" si="5"/>
        <v>0</v>
      </c>
      <c r="M271">
        <f t="shared" si="6"/>
        <v>0</v>
      </c>
      <c r="N271">
        <f t="shared" si="7"/>
        <v>0</v>
      </c>
    </row>
    <row r="272" spans="3:14">
      <c r="C272" s="209">
        <v>3981</v>
      </c>
      <c r="D272" s="414"/>
      <c r="E272" s="899"/>
      <c r="F272" s="210" t="s">
        <v>165</v>
      </c>
      <c r="G272" s="473" t="s">
        <v>515</v>
      </c>
      <c r="H272">
        <v>12</v>
      </c>
      <c r="I272">
        <f t="shared" si="4"/>
        <v>0</v>
      </c>
      <c r="J272">
        <v>12</v>
      </c>
      <c r="K272">
        <f t="shared" si="5"/>
        <v>0</v>
      </c>
      <c r="L272">
        <v>12</v>
      </c>
      <c r="M272">
        <f t="shared" si="6"/>
        <v>0</v>
      </c>
      <c r="N272" s="167">
        <f t="shared" si="7"/>
        <v>0</v>
      </c>
    </row>
    <row r="273" spans="3:14">
      <c r="C273" s="209">
        <v>3605</v>
      </c>
      <c r="D273" s="414"/>
      <c r="E273" s="899"/>
      <c r="F273" s="210" t="s">
        <v>166</v>
      </c>
      <c r="G273" s="473" t="s">
        <v>515</v>
      </c>
      <c r="I273">
        <f t="shared" si="4"/>
        <v>0</v>
      </c>
      <c r="K273">
        <f t="shared" si="5"/>
        <v>0</v>
      </c>
      <c r="M273">
        <f t="shared" si="6"/>
        <v>0</v>
      </c>
      <c r="N273">
        <f t="shared" si="7"/>
        <v>0</v>
      </c>
    </row>
    <row r="274" spans="3:14">
      <c r="C274" s="209">
        <v>3982</v>
      </c>
      <c r="D274" s="414">
        <v>10007095</v>
      </c>
      <c r="E274" s="899"/>
      <c r="F274" s="210" t="s">
        <v>460</v>
      </c>
      <c r="G274" s="473" t="s">
        <v>515</v>
      </c>
      <c r="I274">
        <f t="shared" si="4"/>
        <v>0</v>
      </c>
      <c r="K274">
        <f t="shared" si="5"/>
        <v>0</v>
      </c>
      <c r="M274">
        <f t="shared" si="6"/>
        <v>0</v>
      </c>
      <c r="N274">
        <f t="shared" si="7"/>
        <v>0</v>
      </c>
    </row>
    <row r="275" spans="3:14">
      <c r="C275" s="209">
        <v>3606</v>
      </c>
      <c r="D275" s="414"/>
      <c r="E275" s="899"/>
      <c r="F275" s="210" t="s">
        <v>210</v>
      </c>
      <c r="G275" s="473" t="s">
        <v>515</v>
      </c>
      <c r="H275">
        <v>3</v>
      </c>
      <c r="I275">
        <f t="shared" si="4"/>
        <v>0</v>
      </c>
      <c r="K275">
        <f t="shared" si="5"/>
        <v>0</v>
      </c>
      <c r="M275">
        <f t="shared" si="6"/>
        <v>0</v>
      </c>
      <c r="N275">
        <f t="shared" si="7"/>
        <v>0</v>
      </c>
    </row>
    <row r="276" spans="3:14">
      <c r="C276" s="209">
        <v>3607</v>
      </c>
      <c r="D276" s="414">
        <v>10001484</v>
      </c>
      <c r="E276" s="899"/>
      <c r="F276" s="210" t="s">
        <v>67</v>
      </c>
      <c r="G276" s="473" t="s">
        <v>515</v>
      </c>
      <c r="I276">
        <f t="shared" ref="I276:I340" si="8">H276*$B$6</f>
        <v>0</v>
      </c>
      <c r="J276">
        <v>3</v>
      </c>
      <c r="K276">
        <f t="shared" ref="K276:K340" si="9">J276*$C$6</f>
        <v>0</v>
      </c>
      <c r="L276">
        <v>3</v>
      </c>
      <c r="M276">
        <f t="shared" ref="M276:M340" si="10">L276*$D$6</f>
        <v>0</v>
      </c>
      <c r="N276" s="167">
        <f t="shared" ref="N276:N340" si="11">SUM(I276,K276,M276)</f>
        <v>0</v>
      </c>
    </row>
    <row r="277" spans="3:14">
      <c r="C277" s="209">
        <v>3609</v>
      </c>
      <c r="D277" s="414"/>
      <c r="E277" s="899"/>
      <c r="F277" s="210" t="s">
        <v>1289</v>
      </c>
      <c r="G277" s="473" t="s">
        <v>515</v>
      </c>
      <c r="H277">
        <v>12</v>
      </c>
      <c r="I277">
        <f t="shared" si="8"/>
        <v>0</v>
      </c>
      <c r="K277">
        <f t="shared" si="9"/>
        <v>0</v>
      </c>
      <c r="M277">
        <f t="shared" si="10"/>
        <v>0</v>
      </c>
      <c r="N277">
        <f t="shared" si="11"/>
        <v>0</v>
      </c>
    </row>
    <row r="278" spans="3:14">
      <c r="C278" s="209">
        <v>3610</v>
      </c>
      <c r="D278" s="414">
        <v>10001453</v>
      </c>
      <c r="E278" s="899"/>
      <c r="F278" s="210" t="s">
        <v>1290</v>
      </c>
      <c r="G278" s="473" t="s">
        <v>515</v>
      </c>
      <c r="I278">
        <f t="shared" si="8"/>
        <v>0</v>
      </c>
      <c r="J278">
        <v>12</v>
      </c>
      <c r="K278">
        <f t="shared" si="9"/>
        <v>0</v>
      </c>
      <c r="L278">
        <v>10</v>
      </c>
      <c r="M278">
        <f t="shared" si="10"/>
        <v>0</v>
      </c>
      <c r="N278" s="167">
        <f t="shared" si="11"/>
        <v>0</v>
      </c>
    </row>
    <row r="279" spans="3:14">
      <c r="C279" s="209">
        <v>4182</v>
      </c>
      <c r="D279" s="414">
        <v>10001441</v>
      </c>
      <c r="E279" s="899"/>
      <c r="F279" s="210" t="s">
        <v>16</v>
      </c>
      <c r="G279" s="473" t="s">
        <v>515</v>
      </c>
      <c r="I279">
        <f t="shared" si="8"/>
        <v>0</v>
      </c>
      <c r="K279">
        <f t="shared" si="9"/>
        <v>0</v>
      </c>
      <c r="M279">
        <f t="shared" si="10"/>
        <v>0</v>
      </c>
      <c r="N279">
        <f t="shared" si="11"/>
        <v>0</v>
      </c>
    </row>
    <row r="280" spans="3:14">
      <c r="C280" s="209">
        <v>3613</v>
      </c>
      <c r="D280" s="414">
        <v>10009780</v>
      </c>
      <c r="E280" s="899"/>
      <c r="F280" s="210" t="s">
        <v>17</v>
      </c>
      <c r="G280" s="473" t="s">
        <v>515</v>
      </c>
      <c r="I280">
        <f t="shared" si="8"/>
        <v>0</v>
      </c>
      <c r="K280">
        <f t="shared" si="9"/>
        <v>0</v>
      </c>
      <c r="M280">
        <f t="shared" si="10"/>
        <v>0</v>
      </c>
      <c r="N280">
        <f t="shared" si="11"/>
        <v>0</v>
      </c>
    </row>
    <row r="281" spans="3:14">
      <c r="C281" s="209">
        <v>3615</v>
      </c>
      <c r="D281" s="414">
        <v>10001529</v>
      </c>
      <c r="E281" s="899"/>
      <c r="F281" s="210" t="s">
        <v>199</v>
      </c>
      <c r="G281" s="473" t="s">
        <v>515</v>
      </c>
      <c r="I281">
        <f t="shared" si="8"/>
        <v>0</v>
      </c>
      <c r="K281">
        <f t="shared" si="9"/>
        <v>0</v>
      </c>
      <c r="M281">
        <f t="shared" si="10"/>
        <v>0</v>
      </c>
      <c r="N281">
        <f t="shared" si="11"/>
        <v>0</v>
      </c>
    </row>
    <row r="282" spans="3:14">
      <c r="C282" s="209">
        <v>3614</v>
      </c>
      <c r="D282" s="414"/>
      <c r="E282" s="899"/>
      <c r="F282" s="210" t="s">
        <v>197</v>
      </c>
      <c r="G282" s="473" t="s">
        <v>515</v>
      </c>
      <c r="I282">
        <f t="shared" si="8"/>
        <v>0</v>
      </c>
      <c r="K282">
        <f t="shared" si="9"/>
        <v>0</v>
      </c>
      <c r="M282">
        <f t="shared" si="10"/>
        <v>0</v>
      </c>
      <c r="N282">
        <f t="shared" si="11"/>
        <v>0</v>
      </c>
    </row>
    <row r="283" spans="3:14">
      <c r="C283" s="209">
        <v>3617</v>
      </c>
      <c r="D283" s="414"/>
      <c r="E283" s="899"/>
      <c r="F283" s="210" t="s">
        <v>198</v>
      </c>
      <c r="G283" s="473" t="s">
        <v>515</v>
      </c>
      <c r="H283">
        <v>9</v>
      </c>
      <c r="I283">
        <f t="shared" si="8"/>
        <v>0</v>
      </c>
      <c r="J283">
        <v>9</v>
      </c>
      <c r="K283">
        <f t="shared" si="9"/>
        <v>0</v>
      </c>
      <c r="L283">
        <v>6</v>
      </c>
      <c r="M283">
        <f t="shared" si="10"/>
        <v>0</v>
      </c>
      <c r="N283" s="167">
        <f t="shared" si="11"/>
        <v>0</v>
      </c>
    </row>
    <row r="284" spans="3:14">
      <c r="C284" s="209"/>
      <c r="D284" s="414"/>
      <c r="E284" s="899"/>
      <c r="F284" s="210" t="s">
        <v>318</v>
      </c>
      <c r="G284" s="473" t="s">
        <v>515</v>
      </c>
      <c r="H284">
        <v>3</v>
      </c>
      <c r="I284">
        <f t="shared" si="8"/>
        <v>0</v>
      </c>
      <c r="K284">
        <f t="shared" si="9"/>
        <v>0</v>
      </c>
      <c r="L284">
        <v>4</v>
      </c>
      <c r="M284">
        <f t="shared" si="10"/>
        <v>0</v>
      </c>
      <c r="N284">
        <f t="shared" si="11"/>
        <v>0</v>
      </c>
    </row>
    <row r="285" spans="3:14">
      <c r="C285" s="209"/>
      <c r="D285" s="414"/>
      <c r="E285" s="899"/>
      <c r="F285" s="210" t="s">
        <v>53</v>
      </c>
      <c r="G285" s="473" t="s">
        <v>515</v>
      </c>
      <c r="I285">
        <f t="shared" si="8"/>
        <v>0</v>
      </c>
      <c r="K285">
        <f t="shared" si="9"/>
        <v>0</v>
      </c>
      <c r="M285">
        <f t="shared" si="10"/>
        <v>0</v>
      </c>
      <c r="N285">
        <f t="shared" si="11"/>
        <v>0</v>
      </c>
    </row>
    <row r="286" spans="3:14">
      <c r="C286" s="209">
        <v>3619</v>
      </c>
      <c r="D286" s="414">
        <v>10001602</v>
      </c>
      <c r="E286" s="899"/>
      <c r="F286" s="210" t="s">
        <v>202</v>
      </c>
      <c r="G286" s="473" t="s">
        <v>515</v>
      </c>
      <c r="I286">
        <f t="shared" si="8"/>
        <v>0</v>
      </c>
      <c r="K286">
        <f t="shared" si="9"/>
        <v>0</v>
      </c>
      <c r="M286">
        <f t="shared" si="10"/>
        <v>0</v>
      </c>
      <c r="N286">
        <f t="shared" si="11"/>
        <v>0</v>
      </c>
    </row>
    <row r="287" spans="3:14">
      <c r="C287" s="209">
        <v>3618</v>
      </c>
      <c r="D287" s="414"/>
      <c r="E287" s="899"/>
      <c r="F287" s="210" t="s">
        <v>200</v>
      </c>
      <c r="G287" s="473" t="s">
        <v>515</v>
      </c>
      <c r="I287">
        <f t="shared" si="8"/>
        <v>0</v>
      </c>
      <c r="K287">
        <f t="shared" si="9"/>
        <v>0</v>
      </c>
      <c r="M287">
        <f t="shared" si="10"/>
        <v>0</v>
      </c>
      <c r="N287">
        <f t="shared" si="11"/>
        <v>0</v>
      </c>
    </row>
    <row r="288" spans="3:14">
      <c r="C288" s="209">
        <v>3621</v>
      </c>
      <c r="D288" s="414"/>
      <c r="E288" s="899"/>
      <c r="F288" s="210" t="s">
        <v>201</v>
      </c>
      <c r="G288" s="473" t="s">
        <v>515</v>
      </c>
      <c r="I288">
        <f t="shared" si="8"/>
        <v>0</v>
      </c>
      <c r="K288">
        <f t="shared" si="9"/>
        <v>0</v>
      </c>
      <c r="M288">
        <f t="shared" si="10"/>
        <v>0</v>
      </c>
      <c r="N288">
        <f t="shared" si="11"/>
        <v>0</v>
      </c>
    </row>
    <row r="289" spans="3:14">
      <c r="C289" s="209"/>
      <c r="D289" s="414"/>
      <c r="E289" s="899"/>
      <c r="F289" s="210" t="s">
        <v>317</v>
      </c>
      <c r="G289" s="473" t="s">
        <v>515</v>
      </c>
      <c r="I289">
        <f t="shared" si="8"/>
        <v>0</v>
      </c>
      <c r="K289">
        <f t="shared" si="9"/>
        <v>0</v>
      </c>
      <c r="M289">
        <f t="shared" si="10"/>
        <v>0</v>
      </c>
      <c r="N289">
        <f t="shared" si="11"/>
        <v>0</v>
      </c>
    </row>
    <row r="290" spans="3:14">
      <c r="C290" s="209">
        <v>4041</v>
      </c>
      <c r="D290" s="414"/>
      <c r="E290" s="899"/>
      <c r="F290" s="210" t="s">
        <v>54</v>
      </c>
      <c r="G290" s="473" t="s">
        <v>515</v>
      </c>
      <c r="I290">
        <f t="shared" si="8"/>
        <v>0</v>
      </c>
      <c r="K290">
        <f t="shared" si="9"/>
        <v>0</v>
      </c>
      <c r="M290">
        <f t="shared" si="10"/>
        <v>0</v>
      </c>
      <c r="N290">
        <f t="shared" si="11"/>
        <v>0</v>
      </c>
    </row>
    <row r="291" spans="3:14">
      <c r="C291" s="209">
        <v>3622</v>
      </c>
      <c r="D291" s="414"/>
      <c r="E291" s="899"/>
      <c r="F291" s="210" t="s">
        <v>480</v>
      </c>
      <c r="G291" s="473" t="s">
        <v>515</v>
      </c>
      <c r="I291">
        <f t="shared" si="8"/>
        <v>0</v>
      </c>
      <c r="K291">
        <f t="shared" si="9"/>
        <v>0</v>
      </c>
      <c r="M291">
        <f t="shared" si="10"/>
        <v>0</v>
      </c>
      <c r="N291">
        <f t="shared" si="11"/>
        <v>0</v>
      </c>
    </row>
    <row r="292" spans="3:14">
      <c r="C292" s="209">
        <v>3625</v>
      </c>
      <c r="D292" s="414"/>
      <c r="E292" s="899"/>
      <c r="F292" s="210" t="s">
        <v>508</v>
      </c>
      <c r="G292" s="473" t="s">
        <v>515</v>
      </c>
      <c r="I292">
        <f t="shared" si="8"/>
        <v>0</v>
      </c>
      <c r="K292">
        <f t="shared" si="9"/>
        <v>0</v>
      </c>
      <c r="M292">
        <f t="shared" si="10"/>
        <v>0</v>
      </c>
      <c r="N292">
        <f t="shared" si="11"/>
        <v>0</v>
      </c>
    </row>
    <row r="293" spans="3:14">
      <c r="C293" s="209">
        <v>3625</v>
      </c>
      <c r="D293" s="414"/>
      <c r="E293" s="899"/>
      <c r="F293" s="210" t="s">
        <v>150</v>
      </c>
      <c r="G293" s="473" t="s">
        <v>515</v>
      </c>
      <c r="H293">
        <v>12</v>
      </c>
      <c r="I293">
        <f t="shared" si="8"/>
        <v>0</v>
      </c>
      <c r="J293">
        <v>12</v>
      </c>
      <c r="K293">
        <f t="shared" si="9"/>
        <v>0</v>
      </c>
      <c r="L293">
        <v>4</v>
      </c>
      <c r="M293">
        <f t="shared" si="10"/>
        <v>0</v>
      </c>
      <c r="N293" s="167">
        <f t="shared" si="11"/>
        <v>0</v>
      </c>
    </row>
    <row r="294" spans="3:14">
      <c r="C294" s="209">
        <v>3623</v>
      </c>
      <c r="D294" s="414">
        <v>10001644</v>
      </c>
      <c r="E294" s="899"/>
      <c r="F294" s="210" t="s">
        <v>19</v>
      </c>
      <c r="G294" s="473" t="s">
        <v>515</v>
      </c>
      <c r="H294">
        <v>3</v>
      </c>
      <c r="I294">
        <f t="shared" si="8"/>
        <v>0</v>
      </c>
      <c r="J294">
        <v>3</v>
      </c>
      <c r="K294">
        <f t="shared" si="9"/>
        <v>0</v>
      </c>
      <c r="L294">
        <v>3</v>
      </c>
      <c r="M294">
        <f t="shared" si="10"/>
        <v>0</v>
      </c>
      <c r="N294" s="167">
        <f t="shared" si="11"/>
        <v>0</v>
      </c>
    </row>
    <row r="295" spans="3:14">
      <c r="C295" s="209">
        <v>4068</v>
      </c>
      <c r="D295" s="414"/>
      <c r="E295" s="899"/>
      <c r="F295" s="210" t="s">
        <v>1204</v>
      </c>
      <c r="G295" s="473" t="s">
        <v>515</v>
      </c>
      <c r="I295">
        <f t="shared" si="8"/>
        <v>0</v>
      </c>
      <c r="K295">
        <f t="shared" si="9"/>
        <v>0</v>
      </c>
      <c r="M295">
        <f t="shared" si="10"/>
        <v>0</v>
      </c>
      <c r="N295">
        <f t="shared" si="11"/>
        <v>0</v>
      </c>
    </row>
    <row r="296" spans="3:14">
      <c r="C296" s="209">
        <v>4069</v>
      </c>
      <c r="D296" s="414"/>
      <c r="E296" s="899"/>
      <c r="F296" s="210" t="s">
        <v>1205</v>
      </c>
      <c r="G296" s="473" t="s">
        <v>515</v>
      </c>
      <c r="I296">
        <f t="shared" si="8"/>
        <v>0</v>
      </c>
      <c r="K296">
        <f t="shared" si="9"/>
        <v>0</v>
      </c>
      <c r="M296">
        <f t="shared" si="10"/>
        <v>0</v>
      </c>
      <c r="N296">
        <f t="shared" si="11"/>
        <v>0</v>
      </c>
    </row>
    <row r="297" spans="3:14">
      <c r="C297" s="209"/>
      <c r="D297" s="414"/>
      <c r="E297" s="899"/>
      <c r="F297" s="210" t="s">
        <v>1206</v>
      </c>
      <c r="G297" s="473" t="s">
        <v>515</v>
      </c>
      <c r="I297">
        <f t="shared" si="8"/>
        <v>0</v>
      </c>
      <c r="K297">
        <f t="shared" si="9"/>
        <v>0</v>
      </c>
      <c r="M297">
        <f t="shared" si="10"/>
        <v>0</v>
      </c>
      <c r="N297">
        <f t="shared" si="11"/>
        <v>0</v>
      </c>
    </row>
    <row r="298" spans="3:14">
      <c r="C298" s="209"/>
      <c r="D298" s="414"/>
      <c r="E298" s="899"/>
      <c r="F298" s="210" t="s">
        <v>1207</v>
      </c>
      <c r="G298" s="473" t="s">
        <v>515</v>
      </c>
      <c r="I298">
        <f t="shared" si="8"/>
        <v>0</v>
      </c>
      <c r="K298">
        <f t="shared" si="9"/>
        <v>0</v>
      </c>
      <c r="M298">
        <f t="shared" si="10"/>
        <v>0</v>
      </c>
      <c r="N298">
        <f t="shared" si="11"/>
        <v>0</v>
      </c>
    </row>
    <row r="299" spans="3:14">
      <c r="C299" s="209"/>
      <c r="D299" s="414"/>
      <c r="E299" s="899"/>
      <c r="F299" s="210" t="s">
        <v>1209</v>
      </c>
      <c r="G299" s="473" t="s">
        <v>515</v>
      </c>
      <c r="I299">
        <f t="shared" si="8"/>
        <v>0</v>
      </c>
      <c r="K299">
        <f t="shared" si="9"/>
        <v>0</v>
      </c>
      <c r="M299">
        <f t="shared" si="10"/>
        <v>0</v>
      </c>
      <c r="N299">
        <f t="shared" si="11"/>
        <v>0</v>
      </c>
    </row>
    <row r="300" spans="3:14">
      <c r="C300" s="209"/>
      <c r="D300" s="414"/>
      <c r="E300" s="899"/>
      <c r="F300" s="210" t="s">
        <v>1208</v>
      </c>
      <c r="G300" s="473" t="s">
        <v>515</v>
      </c>
      <c r="I300">
        <f t="shared" si="8"/>
        <v>0</v>
      </c>
      <c r="K300">
        <f t="shared" si="9"/>
        <v>0</v>
      </c>
      <c r="M300">
        <f t="shared" si="10"/>
        <v>0</v>
      </c>
      <c r="N300">
        <f t="shared" si="11"/>
        <v>0</v>
      </c>
    </row>
    <row r="301" spans="3:14">
      <c r="C301" s="209">
        <v>3626</v>
      </c>
      <c r="D301" s="414">
        <v>10001775</v>
      </c>
      <c r="E301" s="899"/>
      <c r="F301" s="210" t="s">
        <v>20</v>
      </c>
      <c r="G301" s="473" t="s">
        <v>515</v>
      </c>
      <c r="I301">
        <f t="shared" si="8"/>
        <v>0</v>
      </c>
      <c r="K301">
        <f t="shared" si="9"/>
        <v>0</v>
      </c>
      <c r="L301">
        <v>2</v>
      </c>
      <c r="M301">
        <f t="shared" si="10"/>
        <v>0</v>
      </c>
      <c r="N301">
        <f t="shared" si="11"/>
        <v>0</v>
      </c>
    </row>
    <row r="302" spans="3:14" ht="15.75">
      <c r="C302" s="209">
        <v>3627</v>
      </c>
      <c r="D302" s="414"/>
      <c r="E302" s="899"/>
      <c r="F302" s="118" t="s">
        <v>1497</v>
      </c>
      <c r="G302" s="4" t="s">
        <v>0</v>
      </c>
      <c r="I302">
        <f t="shared" si="8"/>
        <v>0</v>
      </c>
      <c r="K302">
        <f t="shared" si="9"/>
        <v>0</v>
      </c>
      <c r="M302">
        <f t="shared" si="10"/>
        <v>0</v>
      </c>
      <c r="N302">
        <f t="shared" si="11"/>
        <v>0</v>
      </c>
    </row>
    <row r="303" spans="3:14" ht="15.75">
      <c r="C303" s="209">
        <v>3628</v>
      </c>
      <c r="D303" s="414"/>
      <c r="E303" s="899"/>
      <c r="F303" s="118" t="s">
        <v>1498</v>
      </c>
      <c r="G303" s="4" t="s">
        <v>0</v>
      </c>
      <c r="I303">
        <f t="shared" si="8"/>
        <v>0</v>
      </c>
      <c r="K303">
        <f t="shared" si="9"/>
        <v>0</v>
      </c>
      <c r="M303">
        <f t="shared" si="10"/>
        <v>0</v>
      </c>
      <c r="N303">
        <f t="shared" si="11"/>
        <v>0</v>
      </c>
    </row>
    <row r="304" spans="3:14" ht="15.75">
      <c r="C304" s="209">
        <v>3629</v>
      </c>
      <c r="D304" s="414"/>
      <c r="E304" s="899"/>
      <c r="F304" s="118" t="s">
        <v>1499</v>
      </c>
      <c r="G304" s="4" t="s">
        <v>0</v>
      </c>
      <c r="I304">
        <f t="shared" si="8"/>
        <v>0</v>
      </c>
      <c r="K304">
        <f t="shared" si="9"/>
        <v>0</v>
      </c>
      <c r="M304">
        <f t="shared" si="10"/>
        <v>0</v>
      </c>
      <c r="N304">
        <f t="shared" si="11"/>
        <v>0</v>
      </c>
    </row>
    <row r="305" spans="3:14" ht="15.75">
      <c r="C305" s="209">
        <v>3630</v>
      </c>
      <c r="D305" s="414"/>
      <c r="E305" s="899"/>
      <c r="F305" s="118" t="s">
        <v>1501</v>
      </c>
      <c r="G305" s="4" t="s">
        <v>0</v>
      </c>
      <c r="I305">
        <f t="shared" si="8"/>
        <v>0</v>
      </c>
      <c r="K305">
        <f t="shared" si="9"/>
        <v>0</v>
      </c>
      <c r="M305">
        <f t="shared" si="10"/>
        <v>0</v>
      </c>
      <c r="N305">
        <f t="shared" si="11"/>
        <v>0</v>
      </c>
    </row>
    <row r="306" spans="3:14" ht="15.75">
      <c r="C306" s="209"/>
      <c r="D306" s="414"/>
      <c r="E306" s="899"/>
      <c r="F306" s="118" t="s">
        <v>1494</v>
      </c>
      <c r="G306" s="4" t="s">
        <v>0</v>
      </c>
      <c r="I306">
        <f t="shared" si="8"/>
        <v>0</v>
      </c>
      <c r="K306">
        <f t="shared" si="9"/>
        <v>0</v>
      </c>
      <c r="M306">
        <f t="shared" si="10"/>
        <v>0</v>
      </c>
      <c r="N306">
        <f t="shared" si="11"/>
        <v>0</v>
      </c>
    </row>
    <row r="307" spans="3:14" ht="15.75">
      <c r="C307" s="209"/>
      <c r="D307" s="414"/>
      <c r="E307" s="899"/>
      <c r="F307" s="118" t="s">
        <v>1495</v>
      </c>
      <c r="G307" s="4" t="s">
        <v>0</v>
      </c>
      <c r="I307">
        <f t="shared" si="8"/>
        <v>0</v>
      </c>
      <c r="K307">
        <f t="shared" si="9"/>
        <v>0</v>
      </c>
      <c r="M307">
        <f t="shared" si="10"/>
        <v>0</v>
      </c>
      <c r="N307">
        <f t="shared" si="11"/>
        <v>0</v>
      </c>
    </row>
    <row r="308" spans="3:14" ht="15.75">
      <c r="C308" s="209"/>
      <c r="D308" s="414"/>
      <c r="E308" s="899"/>
      <c r="F308" s="118" t="s">
        <v>1496</v>
      </c>
      <c r="G308" s="4" t="s">
        <v>0</v>
      </c>
      <c r="I308">
        <f t="shared" si="8"/>
        <v>0</v>
      </c>
      <c r="K308">
        <f t="shared" si="9"/>
        <v>0</v>
      </c>
      <c r="M308">
        <f t="shared" si="10"/>
        <v>0</v>
      </c>
      <c r="N308">
        <f t="shared" si="11"/>
        <v>0</v>
      </c>
    </row>
    <row r="309" spans="3:14" ht="15.75">
      <c r="C309" s="209"/>
      <c r="D309" s="414"/>
      <c r="E309" s="899"/>
      <c r="F309" s="118" t="s">
        <v>1500</v>
      </c>
      <c r="G309" s="4" t="s">
        <v>0</v>
      </c>
      <c r="I309">
        <f t="shared" si="8"/>
        <v>0</v>
      </c>
      <c r="K309">
        <f t="shared" si="9"/>
        <v>0</v>
      </c>
      <c r="M309">
        <f t="shared" si="10"/>
        <v>0</v>
      </c>
      <c r="N309">
        <f t="shared" si="11"/>
        <v>0</v>
      </c>
    </row>
    <row r="310" spans="3:14" ht="15.75">
      <c r="C310" s="209"/>
      <c r="D310" s="414"/>
      <c r="E310" s="899"/>
      <c r="F310" s="118" t="s">
        <v>1539</v>
      </c>
      <c r="G310" s="4" t="s">
        <v>0</v>
      </c>
    </row>
    <row r="311" spans="3:14">
      <c r="C311" s="209"/>
      <c r="D311" s="414"/>
      <c r="E311" s="899"/>
      <c r="F311" s="214" t="s">
        <v>305</v>
      </c>
      <c r="G311" s="473" t="s">
        <v>515</v>
      </c>
      <c r="I311">
        <f t="shared" si="8"/>
        <v>0</v>
      </c>
      <c r="K311">
        <f t="shared" si="9"/>
        <v>0</v>
      </c>
      <c r="M311">
        <f t="shared" si="10"/>
        <v>0</v>
      </c>
      <c r="N311">
        <f t="shared" si="11"/>
        <v>0</v>
      </c>
    </row>
    <row r="312" spans="3:14">
      <c r="C312" s="209"/>
      <c r="D312" s="414"/>
      <c r="E312" s="899"/>
      <c r="F312" s="214" t="s">
        <v>306</v>
      </c>
      <c r="G312" s="473" t="s">
        <v>515</v>
      </c>
      <c r="I312">
        <f t="shared" si="8"/>
        <v>0</v>
      </c>
      <c r="K312">
        <f t="shared" si="9"/>
        <v>0</v>
      </c>
      <c r="M312">
        <f t="shared" si="10"/>
        <v>0</v>
      </c>
      <c r="N312">
        <f t="shared" si="11"/>
        <v>0</v>
      </c>
    </row>
    <row r="313" spans="3:14">
      <c r="C313" s="209"/>
      <c r="D313" s="414"/>
      <c r="E313" s="899"/>
      <c r="F313" s="214" t="s">
        <v>399</v>
      </c>
      <c r="G313" s="473" t="s">
        <v>515</v>
      </c>
      <c r="I313">
        <f t="shared" si="8"/>
        <v>0</v>
      </c>
      <c r="K313">
        <f t="shared" si="9"/>
        <v>0</v>
      </c>
      <c r="M313">
        <f t="shared" si="10"/>
        <v>0</v>
      </c>
      <c r="N313">
        <f t="shared" si="11"/>
        <v>0</v>
      </c>
    </row>
    <row r="314" spans="3:14">
      <c r="C314" s="209"/>
      <c r="D314" s="414"/>
      <c r="E314" s="899"/>
      <c r="F314" s="905" t="s">
        <v>1511</v>
      </c>
      <c r="G314" s="902"/>
      <c r="I314">
        <f t="shared" si="8"/>
        <v>0</v>
      </c>
      <c r="J314">
        <v>3</v>
      </c>
      <c r="K314">
        <f t="shared" si="9"/>
        <v>0</v>
      </c>
      <c r="M314">
        <f t="shared" si="10"/>
        <v>0</v>
      </c>
      <c r="N314" s="167">
        <f t="shared" si="11"/>
        <v>0</v>
      </c>
    </row>
    <row r="315" spans="3:14">
      <c r="C315" s="209"/>
      <c r="D315" s="414"/>
      <c r="E315" s="899"/>
      <c r="F315" s="905" t="s">
        <v>952</v>
      </c>
      <c r="G315" s="902"/>
      <c r="I315">
        <f t="shared" si="8"/>
        <v>0</v>
      </c>
      <c r="K315">
        <f t="shared" si="9"/>
        <v>0</v>
      </c>
      <c r="M315">
        <f t="shared" si="10"/>
        <v>0</v>
      </c>
      <c r="N315">
        <f t="shared" si="11"/>
        <v>0</v>
      </c>
    </row>
    <row r="316" spans="3:14">
      <c r="C316" s="209">
        <v>3632</v>
      </c>
      <c r="D316" s="414"/>
      <c r="E316" s="899"/>
      <c r="F316" s="210" t="s">
        <v>151</v>
      </c>
      <c r="G316" s="473" t="s">
        <v>515</v>
      </c>
      <c r="H316">
        <v>12</v>
      </c>
      <c r="I316">
        <f t="shared" si="8"/>
        <v>0</v>
      </c>
      <c r="J316">
        <v>12</v>
      </c>
      <c r="K316">
        <f t="shared" si="9"/>
        <v>0</v>
      </c>
      <c r="L316">
        <v>4</v>
      </c>
      <c r="M316">
        <f t="shared" si="10"/>
        <v>0</v>
      </c>
      <c r="N316" s="167">
        <f t="shared" si="11"/>
        <v>0</v>
      </c>
    </row>
    <row r="317" spans="3:14">
      <c r="C317" s="209">
        <v>3633</v>
      </c>
      <c r="D317" s="414"/>
      <c r="E317" s="899"/>
      <c r="F317" s="210" t="s">
        <v>219</v>
      </c>
      <c r="G317" s="473" t="s">
        <v>515</v>
      </c>
      <c r="I317">
        <f t="shared" si="8"/>
        <v>0</v>
      </c>
      <c r="K317">
        <f t="shared" si="9"/>
        <v>0</v>
      </c>
      <c r="M317">
        <f t="shared" si="10"/>
        <v>0</v>
      </c>
      <c r="N317">
        <f t="shared" si="11"/>
        <v>0</v>
      </c>
    </row>
    <row r="318" spans="3:14">
      <c r="C318" s="209"/>
      <c r="D318" s="414"/>
      <c r="E318" s="899"/>
      <c r="F318" s="210" t="s">
        <v>509</v>
      </c>
      <c r="G318" s="473" t="s">
        <v>515</v>
      </c>
      <c r="I318">
        <f t="shared" si="8"/>
        <v>0</v>
      </c>
      <c r="K318">
        <f t="shared" si="9"/>
        <v>0</v>
      </c>
      <c r="M318">
        <f t="shared" si="10"/>
        <v>0</v>
      </c>
      <c r="N318">
        <f t="shared" si="11"/>
        <v>0</v>
      </c>
    </row>
    <row r="319" spans="3:14">
      <c r="C319" s="209">
        <v>3634</v>
      </c>
      <c r="D319" s="414">
        <v>10010438</v>
      </c>
      <c r="E319" s="899"/>
      <c r="F319" s="210" t="s">
        <v>25</v>
      </c>
      <c r="G319" s="473" t="s">
        <v>515</v>
      </c>
      <c r="I319">
        <f t="shared" si="8"/>
        <v>0</v>
      </c>
      <c r="K319">
        <f t="shared" si="9"/>
        <v>0</v>
      </c>
      <c r="M319">
        <f t="shared" si="10"/>
        <v>0</v>
      </c>
      <c r="N319">
        <f t="shared" si="11"/>
        <v>0</v>
      </c>
    </row>
    <row r="320" spans="3:14">
      <c r="C320" s="209">
        <v>3635</v>
      </c>
      <c r="D320" s="414">
        <v>10010439</v>
      </c>
      <c r="E320" s="899"/>
      <c r="F320" s="210" t="s">
        <v>26</v>
      </c>
      <c r="G320" s="473" t="s">
        <v>515</v>
      </c>
      <c r="I320">
        <f t="shared" si="8"/>
        <v>0</v>
      </c>
      <c r="K320">
        <f t="shared" si="9"/>
        <v>0</v>
      </c>
      <c r="M320">
        <f t="shared" si="10"/>
        <v>0</v>
      </c>
      <c r="N320">
        <f t="shared" si="11"/>
        <v>0</v>
      </c>
    </row>
    <row r="321" spans="3:14">
      <c r="C321" s="209">
        <v>3636</v>
      </c>
      <c r="D321" s="414"/>
      <c r="E321" s="899"/>
      <c r="F321" s="210" t="s">
        <v>27</v>
      </c>
      <c r="G321" s="473" t="s">
        <v>515</v>
      </c>
      <c r="I321">
        <f t="shared" si="8"/>
        <v>0</v>
      </c>
      <c r="K321">
        <f t="shared" si="9"/>
        <v>0</v>
      </c>
      <c r="M321">
        <f t="shared" si="10"/>
        <v>0</v>
      </c>
      <c r="N321">
        <f t="shared" si="11"/>
        <v>0</v>
      </c>
    </row>
    <row r="322" spans="3:14">
      <c r="C322" s="209">
        <v>3637</v>
      </c>
      <c r="D322" s="414"/>
      <c r="E322" s="899"/>
      <c r="F322" s="210" t="s">
        <v>152</v>
      </c>
      <c r="G322" s="473" t="s">
        <v>515</v>
      </c>
      <c r="I322">
        <f t="shared" si="8"/>
        <v>0</v>
      </c>
      <c r="K322">
        <f t="shared" si="9"/>
        <v>0</v>
      </c>
      <c r="M322">
        <f t="shared" si="10"/>
        <v>0</v>
      </c>
      <c r="N322">
        <f t="shared" si="11"/>
        <v>0</v>
      </c>
    </row>
    <row r="323" spans="3:14">
      <c r="C323" s="209"/>
      <c r="D323" s="414"/>
      <c r="E323" s="899"/>
      <c r="F323" s="210" t="s">
        <v>1019</v>
      </c>
      <c r="G323" s="473" t="s">
        <v>515</v>
      </c>
      <c r="I323">
        <f t="shared" si="8"/>
        <v>0</v>
      </c>
      <c r="K323">
        <f t="shared" si="9"/>
        <v>0</v>
      </c>
      <c r="L323">
        <v>12</v>
      </c>
      <c r="M323">
        <f t="shared" si="10"/>
        <v>0</v>
      </c>
      <c r="N323">
        <f t="shared" si="11"/>
        <v>0</v>
      </c>
    </row>
    <row r="324" spans="3:14">
      <c r="C324" s="209">
        <v>4089</v>
      </c>
      <c r="D324" s="414">
        <v>10010430</v>
      </c>
      <c r="E324" s="899"/>
      <c r="F324" s="210" t="s">
        <v>132</v>
      </c>
      <c r="G324" s="473" t="s">
        <v>515</v>
      </c>
      <c r="H324">
        <v>24</v>
      </c>
      <c r="I324">
        <f t="shared" si="8"/>
        <v>0</v>
      </c>
      <c r="J324">
        <v>24</v>
      </c>
      <c r="K324">
        <f t="shared" si="9"/>
        <v>0</v>
      </c>
      <c r="L324">
        <v>4</v>
      </c>
      <c r="M324">
        <f t="shared" si="10"/>
        <v>0</v>
      </c>
      <c r="N324" s="167">
        <f t="shared" si="11"/>
        <v>0</v>
      </c>
    </row>
    <row r="325" spans="3:14">
      <c r="C325" s="209">
        <v>3643</v>
      </c>
      <c r="D325" s="414"/>
      <c r="E325" s="899"/>
      <c r="F325" s="210" t="s">
        <v>153</v>
      </c>
      <c r="G325" s="473" t="s">
        <v>515</v>
      </c>
      <c r="H325">
        <v>6</v>
      </c>
      <c r="I325">
        <f t="shared" si="8"/>
        <v>0</v>
      </c>
      <c r="J325">
        <v>6</v>
      </c>
      <c r="K325">
        <f t="shared" si="9"/>
        <v>0</v>
      </c>
      <c r="L325">
        <v>6</v>
      </c>
      <c r="M325">
        <f t="shared" si="10"/>
        <v>0</v>
      </c>
      <c r="N325" s="167">
        <f t="shared" si="11"/>
        <v>0</v>
      </c>
    </row>
    <row r="326" spans="3:14">
      <c r="C326" s="209"/>
      <c r="D326" s="414"/>
      <c r="E326" s="899"/>
      <c r="F326" s="210" t="s">
        <v>1474</v>
      </c>
      <c r="G326" s="473" t="s">
        <v>0</v>
      </c>
      <c r="I326">
        <f t="shared" si="8"/>
        <v>0</v>
      </c>
      <c r="K326">
        <f t="shared" si="9"/>
        <v>0</v>
      </c>
      <c r="M326">
        <f t="shared" si="10"/>
        <v>0</v>
      </c>
      <c r="N326">
        <f t="shared" si="11"/>
        <v>0</v>
      </c>
    </row>
    <row r="327" spans="3:14">
      <c r="C327" s="209">
        <v>3638</v>
      </c>
      <c r="D327" s="414"/>
      <c r="E327" s="899"/>
      <c r="F327" s="210" t="s">
        <v>236</v>
      </c>
      <c r="G327" s="473" t="s">
        <v>515</v>
      </c>
      <c r="I327">
        <f t="shared" si="8"/>
        <v>0</v>
      </c>
      <c r="K327">
        <f t="shared" si="9"/>
        <v>0</v>
      </c>
      <c r="M327">
        <f t="shared" si="10"/>
        <v>0</v>
      </c>
      <c r="N327">
        <f t="shared" si="11"/>
        <v>0</v>
      </c>
    </row>
    <row r="328" spans="3:14">
      <c r="C328" s="209">
        <v>3639</v>
      </c>
      <c r="D328" s="414"/>
      <c r="E328" s="899"/>
      <c r="F328" s="210" t="s">
        <v>221</v>
      </c>
      <c r="G328" s="473" t="s">
        <v>515</v>
      </c>
      <c r="I328">
        <f t="shared" si="8"/>
        <v>0</v>
      </c>
      <c r="K328">
        <f t="shared" si="9"/>
        <v>0</v>
      </c>
      <c r="L328">
        <v>10</v>
      </c>
      <c r="M328">
        <f t="shared" si="10"/>
        <v>0</v>
      </c>
      <c r="N328">
        <f t="shared" si="11"/>
        <v>0</v>
      </c>
    </row>
    <row r="329" spans="3:14">
      <c r="C329" s="209">
        <v>3640</v>
      </c>
      <c r="D329" s="414"/>
      <c r="E329" s="899"/>
      <c r="F329" s="210" t="s">
        <v>222</v>
      </c>
      <c r="G329" s="473" t="s">
        <v>515</v>
      </c>
      <c r="I329">
        <f t="shared" si="8"/>
        <v>0</v>
      </c>
      <c r="K329">
        <f t="shared" si="9"/>
        <v>0</v>
      </c>
      <c r="M329">
        <f t="shared" si="10"/>
        <v>0</v>
      </c>
      <c r="N329">
        <f t="shared" si="11"/>
        <v>0</v>
      </c>
    </row>
    <row r="330" spans="3:14">
      <c r="C330" s="209">
        <v>3641</v>
      </c>
      <c r="D330" s="414"/>
      <c r="E330" s="899"/>
      <c r="F330" s="210" t="s">
        <v>223</v>
      </c>
      <c r="G330" s="473" t="s">
        <v>515</v>
      </c>
      <c r="H330">
        <v>6</v>
      </c>
      <c r="I330">
        <f t="shared" si="8"/>
        <v>0</v>
      </c>
      <c r="J330">
        <v>6</v>
      </c>
      <c r="K330">
        <f t="shared" si="9"/>
        <v>0</v>
      </c>
      <c r="M330">
        <f t="shared" si="10"/>
        <v>0</v>
      </c>
      <c r="N330" s="167">
        <f t="shared" si="11"/>
        <v>0</v>
      </c>
    </row>
    <row r="331" spans="3:14">
      <c r="C331" s="209">
        <v>3642</v>
      </c>
      <c r="D331" s="414"/>
      <c r="E331" s="899"/>
      <c r="F331" s="210" t="s">
        <v>228</v>
      </c>
      <c r="G331" s="473" t="s">
        <v>515</v>
      </c>
      <c r="I331">
        <f t="shared" si="8"/>
        <v>0</v>
      </c>
      <c r="K331">
        <f t="shared" si="9"/>
        <v>0</v>
      </c>
      <c r="M331">
        <f t="shared" si="10"/>
        <v>0</v>
      </c>
      <c r="N331">
        <f t="shared" si="11"/>
        <v>0</v>
      </c>
    </row>
    <row r="332" spans="3:14">
      <c r="C332" s="209"/>
      <c r="D332" s="414"/>
      <c r="E332" s="899"/>
      <c r="F332" s="210" t="s">
        <v>1476</v>
      </c>
      <c r="G332" s="473" t="s">
        <v>515</v>
      </c>
      <c r="I332">
        <f t="shared" si="8"/>
        <v>0</v>
      </c>
      <c r="K332">
        <f t="shared" si="9"/>
        <v>0</v>
      </c>
      <c r="M332">
        <f t="shared" si="10"/>
        <v>0</v>
      </c>
      <c r="N332">
        <f t="shared" si="11"/>
        <v>0</v>
      </c>
    </row>
    <row r="333" spans="3:14">
      <c r="C333" s="209"/>
      <c r="D333" s="414"/>
      <c r="E333" s="899"/>
      <c r="F333" s="210" t="s">
        <v>1477</v>
      </c>
      <c r="G333" s="473" t="s">
        <v>515</v>
      </c>
      <c r="I333">
        <f t="shared" si="8"/>
        <v>0</v>
      </c>
      <c r="K333">
        <f t="shared" si="9"/>
        <v>0</v>
      </c>
      <c r="M333">
        <f t="shared" si="10"/>
        <v>0</v>
      </c>
      <c r="N333">
        <f t="shared" si="11"/>
        <v>0</v>
      </c>
    </row>
    <row r="334" spans="3:14">
      <c r="C334" s="209">
        <v>3645</v>
      </c>
      <c r="D334" s="414"/>
      <c r="E334" s="899"/>
      <c r="F334" s="210" t="s">
        <v>162</v>
      </c>
      <c r="G334" s="473" t="s">
        <v>515</v>
      </c>
      <c r="H334">
        <v>6</v>
      </c>
      <c r="I334">
        <f t="shared" si="8"/>
        <v>0</v>
      </c>
      <c r="K334">
        <f t="shared" si="9"/>
        <v>0</v>
      </c>
      <c r="M334">
        <f t="shared" si="10"/>
        <v>0</v>
      </c>
      <c r="N334">
        <f t="shared" si="11"/>
        <v>0</v>
      </c>
    </row>
    <row r="335" spans="3:14">
      <c r="C335" s="209">
        <v>3646</v>
      </c>
      <c r="D335" s="414">
        <v>10006812</v>
      </c>
      <c r="E335" s="899"/>
      <c r="F335" s="210" t="s">
        <v>69</v>
      </c>
      <c r="G335" s="473" t="s">
        <v>515</v>
      </c>
      <c r="I335">
        <f t="shared" si="8"/>
        <v>0</v>
      </c>
      <c r="J335">
        <v>6</v>
      </c>
      <c r="K335">
        <f t="shared" si="9"/>
        <v>0</v>
      </c>
      <c r="L335">
        <v>6</v>
      </c>
      <c r="M335">
        <f t="shared" si="10"/>
        <v>0</v>
      </c>
      <c r="N335" s="167">
        <f t="shared" si="11"/>
        <v>0</v>
      </c>
    </row>
    <row r="336" spans="3:14">
      <c r="C336" s="209">
        <v>3648</v>
      </c>
      <c r="D336" s="414">
        <v>10001811</v>
      </c>
      <c r="E336" s="899"/>
      <c r="F336" s="210" t="s">
        <v>556</v>
      </c>
      <c r="G336" s="473" t="s">
        <v>515</v>
      </c>
      <c r="I336">
        <f t="shared" si="8"/>
        <v>0</v>
      </c>
      <c r="K336">
        <f t="shared" si="9"/>
        <v>0</v>
      </c>
      <c r="M336">
        <f t="shared" si="10"/>
        <v>0</v>
      </c>
      <c r="N336">
        <f t="shared" si="11"/>
        <v>0</v>
      </c>
    </row>
    <row r="337" spans="3:14">
      <c r="C337" s="209">
        <v>3649</v>
      </c>
      <c r="D337" s="414"/>
      <c r="E337" s="899"/>
      <c r="F337" s="210" t="s">
        <v>148</v>
      </c>
      <c r="G337" s="473" t="s">
        <v>515</v>
      </c>
      <c r="H337">
        <v>9</v>
      </c>
      <c r="I337">
        <f t="shared" si="8"/>
        <v>0</v>
      </c>
      <c r="J337">
        <v>9</v>
      </c>
      <c r="K337">
        <f t="shared" si="9"/>
        <v>0</v>
      </c>
      <c r="L337">
        <v>10</v>
      </c>
      <c r="M337">
        <f t="shared" si="10"/>
        <v>0</v>
      </c>
      <c r="N337" s="167">
        <f t="shared" si="11"/>
        <v>0</v>
      </c>
    </row>
    <row r="338" spans="3:14">
      <c r="C338" s="209">
        <v>4194</v>
      </c>
      <c r="D338" s="414">
        <v>10001808</v>
      </c>
      <c r="E338" s="899"/>
      <c r="F338" s="210" t="s">
        <v>555</v>
      </c>
      <c r="G338" s="473" t="s">
        <v>515</v>
      </c>
      <c r="I338">
        <f t="shared" si="8"/>
        <v>0</v>
      </c>
      <c r="K338">
        <f t="shared" si="9"/>
        <v>0</v>
      </c>
      <c r="M338">
        <f t="shared" si="10"/>
        <v>0</v>
      </c>
      <c r="N338">
        <f t="shared" si="11"/>
        <v>0</v>
      </c>
    </row>
    <row r="339" spans="3:14">
      <c r="C339" s="209">
        <v>4127</v>
      </c>
      <c r="D339" s="414"/>
      <c r="E339" s="899"/>
      <c r="F339" s="210" t="s">
        <v>133</v>
      </c>
      <c r="G339" s="473" t="s">
        <v>515</v>
      </c>
      <c r="I339">
        <f t="shared" si="8"/>
        <v>0</v>
      </c>
      <c r="K339">
        <f t="shared" si="9"/>
        <v>0</v>
      </c>
      <c r="M339">
        <f t="shared" si="10"/>
        <v>0</v>
      </c>
      <c r="N339">
        <f t="shared" si="11"/>
        <v>0</v>
      </c>
    </row>
    <row r="340" spans="3:14">
      <c r="C340" s="209">
        <v>3651</v>
      </c>
      <c r="D340" s="414">
        <v>10003273</v>
      </c>
      <c r="E340" s="899"/>
      <c r="F340" s="210" t="s">
        <v>39</v>
      </c>
      <c r="G340" s="473" t="s">
        <v>515</v>
      </c>
      <c r="I340">
        <f t="shared" si="8"/>
        <v>0</v>
      </c>
      <c r="K340">
        <f t="shared" si="9"/>
        <v>0</v>
      </c>
      <c r="M340">
        <f t="shared" si="10"/>
        <v>0</v>
      </c>
      <c r="N340">
        <f t="shared" si="11"/>
        <v>0</v>
      </c>
    </row>
    <row r="341" spans="3:14">
      <c r="C341" s="209">
        <v>4174</v>
      </c>
      <c r="D341" s="414">
        <v>10003077</v>
      </c>
      <c r="E341" s="899"/>
      <c r="F341" s="210" t="s">
        <v>30</v>
      </c>
      <c r="G341" s="473" t="s">
        <v>515</v>
      </c>
      <c r="I341">
        <f t="shared" ref="I341:I406" si="12">H341*$B$6</f>
        <v>0</v>
      </c>
      <c r="K341">
        <f t="shared" ref="K341:K406" si="13">J341*$C$6</f>
        <v>0</v>
      </c>
      <c r="M341">
        <f t="shared" ref="M341:M406" si="14">L341*$D$6</f>
        <v>0</v>
      </c>
      <c r="N341">
        <f t="shared" ref="N341:N406" si="15">SUM(I341,K341,M341)</f>
        <v>0</v>
      </c>
    </row>
    <row r="342" spans="3:14">
      <c r="C342" s="209">
        <v>4190</v>
      </c>
      <c r="D342" s="414">
        <v>10002976</v>
      </c>
      <c r="E342" s="899"/>
      <c r="F342" s="210" t="s">
        <v>31</v>
      </c>
      <c r="G342" s="473" t="s">
        <v>515</v>
      </c>
      <c r="I342">
        <f t="shared" si="12"/>
        <v>0</v>
      </c>
      <c r="K342">
        <f t="shared" si="13"/>
        <v>0</v>
      </c>
      <c r="M342">
        <f t="shared" si="14"/>
        <v>0</v>
      </c>
      <c r="N342">
        <f t="shared" si="15"/>
        <v>0</v>
      </c>
    </row>
    <row r="343" spans="3:14">
      <c r="C343" s="209">
        <v>3712</v>
      </c>
      <c r="D343" s="414">
        <v>10002977</v>
      </c>
      <c r="E343" s="899"/>
      <c r="F343" s="210" t="s">
        <v>41</v>
      </c>
      <c r="G343" s="473" t="s">
        <v>515</v>
      </c>
      <c r="I343">
        <f t="shared" si="12"/>
        <v>0</v>
      </c>
      <c r="K343">
        <f t="shared" si="13"/>
        <v>0</v>
      </c>
      <c r="M343">
        <f t="shared" si="14"/>
        <v>0</v>
      </c>
      <c r="N343">
        <f t="shared" si="15"/>
        <v>0</v>
      </c>
    </row>
    <row r="344" spans="3:14">
      <c r="C344" s="209">
        <v>3652</v>
      </c>
      <c r="D344" s="414">
        <v>10003024</v>
      </c>
      <c r="E344" s="899"/>
      <c r="F344" s="210" t="s">
        <v>98</v>
      </c>
      <c r="G344" s="473" t="s">
        <v>515</v>
      </c>
      <c r="I344">
        <f t="shared" si="12"/>
        <v>0</v>
      </c>
      <c r="K344">
        <f t="shared" si="13"/>
        <v>0</v>
      </c>
      <c r="M344">
        <f t="shared" si="14"/>
        <v>0</v>
      </c>
      <c r="N344">
        <f t="shared" si="15"/>
        <v>0</v>
      </c>
    </row>
    <row r="345" spans="3:14">
      <c r="C345" s="209">
        <v>3656</v>
      </c>
      <c r="D345" s="414">
        <v>10003083</v>
      </c>
      <c r="E345" s="899"/>
      <c r="F345" s="210" t="s">
        <v>99</v>
      </c>
      <c r="G345" s="473" t="s">
        <v>515</v>
      </c>
      <c r="I345">
        <f t="shared" si="12"/>
        <v>0</v>
      </c>
      <c r="K345">
        <f t="shared" si="13"/>
        <v>0</v>
      </c>
      <c r="M345">
        <f t="shared" si="14"/>
        <v>0</v>
      </c>
      <c r="N345">
        <f t="shared" si="15"/>
        <v>0</v>
      </c>
    </row>
    <row r="346" spans="3:14">
      <c r="C346" s="209">
        <v>3657</v>
      </c>
      <c r="D346" s="414">
        <v>10002982</v>
      </c>
      <c r="E346" s="899"/>
      <c r="F346" s="210" t="s">
        <v>102</v>
      </c>
      <c r="G346" s="473" t="s">
        <v>515</v>
      </c>
      <c r="I346">
        <f t="shared" si="12"/>
        <v>0</v>
      </c>
      <c r="K346">
        <f t="shared" si="13"/>
        <v>0</v>
      </c>
      <c r="M346">
        <f t="shared" si="14"/>
        <v>0</v>
      </c>
      <c r="N346">
        <f t="shared" si="15"/>
        <v>0</v>
      </c>
    </row>
    <row r="347" spans="3:14">
      <c r="C347" s="209">
        <v>3658</v>
      </c>
      <c r="D347" s="414">
        <v>10002983</v>
      </c>
      <c r="E347" s="899"/>
      <c r="F347" s="210" t="s">
        <v>103</v>
      </c>
      <c r="G347" s="473" t="s">
        <v>515</v>
      </c>
      <c r="I347">
        <f t="shared" si="12"/>
        <v>0</v>
      </c>
      <c r="K347">
        <f t="shared" si="13"/>
        <v>0</v>
      </c>
      <c r="M347">
        <f t="shared" si="14"/>
        <v>0</v>
      </c>
      <c r="N347">
        <f t="shared" si="15"/>
        <v>0</v>
      </c>
    </row>
    <row r="348" spans="3:14">
      <c r="C348" s="209">
        <v>3655</v>
      </c>
      <c r="D348" s="414">
        <v>10003027</v>
      </c>
      <c r="E348" s="899"/>
      <c r="F348" s="210" t="s">
        <v>104</v>
      </c>
      <c r="G348" s="473" t="s">
        <v>515</v>
      </c>
      <c r="I348">
        <f t="shared" si="12"/>
        <v>0</v>
      </c>
      <c r="K348">
        <f t="shared" si="13"/>
        <v>0</v>
      </c>
      <c r="M348">
        <f t="shared" si="14"/>
        <v>0</v>
      </c>
      <c r="N348">
        <f t="shared" si="15"/>
        <v>0</v>
      </c>
    </row>
    <row r="349" spans="3:14">
      <c r="C349" s="209">
        <v>3660</v>
      </c>
      <c r="D349" s="414">
        <v>10002986</v>
      </c>
      <c r="E349" s="899"/>
      <c r="F349" s="210" t="s">
        <v>105</v>
      </c>
      <c r="G349" s="473" t="s">
        <v>515</v>
      </c>
      <c r="I349">
        <f t="shared" si="12"/>
        <v>0</v>
      </c>
      <c r="K349">
        <f t="shared" si="13"/>
        <v>0</v>
      </c>
      <c r="M349">
        <f t="shared" si="14"/>
        <v>0</v>
      </c>
      <c r="N349">
        <f t="shared" si="15"/>
        <v>0</v>
      </c>
    </row>
    <row r="350" spans="3:14">
      <c r="C350" s="209">
        <v>3661</v>
      </c>
      <c r="D350" s="414">
        <v>10002987</v>
      </c>
      <c r="E350" s="899"/>
      <c r="F350" s="210" t="s">
        <v>106</v>
      </c>
      <c r="G350" s="473" t="s">
        <v>515</v>
      </c>
      <c r="I350">
        <f t="shared" si="12"/>
        <v>0</v>
      </c>
      <c r="K350">
        <f t="shared" si="13"/>
        <v>0</v>
      </c>
      <c r="M350">
        <f t="shared" si="14"/>
        <v>0</v>
      </c>
      <c r="N350">
        <f t="shared" si="15"/>
        <v>0</v>
      </c>
    </row>
    <row r="351" spans="3:14">
      <c r="C351" s="209">
        <v>3659</v>
      </c>
      <c r="D351" s="414">
        <v>10003022</v>
      </c>
      <c r="E351" s="899"/>
      <c r="F351" s="210" t="s">
        <v>107</v>
      </c>
      <c r="G351" s="473" t="s">
        <v>515</v>
      </c>
      <c r="I351">
        <f t="shared" si="12"/>
        <v>0</v>
      </c>
      <c r="K351">
        <f t="shared" si="13"/>
        <v>0</v>
      </c>
      <c r="M351">
        <f t="shared" si="14"/>
        <v>0</v>
      </c>
      <c r="N351">
        <f t="shared" si="15"/>
        <v>0</v>
      </c>
    </row>
    <row r="352" spans="3:14">
      <c r="C352" s="209">
        <v>3958</v>
      </c>
      <c r="D352" s="414"/>
      <c r="E352" s="899"/>
      <c r="F352" s="210" t="s">
        <v>401</v>
      </c>
      <c r="G352" s="473" t="s">
        <v>515</v>
      </c>
      <c r="I352">
        <f t="shared" si="12"/>
        <v>0</v>
      </c>
      <c r="K352">
        <f t="shared" si="13"/>
        <v>0</v>
      </c>
      <c r="M352">
        <f t="shared" si="14"/>
        <v>0</v>
      </c>
      <c r="N352">
        <f t="shared" si="15"/>
        <v>0</v>
      </c>
    </row>
    <row r="353" spans="3:14">
      <c r="C353" s="209">
        <v>3958</v>
      </c>
      <c r="D353" s="414"/>
      <c r="E353" s="899"/>
      <c r="F353" s="210" t="s">
        <v>402</v>
      </c>
      <c r="G353" s="473" t="s">
        <v>515</v>
      </c>
      <c r="I353">
        <f t="shared" si="12"/>
        <v>0</v>
      </c>
      <c r="K353">
        <f t="shared" si="13"/>
        <v>0</v>
      </c>
      <c r="M353">
        <f t="shared" si="14"/>
        <v>0</v>
      </c>
      <c r="N353">
        <f t="shared" si="15"/>
        <v>0</v>
      </c>
    </row>
    <row r="354" spans="3:14">
      <c r="C354" s="209">
        <v>4298</v>
      </c>
      <c r="D354" s="414"/>
      <c r="E354" s="899"/>
      <c r="F354" s="210" t="s">
        <v>403</v>
      </c>
      <c r="G354" s="473" t="s">
        <v>515</v>
      </c>
      <c r="I354">
        <f t="shared" si="12"/>
        <v>0</v>
      </c>
      <c r="K354">
        <f t="shared" si="13"/>
        <v>0</v>
      </c>
      <c r="M354">
        <f t="shared" si="14"/>
        <v>0</v>
      </c>
      <c r="N354">
        <f t="shared" si="15"/>
        <v>0</v>
      </c>
    </row>
    <row r="355" spans="3:14">
      <c r="C355" s="209">
        <v>4174</v>
      </c>
      <c r="D355" s="414">
        <v>10002887</v>
      </c>
      <c r="E355" s="899"/>
      <c r="F355" s="210" t="s">
        <v>108</v>
      </c>
      <c r="G355" s="473" t="s">
        <v>515</v>
      </c>
      <c r="I355">
        <f t="shared" si="12"/>
        <v>0</v>
      </c>
      <c r="K355">
        <f t="shared" si="13"/>
        <v>0</v>
      </c>
      <c r="M355">
        <f t="shared" si="14"/>
        <v>0</v>
      </c>
      <c r="N355">
        <f t="shared" si="15"/>
        <v>0</v>
      </c>
    </row>
    <row r="356" spans="3:14">
      <c r="C356" s="209">
        <v>4043</v>
      </c>
      <c r="D356" s="414">
        <v>10002892</v>
      </c>
      <c r="E356" s="899"/>
      <c r="F356" s="210" t="s">
        <v>109</v>
      </c>
      <c r="G356" s="473" t="s">
        <v>515</v>
      </c>
      <c r="I356">
        <f t="shared" si="12"/>
        <v>0</v>
      </c>
      <c r="K356">
        <f t="shared" si="13"/>
        <v>0</v>
      </c>
      <c r="M356">
        <f t="shared" si="14"/>
        <v>0</v>
      </c>
      <c r="N356">
        <f t="shared" si="15"/>
        <v>0</v>
      </c>
    </row>
    <row r="357" spans="3:14">
      <c r="C357" s="209">
        <v>3663</v>
      </c>
      <c r="D357" s="414">
        <v>10002902</v>
      </c>
      <c r="E357" s="899"/>
      <c r="F357" s="210" t="s">
        <v>32</v>
      </c>
      <c r="G357" s="473" t="s">
        <v>515</v>
      </c>
      <c r="I357">
        <f t="shared" si="12"/>
        <v>0</v>
      </c>
      <c r="K357">
        <f t="shared" si="13"/>
        <v>0</v>
      </c>
      <c r="M357">
        <f t="shared" si="14"/>
        <v>0</v>
      </c>
      <c r="N357">
        <f t="shared" si="15"/>
        <v>0</v>
      </c>
    </row>
    <row r="358" spans="3:14">
      <c r="C358" s="209">
        <v>3662</v>
      </c>
      <c r="D358" s="414">
        <v>10002912</v>
      </c>
      <c r="E358" s="899"/>
      <c r="F358" s="210" t="s">
        <v>110</v>
      </c>
      <c r="G358" s="473" t="s">
        <v>515</v>
      </c>
      <c r="I358">
        <f t="shared" si="12"/>
        <v>0</v>
      </c>
      <c r="K358">
        <f t="shared" si="13"/>
        <v>0</v>
      </c>
      <c r="M358">
        <f t="shared" si="14"/>
        <v>0</v>
      </c>
      <c r="N358">
        <f t="shared" si="15"/>
        <v>0</v>
      </c>
    </row>
    <row r="359" spans="3:14">
      <c r="C359" s="209">
        <v>3656</v>
      </c>
      <c r="D359" s="414">
        <v>10002889</v>
      </c>
      <c r="E359" s="899"/>
      <c r="F359" s="210" t="s">
        <v>111</v>
      </c>
      <c r="G359" s="473" t="s">
        <v>515</v>
      </c>
      <c r="I359">
        <f t="shared" si="12"/>
        <v>0</v>
      </c>
      <c r="K359">
        <f t="shared" si="13"/>
        <v>0</v>
      </c>
      <c r="M359">
        <f t="shared" si="14"/>
        <v>0</v>
      </c>
      <c r="N359">
        <f t="shared" si="15"/>
        <v>0</v>
      </c>
    </row>
    <row r="360" spans="3:14">
      <c r="C360" s="209">
        <v>4044</v>
      </c>
      <c r="D360" s="414">
        <v>10002893</v>
      </c>
      <c r="E360" s="899"/>
      <c r="F360" s="210" t="s">
        <v>112</v>
      </c>
      <c r="G360" s="473" t="s">
        <v>515</v>
      </c>
      <c r="I360">
        <f t="shared" si="12"/>
        <v>0</v>
      </c>
      <c r="K360">
        <f t="shared" si="13"/>
        <v>0</v>
      </c>
      <c r="M360">
        <f t="shared" si="14"/>
        <v>0</v>
      </c>
      <c r="N360">
        <f t="shared" si="15"/>
        <v>0</v>
      </c>
    </row>
    <row r="361" spans="3:14">
      <c r="C361" s="209">
        <v>3665</v>
      </c>
      <c r="D361" s="414">
        <v>10002903</v>
      </c>
      <c r="E361" s="899"/>
      <c r="F361" s="210" t="s">
        <v>38</v>
      </c>
      <c r="G361" s="473" t="s">
        <v>515</v>
      </c>
      <c r="H361">
        <v>3</v>
      </c>
      <c r="I361">
        <f t="shared" si="12"/>
        <v>0</v>
      </c>
      <c r="J361">
        <v>3</v>
      </c>
      <c r="K361">
        <f t="shared" si="13"/>
        <v>0</v>
      </c>
      <c r="M361">
        <f t="shared" si="14"/>
        <v>0</v>
      </c>
      <c r="N361" s="167">
        <f t="shared" si="15"/>
        <v>0</v>
      </c>
    </row>
    <row r="362" spans="3:14">
      <c r="C362" s="209">
        <v>3664</v>
      </c>
      <c r="D362" s="414">
        <v>10002913</v>
      </c>
      <c r="E362" s="899"/>
      <c r="F362" s="210" t="s">
        <v>113</v>
      </c>
      <c r="G362" s="473" t="s">
        <v>515</v>
      </c>
      <c r="I362">
        <f t="shared" si="12"/>
        <v>0</v>
      </c>
      <c r="K362">
        <f t="shared" si="13"/>
        <v>0</v>
      </c>
      <c r="M362">
        <f t="shared" si="14"/>
        <v>0</v>
      </c>
      <c r="N362">
        <f t="shared" si="15"/>
        <v>0</v>
      </c>
    </row>
    <row r="363" spans="3:14">
      <c r="C363" s="209">
        <v>3660</v>
      </c>
      <c r="D363" s="637"/>
      <c r="E363" s="903"/>
      <c r="F363" s="210" t="s">
        <v>114</v>
      </c>
      <c r="G363" s="473" t="s">
        <v>515</v>
      </c>
      <c r="I363">
        <f t="shared" si="12"/>
        <v>0</v>
      </c>
      <c r="K363">
        <f t="shared" si="13"/>
        <v>0</v>
      </c>
      <c r="L363">
        <v>3</v>
      </c>
      <c r="M363">
        <f t="shared" si="14"/>
        <v>0</v>
      </c>
      <c r="N363">
        <f t="shared" si="15"/>
        <v>0</v>
      </c>
    </row>
    <row r="364" spans="3:14">
      <c r="C364" s="209">
        <v>3661</v>
      </c>
      <c r="D364" s="637">
        <v>10002904</v>
      </c>
      <c r="E364" s="903"/>
      <c r="F364" s="210" t="s">
        <v>115</v>
      </c>
      <c r="G364" s="473" t="s">
        <v>515</v>
      </c>
      <c r="I364">
        <f t="shared" si="12"/>
        <v>0</v>
      </c>
      <c r="K364">
        <f t="shared" si="13"/>
        <v>0</v>
      </c>
      <c r="M364">
        <f t="shared" si="14"/>
        <v>0</v>
      </c>
      <c r="N364">
        <f t="shared" si="15"/>
        <v>0</v>
      </c>
    </row>
    <row r="365" spans="3:14">
      <c r="C365" s="209">
        <v>3659</v>
      </c>
      <c r="D365" s="637">
        <v>10002914</v>
      </c>
      <c r="E365" s="903"/>
      <c r="F365" s="210" t="s">
        <v>116</v>
      </c>
      <c r="G365" s="473" t="s">
        <v>515</v>
      </c>
      <c r="I365">
        <f t="shared" si="12"/>
        <v>0</v>
      </c>
      <c r="K365">
        <f t="shared" si="13"/>
        <v>0</v>
      </c>
      <c r="M365">
        <f t="shared" si="14"/>
        <v>0</v>
      </c>
      <c r="N365">
        <f t="shared" si="15"/>
        <v>0</v>
      </c>
    </row>
    <row r="366" spans="3:14">
      <c r="C366" s="209">
        <v>3958</v>
      </c>
      <c r="D366" s="414"/>
      <c r="E366" s="899"/>
      <c r="F366" s="210" t="s">
        <v>404</v>
      </c>
      <c r="G366" s="473" t="s">
        <v>515</v>
      </c>
      <c r="I366">
        <f t="shared" si="12"/>
        <v>0</v>
      </c>
      <c r="K366">
        <f t="shared" si="13"/>
        <v>0</v>
      </c>
      <c r="M366">
        <f t="shared" si="14"/>
        <v>0</v>
      </c>
      <c r="N366">
        <f t="shared" si="15"/>
        <v>0</v>
      </c>
    </row>
    <row r="367" spans="3:14">
      <c r="C367" s="209">
        <v>4257</v>
      </c>
      <c r="D367" s="414"/>
      <c r="E367" s="899"/>
      <c r="F367" s="210" t="s">
        <v>405</v>
      </c>
      <c r="G367" s="473" t="s">
        <v>515</v>
      </c>
      <c r="I367">
        <f t="shared" si="12"/>
        <v>0</v>
      </c>
      <c r="K367">
        <f t="shared" si="13"/>
        <v>0</v>
      </c>
      <c r="M367">
        <f t="shared" si="14"/>
        <v>0</v>
      </c>
      <c r="N367">
        <f t="shared" si="15"/>
        <v>0</v>
      </c>
    </row>
    <row r="368" spans="3:14">
      <c r="C368" s="209">
        <v>4298</v>
      </c>
      <c r="D368" s="414"/>
      <c r="E368" s="899"/>
      <c r="F368" s="210" t="s">
        <v>406</v>
      </c>
      <c r="G368" s="473" t="s">
        <v>515</v>
      </c>
      <c r="I368">
        <f t="shared" si="12"/>
        <v>0</v>
      </c>
      <c r="K368">
        <f t="shared" si="13"/>
        <v>0</v>
      </c>
      <c r="M368">
        <f t="shared" si="14"/>
        <v>0</v>
      </c>
      <c r="N368">
        <f t="shared" si="15"/>
        <v>0</v>
      </c>
    </row>
    <row r="369" spans="3:14">
      <c r="C369" s="209">
        <v>3666</v>
      </c>
      <c r="D369" s="414">
        <v>10001440</v>
      </c>
      <c r="E369" s="899"/>
      <c r="F369" s="210" t="s">
        <v>33</v>
      </c>
      <c r="G369" s="473" t="s">
        <v>515</v>
      </c>
      <c r="H369">
        <v>15</v>
      </c>
      <c r="I369">
        <f t="shared" si="12"/>
        <v>0</v>
      </c>
      <c r="J369">
        <v>15</v>
      </c>
      <c r="K369">
        <f t="shared" si="13"/>
        <v>0</v>
      </c>
      <c r="L369">
        <v>15</v>
      </c>
      <c r="M369">
        <f t="shared" si="14"/>
        <v>0</v>
      </c>
      <c r="N369" s="167">
        <f t="shared" si="15"/>
        <v>0</v>
      </c>
    </row>
    <row r="370" spans="3:14">
      <c r="C370" s="901"/>
      <c r="D370" s="416"/>
      <c r="E370" s="899"/>
      <c r="F370" s="213" t="s">
        <v>1512</v>
      </c>
      <c r="G370" s="902" t="s">
        <v>0</v>
      </c>
      <c r="H370">
        <v>3</v>
      </c>
      <c r="I370">
        <f t="shared" si="12"/>
        <v>0</v>
      </c>
      <c r="K370">
        <f t="shared" si="13"/>
        <v>0</v>
      </c>
      <c r="M370">
        <f t="shared" si="14"/>
        <v>0</v>
      </c>
      <c r="N370">
        <f t="shared" si="15"/>
        <v>0</v>
      </c>
    </row>
    <row r="371" spans="3:14">
      <c r="C371" s="901"/>
      <c r="D371" s="416"/>
      <c r="E371" s="899"/>
      <c r="F371" s="213" t="s">
        <v>1513</v>
      </c>
      <c r="G371" s="902" t="s">
        <v>0</v>
      </c>
      <c r="I371">
        <f t="shared" si="12"/>
        <v>0</v>
      </c>
      <c r="J371">
        <v>3</v>
      </c>
      <c r="K371">
        <f t="shared" si="13"/>
        <v>0</v>
      </c>
      <c r="L371">
        <v>3</v>
      </c>
      <c r="M371">
        <f t="shared" si="14"/>
        <v>0</v>
      </c>
      <c r="N371" s="167">
        <f t="shared" si="15"/>
        <v>0</v>
      </c>
    </row>
    <row r="372" spans="3:14">
      <c r="C372" s="901"/>
      <c r="D372" s="416">
        <v>10006622</v>
      </c>
      <c r="E372" s="899"/>
      <c r="F372" s="213" t="s">
        <v>1514</v>
      </c>
      <c r="G372" s="902" t="s">
        <v>0</v>
      </c>
      <c r="H372">
        <v>1</v>
      </c>
      <c r="I372">
        <f t="shared" si="12"/>
        <v>0</v>
      </c>
      <c r="J372">
        <v>1</v>
      </c>
      <c r="K372">
        <f t="shared" si="13"/>
        <v>0</v>
      </c>
      <c r="L372">
        <v>1</v>
      </c>
      <c r="M372">
        <f t="shared" si="14"/>
        <v>0</v>
      </c>
      <c r="N372" s="167">
        <f t="shared" si="15"/>
        <v>0</v>
      </c>
    </row>
    <row r="373" spans="3:14">
      <c r="C373" s="209">
        <v>4055</v>
      </c>
      <c r="D373" s="414"/>
      <c r="E373" s="899"/>
      <c r="F373" s="210" t="s">
        <v>225</v>
      </c>
      <c r="G373" s="473" t="s">
        <v>515</v>
      </c>
      <c r="H373">
        <v>3</v>
      </c>
      <c r="I373">
        <f t="shared" si="12"/>
        <v>0</v>
      </c>
      <c r="J373">
        <v>3</v>
      </c>
      <c r="K373">
        <f t="shared" si="13"/>
        <v>0</v>
      </c>
      <c r="L373">
        <v>7</v>
      </c>
      <c r="M373">
        <f t="shared" si="14"/>
        <v>0</v>
      </c>
      <c r="N373" s="167">
        <f t="shared" si="15"/>
        <v>0</v>
      </c>
    </row>
    <row r="374" spans="3:14">
      <c r="C374" s="209">
        <v>3668</v>
      </c>
      <c r="D374" s="414">
        <v>10005796</v>
      </c>
      <c r="E374" s="899"/>
      <c r="F374" s="210" t="s">
        <v>34</v>
      </c>
      <c r="G374" s="473" t="s">
        <v>515</v>
      </c>
      <c r="I374">
        <f t="shared" si="12"/>
        <v>0</v>
      </c>
      <c r="K374">
        <f t="shared" si="13"/>
        <v>0</v>
      </c>
      <c r="M374">
        <f t="shared" si="14"/>
        <v>0</v>
      </c>
      <c r="N374">
        <f t="shared" si="15"/>
        <v>0</v>
      </c>
    </row>
    <row r="375" spans="3:14">
      <c r="C375" s="209">
        <v>3669</v>
      </c>
      <c r="D375" s="414"/>
      <c r="E375" s="899"/>
      <c r="F375" s="210" t="s">
        <v>230</v>
      </c>
      <c r="G375" s="473" t="s">
        <v>515</v>
      </c>
      <c r="H375">
        <v>6</v>
      </c>
      <c r="I375">
        <f t="shared" si="12"/>
        <v>0</v>
      </c>
      <c r="J375">
        <v>6</v>
      </c>
      <c r="K375">
        <f t="shared" si="13"/>
        <v>0</v>
      </c>
      <c r="L375">
        <v>6</v>
      </c>
      <c r="M375">
        <f t="shared" si="14"/>
        <v>0</v>
      </c>
      <c r="N375" s="167">
        <f t="shared" si="15"/>
        <v>0</v>
      </c>
    </row>
    <row r="376" spans="3:14">
      <c r="C376" s="209">
        <v>3670</v>
      </c>
      <c r="D376" s="414"/>
      <c r="E376" s="899"/>
      <c r="F376" s="210" t="s">
        <v>238</v>
      </c>
      <c r="G376" s="473" t="s">
        <v>515</v>
      </c>
      <c r="I376">
        <f t="shared" si="12"/>
        <v>0</v>
      </c>
      <c r="K376">
        <f t="shared" si="13"/>
        <v>0</v>
      </c>
      <c r="M376">
        <f t="shared" si="14"/>
        <v>0</v>
      </c>
      <c r="N376">
        <f t="shared" si="15"/>
        <v>0</v>
      </c>
    </row>
    <row r="377" spans="3:14">
      <c r="C377" s="209">
        <v>3670</v>
      </c>
      <c r="D377" s="414"/>
      <c r="E377" s="899"/>
      <c r="F377" s="210" t="s">
        <v>239</v>
      </c>
      <c r="G377" s="473" t="s">
        <v>515</v>
      </c>
      <c r="I377">
        <f t="shared" si="12"/>
        <v>0</v>
      </c>
      <c r="K377">
        <f t="shared" si="13"/>
        <v>0</v>
      </c>
      <c r="M377">
        <f t="shared" si="14"/>
        <v>0</v>
      </c>
      <c r="N377">
        <f t="shared" si="15"/>
        <v>0</v>
      </c>
    </row>
    <row r="378" spans="3:14">
      <c r="C378" s="209">
        <v>3670</v>
      </c>
      <c r="D378" s="414"/>
      <c r="E378" s="899"/>
      <c r="F378" s="210" t="s">
        <v>240</v>
      </c>
      <c r="G378" s="473" t="s">
        <v>515</v>
      </c>
      <c r="I378">
        <f t="shared" si="12"/>
        <v>0</v>
      </c>
      <c r="K378">
        <f t="shared" si="13"/>
        <v>0</v>
      </c>
      <c r="M378">
        <f t="shared" si="14"/>
        <v>0</v>
      </c>
      <c r="N378">
        <f t="shared" si="15"/>
        <v>0</v>
      </c>
    </row>
    <row r="379" spans="3:14">
      <c r="C379" s="901"/>
      <c r="D379" s="416"/>
      <c r="E379" s="899"/>
      <c r="F379" s="213" t="s">
        <v>1515</v>
      </c>
      <c r="G379" s="902" t="s">
        <v>0</v>
      </c>
      <c r="H379">
        <v>6</v>
      </c>
      <c r="I379">
        <f t="shared" si="12"/>
        <v>0</v>
      </c>
      <c r="J379">
        <v>6</v>
      </c>
      <c r="K379">
        <f t="shared" si="13"/>
        <v>0</v>
      </c>
      <c r="M379">
        <f t="shared" si="14"/>
        <v>0</v>
      </c>
      <c r="N379" s="167">
        <f t="shared" si="15"/>
        <v>0</v>
      </c>
    </row>
    <row r="380" spans="3:14">
      <c r="C380" s="209">
        <v>3670</v>
      </c>
      <c r="D380" s="414"/>
      <c r="E380" s="899"/>
      <c r="F380" s="210" t="s">
        <v>241</v>
      </c>
      <c r="G380" s="473" t="s">
        <v>515</v>
      </c>
      <c r="I380">
        <f t="shared" si="12"/>
        <v>0</v>
      </c>
      <c r="K380">
        <f t="shared" si="13"/>
        <v>0</v>
      </c>
      <c r="M380">
        <f t="shared" si="14"/>
        <v>0</v>
      </c>
      <c r="N380">
        <f t="shared" si="15"/>
        <v>0</v>
      </c>
    </row>
    <row r="381" spans="3:14">
      <c r="C381" s="209">
        <v>3671</v>
      </c>
      <c r="D381" s="414"/>
      <c r="E381" s="899"/>
      <c r="F381" s="210" t="s">
        <v>237</v>
      </c>
      <c r="G381" s="473" t="s">
        <v>515</v>
      </c>
      <c r="I381">
        <f t="shared" si="12"/>
        <v>0</v>
      </c>
      <c r="K381">
        <f t="shared" si="13"/>
        <v>0</v>
      </c>
      <c r="M381">
        <f t="shared" si="14"/>
        <v>0</v>
      </c>
      <c r="N381">
        <f t="shared" si="15"/>
        <v>0</v>
      </c>
    </row>
    <row r="382" spans="3:14">
      <c r="C382" s="901"/>
      <c r="D382" s="416"/>
      <c r="E382" s="899"/>
      <c r="F382" s="213" t="s">
        <v>1516</v>
      </c>
      <c r="G382" s="902" t="s">
        <v>0</v>
      </c>
      <c r="I382">
        <f t="shared" si="12"/>
        <v>0</v>
      </c>
      <c r="K382">
        <f t="shared" si="13"/>
        <v>0</v>
      </c>
      <c r="L382">
        <v>9</v>
      </c>
      <c r="M382">
        <f t="shared" si="14"/>
        <v>0</v>
      </c>
      <c r="N382">
        <f t="shared" si="15"/>
        <v>0</v>
      </c>
    </row>
    <row r="383" spans="3:14">
      <c r="C383" s="901"/>
      <c r="D383" s="416"/>
      <c r="E383" s="899"/>
      <c r="F383" s="213" t="s">
        <v>1517</v>
      </c>
      <c r="G383" s="902" t="s">
        <v>0</v>
      </c>
      <c r="H383">
        <v>3</v>
      </c>
      <c r="I383">
        <f t="shared" si="12"/>
        <v>0</v>
      </c>
      <c r="J383">
        <v>3</v>
      </c>
      <c r="K383">
        <f t="shared" si="13"/>
        <v>0</v>
      </c>
      <c r="M383">
        <f t="shared" si="14"/>
        <v>0</v>
      </c>
      <c r="N383" s="167">
        <f t="shared" si="15"/>
        <v>0</v>
      </c>
    </row>
    <row r="384" spans="3:14">
      <c r="C384" s="209">
        <v>3673</v>
      </c>
      <c r="D384" s="414"/>
      <c r="E384" s="899"/>
      <c r="F384" s="210" t="s">
        <v>160</v>
      </c>
      <c r="G384" s="473" t="s">
        <v>515</v>
      </c>
      <c r="I384">
        <f t="shared" si="12"/>
        <v>0</v>
      </c>
      <c r="K384">
        <f t="shared" si="13"/>
        <v>0</v>
      </c>
      <c r="M384">
        <f t="shared" si="14"/>
        <v>0</v>
      </c>
      <c r="N384">
        <f t="shared" si="15"/>
        <v>0</v>
      </c>
    </row>
    <row r="385" spans="3:14">
      <c r="C385" s="209">
        <v>3674</v>
      </c>
      <c r="D385" s="414">
        <v>10010823</v>
      </c>
      <c r="E385" s="899"/>
      <c r="F385" s="210" t="s">
        <v>161</v>
      </c>
      <c r="G385" s="473" t="s">
        <v>515</v>
      </c>
      <c r="I385">
        <f t="shared" si="12"/>
        <v>0</v>
      </c>
      <c r="K385">
        <f t="shared" si="13"/>
        <v>0</v>
      </c>
      <c r="M385">
        <f t="shared" si="14"/>
        <v>0</v>
      </c>
      <c r="N385">
        <f t="shared" si="15"/>
        <v>0</v>
      </c>
    </row>
    <row r="386" spans="3:14">
      <c r="C386" s="209">
        <v>4105</v>
      </c>
      <c r="D386" s="414"/>
      <c r="E386" s="899"/>
      <c r="F386" s="210" t="s">
        <v>128</v>
      </c>
      <c r="G386" s="473" t="s">
        <v>515</v>
      </c>
      <c r="I386">
        <f t="shared" si="12"/>
        <v>0</v>
      </c>
      <c r="K386">
        <f t="shared" si="13"/>
        <v>0</v>
      </c>
      <c r="M386">
        <f t="shared" si="14"/>
        <v>0</v>
      </c>
      <c r="N386">
        <f t="shared" si="15"/>
        <v>0</v>
      </c>
    </row>
    <row r="387" spans="3:14">
      <c r="C387" s="209">
        <v>3672</v>
      </c>
      <c r="D387" s="414">
        <v>10003289</v>
      </c>
      <c r="E387" s="899"/>
      <c r="F387" s="210" t="s">
        <v>35</v>
      </c>
      <c r="G387" s="473" t="s">
        <v>515</v>
      </c>
      <c r="I387">
        <f t="shared" si="12"/>
        <v>0</v>
      </c>
      <c r="K387">
        <f t="shared" si="13"/>
        <v>0</v>
      </c>
      <c r="M387">
        <f t="shared" si="14"/>
        <v>0</v>
      </c>
      <c r="N387">
        <f t="shared" si="15"/>
        <v>0</v>
      </c>
    </row>
    <row r="388" spans="3:14">
      <c r="C388" s="209">
        <v>4019</v>
      </c>
      <c r="D388" s="414"/>
      <c r="E388" s="899"/>
      <c r="F388" s="210" t="s">
        <v>40</v>
      </c>
      <c r="G388" s="473" t="s">
        <v>515</v>
      </c>
      <c r="I388">
        <f t="shared" si="12"/>
        <v>0</v>
      </c>
      <c r="K388">
        <f t="shared" si="13"/>
        <v>0</v>
      </c>
      <c r="M388">
        <f t="shared" si="14"/>
        <v>0</v>
      </c>
      <c r="N388">
        <f t="shared" si="15"/>
        <v>0</v>
      </c>
    </row>
    <row r="389" spans="3:14">
      <c r="C389" s="209">
        <v>3685</v>
      </c>
      <c r="D389" s="414"/>
      <c r="E389" s="899"/>
      <c r="F389" s="210" t="s">
        <v>156</v>
      </c>
      <c r="G389" s="473" t="s">
        <v>515</v>
      </c>
      <c r="I389">
        <f t="shared" si="12"/>
        <v>0</v>
      </c>
      <c r="K389">
        <f t="shared" si="13"/>
        <v>0</v>
      </c>
      <c r="M389">
        <f t="shared" si="14"/>
        <v>0</v>
      </c>
      <c r="N389">
        <f t="shared" si="15"/>
        <v>0</v>
      </c>
    </row>
    <row r="390" spans="3:14">
      <c r="C390" s="209">
        <v>4180</v>
      </c>
      <c r="D390" s="414"/>
      <c r="E390" s="899"/>
      <c r="F390" s="210" t="s">
        <v>70</v>
      </c>
      <c r="G390" s="473" t="s">
        <v>515</v>
      </c>
      <c r="I390">
        <f t="shared" si="12"/>
        <v>0</v>
      </c>
      <c r="K390">
        <f t="shared" si="13"/>
        <v>0</v>
      </c>
      <c r="M390">
        <f t="shared" si="14"/>
        <v>0</v>
      </c>
      <c r="N390">
        <f t="shared" si="15"/>
        <v>0</v>
      </c>
    </row>
    <row r="391" spans="3:14">
      <c r="C391" s="209">
        <v>3686</v>
      </c>
      <c r="D391" s="414"/>
      <c r="E391" s="899"/>
      <c r="F391" s="210" t="s">
        <v>157</v>
      </c>
      <c r="G391" s="473" t="s">
        <v>515</v>
      </c>
      <c r="I391">
        <f t="shared" si="12"/>
        <v>0</v>
      </c>
      <c r="K391">
        <f t="shared" si="13"/>
        <v>0</v>
      </c>
      <c r="M391">
        <f t="shared" si="14"/>
        <v>0</v>
      </c>
      <c r="N391">
        <f t="shared" si="15"/>
        <v>0</v>
      </c>
    </row>
    <row r="392" spans="3:14">
      <c r="C392" s="209">
        <v>3691</v>
      </c>
      <c r="D392" s="414"/>
      <c r="E392" s="899"/>
      <c r="F392" s="210" t="s">
        <v>71</v>
      </c>
      <c r="G392" s="473" t="s">
        <v>515</v>
      </c>
      <c r="I392">
        <f t="shared" si="12"/>
        <v>0</v>
      </c>
      <c r="K392">
        <f t="shared" si="13"/>
        <v>0</v>
      </c>
      <c r="M392">
        <f t="shared" si="14"/>
        <v>0</v>
      </c>
      <c r="N392">
        <f t="shared" si="15"/>
        <v>0</v>
      </c>
    </row>
    <row r="393" spans="3:14">
      <c r="C393" s="209">
        <v>3687</v>
      </c>
      <c r="D393" s="414"/>
      <c r="E393" s="899"/>
      <c r="F393" s="210" t="s">
        <v>158</v>
      </c>
      <c r="G393" s="473" t="s">
        <v>515</v>
      </c>
      <c r="I393">
        <f t="shared" si="12"/>
        <v>0</v>
      </c>
      <c r="K393">
        <f t="shared" si="13"/>
        <v>0</v>
      </c>
      <c r="M393">
        <f t="shared" si="14"/>
        <v>0</v>
      </c>
      <c r="N393">
        <f t="shared" si="15"/>
        <v>0</v>
      </c>
    </row>
    <row r="394" spans="3:14">
      <c r="C394" s="209">
        <v>4191</v>
      </c>
      <c r="D394" s="414"/>
      <c r="E394" s="899"/>
      <c r="F394" s="210" t="s">
        <v>72</v>
      </c>
      <c r="G394" s="473" t="s">
        <v>515</v>
      </c>
      <c r="I394">
        <f t="shared" si="12"/>
        <v>0</v>
      </c>
      <c r="K394">
        <f t="shared" si="13"/>
        <v>0</v>
      </c>
      <c r="M394">
        <f t="shared" si="14"/>
        <v>0</v>
      </c>
      <c r="N394">
        <f t="shared" si="15"/>
        <v>0</v>
      </c>
    </row>
    <row r="395" spans="3:14">
      <c r="C395" s="209">
        <v>3688</v>
      </c>
      <c r="D395" s="414"/>
      <c r="E395" s="899"/>
      <c r="F395" s="210" t="s">
        <v>159</v>
      </c>
      <c r="G395" s="473" t="s">
        <v>515</v>
      </c>
      <c r="I395">
        <f t="shared" si="12"/>
        <v>0</v>
      </c>
      <c r="K395">
        <f t="shared" si="13"/>
        <v>0</v>
      </c>
      <c r="M395">
        <f t="shared" si="14"/>
        <v>0</v>
      </c>
      <c r="N395">
        <f t="shared" si="15"/>
        <v>0</v>
      </c>
    </row>
    <row r="396" spans="3:14">
      <c r="C396" s="209">
        <v>3693</v>
      </c>
      <c r="D396" s="414"/>
      <c r="E396" s="899"/>
      <c r="F396" s="210" t="s">
        <v>73</v>
      </c>
      <c r="G396" s="473" t="s">
        <v>515</v>
      </c>
      <c r="I396">
        <f t="shared" si="12"/>
        <v>0</v>
      </c>
      <c r="K396">
        <f t="shared" si="13"/>
        <v>0</v>
      </c>
      <c r="M396">
        <f t="shared" si="14"/>
        <v>0</v>
      </c>
      <c r="N396">
        <f t="shared" si="15"/>
        <v>0</v>
      </c>
    </row>
    <row r="397" spans="3:14">
      <c r="C397" s="209"/>
      <c r="D397" s="414"/>
      <c r="E397" s="899"/>
      <c r="F397" s="210" t="s">
        <v>1554</v>
      </c>
      <c r="G397" s="473" t="s">
        <v>515</v>
      </c>
      <c r="I397">
        <f t="shared" si="12"/>
        <v>0</v>
      </c>
    </row>
    <row r="398" spans="3:14">
      <c r="C398" s="209"/>
      <c r="D398" s="414"/>
      <c r="E398" s="899"/>
      <c r="F398" s="210" t="s">
        <v>1555</v>
      </c>
      <c r="G398" s="473" t="s">
        <v>515</v>
      </c>
      <c r="I398">
        <f t="shared" si="12"/>
        <v>0</v>
      </c>
    </row>
    <row r="399" spans="3:14">
      <c r="C399" s="209">
        <v>3697</v>
      </c>
      <c r="D399" s="414"/>
      <c r="E399" s="899"/>
      <c r="F399" s="214" t="s">
        <v>374</v>
      </c>
      <c r="G399" s="473" t="s">
        <v>515</v>
      </c>
      <c r="I399">
        <f t="shared" si="12"/>
        <v>0</v>
      </c>
      <c r="K399">
        <f t="shared" si="13"/>
        <v>0</v>
      </c>
      <c r="M399">
        <f t="shared" si="14"/>
        <v>0</v>
      </c>
      <c r="N399">
        <f t="shared" si="15"/>
        <v>0</v>
      </c>
    </row>
    <row r="400" spans="3:14">
      <c r="C400" s="209">
        <v>3705</v>
      </c>
      <c r="D400" s="414"/>
      <c r="E400" s="899"/>
      <c r="F400" s="214" t="s">
        <v>375</v>
      </c>
      <c r="G400" s="473" t="s">
        <v>515</v>
      </c>
      <c r="I400">
        <f t="shared" si="12"/>
        <v>0</v>
      </c>
      <c r="K400">
        <f t="shared" si="13"/>
        <v>0</v>
      </c>
      <c r="M400">
        <f t="shared" si="14"/>
        <v>0</v>
      </c>
      <c r="N400">
        <f t="shared" si="15"/>
        <v>0</v>
      </c>
    </row>
    <row r="401" spans="3:14">
      <c r="C401" s="209">
        <v>3700</v>
      </c>
      <c r="D401" s="414"/>
      <c r="E401" s="899"/>
      <c r="F401" s="214" t="s">
        <v>376</v>
      </c>
      <c r="G401" s="473" t="s">
        <v>515</v>
      </c>
      <c r="I401">
        <f t="shared" si="12"/>
        <v>0</v>
      </c>
      <c r="K401">
        <f t="shared" si="13"/>
        <v>0</v>
      </c>
      <c r="M401">
        <f t="shared" si="14"/>
        <v>0</v>
      </c>
      <c r="N401">
        <f t="shared" si="15"/>
        <v>0</v>
      </c>
    </row>
    <row r="402" spans="3:14">
      <c r="C402" s="209">
        <v>3708</v>
      </c>
      <c r="D402" s="414"/>
      <c r="E402" s="899"/>
      <c r="F402" s="214" t="s">
        <v>490</v>
      </c>
      <c r="G402" s="473" t="s">
        <v>515</v>
      </c>
      <c r="I402">
        <f t="shared" si="12"/>
        <v>0</v>
      </c>
      <c r="K402">
        <f t="shared" si="13"/>
        <v>0</v>
      </c>
      <c r="M402">
        <f t="shared" si="14"/>
        <v>0</v>
      </c>
      <c r="N402">
        <f t="shared" si="15"/>
        <v>0</v>
      </c>
    </row>
    <row r="403" spans="3:14">
      <c r="C403" s="209">
        <v>3701</v>
      </c>
      <c r="D403" s="414"/>
      <c r="E403" s="899"/>
      <c r="F403" s="214" t="s">
        <v>258</v>
      </c>
      <c r="G403" s="473" t="s">
        <v>515</v>
      </c>
      <c r="I403">
        <f t="shared" si="12"/>
        <v>0</v>
      </c>
      <c r="K403">
        <f t="shared" si="13"/>
        <v>0</v>
      </c>
      <c r="M403">
        <f t="shared" si="14"/>
        <v>0</v>
      </c>
      <c r="N403">
        <f t="shared" si="15"/>
        <v>0</v>
      </c>
    </row>
    <row r="404" spans="3:14">
      <c r="C404" s="209">
        <v>3709</v>
      </c>
      <c r="D404" s="414"/>
      <c r="E404" s="899"/>
      <c r="F404" s="214" t="s">
        <v>491</v>
      </c>
      <c r="G404" s="473" t="s">
        <v>515</v>
      </c>
      <c r="I404">
        <f t="shared" si="12"/>
        <v>0</v>
      </c>
      <c r="K404">
        <f t="shared" si="13"/>
        <v>0</v>
      </c>
      <c r="M404">
        <f t="shared" si="14"/>
        <v>0</v>
      </c>
      <c r="N404">
        <f t="shared" si="15"/>
        <v>0</v>
      </c>
    </row>
    <row r="405" spans="3:14">
      <c r="C405" s="209">
        <v>3702</v>
      </c>
      <c r="D405" s="414"/>
      <c r="E405" s="899"/>
      <c r="F405" s="214" t="s">
        <v>260</v>
      </c>
      <c r="G405" s="473" t="s">
        <v>515</v>
      </c>
      <c r="I405">
        <f t="shared" si="12"/>
        <v>0</v>
      </c>
      <c r="K405">
        <f t="shared" si="13"/>
        <v>0</v>
      </c>
      <c r="M405">
        <f t="shared" si="14"/>
        <v>0</v>
      </c>
      <c r="N405">
        <f t="shared" si="15"/>
        <v>0</v>
      </c>
    </row>
    <row r="406" spans="3:14">
      <c r="C406" s="209">
        <v>3710</v>
      </c>
      <c r="D406" s="414"/>
      <c r="E406" s="899"/>
      <c r="F406" s="214" t="s">
        <v>492</v>
      </c>
      <c r="G406" s="473" t="s">
        <v>515</v>
      </c>
      <c r="I406">
        <f t="shared" si="12"/>
        <v>0</v>
      </c>
      <c r="K406">
        <f t="shared" si="13"/>
        <v>0</v>
      </c>
      <c r="M406">
        <f t="shared" si="14"/>
        <v>0</v>
      </c>
      <c r="N406">
        <f t="shared" si="15"/>
        <v>0</v>
      </c>
    </row>
    <row r="407" spans="3:14">
      <c r="C407" s="209">
        <v>3695</v>
      </c>
      <c r="D407" s="414"/>
      <c r="E407" s="899"/>
      <c r="F407" s="214" t="s">
        <v>262</v>
      </c>
      <c r="G407" s="473" t="s">
        <v>515</v>
      </c>
      <c r="I407">
        <f t="shared" ref="I407:I432" si="16">H407*$B$6</f>
        <v>0</v>
      </c>
      <c r="K407">
        <f t="shared" ref="K407:K432" si="17">J407*$C$6</f>
        <v>0</v>
      </c>
      <c r="M407">
        <f t="shared" ref="M407:M432" si="18">L407*$D$6</f>
        <v>0</v>
      </c>
      <c r="N407">
        <f t="shared" ref="N407:N432" si="19">SUM(I407,K407,M407)</f>
        <v>0</v>
      </c>
    </row>
    <row r="408" spans="3:14">
      <c r="C408" s="209">
        <v>3703</v>
      </c>
      <c r="D408" s="414"/>
      <c r="E408" s="899"/>
      <c r="F408" s="214" t="s">
        <v>493</v>
      </c>
      <c r="G408" s="473" t="s">
        <v>515</v>
      </c>
      <c r="I408">
        <f t="shared" si="16"/>
        <v>0</v>
      </c>
      <c r="K408">
        <f t="shared" si="17"/>
        <v>0</v>
      </c>
      <c r="M408">
        <f t="shared" si="18"/>
        <v>0</v>
      </c>
      <c r="N408">
        <f t="shared" si="19"/>
        <v>0</v>
      </c>
    </row>
    <row r="409" spans="3:14">
      <c r="C409" s="209">
        <v>3696</v>
      </c>
      <c r="D409" s="414"/>
      <c r="E409" s="899"/>
      <c r="F409" s="214" t="s">
        <v>264</v>
      </c>
      <c r="G409" s="473" t="s">
        <v>515</v>
      </c>
      <c r="I409">
        <f t="shared" si="16"/>
        <v>0</v>
      </c>
      <c r="K409">
        <f t="shared" si="17"/>
        <v>0</v>
      </c>
      <c r="M409">
        <f t="shared" si="18"/>
        <v>0</v>
      </c>
      <c r="N409">
        <f t="shared" si="19"/>
        <v>0</v>
      </c>
    </row>
    <row r="410" spans="3:14">
      <c r="C410" s="209">
        <v>3704</v>
      </c>
      <c r="D410" s="414"/>
      <c r="E410" s="899"/>
      <c r="F410" s="214" t="s">
        <v>494</v>
      </c>
      <c r="G410" s="473" t="s">
        <v>515</v>
      </c>
      <c r="I410">
        <f t="shared" si="16"/>
        <v>0</v>
      </c>
      <c r="K410">
        <f t="shared" si="17"/>
        <v>0</v>
      </c>
      <c r="M410">
        <f t="shared" si="18"/>
        <v>0</v>
      </c>
      <c r="N410">
        <f t="shared" si="19"/>
        <v>0</v>
      </c>
    </row>
    <row r="411" spans="3:14">
      <c r="C411" s="209">
        <v>3698</v>
      </c>
      <c r="D411" s="414"/>
      <c r="E411" s="899"/>
      <c r="F411" s="214" t="s">
        <v>266</v>
      </c>
      <c r="G411" s="473" t="s">
        <v>515</v>
      </c>
      <c r="I411">
        <f t="shared" si="16"/>
        <v>0</v>
      </c>
      <c r="K411">
        <f t="shared" si="17"/>
        <v>0</v>
      </c>
      <c r="M411">
        <f t="shared" si="18"/>
        <v>0</v>
      </c>
      <c r="N411">
        <f t="shared" si="19"/>
        <v>0</v>
      </c>
    </row>
    <row r="412" spans="3:14">
      <c r="C412" s="209">
        <v>3706</v>
      </c>
      <c r="D412" s="414"/>
      <c r="E412" s="899"/>
      <c r="F412" s="214" t="s">
        <v>495</v>
      </c>
      <c r="G412" s="473" t="s">
        <v>515</v>
      </c>
      <c r="I412">
        <f t="shared" si="16"/>
        <v>0</v>
      </c>
      <c r="K412">
        <f t="shared" si="17"/>
        <v>0</v>
      </c>
      <c r="M412">
        <f t="shared" si="18"/>
        <v>0</v>
      </c>
      <c r="N412">
        <f t="shared" si="19"/>
        <v>0</v>
      </c>
    </row>
    <row r="413" spans="3:14">
      <c r="C413" s="209">
        <v>3699</v>
      </c>
      <c r="D413" s="414"/>
      <c r="E413" s="899"/>
      <c r="F413" s="214" t="s">
        <v>268</v>
      </c>
      <c r="G413" s="473" t="s">
        <v>515</v>
      </c>
      <c r="I413">
        <f t="shared" si="16"/>
        <v>0</v>
      </c>
      <c r="K413">
        <f t="shared" si="17"/>
        <v>0</v>
      </c>
      <c r="M413">
        <f t="shared" si="18"/>
        <v>0</v>
      </c>
      <c r="N413">
        <f t="shared" si="19"/>
        <v>0</v>
      </c>
    </row>
    <row r="414" spans="3:14">
      <c r="C414" s="209">
        <v>3707</v>
      </c>
      <c r="D414" s="414"/>
      <c r="E414" s="899"/>
      <c r="F414" s="214" t="s">
        <v>496</v>
      </c>
      <c r="G414" s="473" t="s">
        <v>515</v>
      </c>
      <c r="I414">
        <f t="shared" si="16"/>
        <v>0</v>
      </c>
      <c r="K414">
        <f t="shared" si="17"/>
        <v>0</v>
      </c>
      <c r="M414">
        <f t="shared" si="18"/>
        <v>0</v>
      </c>
      <c r="N414">
        <f t="shared" si="19"/>
        <v>0</v>
      </c>
    </row>
    <row r="415" spans="3:14">
      <c r="C415" s="209"/>
      <c r="D415" s="414"/>
      <c r="E415" s="899"/>
      <c r="F415" s="214" t="s">
        <v>270</v>
      </c>
      <c r="G415" s="473" t="s">
        <v>515</v>
      </c>
      <c r="I415">
        <f t="shared" si="16"/>
        <v>0</v>
      </c>
      <c r="K415">
        <f t="shared" si="17"/>
        <v>0</v>
      </c>
      <c r="M415">
        <f t="shared" si="18"/>
        <v>0</v>
      </c>
      <c r="N415">
        <f t="shared" si="19"/>
        <v>0</v>
      </c>
    </row>
    <row r="416" spans="3:14">
      <c r="C416" s="209"/>
      <c r="D416" s="414"/>
      <c r="E416" s="899"/>
      <c r="F416" s="214" t="s">
        <v>497</v>
      </c>
      <c r="G416" s="473" t="s">
        <v>515</v>
      </c>
      <c r="I416">
        <f t="shared" si="16"/>
        <v>0</v>
      </c>
      <c r="K416">
        <f t="shared" si="17"/>
        <v>0</v>
      </c>
      <c r="M416">
        <f t="shared" si="18"/>
        <v>0</v>
      </c>
      <c r="N416">
        <f t="shared" si="19"/>
        <v>0</v>
      </c>
    </row>
    <row r="417" spans="3:14">
      <c r="C417" s="209"/>
      <c r="D417" s="414"/>
      <c r="E417" s="899"/>
      <c r="F417" s="214" t="s">
        <v>272</v>
      </c>
      <c r="G417" s="473" t="s">
        <v>515</v>
      </c>
      <c r="I417">
        <f t="shared" si="16"/>
        <v>0</v>
      </c>
      <c r="K417">
        <f t="shared" si="17"/>
        <v>0</v>
      </c>
      <c r="M417">
        <f t="shared" si="18"/>
        <v>0</v>
      </c>
      <c r="N417">
        <f t="shared" si="19"/>
        <v>0</v>
      </c>
    </row>
    <row r="418" spans="3:14">
      <c r="C418" s="209"/>
      <c r="D418" s="414"/>
      <c r="E418" s="899"/>
      <c r="F418" s="214" t="s">
        <v>498</v>
      </c>
      <c r="G418" s="473" t="s">
        <v>515</v>
      </c>
      <c r="I418">
        <f t="shared" si="16"/>
        <v>0</v>
      </c>
      <c r="K418">
        <f t="shared" si="17"/>
        <v>0</v>
      </c>
      <c r="M418">
        <f t="shared" si="18"/>
        <v>0</v>
      </c>
      <c r="N418">
        <f t="shared" si="19"/>
        <v>0</v>
      </c>
    </row>
    <row r="419" spans="3:14">
      <c r="C419" s="209"/>
      <c r="D419" s="414"/>
      <c r="E419" s="899"/>
      <c r="F419" s="214" t="s">
        <v>274</v>
      </c>
      <c r="G419" s="473" t="s">
        <v>515</v>
      </c>
      <c r="I419">
        <f t="shared" si="16"/>
        <v>0</v>
      </c>
      <c r="K419">
        <f t="shared" si="17"/>
        <v>0</v>
      </c>
      <c r="M419">
        <f t="shared" si="18"/>
        <v>0</v>
      </c>
      <c r="N419">
        <f t="shared" si="19"/>
        <v>0</v>
      </c>
    </row>
    <row r="420" spans="3:14">
      <c r="C420" s="209"/>
      <c r="D420" s="414"/>
      <c r="E420" s="899"/>
      <c r="F420" s="214" t="s">
        <v>499</v>
      </c>
      <c r="G420" s="473" t="s">
        <v>515</v>
      </c>
      <c r="I420">
        <f t="shared" si="16"/>
        <v>0</v>
      </c>
      <c r="K420">
        <f t="shared" si="17"/>
        <v>0</v>
      </c>
      <c r="M420">
        <f t="shared" si="18"/>
        <v>0</v>
      </c>
      <c r="N420">
        <f t="shared" si="19"/>
        <v>0</v>
      </c>
    </row>
    <row r="421" spans="3:14">
      <c r="C421" s="209"/>
      <c r="D421" s="414"/>
      <c r="E421" s="899"/>
      <c r="F421" s="214" t="s">
        <v>276</v>
      </c>
      <c r="G421" s="473" t="s">
        <v>515</v>
      </c>
      <c r="I421">
        <f t="shared" si="16"/>
        <v>0</v>
      </c>
      <c r="K421">
        <f t="shared" si="17"/>
        <v>0</v>
      </c>
      <c r="M421">
        <f t="shared" si="18"/>
        <v>0</v>
      </c>
      <c r="N421">
        <f t="shared" si="19"/>
        <v>0</v>
      </c>
    </row>
    <row r="422" spans="3:14">
      <c r="C422" s="209"/>
      <c r="D422" s="414"/>
      <c r="E422" s="899"/>
      <c r="F422" s="214" t="s">
        <v>500</v>
      </c>
      <c r="G422" s="473" t="s">
        <v>515</v>
      </c>
      <c r="I422">
        <f t="shared" si="16"/>
        <v>0</v>
      </c>
      <c r="K422">
        <f t="shared" si="17"/>
        <v>0</v>
      </c>
      <c r="M422">
        <f t="shared" si="18"/>
        <v>0</v>
      </c>
      <c r="N422">
        <f t="shared" si="19"/>
        <v>0</v>
      </c>
    </row>
    <row r="423" spans="3:14">
      <c r="C423" s="209"/>
      <c r="D423" s="414"/>
      <c r="E423" s="899"/>
      <c r="F423" s="214" t="s">
        <v>278</v>
      </c>
      <c r="G423" s="473" t="s">
        <v>515</v>
      </c>
      <c r="I423">
        <f t="shared" si="16"/>
        <v>0</v>
      </c>
      <c r="K423">
        <f t="shared" si="17"/>
        <v>0</v>
      </c>
      <c r="M423">
        <f t="shared" si="18"/>
        <v>0</v>
      </c>
      <c r="N423">
        <f t="shared" si="19"/>
        <v>0</v>
      </c>
    </row>
    <row r="424" spans="3:14">
      <c r="C424" s="209">
        <v>3711</v>
      </c>
      <c r="D424" s="414"/>
      <c r="E424" s="899"/>
      <c r="F424" s="214" t="s">
        <v>501</v>
      </c>
      <c r="G424" s="473" t="s">
        <v>515</v>
      </c>
      <c r="I424">
        <f t="shared" si="16"/>
        <v>0</v>
      </c>
      <c r="K424">
        <f t="shared" si="17"/>
        <v>0</v>
      </c>
      <c r="M424">
        <f t="shared" si="18"/>
        <v>0</v>
      </c>
      <c r="N424">
        <f t="shared" si="19"/>
        <v>0</v>
      </c>
    </row>
    <row r="425" spans="3:14">
      <c r="C425" s="209"/>
      <c r="D425" s="414"/>
      <c r="E425" s="899"/>
      <c r="F425" s="214" t="s">
        <v>280</v>
      </c>
      <c r="G425" s="473" t="s">
        <v>515</v>
      </c>
      <c r="I425">
        <f t="shared" si="16"/>
        <v>0</v>
      </c>
      <c r="K425">
        <f t="shared" si="17"/>
        <v>0</v>
      </c>
      <c r="M425">
        <f t="shared" si="18"/>
        <v>0</v>
      </c>
      <c r="N425">
        <f t="shared" si="19"/>
        <v>0</v>
      </c>
    </row>
    <row r="426" spans="3:14">
      <c r="C426" s="209"/>
      <c r="D426" s="414"/>
      <c r="E426" s="899"/>
      <c r="F426" s="214" t="s">
        <v>502</v>
      </c>
      <c r="G426" s="473" t="s">
        <v>515</v>
      </c>
      <c r="I426">
        <f t="shared" si="16"/>
        <v>0</v>
      </c>
      <c r="K426">
        <f t="shared" si="17"/>
        <v>0</v>
      </c>
      <c r="M426">
        <f t="shared" si="18"/>
        <v>0</v>
      </c>
      <c r="N426">
        <f t="shared" si="19"/>
        <v>0</v>
      </c>
    </row>
    <row r="427" spans="3:14">
      <c r="C427" s="209"/>
      <c r="D427" s="414"/>
      <c r="E427" s="899"/>
      <c r="F427" s="214" t="s">
        <v>282</v>
      </c>
      <c r="G427" s="473" t="s">
        <v>515</v>
      </c>
      <c r="I427">
        <f t="shared" si="16"/>
        <v>0</v>
      </c>
      <c r="K427">
        <f t="shared" si="17"/>
        <v>0</v>
      </c>
      <c r="M427">
        <f t="shared" si="18"/>
        <v>0</v>
      </c>
      <c r="N427">
        <f t="shared" si="19"/>
        <v>0</v>
      </c>
    </row>
    <row r="428" spans="3:14">
      <c r="C428" s="209">
        <v>4159</v>
      </c>
      <c r="D428" s="414"/>
      <c r="E428" s="899"/>
      <c r="F428" s="214" t="s">
        <v>503</v>
      </c>
      <c r="G428" s="473" t="s">
        <v>515</v>
      </c>
      <c r="I428">
        <f t="shared" si="16"/>
        <v>0</v>
      </c>
      <c r="K428">
        <f t="shared" si="17"/>
        <v>0</v>
      </c>
      <c r="M428">
        <f t="shared" si="18"/>
        <v>0</v>
      </c>
      <c r="N428">
        <f t="shared" si="19"/>
        <v>0</v>
      </c>
    </row>
    <row r="429" spans="3:14">
      <c r="C429" s="209"/>
      <c r="D429" s="414"/>
      <c r="E429" s="899"/>
      <c r="F429" s="214" t="s">
        <v>284</v>
      </c>
      <c r="G429" s="473" t="s">
        <v>515</v>
      </c>
      <c r="I429">
        <f t="shared" si="16"/>
        <v>0</v>
      </c>
      <c r="K429">
        <f t="shared" si="17"/>
        <v>0</v>
      </c>
      <c r="M429">
        <f t="shared" si="18"/>
        <v>0</v>
      </c>
      <c r="N429">
        <f t="shared" si="19"/>
        <v>0</v>
      </c>
    </row>
    <row r="430" spans="3:14">
      <c r="C430" s="209"/>
      <c r="D430" s="414"/>
      <c r="E430" s="899"/>
      <c r="F430" s="214" t="s">
        <v>504</v>
      </c>
      <c r="G430" s="473" t="s">
        <v>515</v>
      </c>
      <c r="I430">
        <f t="shared" si="16"/>
        <v>0</v>
      </c>
      <c r="K430">
        <f t="shared" si="17"/>
        <v>0</v>
      </c>
      <c r="M430">
        <f t="shared" si="18"/>
        <v>0</v>
      </c>
      <c r="N430">
        <f t="shared" si="19"/>
        <v>0</v>
      </c>
    </row>
    <row r="431" spans="3:14">
      <c r="C431" s="209"/>
      <c r="D431" s="414"/>
      <c r="E431" s="899"/>
      <c r="F431" s="210" t="s">
        <v>378</v>
      </c>
      <c r="G431" s="473" t="s">
        <v>515</v>
      </c>
      <c r="I431">
        <f t="shared" si="16"/>
        <v>0</v>
      </c>
      <c r="K431">
        <f t="shared" si="17"/>
        <v>0</v>
      </c>
      <c r="M431">
        <f t="shared" si="18"/>
        <v>0</v>
      </c>
      <c r="N431">
        <f t="shared" si="19"/>
        <v>0</v>
      </c>
    </row>
    <row r="432" spans="3:14">
      <c r="C432" s="209"/>
      <c r="D432" s="414"/>
      <c r="E432" s="899"/>
      <c r="F432" s="210" t="s">
        <v>379</v>
      </c>
      <c r="G432" s="473" t="s">
        <v>515</v>
      </c>
      <c r="I432">
        <f t="shared" si="16"/>
        <v>0</v>
      </c>
      <c r="K432">
        <f t="shared" si="17"/>
        <v>0</v>
      </c>
      <c r="M432">
        <f t="shared" si="18"/>
        <v>0</v>
      </c>
      <c r="N432">
        <f t="shared" si="19"/>
        <v>0</v>
      </c>
    </row>
  </sheetData>
  <mergeCells count="12">
    <mergeCell ref="D6:D7"/>
    <mergeCell ref="B6:B7"/>
    <mergeCell ref="A8:H17"/>
    <mergeCell ref="F6:H7"/>
    <mergeCell ref="A1:H1"/>
    <mergeCell ref="E3:E5"/>
    <mergeCell ref="B3:B4"/>
    <mergeCell ref="C3:D4"/>
    <mergeCell ref="F3:G5"/>
    <mergeCell ref="A2:A6"/>
    <mergeCell ref="B2:G2"/>
    <mergeCell ref="C6:C7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Macro10">
                <anchor moveWithCells="1" sizeWithCells="1">
                  <from>
                    <xdr:col>0</xdr:col>
                    <xdr:colOff>123825</xdr:colOff>
                    <xdr:row>1</xdr:row>
                    <xdr:rowOff>0</xdr:rowOff>
                  </from>
                  <to>
                    <xdr:col>0</xdr:col>
                    <xdr:colOff>1285875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Macro17gg">
                <anchor moveWithCells="1" sizeWithCells="1">
                  <from>
                    <xdr:col>0</xdr:col>
                    <xdr:colOff>123825</xdr:colOff>
                    <xdr:row>3</xdr:row>
                    <xdr:rowOff>57150</xdr:rowOff>
                  </from>
                  <to>
                    <xdr:col>0</xdr:col>
                    <xdr:colOff>1276350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6" name="Button 4">
              <controlPr defaultSize="0" print="0" autoFill="0" autoPict="0" macro="[0]!Macro10">
                <anchor moveWithCells="1" sizeWithCells="1">
                  <from>
                    <xdr:col>0</xdr:col>
                    <xdr:colOff>142875</xdr:colOff>
                    <xdr:row>7</xdr:row>
                    <xdr:rowOff>142875</xdr:rowOff>
                  </from>
                  <to>
                    <xdr:col>2</xdr:col>
                    <xdr:colOff>304800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1976A-0E3A-40F7-84D4-33CF9180D96A}">
  <sheetPr codeName="Plan24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24</vt:i4>
      </vt:variant>
      <vt:variant>
        <vt:lpstr>Intervalos Nomeados</vt:lpstr>
      </vt:variant>
      <vt:variant>
        <vt:i4>8</vt:i4>
      </vt:variant>
    </vt:vector>
  </HeadingPairs>
  <TitlesOfParts>
    <vt:vector size="32" baseType="lpstr">
      <vt:lpstr>Mono 13,8kv</vt:lpstr>
      <vt:lpstr>Mono 34,5kv</vt:lpstr>
      <vt:lpstr>Trifásico 13,8kv </vt:lpstr>
      <vt:lpstr>Trifásico 34,5kv</vt:lpstr>
      <vt:lpstr>Estruturas 34,5kv</vt:lpstr>
      <vt:lpstr>Materiais de Medições</vt:lpstr>
      <vt:lpstr>Materiais e Valores</vt:lpstr>
      <vt:lpstr>Materiais de Medições compacta</vt:lpstr>
      <vt:lpstr>Transformadores</vt:lpstr>
      <vt:lpstr>Compcta</vt:lpstr>
      <vt:lpstr>BT-SI</vt:lpstr>
      <vt:lpstr>EXTRAS (2)</vt:lpstr>
      <vt:lpstr>ILUMINAÇÃO PUBLICA</vt:lpstr>
      <vt:lpstr>EXTRAS</vt:lpstr>
      <vt:lpstr>Estruturas 13,8kv</vt:lpstr>
      <vt:lpstr>MEDIDÇÕES TRIFÁSICAS</vt:lpstr>
      <vt:lpstr>Menu</vt:lpstr>
      <vt:lpstr>MEDIÇÃO AT 34.5KV</vt:lpstr>
      <vt:lpstr>RELIGADOR NOVA C.P.S</vt:lpstr>
      <vt:lpstr>RELIGADOR 13.8 e 34.5KV</vt:lpstr>
      <vt:lpstr>Plan1</vt:lpstr>
      <vt:lpstr>Subestação 34,5kv</vt:lpstr>
      <vt:lpstr>REGULADORES</vt:lpstr>
      <vt:lpstr>Plan2</vt:lpstr>
      <vt:lpstr>'Estruturas 13,8kv'!Area_de_impressao</vt:lpstr>
      <vt:lpstr>EXTRAS!Area_de_impressao</vt:lpstr>
      <vt:lpstr>'EXTRAS (2)'!Area_de_impressao</vt:lpstr>
      <vt:lpstr>'Materiais e Valores'!Area_de_impressao</vt:lpstr>
      <vt:lpstr>'MEDIÇÃO AT 34.5KV'!Area_de_impressao</vt:lpstr>
      <vt:lpstr>Plan1!Area_de_impressao</vt:lpstr>
      <vt:lpstr>'RELIGADOR 13.8 e 34.5KV'!Area_de_impressao</vt:lpstr>
      <vt:lpstr>'RELIGADOR NOVA C.P.S'!Area_de_impressao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XP</dc:creator>
  <cp:lastModifiedBy>Lucas Matheus</cp:lastModifiedBy>
  <cp:lastPrinted>2018-01-17T14:43:28Z</cp:lastPrinted>
  <dcterms:created xsi:type="dcterms:W3CDTF">2013-03-01T18:32:40Z</dcterms:created>
  <dcterms:modified xsi:type="dcterms:W3CDTF">2025-09-30T20:20:45Z</dcterms:modified>
</cp:coreProperties>
</file>